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hidePivotFieldList="1"/>
  <mc:AlternateContent xmlns:mc="http://schemas.openxmlformats.org/markup-compatibility/2006">
    <mc:Choice Requires="x15">
      <x15ac:absPath xmlns:x15ac="http://schemas.microsoft.com/office/spreadsheetml/2010/11/ac" url="https://lgadigital.sharepoint.com/sites/Researchteam/Projects/Housing Delivery Test/2022/Model/"/>
    </mc:Choice>
  </mc:AlternateContent>
  <xr:revisionPtr revIDLastSave="207" documentId="8_{92732549-3DFE-4DDA-9FCF-BB728FEE3E2D}" xr6:coauthVersionLast="47" xr6:coauthVersionMax="47" xr10:uidLastSave="{C8FF30AC-2142-44AE-805E-866801924D22}"/>
  <bookViews>
    <workbookView xWindow="-110" yWindow="-110" windowWidth="19420" windowHeight="10420" xr2:uid="{1F1D4EDF-FD62-451E-B66B-56A177C71FE9}"/>
  </bookViews>
  <sheets>
    <sheet name="Read Me" sheetId="29" r:id="rId1"/>
    <sheet name="User Guide" sheetId="31" r:id="rId2"/>
    <sheet name="Dashboard" sheetId="32" r:id="rId3"/>
    <sheet name="Calculations (All)" sheetId="17" r:id="rId4"/>
    <sheet name="IndividualLATest" sheetId="16" r:id="rId5"/>
    <sheet name="Sensitivity Tests" sheetId="35" r:id="rId6"/>
    <sheet name="Calculations (All) Sensitivity" sheetId="40" state="hidden" r:id="rId7"/>
    <sheet name="IndividualLA Sensitivity Test" sheetId="39" state="hidden" r:id="rId8"/>
    <sheet name="Major Cities &amp; Towns" sheetId="30" r:id="rId9"/>
    <sheet name="Hshldprojections2018" sheetId="24" r:id="rId10"/>
    <sheet name="Hshldprojections2016" sheetId="18" r:id="rId11"/>
    <sheet name="Hshldprojections2014" sheetId="9" r:id="rId12"/>
    <sheet name="AffordabilityRatio" sheetId="11" r:id="rId13"/>
    <sheet name="NetAdditions" sheetId="10" r:id="rId14"/>
    <sheet name="local-plan-data" sheetId="23" r:id="rId15"/>
    <sheet name="UrbanRuralClassification" sheetId="25" r:id="rId16"/>
    <sheet name="PoliticalControl" sheetId="26" r:id="rId17"/>
    <sheet name="HDT 2021 Measurement Results" sheetId="38" r:id="rId18"/>
    <sheet name="List of Regions" sheetId="34" state="hidden" r:id="rId19"/>
  </sheets>
  <externalReferences>
    <externalReference r:id="rId20"/>
    <externalReference r:id="rId21"/>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localSheetId="3" hidden="1">#REF!</definedName>
    <definedName name="_Fill" localSheetId="6" hidden="1">#REF!</definedName>
    <definedName name="_Fill" hidden="1">#REF!</definedName>
    <definedName name="_Fill1" localSheetId="3" hidden="1">#REF!</definedName>
    <definedName name="_Fill1" localSheetId="6" hidden="1">#REF!</definedName>
    <definedName name="_Fill1" hidden="1">#REF!</definedName>
    <definedName name="_Fill2" localSheetId="3" hidden="1">#REF!</definedName>
    <definedName name="_Fill2" localSheetId="6" hidden="1">#REF!</definedName>
    <definedName name="_Fill2" hidden="1">#REF!</definedName>
    <definedName name="_Fill3" localSheetId="3" hidden="1">#REF!</definedName>
    <definedName name="_Fill3" localSheetId="6" hidden="1">#REF!</definedName>
    <definedName name="_Fill3" hidden="1">#REF!</definedName>
    <definedName name="_xlnm._FilterDatabase" localSheetId="3" hidden="1">'Calculations (All)'!$A$4:$DB$322</definedName>
    <definedName name="_xlnm._FilterDatabase" localSheetId="6" hidden="1">'Calculations (All) Sensitivity'!$A$4:$DB$322</definedName>
    <definedName name="_xlnm._FilterDatabase" localSheetId="10" hidden="1">Hshldprojections2016!$A$1:$AQ$327</definedName>
    <definedName name="_xlnm._FilterDatabase" localSheetId="9" hidden="1">Hshldprojections2018!$A$1:$AQ$332</definedName>
    <definedName name="_xlnm._FilterDatabase" localSheetId="7" hidden="1">'IndividualLA Sensitivity Test'!$A$9:$V$16</definedName>
    <definedName name="_xlnm._FilterDatabase" localSheetId="4" hidden="1">IndividualLATest!$A$9:$V$16</definedName>
    <definedName name="_xlnm._FilterDatabase" localSheetId="14" hidden="1">'local-plan-data'!$A$1:$AD$566</definedName>
    <definedName name="_xlnm._FilterDatabase" localSheetId="15" hidden="1">UrbanRuralClassification!$A$1:$O$359</definedName>
    <definedName name="AC_gross_in">'[1]Programme Trajectory Input'!$D$101:$K$101</definedName>
    <definedName name="AC_net">'[1]Programme Trajectory Input'!$D$105:$K$105</definedName>
    <definedName name="Agri_Res_gross_in">'[1]Programme Trajectory Input'!$D$60:$K$60</definedName>
    <definedName name="BTR_gross_cum_in">'[1]Programme Trajectory Input'!$D$42</definedName>
    <definedName name="CA_ratio">'[2]I;_Assumptions'!$F$27</definedName>
    <definedName name="Demo_rebuild_PDR_gross_in">'[1]Programme Trajectory Input'!$D$61:$K$61</definedName>
    <definedName name="Ebbsfleet_additionality_factor_in">'[1]Programme Trajectory Input'!$C$90</definedName>
    <definedName name="Ebbsfleet_net">'[1]Programme Trajectory Input'!$D$91:$K$91</definedName>
    <definedName name="Full_Year_Non_Leap">'[2]I;_Assumptions'!$F$17</definedName>
    <definedName name="GBB_gross_cum_in">'[1]Programme Trajectory Input'!$D$43</definedName>
    <definedName name="HD_gross_in">'[1]Programme Trajectory Input'!$D$59:$K$59</definedName>
    <definedName name="House_price_growth">'[1]Private Baseline Calculation'!$AB$11</definedName>
    <definedName name="HtB_additionality_factor_in">'[1]Programme Trajectory Input'!$C$78</definedName>
    <definedName name="HtB_gross_in">'[1]Programme Trajectory Input'!$D$76:$K$76</definedName>
    <definedName name="Interbank_rate_prev3_q">'[1]Private Baseline Calculation'!$AB$10</definedName>
    <definedName name="Lag">'[1]Private Baseline Calculation'!$AB$18</definedName>
    <definedName name="Leap_Full_Year">'[2]I;_Assumptions'!$F$16</definedName>
    <definedName name="Legacy_additionality_factor_in">'[1]Programme Trajectory Input'!$C$48</definedName>
    <definedName name="Legacy_dist_in">'[1]Programme Trajectory Input'!$D$44:$K$44</definedName>
    <definedName name="Legacy_gross">'[1]Programme Trajectory Input'!$D$45:$K$45</definedName>
    <definedName name="Legacy_net">'[1]Programme Trajectory Input'!$D$50:$K$50</definedName>
    <definedName name="LTF_additionality_factor">'[1]Programme Trajectory Input'!$C$34</definedName>
    <definedName name="LTF_dist_in">'[1]Programme Trajectory Input'!$D$30:$K$30</definedName>
    <definedName name="LTF_gross">'[1]Programme Trajectory Input'!$D$31:$K$31</definedName>
    <definedName name="LTF_gross_in">'[1]Programme Trajectory Input'!$D$29</definedName>
    <definedName name="LTF_net">'[1]Programme Trajectory Input'!$D$36:$K$36</definedName>
    <definedName name="mod_delta_ons_code">'[2]I;_21_Modified_Delta'!$I$10:$I$347</definedName>
    <definedName name="mod_delta_ons_codes">'[2]I;_21_Modified_Delta'!$I$10:$I$347</definedName>
    <definedName name="mod_delta_pp_trajectories">'[2]I;_21_Modified_Delta'!$MN$10:$NJ$347</definedName>
    <definedName name="mod_delta_trajectories">'[2]I;_21_Modified_Delta'!$GZ$10:$HW$347</definedName>
    <definedName name="Notes" localSheetId="3">#REF!</definedName>
    <definedName name="Notes" localSheetId="6">#REF!</definedName>
    <definedName name="Notes" localSheetId="10">#REF!</definedName>
    <definedName name="Notes" localSheetId="9">#REF!</definedName>
    <definedName name="Notes">#REF!</definedName>
    <definedName name="Pal_Workbook_GUID" hidden="1">"TQWB55KA17LJF49YJNE7CV7D"</definedName>
    <definedName name="Plan_out_of_date">'[2]I;_Assumptions'!$E$22</definedName>
    <definedName name="Planning_additonality_factor_in">'[1]Programme Trajectory Input'!$C$65</definedName>
    <definedName name="Planning_gross">'[1]Programme Trajectory Input'!$D$63:$K$63</definedName>
    <definedName name="Planning_net">'[1]Programme Trajectory Input'!$D$67:$K$67</definedName>
    <definedName name="Pro_rata_factor">'[1]Programme Trajectory Input'!$D$18</definedName>
    <definedName name="Q1_">'[1]Private Baseline Calculation'!$AB$7</definedName>
    <definedName name="Q2_">'[1]Private Baseline Calculation'!$AB$8</definedName>
    <definedName name="Q3_">'[1]Private Baseline Calculation'!$AB$9</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STIF_addiitonality_factor">'[1]Programme Trajectory Input'!$C$21</definedName>
    <definedName name="STIF_AF">'[1]Programme Trajectory Input'!$C$21</definedName>
    <definedName name="STIF_cs_in">'[1]Programme Trajectory Input'!$D$11:$K$11</definedName>
    <definedName name="STIF_fs_in">'[1]Programme Trajectory Input'!$D$12:$K$12</definedName>
    <definedName name="STIF_gross">'[1]Programme Trajectory Input'!$D$14:$K$14</definedName>
    <definedName name="STIF_gross_cum_total_in">'[1]Programme Trajectory Input'!$D$16</definedName>
    <definedName name="STIF_gross_cum_total_update_in">'[1]Programme Trajectory Input'!$D$17</definedName>
    <definedName name="STIF_net">'[1]Programme Trajectory Input'!$D$23:$K$23</definedName>
    <definedName name="Student_ratio">'[2]I;_Assumptions'!$F$26</definedName>
    <definedName name="y1_num_days">'[2]I;_Assumptions'!$E$12</definedName>
    <definedName name="y1_start">'[2]I;_Assumptions'!$E$10</definedName>
    <definedName name="y2_end">'[2]I;_Assumptions'!$G$10</definedName>
    <definedName name="y2_num_days">'[2]I;_Assumptions'!$F$12</definedName>
    <definedName name="y2_start">'[2]I;_Assumptions'!$F$10</definedName>
    <definedName name="y3_num_days">'[2]I;_Assumptions'!$H$12</definedName>
    <definedName name="y3_start">'[2]I;_Assumptions'!$H$10</definedName>
    <definedName name="y4_start">'[2]I;_Assumptions'!$I$10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35" l="1"/>
  <c r="B8" i="38"/>
  <c r="B9" i="38"/>
  <c r="B10" i="38"/>
  <c r="B11" i="38"/>
  <c r="B12" i="38"/>
  <c r="B13" i="38"/>
  <c r="B14" i="38"/>
  <c r="B15" i="38"/>
  <c r="B16" i="38"/>
  <c r="B17" i="38"/>
  <c r="B18" i="38"/>
  <c r="B19" i="38"/>
  <c r="B20" i="38"/>
  <c r="B21" i="38"/>
  <c r="B22" i="38"/>
  <c r="B23" i="38"/>
  <c r="B24" i="38"/>
  <c r="B25" i="38"/>
  <c r="B26" i="38"/>
  <c r="B27" i="38"/>
  <c r="B28" i="38"/>
  <c r="B29" i="38"/>
  <c r="B30" i="38"/>
  <c r="B31" i="38"/>
  <c r="B32" i="38"/>
  <c r="B33" i="38"/>
  <c r="B34" i="38"/>
  <c r="B35" i="38"/>
  <c r="B36" i="38"/>
  <c r="B37" i="38"/>
  <c r="B38" i="38"/>
  <c r="B39" i="38"/>
  <c r="B40" i="38"/>
  <c r="B41" i="38"/>
  <c r="B42" i="38"/>
  <c r="B43" i="38"/>
  <c r="B44" i="38"/>
  <c r="B45" i="38"/>
  <c r="B46" i="38"/>
  <c r="B47" i="38"/>
  <c r="B48" i="38"/>
  <c r="B49" i="38"/>
  <c r="B50" i="38"/>
  <c r="B51" i="38"/>
  <c r="B52" i="38"/>
  <c r="B53" i="38"/>
  <c r="B54" i="38"/>
  <c r="B55" i="38"/>
  <c r="B56" i="38"/>
  <c r="B57" i="38"/>
  <c r="B58" i="38"/>
  <c r="B59" i="38"/>
  <c r="B60" i="38"/>
  <c r="B61" i="38"/>
  <c r="B62" i="38"/>
  <c r="B63" i="38"/>
  <c r="B64" i="38"/>
  <c r="B65" i="38"/>
  <c r="B66" i="38"/>
  <c r="B67" i="38"/>
  <c r="B68" i="38"/>
  <c r="B69" i="38"/>
  <c r="B70" i="38"/>
  <c r="B71" i="38"/>
  <c r="B72" i="38"/>
  <c r="B73" i="38"/>
  <c r="B74" i="38"/>
  <c r="B75" i="38"/>
  <c r="B76" i="38"/>
  <c r="B77" i="38"/>
  <c r="B78" i="38"/>
  <c r="B79" i="38"/>
  <c r="B80" i="38"/>
  <c r="B81" i="38"/>
  <c r="B82" i="38"/>
  <c r="B83" i="38"/>
  <c r="B84" i="38"/>
  <c r="B85" i="38"/>
  <c r="B86" i="38"/>
  <c r="B87" i="38"/>
  <c r="B88" i="38"/>
  <c r="B89" i="38"/>
  <c r="B90" i="38"/>
  <c r="B91" i="38"/>
  <c r="B92" i="38"/>
  <c r="B93" i="38"/>
  <c r="B94" i="38"/>
  <c r="B95" i="38"/>
  <c r="B96" i="38"/>
  <c r="B97" i="38"/>
  <c r="B98" i="38"/>
  <c r="B99" i="38"/>
  <c r="B100" i="38"/>
  <c r="B101" i="38"/>
  <c r="B102" i="38"/>
  <c r="B103" i="38"/>
  <c r="B104" i="38"/>
  <c r="B105" i="38"/>
  <c r="B106" i="38"/>
  <c r="B107" i="38"/>
  <c r="B108" i="38"/>
  <c r="B109" i="38"/>
  <c r="B110" i="38"/>
  <c r="B111" i="38"/>
  <c r="B112" i="38"/>
  <c r="B113" i="38"/>
  <c r="B114" i="38"/>
  <c r="B115" i="38"/>
  <c r="B116" i="38"/>
  <c r="B117" i="38"/>
  <c r="B118" i="38"/>
  <c r="B119" i="38"/>
  <c r="B120" i="38"/>
  <c r="B121" i="38"/>
  <c r="B122" i="38"/>
  <c r="B123" i="38"/>
  <c r="B124" i="38"/>
  <c r="B125" i="38"/>
  <c r="B126" i="38"/>
  <c r="B127" i="38"/>
  <c r="B128" i="38"/>
  <c r="B129" i="38"/>
  <c r="B130" i="38"/>
  <c r="B131" i="38"/>
  <c r="B132" i="38"/>
  <c r="B133" i="38"/>
  <c r="B134" i="38"/>
  <c r="B135" i="38"/>
  <c r="B136" i="38"/>
  <c r="B137" i="38"/>
  <c r="B138" i="38"/>
  <c r="B139" i="38"/>
  <c r="B140" i="38"/>
  <c r="B141" i="38"/>
  <c r="B142" i="38"/>
  <c r="B143" i="38"/>
  <c r="B144" i="38"/>
  <c r="B145" i="38"/>
  <c r="B146" i="38"/>
  <c r="B147" i="38"/>
  <c r="B148" i="38"/>
  <c r="B149" i="38"/>
  <c r="B150" i="38"/>
  <c r="B151" i="38"/>
  <c r="B152" i="38"/>
  <c r="B153" i="38"/>
  <c r="B154" i="38"/>
  <c r="B155" i="38"/>
  <c r="B156" i="38"/>
  <c r="B157" i="38"/>
  <c r="B158" i="38"/>
  <c r="B159" i="38"/>
  <c r="B160" i="38"/>
  <c r="B161" i="38"/>
  <c r="B162" i="38"/>
  <c r="B163" i="38"/>
  <c r="B164" i="38"/>
  <c r="B165" i="38"/>
  <c r="B166" i="38"/>
  <c r="B167" i="38"/>
  <c r="B168" i="38"/>
  <c r="B169" i="38"/>
  <c r="B170" i="38"/>
  <c r="B171" i="38"/>
  <c r="B172" i="38"/>
  <c r="B173" i="38"/>
  <c r="B174" i="38"/>
  <c r="B175" i="38"/>
  <c r="B176" i="38"/>
  <c r="B177" i="38"/>
  <c r="B178" i="38"/>
  <c r="B179" i="38"/>
  <c r="B180" i="38"/>
  <c r="B181" i="38"/>
  <c r="B182" i="38"/>
  <c r="B183" i="38"/>
  <c r="B184" i="38"/>
  <c r="B185" i="38"/>
  <c r="B186" i="38"/>
  <c r="B187" i="38"/>
  <c r="B188" i="38"/>
  <c r="B189" i="38"/>
  <c r="B190" i="38"/>
  <c r="B191" i="38"/>
  <c r="B192" i="38"/>
  <c r="B193" i="38"/>
  <c r="B194" i="38"/>
  <c r="B195" i="38"/>
  <c r="B196" i="38"/>
  <c r="B197" i="38"/>
  <c r="B198" i="38"/>
  <c r="B199" i="38"/>
  <c r="B200" i="38"/>
  <c r="B201" i="38"/>
  <c r="B202" i="38"/>
  <c r="B203" i="38"/>
  <c r="B204" i="38"/>
  <c r="B205" i="38"/>
  <c r="B206" i="38"/>
  <c r="B207" i="38"/>
  <c r="B208" i="38"/>
  <c r="B209" i="38"/>
  <c r="B210" i="38"/>
  <c r="B211" i="38"/>
  <c r="B212" i="38"/>
  <c r="B213" i="38"/>
  <c r="B214" i="38"/>
  <c r="B215" i="38"/>
  <c r="B216" i="38"/>
  <c r="B217" i="38"/>
  <c r="B218" i="38"/>
  <c r="B219" i="38"/>
  <c r="B220" i="38"/>
  <c r="B221" i="38"/>
  <c r="B222" i="38"/>
  <c r="B223" i="38"/>
  <c r="B224" i="38"/>
  <c r="B225" i="38"/>
  <c r="B226" i="38"/>
  <c r="B227" i="38"/>
  <c r="B228" i="38"/>
  <c r="B229" i="38"/>
  <c r="B230" i="38"/>
  <c r="B231" i="38"/>
  <c r="B232" i="38"/>
  <c r="B233" i="38"/>
  <c r="B234" i="38"/>
  <c r="B235" i="38"/>
  <c r="B236" i="38"/>
  <c r="B237" i="38"/>
  <c r="B238" i="38"/>
  <c r="B239" i="38"/>
  <c r="B240" i="38"/>
  <c r="B241" i="38"/>
  <c r="B242" i="38"/>
  <c r="B243" i="38"/>
  <c r="B244" i="38"/>
  <c r="B245" i="38"/>
  <c r="B246" i="38"/>
  <c r="B247" i="38"/>
  <c r="B248" i="38"/>
  <c r="B249" i="38"/>
  <c r="B250" i="38"/>
  <c r="B251" i="38"/>
  <c r="B252" i="38"/>
  <c r="B253" i="38"/>
  <c r="B254" i="38"/>
  <c r="B255" i="38"/>
  <c r="B256" i="38"/>
  <c r="B257" i="38"/>
  <c r="B258" i="38"/>
  <c r="B259" i="38"/>
  <c r="B260" i="38"/>
  <c r="B261" i="38"/>
  <c r="B262" i="38"/>
  <c r="B263" i="38"/>
  <c r="B264" i="38"/>
  <c r="B265" i="38"/>
  <c r="B266" i="38"/>
  <c r="B267" i="38"/>
  <c r="B268" i="38"/>
  <c r="B269" i="38"/>
  <c r="B270" i="38"/>
  <c r="B271" i="38"/>
  <c r="B272" i="38"/>
  <c r="B273" i="38"/>
  <c r="B274" i="38"/>
  <c r="B275" i="38"/>
  <c r="B276" i="38"/>
  <c r="B277" i="38"/>
  <c r="B278" i="38"/>
  <c r="B279" i="38"/>
  <c r="B280" i="38"/>
  <c r="B281" i="38"/>
  <c r="B282" i="38"/>
  <c r="B283" i="38"/>
  <c r="B284" i="38"/>
  <c r="B285" i="38"/>
  <c r="B286" i="38"/>
  <c r="B287" i="38"/>
  <c r="B288" i="38"/>
  <c r="B289" i="38"/>
  <c r="B290" i="38"/>
  <c r="B291" i="38"/>
  <c r="B292" i="38"/>
  <c r="B293" i="38"/>
  <c r="B294" i="38"/>
  <c r="B295" i="38"/>
  <c r="B296" i="38"/>
  <c r="B297" i="38"/>
  <c r="B298" i="38"/>
  <c r="B299" i="38"/>
  <c r="B300" i="38"/>
  <c r="B7" i="38"/>
  <c r="D321" i="11"/>
  <c r="E321" i="11"/>
  <c r="F321" i="11"/>
  <c r="G321" i="11"/>
  <c r="H321" i="11"/>
  <c r="I321" i="11"/>
  <c r="C321" i="11"/>
  <c r="D320" i="11"/>
  <c r="E320" i="11"/>
  <c r="F320" i="11"/>
  <c r="G320" i="11"/>
  <c r="H320" i="11"/>
  <c r="I320" i="11"/>
  <c r="C320" i="11"/>
  <c r="D319" i="11"/>
  <c r="E319" i="11"/>
  <c r="F319" i="11"/>
  <c r="G319" i="11"/>
  <c r="H319" i="11"/>
  <c r="I319" i="11"/>
  <c r="C319" i="11"/>
  <c r="D318" i="11"/>
  <c r="E318" i="11"/>
  <c r="F318" i="11"/>
  <c r="G318" i="11"/>
  <c r="H318" i="11"/>
  <c r="I318" i="11"/>
  <c r="C318" i="11"/>
  <c r="AI6" i="40" l="1"/>
  <c r="AJ6" i="40"/>
  <c r="AK6" i="40"/>
  <c r="AL6" i="40"/>
  <c r="AM6" i="40"/>
  <c r="AN6" i="40"/>
  <c r="AO6" i="40"/>
  <c r="AP6" i="40"/>
  <c r="AI7" i="40"/>
  <c r="AJ7" i="40"/>
  <c r="AK7" i="40"/>
  <c r="AL7" i="40"/>
  <c r="AM7" i="40"/>
  <c r="AN7" i="40"/>
  <c r="AO7" i="40"/>
  <c r="AP7" i="40"/>
  <c r="AI8" i="40"/>
  <c r="AJ8" i="40"/>
  <c r="AK8" i="40"/>
  <c r="AL8" i="40"/>
  <c r="AM8" i="40"/>
  <c r="AN8" i="40"/>
  <c r="AO8" i="40"/>
  <c r="AP8" i="40"/>
  <c r="AI9" i="40"/>
  <c r="AJ9" i="40"/>
  <c r="AK9" i="40"/>
  <c r="AL9" i="40"/>
  <c r="AM9" i="40"/>
  <c r="AN9" i="40"/>
  <c r="AO9" i="40"/>
  <c r="AP9" i="40"/>
  <c r="AI10" i="40"/>
  <c r="AJ10" i="40"/>
  <c r="AK10" i="40"/>
  <c r="AL10" i="40"/>
  <c r="AM10" i="40"/>
  <c r="AN10" i="40"/>
  <c r="AO10" i="40"/>
  <c r="AP10" i="40"/>
  <c r="AI11" i="40"/>
  <c r="AJ11" i="40"/>
  <c r="AK11" i="40"/>
  <c r="AL11" i="40"/>
  <c r="AM11" i="40"/>
  <c r="AN11" i="40"/>
  <c r="AO11" i="40"/>
  <c r="AP11" i="40"/>
  <c r="AI12" i="40"/>
  <c r="AJ12" i="40"/>
  <c r="AK12" i="40"/>
  <c r="AL12" i="40"/>
  <c r="AM12" i="40"/>
  <c r="AN12" i="40"/>
  <c r="AO12" i="40"/>
  <c r="AP12" i="40"/>
  <c r="AI13" i="40"/>
  <c r="AJ13" i="40"/>
  <c r="AK13" i="40"/>
  <c r="AL13" i="40"/>
  <c r="AM13" i="40"/>
  <c r="AN13" i="40"/>
  <c r="AO13" i="40"/>
  <c r="AP13" i="40"/>
  <c r="AI14" i="40"/>
  <c r="AJ14" i="40"/>
  <c r="AK14" i="40"/>
  <c r="AL14" i="40"/>
  <c r="AM14" i="40"/>
  <c r="AN14" i="40"/>
  <c r="AO14" i="40"/>
  <c r="AP14" i="40"/>
  <c r="AI15" i="40"/>
  <c r="AJ15" i="40"/>
  <c r="AK15" i="40"/>
  <c r="AL15" i="40"/>
  <c r="AM15" i="40"/>
  <c r="AN15" i="40"/>
  <c r="AO15" i="40"/>
  <c r="AP15" i="40"/>
  <c r="AI16" i="40"/>
  <c r="AJ16" i="40"/>
  <c r="AK16" i="40"/>
  <c r="AL16" i="40"/>
  <c r="AM16" i="40"/>
  <c r="AN16" i="40"/>
  <c r="AO16" i="40"/>
  <c r="AP16" i="40"/>
  <c r="AI17" i="40"/>
  <c r="AJ17" i="40"/>
  <c r="AK17" i="40"/>
  <c r="AL17" i="40"/>
  <c r="AM17" i="40"/>
  <c r="AN17" i="40"/>
  <c r="AO17" i="40"/>
  <c r="AP17" i="40"/>
  <c r="AI18" i="40"/>
  <c r="AJ18" i="40"/>
  <c r="AK18" i="40"/>
  <c r="AL18" i="40"/>
  <c r="AM18" i="40"/>
  <c r="AN18" i="40"/>
  <c r="AO18" i="40"/>
  <c r="AP18" i="40"/>
  <c r="AI19" i="40"/>
  <c r="AJ19" i="40"/>
  <c r="AK19" i="40"/>
  <c r="AL19" i="40"/>
  <c r="AM19" i="40"/>
  <c r="AN19" i="40"/>
  <c r="AO19" i="40"/>
  <c r="AP19" i="40"/>
  <c r="AI20" i="40"/>
  <c r="AJ20" i="40"/>
  <c r="AK20" i="40"/>
  <c r="AL20" i="40"/>
  <c r="AM20" i="40"/>
  <c r="AN20" i="40"/>
  <c r="AO20" i="40"/>
  <c r="AP20" i="40"/>
  <c r="AI21" i="40"/>
  <c r="AJ21" i="40"/>
  <c r="AK21" i="40"/>
  <c r="AL21" i="40"/>
  <c r="AM21" i="40"/>
  <c r="AN21" i="40"/>
  <c r="AO21" i="40"/>
  <c r="AP21" i="40"/>
  <c r="AI22" i="40"/>
  <c r="AJ22" i="40"/>
  <c r="AK22" i="40"/>
  <c r="AL22" i="40"/>
  <c r="AM22" i="40"/>
  <c r="AN22" i="40"/>
  <c r="AO22" i="40"/>
  <c r="AP22" i="40"/>
  <c r="AI23" i="40"/>
  <c r="AJ23" i="40"/>
  <c r="AK23" i="40"/>
  <c r="AL23" i="40"/>
  <c r="AM23" i="40"/>
  <c r="AN23" i="40"/>
  <c r="AO23" i="40"/>
  <c r="AP23" i="40"/>
  <c r="AI24" i="40"/>
  <c r="AJ24" i="40"/>
  <c r="AK24" i="40"/>
  <c r="AL24" i="40"/>
  <c r="AM24" i="40"/>
  <c r="AN24" i="40"/>
  <c r="AO24" i="40"/>
  <c r="AP24" i="40"/>
  <c r="AI25" i="40"/>
  <c r="AJ25" i="40"/>
  <c r="AK25" i="40"/>
  <c r="AL25" i="40"/>
  <c r="AM25" i="40"/>
  <c r="AN25" i="40"/>
  <c r="AO25" i="40"/>
  <c r="AP25" i="40"/>
  <c r="AI26" i="40"/>
  <c r="AJ26" i="40"/>
  <c r="AK26" i="40"/>
  <c r="AL26" i="40"/>
  <c r="AM26" i="40"/>
  <c r="AN26" i="40"/>
  <c r="AO26" i="40"/>
  <c r="AP26" i="40"/>
  <c r="AI27" i="40"/>
  <c r="AJ27" i="40"/>
  <c r="AK27" i="40"/>
  <c r="AL27" i="40"/>
  <c r="AM27" i="40"/>
  <c r="AN27" i="40"/>
  <c r="AO27" i="40"/>
  <c r="AP27" i="40"/>
  <c r="AI28" i="40"/>
  <c r="AJ28" i="40"/>
  <c r="AK28" i="40"/>
  <c r="AL28" i="40"/>
  <c r="AM28" i="40"/>
  <c r="AN28" i="40"/>
  <c r="AO28" i="40"/>
  <c r="AP28" i="40"/>
  <c r="AI29" i="40"/>
  <c r="AJ29" i="40"/>
  <c r="AK29" i="40"/>
  <c r="AL29" i="40"/>
  <c r="AM29" i="40"/>
  <c r="AN29" i="40"/>
  <c r="AO29" i="40"/>
  <c r="AP29" i="40"/>
  <c r="AI30" i="40"/>
  <c r="AJ30" i="40"/>
  <c r="AK30" i="40"/>
  <c r="AL30" i="40"/>
  <c r="AM30" i="40"/>
  <c r="AN30" i="40"/>
  <c r="AO30" i="40"/>
  <c r="AP30" i="40"/>
  <c r="AI31" i="40"/>
  <c r="AJ31" i="40"/>
  <c r="AK31" i="40"/>
  <c r="AL31" i="40"/>
  <c r="AM31" i="40"/>
  <c r="AN31" i="40"/>
  <c r="AO31" i="40"/>
  <c r="AP31" i="40"/>
  <c r="AI32" i="40"/>
  <c r="AJ32" i="40"/>
  <c r="AK32" i="40"/>
  <c r="AL32" i="40"/>
  <c r="AM32" i="40"/>
  <c r="AN32" i="40"/>
  <c r="AO32" i="40"/>
  <c r="AP32" i="40"/>
  <c r="AI33" i="40"/>
  <c r="AJ33" i="40"/>
  <c r="AK33" i="40"/>
  <c r="AL33" i="40"/>
  <c r="AM33" i="40"/>
  <c r="AN33" i="40"/>
  <c r="AO33" i="40"/>
  <c r="AP33" i="40"/>
  <c r="AI34" i="40"/>
  <c r="AJ34" i="40"/>
  <c r="AK34" i="40"/>
  <c r="AL34" i="40"/>
  <c r="AM34" i="40"/>
  <c r="AN34" i="40"/>
  <c r="AO34" i="40"/>
  <c r="AP34" i="40"/>
  <c r="AI35" i="40"/>
  <c r="AJ35" i="40"/>
  <c r="AK35" i="40"/>
  <c r="AL35" i="40"/>
  <c r="AM35" i="40"/>
  <c r="AN35" i="40"/>
  <c r="AO35" i="40"/>
  <c r="AP35" i="40"/>
  <c r="AI36" i="40"/>
  <c r="AJ36" i="40"/>
  <c r="AK36" i="40"/>
  <c r="AL36" i="40"/>
  <c r="AM36" i="40"/>
  <c r="AN36" i="40"/>
  <c r="AO36" i="40"/>
  <c r="AP36" i="40"/>
  <c r="AI37" i="40"/>
  <c r="AJ37" i="40"/>
  <c r="AK37" i="40"/>
  <c r="AL37" i="40"/>
  <c r="AM37" i="40"/>
  <c r="AN37" i="40"/>
  <c r="AO37" i="40"/>
  <c r="AP37" i="40"/>
  <c r="AI38" i="40"/>
  <c r="AJ38" i="40"/>
  <c r="AK38" i="40"/>
  <c r="AL38" i="40"/>
  <c r="AM38" i="40"/>
  <c r="AN38" i="40"/>
  <c r="AO38" i="40"/>
  <c r="AP38" i="40"/>
  <c r="AI39" i="40"/>
  <c r="AJ39" i="40"/>
  <c r="AK39" i="40"/>
  <c r="AL39" i="40"/>
  <c r="AM39" i="40"/>
  <c r="AN39" i="40"/>
  <c r="AO39" i="40"/>
  <c r="AP39" i="40"/>
  <c r="AI40" i="40"/>
  <c r="AJ40" i="40"/>
  <c r="AK40" i="40"/>
  <c r="AL40" i="40"/>
  <c r="AM40" i="40"/>
  <c r="AN40" i="40"/>
  <c r="AO40" i="40"/>
  <c r="AP40" i="40"/>
  <c r="AI41" i="40"/>
  <c r="AJ41" i="40"/>
  <c r="AK41" i="40"/>
  <c r="AL41" i="40"/>
  <c r="AM41" i="40"/>
  <c r="AN41" i="40"/>
  <c r="AO41" i="40"/>
  <c r="AP41" i="40"/>
  <c r="AI42" i="40"/>
  <c r="AJ42" i="40"/>
  <c r="AK42" i="40"/>
  <c r="AL42" i="40"/>
  <c r="AM42" i="40"/>
  <c r="AN42" i="40"/>
  <c r="AO42" i="40"/>
  <c r="AP42" i="40"/>
  <c r="AI43" i="40"/>
  <c r="AJ43" i="40"/>
  <c r="AK43" i="40"/>
  <c r="AL43" i="40"/>
  <c r="AM43" i="40"/>
  <c r="AN43" i="40"/>
  <c r="AO43" i="40"/>
  <c r="AP43" i="40"/>
  <c r="AI44" i="40"/>
  <c r="AJ44" i="40"/>
  <c r="AK44" i="40"/>
  <c r="AL44" i="40"/>
  <c r="AM44" i="40"/>
  <c r="AN44" i="40"/>
  <c r="AO44" i="40"/>
  <c r="AP44" i="40"/>
  <c r="AI45" i="40"/>
  <c r="AJ45" i="40"/>
  <c r="AK45" i="40"/>
  <c r="AL45" i="40"/>
  <c r="AM45" i="40"/>
  <c r="AN45" i="40"/>
  <c r="AO45" i="40"/>
  <c r="AP45" i="40"/>
  <c r="AI46" i="40"/>
  <c r="AJ46" i="40"/>
  <c r="AK46" i="40"/>
  <c r="AL46" i="40"/>
  <c r="AM46" i="40"/>
  <c r="AN46" i="40"/>
  <c r="AO46" i="40"/>
  <c r="AP46" i="40"/>
  <c r="AI47" i="40"/>
  <c r="AJ47" i="40"/>
  <c r="AK47" i="40"/>
  <c r="AL47" i="40"/>
  <c r="AM47" i="40"/>
  <c r="AN47" i="40"/>
  <c r="AO47" i="40"/>
  <c r="AP47" i="40"/>
  <c r="AI48" i="40"/>
  <c r="AJ48" i="40"/>
  <c r="AK48" i="40"/>
  <c r="AL48" i="40"/>
  <c r="AM48" i="40"/>
  <c r="AN48" i="40"/>
  <c r="AO48" i="40"/>
  <c r="AP48" i="40"/>
  <c r="AI49" i="40"/>
  <c r="AJ49" i="40"/>
  <c r="AK49" i="40"/>
  <c r="AL49" i="40"/>
  <c r="AM49" i="40"/>
  <c r="AN49" i="40"/>
  <c r="AO49" i="40"/>
  <c r="AP49" i="40"/>
  <c r="AI50" i="40"/>
  <c r="AJ50" i="40"/>
  <c r="AK50" i="40"/>
  <c r="AL50" i="40"/>
  <c r="AM50" i="40"/>
  <c r="AN50" i="40"/>
  <c r="AO50" i="40"/>
  <c r="AP50" i="40"/>
  <c r="AI51" i="40"/>
  <c r="AJ51" i="40"/>
  <c r="AK51" i="40"/>
  <c r="AL51" i="40"/>
  <c r="AM51" i="40"/>
  <c r="AN51" i="40"/>
  <c r="AO51" i="40"/>
  <c r="AP51" i="40"/>
  <c r="AI52" i="40"/>
  <c r="AJ52" i="40"/>
  <c r="AK52" i="40"/>
  <c r="AL52" i="40"/>
  <c r="AM52" i="40"/>
  <c r="AN52" i="40"/>
  <c r="AO52" i="40"/>
  <c r="AP52" i="40"/>
  <c r="AI53" i="40"/>
  <c r="AJ53" i="40"/>
  <c r="AK53" i="40"/>
  <c r="AL53" i="40"/>
  <c r="AM53" i="40"/>
  <c r="AN53" i="40"/>
  <c r="AO53" i="40"/>
  <c r="AP53" i="40"/>
  <c r="AI54" i="40"/>
  <c r="AJ54" i="40"/>
  <c r="AK54" i="40"/>
  <c r="AL54" i="40"/>
  <c r="AM54" i="40"/>
  <c r="AN54" i="40"/>
  <c r="AO54" i="40"/>
  <c r="AP54" i="40"/>
  <c r="AI55" i="40"/>
  <c r="AJ55" i="40"/>
  <c r="AK55" i="40"/>
  <c r="AL55" i="40"/>
  <c r="AM55" i="40"/>
  <c r="AN55" i="40"/>
  <c r="AO55" i="40"/>
  <c r="AP55" i="40"/>
  <c r="AI56" i="40"/>
  <c r="AJ56" i="40"/>
  <c r="AK56" i="40"/>
  <c r="AL56" i="40"/>
  <c r="AM56" i="40"/>
  <c r="AN56" i="40"/>
  <c r="AO56" i="40"/>
  <c r="AP56" i="40"/>
  <c r="AI57" i="40"/>
  <c r="AJ57" i="40"/>
  <c r="AK57" i="40"/>
  <c r="AL57" i="40"/>
  <c r="AM57" i="40"/>
  <c r="AN57" i="40"/>
  <c r="AO57" i="40"/>
  <c r="AP57" i="40"/>
  <c r="AI58" i="40"/>
  <c r="AJ58" i="40"/>
  <c r="AK58" i="40"/>
  <c r="AL58" i="40"/>
  <c r="AM58" i="40"/>
  <c r="AN58" i="40"/>
  <c r="AO58" i="40"/>
  <c r="AP58" i="40"/>
  <c r="AI59" i="40"/>
  <c r="AJ59" i="40"/>
  <c r="AK59" i="40"/>
  <c r="AL59" i="40"/>
  <c r="AM59" i="40"/>
  <c r="AN59" i="40"/>
  <c r="AO59" i="40"/>
  <c r="AP59" i="40"/>
  <c r="AI60" i="40"/>
  <c r="AJ60" i="40"/>
  <c r="AK60" i="40"/>
  <c r="AL60" i="40"/>
  <c r="AM60" i="40"/>
  <c r="AN60" i="40"/>
  <c r="AO60" i="40"/>
  <c r="AP60" i="40"/>
  <c r="AI61" i="40"/>
  <c r="AJ61" i="40"/>
  <c r="AK61" i="40"/>
  <c r="AL61" i="40"/>
  <c r="AM61" i="40"/>
  <c r="AN61" i="40"/>
  <c r="AO61" i="40"/>
  <c r="AP61" i="40"/>
  <c r="AI62" i="40"/>
  <c r="AJ62" i="40"/>
  <c r="AK62" i="40"/>
  <c r="AL62" i="40"/>
  <c r="AM62" i="40"/>
  <c r="AN62" i="40"/>
  <c r="AO62" i="40"/>
  <c r="AP62" i="40"/>
  <c r="AI63" i="40"/>
  <c r="AJ63" i="40"/>
  <c r="AK63" i="40"/>
  <c r="AL63" i="40"/>
  <c r="AM63" i="40"/>
  <c r="AN63" i="40"/>
  <c r="AO63" i="40"/>
  <c r="AP63" i="40"/>
  <c r="AI64" i="40"/>
  <c r="AJ64" i="40"/>
  <c r="AK64" i="40"/>
  <c r="AL64" i="40"/>
  <c r="AM64" i="40"/>
  <c r="AN64" i="40"/>
  <c r="AO64" i="40"/>
  <c r="AP64" i="40"/>
  <c r="AI65" i="40"/>
  <c r="AJ65" i="40"/>
  <c r="AK65" i="40"/>
  <c r="AL65" i="40"/>
  <c r="AM65" i="40"/>
  <c r="AN65" i="40"/>
  <c r="AO65" i="40"/>
  <c r="AP65" i="40"/>
  <c r="AI66" i="40"/>
  <c r="AJ66" i="40"/>
  <c r="AK66" i="40"/>
  <c r="AL66" i="40"/>
  <c r="AM66" i="40" s="1"/>
  <c r="AN66" i="40" s="1"/>
  <c r="AO66" i="40" s="1"/>
  <c r="AP66" i="40" s="1"/>
  <c r="AI67" i="40"/>
  <c r="AJ67" i="40"/>
  <c r="AK67" i="40"/>
  <c r="AL67" i="40"/>
  <c r="AM67" i="40"/>
  <c r="AN67" i="40"/>
  <c r="AO67" i="40"/>
  <c r="AP67" i="40"/>
  <c r="AI68" i="40"/>
  <c r="AJ68" i="40"/>
  <c r="AK68" i="40"/>
  <c r="AL68" i="40"/>
  <c r="AM68" i="40"/>
  <c r="AN68" i="40"/>
  <c r="AO68" i="40"/>
  <c r="AP68" i="40"/>
  <c r="AI69" i="40"/>
  <c r="AJ69" i="40"/>
  <c r="AK69" i="40"/>
  <c r="AL69" i="40"/>
  <c r="AM69" i="40"/>
  <c r="AN69" i="40"/>
  <c r="AO69" i="40"/>
  <c r="AP69" i="40"/>
  <c r="AI70" i="40"/>
  <c r="AJ70" i="40"/>
  <c r="AK70" i="40"/>
  <c r="AL70" i="40"/>
  <c r="AM70" i="40"/>
  <c r="AN70" i="40"/>
  <c r="AO70" i="40"/>
  <c r="AP70" i="40"/>
  <c r="AI71" i="40"/>
  <c r="AJ71" i="40"/>
  <c r="AK71" i="40"/>
  <c r="AL71" i="40"/>
  <c r="AM71" i="40"/>
  <c r="AN71" i="40"/>
  <c r="AO71" i="40"/>
  <c r="AP71" i="40"/>
  <c r="AI72" i="40"/>
  <c r="AJ72" i="40"/>
  <c r="AK72" i="40"/>
  <c r="AL72" i="40"/>
  <c r="AM72" i="40"/>
  <c r="AN72" i="40"/>
  <c r="AO72" i="40"/>
  <c r="AP72" i="40"/>
  <c r="AI73" i="40"/>
  <c r="AJ73" i="40"/>
  <c r="AK73" i="40"/>
  <c r="AL73" i="40"/>
  <c r="AM73" i="40"/>
  <c r="AN73" i="40"/>
  <c r="AO73" i="40"/>
  <c r="AP73" i="40"/>
  <c r="AI74" i="40"/>
  <c r="AJ74" i="40"/>
  <c r="AK74" i="40"/>
  <c r="AL74" i="40"/>
  <c r="AM74" i="40"/>
  <c r="AN74" i="40"/>
  <c r="AO74" i="40"/>
  <c r="AP74" i="40"/>
  <c r="AI75" i="40"/>
  <c r="AJ75" i="40"/>
  <c r="AK75" i="40"/>
  <c r="AL75" i="40"/>
  <c r="AM75" i="40"/>
  <c r="AN75" i="40"/>
  <c r="AO75" i="40"/>
  <c r="AP75" i="40"/>
  <c r="AI76" i="40"/>
  <c r="AJ76" i="40"/>
  <c r="AK76" i="40"/>
  <c r="AL76" i="40"/>
  <c r="AM76" i="40" s="1"/>
  <c r="AN76" i="40" s="1"/>
  <c r="AO76" i="40" s="1"/>
  <c r="AP76" i="40" s="1"/>
  <c r="AI77" i="40"/>
  <c r="AJ77" i="40"/>
  <c r="AK77" i="40"/>
  <c r="AL77" i="40"/>
  <c r="AM77" i="40"/>
  <c r="AN77" i="40"/>
  <c r="AO77" i="40"/>
  <c r="AP77" i="40"/>
  <c r="AI78" i="40"/>
  <c r="AJ78" i="40"/>
  <c r="AK78" i="40"/>
  <c r="AL78" i="40"/>
  <c r="AM78" i="40"/>
  <c r="AN78" i="40"/>
  <c r="AO78" i="40"/>
  <c r="AP78" i="40"/>
  <c r="AI79" i="40"/>
  <c r="AJ79" i="40"/>
  <c r="AK79" i="40"/>
  <c r="AL79" i="40"/>
  <c r="AM79" i="40"/>
  <c r="AN79" i="40"/>
  <c r="AO79" i="40"/>
  <c r="AP79" i="40"/>
  <c r="AI80" i="40"/>
  <c r="AJ80" i="40"/>
  <c r="AK80" i="40"/>
  <c r="AL80" i="40"/>
  <c r="AM80" i="40"/>
  <c r="AN80" i="40"/>
  <c r="AO80" i="40"/>
  <c r="AP80" i="40"/>
  <c r="AI81" i="40"/>
  <c r="AJ81" i="40"/>
  <c r="AK81" i="40"/>
  <c r="AL81" i="40"/>
  <c r="AM81" i="40"/>
  <c r="AN81" i="40"/>
  <c r="AO81" i="40"/>
  <c r="AP81" i="40"/>
  <c r="AI82" i="40"/>
  <c r="AJ82" i="40"/>
  <c r="AK82" i="40"/>
  <c r="AL82" i="40"/>
  <c r="AM82" i="40"/>
  <c r="AN82" i="40"/>
  <c r="AO82" i="40"/>
  <c r="AP82" i="40"/>
  <c r="AI83" i="40"/>
  <c r="AJ83" i="40"/>
  <c r="AK83" i="40"/>
  <c r="AL83" i="40"/>
  <c r="AM83" i="40"/>
  <c r="AN83" i="40"/>
  <c r="AO83" i="40"/>
  <c r="AP83" i="40"/>
  <c r="AI84" i="40"/>
  <c r="AJ84" i="40"/>
  <c r="AK84" i="40"/>
  <c r="AL84" i="40"/>
  <c r="AM84" i="40"/>
  <c r="AN84" i="40"/>
  <c r="AO84" i="40"/>
  <c r="AP84" i="40"/>
  <c r="AI85" i="40"/>
  <c r="AJ85" i="40"/>
  <c r="AK85" i="40"/>
  <c r="AL85" i="40"/>
  <c r="AM85" i="40"/>
  <c r="AN85" i="40"/>
  <c r="AO85" i="40"/>
  <c r="AP85" i="40"/>
  <c r="AI86" i="40"/>
  <c r="AJ86" i="40"/>
  <c r="AK86" i="40"/>
  <c r="AL86" i="40"/>
  <c r="AM86" i="40"/>
  <c r="AN86" i="40"/>
  <c r="AO86" i="40"/>
  <c r="AP86" i="40"/>
  <c r="AI87" i="40"/>
  <c r="AJ87" i="40"/>
  <c r="AK87" i="40"/>
  <c r="AL87" i="40"/>
  <c r="AM87" i="40"/>
  <c r="AN87" i="40"/>
  <c r="AO87" i="40"/>
  <c r="AP87" i="40"/>
  <c r="AI88" i="40"/>
  <c r="AJ88" i="40"/>
  <c r="AK88" i="40"/>
  <c r="AL88" i="40"/>
  <c r="AM88" i="40"/>
  <c r="AN88" i="40"/>
  <c r="AO88" i="40"/>
  <c r="AP88" i="40"/>
  <c r="AI89" i="40"/>
  <c r="AJ89" i="40"/>
  <c r="AK89" i="40"/>
  <c r="AL89" i="40"/>
  <c r="AM89" i="40"/>
  <c r="AN89" i="40"/>
  <c r="AO89" i="40"/>
  <c r="AP89" i="40"/>
  <c r="AI90" i="40"/>
  <c r="AJ90" i="40"/>
  <c r="AK90" i="40"/>
  <c r="AL90" i="40"/>
  <c r="AM90" i="40" s="1"/>
  <c r="AN90" i="40" s="1"/>
  <c r="AO90" i="40" s="1"/>
  <c r="AP90" i="40" s="1"/>
  <c r="AI91" i="40"/>
  <c r="AJ91" i="40"/>
  <c r="AK91" i="40"/>
  <c r="AL91" i="40"/>
  <c r="AM91" i="40"/>
  <c r="AN91" i="40"/>
  <c r="AO91" i="40"/>
  <c r="AP91" i="40"/>
  <c r="AI92" i="40"/>
  <c r="AJ92" i="40"/>
  <c r="AK92" i="40"/>
  <c r="AL92" i="40"/>
  <c r="AM92" i="40"/>
  <c r="AN92" i="40"/>
  <c r="AO92" i="40"/>
  <c r="AP92" i="40"/>
  <c r="AI93" i="40"/>
  <c r="AJ93" i="40"/>
  <c r="AK93" i="40"/>
  <c r="AL93" i="40"/>
  <c r="AM93" i="40"/>
  <c r="AN93" i="40"/>
  <c r="AO93" i="40"/>
  <c r="AP93" i="40"/>
  <c r="AI94" i="40"/>
  <c r="AJ94" i="40"/>
  <c r="AK94" i="40"/>
  <c r="AL94" i="40"/>
  <c r="AM94" i="40"/>
  <c r="AN94" i="40"/>
  <c r="AO94" i="40"/>
  <c r="AP94" i="40"/>
  <c r="AI95" i="40"/>
  <c r="AJ95" i="40"/>
  <c r="AK95" i="40"/>
  <c r="AL95" i="40"/>
  <c r="AM95" i="40"/>
  <c r="AN95" i="40"/>
  <c r="AO95" i="40"/>
  <c r="AP95" i="40"/>
  <c r="AI96" i="40"/>
  <c r="AJ96" i="40"/>
  <c r="AK96" i="40"/>
  <c r="AL96" i="40"/>
  <c r="AM96" i="40"/>
  <c r="AN96" i="40"/>
  <c r="AO96" i="40"/>
  <c r="AP96" i="40"/>
  <c r="AI97" i="40"/>
  <c r="AJ97" i="40"/>
  <c r="AK97" i="40"/>
  <c r="AL97" i="40"/>
  <c r="AM97" i="40"/>
  <c r="AN97" i="40"/>
  <c r="AO97" i="40"/>
  <c r="AP97" i="40"/>
  <c r="AI98" i="40"/>
  <c r="AJ98" i="40"/>
  <c r="AK98" i="40"/>
  <c r="AL98" i="40"/>
  <c r="AM98" i="40"/>
  <c r="AN98" i="40"/>
  <c r="AO98" i="40"/>
  <c r="AP98" i="40"/>
  <c r="AI99" i="40"/>
  <c r="AJ99" i="40"/>
  <c r="AK99" i="40"/>
  <c r="AL99" i="40"/>
  <c r="AM99" i="40"/>
  <c r="AN99" i="40"/>
  <c r="AO99" i="40"/>
  <c r="AP99" i="40"/>
  <c r="AI100" i="40"/>
  <c r="AJ100" i="40"/>
  <c r="AK100" i="40"/>
  <c r="AL100" i="40"/>
  <c r="AM100" i="40"/>
  <c r="AN100" i="40"/>
  <c r="AO100" i="40"/>
  <c r="AP100" i="40"/>
  <c r="AI101" i="40"/>
  <c r="AJ101" i="40"/>
  <c r="AK101" i="40"/>
  <c r="AL101" i="40"/>
  <c r="AM101" i="40"/>
  <c r="AN101" i="40"/>
  <c r="AO101" i="40"/>
  <c r="AP101" i="40"/>
  <c r="AI102" i="40"/>
  <c r="AJ102" i="40"/>
  <c r="AK102" i="40"/>
  <c r="AL102" i="40"/>
  <c r="AM102" i="40"/>
  <c r="AN102" i="40"/>
  <c r="AO102" i="40"/>
  <c r="AP102" i="40"/>
  <c r="AI103" i="40"/>
  <c r="AJ103" i="40"/>
  <c r="AK103" i="40"/>
  <c r="AL103" i="40"/>
  <c r="AM103" i="40"/>
  <c r="AN103" i="40"/>
  <c r="AO103" i="40"/>
  <c r="AP103" i="40"/>
  <c r="AI104" i="40"/>
  <c r="AJ104" i="40"/>
  <c r="AK104" i="40"/>
  <c r="AL104" i="40"/>
  <c r="AM104" i="40"/>
  <c r="AN104" i="40"/>
  <c r="AO104" i="40"/>
  <c r="AP104" i="40"/>
  <c r="AI105" i="40"/>
  <c r="AJ105" i="40"/>
  <c r="AK105" i="40"/>
  <c r="AL105" i="40"/>
  <c r="AM105" i="40"/>
  <c r="AN105" i="40"/>
  <c r="AO105" i="40"/>
  <c r="AP105" i="40"/>
  <c r="AI106" i="40"/>
  <c r="AJ106" i="40"/>
  <c r="AK106" i="40"/>
  <c r="AL106" i="40"/>
  <c r="AM106" i="40"/>
  <c r="AN106" i="40"/>
  <c r="AO106" i="40"/>
  <c r="AP106" i="40"/>
  <c r="AI107" i="40"/>
  <c r="AJ107" i="40"/>
  <c r="AK107" i="40"/>
  <c r="AL107" i="40"/>
  <c r="AM107" i="40"/>
  <c r="AN107" i="40"/>
  <c r="AO107" i="40"/>
  <c r="AP107" i="40"/>
  <c r="AI108" i="40"/>
  <c r="AJ108" i="40"/>
  <c r="AK108" i="40"/>
  <c r="AL108" i="40"/>
  <c r="AM108" i="40"/>
  <c r="AN108" i="40"/>
  <c r="AO108" i="40"/>
  <c r="AP108" i="40"/>
  <c r="AI109" i="40"/>
  <c r="AJ109" i="40"/>
  <c r="AK109" i="40"/>
  <c r="AL109" i="40"/>
  <c r="AM109" i="40"/>
  <c r="AN109" i="40"/>
  <c r="AO109" i="40"/>
  <c r="AP109" i="40"/>
  <c r="AI110" i="40"/>
  <c r="AJ110" i="40"/>
  <c r="AK110" i="40"/>
  <c r="AL110" i="40"/>
  <c r="AM110" i="40"/>
  <c r="AN110" i="40"/>
  <c r="AO110" i="40"/>
  <c r="AP110" i="40"/>
  <c r="AI111" i="40"/>
  <c r="AJ111" i="40"/>
  <c r="AK111" i="40"/>
  <c r="AL111" i="40"/>
  <c r="AM111" i="40"/>
  <c r="AN111" i="40"/>
  <c r="AO111" i="40"/>
  <c r="AP111" i="40"/>
  <c r="AI112" i="40"/>
  <c r="AJ112" i="40"/>
  <c r="AK112" i="40"/>
  <c r="AL112" i="40"/>
  <c r="AM112" i="40"/>
  <c r="AN112" i="40"/>
  <c r="AO112" i="40"/>
  <c r="AP112" i="40"/>
  <c r="AI113" i="40"/>
  <c r="AJ113" i="40"/>
  <c r="AK113" i="40"/>
  <c r="AL113" i="40"/>
  <c r="AM113" i="40"/>
  <c r="AN113" i="40"/>
  <c r="AO113" i="40"/>
  <c r="AP113" i="40"/>
  <c r="AI114" i="40"/>
  <c r="AJ114" i="40"/>
  <c r="AK114" i="40"/>
  <c r="AL114" i="40"/>
  <c r="AM114" i="40"/>
  <c r="AN114" i="40"/>
  <c r="AO114" i="40"/>
  <c r="AP114" i="40"/>
  <c r="AI115" i="40"/>
  <c r="AJ115" i="40"/>
  <c r="AK115" i="40"/>
  <c r="AL115" i="40"/>
  <c r="AM115" i="40"/>
  <c r="AN115" i="40"/>
  <c r="AO115" i="40"/>
  <c r="AP115" i="40"/>
  <c r="AI116" i="40"/>
  <c r="AJ116" i="40"/>
  <c r="AK116" i="40"/>
  <c r="AL116" i="40"/>
  <c r="AM116" i="40"/>
  <c r="AN116" i="40"/>
  <c r="AO116" i="40"/>
  <c r="AP116" i="40"/>
  <c r="AI117" i="40"/>
  <c r="AJ117" i="40"/>
  <c r="AK117" i="40"/>
  <c r="AL117" i="40"/>
  <c r="AM117" i="40"/>
  <c r="AN117" i="40"/>
  <c r="AO117" i="40"/>
  <c r="AP117" i="40"/>
  <c r="AI118" i="40"/>
  <c r="AJ118" i="40"/>
  <c r="AK118" i="40"/>
  <c r="AL118" i="40"/>
  <c r="AM118" i="40"/>
  <c r="AN118" i="40"/>
  <c r="AO118" i="40"/>
  <c r="AP118" i="40"/>
  <c r="AI119" i="40"/>
  <c r="AJ119" i="40"/>
  <c r="AK119" i="40"/>
  <c r="AL119" i="40"/>
  <c r="AM119" i="40"/>
  <c r="AN119" i="40"/>
  <c r="AO119" i="40"/>
  <c r="AP119" i="40"/>
  <c r="AI120" i="40"/>
  <c r="AJ120" i="40"/>
  <c r="AK120" i="40"/>
  <c r="AL120" i="40"/>
  <c r="AM120" i="40"/>
  <c r="AN120" i="40"/>
  <c r="AO120" i="40"/>
  <c r="AP120" i="40"/>
  <c r="AI121" i="40"/>
  <c r="AJ121" i="40"/>
  <c r="AK121" i="40"/>
  <c r="AL121" i="40"/>
  <c r="AM121" i="40"/>
  <c r="AN121" i="40"/>
  <c r="AO121" i="40"/>
  <c r="AP121" i="40"/>
  <c r="AI122" i="40"/>
  <c r="AJ122" i="40"/>
  <c r="AK122" i="40"/>
  <c r="AL122" i="40"/>
  <c r="AM122" i="40"/>
  <c r="AN122" i="40"/>
  <c r="AO122" i="40"/>
  <c r="AP122" i="40"/>
  <c r="AI123" i="40"/>
  <c r="AJ123" i="40"/>
  <c r="AK123" i="40"/>
  <c r="AL123" i="40"/>
  <c r="AM123" i="40"/>
  <c r="AN123" i="40"/>
  <c r="AO123" i="40"/>
  <c r="AP123" i="40"/>
  <c r="AI124" i="40"/>
  <c r="AJ124" i="40"/>
  <c r="AK124" i="40"/>
  <c r="AL124" i="40"/>
  <c r="AM124" i="40"/>
  <c r="AN124" i="40"/>
  <c r="AO124" i="40"/>
  <c r="AP124" i="40"/>
  <c r="AI125" i="40"/>
  <c r="AJ125" i="40"/>
  <c r="AK125" i="40"/>
  <c r="AL125" i="40"/>
  <c r="AM125" i="40"/>
  <c r="AN125" i="40"/>
  <c r="AO125" i="40"/>
  <c r="AP125" i="40"/>
  <c r="AI126" i="40"/>
  <c r="AJ126" i="40"/>
  <c r="AK126" i="40"/>
  <c r="AL126" i="40"/>
  <c r="AM126" i="40"/>
  <c r="AN126" i="40"/>
  <c r="AO126" i="40"/>
  <c r="AP126" i="40"/>
  <c r="AI127" i="40"/>
  <c r="AJ127" i="40"/>
  <c r="AK127" i="40"/>
  <c r="AL127" i="40"/>
  <c r="AM127" i="40"/>
  <c r="AN127" i="40"/>
  <c r="AO127" i="40"/>
  <c r="AP127" i="40"/>
  <c r="AI128" i="40"/>
  <c r="AJ128" i="40"/>
  <c r="AK128" i="40"/>
  <c r="AL128" i="40"/>
  <c r="AM128" i="40"/>
  <c r="AN128" i="40"/>
  <c r="AO128" i="40"/>
  <c r="AP128" i="40"/>
  <c r="AI129" i="40"/>
  <c r="AJ129" i="40"/>
  <c r="AK129" i="40"/>
  <c r="AL129" i="40"/>
  <c r="AM129" i="40"/>
  <c r="AN129" i="40"/>
  <c r="AO129" i="40"/>
  <c r="AP129" i="40"/>
  <c r="AI130" i="40"/>
  <c r="AJ130" i="40"/>
  <c r="AK130" i="40"/>
  <c r="AL130" i="40"/>
  <c r="AM130" i="40"/>
  <c r="AN130" i="40"/>
  <c r="AO130" i="40"/>
  <c r="AP130" i="40"/>
  <c r="AI131" i="40"/>
  <c r="AJ131" i="40"/>
  <c r="AK131" i="40"/>
  <c r="AL131" i="40"/>
  <c r="AM131" i="40"/>
  <c r="AN131" i="40"/>
  <c r="AO131" i="40"/>
  <c r="AP131" i="40"/>
  <c r="AI132" i="40"/>
  <c r="AJ132" i="40"/>
  <c r="AK132" i="40"/>
  <c r="AL132" i="40"/>
  <c r="AM132" i="40"/>
  <c r="AN132" i="40"/>
  <c r="AO132" i="40"/>
  <c r="AP132" i="40"/>
  <c r="AI133" i="40"/>
  <c r="AJ133" i="40"/>
  <c r="AK133" i="40"/>
  <c r="AL133" i="40"/>
  <c r="AM133" i="40"/>
  <c r="AN133" i="40"/>
  <c r="AO133" i="40"/>
  <c r="AP133" i="40"/>
  <c r="AI134" i="40"/>
  <c r="AJ134" i="40"/>
  <c r="AK134" i="40"/>
  <c r="AL134" i="40"/>
  <c r="AM134" i="40"/>
  <c r="AN134" i="40"/>
  <c r="AO134" i="40"/>
  <c r="AP134" i="40"/>
  <c r="AI135" i="40"/>
  <c r="AJ135" i="40"/>
  <c r="AK135" i="40"/>
  <c r="AL135" i="40"/>
  <c r="AM135" i="40"/>
  <c r="AN135" i="40"/>
  <c r="AO135" i="40"/>
  <c r="AP135" i="40"/>
  <c r="AI136" i="40"/>
  <c r="AJ136" i="40"/>
  <c r="AK136" i="40"/>
  <c r="AL136" i="40"/>
  <c r="AM136" i="40"/>
  <c r="AN136" i="40"/>
  <c r="AO136" i="40"/>
  <c r="AP136" i="40"/>
  <c r="AI137" i="40"/>
  <c r="AJ137" i="40"/>
  <c r="AK137" i="40"/>
  <c r="AL137" i="40"/>
  <c r="AM137" i="40"/>
  <c r="AN137" i="40"/>
  <c r="AO137" i="40"/>
  <c r="AP137" i="40"/>
  <c r="AI138" i="40"/>
  <c r="AJ138" i="40"/>
  <c r="AK138" i="40"/>
  <c r="AL138" i="40"/>
  <c r="AM138" i="40"/>
  <c r="AN138" i="40"/>
  <c r="AO138" i="40"/>
  <c r="AP138" i="40"/>
  <c r="AI139" i="40"/>
  <c r="AJ139" i="40"/>
  <c r="AK139" i="40"/>
  <c r="AL139" i="40"/>
  <c r="AM139" i="40"/>
  <c r="AN139" i="40"/>
  <c r="AO139" i="40"/>
  <c r="AP139" i="40"/>
  <c r="AI140" i="40"/>
  <c r="AJ140" i="40"/>
  <c r="AK140" i="40"/>
  <c r="AL140" i="40"/>
  <c r="AM140" i="40"/>
  <c r="AN140" i="40"/>
  <c r="AO140" i="40"/>
  <c r="AP140" i="40"/>
  <c r="AI141" i="40"/>
  <c r="AJ141" i="40"/>
  <c r="AK141" i="40"/>
  <c r="AL141" i="40"/>
  <c r="AM141" i="40" s="1"/>
  <c r="AN141" i="40" s="1"/>
  <c r="AO141" i="40" s="1"/>
  <c r="AP141" i="40" s="1"/>
  <c r="AI142" i="40"/>
  <c r="AJ142" i="40"/>
  <c r="AK142" i="40"/>
  <c r="AL142" i="40"/>
  <c r="AM142" i="40"/>
  <c r="AN142" i="40"/>
  <c r="AO142" i="40"/>
  <c r="AP142" i="40"/>
  <c r="AI143" i="40"/>
  <c r="AJ143" i="40"/>
  <c r="AK143" i="40"/>
  <c r="AL143" i="40"/>
  <c r="AM143" i="40"/>
  <c r="AN143" i="40"/>
  <c r="AO143" i="40"/>
  <c r="AP143" i="40"/>
  <c r="AI144" i="40"/>
  <c r="AJ144" i="40"/>
  <c r="AK144" i="40"/>
  <c r="AL144" i="40"/>
  <c r="AM144" i="40" s="1"/>
  <c r="AN144" i="40" s="1"/>
  <c r="AO144" i="40" s="1"/>
  <c r="AP144" i="40" s="1"/>
  <c r="AI145" i="40"/>
  <c r="AJ145" i="40"/>
  <c r="AK145" i="40"/>
  <c r="AL145" i="40"/>
  <c r="AM145" i="40"/>
  <c r="AN145" i="40"/>
  <c r="AO145" i="40"/>
  <c r="AP145" i="40"/>
  <c r="AI146" i="40"/>
  <c r="AJ146" i="40"/>
  <c r="AK146" i="40"/>
  <c r="AL146" i="40"/>
  <c r="AM146" i="40"/>
  <c r="AN146" i="40"/>
  <c r="AO146" i="40"/>
  <c r="AP146" i="40"/>
  <c r="AI147" i="40"/>
  <c r="AJ147" i="40"/>
  <c r="AK147" i="40"/>
  <c r="AL147" i="40"/>
  <c r="AM147" i="40"/>
  <c r="AN147" i="40"/>
  <c r="AO147" i="40"/>
  <c r="AP147" i="40"/>
  <c r="AI148" i="40"/>
  <c r="AJ148" i="40"/>
  <c r="AK148" i="40"/>
  <c r="AL148" i="40"/>
  <c r="AM148" i="40"/>
  <c r="AN148" i="40"/>
  <c r="AO148" i="40"/>
  <c r="AP148" i="40"/>
  <c r="AI149" i="40"/>
  <c r="AJ149" i="40"/>
  <c r="AK149" i="40"/>
  <c r="AL149" i="40"/>
  <c r="AM149" i="40"/>
  <c r="AN149" i="40"/>
  <c r="AO149" i="40"/>
  <c r="AP149" i="40"/>
  <c r="AI150" i="40"/>
  <c r="AJ150" i="40"/>
  <c r="AK150" i="40"/>
  <c r="AL150" i="40"/>
  <c r="AM150" i="40"/>
  <c r="AN150" i="40"/>
  <c r="AO150" i="40"/>
  <c r="AP150" i="40"/>
  <c r="AI151" i="40"/>
  <c r="AJ151" i="40"/>
  <c r="AK151" i="40"/>
  <c r="AL151" i="40"/>
  <c r="AM151" i="40"/>
  <c r="AN151" i="40"/>
  <c r="AO151" i="40"/>
  <c r="AP151" i="40"/>
  <c r="AI152" i="40"/>
  <c r="AJ152" i="40"/>
  <c r="AK152" i="40"/>
  <c r="AL152" i="40"/>
  <c r="AM152" i="40"/>
  <c r="AN152" i="40"/>
  <c r="AO152" i="40"/>
  <c r="AP152" i="40"/>
  <c r="AI153" i="40"/>
  <c r="AJ153" i="40"/>
  <c r="AK153" i="40"/>
  <c r="AL153" i="40"/>
  <c r="AM153" i="40"/>
  <c r="AN153" i="40"/>
  <c r="AO153" i="40"/>
  <c r="AP153" i="40"/>
  <c r="AI154" i="40"/>
  <c r="AJ154" i="40"/>
  <c r="AK154" i="40"/>
  <c r="AL154" i="40"/>
  <c r="AM154" i="40"/>
  <c r="AN154" i="40"/>
  <c r="AO154" i="40"/>
  <c r="AP154" i="40"/>
  <c r="AI155" i="40"/>
  <c r="AJ155" i="40"/>
  <c r="AK155" i="40"/>
  <c r="AL155" i="40"/>
  <c r="AM155" i="40"/>
  <c r="AN155" i="40"/>
  <c r="AO155" i="40"/>
  <c r="AP155" i="40"/>
  <c r="AI156" i="40"/>
  <c r="AJ156" i="40"/>
  <c r="AK156" i="40"/>
  <c r="AL156" i="40"/>
  <c r="AM156" i="40"/>
  <c r="AN156" i="40"/>
  <c r="AO156" i="40"/>
  <c r="AP156" i="40"/>
  <c r="AI157" i="40"/>
  <c r="AJ157" i="40"/>
  <c r="AK157" i="40"/>
  <c r="AL157" i="40"/>
  <c r="AM157" i="40"/>
  <c r="AN157" i="40"/>
  <c r="AO157" i="40"/>
  <c r="AP157" i="40"/>
  <c r="AI158" i="40"/>
  <c r="AJ158" i="40"/>
  <c r="AK158" i="40"/>
  <c r="AL158" i="40"/>
  <c r="AM158" i="40"/>
  <c r="AN158" i="40"/>
  <c r="AO158" i="40"/>
  <c r="AP158" i="40"/>
  <c r="AI159" i="40"/>
  <c r="AJ159" i="40"/>
  <c r="AK159" i="40"/>
  <c r="AL159" i="40"/>
  <c r="AM159" i="40"/>
  <c r="AN159" i="40"/>
  <c r="AO159" i="40"/>
  <c r="AP159" i="40"/>
  <c r="AI160" i="40"/>
  <c r="AJ160" i="40"/>
  <c r="AK160" i="40"/>
  <c r="AL160" i="40"/>
  <c r="AM160" i="40"/>
  <c r="AN160" i="40"/>
  <c r="AO160" i="40"/>
  <c r="AP160" i="40"/>
  <c r="AI161" i="40"/>
  <c r="AJ161" i="40"/>
  <c r="AK161" i="40"/>
  <c r="AL161" i="40"/>
  <c r="AM161" i="40"/>
  <c r="AN161" i="40"/>
  <c r="AO161" i="40"/>
  <c r="AP161" i="40"/>
  <c r="AI162" i="40"/>
  <c r="AJ162" i="40"/>
  <c r="AK162" i="40"/>
  <c r="AL162" i="40"/>
  <c r="AM162" i="40"/>
  <c r="AN162" i="40"/>
  <c r="AO162" i="40"/>
  <c r="AP162" i="40"/>
  <c r="AI163" i="40"/>
  <c r="AJ163" i="40"/>
  <c r="AK163" i="40"/>
  <c r="AL163" i="40"/>
  <c r="AM163" i="40"/>
  <c r="AN163" i="40"/>
  <c r="AO163" i="40"/>
  <c r="AP163" i="40"/>
  <c r="AI164" i="40"/>
  <c r="AJ164" i="40"/>
  <c r="AK164" i="40"/>
  <c r="AL164" i="40"/>
  <c r="AM164" i="40"/>
  <c r="AN164" i="40"/>
  <c r="AO164" i="40"/>
  <c r="AP164" i="40"/>
  <c r="AI165" i="40"/>
  <c r="AJ165" i="40"/>
  <c r="AK165" i="40"/>
  <c r="AL165" i="40"/>
  <c r="AM165" i="40"/>
  <c r="AN165" i="40"/>
  <c r="AO165" i="40"/>
  <c r="AP165" i="40"/>
  <c r="AI166" i="40"/>
  <c r="AJ166" i="40"/>
  <c r="AK166" i="40"/>
  <c r="AL166" i="40"/>
  <c r="AM166" i="40"/>
  <c r="AN166" i="40"/>
  <c r="AO166" i="40"/>
  <c r="AP166" i="40"/>
  <c r="AI167" i="40"/>
  <c r="AJ167" i="40"/>
  <c r="AK167" i="40"/>
  <c r="AL167" i="40"/>
  <c r="AM167" i="40"/>
  <c r="AN167" i="40"/>
  <c r="AO167" i="40"/>
  <c r="AP167" i="40"/>
  <c r="AI168" i="40"/>
  <c r="AJ168" i="40"/>
  <c r="AK168" i="40"/>
  <c r="AL168" i="40"/>
  <c r="AM168" i="40"/>
  <c r="AN168" i="40"/>
  <c r="AO168" i="40"/>
  <c r="AP168" i="40"/>
  <c r="AI169" i="40"/>
  <c r="AJ169" i="40"/>
  <c r="AK169" i="40"/>
  <c r="AL169" i="40"/>
  <c r="AM169" i="40"/>
  <c r="AN169" i="40"/>
  <c r="AO169" i="40"/>
  <c r="AP169" i="40"/>
  <c r="AI170" i="40"/>
  <c r="AJ170" i="40"/>
  <c r="AK170" i="40"/>
  <c r="AL170" i="40"/>
  <c r="AM170" i="40"/>
  <c r="AN170" i="40"/>
  <c r="AO170" i="40"/>
  <c r="AP170" i="40"/>
  <c r="AI171" i="40"/>
  <c r="AJ171" i="40"/>
  <c r="AK171" i="40"/>
  <c r="AL171" i="40"/>
  <c r="AM171" i="40"/>
  <c r="AN171" i="40"/>
  <c r="AO171" i="40"/>
  <c r="AP171" i="40"/>
  <c r="AI172" i="40"/>
  <c r="AJ172" i="40"/>
  <c r="AK172" i="40"/>
  <c r="AL172" i="40"/>
  <c r="AM172" i="40"/>
  <c r="AN172" i="40"/>
  <c r="AO172" i="40"/>
  <c r="AP172" i="40"/>
  <c r="AI173" i="40"/>
  <c r="AJ173" i="40"/>
  <c r="AK173" i="40"/>
  <c r="AL173" i="40"/>
  <c r="AM173" i="40"/>
  <c r="AN173" i="40"/>
  <c r="AO173" i="40"/>
  <c r="AP173" i="40"/>
  <c r="AI174" i="40"/>
  <c r="AJ174" i="40"/>
  <c r="AK174" i="40"/>
  <c r="AL174" i="40"/>
  <c r="AM174" i="40"/>
  <c r="AN174" i="40"/>
  <c r="AO174" i="40"/>
  <c r="AP174" i="40"/>
  <c r="AI175" i="40"/>
  <c r="AJ175" i="40"/>
  <c r="AK175" i="40"/>
  <c r="AL175" i="40"/>
  <c r="AM175" i="40"/>
  <c r="AN175" i="40"/>
  <c r="AO175" i="40"/>
  <c r="AP175" i="40"/>
  <c r="AI176" i="40"/>
  <c r="AJ176" i="40"/>
  <c r="AK176" i="40"/>
  <c r="AL176" i="40"/>
  <c r="AM176" i="40"/>
  <c r="AN176" i="40"/>
  <c r="AO176" i="40"/>
  <c r="AP176" i="40"/>
  <c r="AI177" i="40"/>
  <c r="AJ177" i="40"/>
  <c r="AK177" i="40"/>
  <c r="AL177" i="40"/>
  <c r="AM177" i="40"/>
  <c r="AN177" i="40"/>
  <c r="AO177" i="40"/>
  <c r="AP177" i="40"/>
  <c r="AI178" i="40"/>
  <c r="AJ178" i="40"/>
  <c r="AK178" i="40"/>
  <c r="AL178" i="40"/>
  <c r="AM178" i="40"/>
  <c r="AN178" i="40"/>
  <c r="AO178" i="40"/>
  <c r="AP178" i="40"/>
  <c r="AI179" i="40"/>
  <c r="AJ179" i="40"/>
  <c r="AK179" i="40"/>
  <c r="AL179" i="40"/>
  <c r="AM179" i="40"/>
  <c r="AN179" i="40"/>
  <c r="AO179" i="40"/>
  <c r="AP179" i="40"/>
  <c r="AI180" i="40"/>
  <c r="AJ180" i="40"/>
  <c r="AK180" i="40"/>
  <c r="AL180" i="40"/>
  <c r="AM180" i="40"/>
  <c r="AN180" i="40"/>
  <c r="AO180" i="40"/>
  <c r="AP180" i="40"/>
  <c r="AI181" i="40"/>
  <c r="AJ181" i="40"/>
  <c r="AK181" i="40"/>
  <c r="AL181" i="40"/>
  <c r="AM181" i="40"/>
  <c r="AN181" i="40"/>
  <c r="AO181" i="40"/>
  <c r="AP181" i="40"/>
  <c r="AI182" i="40"/>
  <c r="AJ182" i="40"/>
  <c r="AK182" i="40"/>
  <c r="AL182" i="40"/>
  <c r="AM182" i="40"/>
  <c r="AN182" i="40"/>
  <c r="AO182" i="40"/>
  <c r="AP182" i="40"/>
  <c r="AI183" i="40"/>
  <c r="AJ183" i="40"/>
  <c r="AK183" i="40"/>
  <c r="AL183" i="40"/>
  <c r="AM183" i="40"/>
  <c r="AN183" i="40"/>
  <c r="AO183" i="40"/>
  <c r="AP183" i="40"/>
  <c r="AI184" i="40"/>
  <c r="AJ184" i="40"/>
  <c r="AK184" i="40"/>
  <c r="AL184" i="40"/>
  <c r="AM184" i="40"/>
  <c r="AN184" i="40"/>
  <c r="AO184" i="40"/>
  <c r="AP184" i="40"/>
  <c r="AI185" i="40"/>
  <c r="AJ185" i="40"/>
  <c r="AK185" i="40"/>
  <c r="AL185" i="40"/>
  <c r="AM185" i="40"/>
  <c r="AN185" i="40"/>
  <c r="AO185" i="40"/>
  <c r="AP185" i="40"/>
  <c r="AI186" i="40"/>
  <c r="AJ186" i="40"/>
  <c r="AK186" i="40"/>
  <c r="AL186" i="40"/>
  <c r="AM186" i="40"/>
  <c r="AN186" i="40"/>
  <c r="AO186" i="40"/>
  <c r="AP186" i="40"/>
  <c r="AI187" i="40"/>
  <c r="AJ187" i="40"/>
  <c r="AK187" i="40"/>
  <c r="AL187" i="40"/>
  <c r="AM187" i="40"/>
  <c r="AN187" i="40"/>
  <c r="AO187" i="40"/>
  <c r="AP187" i="40"/>
  <c r="AI188" i="40"/>
  <c r="AJ188" i="40"/>
  <c r="AK188" i="40"/>
  <c r="AL188" i="40"/>
  <c r="AM188" i="40"/>
  <c r="AN188" i="40"/>
  <c r="AO188" i="40"/>
  <c r="AP188" i="40"/>
  <c r="AI189" i="40"/>
  <c r="AJ189" i="40"/>
  <c r="AK189" i="40"/>
  <c r="AL189" i="40"/>
  <c r="AM189" i="40"/>
  <c r="AN189" i="40"/>
  <c r="AO189" i="40"/>
  <c r="AP189" i="40"/>
  <c r="AI190" i="40"/>
  <c r="AJ190" i="40"/>
  <c r="AK190" i="40"/>
  <c r="AL190" i="40"/>
  <c r="AM190" i="40"/>
  <c r="AN190" i="40"/>
  <c r="AO190" i="40"/>
  <c r="AP190" i="40"/>
  <c r="AI191" i="40"/>
  <c r="AJ191" i="40"/>
  <c r="AK191" i="40"/>
  <c r="AL191" i="40"/>
  <c r="AM191" i="40" s="1"/>
  <c r="AN191" i="40" s="1"/>
  <c r="AO191" i="40" s="1"/>
  <c r="AP191" i="40" s="1"/>
  <c r="AI192" i="40"/>
  <c r="AJ192" i="40"/>
  <c r="AK192" i="40"/>
  <c r="AL192" i="40"/>
  <c r="AM192" i="40"/>
  <c r="AN192" i="40"/>
  <c r="AO192" i="40"/>
  <c r="AP192" i="40"/>
  <c r="AI193" i="40"/>
  <c r="AJ193" i="40"/>
  <c r="AK193" i="40"/>
  <c r="AL193" i="40"/>
  <c r="AM193" i="40"/>
  <c r="AN193" i="40"/>
  <c r="AO193" i="40"/>
  <c r="AP193" i="40"/>
  <c r="AI194" i="40"/>
  <c r="AJ194" i="40"/>
  <c r="AK194" i="40"/>
  <c r="AL194" i="40"/>
  <c r="AM194" i="40"/>
  <c r="AN194" i="40"/>
  <c r="AO194" i="40"/>
  <c r="AP194" i="40"/>
  <c r="AI195" i="40"/>
  <c r="AJ195" i="40"/>
  <c r="AK195" i="40"/>
  <c r="AL195" i="40"/>
  <c r="AM195" i="40"/>
  <c r="AN195" i="40"/>
  <c r="AO195" i="40"/>
  <c r="AP195" i="40"/>
  <c r="AI196" i="40"/>
  <c r="AJ196" i="40"/>
  <c r="AK196" i="40"/>
  <c r="AL196" i="40"/>
  <c r="AM196" i="40"/>
  <c r="AN196" i="40"/>
  <c r="AO196" i="40"/>
  <c r="AP196" i="40"/>
  <c r="AI197" i="40"/>
  <c r="AJ197" i="40"/>
  <c r="AK197" i="40"/>
  <c r="AL197" i="40"/>
  <c r="AM197" i="40"/>
  <c r="AN197" i="40"/>
  <c r="AO197" i="40"/>
  <c r="AP197" i="40"/>
  <c r="AI198" i="40"/>
  <c r="AJ198" i="40"/>
  <c r="AK198" i="40"/>
  <c r="AL198" i="40"/>
  <c r="AM198" i="40"/>
  <c r="AN198" i="40"/>
  <c r="AO198" i="40"/>
  <c r="AP198" i="40"/>
  <c r="AI199" i="40"/>
  <c r="AJ199" i="40"/>
  <c r="AK199" i="40"/>
  <c r="AL199" i="40"/>
  <c r="AM199" i="40"/>
  <c r="AN199" i="40"/>
  <c r="AO199" i="40"/>
  <c r="AP199" i="40"/>
  <c r="AI200" i="40"/>
  <c r="AJ200" i="40"/>
  <c r="AK200" i="40"/>
  <c r="AL200" i="40"/>
  <c r="AM200" i="40"/>
  <c r="AN200" i="40"/>
  <c r="AO200" i="40"/>
  <c r="AP200" i="40"/>
  <c r="AI201" i="40"/>
  <c r="AJ201" i="40"/>
  <c r="AK201" i="40"/>
  <c r="AL201" i="40"/>
  <c r="AM201" i="40"/>
  <c r="AN201" i="40"/>
  <c r="AO201" i="40"/>
  <c r="AP201" i="40"/>
  <c r="AI202" i="40"/>
  <c r="AJ202" i="40"/>
  <c r="AK202" i="40"/>
  <c r="AL202" i="40"/>
  <c r="AM202" i="40"/>
  <c r="AN202" i="40"/>
  <c r="AO202" i="40"/>
  <c r="AP202" i="40"/>
  <c r="AI203" i="40"/>
  <c r="AJ203" i="40"/>
  <c r="AK203" i="40"/>
  <c r="AL203" i="40"/>
  <c r="AM203" i="40"/>
  <c r="AN203" i="40"/>
  <c r="AO203" i="40"/>
  <c r="AP203" i="40"/>
  <c r="AI204" i="40"/>
  <c r="AJ204" i="40"/>
  <c r="AK204" i="40"/>
  <c r="AL204" i="40"/>
  <c r="AM204" i="40"/>
  <c r="AN204" i="40"/>
  <c r="AO204" i="40"/>
  <c r="AP204" i="40"/>
  <c r="AI205" i="40"/>
  <c r="AJ205" i="40"/>
  <c r="AK205" i="40"/>
  <c r="AL205" i="40"/>
  <c r="AM205" i="40"/>
  <c r="AN205" i="40"/>
  <c r="AO205" i="40"/>
  <c r="AP205" i="40"/>
  <c r="AI206" i="40"/>
  <c r="AJ206" i="40"/>
  <c r="AK206" i="40"/>
  <c r="AL206" i="40"/>
  <c r="AM206" i="40"/>
  <c r="AN206" i="40"/>
  <c r="AO206" i="40"/>
  <c r="AP206" i="40"/>
  <c r="AI207" i="40"/>
  <c r="AJ207" i="40"/>
  <c r="AK207" i="40"/>
  <c r="AL207" i="40"/>
  <c r="AM207" i="40"/>
  <c r="AN207" i="40"/>
  <c r="AO207" i="40"/>
  <c r="AP207" i="40"/>
  <c r="AI208" i="40"/>
  <c r="AJ208" i="40"/>
  <c r="AK208" i="40"/>
  <c r="AL208" i="40"/>
  <c r="AM208" i="40"/>
  <c r="AN208" i="40"/>
  <c r="AO208" i="40"/>
  <c r="AP208" i="40"/>
  <c r="AI209" i="40"/>
  <c r="AJ209" i="40"/>
  <c r="AK209" i="40"/>
  <c r="AL209" i="40"/>
  <c r="AM209" i="40"/>
  <c r="AN209" i="40"/>
  <c r="AO209" i="40"/>
  <c r="AP209" i="40"/>
  <c r="AI210" i="40"/>
  <c r="AJ210" i="40"/>
  <c r="AK210" i="40"/>
  <c r="AL210" i="40"/>
  <c r="AM210" i="40"/>
  <c r="AN210" i="40"/>
  <c r="AO210" i="40"/>
  <c r="AP210" i="40"/>
  <c r="AI211" i="40"/>
  <c r="AJ211" i="40"/>
  <c r="AK211" i="40"/>
  <c r="AL211" i="40"/>
  <c r="AM211" i="40"/>
  <c r="AN211" i="40"/>
  <c r="AO211" i="40"/>
  <c r="AP211" i="40"/>
  <c r="AI212" i="40"/>
  <c r="AJ212" i="40"/>
  <c r="AK212" i="40"/>
  <c r="AL212" i="40"/>
  <c r="AM212" i="40"/>
  <c r="AN212" i="40"/>
  <c r="AO212" i="40"/>
  <c r="AP212" i="40"/>
  <c r="AI213" i="40"/>
  <c r="AJ213" i="40"/>
  <c r="AK213" i="40"/>
  <c r="AL213" i="40"/>
  <c r="AM213" i="40"/>
  <c r="AN213" i="40"/>
  <c r="AO213" i="40"/>
  <c r="AP213" i="40"/>
  <c r="AI214" i="40"/>
  <c r="AJ214" i="40"/>
  <c r="AK214" i="40"/>
  <c r="AL214" i="40"/>
  <c r="AM214" i="40"/>
  <c r="AN214" i="40"/>
  <c r="AO214" i="40"/>
  <c r="AP214" i="40"/>
  <c r="AI215" i="40"/>
  <c r="AJ215" i="40"/>
  <c r="AK215" i="40"/>
  <c r="AL215" i="40"/>
  <c r="AM215" i="40"/>
  <c r="AN215" i="40"/>
  <c r="AO215" i="40"/>
  <c r="AP215" i="40"/>
  <c r="AI216" i="40"/>
  <c r="AJ216" i="40"/>
  <c r="AK216" i="40"/>
  <c r="AL216" i="40"/>
  <c r="AM216" i="40"/>
  <c r="AN216" i="40"/>
  <c r="AO216" i="40"/>
  <c r="AP216" i="40"/>
  <c r="AI217" i="40"/>
  <c r="AJ217" i="40"/>
  <c r="AK217" i="40"/>
  <c r="AL217" i="40"/>
  <c r="AM217" i="40"/>
  <c r="AN217" i="40"/>
  <c r="AO217" i="40"/>
  <c r="AP217" i="40"/>
  <c r="AI218" i="40"/>
  <c r="AJ218" i="40"/>
  <c r="AK218" i="40"/>
  <c r="AL218" i="40"/>
  <c r="AM218" i="40"/>
  <c r="AN218" i="40"/>
  <c r="AO218" i="40"/>
  <c r="AP218" i="40"/>
  <c r="AI219" i="40"/>
  <c r="AJ219" i="40"/>
  <c r="AK219" i="40"/>
  <c r="AL219" i="40"/>
  <c r="AM219" i="40"/>
  <c r="AN219" i="40"/>
  <c r="AO219" i="40"/>
  <c r="AP219" i="40"/>
  <c r="AI220" i="40"/>
  <c r="AJ220" i="40"/>
  <c r="AK220" i="40"/>
  <c r="AL220" i="40"/>
  <c r="AM220" i="40"/>
  <c r="AN220" i="40"/>
  <c r="AO220" i="40"/>
  <c r="AP220" i="40"/>
  <c r="AI221" i="40"/>
  <c r="AJ221" i="40"/>
  <c r="AK221" i="40"/>
  <c r="AL221" i="40"/>
  <c r="AM221" i="40"/>
  <c r="AN221" i="40"/>
  <c r="AO221" i="40"/>
  <c r="AP221" i="40"/>
  <c r="AI222" i="40"/>
  <c r="AJ222" i="40"/>
  <c r="AK222" i="40"/>
  <c r="AL222" i="40"/>
  <c r="AM222" i="40"/>
  <c r="AN222" i="40"/>
  <c r="AO222" i="40"/>
  <c r="AP222" i="40"/>
  <c r="AI223" i="40"/>
  <c r="AJ223" i="40"/>
  <c r="AK223" i="40"/>
  <c r="AL223" i="40"/>
  <c r="AM223" i="40"/>
  <c r="AN223" i="40"/>
  <c r="AO223" i="40"/>
  <c r="AP223" i="40"/>
  <c r="AI224" i="40"/>
  <c r="AJ224" i="40"/>
  <c r="AK224" i="40"/>
  <c r="AL224" i="40"/>
  <c r="AM224" i="40"/>
  <c r="AN224" i="40"/>
  <c r="AO224" i="40"/>
  <c r="AP224" i="40"/>
  <c r="AI225" i="40"/>
  <c r="AJ225" i="40"/>
  <c r="AK225" i="40"/>
  <c r="AL225" i="40"/>
  <c r="AM225" i="40"/>
  <c r="AN225" i="40"/>
  <c r="AO225" i="40"/>
  <c r="AP225" i="40"/>
  <c r="AI226" i="40"/>
  <c r="AJ226" i="40"/>
  <c r="AK226" i="40"/>
  <c r="AL226" i="40"/>
  <c r="AM226" i="40"/>
  <c r="AN226" i="40"/>
  <c r="AO226" i="40"/>
  <c r="AP226" i="40"/>
  <c r="AI227" i="40"/>
  <c r="AJ227" i="40"/>
  <c r="AK227" i="40"/>
  <c r="AL227" i="40"/>
  <c r="AM227" i="40"/>
  <c r="AN227" i="40"/>
  <c r="AO227" i="40"/>
  <c r="AP227" i="40"/>
  <c r="AI228" i="40"/>
  <c r="AJ228" i="40"/>
  <c r="AK228" i="40"/>
  <c r="AL228" i="40"/>
  <c r="AM228" i="40"/>
  <c r="AN228" i="40"/>
  <c r="AO228" i="40"/>
  <c r="AP228" i="40"/>
  <c r="AI229" i="40"/>
  <c r="AJ229" i="40"/>
  <c r="AK229" i="40"/>
  <c r="AL229" i="40"/>
  <c r="AM229" i="40"/>
  <c r="AN229" i="40"/>
  <c r="AO229" i="40"/>
  <c r="AP229" i="40"/>
  <c r="AI230" i="40"/>
  <c r="AJ230" i="40"/>
  <c r="AK230" i="40"/>
  <c r="AL230" i="40"/>
  <c r="AM230" i="40"/>
  <c r="AN230" i="40"/>
  <c r="AO230" i="40"/>
  <c r="AP230" i="40"/>
  <c r="AI231" i="40"/>
  <c r="AJ231" i="40"/>
  <c r="AK231" i="40"/>
  <c r="AL231" i="40"/>
  <c r="AM231" i="40"/>
  <c r="AN231" i="40"/>
  <c r="AO231" i="40"/>
  <c r="AP231" i="40"/>
  <c r="AI232" i="40"/>
  <c r="AJ232" i="40"/>
  <c r="AK232" i="40"/>
  <c r="AL232" i="40"/>
  <c r="AM232" i="40"/>
  <c r="AN232" i="40"/>
  <c r="AO232" i="40"/>
  <c r="AP232" i="40"/>
  <c r="AI233" i="40"/>
  <c r="AJ233" i="40"/>
  <c r="AK233" i="40"/>
  <c r="AL233" i="40"/>
  <c r="AM233" i="40"/>
  <c r="AN233" i="40"/>
  <c r="AO233" i="40"/>
  <c r="AP233" i="40"/>
  <c r="AI234" i="40"/>
  <c r="AJ234" i="40"/>
  <c r="AK234" i="40"/>
  <c r="AL234" i="40"/>
  <c r="AM234" i="40"/>
  <c r="AN234" i="40"/>
  <c r="AO234" i="40"/>
  <c r="AP234" i="40"/>
  <c r="AI235" i="40"/>
  <c r="AJ235" i="40"/>
  <c r="AK235" i="40"/>
  <c r="AL235" i="40"/>
  <c r="AM235" i="40"/>
  <c r="AN235" i="40"/>
  <c r="AO235" i="40"/>
  <c r="AP235" i="40"/>
  <c r="AI236" i="40"/>
  <c r="AJ236" i="40"/>
  <c r="AK236" i="40"/>
  <c r="AL236" i="40"/>
  <c r="AM236" i="40"/>
  <c r="AN236" i="40"/>
  <c r="AO236" i="40"/>
  <c r="AP236" i="40"/>
  <c r="AI237" i="40"/>
  <c r="AJ237" i="40"/>
  <c r="AK237" i="40"/>
  <c r="AL237" i="40"/>
  <c r="AM237" i="40"/>
  <c r="AN237" i="40"/>
  <c r="AO237" i="40"/>
  <c r="AP237" i="40"/>
  <c r="AI238" i="40"/>
  <c r="AJ238" i="40"/>
  <c r="AK238" i="40"/>
  <c r="AL238" i="40"/>
  <c r="AM238" i="40"/>
  <c r="AN238" i="40"/>
  <c r="AO238" i="40"/>
  <c r="AP238" i="40"/>
  <c r="AI239" i="40"/>
  <c r="AJ239" i="40"/>
  <c r="AK239" i="40"/>
  <c r="AL239" i="40"/>
  <c r="AM239" i="40"/>
  <c r="AN239" i="40"/>
  <c r="AO239" i="40"/>
  <c r="AP239" i="40"/>
  <c r="AI240" i="40"/>
  <c r="AJ240" i="40"/>
  <c r="AK240" i="40"/>
  <c r="AL240" i="40"/>
  <c r="AM240" i="40"/>
  <c r="AN240" i="40"/>
  <c r="AO240" i="40"/>
  <c r="AP240" i="40"/>
  <c r="AI241" i="40"/>
  <c r="AJ241" i="40"/>
  <c r="AK241" i="40"/>
  <c r="AL241" i="40"/>
  <c r="AM241" i="40"/>
  <c r="AN241" i="40"/>
  <c r="AO241" i="40"/>
  <c r="AP241" i="40"/>
  <c r="AI242" i="40"/>
  <c r="AJ242" i="40"/>
  <c r="AK242" i="40"/>
  <c r="AL242" i="40"/>
  <c r="AM242" i="40"/>
  <c r="AN242" i="40"/>
  <c r="AO242" i="40"/>
  <c r="AP242" i="40"/>
  <c r="AI243" i="40"/>
  <c r="AJ243" i="40"/>
  <c r="AK243" i="40"/>
  <c r="AL243" i="40"/>
  <c r="AM243" i="40" s="1"/>
  <c r="AN243" i="40" s="1"/>
  <c r="AO243" i="40" s="1"/>
  <c r="AP243" i="40" s="1"/>
  <c r="AI244" i="40"/>
  <c r="AJ244" i="40"/>
  <c r="AK244" i="40"/>
  <c r="AL244" i="40"/>
  <c r="AM244" i="40"/>
  <c r="AN244" i="40"/>
  <c r="AO244" i="40"/>
  <c r="AP244" i="40"/>
  <c r="AI245" i="40"/>
  <c r="AJ245" i="40"/>
  <c r="AK245" i="40"/>
  <c r="AL245" i="40"/>
  <c r="AM245" i="40"/>
  <c r="AN245" i="40"/>
  <c r="AO245" i="40"/>
  <c r="AP245" i="40"/>
  <c r="AI246" i="40"/>
  <c r="AJ246" i="40"/>
  <c r="AK246" i="40"/>
  <c r="AL246" i="40"/>
  <c r="AM246" i="40"/>
  <c r="AN246" i="40"/>
  <c r="AO246" i="40"/>
  <c r="AP246" i="40"/>
  <c r="AI247" i="40"/>
  <c r="AJ247" i="40"/>
  <c r="AK247" i="40"/>
  <c r="AL247" i="40"/>
  <c r="AM247" i="40"/>
  <c r="AN247" i="40"/>
  <c r="AO247" i="40"/>
  <c r="AP247" i="40"/>
  <c r="AI248" i="40"/>
  <c r="AJ248" i="40"/>
  <c r="AK248" i="40"/>
  <c r="AL248" i="40"/>
  <c r="AM248" i="40"/>
  <c r="AN248" i="40"/>
  <c r="AO248" i="40"/>
  <c r="AP248" i="40"/>
  <c r="AI249" i="40"/>
  <c r="AJ249" i="40"/>
  <c r="AK249" i="40"/>
  <c r="AL249" i="40"/>
  <c r="AM249" i="40"/>
  <c r="AN249" i="40"/>
  <c r="AO249" i="40"/>
  <c r="AP249" i="40"/>
  <c r="AI250" i="40"/>
  <c r="AJ250" i="40"/>
  <c r="AK250" i="40"/>
  <c r="AL250" i="40"/>
  <c r="AM250" i="40"/>
  <c r="AN250" i="40"/>
  <c r="AO250" i="40"/>
  <c r="AP250" i="40"/>
  <c r="AI251" i="40"/>
  <c r="AJ251" i="40"/>
  <c r="AK251" i="40"/>
  <c r="AL251" i="40"/>
  <c r="AM251" i="40"/>
  <c r="AN251" i="40"/>
  <c r="AO251" i="40"/>
  <c r="AP251" i="40"/>
  <c r="AI252" i="40"/>
  <c r="AJ252" i="40"/>
  <c r="AK252" i="40"/>
  <c r="AL252" i="40"/>
  <c r="AM252" i="40"/>
  <c r="AN252" i="40"/>
  <c r="AO252" i="40"/>
  <c r="AP252" i="40"/>
  <c r="AI253" i="40"/>
  <c r="AJ253" i="40"/>
  <c r="AK253" i="40"/>
  <c r="AL253" i="40"/>
  <c r="AM253" i="40"/>
  <c r="AN253" i="40"/>
  <c r="AO253" i="40"/>
  <c r="AP253" i="40"/>
  <c r="AI254" i="40"/>
  <c r="AJ254" i="40"/>
  <c r="AK254" i="40"/>
  <c r="AL254" i="40"/>
  <c r="AM254" i="40"/>
  <c r="AN254" i="40"/>
  <c r="AO254" i="40"/>
  <c r="AP254" i="40"/>
  <c r="AI255" i="40"/>
  <c r="AJ255" i="40"/>
  <c r="AK255" i="40"/>
  <c r="AL255" i="40"/>
  <c r="AM255" i="40"/>
  <c r="AN255" i="40"/>
  <c r="AO255" i="40"/>
  <c r="AP255" i="40"/>
  <c r="AI256" i="40"/>
  <c r="AJ256" i="40"/>
  <c r="AK256" i="40"/>
  <c r="AL256" i="40"/>
  <c r="AM256" i="40"/>
  <c r="AN256" i="40"/>
  <c r="AO256" i="40"/>
  <c r="AP256" i="40"/>
  <c r="AI257" i="40"/>
  <c r="AJ257" i="40"/>
  <c r="AK257" i="40"/>
  <c r="AL257" i="40"/>
  <c r="AM257" i="40"/>
  <c r="AN257" i="40"/>
  <c r="AO257" i="40"/>
  <c r="AP257" i="40"/>
  <c r="AI258" i="40"/>
  <c r="AJ258" i="40"/>
  <c r="AK258" i="40"/>
  <c r="AL258" i="40"/>
  <c r="AM258" i="40"/>
  <c r="AN258" i="40"/>
  <c r="AO258" i="40"/>
  <c r="AP258" i="40"/>
  <c r="AI259" i="40"/>
  <c r="AJ259" i="40"/>
  <c r="AK259" i="40"/>
  <c r="AL259" i="40"/>
  <c r="AM259" i="40"/>
  <c r="AN259" i="40"/>
  <c r="AO259" i="40"/>
  <c r="AP259" i="40"/>
  <c r="AI260" i="40"/>
  <c r="AJ260" i="40"/>
  <c r="AK260" i="40"/>
  <c r="AL260" i="40"/>
  <c r="AM260" i="40"/>
  <c r="AN260" i="40"/>
  <c r="AO260" i="40"/>
  <c r="AP260" i="40"/>
  <c r="AI261" i="40"/>
  <c r="AJ261" i="40"/>
  <c r="AK261" i="40"/>
  <c r="AL261" i="40"/>
  <c r="AM261" i="40"/>
  <c r="AN261" i="40"/>
  <c r="AO261" i="40"/>
  <c r="AP261" i="40"/>
  <c r="AI262" i="40"/>
  <c r="AJ262" i="40"/>
  <c r="AK262" i="40"/>
  <c r="AL262" i="40"/>
  <c r="AM262" i="40"/>
  <c r="AN262" i="40"/>
  <c r="AO262" i="40"/>
  <c r="AP262" i="40"/>
  <c r="AI263" i="40"/>
  <c r="AJ263" i="40"/>
  <c r="AK263" i="40"/>
  <c r="AL263" i="40"/>
  <c r="AM263" i="40"/>
  <c r="AN263" i="40"/>
  <c r="AO263" i="40"/>
  <c r="AP263" i="40"/>
  <c r="AI264" i="40"/>
  <c r="AJ264" i="40"/>
  <c r="AK264" i="40"/>
  <c r="AL264" i="40"/>
  <c r="AM264" i="40"/>
  <c r="AN264" i="40"/>
  <c r="AO264" i="40"/>
  <c r="AP264" i="40"/>
  <c r="AI265" i="40"/>
  <c r="AJ265" i="40"/>
  <c r="AK265" i="40"/>
  <c r="AL265" i="40"/>
  <c r="AM265" i="40"/>
  <c r="AN265" i="40"/>
  <c r="AO265" i="40"/>
  <c r="AP265" i="40"/>
  <c r="AI266" i="40"/>
  <c r="AJ266" i="40"/>
  <c r="AK266" i="40"/>
  <c r="AL266" i="40"/>
  <c r="AM266" i="40"/>
  <c r="AN266" i="40"/>
  <c r="AO266" i="40"/>
  <c r="AP266" i="40"/>
  <c r="AI267" i="40"/>
  <c r="AJ267" i="40"/>
  <c r="AK267" i="40"/>
  <c r="AL267" i="40"/>
  <c r="AM267" i="40"/>
  <c r="AN267" i="40"/>
  <c r="AO267" i="40"/>
  <c r="AP267" i="40"/>
  <c r="AI268" i="40"/>
  <c r="AJ268" i="40"/>
  <c r="AK268" i="40"/>
  <c r="AL268" i="40"/>
  <c r="AM268" i="40"/>
  <c r="AN268" i="40"/>
  <c r="AO268" i="40"/>
  <c r="AP268" i="40"/>
  <c r="AI269" i="40"/>
  <c r="AJ269" i="40"/>
  <c r="AK269" i="40"/>
  <c r="AL269" i="40"/>
  <c r="AM269" i="40"/>
  <c r="AN269" i="40"/>
  <c r="AO269" i="40"/>
  <c r="AP269" i="40"/>
  <c r="AI270" i="40"/>
  <c r="AJ270" i="40"/>
  <c r="AK270" i="40"/>
  <c r="AL270" i="40"/>
  <c r="AM270" i="40"/>
  <c r="AN270" i="40"/>
  <c r="AO270" i="40"/>
  <c r="AP270" i="40"/>
  <c r="AI271" i="40"/>
  <c r="AJ271" i="40"/>
  <c r="AK271" i="40"/>
  <c r="AL271" i="40"/>
  <c r="AM271" i="40"/>
  <c r="AN271" i="40"/>
  <c r="AO271" i="40"/>
  <c r="AP271" i="40"/>
  <c r="AI272" i="40"/>
  <c r="AJ272" i="40"/>
  <c r="AK272" i="40"/>
  <c r="AL272" i="40"/>
  <c r="AM272" i="40"/>
  <c r="AN272" i="40"/>
  <c r="AO272" i="40"/>
  <c r="AP272" i="40"/>
  <c r="AI273" i="40"/>
  <c r="AJ273" i="40"/>
  <c r="AK273" i="40"/>
  <c r="AL273" i="40"/>
  <c r="AM273" i="40"/>
  <c r="AN273" i="40"/>
  <c r="AO273" i="40"/>
  <c r="AP273" i="40"/>
  <c r="AI274" i="40"/>
  <c r="AJ274" i="40"/>
  <c r="AK274" i="40"/>
  <c r="AL274" i="40"/>
  <c r="AM274" i="40"/>
  <c r="AN274" i="40"/>
  <c r="AO274" i="40"/>
  <c r="AP274" i="40"/>
  <c r="AI275" i="40"/>
  <c r="AJ275" i="40"/>
  <c r="AK275" i="40"/>
  <c r="AL275" i="40"/>
  <c r="AM275" i="40"/>
  <c r="AN275" i="40"/>
  <c r="AO275" i="40"/>
  <c r="AP275" i="40"/>
  <c r="AI276" i="40"/>
  <c r="AJ276" i="40"/>
  <c r="AK276" i="40"/>
  <c r="AL276" i="40"/>
  <c r="AM276" i="40"/>
  <c r="AN276" i="40"/>
  <c r="AO276" i="40"/>
  <c r="AP276" i="40"/>
  <c r="AI277" i="40"/>
  <c r="AJ277" i="40"/>
  <c r="AK277" i="40"/>
  <c r="AL277" i="40"/>
  <c r="AM277" i="40"/>
  <c r="AN277" i="40"/>
  <c r="AO277" i="40"/>
  <c r="AP277" i="40"/>
  <c r="AI278" i="40"/>
  <c r="AJ278" i="40"/>
  <c r="AK278" i="40"/>
  <c r="AL278" i="40"/>
  <c r="AM278" i="40"/>
  <c r="AN278" i="40"/>
  <c r="AO278" i="40"/>
  <c r="AP278" i="40"/>
  <c r="AI279" i="40"/>
  <c r="AJ279" i="40"/>
  <c r="AK279" i="40"/>
  <c r="AL279" i="40"/>
  <c r="AM279" i="40"/>
  <c r="AN279" i="40"/>
  <c r="AO279" i="40"/>
  <c r="AP279" i="40"/>
  <c r="AI280" i="40"/>
  <c r="AJ280" i="40"/>
  <c r="AK280" i="40"/>
  <c r="AL280" i="40"/>
  <c r="AM280" i="40"/>
  <c r="AN280" i="40"/>
  <c r="AO280" i="40"/>
  <c r="AP280" i="40"/>
  <c r="AI281" i="40"/>
  <c r="AJ281" i="40"/>
  <c r="AK281" i="40"/>
  <c r="AL281" i="40"/>
  <c r="AM281" i="40"/>
  <c r="AN281" i="40"/>
  <c r="AO281" i="40"/>
  <c r="AP281" i="40"/>
  <c r="AI282" i="40"/>
  <c r="AJ282" i="40"/>
  <c r="AK282" i="40"/>
  <c r="AL282" i="40"/>
  <c r="AM282" i="40"/>
  <c r="AN282" i="40"/>
  <c r="AO282" i="40"/>
  <c r="AP282" i="40"/>
  <c r="AI283" i="40"/>
  <c r="AJ283" i="40"/>
  <c r="AK283" i="40"/>
  <c r="AL283" i="40"/>
  <c r="AM283" i="40"/>
  <c r="AN283" i="40"/>
  <c r="AO283" i="40"/>
  <c r="AP283" i="40"/>
  <c r="AI284" i="40"/>
  <c r="AJ284" i="40"/>
  <c r="AK284" i="40"/>
  <c r="AL284" i="40"/>
  <c r="AM284" i="40"/>
  <c r="AN284" i="40"/>
  <c r="AO284" i="40"/>
  <c r="AP284" i="40"/>
  <c r="AI285" i="40"/>
  <c r="AJ285" i="40"/>
  <c r="AK285" i="40"/>
  <c r="AL285" i="40"/>
  <c r="AM285" i="40"/>
  <c r="AN285" i="40"/>
  <c r="AO285" i="40"/>
  <c r="AP285" i="40"/>
  <c r="AI286" i="40"/>
  <c r="AJ286" i="40"/>
  <c r="AK286" i="40"/>
  <c r="AL286" i="40"/>
  <c r="AM286" i="40"/>
  <c r="AN286" i="40"/>
  <c r="AO286" i="40"/>
  <c r="AP286" i="40"/>
  <c r="AI287" i="40"/>
  <c r="AJ287" i="40"/>
  <c r="AK287" i="40"/>
  <c r="AL287" i="40"/>
  <c r="AM287" i="40"/>
  <c r="AN287" i="40"/>
  <c r="AO287" i="40"/>
  <c r="AP287" i="40"/>
  <c r="AI288" i="40"/>
  <c r="AJ288" i="40"/>
  <c r="AK288" i="40"/>
  <c r="AL288" i="40"/>
  <c r="AM288" i="40"/>
  <c r="AN288" i="40"/>
  <c r="AO288" i="40"/>
  <c r="AP288" i="40"/>
  <c r="AI289" i="40"/>
  <c r="AJ289" i="40"/>
  <c r="AK289" i="40"/>
  <c r="AL289" i="40"/>
  <c r="AM289" i="40"/>
  <c r="AN289" i="40"/>
  <c r="AO289" i="40"/>
  <c r="AP289" i="40"/>
  <c r="AI290" i="40"/>
  <c r="AJ290" i="40"/>
  <c r="AK290" i="40"/>
  <c r="AL290" i="40"/>
  <c r="AM290" i="40"/>
  <c r="AN290" i="40"/>
  <c r="AO290" i="40"/>
  <c r="AP290" i="40"/>
  <c r="AI291" i="40"/>
  <c r="AJ291" i="40"/>
  <c r="AK291" i="40"/>
  <c r="AL291" i="40"/>
  <c r="AM291" i="40"/>
  <c r="AN291" i="40"/>
  <c r="AO291" i="40"/>
  <c r="AP291" i="40"/>
  <c r="AI292" i="40"/>
  <c r="AJ292" i="40"/>
  <c r="AK292" i="40"/>
  <c r="AL292" i="40"/>
  <c r="AM292" i="40"/>
  <c r="AN292" i="40"/>
  <c r="AO292" i="40"/>
  <c r="AP292" i="40"/>
  <c r="AI293" i="40"/>
  <c r="AJ293" i="40"/>
  <c r="AK293" i="40"/>
  <c r="AL293" i="40"/>
  <c r="AM293" i="40"/>
  <c r="AN293" i="40"/>
  <c r="AO293" i="40"/>
  <c r="AP293" i="40"/>
  <c r="AI294" i="40"/>
  <c r="AJ294" i="40"/>
  <c r="AK294" i="40"/>
  <c r="AL294" i="40"/>
  <c r="AM294" i="40"/>
  <c r="AN294" i="40"/>
  <c r="AO294" i="40"/>
  <c r="AP294" i="40"/>
  <c r="AI295" i="40"/>
  <c r="AJ295" i="40"/>
  <c r="AK295" i="40"/>
  <c r="AL295" i="40"/>
  <c r="AM295" i="40"/>
  <c r="AN295" i="40"/>
  <c r="AO295" i="40"/>
  <c r="AP295" i="40"/>
  <c r="AI296" i="40"/>
  <c r="AJ296" i="40"/>
  <c r="AK296" i="40"/>
  <c r="AL296" i="40"/>
  <c r="AM296" i="40" s="1"/>
  <c r="AN296" i="40" s="1"/>
  <c r="AO296" i="40" s="1"/>
  <c r="AP296" i="40" s="1"/>
  <c r="AI297" i="40"/>
  <c r="AJ297" i="40"/>
  <c r="AK297" i="40"/>
  <c r="AL297" i="40"/>
  <c r="AM297" i="40"/>
  <c r="AN297" i="40"/>
  <c r="AO297" i="40"/>
  <c r="AP297" i="40"/>
  <c r="AI298" i="40"/>
  <c r="AJ298" i="40"/>
  <c r="AK298" i="40"/>
  <c r="AL298" i="40"/>
  <c r="AM298" i="40"/>
  <c r="AN298" i="40"/>
  <c r="AO298" i="40"/>
  <c r="AP298" i="40"/>
  <c r="AI299" i="40"/>
  <c r="AJ299" i="40"/>
  <c r="AK299" i="40"/>
  <c r="AL299" i="40"/>
  <c r="AM299" i="40"/>
  <c r="AN299" i="40"/>
  <c r="AO299" i="40"/>
  <c r="AP299" i="40"/>
  <c r="AI300" i="40"/>
  <c r="AJ300" i="40"/>
  <c r="AK300" i="40"/>
  <c r="AL300" i="40"/>
  <c r="AM300" i="40"/>
  <c r="AN300" i="40"/>
  <c r="AO300" i="40"/>
  <c r="AP300" i="40"/>
  <c r="AI301" i="40"/>
  <c r="AJ301" i="40"/>
  <c r="AK301" i="40"/>
  <c r="AL301" i="40"/>
  <c r="AM301" i="40"/>
  <c r="AN301" i="40"/>
  <c r="AO301" i="40"/>
  <c r="AP301" i="40"/>
  <c r="AI302" i="40"/>
  <c r="AJ302" i="40"/>
  <c r="AK302" i="40"/>
  <c r="AL302" i="40"/>
  <c r="AM302" i="40"/>
  <c r="AN302" i="40"/>
  <c r="AO302" i="40"/>
  <c r="AP302" i="40"/>
  <c r="AI303" i="40"/>
  <c r="AJ303" i="40"/>
  <c r="AK303" i="40"/>
  <c r="AL303" i="40"/>
  <c r="AM303" i="40"/>
  <c r="AN303" i="40"/>
  <c r="AO303" i="40"/>
  <c r="AP303" i="40"/>
  <c r="AI304" i="40"/>
  <c r="AJ304" i="40"/>
  <c r="AK304" i="40"/>
  <c r="AL304" i="40"/>
  <c r="AM304" i="40"/>
  <c r="AN304" i="40"/>
  <c r="AO304" i="40"/>
  <c r="AP304" i="40"/>
  <c r="AI305" i="40"/>
  <c r="AJ305" i="40"/>
  <c r="AK305" i="40"/>
  <c r="AL305" i="40"/>
  <c r="AM305" i="40"/>
  <c r="AN305" i="40"/>
  <c r="AO305" i="40"/>
  <c r="AP305" i="40"/>
  <c r="AI306" i="40"/>
  <c r="AJ306" i="40"/>
  <c r="AK306" i="40"/>
  <c r="AL306" i="40"/>
  <c r="AM306" i="40"/>
  <c r="AN306" i="40"/>
  <c r="AO306" i="40"/>
  <c r="AP306" i="40"/>
  <c r="AI307" i="40"/>
  <c r="AJ307" i="40"/>
  <c r="AK307" i="40"/>
  <c r="AL307" i="40"/>
  <c r="AM307" i="40"/>
  <c r="AN307" i="40"/>
  <c r="AO307" i="40"/>
  <c r="AP307" i="40"/>
  <c r="AI308" i="40"/>
  <c r="AJ308" i="40"/>
  <c r="AK308" i="40"/>
  <c r="AL308" i="40"/>
  <c r="AM308" i="40"/>
  <c r="AN308" i="40"/>
  <c r="AO308" i="40"/>
  <c r="AP308" i="40"/>
  <c r="AI309" i="40"/>
  <c r="AJ309" i="40"/>
  <c r="AK309" i="40"/>
  <c r="AL309" i="40"/>
  <c r="AM309" i="40"/>
  <c r="AN309" i="40"/>
  <c r="AO309" i="40"/>
  <c r="AP309" i="40"/>
  <c r="AI310" i="40"/>
  <c r="AJ310" i="40"/>
  <c r="AK310" i="40"/>
  <c r="AL310" i="40"/>
  <c r="AM310" i="40"/>
  <c r="AN310" i="40"/>
  <c r="AO310" i="40"/>
  <c r="AP310" i="40"/>
  <c r="AI311" i="40"/>
  <c r="AJ311" i="40"/>
  <c r="AK311" i="40"/>
  <c r="AL311" i="40"/>
  <c r="AM311" i="40"/>
  <c r="AN311" i="40"/>
  <c r="AO311" i="40"/>
  <c r="AP311" i="40"/>
  <c r="AI312" i="40"/>
  <c r="AJ312" i="40"/>
  <c r="AK312" i="40"/>
  <c r="AL312" i="40"/>
  <c r="AM312" i="40"/>
  <c r="AN312" i="40"/>
  <c r="AO312" i="40"/>
  <c r="AP312" i="40"/>
  <c r="AI313" i="40"/>
  <c r="AJ313" i="40"/>
  <c r="AK313" i="40"/>
  <c r="AL313" i="40"/>
  <c r="AM313" i="40"/>
  <c r="AN313" i="40"/>
  <c r="AO313" i="40"/>
  <c r="AP313" i="40"/>
  <c r="AI314" i="40"/>
  <c r="AJ314" i="40"/>
  <c r="AK314" i="40"/>
  <c r="AL314" i="40"/>
  <c r="AM314" i="40"/>
  <c r="AN314" i="40"/>
  <c r="AO314" i="40"/>
  <c r="AP314" i="40"/>
  <c r="AI315" i="40"/>
  <c r="AJ315" i="40"/>
  <c r="AK315" i="40"/>
  <c r="AL315" i="40"/>
  <c r="AM315" i="40"/>
  <c r="AN315" i="40"/>
  <c r="AO315" i="40"/>
  <c r="AP315" i="40"/>
  <c r="AI316" i="40"/>
  <c r="AJ316" i="40"/>
  <c r="AK316" i="40"/>
  <c r="AL316" i="40"/>
  <c r="AM316" i="40"/>
  <c r="AN316" i="40"/>
  <c r="AO316" i="40"/>
  <c r="AP316" i="40"/>
  <c r="AI317" i="40"/>
  <c r="AJ317" i="40"/>
  <c r="AK317" i="40"/>
  <c r="AL317" i="40"/>
  <c r="AM317" i="40"/>
  <c r="AN317" i="40"/>
  <c r="AO317" i="40"/>
  <c r="AP317" i="40"/>
  <c r="AI318" i="40"/>
  <c r="AJ318" i="40"/>
  <c r="AK318" i="40"/>
  <c r="AL318" i="40"/>
  <c r="AM318" i="40"/>
  <c r="AN318" i="40"/>
  <c r="AO318" i="40"/>
  <c r="AP318" i="40"/>
  <c r="AI319" i="40"/>
  <c r="AJ319" i="40"/>
  <c r="AK319" i="40"/>
  <c r="AL319" i="40"/>
  <c r="AM319" i="40"/>
  <c r="AN319" i="40"/>
  <c r="AO319" i="40"/>
  <c r="AP319" i="40"/>
  <c r="AI320" i="40"/>
  <c r="AJ320" i="40"/>
  <c r="AK320" i="40"/>
  <c r="AL320" i="40"/>
  <c r="AM320" i="40"/>
  <c r="AN320" i="40"/>
  <c r="AO320" i="40"/>
  <c r="AP320" i="40"/>
  <c r="AI321" i="40"/>
  <c r="AJ321" i="40"/>
  <c r="AK321" i="40"/>
  <c r="AL321" i="40"/>
  <c r="AM321" i="40"/>
  <c r="AN321" i="40"/>
  <c r="AO321" i="40"/>
  <c r="AP321" i="40"/>
  <c r="AI322" i="40"/>
  <c r="AJ322" i="40"/>
  <c r="AK322" i="40"/>
  <c r="AL322" i="40"/>
  <c r="AM322" i="40"/>
  <c r="AN322" i="40"/>
  <c r="AO322" i="40"/>
  <c r="AP322" i="40"/>
  <c r="AP5" i="40"/>
  <c r="AO5" i="40"/>
  <c r="AN5" i="40"/>
  <c r="AM5" i="40"/>
  <c r="AL5" i="40"/>
  <c r="AK5" i="40"/>
  <c r="AJ5" i="40"/>
  <c r="AI5" i="40"/>
  <c r="AI6" i="17"/>
  <c r="AJ6" i="17"/>
  <c r="AK6" i="17"/>
  <c r="AL6" i="17"/>
  <c r="AM6" i="17"/>
  <c r="AN6" i="17"/>
  <c r="AO6" i="17"/>
  <c r="AP6" i="17"/>
  <c r="AI7" i="17"/>
  <c r="AJ7" i="17"/>
  <c r="AK7" i="17"/>
  <c r="AL7" i="17"/>
  <c r="AM7" i="17"/>
  <c r="AN7" i="17"/>
  <c r="AO7" i="17"/>
  <c r="AP7" i="17"/>
  <c r="AI8" i="17"/>
  <c r="AJ8" i="17"/>
  <c r="AK8" i="17"/>
  <c r="AL8" i="17"/>
  <c r="AM8" i="17"/>
  <c r="AN8" i="17"/>
  <c r="AO8" i="17"/>
  <c r="AP8" i="17"/>
  <c r="AI9" i="17"/>
  <c r="AJ9" i="17"/>
  <c r="AK9" i="17"/>
  <c r="AL9" i="17"/>
  <c r="AM9" i="17"/>
  <c r="AN9" i="17"/>
  <c r="AO9" i="17"/>
  <c r="AP9" i="17"/>
  <c r="AI10" i="17"/>
  <c r="AJ10" i="17"/>
  <c r="AK10" i="17"/>
  <c r="AL10" i="17"/>
  <c r="AM10" i="17"/>
  <c r="AN10" i="17"/>
  <c r="AO10" i="17"/>
  <c r="AP10" i="17"/>
  <c r="AI11" i="17"/>
  <c r="AJ11" i="17"/>
  <c r="AK11" i="17"/>
  <c r="AL11" i="17"/>
  <c r="AM11" i="17"/>
  <c r="AN11" i="17"/>
  <c r="AO11" i="17"/>
  <c r="AP11" i="17"/>
  <c r="AI12" i="17"/>
  <c r="AJ12" i="17"/>
  <c r="AK12" i="17"/>
  <c r="AL12" i="17"/>
  <c r="AM12" i="17"/>
  <c r="AN12" i="17"/>
  <c r="AO12" i="17"/>
  <c r="AP12" i="17"/>
  <c r="AI13" i="17"/>
  <c r="AJ13" i="17"/>
  <c r="AK13" i="17"/>
  <c r="AL13" i="17"/>
  <c r="AM13" i="17"/>
  <c r="AN13" i="17"/>
  <c r="AO13" i="17"/>
  <c r="AP13" i="17"/>
  <c r="AI14" i="17"/>
  <c r="AJ14" i="17"/>
  <c r="AK14" i="17"/>
  <c r="AL14" i="17"/>
  <c r="AM14" i="17"/>
  <c r="AN14" i="17"/>
  <c r="AO14" i="17"/>
  <c r="AP14" i="17"/>
  <c r="AI15" i="17"/>
  <c r="AJ15" i="17"/>
  <c r="AK15" i="17"/>
  <c r="AL15" i="17"/>
  <c r="AM15" i="17"/>
  <c r="AN15" i="17"/>
  <c r="AO15" i="17"/>
  <c r="AP15" i="17"/>
  <c r="AI16" i="17"/>
  <c r="AJ16" i="17"/>
  <c r="AK16" i="17"/>
  <c r="AL16" i="17"/>
  <c r="AM16" i="17"/>
  <c r="AN16" i="17"/>
  <c r="AO16" i="17"/>
  <c r="AP16" i="17"/>
  <c r="AI17" i="17"/>
  <c r="AJ17" i="17"/>
  <c r="AK17" i="17"/>
  <c r="AL17" i="17"/>
  <c r="AM17" i="17"/>
  <c r="AN17" i="17"/>
  <c r="AO17" i="17"/>
  <c r="AP17" i="17"/>
  <c r="AI18" i="17"/>
  <c r="AJ18" i="17"/>
  <c r="AK18" i="17"/>
  <c r="AL18" i="17"/>
  <c r="AM18" i="17"/>
  <c r="AN18" i="17"/>
  <c r="AO18" i="17"/>
  <c r="AP18" i="17"/>
  <c r="AI19" i="17"/>
  <c r="AJ19" i="17"/>
  <c r="AK19" i="17"/>
  <c r="AL19" i="17"/>
  <c r="AM19" i="17"/>
  <c r="AN19" i="17"/>
  <c r="AO19" i="17"/>
  <c r="AP19" i="17"/>
  <c r="AI20" i="17"/>
  <c r="AJ20" i="17"/>
  <c r="AK20" i="17"/>
  <c r="AL20" i="17"/>
  <c r="AM20" i="17"/>
  <c r="AN20" i="17"/>
  <c r="AO20" i="17"/>
  <c r="AP20" i="17"/>
  <c r="AI21" i="17"/>
  <c r="AJ21" i="17"/>
  <c r="AK21" i="17"/>
  <c r="AL21" i="17"/>
  <c r="AM21" i="17"/>
  <c r="AN21" i="17"/>
  <c r="AO21" i="17"/>
  <c r="AP21" i="17"/>
  <c r="AI22" i="17"/>
  <c r="AJ22" i="17"/>
  <c r="AK22" i="17"/>
  <c r="AL22" i="17"/>
  <c r="AM22" i="17"/>
  <c r="AN22" i="17"/>
  <c r="AO22" i="17"/>
  <c r="AP22" i="17"/>
  <c r="AI23" i="17"/>
  <c r="AJ23" i="17"/>
  <c r="AK23" i="17"/>
  <c r="AL23" i="17"/>
  <c r="AM23" i="17"/>
  <c r="AN23" i="17"/>
  <c r="AO23" i="17"/>
  <c r="AP23" i="17"/>
  <c r="AI24" i="17"/>
  <c r="AJ24" i="17"/>
  <c r="AK24" i="17"/>
  <c r="AL24" i="17"/>
  <c r="AM24" i="17"/>
  <c r="AN24" i="17"/>
  <c r="AO24" i="17"/>
  <c r="AP24" i="17"/>
  <c r="AI25" i="17"/>
  <c r="AJ25" i="17"/>
  <c r="AK25" i="17"/>
  <c r="AL25" i="17"/>
  <c r="AM25" i="17"/>
  <c r="AN25" i="17"/>
  <c r="AO25" i="17"/>
  <c r="AP25" i="17"/>
  <c r="AI26" i="17"/>
  <c r="AJ26" i="17"/>
  <c r="AK26" i="17"/>
  <c r="AL26" i="17"/>
  <c r="AM26" i="17"/>
  <c r="AN26" i="17"/>
  <c r="AO26" i="17"/>
  <c r="AP26" i="17"/>
  <c r="AI27" i="17"/>
  <c r="AJ27" i="17"/>
  <c r="AK27" i="17"/>
  <c r="AL27" i="17"/>
  <c r="AM27" i="17"/>
  <c r="AN27" i="17"/>
  <c r="AO27" i="17"/>
  <c r="AP27" i="17"/>
  <c r="AI28" i="17"/>
  <c r="AJ28" i="17"/>
  <c r="AK28" i="17"/>
  <c r="AL28" i="17"/>
  <c r="AM28" i="17"/>
  <c r="AN28" i="17"/>
  <c r="AO28" i="17"/>
  <c r="AP28" i="17"/>
  <c r="AI29" i="17"/>
  <c r="AJ29" i="17"/>
  <c r="AK29" i="17"/>
  <c r="AL29" i="17"/>
  <c r="AM29" i="17"/>
  <c r="AN29" i="17"/>
  <c r="AO29" i="17"/>
  <c r="AP29" i="17"/>
  <c r="AI30" i="17"/>
  <c r="AJ30" i="17"/>
  <c r="AK30" i="17"/>
  <c r="AL30" i="17"/>
  <c r="AM30" i="17"/>
  <c r="AN30" i="17"/>
  <c r="AO30" i="17"/>
  <c r="AP30" i="17"/>
  <c r="AI31" i="17"/>
  <c r="AJ31" i="17"/>
  <c r="AK31" i="17"/>
  <c r="AL31" i="17"/>
  <c r="AM31" i="17"/>
  <c r="AN31" i="17"/>
  <c r="AO31" i="17"/>
  <c r="AP31" i="17"/>
  <c r="AI32" i="17"/>
  <c r="AJ32" i="17"/>
  <c r="AK32" i="17"/>
  <c r="AL32" i="17"/>
  <c r="AM32" i="17"/>
  <c r="AN32" i="17"/>
  <c r="AO32" i="17"/>
  <c r="AP32" i="17"/>
  <c r="AI33" i="17"/>
  <c r="AJ33" i="17"/>
  <c r="AK33" i="17"/>
  <c r="AL33" i="17"/>
  <c r="AM33" i="17"/>
  <c r="AN33" i="17"/>
  <c r="AO33" i="17"/>
  <c r="AP33" i="17"/>
  <c r="AI34" i="17"/>
  <c r="AJ34" i="17"/>
  <c r="AK34" i="17"/>
  <c r="AL34" i="17"/>
  <c r="AM34" i="17"/>
  <c r="AN34" i="17"/>
  <c r="AO34" i="17"/>
  <c r="AP34" i="17"/>
  <c r="AI35" i="17"/>
  <c r="AJ35" i="17"/>
  <c r="AK35" i="17"/>
  <c r="AL35" i="17"/>
  <c r="AM35" i="17"/>
  <c r="AN35" i="17"/>
  <c r="AO35" i="17"/>
  <c r="AP35" i="17"/>
  <c r="AI36" i="17"/>
  <c r="AJ36" i="17"/>
  <c r="AK36" i="17"/>
  <c r="AL36" i="17"/>
  <c r="AM36" i="17"/>
  <c r="AN36" i="17"/>
  <c r="AO36" i="17"/>
  <c r="AP36" i="17"/>
  <c r="AI37" i="17"/>
  <c r="AJ37" i="17"/>
  <c r="AK37" i="17"/>
  <c r="AL37" i="17"/>
  <c r="AM37" i="17"/>
  <c r="AN37" i="17"/>
  <c r="AO37" i="17"/>
  <c r="AP37" i="17"/>
  <c r="AI38" i="17"/>
  <c r="AJ38" i="17"/>
  <c r="AK38" i="17"/>
  <c r="AL38" i="17"/>
  <c r="AM38" i="17"/>
  <c r="AN38" i="17"/>
  <c r="AO38" i="17"/>
  <c r="AP38" i="17"/>
  <c r="AI39" i="17"/>
  <c r="AJ39" i="17"/>
  <c r="AK39" i="17"/>
  <c r="AL39" i="17"/>
  <c r="AM39" i="17"/>
  <c r="AN39" i="17"/>
  <c r="AO39" i="17"/>
  <c r="AP39" i="17"/>
  <c r="AI40" i="17"/>
  <c r="AJ40" i="17"/>
  <c r="AK40" i="17"/>
  <c r="AL40" i="17"/>
  <c r="AM40" i="17"/>
  <c r="AN40" i="17"/>
  <c r="AO40" i="17"/>
  <c r="AP40" i="17"/>
  <c r="AI41" i="17"/>
  <c r="AJ41" i="17"/>
  <c r="AK41" i="17"/>
  <c r="AL41" i="17"/>
  <c r="AM41" i="17"/>
  <c r="AN41" i="17"/>
  <c r="AO41" i="17"/>
  <c r="AP41" i="17"/>
  <c r="AI42" i="17"/>
  <c r="AJ42" i="17"/>
  <c r="AK42" i="17"/>
  <c r="AL42" i="17"/>
  <c r="AM42" i="17"/>
  <c r="AN42" i="17"/>
  <c r="AO42" i="17"/>
  <c r="AP42" i="17"/>
  <c r="AI43" i="17"/>
  <c r="AJ43" i="17"/>
  <c r="AK43" i="17"/>
  <c r="AL43" i="17"/>
  <c r="AM43" i="17"/>
  <c r="AN43" i="17"/>
  <c r="AO43" i="17"/>
  <c r="AP43" i="17"/>
  <c r="AI44" i="17"/>
  <c r="AJ44" i="17"/>
  <c r="AK44" i="17"/>
  <c r="AL44" i="17"/>
  <c r="AM44" i="17"/>
  <c r="AN44" i="17"/>
  <c r="AO44" i="17"/>
  <c r="AP44" i="17"/>
  <c r="AI45" i="17"/>
  <c r="AJ45" i="17"/>
  <c r="AK45" i="17"/>
  <c r="AL45" i="17"/>
  <c r="AM45" i="17"/>
  <c r="AN45" i="17"/>
  <c r="AO45" i="17"/>
  <c r="AP45" i="17"/>
  <c r="AI46" i="17"/>
  <c r="AJ46" i="17"/>
  <c r="AK46" i="17"/>
  <c r="AL46" i="17"/>
  <c r="AM46" i="17"/>
  <c r="AN46" i="17"/>
  <c r="AO46" i="17"/>
  <c r="AP46" i="17"/>
  <c r="AI47" i="17"/>
  <c r="AJ47" i="17"/>
  <c r="AK47" i="17"/>
  <c r="AL47" i="17"/>
  <c r="AM47" i="17"/>
  <c r="AN47" i="17"/>
  <c r="AO47" i="17"/>
  <c r="AP47" i="17"/>
  <c r="AI48" i="17"/>
  <c r="AJ48" i="17"/>
  <c r="AK48" i="17"/>
  <c r="AL48" i="17"/>
  <c r="AM48" i="17"/>
  <c r="AN48" i="17"/>
  <c r="AO48" i="17"/>
  <c r="AP48" i="17"/>
  <c r="AI49" i="17"/>
  <c r="AJ49" i="17"/>
  <c r="AK49" i="17"/>
  <c r="AL49" i="17"/>
  <c r="AM49" i="17"/>
  <c r="AN49" i="17"/>
  <c r="AO49" i="17"/>
  <c r="AP49" i="17"/>
  <c r="AI50" i="17"/>
  <c r="AJ50" i="17"/>
  <c r="AK50" i="17"/>
  <c r="AL50" i="17"/>
  <c r="AM50" i="17"/>
  <c r="AN50" i="17"/>
  <c r="AO50" i="17"/>
  <c r="AP50" i="17"/>
  <c r="AI51" i="17"/>
  <c r="AJ51" i="17"/>
  <c r="AK51" i="17"/>
  <c r="AL51" i="17"/>
  <c r="AM51" i="17"/>
  <c r="AN51" i="17"/>
  <c r="AO51" i="17"/>
  <c r="AP51" i="17"/>
  <c r="AI52" i="17"/>
  <c r="AJ52" i="17"/>
  <c r="AK52" i="17"/>
  <c r="AL52" i="17"/>
  <c r="AM52" i="17"/>
  <c r="AN52" i="17"/>
  <c r="AO52" i="17"/>
  <c r="AP52" i="17"/>
  <c r="AI53" i="17"/>
  <c r="AJ53" i="17"/>
  <c r="AK53" i="17"/>
  <c r="AL53" i="17"/>
  <c r="AM53" i="17"/>
  <c r="AN53" i="17"/>
  <c r="AO53" i="17"/>
  <c r="AP53" i="17"/>
  <c r="AI54" i="17"/>
  <c r="AJ54" i="17"/>
  <c r="AK54" i="17"/>
  <c r="AL54" i="17"/>
  <c r="AM54" i="17"/>
  <c r="AN54" i="17"/>
  <c r="AO54" i="17"/>
  <c r="AP54" i="17"/>
  <c r="AI55" i="17"/>
  <c r="AJ55" i="17"/>
  <c r="AK55" i="17"/>
  <c r="AL55" i="17"/>
  <c r="AM55" i="17"/>
  <c r="AN55" i="17"/>
  <c r="AO55" i="17"/>
  <c r="AP55" i="17"/>
  <c r="AI56" i="17"/>
  <c r="AJ56" i="17"/>
  <c r="AK56" i="17"/>
  <c r="AL56" i="17"/>
  <c r="AM56" i="17"/>
  <c r="AN56" i="17"/>
  <c r="AO56" i="17"/>
  <c r="AP56" i="17"/>
  <c r="AI57" i="17"/>
  <c r="AJ57" i="17"/>
  <c r="AK57" i="17"/>
  <c r="AL57" i="17"/>
  <c r="AM57" i="17"/>
  <c r="AN57" i="17"/>
  <c r="AO57" i="17"/>
  <c r="AP57" i="17"/>
  <c r="AI58" i="17"/>
  <c r="AJ58" i="17"/>
  <c r="AK58" i="17"/>
  <c r="AL58" i="17"/>
  <c r="AM58" i="17"/>
  <c r="AN58" i="17"/>
  <c r="AO58" i="17"/>
  <c r="AP58" i="17"/>
  <c r="AI59" i="17"/>
  <c r="AJ59" i="17"/>
  <c r="AK59" i="17"/>
  <c r="AL59" i="17"/>
  <c r="AM59" i="17"/>
  <c r="AN59" i="17"/>
  <c r="AO59" i="17"/>
  <c r="AP59" i="17"/>
  <c r="AI60" i="17"/>
  <c r="AJ60" i="17"/>
  <c r="AK60" i="17"/>
  <c r="AL60" i="17"/>
  <c r="AM60" i="17"/>
  <c r="AN60" i="17"/>
  <c r="AO60" i="17"/>
  <c r="AP60" i="17"/>
  <c r="AI61" i="17"/>
  <c r="AJ61" i="17"/>
  <c r="AK61" i="17"/>
  <c r="AL61" i="17"/>
  <c r="AM61" i="17"/>
  <c r="AN61" i="17"/>
  <c r="AO61" i="17"/>
  <c r="AP61" i="17"/>
  <c r="AI62" i="17"/>
  <c r="AJ62" i="17"/>
  <c r="AK62" i="17"/>
  <c r="AL62" i="17"/>
  <c r="AM62" i="17"/>
  <c r="AN62" i="17"/>
  <c r="AO62" i="17"/>
  <c r="AP62" i="17"/>
  <c r="AI63" i="17"/>
  <c r="AJ63" i="17"/>
  <c r="AK63" i="17"/>
  <c r="AL63" i="17"/>
  <c r="AM63" i="17"/>
  <c r="AN63" i="17"/>
  <c r="AO63" i="17"/>
  <c r="AP63" i="17"/>
  <c r="AI64" i="17"/>
  <c r="AJ64" i="17"/>
  <c r="AK64" i="17"/>
  <c r="AL64" i="17"/>
  <c r="AM64" i="17"/>
  <c r="AN64" i="17"/>
  <c r="AO64" i="17"/>
  <c r="AP64" i="17"/>
  <c r="AI65" i="17"/>
  <c r="AJ65" i="17"/>
  <c r="AK65" i="17"/>
  <c r="AL65" i="17"/>
  <c r="AM65" i="17"/>
  <c r="AN65" i="17"/>
  <c r="AO65" i="17"/>
  <c r="AP65" i="17"/>
  <c r="AI66" i="17"/>
  <c r="AJ66" i="17"/>
  <c r="AK66" i="17"/>
  <c r="AL66" i="17"/>
  <c r="AM66" i="17" s="1"/>
  <c r="AN66" i="17" s="1"/>
  <c r="AO66" i="17" s="1"/>
  <c r="AP66" i="17" s="1"/>
  <c r="AI67" i="17"/>
  <c r="AJ67" i="17"/>
  <c r="AK67" i="17"/>
  <c r="AL67" i="17"/>
  <c r="AM67" i="17"/>
  <c r="AN67" i="17"/>
  <c r="AO67" i="17"/>
  <c r="AP67" i="17"/>
  <c r="AI68" i="17"/>
  <c r="AJ68" i="17"/>
  <c r="AK68" i="17"/>
  <c r="AL68" i="17"/>
  <c r="AM68" i="17"/>
  <c r="AN68" i="17"/>
  <c r="AO68" i="17"/>
  <c r="AP68" i="17"/>
  <c r="AI69" i="17"/>
  <c r="AJ69" i="17"/>
  <c r="AK69" i="17"/>
  <c r="AL69" i="17"/>
  <c r="AM69" i="17"/>
  <c r="AN69" i="17"/>
  <c r="AO69" i="17"/>
  <c r="AP69" i="17"/>
  <c r="AI70" i="17"/>
  <c r="AJ70" i="17"/>
  <c r="AK70" i="17"/>
  <c r="AL70" i="17"/>
  <c r="AM70" i="17"/>
  <c r="AN70" i="17"/>
  <c r="AO70" i="17"/>
  <c r="AP70" i="17"/>
  <c r="AI71" i="17"/>
  <c r="AJ71" i="17"/>
  <c r="AK71" i="17"/>
  <c r="AL71" i="17"/>
  <c r="AM71" i="17"/>
  <c r="AN71" i="17"/>
  <c r="AO71" i="17"/>
  <c r="AP71" i="17"/>
  <c r="AI72" i="17"/>
  <c r="AJ72" i="17"/>
  <c r="AK72" i="17"/>
  <c r="AL72" i="17"/>
  <c r="AM72" i="17"/>
  <c r="AN72" i="17"/>
  <c r="AO72" i="17"/>
  <c r="AP72" i="17"/>
  <c r="AI73" i="17"/>
  <c r="AJ73" i="17"/>
  <c r="AK73" i="17"/>
  <c r="AL73" i="17"/>
  <c r="AM73" i="17"/>
  <c r="AN73" i="17"/>
  <c r="AO73" i="17"/>
  <c r="AP73" i="17"/>
  <c r="AI74" i="17"/>
  <c r="AJ74" i="17"/>
  <c r="AK74" i="17"/>
  <c r="AL74" i="17"/>
  <c r="AM74" i="17"/>
  <c r="AN74" i="17"/>
  <c r="AO74" i="17"/>
  <c r="AP74" i="17"/>
  <c r="AI75" i="17"/>
  <c r="AJ75" i="17"/>
  <c r="AK75" i="17"/>
  <c r="AL75" i="17"/>
  <c r="AM75" i="17"/>
  <c r="AN75" i="17"/>
  <c r="AO75" i="17"/>
  <c r="AP75" i="17"/>
  <c r="AI76" i="17"/>
  <c r="AJ76" i="17"/>
  <c r="AK76" i="17"/>
  <c r="AL76" i="17"/>
  <c r="AM76" i="17" s="1"/>
  <c r="AN76" i="17" s="1"/>
  <c r="AO76" i="17" s="1"/>
  <c r="AP76" i="17" s="1"/>
  <c r="AI77" i="17"/>
  <c r="AJ77" i="17"/>
  <c r="AK77" i="17"/>
  <c r="AL77" i="17"/>
  <c r="AM77" i="17"/>
  <c r="AN77" i="17"/>
  <c r="AO77" i="17"/>
  <c r="AP77" i="17"/>
  <c r="AI78" i="17"/>
  <c r="AJ78" i="17"/>
  <c r="AK78" i="17"/>
  <c r="AL78" i="17"/>
  <c r="AM78" i="17"/>
  <c r="AN78" i="17"/>
  <c r="AO78" i="17"/>
  <c r="AP78" i="17"/>
  <c r="AI79" i="17"/>
  <c r="AJ79" i="17"/>
  <c r="AK79" i="17"/>
  <c r="AL79" i="17"/>
  <c r="AM79" i="17"/>
  <c r="AN79" i="17"/>
  <c r="AO79" i="17"/>
  <c r="AP79" i="17"/>
  <c r="AI80" i="17"/>
  <c r="AJ80" i="17"/>
  <c r="AK80" i="17"/>
  <c r="AL80" i="17"/>
  <c r="AM80" i="17"/>
  <c r="AN80" i="17"/>
  <c r="AO80" i="17"/>
  <c r="AP80" i="17"/>
  <c r="AI81" i="17"/>
  <c r="AJ81" i="17"/>
  <c r="AK81" i="17"/>
  <c r="AL81" i="17"/>
  <c r="AM81" i="17"/>
  <c r="AN81" i="17"/>
  <c r="AO81" i="17"/>
  <c r="AP81" i="17"/>
  <c r="AI82" i="17"/>
  <c r="AJ82" i="17"/>
  <c r="AK82" i="17"/>
  <c r="AL82" i="17"/>
  <c r="AM82" i="17"/>
  <c r="AN82" i="17"/>
  <c r="AO82" i="17"/>
  <c r="AP82" i="17"/>
  <c r="AI83" i="17"/>
  <c r="AJ83" i="17"/>
  <c r="AK83" i="17"/>
  <c r="AL83" i="17"/>
  <c r="AM83" i="17"/>
  <c r="AN83" i="17"/>
  <c r="AO83" i="17"/>
  <c r="AP83" i="17"/>
  <c r="AI84" i="17"/>
  <c r="AJ84" i="17"/>
  <c r="AK84" i="17"/>
  <c r="AL84" i="17"/>
  <c r="AM84" i="17"/>
  <c r="AN84" i="17"/>
  <c r="AO84" i="17"/>
  <c r="AP84" i="17"/>
  <c r="AI85" i="17"/>
  <c r="AJ85" i="17"/>
  <c r="AK85" i="17"/>
  <c r="AL85" i="17"/>
  <c r="AM85" i="17"/>
  <c r="AN85" i="17"/>
  <c r="AO85" i="17"/>
  <c r="AP85" i="17"/>
  <c r="AI86" i="17"/>
  <c r="AJ86" i="17"/>
  <c r="AK86" i="17"/>
  <c r="AL86" i="17"/>
  <c r="AM86" i="17"/>
  <c r="AN86" i="17"/>
  <c r="AO86" i="17"/>
  <c r="AP86" i="17"/>
  <c r="AI87" i="17"/>
  <c r="AJ87" i="17"/>
  <c r="AK87" i="17"/>
  <c r="AL87" i="17"/>
  <c r="AM87" i="17"/>
  <c r="AN87" i="17"/>
  <c r="AO87" i="17"/>
  <c r="AP87" i="17"/>
  <c r="AI88" i="17"/>
  <c r="AJ88" i="17"/>
  <c r="AK88" i="17"/>
  <c r="AL88" i="17"/>
  <c r="AM88" i="17"/>
  <c r="AN88" i="17"/>
  <c r="AO88" i="17"/>
  <c r="AP88" i="17"/>
  <c r="AI89" i="17"/>
  <c r="AJ89" i="17"/>
  <c r="AK89" i="17"/>
  <c r="AL89" i="17"/>
  <c r="AM89" i="17"/>
  <c r="AN89" i="17"/>
  <c r="AO89" i="17"/>
  <c r="AP89" i="17"/>
  <c r="AI90" i="17"/>
  <c r="AJ90" i="17"/>
  <c r="AK90" i="17"/>
  <c r="AL90" i="17"/>
  <c r="AM90" i="17" s="1"/>
  <c r="AN90" i="17" s="1"/>
  <c r="AO90" i="17" s="1"/>
  <c r="AP90" i="17" s="1"/>
  <c r="AI91" i="17"/>
  <c r="AJ91" i="17"/>
  <c r="AK91" i="17"/>
  <c r="AL91" i="17"/>
  <c r="AM91" i="17"/>
  <c r="AN91" i="17"/>
  <c r="AO91" i="17"/>
  <c r="AP91" i="17"/>
  <c r="AI92" i="17"/>
  <c r="AJ92" i="17"/>
  <c r="AK92" i="17"/>
  <c r="AL92" i="17"/>
  <c r="AM92" i="17"/>
  <c r="AN92" i="17"/>
  <c r="AO92" i="17"/>
  <c r="AP92" i="17"/>
  <c r="AI93" i="17"/>
  <c r="AJ93" i="17"/>
  <c r="AK93" i="17"/>
  <c r="AL93" i="17"/>
  <c r="AM93" i="17"/>
  <c r="AN93" i="17"/>
  <c r="AO93" i="17"/>
  <c r="AP93" i="17"/>
  <c r="AI94" i="17"/>
  <c r="AJ94" i="17"/>
  <c r="AK94" i="17"/>
  <c r="AL94" i="17"/>
  <c r="AM94" i="17"/>
  <c r="AN94" i="17"/>
  <c r="AO94" i="17"/>
  <c r="AP94" i="17"/>
  <c r="AI95" i="17"/>
  <c r="AJ95" i="17"/>
  <c r="AK95" i="17"/>
  <c r="AL95" i="17"/>
  <c r="AM95" i="17"/>
  <c r="AN95" i="17"/>
  <c r="AO95" i="17"/>
  <c r="AP95" i="17"/>
  <c r="AI96" i="17"/>
  <c r="AJ96" i="17"/>
  <c r="AK96" i="17"/>
  <c r="AL96" i="17"/>
  <c r="AM96" i="17"/>
  <c r="AN96" i="17"/>
  <c r="AO96" i="17"/>
  <c r="AP96" i="17"/>
  <c r="AI97" i="17"/>
  <c r="AJ97" i="17"/>
  <c r="AK97" i="17"/>
  <c r="AL97" i="17"/>
  <c r="AM97" i="17"/>
  <c r="AN97" i="17"/>
  <c r="AO97" i="17"/>
  <c r="AP97" i="17"/>
  <c r="AI98" i="17"/>
  <c r="AJ98" i="17"/>
  <c r="AK98" i="17"/>
  <c r="AL98" i="17"/>
  <c r="AM98" i="17"/>
  <c r="AN98" i="17"/>
  <c r="AO98" i="17"/>
  <c r="AP98" i="17"/>
  <c r="AI99" i="17"/>
  <c r="AJ99" i="17"/>
  <c r="AK99" i="17"/>
  <c r="AL99" i="17"/>
  <c r="AM99" i="17"/>
  <c r="AN99" i="17"/>
  <c r="AO99" i="17"/>
  <c r="AP99" i="17"/>
  <c r="AI100" i="17"/>
  <c r="AJ100" i="17"/>
  <c r="AK100" i="17"/>
  <c r="AL100" i="17"/>
  <c r="AM100" i="17"/>
  <c r="AN100" i="17"/>
  <c r="AO100" i="17"/>
  <c r="AP100" i="17"/>
  <c r="AI101" i="17"/>
  <c r="AJ101" i="17"/>
  <c r="AK101" i="17"/>
  <c r="AL101" i="17"/>
  <c r="AM101" i="17"/>
  <c r="AN101" i="17"/>
  <c r="AO101" i="17"/>
  <c r="AP101" i="17"/>
  <c r="AI102" i="17"/>
  <c r="AJ102" i="17"/>
  <c r="AK102" i="17"/>
  <c r="AL102" i="17"/>
  <c r="AM102" i="17"/>
  <c r="AN102" i="17"/>
  <c r="AO102" i="17"/>
  <c r="AP102" i="17"/>
  <c r="AI103" i="17"/>
  <c r="AJ103" i="17"/>
  <c r="AK103" i="17"/>
  <c r="AL103" i="17"/>
  <c r="AM103" i="17"/>
  <c r="AN103" i="17"/>
  <c r="AO103" i="17"/>
  <c r="AP103" i="17"/>
  <c r="AI104" i="17"/>
  <c r="AJ104" i="17"/>
  <c r="AK104" i="17"/>
  <c r="AL104" i="17"/>
  <c r="AM104" i="17"/>
  <c r="AN104" i="17"/>
  <c r="AO104" i="17"/>
  <c r="AP104" i="17"/>
  <c r="AI105" i="17"/>
  <c r="AJ105" i="17"/>
  <c r="AK105" i="17"/>
  <c r="AL105" i="17"/>
  <c r="AM105" i="17"/>
  <c r="AN105" i="17"/>
  <c r="AO105" i="17"/>
  <c r="AP105" i="17"/>
  <c r="AI106" i="17"/>
  <c r="AJ106" i="17"/>
  <c r="AK106" i="17"/>
  <c r="AL106" i="17"/>
  <c r="AM106" i="17"/>
  <c r="AN106" i="17"/>
  <c r="AO106" i="17"/>
  <c r="AP106" i="17"/>
  <c r="AI107" i="17"/>
  <c r="AJ107" i="17"/>
  <c r="AK107" i="17"/>
  <c r="AL107" i="17"/>
  <c r="AM107" i="17"/>
  <c r="AN107" i="17"/>
  <c r="AO107" i="17"/>
  <c r="AP107" i="17"/>
  <c r="AI108" i="17"/>
  <c r="AJ108" i="17"/>
  <c r="AK108" i="17"/>
  <c r="AL108" i="17"/>
  <c r="AM108" i="17"/>
  <c r="AN108" i="17"/>
  <c r="AO108" i="17"/>
  <c r="AP108" i="17"/>
  <c r="AI109" i="17"/>
  <c r="AJ109" i="17"/>
  <c r="AK109" i="17"/>
  <c r="AL109" i="17"/>
  <c r="AM109" i="17"/>
  <c r="AN109" i="17"/>
  <c r="AO109" i="17"/>
  <c r="AP109" i="17"/>
  <c r="AI110" i="17"/>
  <c r="AJ110" i="17"/>
  <c r="AK110" i="17"/>
  <c r="AL110" i="17"/>
  <c r="AM110" i="17"/>
  <c r="AN110" i="17"/>
  <c r="AO110" i="17"/>
  <c r="AP110" i="17"/>
  <c r="AI111" i="17"/>
  <c r="AJ111" i="17"/>
  <c r="AK111" i="17"/>
  <c r="AL111" i="17"/>
  <c r="AM111" i="17"/>
  <c r="AN111" i="17"/>
  <c r="AO111" i="17"/>
  <c r="AP111" i="17"/>
  <c r="AI112" i="17"/>
  <c r="AJ112" i="17"/>
  <c r="AK112" i="17"/>
  <c r="AL112" i="17"/>
  <c r="AM112" i="17"/>
  <c r="AN112" i="17"/>
  <c r="AO112" i="17"/>
  <c r="AP112" i="17"/>
  <c r="AI113" i="17"/>
  <c r="AJ113" i="17"/>
  <c r="AK113" i="17"/>
  <c r="AL113" i="17"/>
  <c r="AM113" i="17"/>
  <c r="AN113" i="17"/>
  <c r="AO113" i="17"/>
  <c r="AP113" i="17"/>
  <c r="AI114" i="17"/>
  <c r="AJ114" i="17"/>
  <c r="AK114" i="17"/>
  <c r="AL114" i="17"/>
  <c r="AM114" i="17"/>
  <c r="AN114" i="17"/>
  <c r="AO114" i="17"/>
  <c r="AP114" i="17"/>
  <c r="AI115" i="17"/>
  <c r="AJ115" i="17"/>
  <c r="AK115" i="17"/>
  <c r="AL115" i="17"/>
  <c r="AM115" i="17"/>
  <c r="AN115" i="17"/>
  <c r="AO115" i="17"/>
  <c r="AP115" i="17"/>
  <c r="AI116" i="17"/>
  <c r="AJ116" i="17"/>
  <c r="AK116" i="17"/>
  <c r="AL116" i="17"/>
  <c r="AM116" i="17"/>
  <c r="AN116" i="17"/>
  <c r="AO116" i="17"/>
  <c r="AP116" i="17"/>
  <c r="AI117" i="17"/>
  <c r="AJ117" i="17"/>
  <c r="AK117" i="17"/>
  <c r="AL117" i="17"/>
  <c r="AM117" i="17"/>
  <c r="AN117" i="17"/>
  <c r="AO117" i="17"/>
  <c r="AP117" i="17"/>
  <c r="AI118" i="17"/>
  <c r="AJ118" i="17"/>
  <c r="AK118" i="17"/>
  <c r="AL118" i="17"/>
  <c r="AM118" i="17"/>
  <c r="AN118" i="17"/>
  <c r="AO118" i="17"/>
  <c r="AP118" i="17"/>
  <c r="AI119" i="17"/>
  <c r="AJ119" i="17"/>
  <c r="AK119" i="17"/>
  <c r="AL119" i="17"/>
  <c r="AM119" i="17"/>
  <c r="AN119" i="17"/>
  <c r="AO119" i="17"/>
  <c r="AP119" i="17"/>
  <c r="AI120" i="17"/>
  <c r="AJ120" i="17"/>
  <c r="AK120" i="17"/>
  <c r="AL120" i="17"/>
  <c r="AM120" i="17"/>
  <c r="AN120" i="17"/>
  <c r="AO120" i="17"/>
  <c r="AP120" i="17"/>
  <c r="AI121" i="17"/>
  <c r="AJ121" i="17"/>
  <c r="AK121" i="17"/>
  <c r="AL121" i="17"/>
  <c r="AM121" i="17"/>
  <c r="AN121" i="17"/>
  <c r="AO121" i="17"/>
  <c r="AP121" i="17"/>
  <c r="AI122" i="17"/>
  <c r="AJ122" i="17"/>
  <c r="AK122" i="17"/>
  <c r="AL122" i="17"/>
  <c r="AM122" i="17"/>
  <c r="AN122" i="17"/>
  <c r="AO122" i="17"/>
  <c r="AP122" i="17"/>
  <c r="AI123" i="17"/>
  <c r="AJ123" i="17"/>
  <c r="AK123" i="17"/>
  <c r="AL123" i="17"/>
  <c r="AM123" i="17"/>
  <c r="AN123" i="17"/>
  <c r="AO123" i="17"/>
  <c r="AP123" i="17"/>
  <c r="AI124" i="17"/>
  <c r="AJ124" i="17"/>
  <c r="AK124" i="17"/>
  <c r="AL124" i="17"/>
  <c r="AM124" i="17"/>
  <c r="AN124" i="17"/>
  <c r="AO124" i="17"/>
  <c r="AP124" i="17"/>
  <c r="AI125" i="17"/>
  <c r="AJ125" i="17"/>
  <c r="AK125" i="17"/>
  <c r="AL125" i="17"/>
  <c r="AM125" i="17"/>
  <c r="AN125" i="17"/>
  <c r="AO125" i="17"/>
  <c r="AP125" i="17"/>
  <c r="AI126" i="17"/>
  <c r="AJ126" i="17"/>
  <c r="AK126" i="17"/>
  <c r="AL126" i="17"/>
  <c r="AM126" i="17"/>
  <c r="AN126" i="17"/>
  <c r="AO126" i="17"/>
  <c r="AP126" i="17"/>
  <c r="AI127" i="17"/>
  <c r="AJ127" i="17"/>
  <c r="AK127" i="17"/>
  <c r="AL127" i="17"/>
  <c r="AM127" i="17"/>
  <c r="AN127" i="17"/>
  <c r="AO127" i="17"/>
  <c r="AP127" i="17"/>
  <c r="AI128" i="17"/>
  <c r="AJ128" i="17"/>
  <c r="AK128" i="17"/>
  <c r="AL128" i="17"/>
  <c r="AM128" i="17"/>
  <c r="AN128" i="17"/>
  <c r="AO128" i="17"/>
  <c r="AP128" i="17"/>
  <c r="AI129" i="17"/>
  <c r="AJ129" i="17"/>
  <c r="AK129" i="17"/>
  <c r="AL129" i="17"/>
  <c r="AM129" i="17"/>
  <c r="AN129" i="17"/>
  <c r="AO129" i="17"/>
  <c r="AP129" i="17"/>
  <c r="AI130" i="17"/>
  <c r="AJ130" i="17"/>
  <c r="AK130" i="17"/>
  <c r="AL130" i="17"/>
  <c r="AM130" i="17"/>
  <c r="AN130" i="17"/>
  <c r="AO130" i="17"/>
  <c r="AP130" i="17"/>
  <c r="AI131" i="17"/>
  <c r="AJ131" i="17"/>
  <c r="AK131" i="17"/>
  <c r="AL131" i="17"/>
  <c r="AM131" i="17"/>
  <c r="AN131" i="17"/>
  <c r="AO131" i="17"/>
  <c r="AP131" i="17"/>
  <c r="AI132" i="17"/>
  <c r="AJ132" i="17"/>
  <c r="AK132" i="17"/>
  <c r="AL132" i="17"/>
  <c r="AM132" i="17"/>
  <c r="AN132" i="17"/>
  <c r="AO132" i="17"/>
  <c r="AP132" i="17"/>
  <c r="AI133" i="17"/>
  <c r="AJ133" i="17"/>
  <c r="AK133" i="17"/>
  <c r="AL133" i="17"/>
  <c r="AM133" i="17"/>
  <c r="AN133" i="17"/>
  <c r="AO133" i="17"/>
  <c r="AP133" i="17"/>
  <c r="AI134" i="17"/>
  <c r="AJ134" i="17"/>
  <c r="AK134" i="17"/>
  <c r="AL134" i="17"/>
  <c r="AM134" i="17"/>
  <c r="AN134" i="17"/>
  <c r="AO134" i="17"/>
  <c r="AP134" i="17"/>
  <c r="AI135" i="17"/>
  <c r="AJ135" i="17"/>
  <c r="AK135" i="17"/>
  <c r="AL135" i="17"/>
  <c r="AM135" i="17"/>
  <c r="AN135" i="17"/>
  <c r="AO135" i="17"/>
  <c r="AP135" i="17"/>
  <c r="AI136" i="17"/>
  <c r="AJ136" i="17"/>
  <c r="AK136" i="17"/>
  <c r="AL136" i="17"/>
  <c r="AM136" i="17"/>
  <c r="AN136" i="17"/>
  <c r="AO136" i="17"/>
  <c r="AP136" i="17"/>
  <c r="AI137" i="17"/>
  <c r="AJ137" i="17"/>
  <c r="AK137" i="17"/>
  <c r="AL137" i="17"/>
  <c r="AM137" i="17"/>
  <c r="AN137" i="17"/>
  <c r="AO137" i="17"/>
  <c r="AP137" i="17"/>
  <c r="AI138" i="17"/>
  <c r="AJ138" i="17"/>
  <c r="AK138" i="17"/>
  <c r="AL138" i="17"/>
  <c r="AM138" i="17"/>
  <c r="AN138" i="17"/>
  <c r="AO138" i="17"/>
  <c r="AP138" i="17"/>
  <c r="AI139" i="17"/>
  <c r="AJ139" i="17"/>
  <c r="AK139" i="17"/>
  <c r="AL139" i="17"/>
  <c r="AM139" i="17"/>
  <c r="AN139" i="17"/>
  <c r="AO139" i="17"/>
  <c r="AP139" i="17"/>
  <c r="AI140" i="17"/>
  <c r="AJ140" i="17"/>
  <c r="AK140" i="17"/>
  <c r="AL140" i="17"/>
  <c r="AM140" i="17"/>
  <c r="AN140" i="17"/>
  <c r="AO140" i="17"/>
  <c r="AP140" i="17"/>
  <c r="AI141" i="17"/>
  <c r="AJ141" i="17"/>
  <c r="AK141" i="17"/>
  <c r="AL141" i="17"/>
  <c r="AM141" i="17" s="1"/>
  <c r="AN141" i="17" s="1"/>
  <c r="AO141" i="17" s="1"/>
  <c r="AP141" i="17" s="1"/>
  <c r="AI142" i="17"/>
  <c r="AJ142" i="17"/>
  <c r="AK142" i="17"/>
  <c r="AL142" i="17"/>
  <c r="AM142" i="17"/>
  <c r="AN142" i="17"/>
  <c r="AO142" i="17"/>
  <c r="AP142" i="17"/>
  <c r="AI143" i="17"/>
  <c r="AJ143" i="17"/>
  <c r="AK143" i="17"/>
  <c r="AL143" i="17"/>
  <c r="AM143" i="17"/>
  <c r="AN143" i="17"/>
  <c r="AO143" i="17"/>
  <c r="AP143" i="17"/>
  <c r="AI144" i="17"/>
  <c r="AJ144" i="17"/>
  <c r="AK144" i="17"/>
  <c r="AL144" i="17"/>
  <c r="AM144" i="17" s="1"/>
  <c r="AN144" i="17" s="1"/>
  <c r="AO144" i="17" s="1"/>
  <c r="AP144" i="17" s="1"/>
  <c r="AI145" i="17"/>
  <c r="AJ145" i="17"/>
  <c r="AK145" i="17"/>
  <c r="AL145" i="17"/>
  <c r="AM145" i="17"/>
  <c r="AN145" i="17"/>
  <c r="AO145" i="17"/>
  <c r="AP145" i="17"/>
  <c r="AI146" i="17"/>
  <c r="AJ146" i="17"/>
  <c r="AK146" i="17"/>
  <c r="AL146" i="17"/>
  <c r="AM146" i="17"/>
  <c r="AN146" i="17"/>
  <c r="AO146" i="17"/>
  <c r="AP146" i="17"/>
  <c r="AI147" i="17"/>
  <c r="AJ147" i="17"/>
  <c r="AK147" i="17"/>
  <c r="AL147" i="17"/>
  <c r="AM147" i="17"/>
  <c r="AN147" i="17"/>
  <c r="AO147" i="17"/>
  <c r="AP147" i="17"/>
  <c r="AI148" i="17"/>
  <c r="AJ148" i="17"/>
  <c r="AK148" i="17"/>
  <c r="AL148" i="17"/>
  <c r="AM148" i="17"/>
  <c r="AN148" i="17"/>
  <c r="AO148" i="17"/>
  <c r="AP148" i="17"/>
  <c r="AI149" i="17"/>
  <c r="AJ149" i="17"/>
  <c r="AK149" i="17"/>
  <c r="AL149" i="17"/>
  <c r="AM149" i="17"/>
  <c r="AN149" i="17"/>
  <c r="AO149" i="17"/>
  <c r="AP149" i="17"/>
  <c r="AI150" i="17"/>
  <c r="AJ150" i="17"/>
  <c r="AK150" i="17"/>
  <c r="AL150" i="17"/>
  <c r="AM150" i="17"/>
  <c r="AN150" i="17"/>
  <c r="AO150" i="17"/>
  <c r="AP150" i="17"/>
  <c r="AI151" i="17"/>
  <c r="AJ151" i="17"/>
  <c r="AK151" i="17"/>
  <c r="AL151" i="17"/>
  <c r="AM151" i="17"/>
  <c r="AN151" i="17"/>
  <c r="AO151" i="17"/>
  <c r="AP151" i="17"/>
  <c r="AI152" i="17"/>
  <c r="AJ152" i="17"/>
  <c r="AK152" i="17"/>
  <c r="AL152" i="17"/>
  <c r="AM152" i="17"/>
  <c r="AN152" i="17"/>
  <c r="AO152" i="17"/>
  <c r="AP152" i="17"/>
  <c r="AI153" i="17"/>
  <c r="AJ153" i="17"/>
  <c r="AK153" i="17"/>
  <c r="AL153" i="17"/>
  <c r="AM153" i="17"/>
  <c r="AN153" i="17"/>
  <c r="AO153" i="17"/>
  <c r="AP153" i="17"/>
  <c r="AI154" i="17"/>
  <c r="AJ154" i="17"/>
  <c r="AK154" i="17"/>
  <c r="AL154" i="17"/>
  <c r="AM154" i="17"/>
  <c r="AN154" i="17"/>
  <c r="AO154" i="17"/>
  <c r="AP154" i="17"/>
  <c r="AI155" i="17"/>
  <c r="AJ155" i="17"/>
  <c r="AK155" i="17"/>
  <c r="AL155" i="17"/>
  <c r="AM155" i="17"/>
  <c r="AN155" i="17"/>
  <c r="AO155" i="17"/>
  <c r="AP155" i="17"/>
  <c r="AI156" i="17"/>
  <c r="AJ156" i="17"/>
  <c r="AK156" i="17"/>
  <c r="AL156" i="17"/>
  <c r="AM156" i="17"/>
  <c r="AN156" i="17"/>
  <c r="AO156" i="17"/>
  <c r="AP156" i="17"/>
  <c r="AI157" i="17"/>
  <c r="AJ157" i="17"/>
  <c r="AK157" i="17"/>
  <c r="AL157" i="17"/>
  <c r="AM157" i="17"/>
  <c r="AN157" i="17"/>
  <c r="AO157" i="17"/>
  <c r="AP157" i="17"/>
  <c r="AI158" i="17"/>
  <c r="AJ158" i="17"/>
  <c r="AK158" i="17"/>
  <c r="AL158" i="17"/>
  <c r="AM158" i="17"/>
  <c r="AN158" i="17"/>
  <c r="AO158" i="17"/>
  <c r="AP158" i="17"/>
  <c r="AI159" i="17"/>
  <c r="AJ159" i="17"/>
  <c r="AK159" i="17"/>
  <c r="AL159" i="17"/>
  <c r="AM159" i="17"/>
  <c r="AN159" i="17"/>
  <c r="AO159" i="17"/>
  <c r="AP159" i="17"/>
  <c r="AI160" i="17"/>
  <c r="AJ160" i="17"/>
  <c r="AK160" i="17"/>
  <c r="AL160" i="17"/>
  <c r="AM160" i="17"/>
  <c r="AN160" i="17"/>
  <c r="AO160" i="17"/>
  <c r="AP160" i="17"/>
  <c r="AI161" i="17"/>
  <c r="AJ161" i="17"/>
  <c r="AK161" i="17"/>
  <c r="AL161" i="17"/>
  <c r="AM161" i="17"/>
  <c r="AN161" i="17"/>
  <c r="AO161" i="17"/>
  <c r="AP161" i="17"/>
  <c r="AI162" i="17"/>
  <c r="AJ162" i="17"/>
  <c r="AK162" i="17"/>
  <c r="AL162" i="17"/>
  <c r="AM162" i="17"/>
  <c r="AN162" i="17"/>
  <c r="AO162" i="17"/>
  <c r="AP162" i="17"/>
  <c r="AI163" i="17"/>
  <c r="AJ163" i="17"/>
  <c r="AK163" i="17"/>
  <c r="AL163" i="17"/>
  <c r="AM163" i="17"/>
  <c r="AN163" i="17"/>
  <c r="AO163" i="17"/>
  <c r="AP163" i="17"/>
  <c r="AI164" i="17"/>
  <c r="AJ164" i="17"/>
  <c r="AK164" i="17"/>
  <c r="AL164" i="17"/>
  <c r="AM164" i="17"/>
  <c r="AN164" i="17"/>
  <c r="AO164" i="17"/>
  <c r="AP164" i="17"/>
  <c r="AI165" i="17"/>
  <c r="AJ165" i="17"/>
  <c r="AK165" i="17"/>
  <c r="AL165" i="17"/>
  <c r="AM165" i="17"/>
  <c r="AN165" i="17"/>
  <c r="AO165" i="17"/>
  <c r="AP165" i="17"/>
  <c r="AI166" i="17"/>
  <c r="AJ166" i="17"/>
  <c r="AK166" i="17"/>
  <c r="AL166" i="17"/>
  <c r="AM166" i="17"/>
  <c r="AN166" i="17"/>
  <c r="AO166" i="17"/>
  <c r="AP166" i="17"/>
  <c r="AI167" i="17"/>
  <c r="AJ167" i="17"/>
  <c r="AK167" i="17"/>
  <c r="AL167" i="17"/>
  <c r="AM167" i="17"/>
  <c r="AN167" i="17"/>
  <c r="AO167" i="17"/>
  <c r="AP167" i="17"/>
  <c r="AI168" i="17"/>
  <c r="AJ168" i="17"/>
  <c r="AK168" i="17"/>
  <c r="AL168" i="17"/>
  <c r="AM168" i="17"/>
  <c r="AN168" i="17"/>
  <c r="AO168" i="17"/>
  <c r="AP168" i="17"/>
  <c r="AI169" i="17"/>
  <c r="AJ169" i="17"/>
  <c r="AK169" i="17"/>
  <c r="AL169" i="17"/>
  <c r="AM169" i="17"/>
  <c r="AN169" i="17"/>
  <c r="AO169" i="17"/>
  <c r="AP169" i="17"/>
  <c r="AI170" i="17"/>
  <c r="AJ170" i="17"/>
  <c r="AK170" i="17"/>
  <c r="AL170" i="17"/>
  <c r="AM170" i="17"/>
  <c r="AN170" i="17"/>
  <c r="AO170" i="17"/>
  <c r="AP170" i="17"/>
  <c r="AI171" i="17"/>
  <c r="AJ171" i="17"/>
  <c r="AK171" i="17"/>
  <c r="AL171" i="17"/>
  <c r="AM171" i="17"/>
  <c r="AN171" i="17"/>
  <c r="AO171" i="17"/>
  <c r="AP171" i="17"/>
  <c r="AI172" i="17"/>
  <c r="AJ172" i="17"/>
  <c r="AK172" i="17"/>
  <c r="AL172" i="17"/>
  <c r="AM172" i="17"/>
  <c r="AN172" i="17"/>
  <c r="AO172" i="17"/>
  <c r="AP172" i="17"/>
  <c r="AI173" i="17"/>
  <c r="AJ173" i="17"/>
  <c r="AK173" i="17"/>
  <c r="AL173" i="17"/>
  <c r="AM173" i="17"/>
  <c r="AN173" i="17"/>
  <c r="AO173" i="17"/>
  <c r="AP173" i="17"/>
  <c r="AI174" i="17"/>
  <c r="AJ174" i="17"/>
  <c r="AK174" i="17"/>
  <c r="AL174" i="17"/>
  <c r="AM174" i="17"/>
  <c r="AN174" i="17"/>
  <c r="AO174" i="17"/>
  <c r="AP174" i="17"/>
  <c r="AI175" i="17"/>
  <c r="AJ175" i="17"/>
  <c r="AK175" i="17"/>
  <c r="AL175" i="17"/>
  <c r="AM175" i="17"/>
  <c r="AN175" i="17"/>
  <c r="AO175" i="17"/>
  <c r="AP175" i="17"/>
  <c r="AI176" i="17"/>
  <c r="AJ176" i="17"/>
  <c r="AK176" i="17"/>
  <c r="AL176" i="17"/>
  <c r="AM176" i="17"/>
  <c r="AN176" i="17"/>
  <c r="AO176" i="17"/>
  <c r="AP176" i="17"/>
  <c r="AI177" i="17"/>
  <c r="AJ177" i="17"/>
  <c r="AK177" i="17"/>
  <c r="AL177" i="17"/>
  <c r="AM177" i="17"/>
  <c r="AN177" i="17"/>
  <c r="AO177" i="17"/>
  <c r="AP177" i="17"/>
  <c r="AI178" i="17"/>
  <c r="AJ178" i="17"/>
  <c r="AK178" i="17"/>
  <c r="AL178" i="17"/>
  <c r="AM178" i="17"/>
  <c r="AN178" i="17"/>
  <c r="AO178" i="17"/>
  <c r="AP178" i="17"/>
  <c r="AI179" i="17"/>
  <c r="AJ179" i="17"/>
  <c r="AK179" i="17"/>
  <c r="AL179" i="17"/>
  <c r="AM179" i="17"/>
  <c r="AN179" i="17"/>
  <c r="AO179" i="17"/>
  <c r="AP179" i="17"/>
  <c r="AI180" i="17"/>
  <c r="AJ180" i="17"/>
  <c r="AK180" i="17"/>
  <c r="AL180" i="17"/>
  <c r="AM180" i="17"/>
  <c r="AN180" i="17"/>
  <c r="AO180" i="17"/>
  <c r="AP180" i="17"/>
  <c r="AI181" i="17"/>
  <c r="AJ181" i="17"/>
  <c r="AK181" i="17"/>
  <c r="AL181" i="17"/>
  <c r="AM181" i="17"/>
  <c r="AN181" i="17"/>
  <c r="AO181" i="17"/>
  <c r="AP181" i="17"/>
  <c r="AI182" i="17"/>
  <c r="AJ182" i="17"/>
  <c r="AK182" i="17"/>
  <c r="AL182" i="17"/>
  <c r="AM182" i="17"/>
  <c r="AN182" i="17"/>
  <c r="AO182" i="17"/>
  <c r="AP182" i="17"/>
  <c r="AI183" i="17"/>
  <c r="AJ183" i="17"/>
  <c r="AK183" i="17"/>
  <c r="AL183" i="17"/>
  <c r="AM183" i="17"/>
  <c r="AN183" i="17"/>
  <c r="AO183" i="17"/>
  <c r="AP183" i="17"/>
  <c r="AI184" i="17"/>
  <c r="AJ184" i="17"/>
  <c r="AK184" i="17"/>
  <c r="AL184" i="17"/>
  <c r="AM184" i="17"/>
  <c r="AN184" i="17"/>
  <c r="AO184" i="17"/>
  <c r="AP184" i="17"/>
  <c r="AI185" i="17"/>
  <c r="AJ185" i="17"/>
  <c r="AK185" i="17"/>
  <c r="AL185" i="17"/>
  <c r="AM185" i="17"/>
  <c r="AN185" i="17"/>
  <c r="AO185" i="17"/>
  <c r="AP185" i="17"/>
  <c r="AI186" i="17"/>
  <c r="AJ186" i="17"/>
  <c r="AK186" i="17"/>
  <c r="AL186" i="17"/>
  <c r="AM186" i="17"/>
  <c r="AN186" i="17"/>
  <c r="AO186" i="17"/>
  <c r="AP186" i="17"/>
  <c r="AI187" i="17"/>
  <c r="AJ187" i="17"/>
  <c r="AK187" i="17"/>
  <c r="AL187" i="17"/>
  <c r="AM187" i="17"/>
  <c r="AN187" i="17"/>
  <c r="AO187" i="17"/>
  <c r="AP187" i="17"/>
  <c r="AI188" i="17"/>
  <c r="AJ188" i="17"/>
  <c r="AK188" i="17"/>
  <c r="AL188" i="17"/>
  <c r="AM188" i="17"/>
  <c r="AN188" i="17"/>
  <c r="AO188" i="17"/>
  <c r="AP188" i="17"/>
  <c r="AI189" i="17"/>
  <c r="AJ189" i="17"/>
  <c r="AK189" i="17"/>
  <c r="AL189" i="17"/>
  <c r="AM189" i="17"/>
  <c r="AN189" i="17"/>
  <c r="AO189" i="17"/>
  <c r="AP189" i="17"/>
  <c r="AI190" i="17"/>
  <c r="AJ190" i="17"/>
  <c r="AK190" i="17"/>
  <c r="AL190" i="17"/>
  <c r="AM190" i="17"/>
  <c r="AN190" i="17"/>
  <c r="AO190" i="17"/>
  <c r="AP190" i="17"/>
  <c r="AI191" i="17"/>
  <c r="AJ191" i="17"/>
  <c r="AK191" i="17"/>
  <c r="AL191" i="17"/>
  <c r="AM191" i="17" s="1"/>
  <c r="AN191" i="17" s="1"/>
  <c r="AO191" i="17" s="1"/>
  <c r="AP191" i="17" s="1"/>
  <c r="AI192" i="17"/>
  <c r="AJ192" i="17"/>
  <c r="AK192" i="17"/>
  <c r="AL192" i="17"/>
  <c r="AM192" i="17"/>
  <c r="AN192" i="17"/>
  <c r="AO192" i="17"/>
  <c r="AP192" i="17"/>
  <c r="AI193" i="17"/>
  <c r="AJ193" i="17"/>
  <c r="AK193" i="17"/>
  <c r="AL193" i="17"/>
  <c r="AM193" i="17"/>
  <c r="AN193" i="17"/>
  <c r="AO193" i="17"/>
  <c r="AP193" i="17"/>
  <c r="AI194" i="17"/>
  <c r="AJ194" i="17"/>
  <c r="AK194" i="17"/>
  <c r="AL194" i="17"/>
  <c r="AM194" i="17"/>
  <c r="AN194" i="17"/>
  <c r="AO194" i="17"/>
  <c r="AP194" i="17"/>
  <c r="AI195" i="17"/>
  <c r="AJ195" i="17"/>
  <c r="AK195" i="17"/>
  <c r="AL195" i="17"/>
  <c r="AM195" i="17"/>
  <c r="AN195" i="17"/>
  <c r="AO195" i="17"/>
  <c r="AP195" i="17"/>
  <c r="AI196" i="17"/>
  <c r="AJ196" i="17"/>
  <c r="AK196" i="17"/>
  <c r="AL196" i="17"/>
  <c r="AM196" i="17"/>
  <c r="AN196" i="17"/>
  <c r="AO196" i="17"/>
  <c r="AP196" i="17"/>
  <c r="AI197" i="17"/>
  <c r="AJ197" i="17"/>
  <c r="AK197" i="17"/>
  <c r="AL197" i="17"/>
  <c r="AM197" i="17"/>
  <c r="AN197" i="17"/>
  <c r="AO197" i="17"/>
  <c r="AP197" i="17"/>
  <c r="AI198" i="17"/>
  <c r="AJ198" i="17"/>
  <c r="AK198" i="17"/>
  <c r="AL198" i="17"/>
  <c r="AM198" i="17"/>
  <c r="AN198" i="17"/>
  <c r="AO198" i="17"/>
  <c r="AP198" i="17"/>
  <c r="AI199" i="17"/>
  <c r="AJ199" i="17"/>
  <c r="AK199" i="17"/>
  <c r="AL199" i="17"/>
  <c r="AM199" i="17"/>
  <c r="AN199" i="17"/>
  <c r="AO199" i="17"/>
  <c r="AP199" i="17"/>
  <c r="AI200" i="17"/>
  <c r="AJ200" i="17"/>
  <c r="AK200" i="17"/>
  <c r="AL200" i="17"/>
  <c r="AM200" i="17"/>
  <c r="AN200" i="17"/>
  <c r="AO200" i="17"/>
  <c r="AP200" i="17"/>
  <c r="AI201" i="17"/>
  <c r="AJ201" i="17"/>
  <c r="AK201" i="17"/>
  <c r="AL201" i="17"/>
  <c r="AM201" i="17"/>
  <c r="AN201" i="17"/>
  <c r="AO201" i="17"/>
  <c r="AP201" i="17"/>
  <c r="AI202" i="17"/>
  <c r="AJ202" i="17"/>
  <c r="AK202" i="17"/>
  <c r="AL202" i="17"/>
  <c r="AM202" i="17"/>
  <c r="AN202" i="17"/>
  <c r="AO202" i="17"/>
  <c r="AP202" i="17"/>
  <c r="AI203" i="17"/>
  <c r="AJ203" i="17"/>
  <c r="AK203" i="17"/>
  <c r="AL203" i="17"/>
  <c r="AM203" i="17"/>
  <c r="AN203" i="17"/>
  <c r="AO203" i="17"/>
  <c r="AP203" i="17"/>
  <c r="AI204" i="17"/>
  <c r="AJ204" i="17"/>
  <c r="AK204" i="17"/>
  <c r="AL204" i="17"/>
  <c r="AM204" i="17"/>
  <c r="AN204" i="17"/>
  <c r="AO204" i="17"/>
  <c r="AP204" i="17"/>
  <c r="AI205" i="17"/>
  <c r="AJ205" i="17"/>
  <c r="AK205" i="17"/>
  <c r="AL205" i="17"/>
  <c r="AM205" i="17"/>
  <c r="AN205" i="17"/>
  <c r="AO205" i="17"/>
  <c r="AP205" i="17"/>
  <c r="AI206" i="17"/>
  <c r="AJ206" i="17"/>
  <c r="AK206" i="17"/>
  <c r="AL206" i="17"/>
  <c r="AM206" i="17"/>
  <c r="AN206" i="17"/>
  <c r="AO206" i="17"/>
  <c r="AP206" i="17"/>
  <c r="AI207" i="17"/>
  <c r="AJ207" i="17"/>
  <c r="AK207" i="17"/>
  <c r="AL207" i="17"/>
  <c r="AM207" i="17"/>
  <c r="AN207" i="17"/>
  <c r="AO207" i="17"/>
  <c r="AP207" i="17"/>
  <c r="AI208" i="17"/>
  <c r="AJ208" i="17"/>
  <c r="AK208" i="17"/>
  <c r="AL208" i="17"/>
  <c r="AM208" i="17"/>
  <c r="AN208" i="17"/>
  <c r="AO208" i="17"/>
  <c r="AP208" i="17"/>
  <c r="AI209" i="17"/>
  <c r="AJ209" i="17"/>
  <c r="AK209" i="17"/>
  <c r="AL209" i="17"/>
  <c r="AM209" i="17"/>
  <c r="AN209" i="17"/>
  <c r="AO209" i="17"/>
  <c r="AP209" i="17"/>
  <c r="AI210" i="17"/>
  <c r="AJ210" i="17"/>
  <c r="AK210" i="17"/>
  <c r="AL210" i="17"/>
  <c r="AM210" i="17"/>
  <c r="AN210" i="17"/>
  <c r="AO210" i="17"/>
  <c r="AP210" i="17"/>
  <c r="AI211" i="17"/>
  <c r="AJ211" i="17"/>
  <c r="AK211" i="17"/>
  <c r="AL211" i="17"/>
  <c r="AM211" i="17"/>
  <c r="AN211" i="17"/>
  <c r="AO211" i="17"/>
  <c r="AP211" i="17"/>
  <c r="AI212" i="17"/>
  <c r="AJ212" i="17"/>
  <c r="AK212" i="17"/>
  <c r="AL212" i="17"/>
  <c r="AM212" i="17"/>
  <c r="AN212" i="17"/>
  <c r="AO212" i="17"/>
  <c r="AP212" i="17"/>
  <c r="AI213" i="17"/>
  <c r="AJ213" i="17"/>
  <c r="AK213" i="17"/>
  <c r="AL213" i="17"/>
  <c r="AM213" i="17"/>
  <c r="AN213" i="17"/>
  <c r="AO213" i="17"/>
  <c r="AP213" i="17"/>
  <c r="AI214" i="17"/>
  <c r="AJ214" i="17"/>
  <c r="AK214" i="17"/>
  <c r="AL214" i="17"/>
  <c r="AM214" i="17"/>
  <c r="AN214" i="17"/>
  <c r="AO214" i="17"/>
  <c r="AP214" i="17"/>
  <c r="AI215" i="17"/>
  <c r="AJ215" i="17"/>
  <c r="AK215" i="17"/>
  <c r="AL215" i="17"/>
  <c r="AM215" i="17"/>
  <c r="AN215" i="17"/>
  <c r="AO215" i="17"/>
  <c r="AP215" i="17"/>
  <c r="AI216" i="17"/>
  <c r="AJ216" i="17"/>
  <c r="AK216" i="17"/>
  <c r="AL216" i="17"/>
  <c r="AM216" i="17"/>
  <c r="AN216" i="17"/>
  <c r="AO216" i="17"/>
  <c r="AP216" i="17"/>
  <c r="AI217" i="17"/>
  <c r="AJ217" i="17"/>
  <c r="AK217" i="17"/>
  <c r="AL217" i="17"/>
  <c r="AM217" i="17"/>
  <c r="AN217" i="17"/>
  <c r="AO217" i="17"/>
  <c r="AP217" i="17"/>
  <c r="AI218" i="17"/>
  <c r="AJ218" i="17"/>
  <c r="AK218" i="17"/>
  <c r="AL218" i="17"/>
  <c r="AM218" i="17"/>
  <c r="AN218" i="17"/>
  <c r="AO218" i="17"/>
  <c r="AP218" i="17"/>
  <c r="AI219" i="17"/>
  <c r="AJ219" i="17"/>
  <c r="AK219" i="17"/>
  <c r="AL219" i="17"/>
  <c r="AM219" i="17"/>
  <c r="AN219" i="17"/>
  <c r="AO219" i="17"/>
  <c r="AP219" i="17"/>
  <c r="AI220" i="17"/>
  <c r="AJ220" i="17"/>
  <c r="AK220" i="17"/>
  <c r="AL220" i="17"/>
  <c r="AM220" i="17"/>
  <c r="AN220" i="17"/>
  <c r="AO220" i="17"/>
  <c r="AP220" i="17"/>
  <c r="AI221" i="17"/>
  <c r="AJ221" i="17"/>
  <c r="AK221" i="17"/>
  <c r="AL221" i="17"/>
  <c r="AM221" i="17"/>
  <c r="AN221" i="17"/>
  <c r="AO221" i="17"/>
  <c r="AP221" i="17"/>
  <c r="AI222" i="17"/>
  <c r="AJ222" i="17"/>
  <c r="AK222" i="17"/>
  <c r="AL222" i="17"/>
  <c r="AM222" i="17"/>
  <c r="AN222" i="17"/>
  <c r="AO222" i="17"/>
  <c r="AP222" i="17"/>
  <c r="AI223" i="17"/>
  <c r="AJ223" i="17"/>
  <c r="AK223" i="17"/>
  <c r="AL223" i="17"/>
  <c r="AM223" i="17"/>
  <c r="AN223" i="17"/>
  <c r="AO223" i="17"/>
  <c r="AP223" i="17"/>
  <c r="AI224" i="17"/>
  <c r="AJ224" i="17"/>
  <c r="AK224" i="17"/>
  <c r="AL224" i="17"/>
  <c r="AM224" i="17"/>
  <c r="AN224" i="17"/>
  <c r="AO224" i="17"/>
  <c r="AP224" i="17"/>
  <c r="AI225" i="17"/>
  <c r="AJ225" i="17"/>
  <c r="AK225" i="17"/>
  <c r="AL225" i="17"/>
  <c r="AM225" i="17"/>
  <c r="AN225" i="17"/>
  <c r="AO225" i="17"/>
  <c r="AP225" i="17"/>
  <c r="AI226" i="17"/>
  <c r="AJ226" i="17"/>
  <c r="AK226" i="17"/>
  <c r="AL226" i="17"/>
  <c r="AM226" i="17"/>
  <c r="AN226" i="17"/>
  <c r="AO226" i="17"/>
  <c r="AP226" i="17"/>
  <c r="AI227" i="17"/>
  <c r="AJ227" i="17"/>
  <c r="AK227" i="17"/>
  <c r="AL227" i="17"/>
  <c r="AM227" i="17"/>
  <c r="AN227" i="17"/>
  <c r="AO227" i="17"/>
  <c r="AP227" i="17"/>
  <c r="AI228" i="17"/>
  <c r="AJ228" i="17"/>
  <c r="AK228" i="17"/>
  <c r="AL228" i="17"/>
  <c r="AM228" i="17"/>
  <c r="AN228" i="17"/>
  <c r="AO228" i="17"/>
  <c r="AP228" i="17"/>
  <c r="AI229" i="17"/>
  <c r="AJ229" i="17"/>
  <c r="AK229" i="17"/>
  <c r="AL229" i="17"/>
  <c r="AM229" i="17"/>
  <c r="AN229" i="17"/>
  <c r="AO229" i="17"/>
  <c r="AP229" i="17"/>
  <c r="AI230" i="17"/>
  <c r="AJ230" i="17"/>
  <c r="AK230" i="17"/>
  <c r="AL230" i="17"/>
  <c r="AM230" i="17"/>
  <c r="AN230" i="17"/>
  <c r="AO230" i="17"/>
  <c r="AP230" i="17"/>
  <c r="AI231" i="17"/>
  <c r="AJ231" i="17"/>
  <c r="AK231" i="17"/>
  <c r="AL231" i="17"/>
  <c r="AM231" i="17"/>
  <c r="AN231" i="17"/>
  <c r="AO231" i="17"/>
  <c r="AP231" i="17"/>
  <c r="AI232" i="17"/>
  <c r="AJ232" i="17"/>
  <c r="AK232" i="17"/>
  <c r="AL232" i="17"/>
  <c r="AM232" i="17"/>
  <c r="AN232" i="17"/>
  <c r="AO232" i="17"/>
  <c r="AP232" i="17"/>
  <c r="AI233" i="17"/>
  <c r="AJ233" i="17"/>
  <c r="AK233" i="17"/>
  <c r="AL233" i="17"/>
  <c r="AM233" i="17"/>
  <c r="AN233" i="17"/>
  <c r="AO233" i="17"/>
  <c r="AP233" i="17"/>
  <c r="AI234" i="17"/>
  <c r="AJ234" i="17"/>
  <c r="AK234" i="17"/>
  <c r="AL234" i="17"/>
  <c r="AM234" i="17"/>
  <c r="AN234" i="17"/>
  <c r="AO234" i="17"/>
  <c r="AP234" i="17"/>
  <c r="AI235" i="17"/>
  <c r="AJ235" i="17"/>
  <c r="AK235" i="17"/>
  <c r="AL235" i="17"/>
  <c r="AM235" i="17"/>
  <c r="AN235" i="17"/>
  <c r="AO235" i="17"/>
  <c r="AP235" i="17"/>
  <c r="AI236" i="17"/>
  <c r="AJ236" i="17"/>
  <c r="AK236" i="17"/>
  <c r="AL236" i="17"/>
  <c r="AM236" i="17"/>
  <c r="AN236" i="17"/>
  <c r="AO236" i="17"/>
  <c r="AP236" i="17"/>
  <c r="AI237" i="17"/>
  <c r="AJ237" i="17"/>
  <c r="AK237" i="17"/>
  <c r="AL237" i="17"/>
  <c r="AM237" i="17"/>
  <c r="AN237" i="17"/>
  <c r="AO237" i="17"/>
  <c r="AP237" i="17"/>
  <c r="AI238" i="17"/>
  <c r="AJ238" i="17"/>
  <c r="AK238" i="17"/>
  <c r="AL238" i="17"/>
  <c r="AM238" i="17"/>
  <c r="AN238" i="17"/>
  <c r="AO238" i="17"/>
  <c r="AP238" i="17"/>
  <c r="AI239" i="17"/>
  <c r="AJ239" i="17"/>
  <c r="AK239" i="17"/>
  <c r="AL239" i="17"/>
  <c r="AM239" i="17"/>
  <c r="AN239" i="17"/>
  <c r="AO239" i="17"/>
  <c r="AP239" i="17"/>
  <c r="AI240" i="17"/>
  <c r="AJ240" i="17"/>
  <c r="AK240" i="17"/>
  <c r="AL240" i="17"/>
  <c r="AM240" i="17"/>
  <c r="AN240" i="17"/>
  <c r="AO240" i="17"/>
  <c r="AP240" i="17"/>
  <c r="AI241" i="17"/>
  <c r="AJ241" i="17"/>
  <c r="AK241" i="17"/>
  <c r="AL241" i="17"/>
  <c r="AM241" i="17"/>
  <c r="AN241" i="17"/>
  <c r="AO241" i="17"/>
  <c r="AP241" i="17"/>
  <c r="AI242" i="17"/>
  <c r="AJ242" i="17"/>
  <c r="AK242" i="17"/>
  <c r="AL242" i="17"/>
  <c r="AM242" i="17"/>
  <c r="AN242" i="17"/>
  <c r="AO242" i="17"/>
  <c r="AP242" i="17"/>
  <c r="AI243" i="17"/>
  <c r="AJ243" i="17"/>
  <c r="AK243" i="17"/>
  <c r="AL243" i="17"/>
  <c r="AM243" i="17" s="1"/>
  <c r="AN243" i="17" s="1"/>
  <c r="AO243" i="17" s="1"/>
  <c r="AP243" i="17" s="1"/>
  <c r="AI244" i="17"/>
  <c r="AJ244" i="17"/>
  <c r="AK244" i="17"/>
  <c r="AL244" i="17"/>
  <c r="AM244" i="17"/>
  <c r="AN244" i="17"/>
  <c r="AO244" i="17"/>
  <c r="AP244" i="17"/>
  <c r="AI245" i="17"/>
  <c r="AJ245" i="17"/>
  <c r="AK245" i="17"/>
  <c r="AL245" i="17"/>
  <c r="AM245" i="17"/>
  <c r="AN245" i="17"/>
  <c r="AO245" i="17"/>
  <c r="AP245" i="17"/>
  <c r="AI246" i="17"/>
  <c r="AJ246" i="17"/>
  <c r="AK246" i="17"/>
  <c r="AL246" i="17"/>
  <c r="AM246" i="17"/>
  <c r="AN246" i="17"/>
  <c r="AO246" i="17"/>
  <c r="AP246" i="17"/>
  <c r="AI247" i="17"/>
  <c r="AJ247" i="17"/>
  <c r="AK247" i="17"/>
  <c r="AL247" i="17"/>
  <c r="AM247" i="17"/>
  <c r="AN247" i="17"/>
  <c r="AO247" i="17"/>
  <c r="AP247" i="17"/>
  <c r="AI248" i="17"/>
  <c r="AJ248" i="17"/>
  <c r="AK248" i="17"/>
  <c r="AL248" i="17"/>
  <c r="AM248" i="17"/>
  <c r="AN248" i="17"/>
  <c r="AO248" i="17"/>
  <c r="AP248" i="17"/>
  <c r="AI249" i="17"/>
  <c r="AJ249" i="17"/>
  <c r="AK249" i="17"/>
  <c r="AL249" i="17"/>
  <c r="AM249" i="17"/>
  <c r="AN249" i="17"/>
  <c r="AO249" i="17"/>
  <c r="AP249" i="17"/>
  <c r="AI250" i="17"/>
  <c r="AJ250" i="17"/>
  <c r="AK250" i="17"/>
  <c r="AL250" i="17"/>
  <c r="AM250" i="17"/>
  <c r="AN250" i="17"/>
  <c r="AO250" i="17"/>
  <c r="AP250" i="17"/>
  <c r="AI251" i="17"/>
  <c r="AJ251" i="17"/>
  <c r="AK251" i="17"/>
  <c r="AL251" i="17"/>
  <c r="AM251" i="17"/>
  <c r="AN251" i="17"/>
  <c r="AO251" i="17"/>
  <c r="AP251" i="17"/>
  <c r="AI252" i="17"/>
  <c r="AJ252" i="17"/>
  <c r="AK252" i="17"/>
  <c r="AL252" i="17"/>
  <c r="AM252" i="17"/>
  <c r="AN252" i="17"/>
  <c r="AO252" i="17"/>
  <c r="AP252" i="17"/>
  <c r="AI253" i="17"/>
  <c r="AJ253" i="17"/>
  <c r="AK253" i="17"/>
  <c r="AL253" i="17"/>
  <c r="AM253" i="17"/>
  <c r="AN253" i="17"/>
  <c r="AO253" i="17"/>
  <c r="AP253" i="17"/>
  <c r="AI254" i="17"/>
  <c r="AJ254" i="17"/>
  <c r="AK254" i="17"/>
  <c r="AL254" i="17"/>
  <c r="AM254" i="17"/>
  <c r="AN254" i="17"/>
  <c r="AO254" i="17"/>
  <c r="AP254" i="17"/>
  <c r="AI255" i="17"/>
  <c r="AJ255" i="17"/>
  <c r="AK255" i="17"/>
  <c r="AL255" i="17"/>
  <c r="AM255" i="17"/>
  <c r="AN255" i="17"/>
  <c r="AO255" i="17"/>
  <c r="AP255" i="17"/>
  <c r="AI256" i="17"/>
  <c r="AJ256" i="17"/>
  <c r="AK256" i="17"/>
  <c r="AL256" i="17"/>
  <c r="AM256" i="17"/>
  <c r="AN256" i="17"/>
  <c r="AO256" i="17"/>
  <c r="AP256" i="17"/>
  <c r="AI257" i="17"/>
  <c r="AJ257" i="17"/>
  <c r="AK257" i="17"/>
  <c r="AL257" i="17"/>
  <c r="AM257" i="17"/>
  <c r="AN257" i="17"/>
  <c r="AO257" i="17"/>
  <c r="AP257" i="17"/>
  <c r="AI258" i="17"/>
  <c r="AJ258" i="17"/>
  <c r="AK258" i="17"/>
  <c r="AL258" i="17"/>
  <c r="AM258" i="17"/>
  <c r="AN258" i="17"/>
  <c r="AO258" i="17"/>
  <c r="AP258" i="17"/>
  <c r="AI259" i="17"/>
  <c r="AJ259" i="17"/>
  <c r="AK259" i="17"/>
  <c r="AL259" i="17"/>
  <c r="AM259" i="17"/>
  <c r="AN259" i="17"/>
  <c r="AO259" i="17"/>
  <c r="AP259" i="17"/>
  <c r="AI260" i="17"/>
  <c r="AJ260" i="17"/>
  <c r="AK260" i="17"/>
  <c r="AL260" i="17"/>
  <c r="AM260" i="17"/>
  <c r="AN260" i="17"/>
  <c r="AO260" i="17"/>
  <c r="AP260" i="17"/>
  <c r="AI261" i="17"/>
  <c r="AJ261" i="17"/>
  <c r="AK261" i="17"/>
  <c r="AL261" i="17"/>
  <c r="AM261" i="17"/>
  <c r="AN261" i="17"/>
  <c r="AO261" i="17"/>
  <c r="AP261" i="17"/>
  <c r="AI262" i="17"/>
  <c r="AJ262" i="17"/>
  <c r="AK262" i="17"/>
  <c r="AL262" i="17"/>
  <c r="AM262" i="17"/>
  <c r="AN262" i="17"/>
  <c r="AO262" i="17"/>
  <c r="AP262" i="17"/>
  <c r="AI263" i="17"/>
  <c r="AJ263" i="17"/>
  <c r="AK263" i="17"/>
  <c r="AL263" i="17"/>
  <c r="AM263" i="17"/>
  <c r="AN263" i="17"/>
  <c r="AO263" i="17"/>
  <c r="AP263" i="17"/>
  <c r="AI264" i="17"/>
  <c r="AJ264" i="17"/>
  <c r="AK264" i="17"/>
  <c r="AL264" i="17"/>
  <c r="AM264" i="17"/>
  <c r="AN264" i="17"/>
  <c r="AO264" i="17"/>
  <c r="AP264" i="17"/>
  <c r="AI265" i="17"/>
  <c r="AJ265" i="17"/>
  <c r="AK265" i="17"/>
  <c r="AL265" i="17"/>
  <c r="AM265" i="17"/>
  <c r="AN265" i="17"/>
  <c r="AO265" i="17"/>
  <c r="AP265" i="17"/>
  <c r="AI266" i="17"/>
  <c r="AJ266" i="17"/>
  <c r="AK266" i="17"/>
  <c r="AL266" i="17"/>
  <c r="AM266" i="17"/>
  <c r="AN266" i="17"/>
  <c r="AO266" i="17"/>
  <c r="AP266" i="17"/>
  <c r="AI267" i="17"/>
  <c r="AJ267" i="17"/>
  <c r="AK267" i="17"/>
  <c r="AL267" i="17"/>
  <c r="AM267" i="17"/>
  <c r="AN267" i="17"/>
  <c r="AO267" i="17"/>
  <c r="AP267" i="17"/>
  <c r="AI268" i="17"/>
  <c r="AJ268" i="17"/>
  <c r="AK268" i="17"/>
  <c r="AL268" i="17"/>
  <c r="AM268" i="17"/>
  <c r="AN268" i="17"/>
  <c r="AO268" i="17"/>
  <c r="AP268" i="17"/>
  <c r="AI269" i="17"/>
  <c r="AJ269" i="17"/>
  <c r="AK269" i="17"/>
  <c r="AL269" i="17"/>
  <c r="AM269" i="17"/>
  <c r="AN269" i="17"/>
  <c r="AO269" i="17"/>
  <c r="AP269" i="17"/>
  <c r="AI270" i="17"/>
  <c r="AJ270" i="17"/>
  <c r="AK270" i="17"/>
  <c r="AL270" i="17"/>
  <c r="AM270" i="17"/>
  <c r="AN270" i="17"/>
  <c r="AO270" i="17"/>
  <c r="AP270" i="17"/>
  <c r="AI271" i="17"/>
  <c r="AJ271" i="17"/>
  <c r="AK271" i="17"/>
  <c r="AL271" i="17"/>
  <c r="AM271" i="17"/>
  <c r="AN271" i="17"/>
  <c r="AO271" i="17"/>
  <c r="AP271" i="17"/>
  <c r="AI272" i="17"/>
  <c r="AJ272" i="17"/>
  <c r="AK272" i="17"/>
  <c r="AL272" i="17"/>
  <c r="AM272" i="17"/>
  <c r="AN272" i="17"/>
  <c r="AO272" i="17"/>
  <c r="AP272" i="17"/>
  <c r="AI273" i="17"/>
  <c r="AJ273" i="17"/>
  <c r="AK273" i="17"/>
  <c r="AL273" i="17"/>
  <c r="AM273" i="17"/>
  <c r="AN273" i="17"/>
  <c r="AO273" i="17"/>
  <c r="AP273" i="17"/>
  <c r="AI274" i="17"/>
  <c r="AJ274" i="17"/>
  <c r="AK274" i="17"/>
  <c r="AL274" i="17"/>
  <c r="AM274" i="17"/>
  <c r="AN274" i="17"/>
  <c r="AO274" i="17"/>
  <c r="AP274" i="17"/>
  <c r="AI275" i="17"/>
  <c r="AJ275" i="17"/>
  <c r="AK275" i="17"/>
  <c r="AL275" i="17"/>
  <c r="AM275" i="17"/>
  <c r="AN275" i="17"/>
  <c r="AO275" i="17"/>
  <c r="AP275" i="17"/>
  <c r="AI276" i="17"/>
  <c r="AJ276" i="17"/>
  <c r="AK276" i="17"/>
  <c r="AL276" i="17"/>
  <c r="AM276" i="17"/>
  <c r="AN276" i="17"/>
  <c r="AO276" i="17"/>
  <c r="AP276" i="17"/>
  <c r="AI277" i="17"/>
  <c r="AJ277" i="17"/>
  <c r="AK277" i="17"/>
  <c r="AL277" i="17"/>
  <c r="AM277" i="17"/>
  <c r="AN277" i="17"/>
  <c r="AO277" i="17"/>
  <c r="AP277" i="17"/>
  <c r="AI278" i="17"/>
  <c r="AJ278" i="17"/>
  <c r="AK278" i="17"/>
  <c r="AL278" i="17"/>
  <c r="AM278" i="17"/>
  <c r="AN278" i="17"/>
  <c r="AO278" i="17"/>
  <c r="AP278" i="17"/>
  <c r="AI279" i="17"/>
  <c r="AJ279" i="17"/>
  <c r="AK279" i="17"/>
  <c r="AL279" i="17"/>
  <c r="AM279" i="17"/>
  <c r="AN279" i="17"/>
  <c r="AO279" i="17"/>
  <c r="AP279" i="17"/>
  <c r="AI280" i="17"/>
  <c r="AJ280" i="17"/>
  <c r="AK280" i="17"/>
  <c r="AL280" i="17"/>
  <c r="AM280" i="17"/>
  <c r="AN280" i="17"/>
  <c r="AO280" i="17"/>
  <c r="AP280" i="17"/>
  <c r="AI281" i="17"/>
  <c r="AJ281" i="17"/>
  <c r="AK281" i="17"/>
  <c r="AL281" i="17"/>
  <c r="AM281" i="17"/>
  <c r="AN281" i="17"/>
  <c r="AO281" i="17"/>
  <c r="AP281" i="17"/>
  <c r="AI282" i="17"/>
  <c r="AJ282" i="17"/>
  <c r="AK282" i="17"/>
  <c r="AL282" i="17"/>
  <c r="AM282" i="17"/>
  <c r="AN282" i="17"/>
  <c r="AO282" i="17"/>
  <c r="AP282" i="17"/>
  <c r="AI283" i="17"/>
  <c r="AJ283" i="17"/>
  <c r="AK283" i="17"/>
  <c r="AL283" i="17"/>
  <c r="AM283" i="17"/>
  <c r="AN283" i="17"/>
  <c r="AO283" i="17"/>
  <c r="AP283" i="17"/>
  <c r="AI284" i="17"/>
  <c r="AJ284" i="17"/>
  <c r="AK284" i="17"/>
  <c r="AL284" i="17"/>
  <c r="AM284" i="17"/>
  <c r="AN284" i="17"/>
  <c r="AO284" i="17"/>
  <c r="AP284" i="17"/>
  <c r="AI285" i="17"/>
  <c r="AJ285" i="17"/>
  <c r="AK285" i="17"/>
  <c r="AL285" i="17"/>
  <c r="AM285" i="17"/>
  <c r="AN285" i="17"/>
  <c r="AO285" i="17"/>
  <c r="AP285" i="17"/>
  <c r="AI286" i="17"/>
  <c r="AJ286" i="17"/>
  <c r="AK286" i="17"/>
  <c r="AL286" i="17"/>
  <c r="AM286" i="17"/>
  <c r="AN286" i="17"/>
  <c r="AO286" i="17"/>
  <c r="AP286" i="17"/>
  <c r="AI287" i="17"/>
  <c r="AJ287" i="17"/>
  <c r="AK287" i="17"/>
  <c r="AL287" i="17"/>
  <c r="AM287" i="17"/>
  <c r="AN287" i="17"/>
  <c r="AO287" i="17"/>
  <c r="AP287" i="17"/>
  <c r="AI288" i="17"/>
  <c r="AJ288" i="17"/>
  <c r="AK288" i="17"/>
  <c r="AL288" i="17"/>
  <c r="AM288" i="17"/>
  <c r="AN288" i="17"/>
  <c r="AO288" i="17"/>
  <c r="AP288" i="17"/>
  <c r="AI289" i="17"/>
  <c r="AJ289" i="17"/>
  <c r="AK289" i="17"/>
  <c r="AL289" i="17"/>
  <c r="AM289" i="17"/>
  <c r="AN289" i="17"/>
  <c r="AO289" i="17"/>
  <c r="AP289" i="17"/>
  <c r="AI290" i="17"/>
  <c r="AJ290" i="17"/>
  <c r="AK290" i="17"/>
  <c r="AL290" i="17"/>
  <c r="AM290" i="17"/>
  <c r="AN290" i="17"/>
  <c r="AO290" i="17"/>
  <c r="AP290" i="17"/>
  <c r="AI291" i="17"/>
  <c r="AJ291" i="17"/>
  <c r="AK291" i="17"/>
  <c r="AL291" i="17"/>
  <c r="AM291" i="17"/>
  <c r="AN291" i="17"/>
  <c r="AO291" i="17"/>
  <c r="AP291" i="17"/>
  <c r="AI292" i="17"/>
  <c r="AJ292" i="17"/>
  <c r="AK292" i="17"/>
  <c r="AL292" i="17"/>
  <c r="AM292" i="17"/>
  <c r="AN292" i="17"/>
  <c r="AO292" i="17"/>
  <c r="AP292" i="17"/>
  <c r="AI293" i="17"/>
  <c r="AJ293" i="17"/>
  <c r="AK293" i="17"/>
  <c r="AL293" i="17"/>
  <c r="AM293" i="17"/>
  <c r="AN293" i="17"/>
  <c r="AO293" i="17"/>
  <c r="AP293" i="17"/>
  <c r="AI294" i="17"/>
  <c r="AJ294" i="17"/>
  <c r="AK294" i="17"/>
  <c r="AL294" i="17"/>
  <c r="AM294" i="17"/>
  <c r="AN294" i="17"/>
  <c r="AO294" i="17"/>
  <c r="AP294" i="17"/>
  <c r="AI295" i="17"/>
  <c r="AJ295" i="17"/>
  <c r="AK295" i="17"/>
  <c r="AL295" i="17"/>
  <c r="AM295" i="17"/>
  <c r="AN295" i="17"/>
  <c r="AO295" i="17"/>
  <c r="AP295" i="17"/>
  <c r="AI296" i="17"/>
  <c r="AJ296" i="17"/>
  <c r="AK296" i="17"/>
  <c r="AL296" i="17"/>
  <c r="AM296" i="17" s="1"/>
  <c r="AN296" i="17" s="1"/>
  <c r="AO296" i="17" s="1"/>
  <c r="AP296" i="17" s="1"/>
  <c r="AI297" i="17"/>
  <c r="AJ297" i="17"/>
  <c r="AK297" i="17"/>
  <c r="AL297" i="17"/>
  <c r="AM297" i="17"/>
  <c r="AN297" i="17"/>
  <c r="AO297" i="17"/>
  <c r="AP297" i="17"/>
  <c r="AI298" i="17"/>
  <c r="AJ298" i="17"/>
  <c r="AK298" i="17"/>
  <c r="AL298" i="17"/>
  <c r="AM298" i="17"/>
  <c r="AN298" i="17"/>
  <c r="AO298" i="17"/>
  <c r="AP298" i="17"/>
  <c r="AI299" i="17"/>
  <c r="AJ299" i="17"/>
  <c r="AK299" i="17"/>
  <c r="AL299" i="17"/>
  <c r="AM299" i="17"/>
  <c r="AN299" i="17"/>
  <c r="AO299" i="17"/>
  <c r="AP299" i="17"/>
  <c r="AI300" i="17"/>
  <c r="AJ300" i="17"/>
  <c r="AK300" i="17"/>
  <c r="AL300" i="17"/>
  <c r="AM300" i="17"/>
  <c r="AN300" i="17"/>
  <c r="AO300" i="17"/>
  <c r="AP300" i="17"/>
  <c r="AI301" i="17"/>
  <c r="AJ301" i="17"/>
  <c r="AK301" i="17"/>
  <c r="AL301" i="17"/>
  <c r="AM301" i="17"/>
  <c r="AN301" i="17"/>
  <c r="AO301" i="17"/>
  <c r="AP301" i="17"/>
  <c r="AI302" i="17"/>
  <c r="AJ302" i="17"/>
  <c r="AK302" i="17"/>
  <c r="AL302" i="17"/>
  <c r="AM302" i="17"/>
  <c r="AN302" i="17"/>
  <c r="AO302" i="17"/>
  <c r="AP302" i="17"/>
  <c r="AI303" i="17"/>
  <c r="AJ303" i="17"/>
  <c r="AK303" i="17"/>
  <c r="AL303" i="17"/>
  <c r="AM303" i="17"/>
  <c r="AN303" i="17"/>
  <c r="AO303" i="17"/>
  <c r="AP303" i="17"/>
  <c r="AI304" i="17"/>
  <c r="AJ304" i="17"/>
  <c r="AK304" i="17"/>
  <c r="AL304" i="17"/>
  <c r="AM304" i="17"/>
  <c r="AN304" i="17"/>
  <c r="AO304" i="17"/>
  <c r="AP304" i="17"/>
  <c r="AI305" i="17"/>
  <c r="AJ305" i="17"/>
  <c r="AK305" i="17"/>
  <c r="AL305" i="17"/>
  <c r="AM305" i="17"/>
  <c r="AN305" i="17"/>
  <c r="AO305" i="17"/>
  <c r="AP305" i="17"/>
  <c r="AI306" i="17"/>
  <c r="AJ306" i="17"/>
  <c r="AK306" i="17"/>
  <c r="AL306" i="17"/>
  <c r="AM306" i="17"/>
  <c r="AN306" i="17"/>
  <c r="AO306" i="17"/>
  <c r="AP306" i="17"/>
  <c r="AI307" i="17"/>
  <c r="AJ307" i="17"/>
  <c r="AK307" i="17"/>
  <c r="AL307" i="17"/>
  <c r="AM307" i="17"/>
  <c r="AN307" i="17"/>
  <c r="AO307" i="17"/>
  <c r="AP307" i="17"/>
  <c r="AI308" i="17"/>
  <c r="AJ308" i="17"/>
  <c r="AK308" i="17"/>
  <c r="AL308" i="17"/>
  <c r="AM308" i="17"/>
  <c r="AN308" i="17"/>
  <c r="AO308" i="17"/>
  <c r="AP308" i="17"/>
  <c r="AI309" i="17"/>
  <c r="AJ309" i="17"/>
  <c r="AK309" i="17"/>
  <c r="AL309" i="17"/>
  <c r="AM309" i="17"/>
  <c r="AN309" i="17"/>
  <c r="AO309" i="17"/>
  <c r="AP309" i="17"/>
  <c r="AI310" i="17"/>
  <c r="AJ310" i="17"/>
  <c r="AK310" i="17"/>
  <c r="AL310" i="17"/>
  <c r="AM310" i="17"/>
  <c r="AN310" i="17"/>
  <c r="AO310" i="17"/>
  <c r="AP310" i="17"/>
  <c r="AI311" i="17"/>
  <c r="AJ311" i="17"/>
  <c r="AK311" i="17"/>
  <c r="AL311" i="17"/>
  <c r="AM311" i="17"/>
  <c r="AN311" i="17"/>
  <c r="AO311" i="17"/>
  <c r="AP311" i="17"/>
  <c r="AI312" i="17"/>
  <c r="AJ312" i="17"/>
  <c r="AK312" i="17"/>
  <c r="AL312" i="17"/>
  <c r="AM312" i="17"/>
  <c r="AN312" i="17"/>
  <c r="AO312" i="17"/>
  <c r="AP312" i="17"/>
  <c r="AI313" i="17"/>
  <c r="AJ313" i="17"/>
  <c r="AK313" i="17"/>
  <c r="AL313" i="17"/>
  <c r="AM313" i="17"/>
  <c r="AN313" i="17"/>
  <c r="AO313" i="17"/>
  <c r="AP313" i="17"/>
  <c r="AI314" i="17"/>
  <c r="AJ314" i="17"/>
  <c r="AK314" i="17"/>
  <c r="AL314" i="17"/>
  <c r="AM314" i="17"/>
  <c r="AN314" i="17"/>
  <c r="AO314" i="17"/>
  <c r="AP314" i="17"/>
  <c r="AI315" i="17"/>
  <c r="AJ315" i="17"/>
  <c r="AK315" i="17"/>
  <c r="AL315" i="17"/>
  <c r="AM315" i="17"/>
  <c r="AN315" i="17"/>
  <c r="AO315" i="17"/>
  <c r="AP315" i="17"/>
  <c r="AI316" i="17"/>
  <c r="AJ316" i="17"/>
  <c r="AK316" i="17"/>
  <c r="AL316" i="17"/>
  <c r="AM316" i="17"/>
  <c r="AN316" i="17"/>
  <c r="AO316" i="17"/>
  <c r="AP316" i="17"/>
  <c r="AI317" i="17"/>
  <c r="AJ317" i="17"/>
  <c r="AK317" i="17"/>
  <c r="AL317" i="17"/>
  <c r="AM317" i="17"/>
  <c r="AN317" i="17"/>
  <c r="AO317" i="17"/>
  <c r="AP317" i="17"/>
  <c r="AI318" i="17"/>
  <c r="AJ318" i="17"/>
  <c r="AK318" i="17"/>
  <c r="AL318" i="17"/>
  <c r="AM318" i="17"/>
  <c r="AN318" i="17"/>
  <c r="AO318" i="17"/>
  <c r="AP318" i="17"/>
  <c r="AI319" i="17"/>
  <c r="AJ319" i="17"/>
  <c r="AK319" i="17"/>
  <c r="AL319" i="17"/>
  <c r="AM319" i="17"/>
  <c r="AN319" i="17"/>
  <c r="AO319" i="17"/>
  <c r="AP319" i="17"/>
  <c r="AI320" i="17"/>
  <c r="AJ320" i="17"/>
  <c r="AK320" i="17"/>
  <c r="AL320" i="17"/>
  <c r="AM320" i="17"/>
  <c r="AN320" i="17"/>
  <c r="AO320" i="17"/>
  <c r="AP320" i="17"/>
  <c r="AI321" i="17"/>
  <c r="AJ321" i="17"/>
  <c r="AK321" i="17"/>
  <c r="AL321" i="17"/>
  <c r="AM321" i="17"/>
  <c r="AN321" i="17"/>
  <c r="AO321" i="17"/>
  <c r="AP321" i="17"/>
  <c r="AI322" i="17"/>
  <c r="AJ322" i="17"/>
  <c r="AK322" i="17"/>
  <c r="AL322" i="17"/>
  <c r="AM322" i="17"/>
  <c r="AN322" i="17"/>
  <c r="AO322" i="17"/>
  <c r="AP322" i="17"/>
  <c r="AP5" i="17"/>
  <c r="AO5" i="17"/>
  <c r="AN5" i="17"/>
  <c r="AM5" i="17"/>
  <c r="AL5" i="17"/>
  <c r="AK5" i="17"/>
  <c r="AJ5" i="17"/>
  <c r="AI5" i="17"/>
  <c r="C17" i="35"/>
  <c r="D17" i="35" s="1"/>
  <c r="AC15" i="17"/>
  <c r="I322" i="40"/>
  <c r="J322" i="40" s="1"/>
  <c r="H322" i="40"/>
  <c r="X322" i="40" s="1"/>
  <c r="G322" i="40"/>
  <c r="F322" i="40"/>
  <c r="E322" i="40"/>
  <c r="I321" i="40"/>
  <c r="J321" i="40" s="1"/>
  <c r="H321" i="40"/>
  <c r="S321" i="40" s="1"/>
  <c r="G321" i="40"/>
  <c r="F321" i="40"/>
  <c r="E321" i="40"/>
  <c r="I320" i="40"/>
  <c r="J320" i="40" s="1"/>
  <c r="H320" i="40"/>
  <c r="X320" i="40" s="1"/>
  <c r="G320" i="40"/>
  <c r="F320" i="40"/>
  <c r="E320" i="40"/>
  <c r="I319" i="40"/>
  <c r="J319" i="40" s="1"/>
  <c r="H319" i="40"/>
  <c r="S319" i="40" s="1"/>
  <c r="G319" i="40"/>
  <c r="F319" i="40"/>
  <c r="E319" i="40"/>
  <c r="BY318" i="40"/>
  <c r="BX318" i="40"/>
  <c r="BW318" i="40"/>
  <c r="AH318" i="40"/>
  <c r="AG318" i="40"/>
  <c r="AF318" i="40"/>
  <c r="AE318" i="40"/>
  <c r="AD318" i="40"/>
  <c r="AC318" i="40"/>
  <c r="AB318" i="40"/>
  <c r="AA318" i="40"/>
  <c r="H318" i="40"/>
  <c r="X318" i="40" s="1"/>
  <c r="G318" i="40"/>
  <c r="F318" i="40"/>
  <c r="E318" i="40"/>
  <c r="BY317" i="40"/>
  <c r="BX317" i="40"/>
  <c r="BW317" i="40"/>
  <c r="AH317" i="40"/>
  <c r="AG317" i="40"/>
  <c r="AF317" i="40"/>
  <c r="AE317" i="40"/>
  <c r="AD317" i="40"/>
  <c r="AC317" i="40"/>
  <c r="AB317" i="40"/>
  <c r="AA317" i="40"/>
  <c r="H317" i="40"/>
  <c r="U317" i="40" s="1"/>
  <c r="G317" i="40"/>
  <c r="F317" i="40"/>
  <c r="E317" i="40"/>
  <c r="BY316" i="40"/>
  <c r="BX316" i="40"/>
  <c r="BW316" i="40"/>
  <c r="AH316" i="40"/>
  <c r="AG316" i="40"/>
  <c r="AF316" i="40"/>
  <c r="AE316" i="40"/>
  <c r="AD316" i="40"/>
  <c r="AC316" i="40"/>
  <c r="AS316" i="40" s="1"/>
  <c r="AB316" i="40"/>
  <c r="AR316" i="40" s="1"/>
  <c r="AA316" i="40"/>
  <c r="H316" i="40"/>
  <c r="Y316" i="40" s="1"/>
  <c r="G316" i="40"/>
  <c r="F316" i="40"/>
  <c r="E316" i="40"/>
  <c r="BY315" i="40"/>
  <c r="BX315" i="40"/>
  <c r="BW315" i="40"/>
  <c r="AH315" i="40"/>
  <c r="AG315" i="40"/>
  <c r="AF315" i="40"/>
  <c r="AE315" i="40"/>
  <c r="AD315" i="40"/>
  <c r="AC315" i="40"/>
  <c r="AB315" i="40"/>
  <c r="AA315" i="40"/>
  <c r="H315" i="40"/>
  <c r="X315" i="40" s="1"/>
  <c r="G315" i="40"/>
  <c r="F315" i="40"/>
  <c r="E315" i="40"/>
  <c r="BY314" i="40"/>
  <c r="BX314" i="40"/>
  <c r="BW314" i="40"/>
  <c r="AH314" i="40"/>
  <c r="AG314" i="40"/>
  <c r="AF314" i="40"/>
  <c r="AE314" i="40"/>
  <c r="AD314" i="40"/>
  <c r="AC314" i="40"/>
  <c r="AB314" i="40"/>
  <c r="AA314" i="40"/>
  <c r="H314" i="40"/>
  <c r="S314" i="40" s="1"/>
  <c r="G314" i="40"/>
  <c r="F314" i="40"/>
  <c r="E314" i="40"/>
  <c r="BY313" i="40"/>
  <c r="BX313" i="40"/>
  <c r="BW313" i="40"/>
  <c r="AH313" i="40"/>
  <c r="AG313" i="40"/>
  <c r="AF313" i="40"/>
  <c r="AE313" i="40"/>
  <c r="AD313" i="40"/>
  <c r="AC313" i="40"/>
  <c r="AB313" i="40"/>
  <c r="AA313" i="40"/>
  <c r="H313" i="40"/>
  <c r="X313" i="40" s="1"/>
  <c r="G313" i="40"/>
  <c r="F313" i="40"/>
  <c r="E313" i="40"/>
  <c r="BY312" i="40"/>
  <c r="BX312" i="40"/>
  <c r="BW312" i="40"/>
  <c r="AH312" i="40"/>
  <c r="AG312" i="40"/>
  <c r="AF312" i="40"/>
  <c r="AE312" i="40"/>
  <c r="AD312" i="40"/>
  <c r="AC312" i="40"/>
  <c r="AB312" i="40"/>
  <c r="AR312" i="40" s="1"/>
  <c r="AA312" i="40"/>
  <c r="H312" i="40"/>
  <c r="S312" i="40" s="1"/>
  <c r="G312" i="40"/>
  <c r="F312" i="40"/>
  <c r="E312" i="40"/>
  <c r="BY311" i="40"/>
  <c r="BX311" i="40"/>
  <c r="BW311" i="40"/>
  <c r="AH311" i="40"/>
  <c r="AG311" i="40"/>
  <c r="AF311" i="40"/>
  <c r="AE311" i="40"/>
  <c r="AD311" i="40"/>
  <c r="AC311" i="40"/>
  <c r="AB311" i="40"/>
  <c r="AA311" i="40"/>
  <c r="H311" i="40"/>
  <c r="G311" i="40"/>
  <c r="F311" i="40"/>
  <c r="E311" i="40"/>
  <c r="BY310" i="40"/>
  <c r="BX310" i="40"/>
  <c r="BW310" i="40"/>
  <c r="AH310" i="40"/>
  <c r="AG310" i="40"/>
  <c r="AF310" i="40"/>
  <c r="AE310" i="40"/>
  <c r="AD310" i="40"/>
  <c r="AC310" i="40"/>
  <c r="AB310" i="40"/>
  <c r="AA310" i="40"/>
  <c r="H310" i="40"/>
  <c r="Y310" i="40" s="1"/>
  <c r="G310" i="40"/>
  <c r="F310" i="40"/>
  <c r="E310" i="40"/>
  <c r="BY309" i="40"/>
  <c r="BX309" i="40"/>
  <c r="BW309" i="40"/>
  <c r="AH309" i="40"/>
  <c r="AG309" i="40"/>
  <c r="AF309" i="40"/>
  <c r="AE309" i="40"/>
  <c r="AD309" i="40"/>
  <c r="AC309" i="40"/>
  <c r="AB309" i="40"/>
  <c r="AA309" i="40"/>
  <c r="H309" i="40"/>
  <c r="X309" i="40" s="1"/>
  <c r="G309" i="40"/>
  <c r="F309" i="40"/>
  <c r="E309" i="40"/>
  <c r="BY308" i="40"/>
  <c r="BX308" i="40"/>
  <c r="BW308" i="40"/>
  <c r="AH308" i="40"/>
  <c r="AG308" i="40"/>
  <c r="AF308" i="40"/>
  <c r="AE308" i="40"/>
  <c r="AD308" i="40"/>
  <c r="AC308" i="40"/>
  <c r="AB308" i="40"/>
  <c r="AA308" i="40"/>
  <c r="H308" i="40"/>
  <c r="Z308" i="40" s="1"/>
  <c r="G308" i="40"/>
  <c r="F308" i="40"/>
  <c r="E308" i="40"/>
  <c r="BY307" i="40"/>
  <c r="BX307" i="40"/>
  <c r="BW307" i="40"/>
  <c r="AH307" i="40"/>
  <c r="AG307" i="40"/>
  <c r="AF307" i="40"/>
  <c r="AE307" i="40"/>
  <c r="AD307" i="40"/>
  <c r="AC307" i="40"/>
  <c r="AB307" i="40"/>
  <c r="AA307" i="40"/>
  <c r="H307" i="40"/>
  <c r="X307" i="40" s="1"/>
  <c r="G307" i="40"/>
  <c r="F307" i="40"/>
  <c r="E307" i="40"/>
  <c r="BY306" i="40"/>
  <c r="BX306" i="40"/>
  <c r="BW306" i="40"/>
  <c r="AH306" i="40"/>
  <c r="AG306" i="40"/>
  <c r="AF306" i="40"/>
  <c r="AE306" i="40"/>
  <c r="AD306" i="40"/>
  <c r="AC306" i="40"/>
  <c r="AB306" i="40"/>
  <c r="AA306" i="40"/>
  <c r="H306" i="40"/>
  <c r="Z306" i="40" s="1"/>
  <c r="G306" i="40"/>
  <c r="F306" i="40"/>
  <c r="E306" i="40"/>
  <c r="BY305" i="40"/>
  <c r="BX305" i="40"/>
  <c r="BW305" i="40"/>
  <c r="AH305" i="40"/>
  <c r="AG305" i="40"/>
  <c r="AF305" i="40"/>
  <c r="AE305" i="40"/>
  <c r="AD305" i="40"/>
  <c r="AC305" i="40"/>
  <c r="AS305" i="40" s="1"/>
  <c r="AB305" i="40"/>
  <c r="AR305" i="40" s="1"/>
  <c r="AA305" i="40"/>
  <c r="H305" i="40"/>
  <c r="Y305" i="40" s="1"/>
  <c r="G305" i="40"/>
  <c r="F305" i="40"/>
  <c r="E305" i="40"/>
  <c r="BY304" i="40"/>
  <c r="BX304" i="40"/>
  <c r="BW304" i="40"/>
  <c r="AH304" i="40"/>
  <c r="AG304" i="40"/>
  <c r="AF304" i="40"/>
  <c r="AE304" i="40"/>
  <c r="AD304" i="40"/>
  <c r="AC304" i="40"/>
  <c r="AB304" i="40"/>
  <c r="AA304" i="40"/>
  <c r="H304" i="40"/>
  <c r="Z304" i="40" s="1"/>
  <c r="G304" i="40"/>
  <c r="F304" i="40"/>
  <c r="E304" i="40"/>
  <c r="BY303" i="40"/>
  <c r="BX303" i="40"/>
  <c r="BW303" i="40"/>
  <c r="AH303" i="40"/>
  <c r="AG303" i="40"/>
  <c r="AF303" i="40"/>
  <c r="AE303" i="40"/>
  <c r="AD303" i="40"/>
  <c r="AC303" i="40"/>
  <c r="AB303" i="40"/>
  <c r="AA303" i="40"/>
  <c r="H303" i="40"/>
  <c r="X303" i="40" s="1"/>
  <c r="G303" i="40"/>
  <c r="F303" i="40"/>
  <c r="E303" i="40"/>
  <c r="BY302" i="40"/>
  <c r="BX302" i="40"/>
  <c r="BW302" i="40"/>
  <c r="AH302" i="40"/>
  <c r="AG302" i="40"/>
  <c r="AF302" i="40"/>
  <c r="AE302" i="40"/>
  <c r="AD302" i="40"/>
  <c r="AC302" i="40"/>
  <c r="AB302" i="40"/>
  <c r="AA302" i="40"/>
  <c r="H302" i="40"/>
  <c r="Z302" i="40" s="1"/>
  <c r="G302" i="40"/>
  <c r="F302" i="40"/>
  <c r="E302" i="40"/>
  <c r="BY301" i="40"/>
  <c r="BX301" i="40"/>
  <c r="BW301" i="40"/>
  <c r="AH301" i="40"/>
  <c r="AG301" i="40"/>
  <c r="AF301" i="40"/>
  <c r="AE301" i="40"/>
  <c r="AD301" i="40"/>
  <c r="AC301" i="40"/>
  <c r="AS301" i="40" s="1"/>
  <c r="AB301" i="40"/>
  <c r="AA301" i="40"/>
  <c r="H301" i="40"/>
  <c r="V301" i="40" s="1"/>
  <c r="G301" i="40"/>
  <c r="F301" i="40"/>
  <c r="E301" i="40"/>
  <c r="BY300" i="40"/>
  <c r="BX300" i="40"/>
  <c r="BW300" i="40"/>
  <c r="AH300" i="40"/>
  <c r="AG300" i="40"/>
  <c r="AF300" i="40"/>
  <c r="AE300" i="40"/>
  <c r="AD300" i="40"/>
  <c r="AC300" i="40"/>
  <c r="AB300" i="40"/>
  <c r="AA300" i="40"/>
  <c r="H300" i="40"/>
  <c r="Y300" i="40" s="1"/>
  <c r="G300" i="40"/>
  <c r="F300" i="40"/>
  <c r="E300" i="40"/>
  <c r="BY299" i="40"/>
  <c r="BX299" i="40"/>
  <c r="BW299" i="40"/>
  <c r="AH299" i="40"/>
  <c r="AG299" i="40"/>
  <c r="AF299" i="40"/>
  <c r="AE299" i="40"/>
  <c r="AD299" i="40"/>
  <c r="AC299" i="40"/>
  <c r="AB299" i="40"/>
  <c r="AA299" i="40"/>
  <c r="H299" i="40"/>
  <c r="Z299" i="40" s="1"/>
  <c r="G299" i="40"/>
  <c r="F299" i="40"/>
  <c r="E299" i="40"/>
  <c r="BY298" i="40"/>
  <c r="BX298" i="40"/>
  <c r="BW298" i="40"/>
  <c r="AH298" i="40"/>
  <c r="AG298" i="40"/>
  <c r="AF298" i="40"/>
  <c r="AE298" i="40"/>
  <c r="AD298" i="40"/>
  <c r="AC298" i="40"/>
  <c r="AB298" i="40"/>
  <c r="AA298" i="40"/>
  <c r="H298" i="40"/>
  <c r="U298" i="40" s="1"/>
  <c r="G298" i="40"/>
  <c r="F298" i="40"/>
  <c r="E298" i="40"/>
  <c r="BY297" i="40"/>
  <c r="BX297" i="40"/>
  <c r="BW297" i="40"/>
  <c r="AH297" i="40"/>
  <c r="AG297" i="40"/>
  <c r="AF297" i="40"/>
  <c r="AE297" i="40"/>
  <c r="AD297" i="40"/>
  <c r="AC297" i="40"/>
  <c r="AB297" i="40"/>
  <c r="AA297" i="40"/>
  <c r="H297" i="40"/>
  <c r="Z297" i="40" s="1"/>
  <c r="G297" i="40"/>
  <c r="F297" i="40"/>
  <c r="E297" i="40"/>
  <c r="BY296" i="40"/>
  <c r="BX296" i="40"/>
  <c r="BW296" i="40"/>
  <c r="AH296" i="40"/>
  <c r="AG296" i="40"/>
  <c r="AF296" i="40"/>
  <c r="AE296" i="40"/>
  <c r="AD296" i="40"/>
  <c r="AC296" i="40"/>
  <c r="AB296" i="40"/>
  <c r="AA296" i="40"/>
  <c r="H296" i="40"/>
  <c r="S296" i="40" s="1"/>
  <c r="G296" i="40"/>
  <c r="F296" i="40"/>
  <c r="E296" i="40"/>
  <c r="BY295" i="40"/>
  <c r="BX295" i="40"/>
  <c r="BW295" i="40"/>
  <c r="AH295" i="40"/>
  <c r="AG295" i="40"/>
  <c r="AF295" i="40"/>
  <c r="AE295" i="40"/>
  <c r="AD295" i="40"/>
  <c r="AC295" i="40"/>
  <c r="AB295" i="40"/>
  <c r="AA295" i="40"/>
  <c r="H295" i="40"/>
  <c r="U295" i="40" s="1"/>
  <c r="G295" i="40"/>
  <c r="F295" i="40"/>
  <c r="E295" i="40"/>
  <c r="BY294" i="40"/>
  <c r="BX294" i="40"/>
  <c r="BW294" i="40"/>
  <c r="AH294" i="40"/>
  <c r="AG294" i="40"/>
  <c r="AF294" i="40"/>
  <c r="AE294" i="40"/>
  <c r="AD294" i="40"/>
  <c r="AC294" i="40"/>
  <c r="AB294" i="40"/>
  <c r="AA294" i="40"/>
  <c r="H294" i="40"/>
  <c r="Y294" i="40" s="1"/>
  <c r="G294" i="40"/>
  <c r="F294" i="40"/>
  <c r="E294" i="40"/>
  <c r="BY293" i="40"/>
  <c r="BX293" i="40"/>
  <c r="BW293" i="40"/>
  <c r="AH293" i="40"/>
  <c r="AG293" i="40"/>
  <c r="AF293" i="40"/>
  <c r="AE293" i="40"/>
  <c r="AD293" i="40"/>
  <c r="AC293" i="40"/>
  <c r="AB293" i="40"/>
  <c r="AA293" i="40"/>
  <c r="H293" i="40"/>
  <c r="Y293" i="40" s="1"/>
  <c r="G293" i="40"/>
  <c r="F293" i="40"/>
  <c r="E293" i="40"/>
  <c r="BY292" i="40"/>
  <c r="BX292" i="40"/>
  <c r="BW292" i="40"/>
  <c r="AH292" i="40"/>
  <c r="AG292" i="40"/>
  <c r="AF292" i="40"/>
  <c r="AE292" i="40"/>
  <c r="AD292" i="40"/>
  <c r="AC292" i="40"/>
  <c r="AB292" i="40"/>
  <c r="AA292" i="40"/>
  <c r="H292" i="40"/>
  <c r="X292" i="40" s="1"/>
  <c r="G292" i="40"/>
  <c r="F292" i="40"/>
  <c r="E292" i="40"/>
  <c r="BY291" i="40"/>
  <c r="BX291" i="40"/>
  <c r="BW291" i="40"/>
  <c r="AH291" i="40"/>
  <c r="AG291" i="40"/>
  <c r="AF291" i="40"/>
  <c r="AE291" i="40"/>
  <c r="AD291" i="40"/>
  <c r="AC291" i="40"/>
  <c r="AB291" i="40"/>
  <c r="AA291" i="40"/>
  <c r="H291" i="40"/>
  <c r="Z291" i="40" s="1"/>
  <c r="G291" i="40"/>
  <c r="F291" i="40"/>
  <c r="E291" i="40"/>
  <c r="BY290" i="40"/>
  <c r="BX290" i="40"/>
  <c r="BW290" i="40"/>
  <c r="AH290" i="40"/>
  <c r="AG290" i="40"/>
  <c r="AF290" i="40"/>
  <c r="AE290" i="40"/>
  <c r="AD290" i="40"/>
  <c r="AC290" i="40"/>
  <c r="AB290" i="40"/>
  <c r="AA290" i="40"/>
  <c r="H290" i="40"/>
  <c r="S290" i="40" s="1"/>
  <c r="G290" i="40"/>
  <c r="F290" i="40"/>
  <c r="E290" i="40"/>
  <c r="BY289" i="40"/>
  <c r="BX289" i="40"/>
  <c r="BW289" i="40"/>
  <c r="AH289" i="40"/>
  <c r="AG289" i="40"/>
  <c r="AF289" i="40"/>
  <c r="AE289" i="40"/>
  <c r="AD289" i="40"/>
  <c r="AC289" i="40"/>
  <c r="AB289" i="40"/>
  <c r="AA289" i="40"/>
  <c r="H289" i="40"/>
  <c r="Z289" i="40" s="1"/>
  <c r="G289" i="40"/>
  <c r="F289" i="40"/>
  <c r="E289" i="40"/>
  <c r="BY288" i="40"/>
  <c r="BX288" i="40"/>
  <c r="BW288" i="40"/>
  <c r="AH288" i="40"/>
  <c r="AG288" i="40"/>
  <c r="AF288" i="40"/>
  <c r="AE288" i="40"/>
  <c r="AD288" i="40"/>
  <c r="AC288" i="40"/>
  <c r="AB288" i="40"/>
  <c r="AR288" i="40" s="1"/>
  <c r="AA288" i="40"/>
  <c r="H288" i="40"/>
  <c r="S288" i="40" s="1"/>
  <c r="G288" i="40"/>
  <c r="F288" i="40"/>
  <c r="E288" i="40"/>
  <c r="BY287" i="40"/>
  <c r="BX287" i="40"/>
  <c r="BW287" i="40"/>
  <c r="AH287" i="40"/>
  <c r="AG287" i="40"/>
  <c r="AF287" i="40"/>
  <c r="AE287" i="40"/>
  <c r="AD287" i="40"/>
  <c r="AC287" i="40"/>
  <c r="AB287" i="40"/>
  <c r="AR287" i="40" s="1"/>
  <c r="AA287" i="40"/>
  <c r="AQ287" i="40" s="1"/>
  <c r="H287" i="40"/>
  <c r="Z287" i="40" s="1"/>
  <c r="G287" i="40"/>
  <c r="F287" i="40"/>
  <c r="E287" i="40"/>
  <c r="BY286" i="40"/>
  <c r="BX286" i="40"/>
  <c r="BW286" i="40"/>
  <c r="AH286" i="40"/>
  <c r="AG286" i="40"/>
  <c r="AF286" i="40"/>
  <c r="AE286" i="40"/>
  <c r="AD286" i="40"/>
  <c r="AC286" i="40"/>
  <c r="AB286" i="40"/>
  <c r="AA286" i="40"/>
  <c r="H286" i="40"/>
  <c r="X286" i="40" s="1"/>
  <c r="G286" i="40"/>
  <c r="F286" i="40"/>
  <c r="E286" i="40"/>
  <c r="BY285" i="40"/>
  <c r="BX285" i="40"/>
  <c r="BW285" i="40"/>
  <c r="AH285" i="40"/>
  <c r="AG285" i="40"/>
  <c r="AF285" i="40"/>
  <c r="AE285" i="40"/>
  <c r="AD285" i="40"/>
  <c r="AC285" i="40"/>
  <c r="AB285" i="40"/>
  <c r="AA285" i="40"/>
  <c r="H285" i="40"/>
  <c r="Z285" i="40" s="1"/>
  <c r="G285" i="40"/>
  <c r="F285" i="40"/>
  <c r="E285" i="40"/>
  <c r="BY284" i="40"/>
  <c r="BX284" i="40"/>
  <c r="BW284" i="40"/>
  <c r="AH284" i="40"/>
  <c r="AG284" i="40"/>
  <c r="AF284" i="40"/>
  <c r="AE284" i="40"/>
  <c r="AD284" i="40"/>
  <c r="AC284" i="40"/>
  <c r="AB284" i="40"/>
  <c r="AA284" i="40"/>
  <c r="H284" i="40"/>
  <c r="X284" i="40" s="1"/>
  <c r="G284" i="40"/>
  <c r="F284" i="40"/>
  <c r="E284" i="40"/>
  <c r="BY283" i="40"/>
  <c r="BX283" i="40"/>
  <c r="BW283" i="40"/>
  <c r="AH283" i="40"/>
  <c r="AG283" i="40"/>
  <c r="AF283" i="40"/>
  <c r="AE283" i="40"/>
  <c r="AD283" i="40"/>
  <c r="AC283" i="40"/>
  <c r="AB283" i="40"/>
  <c r="AA283" i="40"/>
  <c r="H283" i="40"/>
  <c r="Z283" i="40" s="1"/>
  <c r="G283" i="40"/>
  <c r="F283" i="40"/>
  <c r="E283" i="40"/>
  <c r="BY282" i="40"/>
  <c r="BX282" i="40"/>
  <c r="BW282" i="40"/>
  <c r="AH282" i="40"/>
  <c r="AG282" i="40"/>
  <c r="AF282" i="40"/>
  <c r="AE282" i="40"/>
  <c r="AD282" i="40"/>
  <c r="AC282" i="40"/>
  <c r="AB282" i="40"/>
  <c r="AA282" i="40"/>
  <c r="H282" i="40"/>
  <c r="X282" i="40" s="1"/>
  <c r="G282" i="40"/>
  <c r="F282" i="40"/>
  <c r="E282" i="40"/>
  <c r="BY281" i="40"/>
  <c r="BX281" i="40"/>
  <c r="BW281" i="40"/>
  <c r="AH281" i="40"/>
  <c r="AG281" i="40"/>
  <c r="AF281" i="40"/>
  <c r="AE281" i="40"/>
  <c r="AD281" i="40"/>
  <c r="AC281" i="40"/>
  <c r="AS281" i="40" s="1"/>
  <c r="AB281" i="40"/>
  <c r="AA281" i="40"/>
  <c r="H281" i="40"/>
  <c r="G281" i="40"/>
  <c r="F281" i="40"/>
  <c r="E281" i="40"/>
  <c r="BY280" i="40"/>
  <c r="BX280" i="40"/>
  <c r="BW280" i="40"/>
  <c r="AH280" i="40"/>
  <c r="AG280" i="40"/>
  <c r="AF280" i="40"/>
  <c r="AE280" i="40"/>
  <c r="AD280" i="40"/>
  <c r="AC280" i="40"/>
  <c r="AB280" i="40"/>
  <c r="AR280" i="40" s="1"/>
  <c r="AA280" i="40"/>
  <c r="H280" i="40"/>
  <c r="X280" i="40" s="1"/>
  <c r="G280" i="40"/>
  <c r="F280" i="40"/>
  <c r="E280" i="40"/>
  <c r="BY279" i="40"/>
  <c r="BX279" i="40"/>
  <c r="BW279" i="40"/>
  <c r="AH279" i="40"/>
  <c r="AG279" i="40"/>
  <c r="AF279" i="40"/>
  <c r="AE279" i="40"/>
  <c r="AD279" i="40"/>
  <c r="AC279" i="40"/>
  <c r="AB279" i="40"/>
  <c r="AA279" i="40"/>
  <c r="AQ279" i="40" s="1"/>
  <c r="H279" i="40"/>
  <c r="W279" i="40" s="1"/>
  <c r="G279" i="40"/>
  <c r="F279" i="40"/>
  <c r="E279" i="40"/>
  <c r="BY278" i="40"/>
  <c r="BX278" i="40"/>
  <c r="BW278" i="40"/>
  <c r="AH278" i="40"/>
  <c r="AG278" i="40"/>
  <c r="AF278" i="40"/>
  <c r="AE278" i="40"/>
  <c r="AD278" i="40"/>
  <c r="AC278" i="40"/>
  <c r="AB278" i="40"/>
  <c r="AA278" i="40"/>
  <c r="H278" i="40"/>
  <c r="X278" i="40" s="1"/>
  <c r="G278" i="40"/>
  <c r="F278" i="40"/>
  <c r="E278" i="40"/>
  <c r="BY277" i="40"/>
  <c r="BX277" i="40"/>
  <c r="BW277" i="40"/>
  <c r="AH277" i="40"/>
  <c r="AG277" i="40"/>
  <c r="AF277" i="40"/>
  <c r="AE277" i="40"/>
  <c r="AD277" i="40"/>
  <c r="AC277" i="40"/>
  <c r="AB277" i="40"/>
  <c r="AA277" i="40"/>
  <c r="H277" i="40"/>
  <c r="X277" i="40" s="1"/>
  <c r="G277" i="40"/>
  <c r="F277" i="40"/>
  <c r="E277" i="40"/>
  <c r="BY276" i="40"/>
  <c r="BX276" i="40"/>
  <c r="BW276" i="40"/>
  <c r="AH276" i="40"/>
  <c r="AG276" i="40"/>
  <c r="AF276" i="40"/>
  <c r="AE276" i="40"/>
  <c r="AD276" i="40"/>
  <c r="AC276" i="40"/>
  <c r="AB276" i="40"/>
  <c r="AA276" i="40"/>
  <c r="H276" i="40"/>
  <c r="X276" i="40" s="1"/>
  <c r="G276" i="40"/>
  <c r="F276" i="40"/>
  <c r="E276" i="40"/>
  <c r="BY275" i="40"/>
  <c r="BX275" i="40"/>
  <c r="BW275" i="40"/>
  <c r="AH275" i="40"/>
  <c r="AG275" i="40"/>
  <c r="AF275" i="40"/>
  <c r="AE275" i="40"/>
  <c r="AD275" i="40"/>
  <c r="AC275" i="40"/>
  <c r="AB275" i="40"/>
  <c r="AA275" i="40"/>
  <c r="H275" i="40"/>
  <c r="G275" i="40"/>
  <c r="F275" i="40"/>
  <c r="E275" i="40"/>
  <c r="BY274" i="40"/>
  <c r="BX274" i="40"/>
  <c r="BW274" i="40"/>
  <c r="AH274" i="40"/>
  <c r="AG274" i="40"/>
  <c r="AF274" i="40"/>
  <c r="AE274" i="40"/>
  <c r="AD274" i="40"/>
  <c r="AC274" i="40"/>
  <c r="AB274" i="40"/>
  <c r="AA274" i="40"/>
  <c r="H274" i="40"/>
  <c r="S274" i="40" s="1"/>
  <c r="G274" i="40"/>
  <c r="F274" i="40"/>
  <c r="E274" i="40"/>
  <c r="BY273" i="40"/>
  <c r="BX273" i="40"/>
  <c r="BW273" i="40"/>
  <c r="AH273" i="40"/>
  <c r="AG273" i="40"/>
  <c r="AF273" i="40"/>
  <c r="AE273" i="40"/>
  <c r="AD273" i="40"/>
  <c r="AC273" i="40"/>
  <c r="AS273" i="40" s="1"/>
  <c r="AB273" i="40"/>
  <c r="AA273" i="40"/>
  <c r="H273" i="40"/>
  <c r="X273" i="40" s="1"/>
  <c r="G273" i="40"/>
  <c r="F273" i="40"/>
  <c r="E273" i="40"/>
  <c r="BY272" i="40"/>
  <c r="BX272" i="40"/>
  <c r="BW272" i="40"/>
  <c r="AH272" i="40"/>
  <c r="AG272" i="40"/>
  <c r="AF272" i="40"/>
  <c r="AE272" i="40"/>
  <c r="AD272" i="40"/>
  <c r="AC272" i="40"/>
  <c r="AB272" i="40"/>
  <c r="AA272" i="40"/>
  <c r="H272" i="40"/>
  <c r="T272" i="40" s="1"/>
  <c r="G272" i="40"/>
  <c r="F272" i="40"/>
  <c r="E272" i="40"/>
  <c r="BY271" i="40"/>
  <c r="BX271" i="40"/>
  <c r="BW271" i="40"/>
  <c r="AH271" i="40"/>
  <c r="AG271" i="40"/>
  <c r="AF271" i="40"/>
  <c r="AE271" i="40"/>
  <c r="AD271" i="40"/>
  <c r="AC271" i="40"/>
  <c r="AB271" i="40"/>
  <c r="AA271" i="40"/>
  <c r="H271" i="40"/>
  <c r="X271" i="40" s="1"/>
  <c r="G271" i="40"/>
  <c r="F271" i="40"/>
  <c r="E271" i="40"/>
  <c r="BY270" i="40"/>
  <c r="BX270" i="40"/>
  <c r="BW270" i="40"/>
  <c r="AH270" i="40"/>
  <c r="AG270" i="40"/>
  <c r="AF270" i="40"/>
  <c r="AE270" i="40"/>
  <c r="AD270" i="40"/>
  <c r="AC270" i="40"/>
  <c r="AB270" i="40"/>
  <c r="AA270" i="40"/>
  <c r="H270" i="40"/>
  <c r="X270" i="40" s="1"/>
  <c r="G270" i="40"/>
  <c r="F270" i="40"/>
  <c r="E270" i="40"/>
  <c r="BY269" i="40"/>
  <c r="BX269" i="40"/>
  <c r="BW269" i="40"/>
  <c r="AH269" i="40"/>
  <c r="AG269" i="40"/>
  <c r="AF269" i="40"/>
  <c r="AE269" i="40"/>
  <c r="AD269" i="40"/>
  <c r="AC269" i="40"/>
  <c r="AB269" i="40"/>
  <c r="AA269" i="40"/>
  <c r="H269" i="40"/>
  <c r="X269" i="40" s="1"/>
  <c r="G269" i="40"/>
  <c r="F269" i="40"/>
  <c r="E269" i="40"/>
  <c r="BY268" i="40"/>
  <c r="BX268" i="40"/>
  <c r="BW268" i="40"/>
  <c r="AH268" i="40"/>
  <c r="AG268" i="40"/>
  <c r="AF268" i="40"/>
  <c r="AE268" i="40"/>
  <c r="AD268" i="40"/>
  <c r="AC268" i="40"/>
  <c r="AB268" i="40"/>
  <c r="AA268" i="40"/>
  <c r="H268" i="40"/>
  <c r="Y268" i="40" s="1"/>
  <c r="G268" i="40"/>
  <c r="F268" i="40"/>
  <c r="E268" i="40"/>
  <c r="BY267" i="40"/>
  <c r="BX267" i="40"/>
  <c r="BW267" i="40"/>
  <c r="AH267" i="40"/>
  <c r="AG267" i="40"/>
  <c r="AF267" i="40"/>
  <c r="AE267" i="40"/>
  <c r="AD267" i="40"/>
  <c r="AC267" i="40"/>
  <c r="AB267" i="40"/>
  <c r="AA267" i="40"/>
  <c r="H267" i="40"/>
  <c r="X267" i="40" s="1"/>
  <c r="G267" i="40"/>
  <c r="F267" i="40"/>
  <c r="E267" i="40"/>
  <c r="BY266" i="40"/>
  <c r="BX266" i="40"/>
  <c r="BW266" i="40"/>
  <c r="AH266" i="40"/>
  <c r="AG266" i="40"/>
  <c r="AF266" i="40"/>
  <c r="AE266" i="40"/>
  <c r="AD266" i="40"/>
  <c r="AC266" i="40"/>
  <c r="AB266" i="40"/>
  <c r="AA266" i="40"/>
  <c r="H266" i="40"/>
  <c r="X266" i="40" s="1"/>
  <c r="G266" i="40"/>
  <c r="F266" i="40"/>
  <c r="E266" i="40"/>
  <c r="BY265" i="40"/>
  <c r="BX265" i="40"/>
  <c r="BW265" i="40"/>
  <c r="AH265" i="40"/>
  <c r="AG265" i="40"/>
  <c r="AF265" i="40"/>
  <c r="AE265" i="40"/>
  <c r="AD265" i="40"/>
  <c r="AC265" i="40"/>
  <c r="AB265" i="40"/>
  <c r="AA265" i="40"/>
  <c r="H265" i="40"/>
  <c r="X265" i="40" s="1"/>
  <c r="G265" i="40"/>
  <c r="F265" i="40"/>
  <c r="E265" i="40"/>
  <c r="BY264" i="40"/>
  <c r="BX264" i="40"/>
  <c r="BW264" i="40"/>
  <c r="AH264" i="40"/>
  <c r="AG264" i="40"/>
  <c r="AF264" i="40"/>
  <c r="AE264" i="40"/>
  <c r="AD264" i="40"/>
  <c r="AC264" i="40"/>
  <c r="AB264" i="40"/>
  <c r="AA264" i="40"/>
  <c r="H264" i="40"/>
  <c r="U264" i="40" s="1"/>
  <c r="G264" i="40"/>
  <c r="F264" i="40"/>
  <c r="E264" i="40"/>
  <c r="BY263" i="40"/>
  <c r="BX263" i="40"/>
  <c r="BW263" i="40"/>
  <c r="AH263" i="40"/>
  <c r="AG263" i="40"/>
  <c r="AF263" i="40"/>
  <c r="AE263" i="40"/>
  <c r="AD263" i="40"/>
  <c r="AC263" i="40"/>
  <c r="AB263" i="40"/>
  <c r="AR263" i="40" s="1"/>
  <c r="AA263" i="40"/>
  <c r="H263" i="40"/>
  <c r="X263" i="40" s="1"/>
  <c r="G263" i="40"/>
  <c r="F263" i="40"/>
  <c r="E263" i="40"/>
  <c r="BY262" i="40"/>
  <c r="BX262" i="40"/>
  <c r="BW262" i="40"/>
  <c r="AH262" i="40"/>
  <c r="AG262" i="40"/>
  <c r="AF262" i="40"/>
  <c r="AE262" i="40"/>
  <c r="AD262" i="40"/>
  <c r="AC262" i="40"/>
  <c r="AB262" i="40"/>
  <c r="AA262" i="40"/>
  <c r="H262" i="40"/>
  <c r="G262" i="40"/>
  <c r="F262" i="40"/>
  <c r="E262" i="40"/>
  <c r="BY261" i="40"/>
  <c r="BX261" i="40"/>
  <c r="BW261" i="40"/>
  <c r="AH261" i="40"/>
  <c r="AG261" i="40"/>
  <c r="AF261" i="40"/>
  <c r="AE261" i="40"/>
  <c r="AD261" i="40"/>
  <c r="AC261" i="40"/>
  <c r="AB261" i="40"/>
  <c r="AA261" i="40"/>
  <c r="H261" i="40"/>
  <c r="X261" i="40" s="1"/>
  <c r="G261" i="40"/>
  <c r="F261" i="40"/>
  <c r="E261" i="40"/>
  <c r="BY260" i="40"/>
  <c r="BX260" i="40"/>
  <c r="BW260" i="40"/>
  <c r="AH260" i="40"/>
  <c r="AG260" i="40"/>
  <c r="AF260" i="40"/>
  <c r="AE260" i="40"/>
  <c r="AD260" i="40"/>
  <c r="AC260" i="40"/>
  <c r="AB260" i="40"/>
  <c r="AR260" i="40" s="1"/>
  <c r="AA260" i="40"/>
  <c r="H260" i="40"/>
  <c r="V260" i="40" s="1"/>
  <c r="G260" i="40"/>
  <c r="F260" i="40"/>
  <c r="E260" i="40"/>
  <c r="BY259" i="40"/>
  <c r="BX259" i="40"/>
  <c r="BW259" i="40"/>
  <c r="AH259" i="40"/>
  <c r="AG259" i="40"/>
  <c r="AF259" i="40"/>
  <c r="AE259" i="40"/>
  <c r="AD259" i="40"/>
  <c r="AC259" i="40"/>
  <c r="AB259" i="40"/>
  <c r="AA259" i="40"/>
  <c r="H259" i="40"/>
  <c r="X259" i="40" s="1"/>
  <c r="G259" i="40"/>
  <c r="F259" i="40"/>
  <c r="E259" i="40"/>
  <c r="BY258" i="40"/>
  <c r="BX258" i="40"/>
  <c r="BW258" i="40"/>
  <c r="AH258" i="40"/>
  <c r="AG258" i="40"/>
  <c r="AF258" i="40"/>
  <c r="AE258" i="40"/>
  <c r="AD258" i="40"/>
  <c r="AC258" i="40"/>
  <c r="AB258" i="40"/>
  <c r="AA258" i="40"/>
  <c r="H258" i="40"/>
  <c r="Z258" i="40" s="1"/>
  <c r="G258" i="40"/>
  <c r="F258" i="40"/>
  <c r="E258" i="40"/>
  <c r="BY257" i="40"/>
  <c r="BX257" i="40"/>
  <c r="BW257" i="40"/>
  <c r="AH257" i="40"/>
  <c r="AG257" i="40"/>
  <c r="AF257" i="40"/>
  <c r="AE257" i="40"/>
  <c r="AD257" i="40"/>
  <c r="AC257" i="40"/>
  <c r="AB257" i="40"/>
  <c r="AA257" i="40"/>
  <c r="H257" i="40"/>
  <c r="Z257" i="40" s="1"/>
  <c r="G257" i="40"/>
  <c r="F257" i="40"/>
  <c r="E257" i="40"/>
  <c r="BY256" i="40"/>
  <c r="BX256" i="40"/>
  <c r="BW256" i="40"/>
  <c r="AH256" i="40"/>
  <c r="AG256" i="40"/>
  <c r="AF256" i="40"/>
  <c r="AE256" i="40"/>
  <c r="AD256" i="40"/>
  <c r="AC256" i="40"/>
  <c r="AB256" i="40"/>
  <c r="AA256" i="40"/>
  <c r="H256" i="40"/>
  <c r="V256" i="40" s="1"/>
  <c r="G256" i="40"/>
  <c r="F256" i="40"/>
  <c r="E256" i="40"/>
  <c r="BY255" i="40"/>
  <c r="BX255" i="40"/>
  <c r="BW255" i="40"/>
  <c r="AH255" i="40"/>
  <c r="AG255" i="40"/>
  <c r="AF255" i="40"/>
  <c r="AE255" i="40"/>
  <c r="AD255" i="40"/>
  <c r="AC255" i="40"/>
  <c r="AB255" i="40"/>
  <c r="AA255" i="40"/>
  <c r="H255" i="40"/>
  <c r="Z255" i="40" s="1"/>
  <c r="G255" i="40"/>
  <c r="F255" i="40"/>
  <c r="E255" i="40"/>
  <c r="BY254" i="40"/>
  <c r="BX254" i="40"/>
  <c r="BW254" i="40"/>
  <c r="AH254" i="40"/>
  <c r="AG254" i="40"/>
  <c r="AF254" i="40"/>
  <c r="AE254" i="40"/>
  <c r="AD254" i="40"/>
  <c r="AC254" i="40"/>
  <c r="AB254" i="40"/>
  <c r="AA254" i="40"/>
  <c r="H254" i="40"/>
  <c r="G254" i="40"/>
  <c r="F254" i="40"/>
  <c r="E254" i="40"/>
  <c r="BY253" i="40"/>
  <c r="BX253" i="40"/>
  <c r="BW253" i="40"/>
  <c r="AH253" i="40"/>
  <c r="AX253" i="40" s="1"/>
  <c r="AG253" i="40"/>
  <c r="AF253" i="40"/>
  <c r="AE253" i="40"/>
  <c r="AD253" i="40"/>
  <c r="AC253" i="40"/>
  <c r="AB253" i="40"/>
  <c r="AA253" i="40"/>
  <c r="H253" i="40"/>
  <c r="Y253" i="40" s="1"/>
  <c r="G253" i="40"/>
  <c r="F253" i="40"/>
  <c r="E253" i="40"/>
  <c r="BY252" i="40"/>
  <c r="BX252" i="40"/>
  <c r="BW252" i="40"/>
  <c r="AH252" i="40"/>
  <c r="AG252" i="40"/>
  <c r="AF252" i="40"/>
  <c r="AE252" i="40"/>
  <c r="AD252" i="40"/>
  <c r="AC252" i="40"/>
  <c r="AB252" i="40"/>
  <c r="AA252" i="40"/>
  <c r="H252" i="40"/>
  <c r="G252" i="40"/>
  <c r="F252" i="40"/>
  <c r="E252" i="40"/>
  <c r="BY251" i="40"/>
  <c r="BX251" i="40"/>
  <c r="BW251" i="40"/>
  <c r="AH251" i="40"/>
  <c r="AG251" i="40"/>
  <c r="AF251" i="40"/>
  <c r="AE251" i="40"/>
  <c r="AD251" i="40"/>
  <c r="AC251" i="40"/>
  <c r="AB251" i="40"/>
  <c r="AA251" i="40"/>
  <c r="H251" i="40"/>
  <c r="W251" i="40" s="1"/>
  <c r="G251" i="40"/>
  <c r="F251" i="40"/>
  <c r="E251" i="40"/>
  <c r="BY250" i="40"/>
  <c r="BX250" i="40"/>
  <c r="BW250" i="40"/>
  <c r="AH250" i="40"/>
  <c r="AG250" i="40"/>
  <c r="AF250" i="40"/>
  <c r="AE250" i="40"/>
  <c r="AD250" i="40"/>
  <c r="AC250" i="40"/>
  <c r="AB250" i="40"/>
  <c r="AA250" i="40"/>
  <c r="H250" i="40"/>
  <c r="G250" i="40"/>
  <c r="F250" i="40"/>
  <c r="E250" i="40"/>
  <c r="BY249" i="40"/>
  <c r="BX249" i="40"/>
  <c r="BW249" i="40"/>
  <c r="AH249" i="40"/>
  <c r="AG249" i="40"/>
  <c r="AF249" i="40"/>
  <c r="AE249" i="40"/>
  <c r="AD249" i="40"/>
  <c r="AC249" i="40"/>
  <c r="AB249" i="40"/>
  <c r="AA249" i="40"/>
  <c r="H249" i="40"/>
  <c r="W249" i="40" s="1"/>
  <c r="G249" i="40"/>
  <c r="F249" i="40"/>
  <c r="E249" i="40"/>
  <c r="BY248" i="40"/>
  <c r="BX248" i="40"/>
  <c r="BW248" i="40"/>
  <c r="AH248" i="40"/>
  <c r="AG248" i="40"/>
  <c r="AF248" i="40"/>
  <c r="AE248" i="40"/>
  <c r="AD248" i="40"/>
  <c r="AC248" i="40"/>
  <c r="AS248" i="40" s="1"/>
  <c r="AB248" i="40"/>
  <c r="AA248" i="40"/>
  <c r="H248" i="40"/>
  <c r="X248" i="40" s="1"/>
  <c r="G248" i="40"/>
  <c r="F248" i="40"/>
  <c r="E248" i="40"/>
  <c r="BY247" i="40"/>
  <c r="BX247" i="40"/>
  <c r="BW247" i="40"/>
  <c r="AH247" i="40"/>
  <c r="AG247" i="40"/>
  <c r="AF247" i="40"/>
  <c r="AE247" i="40"/>
  <c r="AD247" i="40"/>
  <c r="AC247" i="40"/>
  <c r="AB247" i="40"/>
  <c r="AA247" i="40"/>
  <c r="H247" i="40"/>
  <c r="W247" i="40" s="1"/>
  <c r="G247" i="40"/>
  <c r="F247" i="40"/>
  <c r="E247" i="40"/>
  <c r="BY246" i="40"/>
  <c r="BX246" i="40"/>
  <c r="BW246" i="40"/>
  <c r="AH246" i="40"/>
  <c r="AG246" i="40"/>
  <c r="AF246" i="40"/>
  <c r="AE246" i="40"/>
  <c r="AD246" i="40"/>
  <c r="AC246" i="40"/>
  <c r="AB246" i="40"/>
  <c r="AA246" i="40"/>
  <c r="H246" i="40"/>
  <c r="X246" i="40" s="1"/>
  <c r="G246" i="40"/>
  <c r="F246" i="40"/>
  <c r="E246" i="40"/>
  <c r="BY245" i="40"/>
  <c r="BX245" i="40"/>
  <c r="BW245" i="40"/>
  <c r="AH245" i="40"/>
  <c r="AG245" i="40"/>
  <c r="AF245" i="40"/>
  <c r="AE245" i="40"/>
  <c r="AD245" i="40"/>
  <c r="AC245" i="40"/>
  <c r="AB245" i="40"/>
  <c r="AA245" i="40"/>
  <c r="H245" i="40"/>
  <c r="W245" i="40" s="1"/>
  <c r="G245" i="40"/>
  <c r="F245" i="40"/>
  <c r="E245" i="40"/>
  <c r="BY244" i="40"/>
  <c r="BX244" i="40"/>
  <c r="BW244" i="40"/>
  <c r="AH244" i="40"/>
  <c r="AG244" i="40"/>
  <c r="AF244" i="40"/>
  <c r="AE244" i="40"/>
  <c r="AD244" i="40"/>
  <c r="AC244" i="40"/>
  <c r="AB244" i="40"/>
  <c r="AA244" i="40"/>
  <c r="H244" i="40"/>
  <c r="G244" i="40"/>
  <c r="F244" i="40"/>
  <c r="E244" i="40"/>
  <c r="BY243" i="40"/>
  <c r="BX243" i="40"/>
  <c r="BW243" i="40"/>
  <c r="AH243" i="40"/>
  <c r="AG243" i="40"/>
  <c r="AF243" i="40"/>
  <c r="AE243" i="40"/>
  <c r="AD243" i="40"/>
  <c r="AC243" i="40"/>
  <c r="AB243" i="40"/>
  <c r="AA243" i="40"/>
  <c r="H243" i="40"/>
  <c r="Y243" i="40" s="1"/>
  <c r="G243" i="40"/>
  <c r="F243" i="40"/>
  <c r="E243" i="40"/>
  <c r="BY242" i="40"/>
  <c r="BX242" i="40"/>
  <c r="BW242" i="40"/>
  <c r="AH242" i="40"/>
  <c r="AG242" i="40"/>
  <c r="AF242" i="40"/>
  <c r="AE242" i="40"/>
  <c r="AD242" i="40"/>
  <c r="AC242" i="40"/>
  <c r="AB242" i="40"/>
  <c r="AR242" i="40" s="1"/>
  <c r="AA242" i="40"/>
  <c r="H242" i="40"/>
  <c r="Y242" i="40" s="1"/>
  <c r="G242" i="40"/>
  <c r="F242" i="40"/>
  <c r="E242" i="40"/>
  <c r="BY241" i="40"/>
  <c r="BX241" i="40"/>
  <c r="BW241" i="40"/>
  <c r="AH241" i="40"/>
  <c r="AG241" i="40"/>
  <c r="AF241" i="40"/>
  <c r="AE241" i="40"/>
  <c r="AD241" i="40"/>
  <c r="AC241" i="40"/>
  <c r="AB241" i="40"/>
  <c r="AA241" i="40"/>
  <c r="H241" i="40"/>
  <c r="S241" i="40" s="1"/>
  <c r="G241" i="40"/>
  <c r="F241" i="40"/>
  <c r="E241" i="40"/>
  <c r="BY240" i="40"/>
  <c r="BX240" i="40"/>
  <c r="BW240" i="40"/>
  <c r="AH240" i="40"/>
  <c r="AG240" i="40"/>
  <c r="AF240" i="40"/>
  <c r="AE240" i="40"/>
  <c r="AD240" i="40"/>
  <c r="AC240" i="40"/>
  <c r="AB240" i="40"/>
  <c r="AA240" i="40"/>
  <c r="H240" i="40"/>
  <c r="T240" i="40" s="1"/>
  <c r="G240" i="40"/>
  <c r="F240" i="40"/>
  <c r="E240" i="40"/>
  <c r="BY239" i="40"/>
  <c r="BX239" i="40"/>
  <c r="BW239" i="40"/>
  <c r="AH239" i="40"/>
  <c r="AG239" i="40"/>
  <c r="AF239" i="40"/>
  <c r="AE239" i="40"/>
  <c r="AD239" i="40"/>
  <c r="AC239" i="40"/>
  <c r="AB239" i="40"/>
  <c r="AA239" i="40"/>
  <c r="H239" i="40"/>
  <c r="W239" i="40" s="1"/>
  <c r="G239" i="40"/>
  <c r="F239" i="40"/>
  <c r="E239" i="40"/>
  <c r="BY238" i="40"/>
  <c r="BX238" i="40"/>
  <c r="BW238" i="40"/>
  <c r="AH238" i="40"/>
  <c r="AG238" i="40"/>
  <c r="AF238" i="40"/>
  <c r="AE238" i="40"/>
  <c r="AD238" i="40"/>
  <c r="AC238" i="40"/>
  <c r="AB238" i="40"/>
  <c r="AA238" i="40"/>
  <c r="H238" i="40"/>
  <c r="X238" i="40" s="1"/>
  <c r="G238" i="40"/>
  <c r="F238" i="40"/>
  <c r="E238" i="40"/>
  <c r="BY237" i="40"/>
  <c r="BX237" i="40"/>
  <c r="BW237" i="40"/>
  <c r="AH237" i="40"/>
  <c r="AG237" i="40"/>
  <c r="AF237" i="40"/>
  <c r="AE237" i="40"/>
  <c r="AD237" i="40"/>
  <c r="AC237" i="40"/>
  <c r="AB237" i="40"/>
  <c r="AA237" i="40"/>
  <c r="H237" i="40"/>
  <c r="T237" i="40" s="1"/>
  <c r="G237" i="40"/>
  <c r="F237" i="40"/>
  <c r="E237" i="40"/>
  <c r="BY236" i="40"/>
  <c r="BX236" i="40"/>
  <c r="BW236" i="40"/>
  <c r="AH236" i="40"/>
  <c r="AG236" i="40"/>
  <c r="AF236" i="40"/>
  <c r="AE236" i="40"/>
  <c r="AD236" i="40"/>
  <c r="AC236" i="40"/>
  <c r="AB236" i="40"/>
  <c r="AA236" i="40"/>
  <c r="H236" i="40"/>
  <c r="X236" i="40" s="1"/>
  <c r="G236" i="40"/>
  <c r="F236" i="40"/>
  <c r="E236" i="40"/>
  <c r="BY235" i="40"/>
  <c r="BX235" i="40"/>
  <c r="BW235" i="40"/>
  <c r="AH235" i="40"/>
  <c r="AG235" i="40"/>
  <c r="AF235" i="40"/>
  <c r="AE235" i="40"/>
  <c r="AD235" i="40"/>
  <c r="AC235" i="40"/>
  <c r="AB235" i="40"/>
  <c r="AA235" i="40"/>
  <c r="H235" i="40"/>
  <c r="W235" i="40" s="1"/>
  <c r="G235" i="40"/>
  <c r="F235" i="40"/>
  <c r="E235" i="40"/>
  <c r="BY234" i="40"/>
  <c r="BX234" i="40"/>
  <c r="BW234" i="40"/>
  <c r="AH234" i="40"/>
  <c r="AG234" i="40"/>
  <c r="AF234" i="40"/>
  <c r="AE234" i="40"/>
  <c r="AD234" i="40"/>
  <c r="AC234" i="40"/>
  <c r="AB234" i="40"/>
  <c r="AA234" i="40"/>
  <c r="AQ234" i="40" s="1"/>
  <c r="H234" i="40"/>
  <c r="X234" i="40" s="1"/>
  <c r="G234" i="40"/>
  <c r="F234" i="40"/>
  <c r="E234" i="40"/>
  <c r="BY233" i="40"/>
  <c r="BX233" i="40"/>
  <c r="BW233" i="40"/>
  <c r="AH233" i="40"/>
  <c r="AG233" i="40"/>
  <c r="AF233" i="40"/>
  <c r="AE233" i="40"/>
  <c r="AD233" i="40"/>
  <c r="AC233" i="40"/>
  <c r="AB233" i="40"/>
  <c r="AA233" i="40"/>
  <c r="H233" i="40"/>
  <c r="Y233" i="40" s="1"/>
  <c r="G233" i="40"/>
  <c r="F233" i="40"/>
  <c r="E233" i="40"/>
  <c r="BY232" i="40"/>
  <c r="BX232" i="40"/>
  <c r="BW232" i="40"/>
  <c r="AH232" i="40"/>
  <c r="AG232" i="40"/>
  <c r="AF232" i="40"/>
  <c r="AE232" i="40"/>
  <c r="AD232" i="40"/>
  <c r="AC232" i="40"/>
  <c r="AS232" i="40" s="1"/>
  <c r="AB232" i="40"/>
  <c r="AA232" i="40"/>
  <c r="H232" i="40"/>
  <c r="G232" i="40"/>
  <c r="F232" i="40"/>
  <c r="E232" i="40"/>
  <c r="BY231" i="40"/>
  <c r="BX231" i="40"/>
  <c r="BW231" i="40"/>
  <c r="AH231" i="40"/>
  <c r="AG231" i="40"/>
  <c r="AF231" i="40"/>
  <c r="AE231" i="40"/>
  <c r="AD231" i="40"/>
  <c r="AC231" i="40"/>
  <c r="AS231" i="40" s="1"/>
  <c r="AB231" i="40"/>
  <c r="AA231" i="40"/>
  <c r="H231" i="40"/>
  <c r="Y231" i="40" s="1"/>
  <c r="G231" i="40"/>
  <c r="F231" i="40"/>
  <c r="E231" i="40"/>
  <c r="BY230" i="40"/>
  <c r="BX230" i="40"/>
  <c r="BW230" i="40"/>
  <c r="AH230" i="40"/>
  <c r="AG230" i="40"/>
  <c r="AF230" i="40"/>
  <c r="AE230" i="40"/>
  <c r="AD230" i="40"/>
  <c r="AC230" i="40"/>
  <c r="AB230" i="40"/>
  <c r="AA230" i="40"/>
  <c r="H230" i="40"/>
  <c r="Y230" i="40" s="1"/>
  <c r="G230" i="40"/>
  <c r="F230" i="40"/>
  <c r="E230" i="40"/>
  <c r="BY229" i="40"/>
  <c r="BX229" i="40"/>
  <c r="BW229" i="40"/>
  <c r="AH229" i="40"/>
  <c r="AG229" i="40"/>
  <c r="AF229" i="40"/>
  <c r="AE229" i="40"/>
  <c r="AD229" i="40"/>
  <c r="AC229" i="40"/>
  <c r="AB229" i="40"/>
  <c r="AA229" i="40"/>
  <c r="H229" i="40"/>
  <c r="G229" i="40"/>
  <c r="F229" i="40"/>
  <c r="E229" i="40"/>
  <c r="BY228" i="40"/>
  <c r="BX228" i="40"/>
  <c r="BW228" i="40"/>
  <c r="AH228" i="40"/>
  <c r="AG228" i="40"/>
  <c r="AF228" i="40"/>
  <c r="AE228" i="40"/>
  <c r="AD228" i="40"/>
  <c r="AC228" i="40"/>
  <c r="AB228" i="40"/>
  <c r="AA228" i="40"/>
  <c r="H228" i="40"/>
  <c r="Y228" i="40" s="1"/>
  <c r="G228" i="40"/>
  <c r="F228" i="40"/>
  <c r="E228" i="40"/>
  <c r="BY227" i="40"/>
  <c r="BX227" i="40"/>
  <c r="BW227" i="40"/>
  <c r="AH227" i="40"/>
  <c r="AG227" i="40"/>
  <c r="AF227" i="40"/>
  <c r="AE227" i="40"/>
  <c r="AD227" i="40"/>
  <c r="AC227" i="40"/>
  <c r="AB227" i="40"/>
  <c r="AA227" i="40"/>
  <c r="H227" i="40"/>
  <c r="G227" i="40"/>
  <c r="F227" i="40"/>
  <c r="E227" i="40"/>
  <c r="BY226" i="40"/>
  <c r="BX226" i="40"/>
  <c r="BW226" i="40"/>
  <c r="AH226" i="40"/>
  <c r="AG226" i="40"/>
  <c r="AF226" i="40"/>
  <c r="AE226" i="40"/>
  <c r="AD226" i="40"/>
  <c r="AC226" i="40"/>
  <c r="AB226" i="40"/>
  <c r="AA226" i="40"/>
  <c r="H226" i="40"/>
  <c r="Y226" i="40" s="1"/>
  <c r="G226" i="40"/>
  <c r="F226" i="40"/>
  <c r="E226" i="40"/>
  <c r="BY225" i="40"/>
  <c r="BX225" i="40"/>
  <c r="BW225" i="40"/>
  <c r="AH225" i="40"/>
  <c r="AG225" i="40"/>
  <c r="AF225" i="40"/>
  <c r="AE225" i="40"/>
  <c r="AD225" i="40"/>
  <c r="AC225" i="40"/>
  <c r="AB225" i="40"/>
  <c r="AA225" i="40"/>
  <c r="H225" i="40"/>
  <c r="G225" i="40"/>
  <c r="F225" i="40"/>
  <c r="E225" i="40"/>
  <c r="BY224" i="40"/>
  <c r="BX224" i="40"/>
  <c r="BW224" i="40"/>
  <c r="AH224" i="40"/>
  <c r="AG224" i="40"/>
  <c r="AF224" i="40"/>
  <c r="AE224" i="40"/>
  <c r="AD224" i="40"/>
  <c r="AC224" i="40"/>
  <c r="AB224" i="40"/>
  <c r="AA224" i="40"/>
  <c r="H224" i="40"/>
  <c r="Y224" i="40" s="1"/>
  <c r="G224" i="40"/>
  <c r="F224" i="40"/>
  <c r="E224" i="40"/>
  <c r="BY223" i="40"/>
  <c r="BX223" i="40"/>
  <c r="BW223" i="40"/>
  <c r="AH223" i="40"/>
  <c r="AG223" i="40"/>
  <c r="AF223" i="40"/>
  <c r="AE223" i="40"/>
  <c r="AD223" i="40"/>
  <c r="AC223" i="40"/>
  <c r="AB223" i="40"/>
  <c r="AA223" i="40"/>
  <c r="H223" i="40"/>
  <c r="U223" i="40" s="1"/>
  <c r="G223" i="40"/>
  <c r="F223" i="40"/>
  <c r="E223" i="40"/>
  <c r="BY222" i="40"/>
  <c r="BX222" i="40"/>
  <c r="BW222" i="40"/>
  <c r="AH222" i="40"/>
  <c r="AG222" i="40"/>
  <c r="AF222" i="40"/>
  <c r="AE222" i="40"/>
  <c r="AD222" i="40"/>
  <c r="AC222" i="40"/>
  <c r="AB222" i="40"/>
  <c r="AA222" i="40"/>
  <c r="H222" i="40"/>
  <c r="G222" i="40"/>
  <c r="F222" i="40"/>
  <c r="E222" i="40"/>
  <c r="BY221" i="40"/>
  <c r="BX221" i="40"/>
  <c r="BW221" i="40"/>
  <c r="AH221" i="40"/>
  <c r="AG221" i="40"/>
  <c r="AF221" i="40"/>
  <c r="AE221" i="40"/>
  <c r="AD221" i="40"/>
  <c r="AC221" i="40"/>
  <c r="AB221" i="40"/>
  <c r="AR221" i="40" s="1"/>
  <c r="AA221" i="40"/>
  <c r="H221" i="40"/>
  <c r="G221" i="40"/>
  <c r="F221" i="40"/>
  <c r="E221" i="40"/>
  <c r="BY220" i="40"/>
  <c r="BX220" i="40"/>
  <c r="BW220" i="40"/>
  <c r="AH220" i="40"/>
  <c r="AG220" i="40"/>
  <c r="AF220" i="40"/>
  <c r="AE220" i="40"/>
  <c r="AD220" i="40"/>
  <c r="AC220" i="40"/>
  <c r="AB220" i="40"/>
  <c r="AA220" i="40"/>
  <c r="H220" i="40"/>
  <c r="G220" i="40"/>
  <c r="F220" i="40"/>
  <c r="E220" i="40"/>
  <c r="BY219" i="40"/>
  <c r="BX219" i="40"/>
  <c r="BW219" i="40"/>
  <c r="AH219" i="40"/>
  <c r="AG219" i="40"/>
  <c r="AF219" i="40"/>
  <c r="AE219" i="40"/>
  <c r="AD219" i="40"/>
  <c r="AC219" i="40"/>
  <c r="AS219" i="40" s="1"/>
  <c r="AB219" i="40"/>
  <c r="AA219" i="40"/>
  <c r="H219" i="40"/>
  <c r="G219" i="40"/>
  <c r="F219" i="40"/>
  <c r="E219" i="40"/>
  <c r="BY218" i="40"/>
  <c r="BX218" i="40"/>
  <c r="BW218" i="40"/>
  <c r="AH218" i="40"/>
  <c r="AG218" i="40"/>
  <c r="AF218" i="40"/>
  <c r="AE218" i="40"/>
  <c r="AD218" i="40"/>
  <c r="AC218" i="40"/>
  <c r="AS218" i="40" s="1"/>
  <c r="AB218" i="40"/>
  <c r="AA218" i="40"/>
  <c r="H218" i="40"/>
  <c r="G218" i="40"/>
  <c r="F218" i="40"/>
  <c r="E218" i="40"/>
  <c r="BY217" i="40"/>
  <c r="BX217" i="40"/>
  <c r="BW217" i="40"/>
  <c r="AH217" i="40"/>
  <c r="AG217" i="40"/>
  <c r="AF217" i="40"/>
  <c r="AE217" i="40"/>
  <c r="AD217" i="40"/>
  <c r="AC217" i="40"/>
  <c r="AB217" i="40"/>
  <c r="AA217" i="40"/>
  <c r="AQ217" i="40" s="1"/>
  <c r="H217" i="40"/>
  <c r="Y217" i="40" s="1"/>
  <c r="G217" i="40"/>
  <c r="F217" i="40"/>
  <c r="E217" i="40"/>
  <c r="BY216" i="40"/>
  <c r="BX216" i="40"/>
  <c r="BW216" i="40"/>
  <c r="AH216" i="40"/>
  <c r="AG216" i="40"/>
  <c r="AF216" i="40"/>
  <c r="AE216" i="40"/>
  <c r="AD216" i="40"/>
  <c r="AT216" i="40" s="1"/>
  <c r="AC216" i="40"/>
  <c r="AB216" i="40"/>
  <c r="AA216" i="40"/>
  <c r="H216" i="40"/>
  <c r="W216" i="40" s="1"/>
  <c r="G216" i="40"/>
  <c r="F216" i="40"/>
  <c r="E216" i="40"/>
  <c r="BY215" i="40"/>
  <c r="BX215" i="40"/>
  <c r="BW215" i="40"/>
  <c r="AH215" i="40"/>
  <c r="AG215" i="40"/>
  <c r="AF215" i="40"/>
  <c r="AE215" i="40"/>
  <c r="AD215" i="40"/>
  <c r="AC215" i="40"/>
  <c r="AB215" i="40"/>
  <c r="AA215" i="40"/>
  <c r="H215" i="40"/>
  <c r="V215" i="40" s="1"/>
  <c r="G215" i="40"/>
  <c r="F215" i="40"/>
  <c r="E215" i="40"/>
  <c r="BY214" i="40"/>
  <c r="BX214" i="40"/>
  <c r="BW214" i="40"/>
  <c r="AH214" i="40"/>
  <c r="AG214" i="40"/>
  <c r="AF214" i="40"/>
  <c r="AE214" i="40"/>
  <c r="AD214" i="40"/>
  <c r="AC214" i="40"/>
  <c r="AB214" i="40"/>
  <c r="AA214" i="40"/>
  <c r="H214" i="40"/>
  <c r="W214" i="40" s="1"/>
  <c r="G214" i="40"/>
  <c r="F214" i="40"/>
  <c r="E214" i="40"/>
  <c r="BY213" i="40"/>
  <c r="BX213" i="40"/>
  <c r="BW213" i="40"/>
  <c r="AH213" i="40"/>
  <c r="AG213" i="40"/>
  <c r="AF213" i="40"/>
  <c r="AE213" i="40"/>
  <c r="AD213" i="40"/>
  <c r="AC213" i="40"/>
  <c r="AB213" i="40"/>
  <c r="AA213" i="40"/>
  <c r="H213" i="40"/>
  <c r="V213" i="40" s="1"/>
  <c r="G213" i="40"/>
  <c r="F213" i="40"/>
  <c r="E213" i="40"/>
  <c r="BY212" i="40"/>
  <c r="BX212" i="40"/>
  <c r="BW212" i="40"/>
  <c r="AH212" i="40"/>
  <c r="AG212" i="40"/>
  <c r="AF212" i="40"/>
  <c r="AE212" i="40"/>
  <c r="AD212" i="40"/>
  <c r="AC212" i="40"/>
  <c r="AB212" i="40"/>
  <c r="AA212" i="40"/>
  <c r="H212" i="40"/>
  <c r="X212" i="40" s="1"/>
  <c r="G212" i="40"/>
  <c r="F212" i="40"/>
  <c r="E212" i="40"/>
  <c r="BY211" i="40"/>
  <c r="BX211" i="40"/>
  <c r="BW211" i="40"/>
  <c r="AH211" i="40"/>
  <c r="AG211" i="40"/>
  <c r="AF211" i="40"/>
  <c r="AE211" i="40"/>
  <c r="AD211" i="40"/>
  <c r="AC211" i="40"/>
  <c r="AB211" i="40"/>
  <c r="AA211" i="40"/>
  <c r="H211" i="40"/>
  <c r="G211" i="40"/>
  <c r="F211" i="40"/>
  <c r="E211" i="40"/>
  <c r="BY210" i="40"/>
  <c r="BX210" i="40"/>
  <c r="BW210" i="40"/>
  <c r="AH210" i="40"/>
  <c r="AG210" i="40"/>
  <c r="AF210" i="40"/>
  <c r="AE210" i="40"/>
  <c r="AD210" i="40"/>
  <c r="AC210" i="40"/>
  <c r="AB210" i="40"/>
  <c r="AA210" i="40"/>
  <c r="H210" i="40"/>
  <c r="V210" i="40" s="1"/>
  <c r="G210" i="40"/>
  <c r="F210" i="40"/>
  <c r="E210" i="40"/>
  <c r="BY209" i="40"/>
  <c r="BX209" i="40"/>
  <c r="BW209" i="40"/>
  <c r="AH209" i="40"/>
  <c r="AG209" i="40"/>
  <c r="AF209" i="40"/>
  <c r="AE209" i="40"/>
  <c r="AD209" i="40"/>
  <c r="AC209" i="40"/>
  <c r="AB209" i="40"/>
  <c r="AA209" i="40"/>
  <c r="H209" i="40"/>
  <c r="Z209" i="40" s="1"/>
  <c r="G209" i="40"/>
  <c r="F209" i="40"/>
  <c r="E209" i="40"/>
  <c r="BY208" i="40"/>
  <c r="BX208" i="40"/>
  <c r="BW208" i="40"/>
  <c r="AH208" i="40"/>
  <c r="AG208" i="40"/>
  <c r="AF208" i="40"/>
  <c r="AE208" i="40"/>
  <c r="AD208" i="40"/>
  <c r="AC208" i="40"/>
  <c r="AB208" i="40"/>
  <c r="AA208" i="40"/>
  <c r="H208" i="40"/>
  <c r="G208" i="40"/>
  <c r="F208" i="40"/>
  <c r="E208" i="40"/>
  <c r="BY207" i="40"/>
  <c r="BX207" i="40"/>
  <c r="BW207" i="40"/>
  <c r="AH207" i="40"/>
  <c r="AG207" i="40"/>
  <c r="AF207" i="40"/>
  <c r="AE207" i="40"/>
  <c r="AD207" i="40"/>
  <c r="AC207" i="40"/>
  <c r="AB207" i="40"/>
  <c r="AA207" i="40"/>
  <c r="H207" i="40"/>
  <c r="S207" i="40" s="1"/>
  <c r="G207" i="40"/>
  <c r="F207" i="40"/>
  <c r="E207" i="40"/>
  <c r="BY206" i="40"/>
  <c r="BX206" i="40"/>
  <c r="BW206" i="40"/>
  <c r="AH206" i="40"/>
  <c r="AG206" i="40"/>
  <c r="AF206" i="40"/>
  <c r="AE206" i="40"/>
  <c r="AD206" i="40"/>
  <c r="AC206" i="40"/>
  <c r="AB206" i="40"/>
  <c r="AA206" i="40"/>
  <c r="H206" i="40"/>
  <c r="X206" i="40" s="1"/>
  <c r="G206" i="40"/>
  <c r="F206" i="40"/>
  <c r="E206" i="40"/>
  <c r="BY205" i="40"/>
  <c r="BX205" i="40"/>
  <c r="BW205" i="40"/>
  <c r="AH205" i="40"/>
  <c r="AG205" i="40"/>
  <c r="AF205" i="40"/>
  <c r="AE205" i="40"/>
  <c r="AD205" i="40"/>
  <c r="AC205" i="40"/>
  <c r="AB205" i="40"/>
  <c r="AA205" i="40"/>
  <c r="H205" i="40"/>
  <c r="G205" i="40"/>
  <c r="F205" i="40"/>
  <c r="E205" i="40"/>
  <c r="BY204" i="40"/>
  <c r="BX204" i="40"/>
  <c r="BW204" i="40"/>
  <c r="AH204" i="40"/>
  <c r="AG204" i="40"/>
  <c r="AF204" i="40"/>
  <c r="AE204" i="40"/>
  <c r="AD204" i="40"/>
  <c r="AC204" i="40"/>
  <c r="AB204" i="40"/>
  <c r="AA204" i="40"/>
  <c r="H204" i="40"/>
  <c r="G204" i="40"/>
  <c r="F204" i="40"/>
  <c r="E204" i="40"/>
  <c r="BY203" i="40"/>
  <c r="BX203" i="40"/>
  <c r="BW203" i="40"/>
  <c r="AH203" i="40"/>
  <c r="AG203" i="40"/>
  <c r="AF203" i="40"/>
  <c r="AE203" i="40"/>
  <c r="AD203" i="40"/>
  <c r="AC203" i="40"/>
  <c r="AB203" i="40"/>
  <c r="AA203" i="40"/>
  <c r="H203" i="40"/>
  <c r="V203" i="40" s="1"/>
  <c r="G203" i="40"/>
  <c r="F203" i="40"/>
  <c r="E203" i="40"/>
  <c r="BY202" i="40"/>
  <c r="BX202" i="40"/>
  <c r="BW202" i="40"/>
  <c r="AH202" i="40"/>
  <c r="AG202" i="40"/>
  <c r="AF202" i="40"/>
  <c r="AE202" i="40"/>
  <c r="AD202" i="40"/>
  <c r="AC202" i="40"/>
  <c r="AB202" i="40"/>
  <c r="AA202" i="40"/>
  <c r="H202" i="40"/>
  <c r="G202" i="40"/>
  <c r="F202" i="40"/>
  <c r="E202" i="40"/>
  <c r="BY201" i="40"/>
  <c r="BX201" i="40"/>
  <c r="BW201" i="40"/>
  <c r="AH201" i="40"/>
  <c r="AG201" i="40"/>
  <c r="AF201" i="40"/>
  <c r="AE201" i="40"/>
  <c r="AD201" i="40"/>
  <c r="AC201" i="40"/>
  <c r="AB201" i="40"/>
  <c r="AA201" i="40"/>
  <c r="H201" i="40"/>
  <c r="Z201" i="40" s="1"/>
  <c r="G201" i="40"/>
  <c r="F201" i="40"/>
  <c r="E201" i="40"/>
  <c r="BY200" i="40"/>
  <c r="BX200" i="40"/>
  <c r="BW200" i="40"/>
  <c r="AH200" i="40"/>
  <c r="AG200" i="40"/>
  <c r="AF200" i="40"/>
  <c r="AE200" i="40"/>
  <c r="AD200" i="40"/>
  <c r="AC200" i="40"/>
  <c r="AB200" i="40"/>
  <c r="AA200" i="40"/>
  <c r="H200" i="40"/>
  <c r="X200" i="40" s="1"/>
  <c r="G200" i="40"/>
  <c r="F200" i="40"/>
  <c r="E200" i="40"/>
  <c r="BY199" i="40"/>
  <c r="BX199" i="40"/>
  <c r="BW199" i="40"/>
  <c r="AH199" i="40"/>
  <c r="AG199" i="40"/>
  <c r="AF199" i="40"/>
  <c r="AE199" i="40"/>
  <c r="AD199" i="40"/>
  <c r="AC199" i="40"/>
  <c r="AB199" i="40"/>
  <c r="AA199" i="40"/>
  <c r="H199" i="40"/>
  <c r="G199" i="40"/>
  <c r="F199" i="40"/>
  <c r="E199" i="40"/>
  <c r="BY198" i="40"/>
  <c r="BX198" i="40"/>
  <c r="BW198" i="40"/>
  <c r="AH198" i="40"/>
  <c r="AG198" i="40"/>
  <c r="AF198" i="40"/>
  <c r="BD198" i="40" s="1"/>
  <c r="BL198" i="40" s="1"/>
  <c r="AE198" i="40"/>
  <c r="BC198" i="40" s="1"/>
  <c r="BK198" i="40" s="1"/>
  <c r="AD198" i="40"/>
  <c r="BB198" i="40" s="1"/>
  <c r="BJ198" i="40" s="1"/>
  <c r="AC198" i="40"/>
  <c r="AB198" i="40"/>
  <c r="AA198" i="40"/>
  <c r="H198" i="40"/>
  <c r="G198" i="40"/>
  <c r="F198" i="40"/>
  <c r="E198" i="40"/>
  <c r="BY197" i="40"/>
  <c r="BX197" i="40"/>
  <c r="BW197" i="40"/>
  <c r="AH197" i="40"/>
  <c r="AG197" i="40"/>
  <c r="AF197" i="40"/>
  <c r="AE197" i="40"/>
  <c r="AD197" i="40"/>
  <c r="AC197" i="40"/>
  <c r="AB197" i="40"/>
  <c r="AA197" i="40"/>
  <c r="H197" i="40"/>
  <c r="Z197" i="40" s="1"/>
  <c r="G197" i="40"/>
  <c r="F197" i="40"/>
  <c r="E197" i="40"/>
  <c r="BY196" i="40"/>
  <c r="BX196" i="40"/>
  <c r="BW196" i="40"/>
  <c r="AH196" i="40"/>
  <c r="AG196" i="40"/>
  <c r="AF196" i="40"/>
  <c r="AE196" i="40"/>
  <c r="AD196" i="40"/>
  <c r="AC196" i="40"/>
  <c r="AB196" i="40"/>
  <c r="AA196" i="40"/>
  <c r="H196" i="40"/>
  <c r="Z196" i="40" s="1"/>
  <c r="G196" i="40"/>
  <c r="F196" i="40"/>
  <c r="E196" i="40"/>
  <c r="BY195" i="40"/>
  <c r="BX195" i="40"/>
  <c r="BW195" i="40"/>
  <c r="AH195" i="40"/>
  <c r="AG195" i="40"/>
  <c r="AF195" i="40"/>
  <c r="AE195" i="40"/>
  <c r="AD195" i="40"/>
  <c r="AC195" i="40"/>
  <c r="AB195" i="40"/>
  <c r="AA195" i="40"/>
  <c r="H195" i="40"/>
  <c r="G195" i="40"/>
  <c r="F195" i="40"/>
  <c r="E195" i="40"/>
  <c r="BY194" i="40"/>
  <c r="BX194" i="40"/>
  <c r="BW194" i="40"/>
  <c r="AH194" i="40"/>
  <c r="AG194" i="40"/>
  <c r="AF194" i="40"/>
  <c r="AE194" i="40"/>
  <c r="AD194" i="40"/>
  <c r="AC194" i="40"/>
  <c r="AB194" i="40"/>
  <c r="AA194" i="40"/>
  <c r="H194" i="40"/>
  <c r="W194" i="40" s="1"/>
  <c r="G194" i="40"/>
  <c r="F194" i="40"/>
  <c r="E194" i="40"/>
  <c r="BY193" i="40"/>
  <c r="BX193" i="40"/>
  <c r="BW193" i="40"/>
  <c r="AH193" i="40"/>
  <c r="AG193" i="40"/>
  <c r="AF193" i="40"/>
  <c r="AE193" i="40"/>
  <c r="AD193" i="40"/>
  <c r="AC193" i="40"/>
  <c r="AB193" i="40"/>
  <c r="AA193" i="40"/>
  <c r="H193" i="40"/>
  <c r="Z193" i="40" s="1"/>
  <c r="G193" i="40"/>
  <c r="F193" i="40"/>
  <c r="E193" i="40"/>
  <c r="BY192" i="40"/>
  <c r="BX192" i="40"/>
  <c r="BW192" i="40"/>
  <c r="AH192" i="40"/>
  <c r="AG192" i="40"/>
  <c r="AF192" i="40"/>
  <c r="AE192" i="40"/>
  <c r="AD192" i="40"/>
  <c r="AC192" i="40"/>
  <c r="AB192" i="40"/>
  <c r="AA192" i="40"/>
  <c r="H192" i="40"/>
  <c r="V192" i="40" s="1"/>
  <c r="G192" i="40"/>
  <c r="F192" i="40"/>
  <c r="E192" i="40"/>
  <c r="BY191" i="40"/>
  <c r="BX191" i="40"/>
  <c r="BW191" i="40"/>
  <c r="AH191" i="40"/>
  <c r="AG191" i="40"/>
  <c r="AF191" i="40"/>
  <c r="AE191" i="40"/>
  <c r="AD191" i="40"/>
  <c r="AC191" i="40"/>
  <c r="AB191" i="40"/>
  <c r="AA191" i="40"/>
  <c r="H191" i="40"/>
  <c r="Y191" i="40" s="1"/>
  <c r="G191" i="40"/>
  <c r="F191" i="40"/>
  <c r="E191" i="40"/>
  <c r="BY190" i="40"/>
  <c r="BX190" i="40"/>
  <c r="BW190" i="40"/>
  <c r="AH190" i="40"/>
  <c r="AG190" i="40"/>
  <c r="AF190" i="40"/>
  <c r="AE190" i="40"/>
  <c r="AD190" i="40"/>
  <c r="AC190" i="40"/>
  <c r="AB190" i="40"/>
  <c r="AA190" i="40"/>
  <c r="H190" i="40"/>
  <c r="G190" i="40"/>
  <c r="F190" i="40"/>
  <c r="E190" i="40"/>
  <c r="BY189" i="40"/>
  <c r="BX189" i="40"/>
  <c r="BW189" i="40"/>
  <c r="AH189" i="40"/>
  <c r="AG189" i="40"/>
  <c r="AF189" i="40"/>
  <c r="AE189" i="40"/>
  <c r="AD189" i="40"/>
  <c r="AC189" i="40"/>
  <c r="AB189" i="40"/>
  <c r="AA189" i="40"/>
  <c r="H189" i="40"/>
  <c r="Z189" i="40" s="1"/>
  <c r="G189" i="40"/>
  <c r="F189" i="40"/>
  <c r="E189" i="40"/>
  <c r="BY188" i="40"/>
  <c r="BX188" i="40"/>
  <c r="BW188" i="40"/>
  <c r="AH188" i="40"/>
  <c r="AG188" i="40"/>
  <c r="AF188" i="40"/>
  <c r="AE188" i="40"/>
  <c r="AD188" i="40"/>
  <c r="AC188" i="40"/>
  <c r="AB188" i="40"/>
  <c r="AA188" i="40"/>
  <c r="H188" i="40"/>
  <c r="Z188" i="40" s="1"/>
  <c r="G188" i="40"/>
  <c r="F188" i="40"/>
  <c r="E188" i="40"/>
  <c r="BY187" i="40"/>
  <c r="BX187" i="40"/>
  <c r="BW187" i="40"/>
  <c r="AH187" i="40"/>
  <c r="AG187" i="40"/>
  <c r="AF187" i="40"/>
  <c r="AE187" i="40"/>
  <c r="AD187" i="40"/>
  <c r="AC187" i="40"/>
  <c r="AB187" i="40"/>
  <c r="AA187" i="40"/>
  <c r="H187" i="40"/>
  <c r="T187" i="40" s="1"/>
  <c r="G187" i="40"/>
  <c r="F187" i="40"/>
  <c r="E187" i="40"/>
  <c r="BY186" i="40"/>
  <c r="BX186" i="40"/>
  <c r="BW186" i="40"/>
  <c r="AH186" i="40"/>
  <c r="AG186" i="40"/>
  <c r="AF186" i="40"/>
  <c r="AE186" i="40"/>
  <c r="AD186" i="40"/>
  <c r="AC186" i="40"/>
  <c r="AB186" i="40"/>
  <c r="AA186" i="40"/>
  <c r="H186" i="40"/>
  <c r="Z186" i="40" s="1"/>
  <c r="G186" i="40"/>
  <c r="F186" i="40"/>
  <c r="E186" i="40"/>
  <c r="BY185" i="40"/>
  <c r="BX185" i="40"/>
  <c r="BW185" i="40"/>
  <c r="AH185" i="40"/>
  <c r="AG185" i="40"/>
  <c r="AF185" i="40"/>
  <c r="AE185" i="40"/>
  <c r="AD185" i="40"/>
  <c r="AC185" i="40"/>
  <c r="AB185" i="40"/>
  <c r="AA185" i="40"/>
  <c r="H185" i="40"/>
  <c r="S185" i="40" s="1"/>
  <c r="G185" i="40"/>
  <c r="F185" i="40"/>
  <c r="E185" i="40"/>
  <c r="BY184" i="40"/>
  <c r="BX184" i="40"/>
  <c r="BW184" i="40"/>
  <c r="AH184" i="40"/>
  <c r="AG184" i="40"/>
  <c r="AF184" i="40"/>
  <c r="AE184" i="40"/>
  <c r="AD184" i="40"/>
  <c r="AC184" i="40"/>
  <c r="AB184" i="40"/>
  <c r="AA184" i="40"/>
  <c r="H184" i="40"/>
  <c r="X184" i="40" s="1"/>
  <c r="G184" i="40"/>
  <c r="F184" i="40"/>
  <c r="E184" i="40"/>
  <c r="BY183" i="40"/>
  <c r="BX183" i="40"/>
  <c r="BW183" i="40"/>
  <c r="AH183" i="40"/>
  <c r="AG183" i="40"/>
  <c r="AF183" i="40"/>
  <c r="AE183" i="40"/>
  <c r="AD183" i="40"/>
  <c r="AC183" i="40"/>
  <c r="AB183" i="40"/>
  <c r="AA183" i="40"/>
  <c r="H183" i="40"/>
  <c r="G183" i="40"/>
  <c r="F183" i="40"/>
  <c r="E183" i="40"/>
  <c r="BY182" i="40"/>
  <c r="BX182" i="40"/>
  <c r="BW182" i="40"/>
  <c r="AH182" i="40"/>
  <c r="AG182" i="40"/>
  <c r="AF182" i="40"/>
  <c r="AE182" i="40"/>
  <c r="AD182" i="40"/>
  <c r="AC182" i="40"/>
  <c r="AB182" i="40"/>
  <c r="AA182" i="40"/>
  <c r="H182" i="40"/>
  <c r="S182" i="40" s="1"/>
  <c r="G182" i="40"/>
  <c r="F182" i="40"/>
  <c r="E182" i="40"/>
  <c r="BY181" i="40"/>
  <c r="BX181" i="40"/>
  <c r="BW181" i="40"/>
  <c r="AH181" i="40"/>
  <c r="AG181" i="40"/>
  <c r="AF181" i="40"/>
  <c r="AE181" i="40"/>
  <c r="AD181" i="40"/>
  <c r="AC181" i="40"/>
  <c r="AB181" i="40"/>
  <c r="AA181" i="40"/>
  <c r="H181" i="40"/>
  <c r="X181" i="40" s="1"/>
  <c r="G181" i="40"/>
  <c r="F181" i="40"/>
  <c r="E181" i="40"/>
  <c r="BY180" i="40"/>
  <c r="BX180" i="40"/>
  <c r="BW180" i="40"/>
  <c r="AH180" i="40"/>
  <c r="AG180" i="40"/>
  <c r="AF180" i="40"/>
  <c r="AE180" i="40"/>
  <c r="AD180" i="40"/>
  <c r="AC180" i="40"/>
  <c r="AB180" i="40"/>
  <c r="AA180" i="40"/>
  <c r="H180" i="40"/>
  <c r="X180" i="40" s="1"/>
  <c r="G180" i="40"/>
  <c r="F180" i="40"/>
  <c r="E180" i="40"/>
  <c r="BY179" i="40"/>
  <c r="BX179" i="40"/>
  <c r="BW179" i="40"/>
  <c r="AH179" i="40"/>
  <c r="AG179" i="40"/>
  <c r="AF179" i="40"/>
  <c r="AE179" i="40"/>
  <c r="AD179" i="40"/>
  <c r="AC179" i="40"/>
  <c r="AB179" i="40"/>
  <c r="AA179" i="40"/>
  <c r="H179" i="40"/>
  <c r="X179" i="40" s="1"/>
  <c r="G179" i="40"/>
  <c r="F179" i="40"/>
  <c r="E179" i="40"/>
  <c r="BY178" i="40"/>
  <c r="BX178" i="40"/>
  <c r="BW178" i="40"/>
  <c r="AH178" i="40"/>
  <c r="AG178" i="40"/>
  <c r="AF178" i="40"/>
  <c r="AE178" i="40"/>
  <c r="AD178" i="40"/>
  <c r="AC178" i="40"/>
  <c r="AB178" i="40"/>
  <c r="AA178" i="40"/>
  <c r="H178" i="40"/>
  <c r="S178" i="40" s="1"/>
  <c r="G178" i="40"/>
  <c r="F178" i="40"/>
  <c r="E178" i="40"/>
  <c r="BY177" i="40"/>
  <c r="BX177" i="40"/>
  <c r="BW177" i="40"/>
  <c r="AH177" i="40"/>
  <c r="AG177" i="40"/>
  <c r="AF177" i="40"/>
  <c r="AE177" i="40"/>
  <c r="AD177" i="40"/>
  <c r="AC177" i="40"/>
  <c r="AB177" i="40"/>
  <c r="AA177" i="40"/>
  <c r="H177" i="40"/>
  <c r="G177" i="40"/>
  <c r="F177" i="40"/>
  <c r="E177" i="40"/>
  <c r="BY176" i="40"/>
  <c r="BX176" i="40"/>
  <c r="BW176" i="40"/>
  <c r="AH176" i="40"/>
  <c r="AG176" i="40"/>
  <c r="AF176" i="40"/>
  <c r="AE176" i="40"/>
  <c r="AD176" i="40"/>
  <c r="AC176" i="40"/>
  <c r="AB176" i="40"/>
  <c r="AA176" i="40"/>
  <c r="H176" i="40"/>
  <c r="W176" i="40" s="1"/>
  <c r="G176" i="40"/>
  <c r="F176" i="40"/>
  <c r="E176" i="40"/>
  <c r="BY175" i="40"/>
  <c r="BX175" i="40"/>
  <c r="BW175" i="40"/>
  <c r="AH175" i="40"/>
  <c r="AG175" i="40"/>
  <c r="AF175" i="40"/>
  <c r="AE175" i="40"/>
  <c r="AD175" i="40"/>
  <c r="AC175" i="40"/>
  <c r="AB175" i="40"/>
  <c r="AA175" i="40"/>
  <c r="H175" i="40"/>
  <c r="S175" i="40" s="1"/>
  <c r="G175" i="40"/>
  <c r="F175" i="40"/>
  <c r="E175" i="40"/>
  <c r="BY174" i="40"/>
  <c r="BX174" i="40"/>
  <c r="BW174" i="40"/>
  <c r="AH174" i="40"/>
  <c r="AG174" i="40"/>
  <c r="AF174" i="40"/>
  <c r="AE174" i="40"/>
  <c r="AD174" i="40"/>
  <c r="AC174" i="40"/>
  <c r="AB174" i="40"/>
  <c r="AA174" i="40"/>
  <c r="H174" i="40"/>
  <c r="Y174" i="40" s="1"/>
  <c r="G174" i="40"/>
  <c r="F174" i="40"/>
  <c r="E174" i="40"/>
  <c r="BY173" i="40"/>
  <c r="BX173" i="40"/>
  <c r="BW173" i="40"/>
  <c r="AH173" i="40"/>
  <c r="AG173" i="40"/>
  <c r="AF173" i="40"/>
  <c r="AE173" i="40"/>
  <c r="AD173" i="40"/>
  <c r="AC173" i="40"/>
  <c r="AB173" i="40"/>
  <c r="AA173" i="40"/>
  <c r="H173" i="40"/>
  <c r="V173" i="40" s="1"/>
  <c r="G173" i="40"/>
  <c r="F173" i="40"/>
  <c r="E173" i="40"/>
  <c r="BY172" i="40"/>
  <c r="BX172" i="40"/>
  <c r="BW172" i="40"/>
  <c r="AH172" i="40"/>
  <c r="AG172" i="40"/>
  <c r="AF172" i="40"/>
  <c r="AE172" i="40"/>
  <c r="AD172" i="40"/>
  <c r="AC172" i="40"/>
  <c r="AB172" i="40"/>
  <c r="AA172" i="40"/>
  <c r="H172" i="40"/>
  <c r="W172" i="40" s="1"/>
  <c r="G172" i="40"/>
  <c r="F172" i="40"/>
  <c r="E172" i="40"/>
  <c r="BY171" i="40"/>
  <c r="BX171" i="40"/>
  <c r="BW171" i="40"/>
  <c r="AH171" i="40"/>
  <c r="AG171" i="40"/>
  <c r="AF171" i="40"/>
  <c r="AE171" i="40"/>
  <c r="AD171" i="40"/>
  <c r="AC171" i="40"/>
  <c r="AB171" i="40"/>
  <c r="AA171" i="40"/>
  <c r="H171" i="40"/>
  <c r="X171" i="40" s="1"/>
  <c r="G171" i="40"/>
  <c r="F171" i="40"/>
  <c r="E171" i="40"/>
  <c r="BY170" i="40"/>
  <c r="BX170" i="40"/>
  <c r="BW170" i="40"/>
  <c r="AH170" i="40"/>
  <c r="AG170" i="40"/>
  <c r="AF170" i="40"/>
  <c r="AE170" i="40"/>
  <c r="AD170" i="40"/>
  <c r="AC170" i="40"/>
  <c r="AB170" i="40"/>
  <c r="AA170" i="40"/>
  <c r="H170" i="40"/>
  <c r="Z170" i="40" s="1"/>
  <c r="G170" i="40"/>
  <c r="F170" i="40"/>
  <c r="E170" i="40"/>
  <c r="BY169" i="40"/>
  <c r="BX169" i="40"/>
  <c r="BW169" i="40"/>
  <c r="AH169" i="40"/>
  <c r="AG169" i="40"/>
  <c r="AF169" i="40"/>
  <c r="AE169" i="40"/>
  <c r="AD169" i="40"/>
  <c r="AC169" i="40"/>
  <c r="AB169" i="40"/>
  <c r="AA169" i="40"/>
  <c r="H169" i="40"/>
  <c r="Z169" i="40" s="1"/>
  <c r="G169" i="40"/>
  <c r="F169" i="40"/>
  <c r="E169" i="40"/>
  <c r="BY168" i="40"/>
  <c r="BX168" i="40"/>
  <c r="BW168" i="40"/>
  <c r="AH168" i="40"/>
  <c r="AX168" i="40" s="1"/>
  <c r="AG168" i="40"/>
  <c r="AF168" i="40"/>
  <c r="AE168" i="40"/>
  <c r="AD168" i="40"/>
  <c r="AC168" i="40"/>
  <c r="AB168" i="40"/>
  <c r="AA168" i="40"/>
  <c r="H168" i="40"/>
  <c r="G168" i="40"/>
  <c r="F168" i="40"/>
  <c r="E168" i="40"/>
  <c r="BY167" i="40"/>
  <c r="BX167" i="40"/>
  <c r="BW167" i="40"/>
  <c r="AH167" i="40"/>
  <c r="AG167" i="40"/>
  <c r="AF167" i="40"/>
  <c r="AE167" i="40"/>
  <c r="AD167" i="40"/>
  <c r="AC167" i="40"/>
  <c r="AB167" i="40"/>
  <c r="AA167" i="40"/>
  <c r="H167" i="40"/>
  <c r="X167" i="40" s="1"/>
  <c r="G167" i="40"/>
  <c r="F167" i="40"/>
  <c r="E167" i="40"/>
  <c r="BY166" i="40"/>
  <c r="BX166" i="40"/>
  <c r="BW166" i="40"/>
  <c r="AH166" i="40"/>
  <c r="AG166" i="40"/>
  <c r="AF166" i="40"/>
  <c r="AE166" i="40"/>
  <c r="AD166" i="40"/>
  <c r="AC166" i="40"/>
  <c r="AB166" i="40"/>
  <c r="AA166" i="40"/>
  <c r="H166" i="40"/>
  <c r="G166" i="40"/>
  <c r="F166" i="40"/>
  <c r="E166" i="40"/>
  <c r="BY165" i="40"/>
  <c r="BX165" i="40"/>
  <c r="BW165" i="40"/>
  <c r="AH165" i="40"/>
  <c r="AG165" i="40"/>
  <c r="AF165" i="40"/>
  <c r="AE165" i="40"/>
  <c r="AD165" i="40"/>
  <c r="AC165" i="40"/>
  <c r="AB165" i="40"/>
  <c r="AA165" i="40"/>
  <c r="H165" i="40"/>
  <c r="Z165" i="40" s="1"/>
  <c r="G165" i="40"/>
  <c r="F165" i="40"/>
  <c r="E165" i="40"/>
  <c r="BY164" i="40"/>
  <c r="BX164" i="40"/>
  <c r="BW164" i="40"/>
  <c r="AH164" i="40"/>
  <c r="AG164" i="40"/>
  <c r="AF164" i="40"/>
  <c r="AE164" i="40"/>
  <c r="AD164" i="40"/>
  <c r="AC164" i="40"/>
  <c r="AB164" i="40"/>
  <c r="AA164" i="40"/>
  <c r="H164" i="40"/>
  <c r="G164" i="40"/>
  <c r="F164" i="40"/>
  <c r="E164" i="40"/>
  <c r="BY163" i="40"/>
  <c r="BX163" i="40"/>
  <c r="BW163" i="40"/>
  <c r="AH163" i="40"/>
  <c r="AG163" i="40"/>
  <c r="AF163" i="40"/>
  <c r="AE163" i="40"/>
  <c r="AD163" i="40"/>
  <c r="AC163" i="40"/>
  <c r="AB163" i="40"/>
  <c r="AA163" i="40"/>
  <c r="H163" i="40"/>
  <c r="G163" i="40"/>
  <c r="F163" i="40"/>
  <c r="E163" i="40"/>
  <c r="BY162" i="40"/>
  <c r="BX162" i="40"/>
  <c r="BW162" i="40"/>
  <c r="AH162" i="40"/>
  <c r="AG162" i="40"/>
  <c r="AF162" i="40"/>
  <c r="AE162" i="40"/>
  <c r="AD162" i="40"/>
  <c r="AC162" i="40"/>
  <c r="AB162" i="40"/>
  <c r="AA162" i="40"/>
  <c r="H162" i="40"/>
  <c r="G162" i="40"/>
  <c r="F162" i="40"/>
  <c r="E162" i="40"/>
  <c r="BY161" i="40"/>
  <c r="BX161" i="40"/>
  <c r="BW161" i="40"/>
  <c r="AH161" i="40"/>
  <c r="AG161" i="40"/>
  <c r="AF161" i="40"/>
  <c r="AE161" i="40"/>
  <c r="AD161" i="40"/>
  <c r="AC161" i="40"/>
  <c r="AB161" i="40"/>
  <c r="AA161" i="40"/>
  <c r="H161" i="40"/>
  <c r="G161" i="40"/>
  <c r="F161" i="40"/>
  <c r="E161" i="40"/>
  <c r="BY160" i="40"/>
  <c r="BX160" i="40"/>
  <c r="BW160" i="40"/>
  <c r="AH160" i="40"/>
  <c r="AG160" i="40"/>
  <c r="AF160" i="40"/>
  <c r="AE160" i="40"/>
  <c r="AD160" i="40"/>
  <c r="AC160" i="40"/>
  <c r="AB160" i="40"/>
  <c r="AA160" i="40"/>
  <c r="H160" i="40"/>
  <c r="G160" i="40"/>
  <c r="F160" i="40"/>
  <c r="E160" i="40"/>
  <c r="BY159" i="40"/>
  <c r="BX159" i="40"/>
  <c r="BW159" i="40"/>
  <c r="AH159" i="40"/>
  <c r="AG159" i="40"/>
  <c r="AF159" i="40"/>
  <c r="AE159" i="40"/>
  <c r="AD159" i="40"/>
  <c r="AC159" i="40"/>
  <c r="AB159" i="40"/>
  <c r="AA159" i="40"/>
  <c r="H159" i="40"/>
  <c r="Y159" i="40" s="1"/>
  <c r="G159" i="40"/>
  <c r="F159" i="40"/>
  <c r="E159" i="40"/>
  <c r="BY158" i="40"/>
  <c r="BX158" i="40"/>
  <c r="BW158" i="40"/>
  <c r="AH158" i="40"/>
  <c r="AG158" i="40"/>
  <c r="AF158" i="40"/>
  <c r="AE158" i="40"/>
  <c r="AD158" i="40"/>
  <c r="AC158" i="40"/>
  <c r="AB158" i="40"/>
  <c r="AA158" i="40"/>
  <c r="H158" i="40"/>
  <c r="S158" i="40" s="1"/>
  <c r="G158" i="40"/>
  <c r="F158" i="40"/>
  <c r="E158" i="40"/>
  <c r="BY157" i="40"/>
  <c r="BX157" i="40"/>
  <c r="BW157" i="40"/>
  <c r="AH157" i="40"/>
  <c r="AG157" i="40"/>
  <c r="AF157" i="40"/>
  <c r="AE157" i="40"/>
  <c r="AD157" i="40"/>
  <c r="AC157" i="40"/>
  <c r="AB157" i="40"/>
  <c r="AA157" i="40"/>
  <c r="H157" i="40"/>
  <c r="X157" i="40" s="1"/>
  <c r="G157" i="40"/>
  <c r="F157" i="40"/>
  <c r="E157" i="40"/>
  <c r="BY156" i="40"/>
  <c r="BX156" i="40"/>
  <c r="BW156" i="40"/>
  <c r="AH156" i="40"/>
  <c r="AG156" i="40"/>
  <c r="AF156" i="40"/>
  <c r="AE156" i="40"/>
  <c r="AD156" i="40"/>
  <c r="AC156" i="40"/>
  <c r="AB156" i="40"/>
  <c r="AA156" i="40"/>
  <c r="H156" i="40"/>
  <c r="U156" i="40" s="1"/>
  <c r="G156" i="40"/>
  <c r="F156" i="40"/>
  <c r="E156" i="40"/>
  <c r="BY155" i="40"/>
  <c r="BX155" i="40"/>
  <c r="BW155" i="40"/>
  <c r="AH155" i="40"/>
  <c r="AG155" i="40"/>
  <c r="AF155" i="40"/>
  <c r="AE155" i="40"/>
  <c r="AD155" i="40"/>
  <c r="AC155" i="40"/>
  <c r="AB155" i="40"/>
  <c r="AA155" i="40"/>
  <c r="H155" i="40"/>
  <c r="G155" i="40"/>
  <c r="F155" i="40"/>
  <c r="E155" i="40"/>
  <c r="BY154" i="40"/>
  <c r="BX154" i="40"/>
  <c r="BW154" i="40"/>
  <c r="AH154" i="40"/>
  <c r="AG154" i="40"/>
  <c r="AF154" i="40"/>
  <c r="AE154" i="40"/>
  <c r="AD154" i="40"/>
  <c r="AC154" i="40"/>
  <c r="AB154" i="40"/>
  <c r="AA154" i="40"/>
  <c r="H154" i="40"/>
  <c r="X154" i="40" s="1"/>
  <c r="G154" i="40"/>
  <c r="F154" i="40"/>
  <c r="E154" i="40"/>
  <c r="BY153" i="40"/>
  <c r="BX153" i="40"/>
  <c r="BW153" i="40"/>
  <c r="AH153" i="40"/>
  <c r="AG153" i="40"/>
  <c r="AF153" i="40"/>
  <c r="AE153" i="40"/>
  <c r="AD153" i="40"/>
  <c r="AC153" i="40"/>
  <c r="AB153" i="40"/>
  <c r="AA153" i="40"/>
  <c r="H153" i="40"/>
  <c r="X153" i="40" s="1"/>
  <c r="G153" i="40"/>
  <c r="F153" i="40"/>
  <c r="E153" i="40"/>
  <c r="BY152" i="40"/>
  <c r="BX152" i="40"/>
  <c r="BW152" i="40"/>
  <c r="AH152" i="40"/>
  <c r="AG152" i="40"/>
  <c r="AF152" i="40"/>
  <c r="AE152" i="40"/>
  <c r="AD152" i="40"/>
  <c r="AC152" i="40"/>
  <c r="AB152" i="40"/>
  <c r="AA152" i="40"/>
  <c r="H152" i="40"/>
  <c r="X152" i="40" s="1"/>
  <c r="G152" i="40"/>
  <c r="F152" i="40"/>
  <c r="E152" i="40"/>
  <c r="BY151" i="40"/>
  <c r="BX151" i="40"/>
  <c r="BW151" i="40"/>
  <c r="AH151" i="40"/>
  <c r="AG151" i="40"/>
  <c r="AF151" i="40"/>
  <c r="AE151" i="40"/>
  <c r="AD151" i="40"/>
  <c r="AC151" i="40"/>
  <c r="AB151" i="40"/>
  <c r="AA151" i="40"/>
  <c r="H151" i="40"/>
  <c r="X151" i="40" s="1"/>
  <c r="G151" i="40"/>
  <c r="F151" i="40"/>
  <c r="E151" i="40"/>
  <c r="BY150" i="40"/>
  <c r="BX150" i="40"/>
  <c r="BW150" i="40"/>
  <c r="AH150" i="40"/>
  <c r="AG150" i="40"/>
  <c r="AF150" i="40"/>
  <c r="AE150" i="40"/>
  <c r="AD150" i="40"/>
  <c r="AC150" i="40"/>
  <c r="AB150" i="40"/>
  <c r="AA150" i="40"/>
  <c r="H150" i="40"/>
  <c r="Z150" i="40" s="1"/>
  <c r="G150" i="40"/>
  <c r="F150" i="40"/>
  <c r="E150" i="40"/>
  <c r="BY149" i="40"/>
  <c r="BX149" i="40"/>
  <c r="BW149" i="40"/>
  <c r="AH149" i="40"/>
  <c r="AG149" i="40"/>
  <c r="AF149" i="40"/>
  <c r="AE149" i="40"/>
  <c r="AD149" i="40"/>
  <c r="AC149" i="40"/>
  <c r="AB149" i="40"/>
  <c r="AA149" i="40"/>
  <c r="H149" i="40"/>
  <c r="X149" i="40" s="1"/>
  <c r="G149" i="40"/>
  <c r="F149" i="40"/>
  <c r="E149" i="40"/>
  <c r="BY148" i="40"/>
  <c r="BX148" i="40"/>
  <c r="BW148" i="40"/>
  <c r="AH148" i="40"/>
  <c r="AG148" i="40"/>
  <c r="AF148" i="40"/>
  <c r="AE148" i="40"/>
  <c r="AD148" i="40"/>
  <c r="AC148" i="40"/>
  <c r="AB148" i="40"/>
  <c r="AA148" i="40"/>
  <c r="H148" i="40"/>
  <c r="Z148" i="40" s="1"/>
  <c r="G148" i="40"/>
  <c r="F148" i="40"/>
  <c r="E148" i="40"/>
  <c r="BY147" i="40"/>
  <c r="BX147" i="40"/>
  <c r="BW147" i="40"/>
  <c r="AH147" i="40"/>
  <c r="AG147" i="40"/>
  <c r="AF147" i="40"/>
  <c r="AE147" i="40"/>
  <c r="AD147" i="40"/>
  <c r="AC147" i="40"/>
  <c r="AB147" i="40"/>
  <c r="AA147" i="40"/>
  <c r="H147" i="40"/>
  <c r="Z147" i="40" s="1"/>
  <c r="G147" i="40"/>
  <c r="F147" i="40"/>
  <c r="E147" i="40"/>
  <c r="BY146" i="40"/>
  <c r="BX146" i="40"/>
  <c r="BW146" i="40"/>
  <c r="AH146" i="40"/>
  <c r="AG146" i="40"/>
  <c r="AF146" i="40"/>
  <c r="AE146" i="40"/>
  <c r="AD146" i="40"/>
  <c r="AC146" i="40"/>
  <c r="AB146" i="40"/>
  <c r="AA146" i="40"/>
  <c r="H146" i="40"/>
  <c r="V146" i="40" s="1"/>
  <c r="G146" i="40"/>
  <c r="F146" i="40"/>
  <c r="E146" i="40"/>
  <c r="BY145" i="40"/>
  <c r="BX145" i="40"/>
  <c r="BW145" i="40"/>
  <c r="AH145" i="40"/>
  <c r="AG145" i="40"/>
  <c r="AF145" i="40"/>
  <c r="AE145" i="40"/>
  <c r="AD145" i="40"/>
  <c r="AC145" i="40"/>
  <c r="AB145" i="40"/>
  <c r="AA145" i="40"/>
  <c r="H145" i="40"/>
  <c r="X145" i="40" s="1"/>
  <c r="G145" i="40"/>
  <c r="F145" i="40"/>
  <c r="E145" i="40"/>
  <c r="BY144" i="40"/>
  <c r="BX144" i="40"/>
  <c r="BW144" i="40"/>
  <c r="AH144" i="40"/>
  <c r="AG144" i="40"/>
  <c r="AF144" i="40"/>
  <c r="AE144" i="40"/>
  <c r="AD144" i="40"/>
  <c r="AC144" i="40"/>
  <c r="AB144" i="40"/>
  <c r="AA144" i="40"/>
  <c r="H144" i="40"/>
  <c r="U144" i="40" s="1"/>
  <c r="G144" i="40"/>
  <c r="F144" i="40"/>
  <c r="E144" i="40"/>
  <c r="BY143" i="40"/>
  <c r="BX143" i="40"/>
  <c r="BW143" i="40"/>
  <c r="AH143" i="40"/>
  <c r="AG143" i="40"/>
  <c r="AF143" i="40"/>
  <c r="AE143" i="40"/>
  <c r="AD143" i="40"/>
  <c r="AC143" i="40"/>
  <c r="AB143" i="40"/>
  <c r="AA143" i="40"/>
  <c r="H143" i="40"/>
  <c r="Y143" i="40" s="1"/>
  <c r="G143" i="40"/>
  <c r="F143" i="40"/>
  <c r="E143" i="40"/>
  <c r="BY142" i="40"/>
  <c r="BX142" i="40"/>
  <c r="BW142" i="40"/>
  <c r="AH142" i="40"/>
  <c r="AG142" i="40"/>
  <c r="AF142" i="40"/>
  <c r="AE142" i="40"/>
  <c r="AD142" i="40"/>
  <c r="AC142" i="40"/>
  <c r="AB142" i="40"/>
  <c r="AA142" i="40"/>
  <c r="H142" i="40"/>
  <c r="X142" i="40" s="1"/>
  <c r="G142" i="40"/>
  <c r="F142" i="40"/>
  <c r="E142" i="40"/>
  <c r="BY141" i="40"/>
  <c r="BX141" i="40"/>
  <c r="BW141" i="40"/>
  <c r="AH141" i="40"/>
  <c r="BF141" i="40" s="1"/>
  <c r="BN141" i="40" s="1"/>
  <c r="AG141" i="40"/>
  <c r="AW141" i="40" s="1"/>
  <c r="AF141" i="40"/>
  <c r="BD141" i="40" s="1"/>
  <c r="BL141" i="40" s="1"/>
  <c r="AE141" i="40"/>
  <c r="AU141" i="40" s="1"/>
  <c r="AD141" i="40"/>
  <c r="BB141" i="40" s="1"/>
  <c r="BJ141" i="40" s="1"/>
  <c r="AC141" i="40"/>
  <c r="BA141" i="40" s="1"/>
  <c r="BI141" i="40" s="1"/>
  <c r="AB141" i="40"/>
  <c r="AR141" i="40" s="1"/>
  <c r="AA141" i="40"/>
  <c r="AY141" i="40" s="1"/>
  <c r="BG141" i="40" s="1"/>
  <c r="H141" i="40"/>
  <c r="W141" i="40" s="1"/>
  <c r="G141" i="40"/>
  <c r="F141" i="40"/>
  <c r="E141" i="40"/>
  <c r="BY140" i="40"/>
  <c r="BX140" i="40"/>
  <c r="BW140" i="40"/>
  <c r="AH140" i="40"/>
  <c r="AG140" i="40"/>
  <c r="AF140" i="40"/>
  <c r="AE140" i="40"/>
  <c r="AD140" i="40"/>
  <c r="AC140" i="40"/>
  <c r="AB140" i="40"/>
  <c r="AA140" i="40"/>
  <c r="H140" i="40"/>
  <c r="Y140" i="40" s="1"/>
  <c r="G140" i="40"/>
  <c r="F140" i="40"/>
  <c r="E140" i="40"/>
  <c r="BY139" i="40"/>
  <c r="BX139" i="40"/>
  <c r="BW139" i="40"/>
  <c r="AH139" i="40"/>
  <c r="AG139" i="40"/>
  <c r="AF139" i="40"/>
  <c r="AE139" i="40"/>
  <c r="AD139" i="40"/>
  <c r="AC139" i="40"/>
  <c r="AB139" i="40"/>
  <c r="AA139" i="40"/>
  <c r="H139" i="40"/>
  <c r="G139" i="40"/>
  <c r="F139" i="40"/>
  <c r="E139" i="40"/>
  <c r="BY138" i="40"/>
  <c r="BX138" i="40"/>
  <c r="BW138" i="40"/>
  <c r="AH138" i="40"/>
  <c r="AG138" i="40"/>
  <c r="AF138" i="40"/>
  <c r="AE138" i="40"/>
  <c r="AD138" i="40"/>
  <c r="AC138" i="40"/>
  <c r="AB138" i="40"/>
  <c r="AA138" i="40"/>
  <c r="H138" i="40"/>
  <c r="X138" i="40" s="1"/>
  <c r="G138" i="40"/>
  <c r="F138" i="40"/>
  <c r="E138" i="40"/>
  <c r="BY137" i="40"/>
  <c r="BX137" i="40"/>
  <c r="BW137" i="40"/>
  <c r="AH137" i="40"/>
  <c r="AG137" i="40"/>
  <c r="AF137" i="40"/>
  <c r="AE137" i="40"/>
  <c r="AD137" i="40"/>
  <c r="AC137" i="40"/>
  <c r="AB137" i="40"/>
  <c r="AA137" i="40"/>
  <c r="H137" i="40"/>
  <c r="X137" i="40" s="1"/>
  <c r="G137" i="40"/>
  <c r="F137" i="40"/>
  <c r="E137" i="40"/>
  <c r="BY136" i="40"/>
  <c r="BX136" i="40"/>
  <c r="BW136" i="40"/>
  <c r="AH136" i="40"/>
  <c r="AG136" i="40"/>
  <c r="AF136" i="40"/>
  <c r="AE136" i="40"/>
  <c r="AD136" i="40"/>
  <c r="AC136" i="40"/>
  <c r="AB136" i="40"/>
  <c r="AA136" i="40"/>
  <c r="H136" i="40"/>
  <c r="U136" i="40" s="1"/>
  <c r="G136" i="40"/>
  <c r="F136" i="40"/>
  <c r="E136" i="40"/>
  <c r="BY135" i="40"/>
  <c r="BX135" i="40"/>
  <c r="BW135" i="40"/>
  <c r="AH135" i="40"/>
  <c r="AG135" i="40"/>
  <c r="AF135" i="40"/>
  <c r="AE135" i="40"/>
  <c r="AD135" i="40"/>
  <c r="AC135" i="40"/>
  <c r="AB135" i="40"/>
  <c r="AA135" i="40"/>
  <c r="H135" i="40"/>
  <c r="X135" i="40" s="1"/>
  <c r="G135" i="40"/>
  <c r="F135" i="40"/>
  <c r="E135" i="40"/>
  <c r="BY134" i="40"/>
  <c r="BX134" i="40"/>
  <c r="BW134" i="40"/>
  <c r="AH134" i="40"/>
  <c r="AG134" i="40"/>
  <c r="AF134" i="40"/>
  <c r="AE134" i="40"/>
  <c r="AD134" i="40"/>
  <c r="AC134" i="40"/>
  <c r="AB134" i="40"/>
  <c r="AA134" i="40"/>
  <c r="H134" i="40"/>
  <c r="V134" i="40" s="1"/>
  <c r="G134" i="40"/>
  <c r="F134" i="40"/>
  <c r="E134" i="40"/>
  <c r="BY133" i="40"/>
  <c r="BX133" i="40"/>
  <c r="BW133" i="40"/>
  <c r="AH133" i="40"/>
  <c r="AG133" i="40"/>
  <c r="AF133" i="40"/>
  <c r="AE133" i="40"/>
  <c r="AD133" i="40"/>
  <c r="AC133" i="40"/>
  <c r="AB133" i="40"/>
  <c r="AA133" i="40"/>
  <c r="H133" i="40"/>
  <c r="X133" i="40" s="1"/>
  <c r="G133" i="40"/>
  <c r="F133" i="40"/>
  <c r="E133" i="40"/>
  <c r="BY132" i="40"/>
  <c r="BX132" i="40"/>
  <c r="BW132" i="40"/>
  <c r="AH132" i="40"/>
  <c r="AG132" i="40"/>
  <c r="AF132" i="40"/>
  <c r="AE132" i="40"/>
  <c r="AD132" i="40"/>
  <c r="AC132" i="40"/>
  <c r="AB132" i="40"/>
  <c r="AA132" i="40"/>
  <c r="H132" i="40"/>
  <c r="Y132" i="40" s="1"/>
  <c r="G132" i="40"/>
  <c r="F132" i="40"/>
  <c r="E132" i="40"/>
  <c r="BY131" i="40"/>
  <c r="BX131" i="40"/>
  <c r="BW131" i="40"/>
  <c r="AH131" i="40"/>
  <c r="AG131" i="40"/>
  <c r="AF131" i="40"/>
  <c r="AE131" i="40"/>
  <c r="AD131" i="40"/>
  <c r="AC131" i="40"/>
  <c r="AB131" i="40"/>
  <c r="AA131" i="40"/>
  <c r="H131" i="40"/>
  <c r="T131" i="40" s="1"/>
  <c r="G131" i="40"/>
  <c r="F131" i="40"/>
  <c r="E131" i="40"/>
  <c r="BY130" i="40"/>
  <c r="BX130" i="40"/>
  <c r="BW130" i="40"/>
  <c r="AH130" i="40"/>
  <c r="AG130" i="40"/>
  <c r="AF130" i="40"/>
  <c r="AE130" i="40"/>
  <c r="AD130" i="40"/>
  <c r="AC130" i="40"/>
  <c r="AB130" i="40"/>
  <c r="AA130" i="40"/>
  <c r="H130" i="40"/>
  <c r="Z130" i="40" s="1"/>
  <c r="G130" i="40"/>
  <c r="F130" i="40"/>
  <c r="E130" i="40"/>
  <c r="BY129" i="40"/>
  <c r="BX129" i="40"/>
  <c r="BW129" i="40"/>
  <c r="AH129" i="40"/>
  <c r="AG129" i="40"/>
  <c r="AF129" i="40"/>
  <c r="AE129" i="40"/>
  <c r="AD129" i="40"/>
  <c r="AC129" i="40"/>
  <c r="AB129" i="40"/>
  <c r="AA129" i="40"/>
  <c r="H129" i="40"/>
  <c r="W129" i="40" s="1"/>
  <c r="G129" i="40"/>
  <c r="F129" i="40"/>
  <c r="E129" i="40"/>
  <c r="BY128" i="40"/>
  <c r="BX128" i="40"/>
  <c r="BW128" i="40"/>
  <c r="AH128" i="40"/>
  <c r="AG128" i="40"/>
  <c r="AF128" i="40"/>
  <c r="AE128" i="40"/>
  <c r="AD128" i="40"/>
  <c r="AC128" i="40"/>
  <c r="AB128" i="40"/>
  <c r="AA128" i="40"/>
  <c r="H128" i="40"/>
  <c r="Y128" i="40" s="1"/>
  <c r="G128" i="40"/>
  <c r="F128" i="40"/>
  <c r="E128" i="40"/>
  <c r="BY127" i="40"/>
  <c r="BX127" i="40"/>
  <c r="BW127" i="40"/>
  <c r="AH127" i="40"/>
  <c r="AG127" i="40"/>
  <c r="AF127" i="40"/>
  <c r="AE127" i="40"/>
  <c r="AD127" i="40"/>
  <c r="AC127" i="40"/>
  <c r="AB127" i="40"/>
  <c r="AA127" i="40"/>
  <c r="H127" i="40"/>
  <c r="G127" i="40"/>
  <c r="F127" i="40"/>
  <c r="E127" i="40"/>
  <c r="BY126" i="40"/>
  <c r="BX126" i="40"/>
  <c r="BW126" i="40"/>
  <c r="AH126" i="40"/>
  <c r="AG126" i="40"/>
  <c r="AF126" i="40"/>
  <c r="AE126" i="40"/>
  <c r="AD126" i="40"/>
  <c r="AC126" i="40"/>
  <c r="AB126" i="40"/>
  <c r="AA126" i="40"/>
  <c r="H126" i="40"/>
  <c r="Z126" i="40" s="1"/>
  <c r="G126" i="40"/>
  <c r="F126" i="40"/>
  <c r="E126" i="40"/>
  <c r="BY125" i="40"/>
  <c r="BX125" i="40"/>
  <c r="BW125" i="40"/>
  <c r="AH125" i="40"/>
  <c r="AG125" i="40"/>
  <c r="AF125" i="40"/>
  <c r="AE125" i="40"/>
  <c r="AD125" i="40"/>
  <c r="AC125" i="40"/>
  <c r="AB125" i="40"/>
  <c r="AA125" i="40"/>
  <c r="H125" i="40"/>
  <c r="X125" i="40" s="1"/>
  <c r="G125" i="40"/>
  <c r="F125" i="40"/>
  <c r="E125" i="40"/>
  <c r="BY124" i="40"/>
  <c r="BX124" i="40"/>
  <c r="BW124" i="40"/>
  <c r="AH124" i="40"/>
  <c r="AG124" i="40"/>
  <c r="AF124" i="40"/>
  <c r="AE124" i="40"/>
  <c r="AD124" i="40"/>
  <c r="AC124" i="40"/>
  <c r="AB124" i="40"/>
  <c r="AA124" i="40"/>
  <c r="H124" i="40"/>
  <c r="Y124" i="40" s="1"/>
  <c r="G124" i="40"/>
  <c r="F124" i="40"/>
  <c r="E124" i="40"/>
  <c r="BY123" i="40"/>
  <c r="BX123" i="40"/>
  <c r="BW123" i="40"/>
  <c r="AH123" i="40"/>
  <c r="AG123" i="40"/>
  <c r="AF123" i="40"/>
  <c r="AE123" i="40"/>
  <c r="AD123" i="40"/>
  <c r="AC123" i="40"/>
  <c r="AB123" i="40"/>
  <c r="AA123" i="40"/>
  <c r="H123" i="40"/>
  <c r="X123" i="40" s="1"/>
  <c r="G123" i="40"/>
  <c r="F123" i="40"/>
  <c r="E123" i="40"/>
  <c r="BY122" i="40"/>
  <c r="BX122" i="40"/>
  <c r="BW122" i="40"/>
  <c r="AH122" i="40"/>
  <c r="AG122" i="40"/>
  <c r="AF122" i="40"/>
  <c r="AE122" i="40"/>
  <c r="AD122" i="40"/>
  <c r="AC122" i="40"/>
  <c r="AB122" i="40"/>
  <c r="AA122" i="40"/>
  <c r="H122" i="40"/>
  <c r="Y122" i="40" s="1"/>
  <c r="G122" i="40"/>
  <c r="F122" i="40"/>
  <c r="E122" i="40"/>
  <c r="BY121" i="40"/>
  <c r="BX121" i="40"/>
  <c r="BW121" i="40"/>
  <c r="AH121" i="40"/>
  <c r="AG121" i="40"/>
  <c r="AF121" i="40"/>
  <c r="AE121" i="40"/>
  <c r="AD121" i="40"/>
  <c r="AC121" i="40"/>
  <c r="AB121" i="40"/>
  <c r="AA121" i="40"/>
  <c r="H121" i="40"/>
  <c r="X121" i="40" s="1"/>
  <c r="G121" i="40"/>
  <c r="F121" i="40"/>
  <c r="E121" i="40"/>
  <c r="BY120" i="40"/>
  <c r="BX120" i="40"/>
  <c r="BW120" i="40"/>
  <c r="AH120" i="40"/>
  <c r="AG120" i="40"/>
  <c r="AF120" i="40"/>
  <c r="AE120" i="40"/>
  <c r="AD120" i="40"/>
  <c r="AC120" i="40"/>
  <c r="AB120" i="40"/>
  <c r="AA120" i="40"/>
  <c r="H120" i="40"/>
  <c r="X120" i="40" s="1"/>
  <c r="G120" i="40"/>
  <c r="F120" i="40"/>
  <c r="E120" i="40"/>
  <c r="BY119" i="40"/>
  <c r="BX119" i="40"/>
  <c r="BW119" i="40"/>
  <c r="AH119" i="40"/>
  <c r="AG119" i="40"/>
  <c r="AF119" i="40"/>
  <c r="AE119" i="40"/>
  <c r="AD119" i="40"/>
  <c r="AC119" i="40"/>
  <c r="AB119" i="40"/>
  <c r="AA119" i="40"/>
  <c r="H119" i="40"/>
  <c r="X119" i="40" s="1"/>
  <c r="G119" i="40"/>
  <c r="F119" i="40"/>
  <c r="E119" i="40"/>
  <c r="BY118" i="40"/>
  <c r="BX118" i="40"/>
  <c r="BW118" i="40"/>
  <c r="AH118" i="40"/>
  <c r="AG118" i="40"/>
  <c r="AF118" i="40"/>
  <c r="AE118" i="40"/>
  <c r="AD118" i="40"/>
  <c r="AC118" i="40"/>
  <c r="AB118" i="40"/>
  <c r="AA118" i="40"/>
  <c r="H118" i="40"/>
  <c r="Z118" i="40" s="1"/>
  <c r="G118" i="40"/>
  <c r="F118" i="40"/>
  <c r="E118" i="40"/>
  <c r="BY117" i="40"/>
  <c r="BX117" i="40"/>
  <c r="BW117" i="40"/>
  <c r="AH117" i="40"/>
  <c r="AG117" i="40"/>
  <c r="AF117" i="40"/>
  <c r="AE117" i="40"/>
  <c r="AD117" i="40"/>
  <c r="AC117" i="40"/>
  <c r="AB117" i="40"/>
  <c r="AA117" i="40"/>
  <c r="H117" i="40"/>
  <c r="X117" i="40" s="1"/>
  <c r="G117" i="40"/>
  <c r="F117" i="40"/>
  <c r="E117" i="40"/>
  <c r="BY116" i="40"/>
  <c r="BX116" i="40"/>
  <c r="BW116" i="40"/>
  <c r="AH116" i="40"/>
  <c r="AG116" i="40"/>
  <c r="AF116" i="40"/>
  <c r="AE116" i="40"/>
  <c r="AD116" i="40"/>
  <c r="AC116" i="40"/>
  <c r="AB116" i="40"/>
  <c r="AA116" i="40"/>
  <c r="H116" i="40"/>
  <c r="V116" i="40" s="1"/>
  <c r="G116" i="40"/>
  <c r="F116" i="40"/>
  <c r="E116" i="40"/>
  <c r="BY115" i="40"/>
  <c r="BX115" i="40"/>
  <c r="BW115" i="40"/>
  <c r="AH115" i="40"/>
  <c r="AG115" i="40"/>
  <c r="AF115" i="40"/>
  <c r="AE115" i="40"/>
  <c r="AD115" i="40"/>
  <c r="AC115" i="40"/>
  <c r="AB115" i="40"/>
  <c r="AA115" i="40"/>
  <c r="H115" i="40"/>
  <c r="X115" i="40" s="1"/>
  <c r="G115" i="40"/>
  <c r="F115" i="40"/>
  <c r="E115" i="40"/>
  <c r="BY114" i="40"/>
  <c r="BX114" i="40"/>
  <c r="BW114" i="40"/>
  <c r="AH114" i="40"/>
  <c r="AG114" i="40"/>
  <c r="AF114" i="40"/>
  <c r="AE114" i="40"/>
  <c r="AD114" i="40"/>
  <c r="AC114" i="40"/>
  <c r="AB114" i="40"/>
  <c r="AA114" i="40"/>
  <c r="H114" i="40"/>
  <c r="X114" i="40" s="1"/>
  <c r="G114" i="40"/>
  <c r="F114" i="40"/>
  <c r="E114" i="40"/>
  <c r="BY113" i="40"/>
  <c r="BX113" i="40"/>
  <c r="BW113" i="40"/>
  <c r="AH113" i="40"/>
  <c r="AG113" i="40"/>
  <c r="AF113" i="40"/>
  <c r="AE113" i="40"/>
  <c r="AD113" i="40"/>
  <c r="AC113" i="40"/>
  <c r="AB113" i="40"/>
  <c r="AA113" i="40"/>
  <c r="H113" i="40"/>
  <c r="S113" i="40" s="1"/>
  <c r="G113" i="40"/>
  <c r="F113" i="40"/>
  <c r="E113" i="40"/>
  <c r="BY112" i="40"/>
  <c r="BX112" i="40"/>
  <c r="BW112" i="40"/>
  <c r="AH112" i="40"/>
  <c r="AG112" i="40"/>
  <c r="AF112" i="40"/>
  <c r="AE112" i="40"/>
  <c r="AD112" i="40"/>
  <c r="AC112" i="40"/>
  <c r="AB112" i="40"/>
  <c r="AA112" i="40"/>
  <c r="H112" i="40"/>
  <c r="T112" i="40" s="1"/>
  <c r="G112" i="40"/>
  <c r="F112" i="40"/>
  <c r="E112" i="40"/>
  <c r="BY111" i="40"/>
  <c r="BX111" i="40"/>
  <c r="BW111" i="40"/>
  <c r="AH111" i="40"/>
  <c r="AG111" i="40"/>
  <c r="AF111" i="40"/>
  <c r="AE111" i="40"/>
  <c r="AD111" i="40"/>
  <c r="AC111" i="40"/>
  <c r="AB111" i="40"/>
  <c r="AA111" i="40"/>
  <c r="H111" i="40"/>
  <c r="X111" i="40" s="1"/>
  <c r="G111" i="40"/>
  <c r="F111" i="40"/>
  <c r="E111" i="40"/>
  <c r="BY110" i="40"/>
  <c r="BX110" i="40"/>
  <c r="BW110" i="40"/>
  <c r="AH110" i="40"/>
  <c r="AG110" i="40"/>
  <c r="AF110" i="40"/>
  <c r="AE110" i="40"/>
  <c r="AD110" i="40"/>
  <c r="AC110" i="40"/>
  <c r="AB110" i="40"/>
  <c r="AA110" i="40"/>
  <c r="H110" i="40"/>
  <c r="T110" i="40" s="1"/>
  <c r="G110" i="40"/>
  <c r="F110" i="40"/>
  <c r="E110" i="40"/>
  <c r="BY109" i="40"/>
  <c r="BX109" i="40"/>
  <c r="BW109" i="40"/>
  <c r="AH109" i="40"/>
  <c r="AG109" i="40"/>
  <c r="AF109" i="40"/>
  <c r="AE109" i="40"/>
  <c r="AD109" i="40"/>
  <c r="AC109" i="40"/>
  <c r="AB109" i="40"/>
  <c r="AA109" i="40"/>
  <c r="H109" i="40"/>
  <c r="X109" i="40" s="1"/>
  <c r="G109" i="40"/>
  <c r="F109" i="40"/>
  <c r="E109" i="40"/>
  <c r="BY108" i="40"/>
  <c r="BX108" i="40"/>
  <c r="BW108" i="40"/>
  <c r="AH108" i="40"/>
  <c r="AG108" i="40"/>
  <c r="AF108" i="40"/>
  <c r="AE108" i="40"/>
  <c r="AD108" i="40"/>
  <c r="AC108" i="40"/>
  <c r="AB108" i="40"/>
  <c r="AA108" i="40"/>
  <c r="H108" i="40"/>
  <c r="U108" i="40" s="1"/>
  <c r="G108" i="40"/>
  <c r="F108" i="40"/>
  <c r="E108" i="40"/>
  <c r="BY107" i="40"/>
  <c r="BX107" i="40"/>
  <c r="BW107" i="40"/>
  <c r="AH107" i="40"/>
  <c r="AG107" i="40"/>
  <c r="AF107" i="40"/>
  <c r="AE107" i="40"/>
  <c r="AD107" i="40"/>
  <c r="AC107" i="40"/>
  <c r="AB107" i="40"/>
  <c r="AA107" i="40"/>
  <c r="H107" i="40"/>
  <c r="X107" i="40" s="1"/>
  <c r="G107" i="40"/>
  <c r="F107" i="40"/>
  <c r="E107" i="40"/>
  <c r="BY106" i="40"/>
  <c r="BX106" i="40"/>
  <c r="BW106" i="40"/>
  <c r="AH106" i="40"/>
  <c r="AG106" i="40"/>
  <c r="AF106" i="40"/>
  <c r="AE106" i="40"/>
  <c r="AD106" i="40"/>
  <c r="AC106" i="40"/>
  <c r="AB106" i="40"/>
  <c r="AA106" i="40"/>
  <c r="H106" i="40"/>
  <c r="W106" i="40" s="1"/>
  <c r="G106" i="40"/>
  <c r="F106" i="40"/>
  <c r="E106" i="40"/>
  <c r="BY105" i="40"/>
  <c r="BX105" i="40"/>
  <c r="BW105" i="40"/>
  <c r="AH105" i="40"/>
  <c r="AG105" i="40"/>
  <c r="AF105" i="40"/>
  <c r="AE105" i="40"/>
  <c r="AD105" i="40"/>
  <c r="AC105" i="40"/>
  <c r="AB105" i="40"/>
  <c r="AA105" i="40"/>
  <c r="H105" i="40"/>
  <c r="W105" i="40" s="1"/>
  <c r="G105" i="40"/>
  <c r="F105" i="40"/>
  <c r="E105" i="40"/>
  <c r="BY104" i="40"/>
  <c r="BX104" i="40"/>
  <c r="BW104" i="40"/>
  <c r="AH104" i="40"/>
  <c r="AG104" i="40"/>
  <c r="AF104" i="40"/>
  <c r="AE104" i="40"/>
  <c r="AD104" i="40"/>
  <c r="AC104" i="40"/>
  <c r="AB104" i="40"/>
  <c r="AA104" i="40"/>
  <c r="H104" i="40"/>
  <c r="Y104" i="40" s="1"/>
  <c r="G104" i="40"/>
  <c r="F104" i="40"/>
  <c r="E104" i="40"/>
  <c r="BY103" i="40"/>
  <c r="BX103" i="40"/>
  <c r="BW103" i="40"/>
  <c r="AH103" i="40"/>
  <c r="AG103" i="40"/>
  <c r="AF103" i="40"/>
  <c r="AE103" i="40"/>
  <c r="AD103" i="40"/>
  <c r="AC103" i="40"/>
  <c r="AB103" i="40"/>
  <c r="AA103" i="40"/>
  <c r="H103" i="40"/>
  <c r="Y103" i="40" s="1"/>
  <c r="G103" i="40"/>
  <c r="F103" i="40"/>
  <c r="E103" i="40"/>
  <c r="BY102" i="40"/>
  <c r="BX102" i="40"/>
  <c r="BW102" i="40"/>
  <c r="AH102" i="40"/>
  <c r="AG102" i="40"/>
  <c r="AF102" i="40"/>
  <c r="AE102" i="40"/>
  <c r="AD102" i="40"/>
  <c r="AC102" i="40"/>
  <c r="AB102" i="40"/>
  <c r="AA102" i="40"/>
  <c r="H102" i="40"/>
  <c r="T102" i="40" s="1"/>
  <c r="G102" i="40"/>
  <c r="F102" i="40"/>
  <c r="E102" i="40"/>
  <c r="BY101" i="40"/>
  <c r="BX101" i="40"/>
  <c r="BW101" i="40"/>
  <c r="AH101" i="40"/>
  <c r="AG101" i="40"/>
  <c r="AF101" i="40"/>
  <c r="AE101" i="40"/>
  <c r="AD101" i="40"/>
  <c r="AC101" i="40"/>
  <c r="AB101" i="40"/>
  <c r="AA101" i="40"/>
  <c r="H101" i="40"/>
  <c r="W101" i="40" s="1"/>
  <c r="G101" i="40"/>
  <c r="F101" i="40"/>
  <c r="E101" i="40"/>
  <c r="BY100" i="40"/>
  <c r="BX100" i="40"/>
  <c r="BW100" i="40"/>
  <c r="AH100" i="40"/>
  <c r="AG100" i="40"/>
  <c r="AF100" i="40"/>
  <c r="AE100" i="40"/>
  <c r="AD100" i="40"/>
  <c r="AC100" i="40"/>
  <c r="AB100" i="40"/>
  <c r="AA100" i="40"/>
  <c r="H100" i="40"/>
  <c r="W100" i="40" s="1"/>
  <c r="G100" i="40"/>
  <c r="F100" i="40"/>
  <c r="E100" i="40"/>
  <c r="BY99" i="40"/>
  <c r="BX99" i="40"/>
  <c r="BW99" i="40"/>
  <c r="AH99" i="40"/>
  <c r="AG99" i="40"/>
  <c r="AF99" i="40"/>
  <c r="AE99" i="40"/>
  <c r="AD99" i="40"/>
  <c r="AC99" i="40"/>
  <c r="AB99" i="40"/>
  <c r="AA99" i="40"/>
  <c r="H99" i="40"/>
  <c r="X99" i="40" s="1"/>
  <c r="G99" i="40"/>
  <c r="F99" i="40"/>
  <c r="E99" i="40"/>
  <c r="BY98" i="40"/>
  <c r="BX98" i="40"/>
  <c r="BW98" i="40"/>
  <c r="AH98" i="40"/>
  <c r="AG98" i="40"/>
  <c r="AF98" i="40"/>
  <c r="AE98" i="40"/>
  <c r="AD98" i="40"/>
  <c r="AC98" i="40"/>
  <c r="AB98" i="40"/>
  <c r="AA98" i="40"/>
  <c r="H98" i="40"/>
  <c r="U98" i="40" s="1"/>
  <c r="G98" i="40"/>
  <c r="F98" i="40"/>
  <c r="E98" i="40"/>
  <c r="BY97" i="40"/>
  <c r="BX97" i="40"/>
  <c r="BW97" i="40"/>
  <c r="AH97" i="40"/>
  <c r="AG97" i="40"/>
  <c r="AF97" i="40"/>
  <c r="AE97" i="40"/>
  <c r="AD97" i="40"/>
  <c r="AC97" i="40"/>
  <c r="AB97" i="40"/>
  <c r="AA97" i="40"/>
  <c r="H97" i="40"/>
  <c r="Y97" i="40" s="1"/>
  <c r="G97" i="40"/>
  <c r="F97" i="40"/>
  <c r="E97" i="40"/>
  <c r="BY96" i="40"/>
  <c r="BX96" i="40"/>
  <c r="BW96" i="40"/>
  <c r="AH96" i="40"/>
  <c r="AG96" i="40"/>
  <c r="AF96" i="40"/>
  <c r="AE96" i="40"/>
  <c r="AD96" i="40"/>
  <c r="AC96" i="40"/>
  <c r="AB96" i="40"/>
  <c r="AA96" i="40"/>
  <c r="H96" i="40"/>
  <c r="W96" i="40" s="1"/>
  <c r="G96" i="40"/>
  <c r="F96" i="40"/>
  <c r="E96" i="40"/>
  <c r="BY95" i="40"/>
  <c r="BX95" i="40"/>
  <c r="BW95" i="40"/>
  <c r="AH95" i="40"/>
  <c r="AG95" i="40"/>
  <c r="AF95" i="40"/>
  <c r="AE95" i="40"/>
  <c r="AD95" i="40"/>
  <c r="AC95" i="40"/>
  <c r="AB95" i="40"/>
  <c r="AA95" i="40"/>
  <c r="H95" i="40"/>
  <c r="X95" i="40" s="1"/>
  <c r="G95" i="40"/>
  <c r="F95" i="40"/>
  <c r="E95" i="40"/>
  <c r="BY94" i="40"/>
  <c r="BX94" i="40"/>
  <c r="BW94" i="40"/>
  <c r="AH94" i="40"/>
  <c r="AG94" i="40"/>
  <c r="AF94" i="40"/>
  <c r="AE94" i="40"/>
  <c r="AD94" i="40"/>
  <c r="AC94" i="40"/>
  <c r="AB94" i="40"/>
  <c r="AA94" i="40"/>
  <c r="H94" i="40"/>
  <c r="S94" i="40" s="1"/>
  <c r="G94" i="40"/>
  <c r="F94" i="40"/>
  <c r="E94" i="40"/>
  <c r="BY93" i="40"/>
  <c r="BX93" i="40"/>
  <c r="BW93" i="40"/>
  <c r="AH93" i="40"/>
  <c r="AG93" i="40"/>
  <c r="AF93" i="40"/>
  <c r="AE93" i="40"/>
  <c r="AD93" i="40"/>
  <c r="AC93" i="40"/>
  <c r="AB93" i="40"/>
  <c r="AA93" i="40"/>
  <c r="I93" i="40"/>
  <c r="J93" i="40" s="1"/>
  <c r="H93" i="40"/>
  <c r="Y93" i="40" s="1"/>
  <c r="G93" i="40"/>
  <c r="F93" i="40"/>
  <c r="E93" i="40"/>
  <c r="BY92" i="40"/>
  <c r="BX92" i="40"/>
  <c r="BW92" i="40"/>
  <c r="AH92" i="40"/>
  <c r="AG92" i="40"/>
  <c r="AF92" i="40"/>
  <c r="AE92" i="40"/>
  <c r="AD92" i="40"/>
  <c r="AC92" i="40"/>
  <c r="AB92" i="40"/>
  <c r="AA92" i="40"/>
  <c r="H92" i="40"/>
  <c r="Z92" i="40" s="1"/>
  <c r="G92" i="40"/>
  <c r="F92" i="40"/>
  <c r="E92" i="40"/>
  <c r="BY91" i="40"/>
  <c r="BX91" i="40"/>
  <c r="BW91" i="40"/>
  <c r="AH91" i="40"/>
  <c r="AG91" i="40"/>
  <c r="AF91" i="40"/>
  <c r="AE91" i="40"/>
  <c r="AD91" i="40"/>
  <c r="AC91" i="40"/>
  <c r="AB91" i="40"/>
  <c r="AA91" i="40"/>
  <c r="H91" i="40"/>
  <c r="T91" i="40" s="1"/>
  <c r="G91" i="40"/>
  <c r="F91" i="40"/>
  <c r="E91" i="40"/>
  <c r="BY90" i="40"/>
  <c r="BX90" i="40"/>
  <c r="BW90" i="40"/>
  <c r="AH90" i="40"/>
  <c r="AG90" i="40"/>
  <c r="AF90" i="40"/>
  <c r="AE90" i="40"/>
  <c r="AD90" i="40"/>
  <c r="AC90" i="40"/>
  <c r="AB90" i="40"/>
  <c r="AA90" i="40"/>
  <c r="H90" i="40"/>
  <c r="V90" i="40" s="1"/>
  <c r="G90" i="40"/>
  <c r="F90" i="40"/>
  <c r="E90" i="40"/>
  <c r="BY89" i="40"/>
  <c r="BX89" i="40"/>
  <c r="BW89" i="40"/>
  <c r="AH89" i="40"/>
  <c r="AG89" i="40"/>
  <c r="AF89" i="40"/>
  <c r="AE89" i="40"/>
  <c r="AD89" i="40"/>
  <c r="AC89" i="40"/>
  <c r="AB89" i="40"/>
  <c r="AA89" i="40"/>
  <c r="H89" i="40"/>
  <c r="T89" i="40" s="1"/>
  <c r="G89" i="40"/>
  <c r="F89" i="40"/>
  <c r="E89" i="40"/>
  <c r="BY88" i="40"/>
  <c r="BX88" i="40"/>
  <c r="BW88" i="40"/>
  <c r="AH88" i="40"/>
  <c r="AG88" i="40"/>
  <c r="AF88" i="40"/>
  <c r="AE88" i="40"/>
  <c r="AD88" i="40"/>
  <c r="AC88" i="40"/>
  <c r="AB88" i="40"/>
  <c r="AA88" i="40"/>
  <c r="H88" i="40"/>
  <c r="V88" i="40" s="1"/>
  <c r="G88" i="40"/>
  <c r="F88" i="40"/>
  <c r="E88" i="40"/>
  <c r="BY87" i="40"/>
  <c r="BX87" i="40"/>
  <c r="BW87" i="40"/>
  <c r="AH87" i="40"/>
  <c r="AG87" i="40"/>
  <c r="AF87" i="40"/>
  <c r="AE87" i="40"/>
  <c r="AD87" i="40"/>
  <c r="AC87" i="40"/>
  <c r="AB87" i="40"/>
  <c r="AA87" i="40"/>
  <c r="H87" i="40"/>
  <c r="T87" i="40" s="1"/>
  <c r="G87" i="40"/>
  <c r="F87" i="40"/>
  <c r="E87" i="40"/>
  <c r="BY86" i="40"/>
  <c r="BX86" i="40"/>
  <c r="BW86" i="40"/>
  <c r="AH86" i="40"/>
  <c r="AG86" i="40"/>
  <c r="AF86" i="40"/>
  <c r="AE86" i="40"/>
  <c r="AD86" i="40"/>
  <c r="AC86" i="40"/>
  <c r="AB86" i="40"/>
  <c r="AA86" i="40"/>
  <c r="H86" i="40"/>
  <c r="X86" i="40" s="1"/>
  <c r="G86" i="40"/>
  <c r="F86" i="40"/>
  <c r="E86" i="40"/>
  <c r="BY85" i="40"/>
  <c r="BX85" i="40"/>
  <c r="BW85" i="40"/>
  <c r="AH85" i="40"/>
  <c r="AG85" i="40"/>
  <c r="AF85" i="40"/>
  <c r="AE85" i="40"/>
  <c r="AD85" i="40"/>
  <c r="AC85" i="40"/>
  <c r="AB85" i="40"/>
  <c r="AA85" i="40"/>
  <c r="H85" i="40"/>
  <c r="T85" i="40" s="1"/>
  <c r="G85" i="40"/>
  <c r="F85" i="40"/>
  <c r="E85" i="40"/>
  <c r="BY84" i="40"/>
  <c r="BX84" i="40"/>
  <c r="BW84" i="40"/>
  <c r="AH84" i="40"/>
  <c r="AG84" i="40"/>
  <c r="AF84" i="40"/>
  <c r="AE84" i="40"/>
  <c r="AD84" i="40"/>
  <c r="AC84" i="40"/>
  <c r="AB84" i="40"/>
  <c r="AA84" i="40"/>
  <c r="H84" i="40"/>
  <c r="T84" i="40" s="1"/>
  <c r="G84" i="40"/>
  <c r="F84" i="40"/>
  <c r="E84" i="40"/>
  <c r="BY83" i="40"/>
  <c r="BX83" i="40"/>
  <c r="BW83" i="40"/>
  <c r="AH83" i="40"/>
  <c r="AG83" i="40"/>
  <c r="AF83" i="40"/>
  <c r="AE83" i="40"/>
  <c r="AD83" i="40"/>
  <c r="AC83" i="40"/>
  <c r="AB83" i="40"/>
  <c r="AA83" i="40"/>
  <c r="H83" i="40"/>
  <c r="T83" i="40" s="1"/>
  <c r="G83" i="40"/>
  <c r="F83" i="40"/>
  <c r="E83" i="40"/>
  <c r="BY82" i="40"/>
  <c r="BX82" i="40"/>
  <c r="BW82" i="40"/>
  <c r="AH82" i="40"/>
  <c r="AG82" i="40"/>
  <c r="AF82" i="40"/>
  <c r="AE82" i="40"/>
  <c r="AD82" i="40"/>
  <c r="AC82" i="40"/>
  <c r="AB82" i="40"/>
  <c r="AA82" i="40"/>
  <c r="H82" i="40"/>
  <c r="G82" i="40"/>
  <c r="F82" i="40"/>
  <c r="E82" i="40"/>
  <c r="BY81" i="40"/>
  <c r="BX81" i="40"/>
  <c r="BW81" i="40"/>
  <c r="AH81" i="40"/>
  <c r="AG81" i="40"/>
  <c r="AF81" i="40"/>
  <c r="AE81" i="40"/>
  <c r="AD81" i="40"/>
  <c r="AC81" i="40"/>
  <c r="AB81" i="40"/>
  <c r="AA81" i="40"/>
  <c r="H81" i="40"/>
  <c r="T81" i="40" s="1"/>
  <c r="G81" i="40"/>
  <c r="F81" i="40"/>
  <c r="E81" i="40"/>
  <c r="BY80" i="40"/>
  <c r="BX80" i="40"/>
  <c r="BW80" i="40"/>
  <c r="AH80" i="40"/>
  <c r="AG80" i="40"/>
  <c r="AF80" i="40"/>
  <c r="AE80" i="40"/>
  <c r="AD80" i="40"/>
  <c r="AC80" i="40"/>
  <c r="AB80" i="40"/>
  <c r="AA80" i="40"/>
  <c r="H80" i="40"/>
  <c r="T80" i="40" s="1"/>
  <c r="G80" i="40"/>
  <c r="F80" i="40"/>
  <c r="E80" i="40"/>
  <c r="BY79" i="40"/>
  <c r="BX79" i="40"/>
  <c r="BW79" i="40"/>
  <c r="AH79" i="40"/>
  <c r="AG79" i="40"/>
  <c r="AF79" i="40"/>
  <c r="AE79" i="40"/>
  <c r="AD79" i="40"/>
  <c r="AC79" i="40"/>
  <c r="AB79" i="40"/>
  <c r="AA79" i="40"/>
  <c r="H79" i="40"/>
  <c r="T79" i="40" s="1"/>
  <c r="G79" i="40"/>
  <c r="F79" i="40"/>
  <c r="E79" i="40"/>
  <c r="BY78" i="40"/>
  <c r="BX78" i="40"/>
  <c r="BW78" i="40"/>
  <c r="AH78" i="40"/>
  <c r="AG78" i="40"/>
  <c r="AF78" i="40"/>
  <c r="AE78" i="40"/>
  <c r="AD78" i="40"/>
  <c r="AC78" i="40"/>
  <c r="AB78" i="40"/>
  <c r="AA78" i="40"/>
  <c r="H78" i="40"/>
  <c r="X78" i="40" s="1"/>
  <c r="G78" i="40"/>
  <c r="F78" i="40"/>
  <c r="E78" i="40"/>
  <c r="BY77" i="40"/>
  <c r="BX77" i="40"/>
  <c r="BW77" i="40"/>
  <c r="AH77" i="40"/>
  <c r="AG77" i="40"/>
  <c r="AF77" i="40"/>
  <c r="AE77" i="40"/>
  <c r="AD77" i="40"/>
  <c r="AC77" i="40"/>
  <c r="AB77" i="40"/>
  <c r="AA77" i="40"/>
  <c r="H77" i="40"/>
  <c r="T77" i="40" s="1"/>
  <c r="G77" i="40"/>
  <c r="F77" i="40"/>
  <c r="E77" i="40"/>
  <c r="BY76" i="40"/>
  <c r="BX76" i="40"/>
  <c r="BW76" i="40"/>
  <c r="AH76" i="40"/>
  <c r="AG76" i="40"/>
  <c r="AF76" i="40"/>
  <c r="AE76" i="40"/>
  <c r="AD76" i="40"/>
  <c r="AC76" i="40"/>
  <c r="AB76" i="40"/>
  <c r="AA76" i="40"/>
  <c r="H76" i="40"/>
  <c r="G76" i="40"/>
  <c r="F76" i="40"/>
  <c r="E76" i="40"/>
  <c r="BY75" i="40"/>
  <c r="BX75" i="40"/>
  <c r="BW75" i="40"/>
  <c r="AH75" i="40"/>
  <c r="AG75" i="40"/>
  <c r="AF75" i="40"/>
  <c r="AE75" i="40"/>
  <c r="AD75" i="40"/>
  <c r="AC75" i="40"/>
  <c r="AB75" i="40"/>
  <c r="AA75" i="40"/>
  <c r="H75" i="40"/>
  <c r="T75" i="40" s="1"/>
  <c r="G75" i="40"/>
  <c r="F75" i="40"/>
  <c r="E75" i="40"/>
  <c r="BY74" i="40"/>
  <c r="BX74" i="40"/>
  <c r="BW74" i="40"/>
  <c r="AH74" i="40"/>
  <c r="AG74" i="40"/>
  <c r="AF74" i="40"/>
  <c r="AE74" i="40"/>
  <c r="AD74" i="40"/>
  <c r="AC74" i="40"/>
  <c r="AB74" i="40"/>
  <c r="AA74" i="40"/>
  <c r="H74" i="40"/>
  <c r="X74" i="40" s="1"/>
  <c r="G74" i="40"/>
  <c r="F74" i="40"/>
  <c r="E74" i="40"/>
  <c r="BY73" i="40"/>
  <c r="BX73" i="40"/>
  <c r="BW73" i="40"/>
  <c r="AH73" i="40"/>
  <c r="AG73" i="40"/>
  <c r="AF73" i="40"/>
  <c r="AE73" i="40"/>
  <c r="AD73" i="40"/>
  <c r="AC73" i="40"/>
  <c r="AB73" i="40"/>
  <c r="AA73" i="40"/>
  <c r="H73" i="40"/>
  <c r="T73" i="40" s="1"/>
  <c r="G73" i="40"/>
  <c r="F73" i="40"/>
  <c r="E73" i="40"/>
  <c r="BY72" i="40"/>
  <c r="BX72" i="40"/>
  <c r="BW72" i="40"/>
  <c r="AH72" i="40"/>
  <c r="AG72" i="40"/>
  <c r="AF72" i="40"/>
  <c r="AE72" i="40"/>
  <c r="AD72" i="40"/>
  <c r="AC72" i="40"/>
  <c r="AB72" i="40"/>
  <c r="AA72" i="40"/>
  <c r="H72" i="40"/>
  <c r="X72" i="40" s="1"/>
  <c r="G72" i="40"/>
  <c r="F72" i="40"/>
  <c r="E72" i="40"/>
  <c r="BY71" i="40"/>
  <c r="BX71" i="40"/>
  <c r="BW71" i="40"/>
  <c r="AH71" i="40"/>
  <c r="AG71" i="40"/>
  <c r="AF71" i="40"/>
  <c r="AE71" i="40"/>
  <c r="AD71" i="40"/>
  <c r="AC71" i="40"/>
  <c r="AB71" i="40"/>
  <c r="AA71" i="40"/>
  <c r="H71" i="40"/>
  <c r="Y71" i="40" s="1"/>
  <c r="G71" i="40"/>
  <c r="F71" i="40"/>
  <c r="E71" i="40"/>
  <c r="BY70" i="40"/>
  <c r="BX70" i="40"/>
  <c r="BW70" i="40"/>
  <c r="AH70" i="40"/>
  <c r="AG70" i="40"/>
  <c r="AF70" i="40"/>
  <c r="AE70" i="40"/>
  <c r="AD70" i="40"/>
  <c r="AC70" i="40"/>
  <c r="AB70" i="40"/>
  <c r="AA70" i="40"/>
  <c r="H70" i="40"/>
  <c r="X70" i="40" s="1"/>
  <c r="G70" i="40"/>
  <c r="F70" i="40"/>
  <c r="E70" i="40"/>
  <c r="BY69" i="40"/>
  <c r="BX69" i="40"/>
  <c r="BW69" i="40"/>
  <c r="AH69" i="40"/>
  <c r="AG69" i="40"/>
  <c r="AF69" i="40"/>
  <c r="AE69" i="40"/>
  <c r="AD69" i="40"/>
  <c r="AC69" i="40"/>
  <c r="AB69" i="40"/>
  <c r="AA69" i="40"/>
  <c r="H69" i="40"/>
  <c r="T69" i="40" s="1"/>
  <c r="G69" i="40"/>
  <c r="F69" i="40"/>
  <c r="E69" i="40"/>
  <c r="BY68" i="40"/>
  <c r="BX68" i="40"/>
  <c r="BW68" i="40"/>
  <c r="AH68" i="40"/>
  <c r="AG68" i="40"/>
  <c r="AF68" i="40"/>
  <c r="AE68" i="40"/>
  <c r="AD68" i="40"/>
  <c r="AC68" i="40"/>
  <c r="AB68" i="40"/>
  <c r="AA68" i="40"/>
  <c r="H68" i="40"/>
  <c r="X68" i="40" s="1"/>
  <c r="G68" i="40"/>
  <c r="F68" i="40"/>
  <c r="E68" i="40"/>
  <c r="BY67" i="40"/>
  <c r="BX67" i="40"/>
  <c r="BW67" i="40"/>
  <c r="AH67" i="40"/>
  <c r="AG67" i="40"/>
  <c r="AF67" i="40"/>
  <c r="AE67" i="40"/>
  <c r="AD67" i="40"/>
  <c r="AC67" i="40"/>
  <c r="AB67" i="40"/>
  <c r="AA67" i="40"/>
  <c r="H67" i="40"/>
  <c r="X67" i="40" s="1"/>
  <c r="G67" i="40"/>
  <c r="F67" i="40"/>
  <c r="E67" i="40"/>
  <c r="BY66" i="40"/>
  <c r="BX66" i="40"/>
  <c r="BW66" i="40"/>
  <c r="AH66" i="40"/>
  <c r="AG66" i="40"/>
  <c r="AF66" i="40"/>
  <c r="AE66" i="40"/>
  <c r="AD66" i="40"/>
  <c r="AC66" i="40"/>
  <c r="AB66" i="40"/>
  <c r="AA66" i="40"/>
  <c r="H66" i="40"/>
  <c r="X66" i="40" s="1"/>
  <c r="G66" i="40"/>
  <c r="F66" i="40"/>
  <c r="E66" i="40"/>
  <c r="BY65" i="40"/>
  <c r="BX65" i="40"/>
  <c r="BW65" i="40"/>
  <c r="AH65" i="40"/>
  <c r="AX65" i="40" s="1"/>
  <c r="AG65" i="40"/>
  <c r="BE65" i="40" s="1"/>
  <c r="BM65" i="40" s="1"/>
  <c r="AF65" i="40"/>
  <c r="AV65" i="40" s="1"/>
  <c r="AE65" i="40"/>
  <c r="BC65" i="40" s="1"/>
  <c r="BK65" i="40" s="1"/>
  <c r="AD65" i="40"/>
  <c r="AT65" i="40" s="1"/>
  <c r="AC65" i="40"/>
  <c r="AB65" i="40"/>
  <c r="AA65" i="40"/>
  <c r="H65" i="40"/>
  <c r="X65" i="40" s="1"/>
  <c r="G65" i="40"/>
  <c r="F65" i="40"/>
  <c r="E65" i="40"/>
  <c r="BY64" i="40"/>
  <c r="BX64" i="40"/>
  <c r="BW64" i="40"/>
  <c r="AH64" i="40"/>
  <c r="AG64" i="40"/>
  <c r="AF64" i="40"/>
  <c r="AE64" i="40"/>
  <c r="AD64" i="40"/>
  <c r="AC64" i="40"/>
  <c r="AB64" i="40"/>
  <c r="AA64" i="40"/>
  <c r="H64" i="40"/>
  <c r="S64" i="40" s="1"/>
  <c r="G64" i="40"/>
  <c r="F64" i="40"/>
  <c r="E64" i="40"/>
  <c r="BY63" i="40"/>
  <c r="BX63" i="40"/>
  <c r="BW63" i="40"/>
  <c r="AH63" i="40"/>
  <c r="AG63" i="40"/>
  <c r="AF63" i="40"/>
  <c r="AE63" i="40"/>
  <c r="AD63" i="40"/>
  <c r="AC63" i="40"/>
  <c r="BA63" i="40" s="1"/>
  <c r="BI63" i="40" s="1"/>
  <c r="AB63" i="40"/>
  <c r="AZ63" i="40" s="1"/>
  <c r="BH63" i="40" s="1"/>
  <c r="AA63" i="40"/>
  <c r="AY63" i="40" s="1"/>
  <c r="BG63" i="40" s="1"/>
  <c r="H63" i="40"/>
  <c r="X63" i="40" s="1"/>
  <c r="G63" i="40"/>
  <c r="F63" i="40"/>
  <c r="E63" i="40"/>
  <c r="BY62" i="40"/>
  <c r="BX62" i="40"/>
  <c r="BW62" i="40"/>
  <c r="AH62" i="40"/>
  <c r="AG62" i="40"/>
  <c r="AF62" i="40"/>
  <c r="AE62" i="40"/>
  <c r="AD62" i="40"/>
  <c r="AC62" i="40"/>
  <c r="AB62" i="40"/>
  <c r="AA62" i="40"/>
  <c r="H62" i="40"/>
  <c r="W62" i="40" s="1"/>
  <c r="G62" i="40"/>
  <c r="F62" i="40"/>
  <c r="E62" i="40"/>
  <c r="BY61" i="40"/>
  <c r="BX61" i="40"/>
  <c r="BW61" i="40"/>
  <c r="AH61" i="40"/>
  <c r="AG61" i="40"/>
  <c r="AF61" i="40"/>
  <c r="AE61" i="40"/>
  <c r="AD61" i="40"/>
  <c r="AC61" i="40"/>
  <c r="AB61" i="40"/>
  <c r="AA61" i="40"/>
  <c r="H61" i="40"/>
  <c r="X61" i="40" s="1"/>
  <c r="G61" i="40"/>
  <c r="F61" i="40"/>
  <c r="E61" i="40"/>
  <c r="BY60" i="40"/>
  <c r="BX60" i="40"/>
  <c r="BW60" i="40"/>
  <c r="AH60" i="40"/>
  <c r="AG60" i="40"/>
  <c r="AF60" i="40"/>
  <c r="AE60" i="40"/>
  <c r="AD60" i="40"/>
  <c r="AC60" i="40"/>
  <c r="AB60" i="40"/>
  <c r="AA60" i="40"/>
  <c r="H60" i="40"/>
  <c r="S60" i="40" s="1"/>
  <c r="G60" i="40"/>
  <c r="F60" i="40"/>
  <c r="E60" i="40"/>
  <c r="BY59" i="40"/>
  <c r="BX59" i="40"/>
  <c r="BW59" i="40"/>
  <c r="AH59" i="40"/>
  <c r="AG59" i="40"/>
  <c r="AF59" i="40"/>
  <c r="AE59" i="40"/>
  <c r="AD59" i="40"/>
  <c r="AC59" i="40"/>
  <c r="AB59" i="40"/>
  <c r="AA59" i="40"/>
  <c r="H59" i="40"/>
  <c r="X59" i="40" s="1"/>
  <c r="G59" i="40"/>
  <c r="F59" i="40"/>
  <c r="E59" i="40"/>
  <c r="BY58" i="40"/>
  <c r="BX58" i="40"/>
  <c r="BW58" i="40"/>
  <c r="AH58" i="40"/>
  <c r="AG58" i="40"/>
  <c r="AF58" i="40"/>
  <c r="AE58" i="40"/>
  <c r="AD58" i="40"/>
  <c r="AC58" i="40"/>
  <c r="AB58" i="40"/>
  <c r="AA58" i="40"/>
  <c r="H58" i="40"/>
  <c r="S58" i="40" s="1"/>
  <c r="G58" i="40"/>
  <c r="F58" i="40"/>
  <c r="E58" i="40"/>
  <c r="BY57" i="40"/>
  <c r="BX57" i="40"/>
  <c r="BW57" i="40"/>
  <c r="AH57" i="40"/>
  <c r="AG57" i="40"/>
  <c r="AF57" i="40"/>
  <c r="AE57" i="40"/>
  <c r="AD57" i="40"/>
  <c r="AC57" i="40"/>
  <c r="AB57" i="40"/>
  <c r="AA57" i="40"/>
  <c r="H57" i="40"/>
  <c r="X57" i="40" s="1"/>
  <c r="G57" i="40"/>
  <c r="F57" i="40"/>
  <c r="E57" i="40"/>
  <c r="BY56" i="40"/>
  <c r="BX56" i="40"/>
  <c r="BW56" i="40"/>
  <c r="AH56" i="40"/>
  <c r="AG56" i="40"/>
  <c r="AF56" i="40"/>
  <c r="AE56" i="40"/>
  <c r="AD56" i="40"/>
  <c r="AC56" i="40"/>
  <c r="AB56" i="40"/>
  <c r="AA56" i="40"/>
  <c r="H56" i="40"/>
  <c r="S56" i="40" s="1"/>
  <c r="G56" i="40"/>
  <c r="F56" i="40"/>
  <c r="E56" i="40"/>
  <c r="BY55" i="40"/>
  <c r="BX55" i="40"/>
  <c r="BW55" i="40"/>
  <c r="AH55" i="40"/>
  <c r="AG55" i="40"/>
  <c r="AF55" i="40"/>
  <c r="AE55" i="40"/>
  <c r="AD55" i="40"/>
  <c r="AC55" i="40"/>
  <c r="AB55" i="40"/>
  <c r="AA55" i="40"/>
  <c r="H55" i="40"/>
  <c r="X55" i="40" s="1"/>
  <c r="G55" i="40"/>
  <c r="F55" i="40"/>
  <c r="E55" i="40"/>
  <c r="BY54" i="40"/>
  <c r="BX54" i="40"/>
  <c r="BW54" i="40"/>
  <c r="AH54" i="40"/>
  <c r="AG54" i="40"/>
  <c r="AF54" i="40"/>
  <c r="AE54" i="40"/>
  <c r="AD54" i="40"/>
  <c r="AC54" i="40"/>
  <c r="AB54" i="40"/>
  <c r="AA54" i="40"/>
  <c r="H54" i="40"/>
  <c r="S54" i="40" s="1"/>
  <c r="G54" i="40"/>
  <c r="F54" i="40"/>
  <c r="E54" i="40"/>
  <c r="BY53" i="40"/>
  <c r="BX53" i="40"/>
  <c r="BW53" i="40"/>
  <c r="AH53" i="40"/>
  <c r="AG53" i="40"/>
  <c r="AF53" i="40"/>
  <c r="AE53" i="40"/>
  <c r="AD53" i="40"/>
  <c r="AC53" i="40"/>
  <c r="AB53" i="40"/>
  <c r="AA53" i="40"/>
  <c r="H53" i="40"/>
  <c r="X53" i="40" s="1"/>
  <c r="G53" i="40"/>
  <c r="F53" i="40"/>
  <c r="E53" i="40"/>
  <c r="BY52" i="40"/>
  <c r="BX52" i="40"/>
  <c r="BW52" i="40"/>
  <c r="AH52" i="40"/>
  <c r="AG52" i="40"/>
  <c r="AF52" i="40"/>
  <c r="AE52" i="40"/>
  <c r="AD52" i="40"/>
  <c r="AC52" i="40"/>
  <c r="AB52" i="40"/>
  <c r="AA52" i="40"/>
  <c r="H52" i="40"/>
  <c r="S52" i="40" s="1"/>
  <c r="G52" i="40"/>
  <c r="F52" i="40"/>
  <c r="E52" i="40"/>
  <c r="BY51" i="40"/>
  <c r="BX51" i="40"/>
  <c r="BW51" i="40"/>
  <c r="AH51" i="40"/>
  <c r="AG51" i="40"/>
  <c r="AF51" i="40"/>
  <c r="AE51" i="40"/>
  <c r="AD51" i="40"/>
  <c r="AC51" i="40"/>
  <c r="AB51" i="40"/>
  <c r="AA51" i="40"/>
  <c r="H51" i="40"/>
  <c r="X51" i="40" s="1"/>
  <c r="G51" i="40"/>
  <c r="F51" i="40"/>
  <c r="E51" i="40"/>
  <c r="BY50" i="40"/>
  <c r="BX50" i="40"/>
  <c r="BW50" i="40"/>
  <c r="AH50" i="40"/>
  <c r="AG50" i="40"/>
  <c r="AF50" i="40"/>
  <c r="AE50" i="40"/>
  <c r="AD50" i="40"/>
  <c r="AC50" i="40"/>
  <c r="AB50" i="40"/>
  <c r="AA50" i="40"/>
  <c r="I50" i="40"/>
  <c r="J50" i="40" s="1"/>
  <c r="H50" i="40"/>
  <c r="S50" i="40" s="1"/>
  <c r="G50" i="40"/>
  <c r="F50" i="40"/>
  <c r="E50" i="40"/>
  <c r="BY49" i="40"/>
  <c r="BX49" i="40"/>
  <c r="BW49" i="40"/>
  <c r="AH49" i="40"/>
  <c r="AG49" i="40"/>
  <c r="AF49" i="40"/>
  <c r="AE49" i="40"/>
  <c r="AD49" i="40"/>
  <c r="AC49" i="40"/>
  <c r="AB49" i="40"/>
  <c r="AA49" i="40"/>
  <c r="H49" i="40"/>
  <c r="X49" i="40" s="1"/>
  <c r="G49" i="40"/>
  <c r="F49" i="40"/>
  <c r="E49" i="40"/>
  <c r="BY48" i="40"/>
  <c r="BX48" i="40"/>
  <c r="BW48" i="40"/>
  <c r="AH48" i="40"/>
  <c r="AG48" i="40"/>
  <c r="AF48" i="40"/>
  <c r="AE48" i="40"/>
  <c r="AD48" i="40"/>
  <c r="AC48" i="40"/>
  <c r="AB48" i="40"/>
  <c r="AA48" i="40"/>
  <c r="H48" i="40"/>
  <c r="S48" i="40" s="1"/>
  <c r="G48" i="40"/>
  <c r="F48" i="40"/>
  <c r="E48" i="40"/>
  <c r="BY47" i="40"/>
  <c r="BX47" i="40"/>
  <c r="BW47" i="40"/>
  <c r="AH47" i="40"/>
  <c r="AG47" i="40"/>
  <c r="AF47" i="40"/>
  <c r="AE47" i="40"/>
  <c r="AD47" i="40"/>
  <c r="AC47" i="40"/>
  <c r="AB47" i="40"/>
  <c r="AA47" i="40"/>
  <c r="H47" i="40"/>
  <c r="X47" i="40" s="1"/>
  <c r="G47" i="40"/>
  <c r="F47" i="40"/>
  <c r="E47" i="40"/>
  <c r="BY46" i="40"/>
  <c r="BX46" i="40"/>
  <c r="BW46" i="40"/>
  <c r="AH46" i="40"/>
  <c r="AG46" i="40"/>
  <c r="AF46" i="40"/>
  <c r="AE46" i="40"/>
  <c r="AD46" i="40"/>
  <c r="AC46" i="40"/>
  <c r="AB46" i="40"/>
  <c r="AA46" i="40"/>
  <c r="H46" i="40"/>
  <c r="G46" i="40"/>
  <c r="F46" i="40"/>
  <c r="E46" i="40"/>
  <c r="BY45" i="40"/>
  <c r="BX45" i="40"/>
  <c r="BW45" i="40"/>
  <c r="AH45" i="40"/>
  <c r="AG45" i="40"/>
  <c r="AF45" i="40"/>
  <c r="AE45" i="40"/>
  <c r="AD45" i="40"/>
  <c r="AC45" i="40"/>
  <c r="AB45" i="40"/>
  <c r="AA45" i="40"/>
  <c r="H45" i="40"/>
  <c r="U45" i="40" s="1"/>
  <c r="G45" i="40"/>
  <c r="F45" i="40"/>
  <c r="E45" i="40"/>
  <c r="BY44" i="40"/>
  <c r="BX44" i="40"/>
  <c r="BW44" i="40"/>
  <c r="AH44" i="40"/>
  <c r="AG44" i="40"/>
  <c r="AF44" i="40"/>
  <c r="AE44" i="40"/>
  <c r="AD44" i="40"/>
  <c r="AC44" i="40"/>
  <c r="AB44" i="40"/>
  <c r="AA44" i="40"/>
  <c r="H44" i="40"/>
  <c r="S44" i="40" s="1"/>
  <c r="G44" i="40"/>
  <c r="F44" i="40"/>
  <c r="E44" i="40"/>
  <c r="BY43" i="40"/>
  <c r="BX43" i="40"/>
  <c r="BW43" i="40"/>
  <c r="AH43" i="40"/>
  <c r="AG43" i="40"/>
  <c r="AF43" i="40"/>
  <c r="AE43" i="40"/>
  <c r="AD43" i="40"/>
  <c r="AC43" i="40"/>
  <c r="AB43" i="40"/>
  <c r="AA43" i="40"/>
  <c r="I43" i="40"/>
  <c r="J43" i="40" s="1"/>
  <c r="H43" i="40"/>
  <c r="G43" i="40"/>
  <c r="F43" i="40"/>
  <c r="E43" i="40"/>
  <c r="BY42" i="40"/>
  <c r="BX42" i="40"/>
  <c r="BW42" i="40"/>
  <c r="AH42" i="40"/>
  <c r="AG42" i="40"/>
  <c r="AF42" i="40"/>
  <c r="AE42" i="40"/>
  <c r="AD42" i="40"/>
  <c r="AC42" i="40"/>
  <c r="AB42" i="40"/>
  <c r="AA42" i="40"/>
  <c r="H42" i="40"/>
  <c r="Y42" i="40" s="1"/>
  <c r="G42" i="40"/>
  <c r="F42" i="40"/>
  <c r="E42" i="40"/>
  <c r="BY41" i="40"/>
  <c r="BX41" i="40"/>
  <c r="BW41" i="40"/>
  <c r="AH41" i="40"/>
  <c r="AG41" i="40"/>
  <c r="AF41" i="40"/>
  <c r="AE41" i="40"/>
  <c r="AD41" i="40"/>
  <c r="AC41" i="40"/>
  <c r="AB41" i="40"/>
  <c r="AA41" i="40"/>
  <c r="H41" i="40"/>
  <c r="U41" i="40" s="1"/>
  <c r="G41" i="40"/>
  <c r="F41" i="40"/>
  <c r="E41" i="40"/>
  <c r="BY40" i="40"/>
  <c r="BX40" i="40"/>
  <c r="BW40" i="40"/>
  <c r="AH40" i="40"/>
  <c r="AG40" i="40"/>
  <c r="AF40" i="40"/>
  <c r="AE40" i="40"/>
  <c r="AD40" i="40"/>
  <c r="AC40" i="40"/>
  <c r="AB40" i="40"/>
  <c r="AA40" i="40"/>
  <c r="H40" i="40"/>
  <c r="X40" i="40" s="1"/>
  <c r="G40" i="40"/>
  <c r="F40" i="40"/>
  <c r="E40" i="40"/>
  <c r="BY39" i="40"/>
  <c r="BX39" i="40"/>
  <c r="BW39" i="40"/>
  <c r="AH39" i="40"/>
  <c r="AG39" i="40"/>
  <c r="AF39" i="40"/>
  <c r="AE39" i="40"/>
  <c r="AD39" i="40"/>
  <c r="AC39" i="40"/>
  <c r="AB39" i="40"/>
  <c r="AA39" i="40"/>
  <c r="H39" i="40"/>
  <c r="G39" i="40"/>
  <c r="F39" i="40"/>
  <c r="E39" i="40"/>
  <c r="BY38" i="40"/>
  <c r="BX38" i="40"/>
  <c r="BW38" i="40"/>
  <c r="AH38" i="40"/>
  <c r="AG38" i="40"/>
  <c r="AF38" i="40"/>
  <c r="AE38" i="40"/>
  <c r="AD38" i="40"/>
  <c r="AC38" i="40"/>
  <c r="AB38" i="40"/>
  <c r="AA38" i="40"/>
  <c r="H38" i="40"/>
  <c r="Y38" i="40" s="1"/>
  <c r="G38" i="40"/>
  <c r="F38" i="40"/>
  <c r="E38" i="40"/>
  <c r="BY37" i="40"/>
  <c r="BX37" i="40"/>
  <c r="BW37" i="40"/>
  <c r="AH37" i="40"/>
  <c r="AG37" i="40"/>
  <c r="AF37" i="40"/>
  <c r="AE37" i="40"/>
  <c r="AD37" i="40"/>
  <c r="AC37" i="40"/>
  <c r="AB37" i="40"/>
  <c r="AA37" i="40"/>
  <c r="H37" i="40"/>
  <c r="S37" i="40" s="1"/>
  <c r="G37" i="40"/>
  <c r="F37" i="40"/>
  <c r="E37" i="40"/>
  <c r="BY36" i="40"/>
  <c r="BX36" i="40"/>
  <c r="BW36" i="40"/>
  <c r="AH36" i="40"/>
  <c r="AG36" i="40"/>
  <c r="AF36" i="40"/>
  <c r="AE36" i="40"/>
  <c r="AD36" i="40"/>
  <c r="AC36" i="40"/>
  <c r="AB36" i="40"/>
  <c r="AA36" i="40"/>
  <c r="H36" i="40"/>
  <c r="X36" i="40" s="1"/>
  <c r="G36" i="40"/>
  <c r="F36" i="40"/>
  <c r="E36" i="40"/>
  <c r="BY35" i="40"/>
  <c r="BX35" i="40"/>
  <c r="BW35" i="40"/>
  <c r="AH35" i="40"/>
  <c r="AG35" i="40"/>
  <c r="AF35" i="40"/>
  <c r="AE35" i="40"/>
  <c r="AD35" i="40"/>
  <c r="AC35" i="40"/>
  <c r="AB35" i="40"/>
  <c r="AA35" i="40"/>
  <c r="H35" i="40"/>
  <c r="S35" i="40" s="1"/>
  <c r="G35" i="40"/>
  <c r="F35" i="40"/>
  <c r="E35" i="40"/>
  <c r="BY34" i="40"/>
  <c r="BX34" i="40"/>
  <c r="BW34" i="40"/>
  <c r="AH34" i="40"/>
  <c r="AG34" i="40"/>
  <c r="AF34" i="40"/>
  <c r="AE34" i="40"/>
  <c r="AD34" i="40"/>
  <c r="AC34" i="40"/>
  <c r="AB34" i="40"/>
  <c r="AA34" i="40"/>
  <c r="H34" i="40"/>
  <c r="X34" i="40" s="1"/>
  <c r="G34" i="40"/>
  <c r="F34" i="40"/>
  <c r="E34" i="40"/>
  <c r="BY33" i="40"/>
  <c r="BX33" i="40"/>
  <c r="BW33" i="40"/>
  <c r="AH33" i="40"/>
  <c r="AG33" i="40"/>
  <c r="AF33" i="40"/>
  <c r="AE33" i="40"/>
  <c r="AD33" i="40"/>
  <c r="AC33" i="40"/>
  <c r="AB33" i="40"/>
  <c r="AA33" i="40"/>
  <c r="H33" i="40"/>
  <c r="S33" i="40" s="1"/>
  <c r="G33" i="40"/>
  <c r="F33" i="40"/>
  <c r="E33" i="40"/>
  <c r="BY32" i="40"/>
  <c r="BX32" i="40"/>
  <c r="BW32" i="40"/>
  <c r="AH32" i="40"/>
  <c r="AG32" i="40"/>
  <c r="AF32" i="40"/>
  <c r="AE32" i="40"/>
  <c r="AD32" i="40"/>
  <c r="AC32" i="40"/>
  <c r="AB32" i="40"/>
  <c r="AA32" i="40"/>
  <c r="H32" i="40"/>
  <c r="X32" i="40" s="1"/>
  <c r="G32" i="40"/>
  <c r="F32" i="40"/>
  <c r="E32" i="40"/>
  <c r="BY31" i="40"/>
  <c r="BX31" i="40"/>
  <c r="BW31" i="40"/>
  <c r="AH31" i="40"/>
  <c r="AG31" i="40"/>
  <c r="AF31" i="40"/>
  <c r="AE31" i="40"/>
  <c r="AD31" i="40"/>
  <c r="AC31" i="40"/>
  <c r="AB31" i="40"/>
  <c r="AA31" i="40"/>
  <c r="H31" i="40"/>
  <c r="Y31" i="40" s="1"/>
  <c r="G31" i="40"/>
  <c r="F31" i="40"/>
  <c r="E31" i="40"/>
  <c r="BY30" i="40"/>
  <c r="BX30" i="40"/>
  <c r="BW30" i="40"/>
  <c r="AH30" i="40"/>
  <c r="AG30" i="40"/>
  <c r="AF30" i="40"/>
  <c r="AE30" i="40"/>
  <c r="AD30" i="40"/>
  <c r="AC30" i="40"/>
  <c r="AB30" i="40"/>
  <c r="AA30" i="40"/>
  <c r="H30" i="40"/>
  <c r="V30" i="40" s="1"/>
  <c r="G30" i="40"/>
  <c r="F30" i="40"/>
  <c r="E30" i="40"/>
  <c r="BY29" i="40"/>
  <c r="BX29" i="40"/>
  <c r="BW29" i="40"/>
  <c r="AH29" i="40"/>
  <c r="AG29" i="40"/>
  <c r="AF29" i="40"/>
  <c r="AE29" i="40"/>
  <c r="AD29" i="40"/>
  <c r="AC29" i="40"/>
  <c r="AB29" i="40"/>
  <c r="AA29" i="40"/>
  <c r="H29" i="40"/>
  <c r="S29" i="40" s="1"/>
  <c r="G29" i="40"/>
  <c r="F29" i="40"/>
  <c r="E29" i="40"/>
  <c r="BY28" i="40"/>
  <c r="BX28" i="40"/>
  <c r="BW28" i="40"/>
  <c r="AH28" i="40"/>
  <c r="AG28" i="40"/>
  <c r="AF28" i="40"/>
  <c r="AE28" i="40"/>
  <c r="AD28" i="40"/>
  <c r="AC28" i="40"/>
  <c r="AB28" i="40"/>
  <c r="AA28" i="40"/>
  <c r="H28" i="40"/>
  <c r="X28" i="40" s="1"/>
  <c r="G28" i="40"/>
  <c r="F28" i="40"/>
  <c r="E28" i="40"/>
  <c r="BY27" i="40"/>
  <c r="BX27" i="40"/>
  <c r="BW27" i="40"/>
  <c r="AH27" i="40"/>
  <c r="AG27" i="40"/>
  <c r="AF27" i="40"/>
  <c r="AE27" i="40"/>
  <c r="AD27" i="40"/>
  <c r="AC27" i="40"/>
  <c r="AB27" i="40"/>
  <c r="AA27" i="40"/>
  <c r="H27" i="40"/>
  <c r="S27" i="40" s="1"/>
  <c r="G27" i="40"/>
  <c r="F27" i="40"/>
  <c r="E27" i="40"/>
  <c r="BY26" i="40"/>
  <c r="BX26" i="40"/>
  <c r="BW26" i="40"/>
  <c r="AH26" i="40"/>
  <c r="AG26" i="40"/>
  <c r="AF26" i="40"/>
  <c r="AE26" i="40"/>
  <c r="AD26" i="40"/>
  <c r="AC26" i="40"/>
  <c r="AB26" i="40"/>
  <c r="AA26" i="40"/>
  <c r="H26" i="40"/>
  <c r="X26" i="40" s="1"/>
  <c r="G26" i="40"/>
  <c r="F26" i="40"/>
  <c r="E26" i="40"/>
  <c r="BY25" i="40"/>
  <c r="BX25" i="40"/>
  <c r="BW25" i="40"/>
  <c r="AH25" i="40"/>
  <c r="AG25" i="40"/>
  <c r="AF25" i="40"/>
  <c r="AE25" i="40"/>
  <c r="AD25" i="40"/>
  <c r="AC25" i="40"/>
  <c r="AB25" i="40"/>
  <c r="AA25" i="40"/>
  <c r="H25" i="40"/>
  <c r="S25" i="40" s="1"/>
  <c r="G25" i="40"/>
  <c r="F25" i="40"/>
  <c r="E25" i="40"/>
  <c r="BY24" i="40"/>
  <c r="BX24" i="40"/>
  <c r="BW24" i="40"/>
  <c r="AH24" i="40"/>
  <c r="AG24" i="40"/>
  <c r="AF24" i="40"/>
  <c r="AE24" i="40"/>
  <c r="AD24" i="40"/>
  <c r="AC24" i="40"/>
  <c r="AB24" i="40"/>
  <c r="AA24" i="40"/>
  <c r="H24" i="40"/>
  <c r="X24" i="40" s="1"/>
  <c r="G24" i="40"/>
  <c r="F24" i="40"/>
  <c r="E24" i="40"/>
  <c r="BY23" i="40"/>
  <c r="BX23" i="40"/>
  <c r="BW23" i="40"/>
  <c r="AH23" i="40"/>
  <c r="AG23" i="40"/>
  <c r="AF23" i="40"/>
  <c r="AE23" i="40"/>
  <c r="AD23" i="40"/>
  <c r="AC23" i="40"/>
  <c r="AB23" i="40"/>
  <c r="AA23" i="40"/>
  <c r="H23" i="40"/>
  <c r="S23" i="40" s="1"/>
  <c r="G23" i="40"/>
  <c r="F23" i="40"/>
  <c r="E23" i="40"/>
  <c r="BY22" i="40"/>
  <c r="BX22" i="40"/>
  <c r="BW22" i="40"/>
  <c r="AH22" i="40"/>
  <c r="AG22" i="40"/>
  <c r="AF22" i="40"/>
  <c r="AE22" i="40"/>
  <c r="AD22" i="40"/>
  <c r="AC22" i="40"/>
  <c r="AB22" i="40"/>
  <c r="AA22" i="40"/>
  <c r="H22" i="40"/>
  <c r="Z22" i="40" s="1"/>
  <c r="G22" i="40"/>
  <c r="F22" i="40"/>
  <c r="E22" i="40"/>
  <c r="BY21" i="40"/>
  <c r="BX21" i="40"/>
  <c r="BW21" i="40"/>
  <c r="AH21" i="40"/>
  <c r="AG21" i="40"/>
  <c r="AF21" i="40"/>
  <c r="AE21" i="40"/>
  <c r="AD21" i="40"/>
  <c r="AC21" i="40"/>
  <c r="AB21" i="40"/>
  <c r="AA21" i="40"/>
  <c r="H21" i="40"/>
  <c r="S21" i="40" s="1"/>
  <c r="G21" i="40"/>
  <c r="F21" i="40"/>
  <c r="E21" i="40"/>
  <c r="BY20" i="40"/>
  <c r="BX20" i="40"/>
  <c r="BW20" i="40"/>
  <c r="AH20" i="40"/>
  <c r="AG20" i="40"/>
  <c r="AF20" i="40"/>
  <c r="AE20" i="40"/>
  <c r="AD20" i="40"/>
  <c r="AC20" i="40"/>
  <c r="AB20" i="40"/>
  <c r="AA20" i="40"/>
  <c r="H20" i="40"/>
  <c r="X20" i="40" s="1"/>
  <c r="G20" i="40"/>
  <c r="F20" i="40"/>
  <c r="E20" i="40"/>
  <c r="BY19" i="40"/>
  <c r="BX19" i="40"/>
  <c r="BW19" i="40"/>
  <c r="AH19" i="40"/>
  <c r="AG19" i="40"/>
  <c r="AF19" i="40"/>
  <c r="AE19" i="40"/>
  <c r="AD19" i="40"/>
  <c r="AC19" i="40"/>
  <c r="AB19" i="40"/>
  <c r="AA19" i="40"/>
  <c r="H19" i="40"/>
  <c r="S19" i="40" s="1"/>
  <c r="G19" i="40"/>
  <c r="F19" i="40"/>
  <c r="E19" i="40"/>
  <c r="BY18" i="40"/>
  <c r="BX18" i="40"/>
  <c r="BW18" i="40"/>
  <c r="AH18" i="40"/>
  <c r="AG18" i="40"/>
  <c r="AF18" i="40"/>
  <c r="AE18" i="40"/>
  <c r="AD18" i="40"/>
  <c r="AC18" i="40"/>
  <c r="AB18" i="40"/>
  <c r="AA18" i="40"/>
  <c r="H18" i="40"/>
  <c r="G18" i="40"/>
  <c r="F18" i="40"/>
  <c r="E18" i="40"/>
  <c r="BY17" i="40"/>
  <c r="BX17" i="40"/>
  <c r="BW17" i="40"/>
  <c r="AH17" i="40"/>
  <c r="AG17" i="40"/>
  <c r="AF17" i="40"/>
  <c r="AE17" i="40"/>
  <c r="AD17" i="40"/>
  <c r="AC17" i="40"/>
  <c r="AB17" i="40"/>
  <c r="AA17" i="40"/>
  <c r="H17" i="40"/>
  <c r="T17" i="40" s="1"/>
  <c r="G17" i="40"/>
  <c r="F17" i="40"/>
  <c r="E17" i="40"/>
  <c r="BY16" i="40"/>
  <c r="BX16" i="40"/>
  <c r="BW16" i="40"/>
  <c r="AH16" i="40"/>
  <c r="AG16" i="40"/>
  <c r="AF16" i="40"/>
  <c r="AE16" i="40"/>
  <c r="AD16" i="40"/>
  <c r="AC16" i="40"/>
  <c r="AB16" i="40"/>
  <c r="AA16" i="40"/>
  <c r="H16" i="40"/>
  <c r="G16" i="40"/>
  <c r="F16" i="40"/>
  <c r="E16" i="40"/>
  <c r="BY15" i="40"/>
  <c r="BX15" i="40"/>
  <c r="BW15" i="40"/>
  <c r="AH15" i="40"/>
  <c r="BF15" i="40" s="1"/>
  <c r="BN15" i="40" s="1"/>
  <c r="AG15" i="40"/>
  <c r="BE15" i="40" s="1"/>
  <c r="BM15" i="40" s="1"/>
  <c r="AF15" i="40"/>
  <c r="BD15" i="40" s="1"/>
  <c r="BL15" i="40" s="1"/>
  <c r="AE15" i="40"/>
  <c r="BC15" i="40" s="1"/>
  <c r="BK15" i="40" s="1"/>
  <c r="AD15" i="40"/>
  <c r="AT15" i="40" s="1"/>
  <c r="AC15" i="40"/>
  <c r="AS15" i="40" s="1"/>
  <c r="AB15" i="40"/>
  <c r="AR15" i="40" s="1"/>
  <c r="AA15" i="40"/>
  <c r="AY15" i="40" s="1"/>
  <c r="BG15" i="40" s="1"/>
  <c r="H15" i="40"/>
  <c r="X15" i="40" s="1"/>
  <c r="G15" i="40"/>
  <c r="F15" i="40"/>
  <c r="E15" i="40"/>
  <c r="BY14" i="40"/>
  <c r="BX14" i="40"/>
  <c r="BW14" i="40"/>
  <c r="AH14" i="40"/>
  <c r="AG14" i="40"/>
  <c r="AF14" i="40"/>
  <c r="AE14" i="40"/>
  <c r="AD14" i="40"/>
  <c r="AC14" i="40"/>
  <c r="AB14" i="40"/>
  <c r="AA14" i="40"/>
  <c r="H14" i="40"/>
  <c r="X14" i="40" s="1"/>
  <c r="G14" i="40"/>
  <c r="F14" i="40"/>
  <c r="E14" i="40"/>
  <c r="BY13" i="40"/>
  <c r="BX13" i="40"/>
  <c r="BW13" i="40"/>
  <c r="AH13" i="40"/>
  <c r="AG13" i="40"/>
  <c r="AF13" i="40"/>
  <c r="AE13" i="40"/>
  <c r="AD13" i="40"/>
  <c r="AC13" i="40"/>
  <c r="AB13" i="40"/>
  <c r="AA13" i="40"/>
  <c r="H13" i="40"/>
  <c r="X13" i="40" s="1"/>
  <c r="G13" i="40"/>
  <c r="F13" i="40"/>
  <c r="E13" i="40"/>
  <c r="BY12" i="40"/>
  <c r="BX12" i="40"/>
  <c r="BW12" i="40"/>
  <c r="AH12" i="40"/>
  <c r="AG12" i="40"/>
  <c r="AF12" i="40"/>
  <c r="AE12" i="40"/>
  <c r="AD12" i="40"/>
  <c r="AC12" i="40"/>
  <c r="AB12" i="40"/>
  <c r="AA12" i="40"/>
  <c r="H12" i="40"/>
  <c r="X12" i="40" s="1"/>
  <c r="G12" i="40"/>
  <c r="F12" i="40"/>
  <c r="E12" i="40"/>
  <c r="BY11" i="40"/>
  <c r="BX11" i="40"/>
  <c r="BW11" i="40"/>
  <c r="AH11" i="40"/>
  <c r="AG11" i="40"/>
  <c r="AF11" i="40"/>
  <c r="AE11" i="40"/>
  <c r="AD11" i="40"/>
  <c r="AC11" i="40"/>
  <c r="AB11" i="40"/>
  <c r="AA11" i="40"/>
  <c r="H11" i="40"/>
  <c r="G11" i="40"/>
  <c r="F11" i="40"/>
  <c r="E11" i="40"/>
  <c r="BY10" i="40"/>
  <c r="BX10" i="40"/>
  <c r="BW10" i="40"/>
  <c r="AH10" i="40"/>
  <c r="AG10" i="40"/>
  <c r="AF10" i="40"/>
  <c r="AE10" i="40"/>
  <c r="AD10" i="40"/>
  <c r="AC10" i="40"/>
  <c r="AB10" i="40"/>
  <c r="AA10" i="40"/>
  <c r="H10" i="40"/>
  <c r="X10" i="40" s="1"/>
  <c r="G10" i="40"/>
  <c r="F10" i="40"/>
  <c r="E10" i="40"/>
  <c r="BY9" i="40"/>
  <c r="BX9" i="40"/>
  <c r="BW9" i="40"/>
  <c r="AH9" i="40"/>
  <c r="AG9" i="40"/>
  <c r="AF9" i="40"/>
  <c r="AE9" i="40"/>
  <c r="AD9" i="40"/>
  <c r="AC9" i="40"/>
  <c r="AB9" i="40"/>
  <c r="AA9" i="40"/>
  <c r="H9" i="40"/>
  <c r="Y9" i="40" s="1"/>
  <c r="G9" i="40"/>
  <c r="F9" i="40"/>
  <c r="E9" i="40"/>
  <c r="BY8" i="40"/>
  <c r="BX8" i="40"/>
  <c r="BW8" i="40"/>
  <c r="AH8" i="40"/>
  <c r="AG8" i="40"/>
  <c r="AF8" i="40"/>
  <c r="AE8" i="40"/>
  <c r="AD8" i="40"/>
  <c r="AC8" i="40"/>
  <c r="AB8" i="40"/>
  <c r="AA8" i="40"/>
  <c r="H8" i="40"/>
  <c r="X8" i="40" s="1"/>
  <c r="G8" i="40"/>
  <c r="F8" i="40"/>
  <c r="E8" i="40"/>
  <c r="BY7" i="40"/>
  <c r="BX7" i="40"/>
  <c r="BW7" i="40"/>
  <c r="AH7" i="40"/>
  <c r="AG7" i="40"/>
  <c r="AF7" i="40"/>
  <c r="AE7" i="40"/>
  <c r="AD7" i="40"/>
  <c r="AC7" i="40"/>
  <c r="AB7" i="40"/>
  <c r="AA7" i="40"/>
  <c r="H7" i="40"/>
  <c r="X7" i="40" s="1"/>
  <c r="G7" i="40"/>
  <c r="F7" i="40"/>
  <c r="E7" i="40"/>
  <c r="BY6" i="40"/>
  <c r="BX6" i="40"/>
  <c r="BW6" i="40"/>
  <c r="AH6" i="40"/>
  <c r="AG6" i="40"/>
  <c r="AF6" i="40"/>
  <c r="AE6" i="40"/>
  <c r="AD6" i="40"/>
  <c r="AC6" i="40"/>
  <c r="AB6" i="40"/>
  <c r="AA6" i="40"/>
  <c r="H6" i="40"/>
  <c r="Y6" i="40" s="1"/>
  <c r="G6" i="40"/>
  <c r="F6" i="40"/>
  <c r="E6" i="40"/>
  <c r="BY5" i="40"/>
  <c r="BX5" i="40"/>
  <c r="BW5" i="40"/>
  <c r="AH5" i="40"/>
  <c r="AG5" i="40"/>
  <c r="AF5" i="40"/>
  <c r="AE5" i="40"/>
  <c r="AD5" i="40"/>
  <c r="AC5" i="40"/>
  <c r="AB5" i="40"/>
  <c r="AA5" i="40"/>
  <c r="H5" i="40"/>
  <c r="X5" i="40" s="1"/>
  <c r="G5" i="40"/>
  <c r="F5" i="40"/>
  <c r="E5" i="40"/>
  <c r="AH3" i="40"/>
  <c r="AG3" i="40"/>
  <c r="AF3" i="40"/>
  <c r="AE3" i="40"/>
  <c r="AD3" i="40"/>
  <c r="AC3" i="40"/>
  <c r="AB3" i="40"/>
  <c r="AA3" i="40"/>
  <c r="D8" i="35"/>
  <c r="D3" i="39"/>
  <c r="D2" i="39" s="1"/>
  <c r="D22" i="39" s="1"/>
  <c r="J7" i="39"/>
  <c r="G11" i="39" s="1"/>
  <c r="M8" i="38"/>
  <c r="M9" i="38"/>
  <c r="M10" i="38"/>
  <c r="M11" i="38"/>
  <c r="M12" i="38"/>
  <c r="M13" i="38"/>
  <c r="M14" i="38"/>
  <c r="M15" i="38"/>
  <c r="M16" i="38"/>
  <c r="M17" i="38"/>
  <c r="M18" i="38"/>
  <c r="M19" i="38"/>
  <c r="M20" i="38"/>
  <c r="M21" i="38"/>
  <c r="M22" i="38"/>
  <c r="M23" i="38"/>
  <c r="M24" i="38"/>
  <c r="M25" i="38"/>
  <c r="M26" i="38"/>
  <c r="M27" i="38"/>
  <c r="M28" i="38"/>
  <c r="M29" i="38"/>
  <c r="M30" i="38"/>
  <c r="M31" i="38"/>
  <c r="M32" i="38"/>
  <c r="M33" i="38"/>
  <c r="M34" i="38"/>
  <c r="M35" i="38"/>
  <c r="M36" i="38"/>
  <c r="M37" i="38"/>
  <c r="M38" i="38"/>
  <c r="M39" i="38"/>
  <c r="M40" i="38"/>
  <c r="M41" i="38"/>
  <c r="M42" i="38"/>
  <c r="M43" i="38"/>
  <c r="M44" i="38"/>
  <c r="M45" i="38"/>
  <c r="M46" i="38"/>
  <c r="M47" i="38"/>
  <c r="M48" i="38"/>
  <c r="M49" i="38"/>
  <c r="M50" i="38"/>
  <c r="M51" i="38"/>
  <c r="M52" i="38"/>
  <c r="M53" i="38"/>
  <c r="M54" i="38"/>
  <c r="M55" i="38"/>
  <c r="M56" i="38"/>
  <c r="M57" i="38"/>
  <c r="M58" i="38"/>
  <c r="M59" i="38"/>
  <c r="M60" i="38"/>
  <c r="M61" i="38"/>
  <c r="M62" i="38"/>
  <c r="M63" i="38"/>
  <c r="M64" i="38"/>
  <c r="M65" i="38"/>
  <c r="M66" i="38"/>
  <c r="M67" i="38"/>
  <c r="M68" i="38"/>
  <c r="M69" i="38"/>
  <c r="M70" i="38"/>
  <c r="M71" i="38"/>
  <c r="M72" i="38"/>
  <c r="M73" i="38"/>
  <c r="M74" i="38"/>
  <c r="M75" i="38"/>
  <c r="M76" i="38"/>
  <c r="M77" i="38"/>
  <c r="M78" i="38"/>
  <c r="M79" i="38"/>
  <c r="M80" i="38"/>
  <c r="M81" i="38"/>
  <c r="M82" i="38"/>
  <c r="M83" i="38"/>
  <c r="M84" i="38"/>
  <c r="M85" i="38"/>
  <c r="M86" i="38"/>
  <c r="M87" i="38"/>
  <c r="M88" i="38"/>
  <c r="M89" i="38"/>
  <c r="M90" i="38"/>
  <c r="M91" i="38"/>
  <c r="M92" i="38"/>
  <c r="M93" i="38"/>
  <c r="M94" i="38"/>
  <c r="M95" i="38"/>
  <c r="M96" i="38"/>
  <c r="M97" i="38"/>
  <c r="M98" i="38"/>
  <c r="M99" i="38"/>
  <c r="M100" i="38"/>
  <c r="M101" i="38"/>
  <c r="M102" i="38"/>
  <c r="M103" i="38"/>
  <c r="M104" i="38"/>
  <c r="M105" i="38"/>
  <c r="M106" i="38"/>
  <c r="M107" i="38"/>
  <c r="M108" i="38"/>
  <c r="M109" i="38"/>
  <c r="M110" i="38"/>
  <c r="M111" i="38"/>
  <c r="M112" i="38"/>
  <c r="M113" i="38"/>
  <c r="M114" i="38"/>
  <c r="M115" i="38"/>
  <c r="M116" i="38"/>
  <c r="M117" i="38"/>
  <c r="M118" i="38"/>
  <c r="M119" i="38"/>
  <c r="M120" i="38"/>
  <c r="M121" i="38"/>
  <c r="M122" i="38"/>
  <c r="M123" i="38"/>
  <c r="M124" i="38"/>
  <c r="M125" i="38"/>
  <c r="M126" i="38"/>
  <c r="M127" i="38"/>
  <c r="M128" i="38"/>
  <c r="M129" i="38"/>
  <c r="M130" i="38"/>
  <c r="M131" i="38"/>
  <c r="M132" i="38"/>
  <c r="M133" i="38"/>
  <c r="M134" i="38"/>
  <c r="M135" i="38"/>
  <c r="M136" i="38"/>
  <c r="M137" i="38"/>
  <c r="M138" i="38"/>
  <c r="M139" i="38"/>
  <c r="M140" i="38"/>
  <c r="M141" i="38"/>
  <c r="M142" i="38"/>
  <c r="M143" i="38"/>
  <c r="M144" i="38"/>
  <c r="M145" i="38"/>
  <c r="M146" i="38"/>
  <c r="M147" i="38"/>
  <c r="M148" i="38"/>
  <c r="M149" i="38"/>
  <c r="M150" i="38"/>
  <c r="M151" i="38"/>
  <c r="M152" i="38"/>
  <c r="M153" i="38"/>
  <c r="M154" i="38"/>
  <c r="M155" i="38"/>
  <c r="M156" i="38"/>
  <c r="M157" i="38"/>
  <c r="M158" i="38"/>
  <c r="M159" i="38"/>
  <c r="M160" i="38"/>
  <c r="M161" i="38"/>
  <c r="M162" i="38"/>
  <c r="M163" i="38"/>
  <c r="M164" i="38"/>
  <c r="M165" i="38"/>
  <c r="M166" i="38"/>
  <c r="M167" i="38"/>
  <c r="M168" i="38"/>
  <c r="M169" i="38"/>
  <c r="M170" i="38"/>
  <c r="M171" i="38"/>
  <c r="M172" i="38"/>
  <c r="M173" i="38"/>
  <c r="M174" i="38"/>
  <c r="M175" i="38"/>
  <c r="M176" i="38"/>
  <c r="M177" i="38"/>
  <c r="M178" i="38"/>
  <c r="M179" i="38"/>
  <c r="M180" i="38"/>
  <c r="M181" i="38"/>
  <c r="M182" i="38"/>
  <c r="M183" i="38"/>
  <c r="M184" i="38"/>
  <c r="M185" i="38"/>
  <c r="M186" i="38"/>
  <c r="M187" i="38"/>
  <c r="M188" i="38"/>
  <c r="M189" i="38"/>
  <c r="M190" i="38"/>
  <c r="M191" i="38"/>
  <c r="M192" i="38"/>
  <c r="M193" i="38"/>
  <c r="M194" i="38"/>
  <c r="M195" i="38"/>
  <c r="M196" i="38"/>
  <c r="M197" i="38"/>
  <c r="M198" i="38"/>
  <c r="M199" i="38"/>
  <c r="M200" i="38"/>
  <c r="M201" i="38"/>
  <c r="M202" i="38"/>
  <c r="M203" i="38"/>
  <c r="M204" i="38"/>
  <c r="M205" i="38"/>
  <c r="M206" i="38"/>
  <c r="M207" i="38"/>
  <c r="M208" i="38"/>
  <c r="M209" i="38"/>
  <c r="M210" i="38"/>
  <c r="M211" i="38"/>
  <c r="M212" i="38"/>
  <c r="M213" i="38"/>
  <c r="M214" i="38"/>
  <c r="M215" i="38"/>
  <c r="M216" i="38"/>
  <c r="M217" i="38"/>
  <c r="M218" i="38"/>
  <c r="M219" i="38"/>
  <c r="M220" i="38"/>
  <c r="M221" i="38"/>
  <c r="M222" i="38"/>
  <c r="M223" i="38"/>
  <c r="M224" i="38"/>
  <c r="M225" i="38"/>
  <c r="M226" i="38"/>
  <c r="M227" i="38"/>
  <c r="M228" i="38"/>
  <c r="M229" i="38"/>
  <c r="M230" i="38"/>
  <c r="M231" i="38"/>
  <c r="M232" i="38"/>
  <c r="M233" i="38"/>
  <c r="M234" i="38"/>
  <c r="M235" i="38"/>
  <c r="M236" i="38"/>
  <c r="M237" i="38"/>
  <c r="M238" i="38"/>
  <c r="M239" i="38"/>
  <c r="M240" i="38"/>
  <c r="M241" i="38"/>
  <c r="M242" i="38"/>
  <c r="M243" i="38"/>
  <c r="M244" i="38"/>
  <c r="M245" i="38"/>
  <c r="M246" i="38"/>
  <c r="M247" i="38"/>
  <c r="M248" i="38"/>
  <c r="M249" i="38"/>
  <c r="M250" i="38"/>
  <c r="M251" i="38"/>
  <c r="M252" i="38"/>
  <c r="M253" i="38"/>
  <c r="M254" i="38"/>
  <c r="M255" i="38"/>
  <c r="M256" i="38"/>
  <c r="M257" i="38"/>
  <c r="M258" i="38"/>
  <c r="M259" i="38"/>
  <c r="M260" i="38"/>
  <c r="M261" i="38"/>
  <c r="M262" i="38"/>
  <c r="M263" i="38"/>
  <c r="M264" i="38"/>
  <c r="M265" i="38"/>
  <c r="M266" i="38"/>
  <c r="M267" i="38"/>
  <c r="M268" i="38"/>
  <c r="M269" i="38"/>
  <c r="M270" i="38"/>
  <c r="M271" i="38"/>
  <c r="M272" i="38"/>
  <c r="M273" i="38"/>
  <c r="M274" i="38"/>
  <c r="M275" i="38"/>
  <c r="M276" i="38"/>
  <c r="M277" i="38"/>
  <c r="M278" i="38"/>
  <c r="M279" i="38"/>
  <c r="M280" i="38"/>
  <c r="M281" i="38"/>
  <c r="M282" i="38"/>
  <c r="M283" i="38"/>
  <c r="M284" i="38"/>
  <c r="M285" i="38"/>
  <c r="M286" i="38"/>
  <c r="M287" i="38"/>
  <c r="M288" i="38"/>
  <c r="M289" i="38"/>
  <c r="M290" i="38"/>
  <c r="M291" i="38"/>
  <c r="M292" i="38"/>
  <c r="M293" i="38"/>
  <c r="M294" i="38"/>
  <c r="M295" i="38"/>
  <c r="M296" i="38"/>
  <c r="M297" i="38"/>
  <c r="M298" i="38"/>
  <c r="M299" i="38"/>
  <c r="M300" i="38"/>
  <c r="M7" i="38"/>
  <c r="C16" i="32"/>
  <c r="D8" i="32"/>
  <c r="C19" i="29" a="1"/>
  <c r="C19" i="29" s="1"/>
  <c r="C4" i="29" a="1"/>
  <c r="C4" i="29" s="1"/>
  <c r="C9" i="29" a="1"/>
  <c r="C9" i="29" s="1"/>
  <c r="C5" i="29" a="1"/>
  <c r="C5" i="29" s="1"/>
  <c r="C6" i="29" a="1"/>
  <c r="C6" i="29" s="1"/>
  <c r="C7" i="29" a="1"/>
  <c r="C7" i="29" s="1"/>
  <c r="C8" i="29" a="1"/>
  <c r="C8" i="29" s="1"/>
  <c r="C10" i="29" a="1"/>
  <c r="C10" i="29" s="1"/>
  <c r="C11" i="29" a="1"/>
  <c r="C11" i="29" s="1"/>
  <c r="C12" i="29" a="1"/>
  <c r="C12" i="29" s="1"/>
  <c r="C13" i="29" a="1"/>
  <c r="C13" i="29" s="1"/>
  <c r="C14" i="29" a="1"/>
  <c r="C14" i="29" s="1"/>
  <c r="C15" i="29" a="1"/>
  <c r="C15" i="29" s="1"/>
  <c r="C16" i="29" a="1"/>
  <c r="C16" i="29" s="1"/>
  <c r="C17" i="29" a="1"/>
  <c r="C17" i="29" s="1"/>
  <c r="C18" i="29" a="1"/>
  <c r="C18" i="29" s="1"/>
  <c r="AD2" i="23"/>
  <c r="I17" i="40" s="1"/>
  <c r="J17" i="40" s="1"/>
  <c r="AD36" i="23"/>
  <c r="I21" i="40" s="1"/>
  <c r="J21" i="40" s="1"/>
  <c r="AC3" i="17"/>
  <c r="AB3" i="17"/>
  <c r="AA3" i="17"/>
  <c r="AD3" i="17"/>
  <c r="CQ226" i="40" l="1"/>
  <c r="AT273" i="40"/>
  <c r="T169" i="40"/>
  <c r="R40" i="32"/>
  <c r="D16" i="32"/>
  <c r="Z171" i="40"/>
  <c r="X141" i="40"/>
  <c r="CQ90" i="40"/>
  <c r="T175" i="40"/>
  <c r="CQ170" i="40"/>
  <c r="BZ6" i="40"/>
  <c r="BZ30" i="40"/>
  <c r="CR30" i="40" s="1"/>
  <c r="U121" i="40"/>
  <c r="U193" i="40"/>
  <c r="Y141" i="40"/>
  <c r="Y121" i="40"/>
  <c r="AS170" i="40"/>
  <c r="AS261" i="40"/>
  <c r="AS244" i="40"/>
  <c r="AS252" i="40"/>
  <c r="AS268" i="40"/>
  <c r="W258" i="40"/>
  <c r="Y110" i="40"/>
  <c r="T138" i="40"/>
  <c r="CQ142" i="40"/>
  <c r="W182" i="40"/>
  <c r="CQ8" i="40"/>
  <c r="CQ84" i="40"/>
  <c r="U138" i="40"/>
  <c r="W180" i="40"/>
  <c r="BZ224" i="40"/>
  <c r="CR224" i="40" s="1"/>
  <c r="AZ15" i="40"/>
  <c r="BH15" i="40" s="1"/>
  <c r="CQ83" i="40"/>
  <c r="CQ108" i="40"/>
  <c r="T230" i="40"/>
  <c r="AX257" i="40"/>
  <c r="W64" i="40"/>
  <c r="V175" i="40"/>
  <c r="CQ80" i="40"/>
  <c r="W132" i="40"/>
  <c r="Y175" i="40"/>
  <c r="CQ261" i="40"/>
  <c r="CQ277" i="40"/>
  <c r="H19" i="39"/>
  <c r="H18" i="39"/>
  <c r="H12" i="39"/>
  <c r="H17" i="39"/>
  <c r="H13" i="39"/>
  <c r="H14" i="39"/>
  <c r="H15" i="39"/>
  <c r="H16" i="39"/>
  <c r="H20" i="39"/>
  <c r="AQ273" i="40"/>
  <c r="AT280" i="40"/>
  <c r="AR310" i="40"/>
  <c r="AQ207" i="40"/>
  <c r="AS209" i="40"/>
  <c r="AT243" i="40"/>
  <c r="AS217" i="40"/>
  <c r="AT251" i="40"/>
  <c r="AQ252" i="40"/>
  <c r="AR262" i="40"/>
  <c r="AR211" i="40"/>
  <c r="AR261" i="40"/>
  <c r="AS282" i="40"/>
  <c r="AQ243" i="40"/>
  <c r="AS245" i="40"/>
  <c r="AT279" i="40"/>
  <c r="AR232" i="40"/>
  <c r="AQ251" i="40"/>
  <c r="AS216" i="40"/>
  <c r="AQ235" i="40"/>
  <c r="AR256" i="40"/>
  <c r="AS274" i="40"/>
  <c r="AS208" i="40"/>
  <c r="AR219" i="40"/>
  <c r="AS266" i="40"/>
  <c r="AT287" i="40"/>
  <c r="AT208" i="40"/>
  <c r="AS195" i="40"/>
  <c r="AR194" i="40"/>
  <c r="AQ170" i="40"/>
  <c r="AR218" i="40"/>
  <c r="AR158" i="40"/>
  <c r="AS143" i="40"/>
  <c r="AQ114" i="40"/>
  <c r="AQ139" i="40"/>
  <c r="AT148" i="40"/>
  <c r="AS173" i="40"/>
  <c r="AR150" i="40"/>
  <c r="AS168" i="40"/>
  <c r="AQ169" i="40"/>
  <c r="AS243" i="40"/>
  <c r="AS280" i="40"/>
  <c r="AR217" i="40"/>
  <c r="AQ241" i="40"/>
  <c r="AT261" i="40"/>
  <c r="AQ262" i="40"/>
  <c r="AT232" i="40"/>
  <c r="AS251" i="40"/>
  <c r="AR254" i="40"/>
  <c r="AS185" i="40"/>
  <c r="AT195" i="40"/>
  <c r="AQ196" i="40"/>
  <c r="AS264" i="40"/>
  <c r="AQ118" i="40"/>
  <c r="AS120" i="40"/>
  <c r="AR140" i="40"/>
  <c r="AR142" i="40"/>
  <c r="AS194" i="40"/>
  <c r="AR46" i="40"/>
  <c r="AQ168" i="40"/>
  <c r="AS172" i="40"/>
  <c r="AQ91" i="40"/>
  <c r="AR139" i="40"/>
  <c r="AS179" i="40"/>
  <c r="AQ117" i="40"/>
  <c r="AT207" i="40"/>
  <c r="AS43" i="40"/>
  <c r="AS119" i="40"/>
  <c r="AS146" i="40"/>
  <c r="AS154" i="40"/>
  <c r="AQ239" i="40"/>
  <c r="AQ231" i="40"/>
  <c r="AS270" i="40"/>
  <c r="AT254" i="40"/>
  <c r="AR265" i="40"/>
  <c r="AR252" i="40"/>
  <c r="AS262" i="40"/>
  <c r="AQ194" i="40"/>
  <c r="AS196" i="40"/>
  <c r="AS65" i="40"/>
  <c r="AR68" i="40"/>
  <c r="AS140" i="40"/>
  <c r="AQ143" i="40"/>
  <c r="AR148" i="40"/>
  <c r="AR164" i="40"/>
  <c r="AS171" i="40"/>
  <c r="AS164" i="40"/>
  <c r="AS174" i="40"/>
  <c r="AS169" i="40"/>
  <c r="AS156" i="40"/>
  <c r="AT231" i="40"/>
  <c r="AT260" i="40"/>
  <c r="AR274" i="40"/>
  <c r="AS279" i="40"/>
  <c r="AS287" i="40"/>
  <c r="AS242" i="40"/>
  <c r="AS250" i="40"/>
  <c r="AS263" i="40"/>
  <c r="AS271" i="40"/>
  <c r="AR216" i="40"/>
  <c r="AQ66" i="40"/>
  <c r="AQ95" i="40"/>
  <c r="AT194" i="40"/>
  <c r="AT218" i="40"/>
  <c r="AQ219" i="40"/>
  <c r="AS92" i="40"/>
  <c r="AS118" i="40"/>
  <c r="AQ195" i="40"/>
  <c r="AS97" i="40"/>
  <c r="AQ41" i="40"/>
  <c r="AR160" i="40"/>
  <c r="AT5" i="40"/>
  <c r="AR40" i="40"/>
  <c r="AS68" i="40"/>
  <c r="AQ40" i="40"/>
  <c r="AS42" i="40"/>
  <c r="AS66" i="40"/>
  <c r="AS40" i="40"/>
  <c r="AR66" i="40"/>
  <c r="AS16" i="40"/>
  <c r="AS45" i="40"/>
  <c r="AR91" i="40"/>
  <c r="AS114" i="40"/>
  <c r="AT146" i="40"/>
  <c r="AS41" i="40"/>
  <c r="AQ120" i="40"/>
  <c r="AQ147" i="40"/>
  <c r="AS149" i="40"/>
  <c r="AS17" i="40"/>
  <c r="AT22" i="40"/>
  <c r="AS25" i="40"/>
  <c r="AV262" i="40"/>
  <c r="AQ65" i="40"/>
  <c r="AS152" i="40"/>
  <c r="AT17" i="40"/>
  <c r="AQ94" i="40"/>
  <c r="AT41" i="40"/>
  <c r="AS70" i="40"/>
  <c r="AQ92" i="40"/>
  <c r="AU117" i="40"/>
  <c r="AW174" i="40"/>
  <c r="AT20" i="40"/>
  <c r="AQ142" i="40"/>
  <c r="AT139" i="40"/>
  <c r="AQ140" i="40"/>
  <c r="AR42" i="40"/>
  <c r="AT14" i="40"/>
  <c r="AR17" i="40"/>
  <c r="AR14" i="40"/>
  <c r="T64" i="40"/>
  <c r="T86" i="40"/>
  <c r="CQ92" i="40"/>
  <c r="U110" i="40"/>
  <c r="AS187" i="40"/>
  <c r="Z312" i="40"/>
  <c r="AU238" i="40"/>
  <c r="BZ309" i="40"/>
  <c r="CA309" i="40" s="1"/>
  <c r="T99" i="40"/>
  <c r="V184" i="40"/>
  <c r="S206" i="40"/>
  <c r="Y19" i="40"/>
  <c r="W99" i="40"/>
  <c r="CQ100" i="40"/>
  <c r="Z184" i="40"/>
  <c r="CQ270" i="40"/>
  <c r="AW41" i="40"/>
  <c r="Q43" i="40"/>
  <c r="S81" i="40"/>
  <c r="S83" i="40"/>
  <c r="CQ86" i="40"/>
  <c r="U102" i="40"/>
  <c r="W104" i="40"/>
  <c r="W133" i="40"/>
  <c r="AR162" i="40"/>
  <c r="U179" i="40"/>
  <c r="S181" i="40"/>
  <c r="Z187" i="40"/>
  <c r="V194" i="40"/>
  <c r="X233" i="40"/>
  <c r="AQ233" i="40"/>
  <c r="CQ263" i="40"/>
  <c r="AW265" i="40"/>
  <c r="U283" i="40"/>
  <c r="T312" i="40"/>
  <c r="T7" i="40"/>
  <c r="AS21" i="40"/>
  <c r="Y81" i="40"/>
  <c r="Y102" i="40"/>
  <c r="T181" i="40"/>
  <c r="U20" i="40"/>
  <c r="U88" i="40"/>
  <c r="U117" i="40"/>
  <c r="Z158" i="40"/>
  <c r="V181" i="40"/>
  <c r="CQ222" i="40"/>
  <c r="U312" i="40"/>
  <c r="AT66" i="40"/>
  <c r="AS91" i="40"/>
  <c r="AS93" i="40"/>
  <c r="AS117" i="40"/>
  <c r="AQ146" i="40"/>
  <c r="AS148" i="40"/>
  <c r="AW306" i="40"/>
  <c r="AS121" i="40"/>
  <c r="AS14" i="40"/>
  <c r="AT16" i="40"/>
  <c r="AQ67" i="40"/>
  <c r="AR143" i="40"/>
  <c r="AT19" i="40"/>
  <c r="AU305" i="40"/>
  <c r="AT24" i="40"/>
  <c r="AX23" i="40"/>
  <c r="AU92" i="40"/>
  <c r="AU169" i="40"/>
  <c r="AW209" i="40"/>
  <c r="AS23" i="40"/>
  <c r="AS177" i="40"/>
  <c r="Y95" i="40"/>
  <c r="S119" i="40"/>
  <c r="AV15" i="40"/>
  <c r="Z26" i="40"/>
  <c r="CQ32" i="40"/>
  <c r="CQ35" i="40"/>
  <c r="Z80" i="40"/>
  <c r="S86" i="40"/>
  <c r="S88" i="40"/>
  <c r="W90" i="40"/>
  <c r="S102" i="40"/>
  <c r="S110" i="40"/>
  <c r="V121" i="40"/>
  <c r="U132" i="40"/>
  <c r="V133" i="40"/>
  <c r="U135" i="40"/>
  <c r="CQ153" i="40"/>
  <c r="CQ168" i="40"/>
  <c r="Y169" i="40"/>
  <c r="Y181" i="40"/>
  <c r="S189" i="40"/>
  <c r="CQ192" i="40"/>
  <c r="V217" i="40"/>
  <c r="AX219" i="40"/>
  <c r="CQ232" i="40"/>
  <c r="BZ254" i="40"/>
  <c r="CA254" i="40" s="1"/>
  <c r="CS254" i="40" s="1"/>
  <c r="U291" i="40"/>
  <c r="T189" i="40"/>
  <c r="Y200" i="40"/>
  <c r="V207" i="40"/>
  <c r="CQ210" i="40"/>
  <c r="S15" i="40"/>
  <c r="S145" i="40"/>
  <c r="W189" i="40"/>
  <c r="BZ15" i="40"/>
  <c r="BZ19" i="40"/>
  <c r="CR19" i="40" s="1"/>
  <c r="Z115" i="40"/>
  <c r="CQ124" i="40"/>
  <c r="AU6" i="40"/>
  <c r="S7" i="40"/>
  <c r="BZ14" i="40"/>
  <c r="CR14" i="40" s="1"/>
  <c r="V15" i="40"/>
  <c r="BZ28" i="40"/>
  <c r="CR28" i="40" s="1"/>
  <c r="BZ36" i="40"/>
  <c r="CR36" i="40" s="1"/>
  <c r="CQ71" i="40"/>
  <c r="S99" i="40"/>
  <c r="S117" i="40"/>
  <c r="W131" i="40"/>
  <c r="S138" i="40"/>
  <c r="U145" i="40"/>
  <c r="Y153" i="40"/>
  <c r="U171" i="40"/>
  <c r="BZ214" i="40"/>
  <c r="CA214" i="40" s="1"/>
  <c r="S239" i="40"/>
  <c r="AU242" i="40"/>
  <c r="S243" i="40"/>
  <c r="S245" i="40"/>
  <c r="S247" i="40"/>
  <c r="U258" i="40"/>
  <c r="AV263" i="40"/>
  <c r="Y245" i="40"/>
  <c r="V258" i="40"/>
  <c r="U265" i="40"/>
  <c r="Y7" i="40"/>
  <c r="W9" i="40"/>
  <c r="S105" i="40"/>
  <c r="S170" i="40"/>
  <c r="AW197" i="40"/>
  <c r="CQ229" i="40"/>
  <c r="Y265" i="40"/>
  <c r="U6" i="40"/>
  <c r="Z7" i="40"/>
  <c r="Y60" i="40"/>
  <c r="S73" i="40"/>
  <c r="U116" i="40"/>
  <c r="U119" i="40"/>
  <c r="S133" i="40"/>
  <c r="W138" i="40"/>
  <c r="U150" i="40"/>
  <c r="S152" i="40"/>
  <c r="V170" i="40"/>
  <c r="U181" i="40"/>
  <c r="V197" i="40"/>
  <c r="CQ205" i="40"/>
  <c r="T223" i="40"/>
  <c r="CQ238" i="40"/>
  <c r="CQ240" i="40"/>
  <c r="V308" i="40"/>
  <c r="Y312" i="40"/>
  <c r="W60" i="40"/>
  <c r="S77" i="40"/>
  <c r="Z124" i="40"/>
  <c r="CQ144" i="40"/>
  <c r="S150" i="40"/>
  <c r="U26" i="40"/>
  <c r="BZ72" i="40"/>
  <c r="Y73" i="40"/>
  <c r="CQ112" i="40"/>
  <c r="Z119" i="40"/>
  <c r="T133" i="40"/>
  <c r="T152" i="40"/>
  <c r="BZ20" i="40"/>
  <c r="T44" i="40"/>
  <c r="W52" i="40"/>
  <c r="U80" i="40"/>
  <c r="W94" i="40"/>
  <c r="S112" i="40"/>
  <c r="AU143" i="40"/>
  <c r="BZ167" i="40"/>
  <c r="Y172" i="40"/>
  <c r="CQ190" i="40"/>
  <c r="U200" i="40"/>
  <c r="U201" i="40"/>
  <c r="AV217" i="40"/>
  <c r="AX244" i="40"/>
  <c r="U269" i="40"/>
  <c r="CQ314" i="40"/>
  <c r="T25" i="40"/>
  <c r="BZ34" i="40"/>
  <c r="CA34" i="40" s="1"/>
  <c r="CB34" i="40" s="1"/>
  <c r="T48" i="40"/>
  <c r="T54" i="40"/>
  <c r="Z56" i="40"/>
  <c r="AW65" i="40"/>
  <c r="S66" i="40"/>
  <c r="T70" i="40"/>
  <c r="BZ106" i="40"/>
  <c r="BZ116" i="40"/>
  <c r="CR116" i="40" s="1"/>
  <c r="T123" i="40"/>
  <c r="S131" i="40"/>
  <c r="CQ155" i="40"/>
  <c r="BZ24" i="40"/>
  <c r="CR24" i="40" s="1"/>
  <c r="Z25" i="40"/>
  <c r="BZ32" i="40"/>
  <c r="CR32" i="40" s="1"/>
  <c r="AV41" i="40"/>
  <c r="U44" i="40"/>
  <c r="CQ47" i="40"/>
  <c r="Y50" i="40"/>
  <c r="CQ53" i="40"/>
  <c r="BZ65" i="40"/>
  <c r="W66" i="40"/>
  <c r="W72" i="40"/>
  <c r="Y80" i="40"/>
  <c r="CQ93" i="40"/>
  <c r="S104" i="40"/>
  <c r="CQ111" i="40"/>
  <c r="W117" i="40"/>
  <c r="CQ122" i="40"/>
  <c r="U125" i="40"/>
  <c r="CQ131" i="40"/>
  <c r="S135" i="40"/>
  <c r="V152" i="40"/>
  <c r="AW157" i="40"/>
  <c r="BZ157" i="40"/>
  <c r="S179" i="40"/>
  <c r="Y180" i="40"/>
  <c r="W200" i="40"/>
  <c r="Y201" i="40"/>
  <c r="BZ206" i="40"/>
  <c r="CQ213" i="40"/>
  <c r="CQ279" i="40"/>
  <c r="S292" i="40"/>
  <c r="BZ304" i="40"/>
  <c r="CA304" i="40" s="1"/>
  <c r="CS304" i="40" s="1"/>
  <c r="U274" i="40"/>
  <c r="AW274" i="40"/>
  <c r="T292" i="40"/>
  <c r="CQ22" i="40"/>
  <c r="AX40" i="40"/>
  <c r="X41" i="40"/>
  <c r="W108" i="40"/>
  <c r="AQ141" i="40"/>
  <c r="W179" i="40"/>
  <c r="V188" i="40"/>
  <c r="AU194" i="40"/>
  <c r="Y197" i="40"/>
  <c r="U206" i="40"/>
  <c r="AV218" i="40"/>
  <c r="S249" i="40"/>
  <c r="Z274" i="40"/>
  <c r="CQ275" i="40"/>
  <c r="CQ289" i="40"/>
  <c r="U292" i="40"/>
  <c r="BZ311" i="40"/>
  <c r="CQ12" i="40"/>
  <c r="U22" i="40"/>
  <c r="U34" i="40"/>
  <c r="Z128" i="40"/>
  <c r="Y130" i="40"/>
  <c r="U151" i="40"/>
  <c r="BZ8" i="40"/>
  <c r="CA8" i="40" s="1"/>
  <c r="CQ10" i="40"/>
  <c r="W14" i="40"/>
  <c r="BZ26" i="40"/>
  <c r="CR26" i="40" s="1"/>
  <c r="BZ58" i="40"/>
  <c r="BZ62" i="40"/>
  <c r="CR62" i="40" s="1"/>
  <c r="W86" i="40"/>
  <c r="U103" i="40"/>
  <c r="U111" i="40"/>
  <c r="S115" i="40"/>
  <c r="V119" i="40"/>
  <c r="CQ119" i="40"/>
  <c r="AS141" i="40"/>
  <c r="V150" i="40"/>
  <c r="AW150" i="40"/>
  <c r="CQ161" i="40"/>
  <c r="BZ165" i="40"/>
  <c r="Y170" i="40"/>
  <c r="W188" i="40"/>
  <c r="AW188" i="40"/>
  <c r="U189" i="40"/>
  <c r="U192" i="40"/>
  <c r="BZ205" i="40"/>
  <c r="W206" i="40"/>
  <c r="CQ218" i="40"/>
  <c r="CQ225" i="40"/>
  <c r="CQ227" i="40"/>
  <c r="AU235" i="40"/>
  <c r="Y249" i="40"/>
  <c r="Z259" i="40"/>
  <c r="Y266" i="40"/>
  <c r="AW282" i="40"/>
  <c r="BZ287" i="40"/>
  <c r="BZ298" i="40"/>
  <c r="Q18" i="32"/>
  <c r="R18" i="32" s="1"/>
  <c r="U5" i="40"/>
  <c r="Z14" i="40"/>
  <c r="CQ26" i="40"/>
  <c r="CQ40" i="40"/>
  <c r="BZ112" i="40"/>
  <c r="CA112" i="40" s="1"/>
  <c r="BZ114" i="40"/>
  <c r="W115" i="40"/>
  <c r="W119" i="40"/>
  <c r="BZ133" i="40"/>
  <c r="Y188" i="40"/>
  <c r="V189" i="40"/>
  <c r="BZ191" i="40"/>
  <c r="Z192" i="40"/>
  <c r="AW196" i="40"/>
  <c r="BZ207" i="40"/>
  <c r="CR214" i="40"/>
  <c r="W233" i="40"/>
  <c r="BZ235" i="40"/>
  <c r="CA235" i="40" s="1"/>
  <c r="BZ240" i="40"/>
  <c r="CA240" i="40" s="1"/>
  <c r="T248" i="40"/>
  <c r="BZ258" i="40"/>
  <c r="CA258" i="40" s="1"/>
  <c r="CS258" i="40" s="1"/>
  <c r="AW273" i="40"/>
  <c r="CQ6" i="40"/>
  <c r="CQ31" i="40"/>
  <c r="BZ38" i="40"/>
  <c r="CR38" i="40" s="1"/>
  <c r="BZ48" i="40"/>
  <c r="BZ54" i="40"/>
  <c r="CR54" i="40" s="1"/>
  <c r="BZ66" i="40"/>
  <c r="BZ78" i="40"/>
  <c r="CA78" i="40" s="1"/>
  <c r="CS78" i="40" s="1"/>
  <c r="BZ96" i="40"/>
  <c r="CQ98" i="40"/>
  <c r="CQ102" i="40"/>
  <c r="CQ110" i="40"/>
  <c r="CQ141" i="40"/>
  <c r="CQ172" i="40"/>
  <c r="U248" i="40"/>
  <c r="T265" i="40"/>
  <c r="V273" i="40"/>
  <c r="S289" i="40"/>
  <c r="BZ296" i="40"/>
  <c r="CR296" i="40" s="1"/>
  <c r="T303" i="40"/>
  <c r="T191" i="40"/>
  <c r="S200" i="40"/>
  <c r="S201" i="40"/>
  <c r="U209" i="40"/>
  <c r="CQ228" i="40"/>
  <c r="Z233" i="40"/>
  <c r="BZ238" i="40"/>
  <c r="CA238" i="40" s="1"/>
  <c r="W248" i="40"/>
  <c r="CQ255" i="40"/>
  <c r="CQ264" i="40"/>
  <c r="CQ281" i="40"/>
  <c r="BZ290" i="40"/>
  <c r="CR290" i="40" s="1"/>
  <c r="BZ5" i="40"/>
  <c r="BZ13" i="40"/>
  <c r="CR13" i="40" s="1"/>
  <c r="AW40" i="40"/>
  <c r="CQ59" i="40"/>
  <c r="CQ63" i="40"/>
  <c r="CQ67" i="40"/>
  <c r="CR6" i="40"/>
  <c r="CA14" i="40"/>
  <c r="S39" i="40"/>
  <c r="S46" i="40"/>
  <c r="W46" i="40"/>
  <c r="AU65" i="40"/>
  <c r="X76" i="40"/>
  <c r="Y76" i="40"/>
  <c r="W76" i="40"/>
  <c r="T76" i="40"/>
  <c r="X11" i="40"/>
  <c r="S11" i="40"/>
  <c r="AW15" i="40"/>
  <c r="T71" i="40"/>
  <c r="S71" i="40"/>
  <c r="S76" i="40"/>
  <c r="AX116" i="40"/>
  <c r="AU116" i="40"/>
  <c r="Y5" i="40"/>
  <c r="CA6" i="40"/>
  <c r="CS6" i="40" s="1"/>
  <c r="BZ7" i="40"/>
  <c r="CR7" i="40" s="1"/>
  <c r="AX15" i="40"/>
  <c r="S17" i="40"/>
  <c r="Y17" i="40"/>
  <c r="Y20" i="40"/>
  <c r="CQ20" i="40"/>
  <c r="Y21" i="40"/>
  <c r="V22" i="40"/>
  <c r="U23" i="40"/>
  <c r="CQ24" i="40"/>
  <c r="CQ28" i="40"/>
  <c r="U29" i="40"/>
  <c r="CQ34" i="40"/>
  <c r="T35" i="40"/>
  <c r="X38" i="40"/>
  <c r="V38" i="40"/>
  <c r="AU93" i="40"/>
  <c r="V8" i="40"/>
  <c r="X9" i="40"/>
  <c r="U9" i="40"/>
  <c r="V12" i="40"/>
  <c r="X18" i="40"/>
  <c r="Z18" i="40"/>
  <c r="Z20" i="40"/>
  <c r="Y23" i="40"/>
  <c r="V24" i="40"/>
  <c r="S31" i="40"/>
  <c r="U31" i="40"/>
  <c r="Y35" i="40"/>
  <c r="T39" i="40"/>
  <c r="W8" i="40"/>
  <c r="BZ9" i="40"/>
  <c r="BZ10" i="40"/>
  <c r="CR10" i="40" s="1"/>
  <c r="T11" i="40"/>
  <c r="W12" i="40"/>
  <c r="BZ16" i="40"/>
  <c r="CR16" i="40" s="1"/>
  <c r="Z23" i="40"/>
  <c r="Y24" i="40"/>
  <c r="CQ33" i="40"/>
  <c r="Z35" i="40"/>
  <c r="Z39" i="40"/>
  <c r="CQ68" i="40"/>
  <c r="AX115" i="40"/>
  <c r="AU115" i="40"/>
  <c r="X6" i="40"/>
  <c r="V6" i="40"/>
  <c r="Z8" i="40"/>
  <c r="CR8" i="40"/>
  <c r="T9" i="40"/>
  <c r="Y11" i="40"/>
  <c r="Z12" i="40"/>
  <c r="AU14" i="40"/>
  <c r="CQ16" i="40"/>
  <c r="V17" i="40"/>
  <c r="BZ22" i="40"/>
  <c r="CR22" i="40" s="1"/>
  <c r="CQ27" i="40"/>
  <c r="X30" i="40"/>
  <c r="U30" i="40"/>
  <c r="CQ30" i="40"/>
  <c r="U37" i="40"/>
  <c r="AU40" i="40"/>
  <c r="CQ41" i="40"/>
  <c r="S62" i="40"/>
  <c r="Z62" i="40"/>
  <c r="Y62" i="40"/>
  <c r="T62" i="40"/>
  <c r="BZ64" i="40"/>
  <c r="CR64" i="40" s="1"/>
  <c r="Z11" i="40"/>
  <c r="Y15" i="40"/>
  <c r="T15" i="40"/>
  <c r="X22" i="40"/>
  <c r="Y22" i="40"/>
  <c r="AV40" i="40"/>
  <c r="Y41" i="40"/>
  <c r="V41" i="40"/>
  <c r="T41" i="40"/>
  <c r="CQ85" i="40"/>
  <c r="CQ87" i="40"/>
  <c r="BZ88" i="40"/>
  <c r="AW119" i="40"/>
  <c r="T125" i="40"/>
  <c r="BZ137" i="40"/>
  <c r="CR137" i="40" s="1"/>
  <c r="CQ143" i="40"/>
  <c r="CA157" i="40"/>
  <c r="CB157" i="40" s="1"/>
  <c r="CQ159" i="40"/>
  <c r="AU168" i="40"/>
  <c r="AW172" i="40"/>
  <c r="X178" i="40"/>
  <c r="Y178" i="40"/>
  <c r="U178" i="40"/>
  <c r="X185" i="40"/>
  <c r="U185" i="40"/>
  <c r="U210" i="40"/>
  <c r="X222" i="40"/>
  <c r="W222" i="40"/>
  <c r="T222" i="40"/>
  <c r="X244" i="40"/>
  <c r="S244" i="40"/>
  <c r="Z244" i="40"/>
  <c r="Y244" i="40"/>
  <c r="T244" i="40"/>
  <c r="X127" i="40"/>
  <c r="T127" i="40"/>
  <c r="W127" i="40"/>
  <c r="AV161" i="40"/>
  <c r="S164" i="40"/>
  <c r="Z164" i="40"/>
  <c r="S166" i="40"/>
  <c r="U166" i="40"/>
  <c r="Z166" i="40"/>
  <c r="X177" i="40"/>
  <c r="S177" i="40"/>
  <c r="W177" i="40"/>
  <c r="U177" i="40"/>
  <c r="BZ236" i="40"/>
  <c r="CA236" i="40" s="1"/>
  <c r="CS236" i="40" s="1"/>
  <c r="CQ236" i="40"/>
  <c r="BZ11" i="40"/>
  <c r="CQ14" i="40"/>
  <c r="CR15" i="40"/>
  <c r="AW22" i="40"/>
  <c r="CQ29" i="40"/>
  <c r="CQ37" i="40"/>
  <c r="W44" i="40"/>
  <c r="Y48" i="40"/>
  <c r="W54" i="40"/>
  <c r="Z64" i="40"/>
  <c r="T66" i="40"/>
  <c r="Y67" i="40"/>
  <c r="S72" i="40"/>
  <c r="CQ73" i="40"/>
  <c r="BZ84" i="40"/>
  <c r="CR84" i="40" s="1"/>
  <c r="V86" i="40"/>
  <c r="BZ86" i="40"/>
  <c r="CR86" i="40" s="1"/>
  <c r="BZ92" i="40"/>
  <c r="CR92" i="40" s="1"/>
  <c r="U94" i="40"/>
  <c r="T95" i="40"/>
  <c r="T97" i="40"/>
  <c r="V99" i="40"/>
  <c r="CQ99" i="40"/>
  <c r="S100" i="40"/>
  <c r="BZ100" i="40"/>
  <c r="CA100" i="40" s="1"/>
  <c r="S107" i="40"/>
  <c r="BZ108" i="40"/>
  <c r="T117" i="40"/>
  <c r="W125" i="40"/>
  <c r="X131" i="40"/>
  <c r="U131" i="40"/>
  <c r="Y131" i="40"/>
  <c r="CQ133" i="40"/>
  <c r="CQ138" i="40"/>
  <c r="BZ148" i="40"/>
  <c r="CR157" i="40"/>
  <c r="BZ159" i="40"/>
  <c r="CR159" i="40" s="1"/>
  <c r="CQ163" i="40"/>
  <c r="Y164" i="40"/>
  <c r="AW168" i="40"/>
  <c r="W169" i="40"/>
  <c r="X170" i="40"/>
  <c r="U170" i="40"/>
  <c r="X175" i="40"/>
  <c r="W175" i="40"/>
  <c r="W178" i="40"/>
  <c r="CQ184" i="40"/>
  <c r="X187" i="40"/>
  <c r="U187" i="40"/>
  <c r="S187" i="40"/>
  <c r="W187" i="40"/>
  <c r="V187" i="40"/>
  <c r="Z203" i="40"/>
  <c r="Y203" i="40"/>
  <c r="W203" i="40"/>
  <c r="U203" i="40"/>
  <c r="S203" i="40"/>
  <c r="BZ249" i="40"/>
  <c r="CR249" i="40" s="1"/>
  <c r="CQ39" i="40"/>
  <c r="Y44" i="40"/>
  <c r="Z48" i="40"/>
  <c r="BZ50" i="40"/>
  <c r="CR50" i="40" s="1"/>
  <c r="Z54" i="40"/>
  <c r="BZ56" i="40"/>
  <c r="CR56" i="40" s="1"/>
  <c r="CQ61" i="40"/>
  <c r="CR65" i="40"/>
  <c r="V66" i="40"/>
  <c r="BZ70" i="40"/>
  <c r="T72" i="40"/>
  <c r="CQ75" i="40"/>
  <c r="CQ77" i="40"/>
  <c r="Z78" i="40"/>
  <c r="BZ82" i="40"/>
  <c r="CA82" i="40" s="1"/>
  <c r="CS82" i="40" s="1"/>
  <c r="S85" i="40"/>
  <c r="S87" i="40"/>
  <c r="CQ88" i="40"/>
  <c r="S93" i="40"/>
  <c r="U95" i="40"/>
  <c r="Y96" i="40"/>
  <c r="CR96" i="40"/>
  <c r="U97" i="40"/>
  <c r="U100" i="40"/>
  <c r="S101" i="40"/>
  <c r="BZ104" i="40"/>
  <c r="CR104" i="40" s="1"/>
  <c r="CQ105" i="40"/>
  <c r="T107" i="40"/>
  <c r="S109" i="40"/>
  <c r="BZ113" i="40"/>
  <c r="CR113" i="40" s="1"/>
  <c r="T114" i="40"/>
  <c r="S120" i="40"/>
  <c r="U127" i="40"/>
  <c r="X132" i="40"/>
  <c r="T132" i="40"/>
  <c r="X136" i="40"/>
  <c r="Y136" i="40"/>
  <c r="CQ137" i="40"/>
  <c r="BZ145" i="40"/>
  <c r="CR145" i="40" s="1"/>
  <c r="X156" i="40"/>
  <c r="V156" i="40"/>
  <c r="BZ161" i="40"/>
  <c r="CA161" i="40" s="1"/>
  <c r="CS161" i="40" s="1"/>
  <c r="AV163" i="40"/>
  <c r="CQ165" i="40"/>
  <c r="T166" i="40"/>
  <c r="BZ166" i="40"/>
  <c r="AW169" i="40"/>
  <c r="X176" i="40"/>
  <c r="V176" i="40"/>
  <c r="Y176" i="40"/>
  <c r="T177" i="40"/>
  <c r="Z178" i="40"/>
  <c r="AX196" i="40"/>
  <c r="U84" i="40"/>
  <c r="Z86" i="40"/>
  <c r="BZ91" i="40"/>
  <c r="W93" i="40"/>
  <c r="V95" i="40"/>
  <c r="CQ96" i="40"/>
  <c r="Y99" i="40"/>
  <c r="U101" i="40"/>
  <c r="CQ101" i="40"/>
  <c r="BZ102" i="40"/>
  <c r="CR102" i="40" s="1"/>
  <c r="CQ103" i="40"/>
  <c r="CQ106" i="40"/>
  <c r="V107" i="40"/>
  <c r="CQ107" i="40"/>
  <c r="U109" i="40"/>
  <c r="CQ109" i="40"/>
  <c r="BZ110" i="40"/>
  <c r="CR110" i="40" s="1"/>
  <c r="U114" i="40"/>
  <c r="V117" i="40"/>
  <c r="AW118" i="40"/>
  <c r="U120" i="40"/>
  <c r="BZ123" i="40"/>
  <c r="CQ130" i="40"/>
  <c r="S132" i="40"/>
  <c r="CQ136" i="40"/>
  <c r="CQ147" i="40"/>
  <c r="X150" i="40"/>
  <c r="Z154" i="40"/>
  <c r="BZ163" i="40"/>
  <c r="CA163" i="40" s="1"/>
  <c r="Y166" i="40"/>
  <c r="V177" i="40"/>
  <c r="CQ186" i="40"/>
  <c r="BZ194" i="40"/>
  <c r="Z211" i="40"/>
  <c r="T211" i="40"/>
  <c r="U227" i="40"/>
  <c r="S227" i="40"/>
  <c r="BZ46" i="40"/>
  <c r="CR46" i="40" s="1"/>
  <c r="CQ49" i="40"/>
  <c r="BZ52" i="40"/>
  <c r="CR52" i="40" s="1"/>
  <c r="CQ55" i="40"/>
  <c r="Y72" i="40"/>
  <c r="BZ76" i="40"/>
  <c r="CR76" i="40" s="1"/>
  <c r="CQ79" i="40"/>
  <c r="CQ89" i="40"/>
  <c r="BZ90" i="40"/>
  <c r="V101" i="40"/>
  <c r="W107" i="40"/>
  <c r="V109" i="40"/>
  <c r="W114" i="40"/>
  <c r="AW117" i="40"/>
  <c r="V120" i="40"/>
  <c r="X129" i="40"/>
  <c r="U129" i="40"/>
  <c r="BZ135" i="40"/>
  <c r="CA135" i="40" s="1"/>
  <c r="CB135" i="40" s="1"/>
  <c r="CQ135" i="40"/>
  <c r="X172" i="40"/>
  <c r="S172" i="40"/>
  <c r="Y177" i="40"/>
  <c r="X183" i="40"/>
  <c r="Z183" i="40"/>
  <c r="V199" i="40"/>
  <c r="U199" i="40"/>
  <c r="AX255" i="40"/>
  <c r="AV255" i="40"/>
  <c r="Z72" i="40"/>
  <c r="Y77" i="40"/>
  <c r="CQ81" i="40"/>
  <c r="CQ82" i="40"/>
  <c r="S90" i="40"/>
  <c r="V103" i="40"/>
  <c r="CQ104" i="40"/>
  <c r="Y107" i="40"/>
  <c r="W109" i="40"/>
  <c r="V111" i="40"/>
  <c r="W112" i="40"/>
  <c r="Z114" i="40"/>
  <c r="U115" i="40"/>
  <c r="Y117" i="40"/>
  <c r="BZ117" i="40"/>
  <c r="CA117" i="40" s="1"/>
  <c r="CB117" i="40" s="1"/>
  <c r="AU119" i="40"/>
  <c r="W120" i="40"/>
  <c r="U123" i="40"/>
  <c r="BZ129" i="40"/>
  <c r="CA129" i="40" s="1"/>
  <c r="CB129" i="40" s="1"/>
  <c r="V132" i="40"/>
  <c r="CQ132" i="40"/>
  <c r="X134" i="40"/>
  <c r="W134" i="40"/>
  <c r="CQ134" i="40"/>
  <c r="V136" i="40"/>
  <c r="CQ149" i="40"/>
  <c r="X173" i="40"/>
  <c r="W173" i="40"/>
  <c r="X202" i="40"/>
  <c r="V202" i="40"/>
  <c r="S202" i="40"/>
  <c r="CQ51" i="40"/>
  <c r="CQ57" i="40"/>
  <c r="BZ60" i="40"/>
  <c r="BF65" i="40"/>
  <c r="BN65" i="40" s="1"/>
  <c r="BZ74" i="40"/>
  <c r="BZ80" i="40"/>
  <c r="BZ98" i="40"/>
  <c r="CR98" i="40" s="1"/>
  <c r="Y111" i="40"/>
  <c r="Y112" i="40"/>
  <c r="CR112" i="40"/>
  <c r="V115" i="40"/>
  <c r="Z120" i="40"/>
  <c r="BZ125" i="40"/>
  <c r="CQ128" i="40"/>
  <c r="T129" i="40"/>
  <c r="AV141" i="40"/>
  <c r="X146" i="40"/>
  <c r="U146" i="40"/>
  <c r="BZ146" i="40"/>
  <c r="CR146" i="40" s="1"/>
  <c r="CQ151" i="40"/>
  <c r="X155" i="40"/>
  <c r="Y155" i="40"/>
  <c r="CQ157" i="40"/>
  <c r="X169" i="40"/>
  <c r="V169" i="40"/>
  <c r="S169" i="40"/>
  <c r="U172" i="40"/>
  <c r="AW173" i="40"/>
  <c r="X182" i="40"/>
  <c r="Y182" i="40"/>
  <c r="V182" i="40"/>
  <c r="CQ182" i="40"/>
  <c r="W202" i="40"/>
  <c r="AW253" i="40"/>
  <c r="AW194" i="40"/>
  <c r="CQ198" i="40"/>
  <c r="CQ202" i="40"/>
  <c r="CQ212" i="40"/>
  <c r="T235" i="40"/>
  <c r="Y235" i="40"/>
  <c r="AW247" i="40"/>
  <c r="Z254" i="40"/>
  <c r="T254" i="40"/>
  <c r="AU139" i="40"/>
  <c r="AU140" i="40"/>
  <c r="AW148" i="40"/>
  <c r="AW163" i="40"/>
  <c r="V171" i="40"/>
  <c r="BZ171" i="40"/>
  <c r="CA171" i="40" s="1"/>
  <c r="V179" i="40"/>
  <c r="V180" i="40"/>
  <c r="CQ180" i="40"/>
  <c r="CQ188" i="40"/>
  <c r="BZ193" i="40"/>
  <c r="CR193" i="40" s="1"/>
  <c r="AX194" i="40"/>
  <c r="U197" i="40"/>
  <c r="V200" i="40"/>
  <c r="CQ200" i="40"/>
  <c r="Z206" i="40"/>
  <c r="CQ215" i="40"/>
  <c r="AU218" i="40"/>
  <c r="CQ224" i="40"/>
  <c r="AX233" i="40"/>
  <c r="AU233" i="40"/>
  <c r="CQ234" i="40"/>
  <c r="T241" i="40"/>
  <c r="Z241" i="40"/>
  <c r="Y247" i="40"/>
  <c r="AV253" i="40"/>
  <c r="Z262" i="40"/>
  <c r="Y262" i="40"/>
  <c r="AX266" i="40"/>
  <c r="AW266" i="40"/>
  <c r="AW268" i="40"/>
  <c r="AV268" i="40"/>
  <c r="AV270" i="40"/>
  <c r="CA167" i="40"/>
  <c r="AU170" i="40"/>
  <c r="CQ171" i="40"/>
  <c r="Z179" i="40"/>
  <c r="U191" i="40"/>
  <c r="W193" i="40"/>
  <c r="CQ193" i="40"/>
  <c r="AU208" i="40"/>
  <c r="CQ214" i="40"/>
  <c r="AW218" i="40"/>
  <c r="X250" i="40"/>
  <c r="S250" i="40"/>
  <c r="Y252" i="40"/>
  <c r="W252" i="40"/>
  <c r="V252" i="40"/>
  <c r="Z256" i="40"/>
  <c r="T256" i="40"/>
  <c r="AV266" i="40"/>
  <c r="V191" i="40"/>
  <c r="AX207" i="40"/>
  <c r="AV208" i="40"/>
  <c r="AV210" i="40"/>
  <c r="U215" i="40"/>
  <c r="AV219" i="40"/>
  <c r="V232" i="40"/>
  <c r="W232" i="40"/>
  <c r="Z234" i="40"/>
  <c r="BZ234" i="40"/>
  <c r="CQ235" i="40"/>
  <c r="W241" i="40"/>
  <c r="T250" i="40"/>
  <c r="Z260" i="40"/>
  <c r="U260" i="40"/>
  <c r="CQ178" i="40"/>
  <c r="W181" i="40"/>
  <c r="BZ183" i="40"/>
  <c r="U184" i="40"/>
  <c r="Y186" i="40"/>
  <c r="Z191" i="40"/>
  <c r="CQ191" i="40"/>
  <c r="AU195" i="40"/>
  <c r="CQ204" i="40"/>
  <c r="T206" i="40"/>
  <c r="AW219" i="40"/>
  <c r="AU220" i="40"/>
  <c r="T221" i="40"/>
  <c r="S221" i="40"/>
  <c r="U229" i="40"/>
  <c r="S229" i="40"/>
  <c r="AU231" i="40"/>
  <c r="BZ233" i="40"/>
  <c r="CA233" i="40" s="1"/>
  <c r="X243" i="40"/>
  <c r="Z250" i="40"/>
  <c r="BZ251" i="40"/>
  <c r="S252" i="40"/>
  <c r="U256" i="40"/>
  <c r="AV259" i="40"/>
  <c r="CQ126" i="40"/>
  <c r="BZ127" i="40"/>
  <c r="CR127" i="40" s="1"/>
  <c r="BZ131" i="40"/>
  <c r="CR131" i="40" s="1"/>
  <c r="Y133" i="40"/>
  <c r="Y138" i="40"/>
  <c r="BZ142" i="40"/>
  <c r="CA142" i="40" s="1"/>
  <c r="AV143" i="40"/>
  <c r="W145" i="40"/>
  <c r="W152" i="40"/>
  <c r="CA165" i="40"/>
  <c r="CS165" i="40" s="1"/>
  <c r="S171" i="40"/>
  <c r="BZ173" i="40"/>
  <c r="AW175" i="40"/>
  <c r="CQ176" i="40"/>
  <c r="T179" i="40"/>
  <c r="W184" i="40"/>
  <c r="T200" i="40"/>
  <c r="V206" i="40"/>
  <c r="CA206" i="40"/>
  <c r="CS206" i="40" s="1"/>
  <c r="U207" i="40"/>
  <c r="AX209" i="40"/>
  <c r="U217" i="40"/>
  <c r="BZ220" i="40"/>
  <c r="CR220" i="40" s="1"/>
  <c r="U225" i="40"/>
  <c r="T225" i="40"/>
  <c r="T239" i="40"/>
  <c r="Y239" i="40"/>
  <c r="X240" i="40"/>
  <c r="Z240" i="40"/>
  <c r="U240" i="40"/>
  <c r="CQ247" i="40"/>
  <c r="AU261" i="40"/>
  <c r="CQ271" i="40"/>
  <c r="U272" i="40"/>
  <c r="AV281" i="40"/>
  <c r="T288" i="40"/>
  <c r="AU288" i="40"/>
  <c r="T290" i="40"/>
  <c r="AV310" i="40"/>
  <c r="BZ222" i="40"/>
  <c r="CR222" i="40" s="1"/>
  <c r="CQ223" i="40"/>
  <c r="S233" i="40"/>
  <c r="U245" i="40"/>
  <c r="BZ247" i="40"/>
  <c r="CA247" i="40" s="1"/>
  <c r="CS247" i="40" s="1"/>
  <c r="CQ249" i="40"/>
  <c r="T271" i="40"/>
  <c r="AV277" i="40"/>
  <c r="AX287" i="40"/>
  <c r="U288" i="40"/>
  <c r="U290" i="40"/>
  <c r="Y291" i="40"/>
  <c r="W292" i="40"/>
  <c r="BZ292" i="40"/>
  <c r="CR292" i="40" s="1"/>
  <c r="CQ295" i="40"/>
  <c r="CQ297" i="40"/>
  <c r="S300" i="40"/>
  <c r="U303" i="40"/>
  <c r="BZ303" i="40"/>
  <c r="CR303" i="40" s="1"/>
  <c r="U315" i="40"/>
  <c r="BZ231" i="40"/>
  <c r="U233" i="40"/>
  <c r="CQ242" i="40"/>
  <c r="V245" i="40"/>
  <c r="AW245" i="40"/>
  <c r="S248" i="40"/>
  <c r="CQ252" i="40"/>
  <c r="CQ253" i="40"/>
  <c r="CQ260" i="40"/>
  <c r="U271" i="40"/>
  <c r="S280" i="40"/>
  <c r="CQ283" i="40"/>
  <c r="CQ285" i="40"/>
  <c r="S286" i="40"/>
  <c r="CQ286" i="40"/>
  <c r="W288" i="40"/>
  <c r="AW288" i="40"/>
  <c r="Y290" i="40"/>
  <c r="Y292" i="40"/>
  <c r="CQ299" i="40"/>
  <c r="V303" i="40"/>
  <c r="CQ308" i="40"/>
  <c r="CQ309" i="40"/>
  <c r="AW317" i="40"/>
  <c r="X257" i="40"/>
  <c r="CQ257" i="40"/>
  <c r="T269" i="40"/>
  <c r="AW269" i="40"/>
  <c r="Y271" i="40"/>
  <c r="AV273" i="40"/>
  <c r="BZ273" i="40"/>
  <c r="T274" i="40"/>
  <c r="V280" i="40"/>
  <c r="T286" i="40"/>
  <c r="BZ286" i="40"/>
  <c r="Y288" i="40"/>
  <c r="CQ293" i="40"/>
  <c r="AW294" i="40"/>
  <c r="Y303" i="40"/>
  <c r="AV316" i="40"/>
  <c r="BZ317" i="40"/>
  <c r="CA317" i="40" s="1"/>
  <c r="CS317" i="40" s="1"/>
  <c r="W280" i="40"/>
  <c r="CQ280" i="40"/>
  <c r="W286" i="40"/>
  <c r="AX294" i="40"/>
  <c r="AW301" i="40"/>
  <c r="Z303" i="40"/>
  <c r="Z314" i="40"/>
  <c r="AW316" i="40"/>
  <c r="AX274" i="40"/>
  <c r="BZ278" i="40"/>
  <c r="CQ282" i="40"/>
  <c r="Y286" i="40"/>
  <c r="BZ307" i="40"/>
  <c r="CR307" i="40" s="1"/>
  <c r="CQ311" i="40"/>
  <c r="CQ313" i="40"/>
  <c r="CQ251" i="40"/>
  <c r="CQ291" i="40"/>
  <c r="AX259" i="40"/>
  <c r="CQ259" i="40"/>
  <c r="AW261" i="40"/>
  <c r="S282" i="40"/>
  <c r="BZ284" i="40"/>
  <c r="S291" i="40"/>
  <c r="S303" i="40"/>
  <c r="CQ304" i="40"/>
  <c r="CR311" i="40"/>
  <c r="AW312" i="40"/>
  <c r="U313" i="40"/>
  <c r="CQ318" i="40"/>
  <c r="U319" i="40"/>
  <c r="V68" i="40"/>
  <c r="X82" i="40"/>
  <c r="T82" i="40"/>
  <c r="V82" i="40"/>
  <c r="T5" i="40"/>
  <c r="Z6" i="40"/>
  <c r="W7" i="40"/>
  <c r="U8" i="40"/>
  <c r="S9" i="40"/>
  <c r="Z10" i="40"/>
  <c r="W11" i="40"/>
  <c r="U12" i="40"/>
  <c r="Z13" i="40"/>
  <c r="Y14" i="40"/>
  <c r="Y18" i="40"/>
  <c r="V19" i="40"/>
  <c r="V21" i="40"/>
  <c r="V23" i="40"/>
  <c r="Y25" i="40"/>
  <c r="Y27" i="40"/>
  <c r="Y28" i="40"/>
  <c r="T29" i="40"/>
  <c r="Z33" i="40"/>
  <c r="U35" i="40"/>
  <c r="Y36" i="40"/>
  <c r="T37" i="40"/>
  <c r="Z44" i="40"/>
  <c r="W50" i="40"/>
  <c r="Y56" i="40"/>
  <c r="T60" i="40"/>
  <c r="U66" i="40"/>
  <c r="U68" i="40"/>
  <c r="S70" i="40"/>
  <c r="T74" i="40"/>
  <c r="V76" i="40"/>
  <c r="Y78" i="40"/>
  <c r="Y79" i="40"/>
  <c r="U82" i="40"/>
  <c r="X93" i="40"/>
  <c r="V93" i="40"/>
  <c r="S97" i="40"/>
  <c r="T98" i="40"/>
  <c r="S98" i="40"/>
  <c r="T103" i="40"/>
  <c r="X105" i="40"/>
  <c r="V105" i="40"/>
  <c r="X122" i="40"/>
  <c r="W122" i="40"/>
  <c r="V122" i="40"/>
  <c r="U122" i="40"/>
  <c r="T122" i="40"/>
  <c r="S122" i="40"/>
  <c r="V5" i="40"/>
  <c r="Z19" i="40"/>
  <c r="Z21" i="40"/>
  <c r="V26" i="40"/>
  <c r="V29" i="40"/>
  <c r="Z37" i="40"/>
  <c r="Z50" i="40"/>
  <c r="W68" i="40"/>
  <c r="U70" i="40"/>
  <c r="V74" i="40"/>
  <c r="W82" i="40"/>
  <c r="T106" i="40"/>
  <c r="S106" i="40"/>
  <c r="X139" i="40"/>
  <c r="Y139" i="40"/>
  <c r="W139" i="40"/>
  <c r="V139" i="40"/>
  <c r="U139" i="40"/>
  <c r="T139" i="40"/>
  <c r="S139" i="40"/>
  <c r="X198" i="40"/>
  <c r="W198" i="40"/>
  <c r="T198" i="40"/>
  <c r="S198" i="40"/>
  <c r="Y198" i="40"/>
  <c r="Z198" i="40"/>
  <c r="V198" i="40"/>
  <c r="U198" i="40"/>
  <c r="W5" i="40"/>
  <c r="Y8" i="40"/>
  <c r="V9" i="40"/>
  <c r="Y12" i="40"/>
  <c r="S13" i="40"/>
  <c r="U15" i="40"/>
  <c r="U17" i="40"/>
  <c r="V20" i="40"/>
  <c r="U24" i="40"/>
  <c r="Y26" i="40"/>
  <c r="Y29" i="40"/>
  <c r="Y30" i="40"/>
  <c r="T31" i="40"/>
  <c r="U32" i="40"/>
  <c r="U39" i="40"/>
  <c r="V40" i="40"/>
  <c r="W41" i="40"/>
  <c r="P43" i="40"/>
  <c r="W48" i="40"/>
  <c r="Y54" i="40"/>
  <c r="T58" i="40"/>
  <c r="Z60" i="40"/>
  <c r="Y66" i="40"/>
  <c r="Y68" i="40"/>
  <c r="V70" i="40"/>
  <c r="U72" i="40"/>
  <c r="W74" i="40"/>
  <c r="S75" i="40"/>
  <c r="Z76" i="40"/>
  <c r="S78" i="40"/>
  <c r="X80" i="40"/>
  <c r="S80" i="40"/>
  <c r="V80" i="40"/>
  <c r="Z82" i="40"/>
  <c r="Y83" i="40"/>
  <c r="S84" i="40"/>
  <c r="S89" i="40"/>
  <c r="U90" i="40"/>
  <c r="T93" i="40"/>
  <c r="W97" i="40"/>
  <c r="W98" i="40"/>
  <c r="T100" i="40"/>
  <c r="Y100" i="40"/>
  <c r="T105" i="40"/>
  <c r="Z122" i="40"/>
  <c r="X130" i="40"/>
  <c r="W130" i="40"/>
  <c r="V130" i="40"/>
  <c r="U130" i="40"/>
  <c r="T130" i="40"/>
  <c r="S130" i="40"/>
  <c r="S160" i="40"/>
  <c r="Z160" i="40"/>
  <c r="Y160" i="40"/>
  <c r="V160" i="40"/>
  <c r="U160" i="40"/>
  <c r="T160" i="40"/>
  <c r="X113" i="40"/>
  <c r="W113" i="40"/>
  <c r="V113" i="40"/>
  <c r="T113" i="40"/>
  <c r="U10" i="40"/>
  <c r="T13" i="40"/>
  <c r="Z29" i="40"/>
  <c r="V32" i="40"/>
  <c r="Y40" i="40"/>
  <c r="T43" i="40"/>
  <c r="T46" i="40"/>
  <c r="T52" i="40"/>
  <c r="W58" i="40"/>
  <c r="Z66" i="40"/>
  <c r="V67" i="40"/>
  <c r="Z68" i="40"/>
  <c r="W70" i="40"/>
  <c r="V72" i="40"/>
  <c r="Y74" i="40"/>
  <c r="Y75" i="40"/>
  <c r="T78" i="40"/>
  <c r="W80" i="40"/>
  <c r="X88" i="40"/>
  <c r="Z88" i="40"/>
  <c r="T88" i="40"/>
  <c r="W88" i="40"/>
  <c r="S91" i="40"/>
  <c r="U93" i="40"/>
  <c r="Y98" i="40"/>
  <c r="X101" i="40"/>
  <c r="T101" i="40"/>
  <c r="Y101" i="40"/>
  <c r="U105" i="40"/>
  <c r="U106" i="40"/>
  <c r="U113" i="40"/>
  <c r="X128" i="40"/>
  <c r="W128" i="40"/>
  <c r="V128" i="40"/>
  <c r="U128" i="40"/>
  <c r="T128" i="40"/>
  <c r="S128" i="40"/>
  <c r="Z139" i="40"/>
  <c r="X190" i="40"/>
  <c r="W190" i="40"/>
  <c r="S190" i="40"/>
  <c r="Z190" i="40"/>
  <c r="Y190" i="40"/>
  <c r="V190" i="40"/>
  <c r="U190" i="40"/>
  <c r="U74" i="40"/>
  <c r="Y168" i="40"/>
  <c r="X168" i="40"/>
  <c r="W168" i="40"/>
  <c r="V168" i="40"/>
  <c r="Z5" i="40"/>
  <c r="V10" i="40"/>
  <c r="U13" i="40"/>
  <c r="M21" i="40"/>
  <c r="T27" i="40"/>
  <c r="Y32" i="40"/>
  <c r="T33" i="40"/>
  <c r="Y58" i="40"/>
  <c r="S69" i="40"/>
  <c r="Y70" i="40"/>
  <c r="Z74" i="40"/>
  <c r="U78" i="40"/>
  <c r="T96" i="40"/>
  <c r="U96" i="40"/>
  <c r="T108" i="40"/>
  <c r="Y108" i="40"/>
  <c r="Y113" i="40"/>
  <c r="X118" i="40"/>
  <c r="W118" i="40"/>
  <c r="V118" i="40"/>
  <c r="U118" i="40"/>
  <c r="T118" i="40"/>
  <c r="S118" i="40"/>
  <c r="X126" i="40"/>
  <c r="W126" i="40"/>
  <c r="V126" i="40"/>
  <c r="U126" i="40"/>
  <c r="T126" i="40"/>
  <c r="S126" i="40"/>
  <c r="S162" i="40"/>
  <c r="Z162" i="40"/>
  <c r="Y162" i="40"/>
  <c r="V162" i="40"/>
  <c r="U162" i="40"/>
  <c r="T162" i="40"/>
  <c r="W218" i="40"/>
  <c r="U218" i="40"/>
  <c r="X218" i="40"/>
  <c r="Y218" i="40"/>
  <c r="V218" i="40"/>
  <c r="Z27" i="40"/>
  <c r="W6" i="40"/>
  <c r="U7" i="40"/>
  <c r="Z9" i="40"/>
  <c r="W10" i="40"/>
  <c r="U11" i="40"/>
  <c r="V13" i="40"/>
  <c r="U14" i="40"/>
  <c r="Z17" i="40"/>
  <c r="U18" i="40"/>
  <c r="T19" i="40"/>
  <c r="T21" i="40"/>
  <c r="T23" i="40"/>
  <c r="Z24" i="40"/>
  <c r="U25" i="40"/>
  <c r="U27" i="40"/>
  <c r="U28" i="40"/>
  <c r="Z31" i="40"/>
  <c r="U33" i="40"/>
  <c r="V34" i="40"/>
  <c r="X45" i="40"/>
  <c r="Y46" i="40"/>
  <c r="Y52" i="40"/>
  <c r="T56" i="40"/>
  <c r="Z58" i="40"/>
  <c r="S68" i="40"/>
  <c r="V69" i="40"/>
  <c r="Z70" i="40"/>
  <c r="V78" i="40"/>
  <c r="X84" i="40"/>
  <c r="V84" i="40"/>
  <c r="W84" i="40"/>
  <c r="X90" i="40"/>
  <c r="T90" i="40"/>
  <c r="Z90" i="40"/>
  <c r="X97" i="40"/>
  <c r="V97" i="40"/>
  <c r="X103" i="40"/>
  <c r="W103" i="40"/>
  <c r="S103" i="40"/>
  <c r="Y105" i="40"/>
  <c r="Y106" i="40"/>
  <c r="X116" i="40"/>
  <c r="T116" i="40"/>
  <c r="S116" i="40"/>
  <c r="Z116" i="40"/>
  <c r="Y116" i="40"/>
  <c r="W116" i="40"/>
  <c r="X124" i="40"/>
  <c r="W124" i="40"/>
  <c r="V124" i="40"/>
  <c r="U124" i="40"/>
  <c r="T124" i="40"/>
  <c r="S124" i="40"/>
  <c r="X174" i="40"/>
  <c r="W174" i="40"/>
  <c r="V174" i="40"/>
  <c r="U174" i="40"/>
  <c r="S174" i="40"/>
  <c r="Z174" i="40"/>
  <c r="X148" i="40"/>
  <c r="Y148" i="40"/>
  <c r="W148" i="40"/>
  <c r="V148" i="40"/>
  <c r="U148" i="40"/>
  <c r="T148" i="40"/>
  <c r="S148" i="40"/>
  <c r="S5" i="40"/>
  <c r="V7" i="40"/>
  <c r="Y10" i="40"/>
  <c r="V11" i="40"/>
  <c r="Y13" i="40"/>
  <c r="V18" i="40"/>
  <c r="U19" i="40"/>
  <c r="U21" i="40"/>
  <c r="V25" i="40"/>
  <c r="V27" i="40"/>
  <c r="V28" i="40"/>
  <c r="Y33" i="40"/>
  <c r="Y34" i="40"/>
  <c r="V36" i="40"/>
  <c r="S41" i="40"/>
  <c r="Z46" i="40"/>
  <c r="T50" i="40"/>
  <c r="Z52" i="40"/>
  <c r="W56" i="40"/>
  <c r="T68" i="40"/>
  <c r="Y69" i="40"/>
  <c r="S74" i="40"/>
  <c r="U76" i="40"/>
  <c r="W78" i="40"/>
  <c r="S79" i="40"/>
  <c r="S82" i="40"/>
  <c r="Z84" i="40"/>
  <c r="T94" i="40"/>
  <c r="Y94" i="40"/>
  <c r="S96" i="40"/>
  <c r="T104" i="40"/>
  <c r="U104" i="40"/>
  <c r="S108" i="40"/>
  <c r="Y118" i="40"/>
  <c r="Y126" i="40"/>
  <c r="W95" i="40"/>
  <c r="U99" i="40"/>
  <c r="W102" i="40"/>
  <c r="T109" i="40"/>
  <c r="W111" i="40"/>
  <c r="U112" i="40"/>
  <c r="V114" i="40"/>
  <c r="Y115" i="40"/>
  <c r="Z117" i="40"/>
  <c r="T119" i="40"/>
  <c r="T120" i="40"/>
  <c r="W121" i="40"/>
  <c r="V123" i="40"/>
  <c r="V125" i="40"/>
  <c r="V127" i="40"/>
  <c r="V129" i="40"/>
  <c r="V131" i="40"/>
  <c r="Z132" i="40"/>
  <c r="U133" i="40"/>
  <c r="Y134" i="40"/>
  <c r="T135" i="40"/>
  <c r="W136" i="40"/>
  <c r="S137" i="40"/>
  <c r="V138" i="40"/>
  <c r="T145" i="40"/>
  <c r="W146" i="40"/>
  <c r="T150" i="40"/>
  <c r="Y151" i="40"/>
  <c r="U152" i="40"/>
  <c r="W156" i="40"/>
  <c r="U169" i="40"/>
  <c r="T171" i="40"/>
  <c r="V172" i="40"/>
  <c r="Y173" i="40"/>
  <c r="U175" i="40"/>
  <c r="Z176" i="40"/>
  <c r="Z180" i="40"/>
  <c r="Z182" i="40"/>
  <c r="S183" i="40"/>
  <c r="Y184" i="40"/>
  <c r="T185" i="40"/>
  <c r="V193" i="40"/>
  <c r="S194" i="40"/>
  <c r="Y195" i="40"/>
  <c r="S195" i="40"/>
  <c r="Z199" i="40"/>
  <c r="Y199" i="40"/>
  <c r="W199" i="40"/>
  <c r="S199" i="40"/>
  <c r="W123" i="40"/>
  <c r="Z134" i="40"/>
  <c r="T137" i="40"/>
  <c r="Y146" i="40"/>
  <c r="S154" i="40"/>
  <c r="Y156" i="40"/>
  <c r="Y157" i="40"/>
  <c r="Z173" i="40"/>
  <c r="T183" i="40"/>
  <c r="X186" i="40"/>
  <c r="V186" i="40"/>
  <c r="X204" i="40"/>
  <c r="U204" i="40"/>
  <c r="Z204" i="40"/>
  <c r="V204" i="40"/>
  <c r="S205" i="40"/>
  <c r="Y205" i="40"/>
  <c r="U205" i="40"/>
  <c r="Y114" i="40"/>
  <c r="Z121" i="40"/>
  <c r="Y123" i="40"/>
  <c r="Y125" i="40"/>
  <c r="Y127" i="40"/>
  <c r="Y129" i="40"/>
  <c r="V135" i="40"/>
  <c r="Z136" i="40"/>
  <c r="U137" i="40"/>
  <c r="W143" i="40"/>
  <c r="Z146" i="40"/>
  <c r="U147" i="40"/>
  <c r="T154" i="40"/>
  <c r="Z156" i="40"/>
  <c r="T158" i="40"/>
  <c r="U183" i="40"/>
  <c r="V185" i="40"/>
  <c r="X188" i="40"/>
  <c r="S188" i="40"/>
  <c r="X191" i="40"/>
  <c r="W191" i="40"/>
  <c r="S196" i="40"/>
  <c r="X211" i="40"/>
  <c r="Y211" i="40"/>
  <c r="V211" i="40"/>
  <c r="U211" i="40"/>
  <c r="Z123" i="40"/>
  <c r="Z125" i="40"/>
  <c r="Z127" i="40"/>
  <c r="Z129" i="40"/>
  <c r="Z131" i="40"/>
  <c r="S134" i="40"/>
  <c r="W135" i="40"/>
  <c r="V137" i="40"/>
  <c r="Z138" i="40"/>
  <c r="U140" i="40"/>
  <c r="T141" i="40"/>
  <c r="Y145" i="40"/>
  <c r="W150" i="40"/>
  <c r="Y152" i="40"/>
  <c r="U154" i="40"/>
  <c r="U158" i="40"/>
  <c r="T164" i="40"/>
  <c r="Y167" i="40"/>
  <c r="W171" i="40"/>
  <c r="Z172" i="40"/>
  <c r="S173" i="40"/>
  <c r="S176" i="40"/>
  <c r="S180" i="40"/>
  <c r="V183" i="40"/>
  <c r="W185" i="40"/>
  <c r="U196" i="40"/>
  <c r="S204" i="40"/>
  <c r="V205" i="40"/>
  <c r="X215" i="40"/>
  <c r="S215" i="40"/>
  <c r="Z215" i="40"/>
  <c r="Y215" i="40"/>
  <c r="T215" i="40"/>
  <c r="U86" i="40"/>
  <c r="N93" i="40"/>
  <c r="S95" i="40"/>
  <c r="U107" i="40"/>
  <c r="Y109" i="40"/>
  <c r="W110" i="40"/>
  <c r="S111" i="40"/>
  <c r="T115" i="40"/>
  <c r="Y119" i="40"/>
  <c r="Y120" i="40"/>
  <c r="S121" i="40"/>
  <c r="Z133" i="40"/>
  <c r="T134" i="40"/>
  <c r="Y135" i="40"/>
  <c r="S136" i="40"/>
  <c r="W137" i="40"/>
  <c r="X140" i="40"/>
  <c r="U141" i="40"/>
  <c r="S146" i="40"/>
  <c r="Y150" i="40"/>
  <c r="Z152" i="40"/>
  <c r="V154" i="40"/>
  <c r="S156" i="40"/>
  <c r="V158" i="40"/>
  <c r="X159" i="40"/>
  <c r="U164" i="40"/>
  <c r="V166" i="40"/>
  <c r="Z167" i="40"/>
  <c r="W170" i="40"/>
  <c r="Y171" i="40"/>
  <c r="T173" i="40"/>
  <c r="Z175" i="40"/>
  <c r="U176" i="40"/>
  <c r="Z177" i="40"/>
  <c r="V178" i="40"/>
  <c r="Y179" i="40"/>
  <c r="U180" i="40"/>
  <c r="Z181" i="40"/>
  <c r="U182" i="40"/>
  <c r="W183" i="40"/>
  <c r="S184" i="40"/>
  <c r="Y185" i="40"/>
  <c r="S186" i="40"/>
  <c r="U188" i="40"/>
  <c r="X189" i="40"/>
  <c r="Y189" i="40"/>
  <c r="S191" i="40"/>
  <c r="V196" i="40"/>
  <c r="T204" i="40"/>
  <c r="W205" i="40"/>
  <c r="X209" i="40"/>
  <c r="V209" i="40"/>
  <c r="T209" i="40"/>
  <c r="S209" i="40"/>
  <c r="Y209" i="40"/>
  <c r="S211" i="40"/>
  <c r="T111" i="40"/>
  <c r="S114" i="40"/>
  <c r="T121" i="40"/>
  <c r="S123" i="40"/>
  <c r="S125" i="40"/>
  <c r="S127" i="40"/>
  <c r="S129" i="40"/>
  <c r="U134" i="40"/>
  <c r="Z135" i="40"/>
  <c r="T136" i="40"/>
  <c r="Y137" i="40"/>
  <c r="U142" i="40"/>
  <c r="T146" i="40"/>
  <c r="W154" i="40"/>
  <c r="T156" i="40"/>
  <c r="W158" i="40"/>
  <c r="V164" i="40"/>
  <c r="U173" i="40"/>
  <c r="Y183" i="40"/>
  <c r="Z185" i="40"/>
  <c r="U186" i="40"/>
  <c r="X192" i="40"/>
  <c r="Y192" i="40"/>
  <c r="W192" i="40"/>
  <c r="S192" i="40"/>
  <c r="X193" i="40"/>
  <c r="T193" i="40"/>
  <c r="S193" i="40"/>
  <c r="Y193" i="40"/>
  <c r="W204" i="40"/>
  <c r="Y208" i="40"/>
  <c r="X208" i="40"/>
  <c r="X213" i="40"/>
  <c r="Y213" i="40"/>
  <c r="U213" i="40"/>
  <c r="T213" i="40"/>
  <c r="S213" i="40"/>
  <c r="Z213" i="40"/>
  <c r="Z137" i="40"/>
  <c r="Y154" i="40"/>
  <c r="Y158" i="40"/>
  <c r="W186" i="40"/>
  <c r="X194" i="40"/>
  <c r="Z194" i="40"/>
  <c r="Y194" i="40"/>
  <c r="U194" i="40"/>
  <c r="X196" i="40"/>
  <c r="Y196" i="40"/>
  <c r="W196" i="40"/>
  <c r="T196" i="40"/>
  <c r="Y204" i="40"/>
  <c r="X232" i="40"/>
  <c r="T232" i="40"/>
  <c r="S232" i="40"/>
  <c r="Z232" i="40"/>
  <c r="Y232" i="40"/>
  <c r="U232" i="40"/>
  <c r="Y187" i="40"/>
  <c r="S197" i="40"/>
  <c r="W201" i="40"/>
  <c r="U202" i="40"/>
  <c r="Y206" i="40"/>
  <c r="T207" i="40"/>
  <c r="T217" i="40"/>
  <c r="W228" i="40"/>
  <c r="W234" i="40"/>
  <c r="S235" i="40"/>
  <c r="Y236" i="40"/>
  <c r="Z238" i="40"/>
  <c r="W240" i="40"/>
  <c r="W244" i="40"/>
  <c r="Z246" i="40"/>
  <c r="V247" i="40"/>
  <c r="Z248" i="40"/>
  <c r="V249" i="40"/>
  <c r="U252" i="40"/>
  <c r="W256" i="40"/>
  <c r="T258" i="40"/>
  <c r="T267" i="40"/>
  <c r="Y270" i="40"/>
  <c r="Y274" i="40"/>
  <c r="Y276" i="40"/>
  <c r="V278" i="40"/>
  <c r="U280" i="40"/>
  <c r="Z282" i="40"/>
  <c r="W284" i="40"/>
  <c r="Y285" i="40"/>
  <c r="V286" i="40"/>
  <c r="V288" i="40"/>
  <c r="Z293" i="40"/>
  <c r="Z301" i="40"/>
  <c r="T306" i="40"/>
  <c r="T308" i="40"/>
  <c r="L321" i="40"/>
  <c r="Y234" i="40"/>
  <c r="Z236" i="40"/>
  <c r="S254" i="40"/>
  <c r="U267" i="40"/>
  <c r="Z276" i="40"/>
  <c r="W278" i="40"/>
  <c r="Y284" i="40"/>
  <c r="U306" i="40"/>
  <c r="U308" i="40"/>
  <c r="W316" i="40"/>
  <c r="T321" i="40"/>
  <c r="S238" i="40"/>
  <c r="Y267" i="40"/>
  <c r="Y278" i="40"/>
  <c r="Z284" i="40"/>
  <c r="Y306" i="40"/>
  <c r="W197" i="40"/>
  <c r="Y202" i="40"/>
  <c r="X207" i="40"/>
  <c r="X217" i="40"/>
  <c r="Z235" i="40"/>
  <c r="S236" i="40"/>
  <c r="S237" i="40"/>
  <c r="T238" i="40"/>
  <c r="S246" i="40"/>
  <c r="U250" i="40"/>
  <c r="Z252" i="40"/>
  <c r="U254" i="40"/>
  <c r="S260" i="40"/>
  <c r="Y269" i="40"/>
  <c r="S276" i="40"/>
  <c r="Z278" i="40"/>
  <c r="Y280" i="40"/>
  <c r="T282" i="40"/>
  <c r="Z286" i="40"/>
  <c r="U289" i="40"/>
  <c r="V290" i="40"/>
  <c r="T298" i="40"/>
  <c r="T300" i="40"/>
  <c r="Y308" i="40"/>
  <c r="T310" i="40"/>
  <c r="T314" i="40"/>
  <c r="Z202" i="40"/>
  <c r="Y207" i="40"/>
  <c r="S223" i="40"/>
  <c r="S225" i="40"/>
  <c r="S234" i="40"/>
  <c r="T236" i="40"/>
  <c r="W237" i="40"/>
  <c r="U238" i="40"/>
  <c r="S240" i="40"/>
  <c r="S242" i="40"/>
  <c r="V243" i="40"/>
  <c r="T246" i="40"/>
  <c r="W250" i="40"/>
  <c r="S251" i="40"/>
  <c r="V254" i="40"/>
  <c r="S256" i="40"/>
  <c r="T260" i="40"/>
  <c r="Y264" i="40"/>
  <c r="T276" i="40"/>
  <c r="Z280" i="40"/>
  <c r="U282" i="40"/>
  <c r="S284" i="40"/>
  <c r="Y289" i="40"/>
  <c r="W290" i="40"/>
  <c r="V292" i="40"/>
  <c r="T296" i="40"/>
  <c r="V298" i="40"/>
  <c r="U300" i="40"/>
  <c r="S301" i="40"/>
  <c r="V310" i="40"/>
  <c r="U314" i="40"/>
  <c r="T319" i="40"/>
  <c r="T234" i="40"/>
  <c r="U236" i="40"/>
  <c r="Y237" i="40"/>
  <c r="V238" i="40"/>
  <c r="T242" i="40"/>
  <c r="U246" i="40"/>
  <c r="Y250" i="40"/>
  <c r="U251" i="40"/>
  <c r="W254" i="40"/>
  <c r="U276" i="40"/>
  <c r="S278" i="40"/>
  <c r="V282" i="40"/>
  <c r="T284" i="40"/>
  <c r="U296" i="40"/>
  <c r="W298" i="40"/>
  <c r="W300" i="40"/>
  <c r="T301" i="40"/>
  <c r="X310" i="40"/>
  <c r="Y314" i="40"/>
  <c r="U234" i="40"/>
  <c r="V236" i="40"/>
  <c r="Z237" i="40"/>
  <c r="W238" i="40"/>
  <c r="U242" i="40"/>
  <c r="W246" i="40"/>
  <c r="V251" i="40"/>
  <c r="W261" i="40"/>
  <c r="V276" i="40"/>
  <c r="T278" i="40"/>
  <c r="W282" i="40"/>
  <c r="U284" i="40"/>
  <c r="S293" i="40"/>
  <c r="V296" i="40"/>
  <c r="Z298" i="40"/>
  <c r="X300" i="40"/>
  <c r="U301" i="40"/>
  <c r="Z200" i="40"/>
  <c r="V201" i="40"/>
  <c r="T202" i="40"/>
  <c r="S217" i="40"/>
  <c r="V220" i="40"/>
  <c r="T228" i="40"/>
  <c r="W230" i="40"/>
  <c r="V234" i="40"/>
  <c r="W236" i="40"/>
  <c r="Y238" i="40"/>
  <c r="Z239" i="40"/>
  <c r="V240" i="40"/>
  <c r="W242" i="40"/>
  <c r="U244" i="40"/>
  <c r="Y246" i="40"/>
  <c r="U247" i="40"/>
  <c r="Y248" i="40"/>
  <c r="U249" i="40"/>
  <c r="Y251" i="40"/>
  <c r="T252" i="40"/>
  <c r="S258" i="40"/>
  <c r="W260" i="40"/>
  <c r="Y261" i="40"/>
  <c r="Y273" i="40"/>
  <c r="W274" i="40"/>
  <c r="W276" i="40"/>
  <c r="U278" i="40"/>
  <c r="T280" i="40"/>
  <c r="Y282" i="40"/>
  <c r="Y283" i="40"/>
  <c r="V284" i="40"/>
  <c r="U285" i="40"/>
  <c r="U286" i="40"/>
  <c r="Z292" i="40"/>
  <c r="V293" i="40"/>
  <c r="Y301" i="40"/>
  <c r="S306" i="40"/>
  <c r="U307" i="40"/>
  <c r="S308" i="40"/>
  <c r="U318" i="40"/>
  <c r="D5" i="39"/>
  <c r="G7" i="39" s="1"/>
  <c r="CR9" i="40"/>
  <c r="AW18" i="40"/>
  <c r="AX18" i="40"/>
  <c r="AW24" i="40"/>
  <c r="AX14" i="40"/>
  <c r="AV14" i="40"/>
  <c r="AW19" i="40"/>
  <c r="AX19" i="40"/>
  <c r="AV16" i="40"/>
  <c r="CR11" i="40"/>
  <c r="M17" i="40"/>
  <c r="L17" i="40"/>
  <c r="R17" i="40"/>
  <c r="Q17" i="40"/>
  <c r="N17" i="40"/>
  <c r="AW20" i="40"/>
  <c r="AX20" i="40"/>
  <c r="CR5" i="40"/>
  <c r="AU5" i="40"/>
  <c r="CA5" i="40"/>
  <c r="CB5" i="40" s="1"/>
  <c r="CQ5" i="40"/>
  <c r="S6" i="40"/>
  <c r="AQ6" i="40"/>
  <c r="AU7" i="40"/>
  <c r="CQ7" i="40"/>
  <c r="S8" i="40"/>
  <c r="AQ8" i="40"/>
  <c r="AU9" i="40"/>
  <c r="CA9" i="40"/>
  <c r="CS9" i="40" s="1"/>
  <c r="CQ9" i="40"/>
  <c r="S10" i="40"/>
  <c r="AQ10" i="40"/>
  <c r="AU11" i="40"/>
  <c r="CA11" i="40"/>
  <c r="CQ11" i="40"/>
  <c r="S12" i="40"/>
  <c r="AQ12" i="40"/>
  <c r="W13" i="40"/>
  <c r="AU13" i="40"/>
  <c r="CQ13" i="40"/>
  <c r="S14" i="40"/>
  <c r="AQ14" i="40"/>
  <c r="CS14" i="40"/>
  <c r="BA15" i="40"/>
  <c r="BI15" i="40" s="1"/>
  <c r="V16" i="40"/>
  <c r="AX44" i="40"/>
  <c r="AW44" i="40"/>
  <c r="AV5" i="40"/>
  <c r="T6" i="40"/>
  <c r="AR6" i="40"/>
  <c r="AV7" i="40"/>
  <c r="T8" i="40"/>
  <c r="AR8" i="40"/>
  <c r="AV9" i="40"/>
  <c r="T10" i="40"/>
  <c r="AR10" i="40"/>
  <c r="AV11" i="40"/>
  <c r="T12" i="40"/>
  <c r="AR12" i="40"/>
  <c r="AV13" i="40"/>
  <c r="T14" i="40"/>
  <c r="CB14" i="40"/>
  <c r="CT14" i="40" s="1"/>
  <c r="W15" i="40"/>
  <c r="Z15" i="40"/>
  <c r="BB15" i="40"/>
  <c r="BJ15" i="40" s="1"/>
  <c r="CQ15" i="40"/>
  <c r="X16" i="40"/>
  <c r="AW17" i="40"/>
  <c r="AW5" i="40"/>
  <c r="AS6" i="40"/>
  <c r="AW7" i="40"/>
  <c r="AS8" i="40"/>
  <c r="AW9" i="40"/>
  <c r="AS10" i="40"/>
  <c r="AW11" i="40"/>
  <c r="AS12" i="40"/>
  <c r="AW13" i="40"/>
  <c r="CA15" i="40"/>
  <c r="CS15" i="40" s="1"/>
  <c r="Y16" i="40"/>
  <c r="AX17" i="40"/>
  <c r="CQ17" i="40"/>
  <c r="AS18" i="40"/>
  <c r="CQ21" i="40"/>
  <c r="AX5" i="40"/>
  <c r="AT6" i="40"/>
  <c r="AX7" i="40"/>
  <c r="AT8" i="40"/>
  <c r="AX9" i="40"/>
  <c r="AT10" i="40"/>
  <c r="AX11" i="40"/>
  <c r="AT12" i="40"/>
  <c r="BZ12" i="40"/>
  <c r="AX13" i="40"/>
  <c r="V14" i="40"/>
  <c r="Z16" i="40"/>
  <c r="AT18" i="40"/>
  <c r="CQ18" i="40"/>
  <c r="AS19" i="40"/>
  <c r="CQ19" i="40"/>
  <c r="AS20" i="40"/>
  <c r="AX21" i="40"/>
  <c r="CQ23" i="40"/>
  <c r="AX43" i="40"/>
  <c r="AV43" i="40"/>
  <c r="BD43" i="40" s="1"/>
  <c r="BL43" i="40" s="1"/>
  <c r="AQ7" i="40"/>
  <c r="AU8" i="40"/>
  <c r="AQ9" i="40"/>
  <c r="AU10" i="40"/>
  <c r="AQ11" i="40"/>
  <c r="AU12" i="40"/>
  <c r="AQ13" i="40"/>
  <c r="BZ21" i="40"/>
  <c r="CA21" i="40" s="1"/>
  <c r="CQ25" i="40"/>
  <c r="AQ5" i="40"/>
  <c r="AR5" i="40"/>
  <c r="AV6" i="40"/>
  <c r="AR7" i="40"/>
  <c r="AV8" i="40"/>
  <c r="AR9" i="40"/>
  <c r="AV10" i="40"/>
  <c r="AR11" i="40"/>
  <c r="AV12" i="40"/>
  <c r="AR13" i="40"/>
  <c r="BZ17" i="40"/>
  <c r="CA17" i="40" s="1"/>
  <c r="CS17" i="40" s="1"/>
  <c r="BZ18" i="40"/>
  <c r="CR18" i="40" s="1"/>
  <c r="CR20" i="40"/>
  <c r="L21" i="40"/>
  <c r="Q21" i="40"/>
  <c r="N21" i="40"/>
  <c r="BZ23" i="40"/>
  <c r="CA23" i="40" s="1"/>
  <c r="AX25" i="40"/>
  <c r="AV42" i="40"/>
  <c r="AS5" i="40"/>
  <c r="AW6" i="40"/>
  <c r="AS7" i="40"/>
  <c r="AW8" i="40"/>
  <c r="AS9" i="40"/>
  <c r="AW10" i="40"/>
  <c r="AS11" i="40"/>
  <c r="AW12" i="40"/>
  <c r="AS13" i="40"/>
  <c r="BZ25" i="40"/>
  <c r="CA25" i="40" s="1"/>
  <c r="AW42" i="40"/>
  <c r="AX6" i="40"/>
  <c r="AT7" i="40"/>
  <c r="AX8" i="40"/>
  <c r="AT9" i="40"/>
  <c r="AX10" i="40"/>
  <c r="AT11" i="40"/>
  <c r="AX12" i="40"/>
  <c r="AT13" i="40"/>
  <c r="W16" i="40"/>
  <c r="T16" i="40"/>
  <c r="S16" i="40"/>
  <c r="U16" i="40"/>
  <c r="R21" i="40"/>
  <c r="AW26" i="40"/>
  <c r="AX42" i="40"/>
  <c r="AT21" i="40"/>
  <c r="AX22" i="40"/>
  <c r="AT23" i="40"/>
  <c r="AX24" i="40"/>
  <c r="AT25" i="40"/>
  <c r="AX26" i="40"/>
  <c r="AT27" i="40"/>
  <c r="BZ27" i="40"/>
  <c r="CR27" i="40" s="1"/>
  <c r="Z28" i="40"/>
  <c r="AX28" i="40"/>
  <c r="AT29" i="40"/>
  <c r="BZ29" i="40"/>
  <c r="CR29" i="40" s="1"/>
  <c r="Z30" i="40"/>
  <c r="AX30" i="40"/>
  <c r="V31" i="40"/>
  <c r="AT31" i="40"/>
  <c r="BZ31" i="40"/>
  <c r="CA31" i="40" s="1"/>
  <c r="CB31" i="40" s="1"/>
  <c r="Z32" i="40"/>
  <c r="AX32" i="40"/>
  <c r="V33" i="40"/>
  <c r="AT33" i="40"/>
  <c r="BZ33" i="40"/>
  <c r="CA33" i="40" s="1"/>
  <c r="Z34" i="40"/>
  <c r="AX34" i="40"/>
  <c r="V35" i="40"/>
  <c r="AT35" i="40"/>
  <c r="BZ35" i="40"/>
  <c r="CR35" i="40" s="1"/>
  <c r="Z36" i="40"/>
  <c r="AX36" i="40"/>
  <c r="V37" i="40"/>
  <c r="AT37" i="40"/>
  <c r="BZ37" i="40"/>
  <c r="Z38" i="40"/>
  <c r="AX38" i="40"/>
  <c r="V39" i="40"/>
  <c r="AT39" i="40"/>
  <c r="BZ39" i="40"/>
  <c r="CR39" i="40" s="1"/>
  <c r="Z40" i="40"/>
  <c r="AR41" i="40"/>
  <c r="T42" i="40"/>
  <c r="AU42" i="40"/>
  <c r="K43" i="40"/>
  <c r="U43" i="40"/>
  <c r="CR58" i="40"/>
  <c r="AU15" i="40"/>
  <c r="AQ16" i="40"/>
  <c r="O17" i="40"/>
  <c r="W17" i="40"/>
  <c r="AU17" i="40"/>
  <c r="S18" i="40"/>
  <c r="AQ18" i="40"/>
  <c r="W19" i="40"/>
  <c r="AU19" i="40"/>
  <c r="S20" i="40"/>
  <c r="AQ20" i="40"/>
  <c r="O21" i="40"/>
  <c r="W21" i="40"/>
  <c r="AU21" i="40"/>
  <c r="S22" i="40"/>
  <c r="AQ22" i="40"/>
  <c r="W23" i="40"/>
  <c r="AU23" i="40"/>
  <c r="S24" i="40"/>
  <c r="AQ24" i="40"/>
  <c r="W25" i="40"/>
  <c r="AU25" i="40"/>
  <c r="S26" i="40"/>
  <c r="AQ26" i="40"/>
  <c r="W27" i="40"/>
  <c r="AU27" i="40"/>
  <c r="S28" i="40"/>
  <c r="AQ28" i="40"/>
  <c r="W29" i="40"/>
  <c r="AU29" i="40"/>
  <c r="S30" i="40"/>
  <c r="AQ30" i="40"/>
  <c r="W31" i="40"/>
  <c r="AU31" i="40"/>
  <c r="S32" i="40"/>
  <c r="AQ32" i="40"/>
  <c r="W33" i="40"/>
  <c r="AU33" i="40"/>
  <c r="S34" i="40"/>
  <c r="AQ34" i="40"/>
  <c r="W35" i="40"/>
  <c r="AU35" i="40"/>
  <c r="S36" i="40"/>
  <c r="AQ36" i="40"/>
  <c r="W37" i="40"/>
  <c r="AU37" i="40"/>
  <c r="S38" i="40"/>
  <c r="AQ38" i="40"/>
  <c r="W39" i="40"/>
  <c r="AU39" i="40"/>
  <c r="S40" i="40"/>
  <c r="Z41" i="40"/>
  <c r="U42" i="40"/>
  <c r="L43" i="40"/>
  <c r="V43" i="40"/>
  <c r="AQ43" i="40"/>
  <c r="CQ43" i="40"/>
  <c r="BZ43" i="40"/>
  <c r="CA43" i="40" s="1"/>
  <c r="CS43" i="40" s="1"/>
  <c r="AR44" i="40"/>
  <c r="BZ44" i="40"/>
  <c r="L50" i="40"/>
  <c r="R50" i="40"/>
  <c r="Q50" i="40"/>
  <c r="O50" i="40"/>
  <c r="CA65" i="40"/>
  <c r="CS65" i="40" s="1"/>
  <c r="AW69" i="40"/>
  <c r="AR16" i="40"/>
  <c r="P17" i="40"/>
  <c r="X17" i="40"/>
  <c r="AV17" i="40"/>
  <c r="T18" i="40"/>
  <c r="AR18" i="40"/>
  <c r="X19" i="40"/>
  <c r="AV19" i="40"/>
  <c r="T20" i="40"/>
  <c r="AR20" i="40"/>
  <c r="P21" i="40"/>
  <c r="X21" i="40"/>
  <c r="AV21" i="40"/>
  <c r="T22" i="40"/>
  <c r="AR22" i="40"/>
  <c r="X23" i="40"/>
  <c r="AV23" i="40"/>
  <c r="T24" i="40"/>
  <c r="AR24" i="40"/>
  <c r="X25" i="40"/>
  <c r="AV25" i="40"/>
  <c r="T26" i="40"/>
  <c r="AR26" i="40"/>
  <c r="X27" i="40"/>
  <c r="AV27" i="40"/>
  <c r="T28" i="40"/>
  <c r="AR28" i="40"/>
  <c r="X29" i="40"/>
  <c r="AV29" i="40"/>
  <c r="T30" i="40"/>
  <c r="AR30" i="40"/>
  <c r="X31" i="40"/>
  <c r="AV31" i="40"/>
  <c r="T32" i="40"/>
  <c r="AR32" i="40"/>
  <c r="X33" i="40"/>
  <c r="AV33" i="40"/>
  <c r="T34" i="40"/>
  <c r="AR34" i="40"/>
  <c r="X35" i="40"/>
  <c r="AV35" i="40"/>
  <c r="T36" i="40"/>
  <c r="AR36" i="40"/>
  <c r="X37" i="40"/>
  <c r="AV37" i="40"/>
  <c r="T38" i="40"/>
  <c r="AR38" i="40"/>
  <c r="X39" i="40"/>
  <c r="AV39" i="40"/>
  <c r="T40" i="40"/>
  <c r="BZ41" i="40"/>
  <c r="W42" i="40"/>
  <c r="M43" i="40"/>
  <c r="X43" i="40"/>
  <c r="CQ44" i="40"/>
  <c r="CQ45" i="40"/>
  <c r="AW21" i="40"/>
  <c r="AS22" i="40"/>
  <c r="AW23" i="40"/>
  <c r="AS24" i="40"/>
  <c r="AW25" i="40"/>
  <c r="AS26" i="40"/>
  <c r="AW27" i="40"/>
  <c r="AS28" i="40"/>
  <c r="AW29" i="40"/>
  <c r="AS30" i="40"/>
  <c r="AW31" i="40"/>
  <c r="AS32" i="40"/>
  <c r="AW33" i="40"/>
  <c r="AS34" i="40"/>
  <c r="AW35" i="40"/>
  <c r="U36" i="40"/>
  <c r="AS36" i="40"/>
  <c r="Y37" i="40"/>
  <c r="AW37" i="40"/>
  <c r="U38" i="40"/>
  <c r="AS38" i="40"/>
  <c r="Y39" i="40"/>
  <c r="AW39" i="40"/>
  <c r="U40" i="40"/>
  <c r="X42" i="40"/>
  <c r="N43" i="40"/>
  <c r="Y43" i="40"/>
  <c r="AT43" i="40"/>
  <c r="AV45" i="40"/>
  <c r="AX66" i="40"/>
  <c r="AU66" i="40"/>
  <c r="AT26" i="40"/>
  <c r="AX27" i="40"/>
  <c r="AT28" i="40"/>
  <c r="AX29" i="40"/>
  <c r="AT30" i="40"/>
  <c r="AX31" i="40"/>
  <c r="AT32" i="40"/>
  <c r="AX33" i="40"/>
  <c r="AT34" i="40"/>
  <c r="AX35" i="40"/>
  <c r="AT36" i="40"/>
  <c r="AX37" i="40"/>
  <c r="AT38" i="40"/>
  <c r="AX39" i="40"/>
  <c r="CA66" i="40"/>
  <c r="CS66" i="40" s="1"/>
  <c r="AV67" i="40"/>
  <c r="AX67" i="40"/>
  <c r="AQ15" i="40"/>
  <c r="AU16" i="40"/>
  <c r="K17" i="40"/>
  <c r="AQ17" i="40"/>
  <c r="W18" i="40"/>
  <c r="AU18" i="40"/>
  <c r="AQ19" i="40"/>
  <c r="W20" i="40"/>
  <c r="AU20" i="40"/>
  <c r="CA20" i="40"/>
  <c r="CB20" i="40" s="1"/>
  <c r="K21" i="40"/>
  <c r="AQ21" i="40"/>
  <c r="W22" i="40"/>
  <c r="AU22" i="40"/>
  <c r="CA22" i="40"/>
  <c r="AQ23" i="40"/>
  <c r="W24" i="40"/>
  <c r="AU24" i="40"/>
  <c r="CA24" i="40"/>
  <c r="CB24" i="40" s="1"/>
  <c r="AQ25" i="40"/>
  <c r="W26" i="40"/>
  <c r="AU26" i="40"/>
  <c r="CA26" i="40"/>
  <c r="CB26" i="40" s="1"/>
  <c r="AQ27" i="40"/>
  <c r="W28" i="40"/>
  <c r="AU28" i="40"/>
  <c r="CA28" i="40"/>
  <c r="CB28" i="40" s="1"/>
  <c r="AQ29" i="40"/>
  <c r="W30" i="40"/>
  <c r="AU30" i="40"/>
  <c r="CA30" i="40"/>
  <c r="AQ31" i="40"/>
  <c r="W32" i="40"/>
  <c r="AU32" i="40"/>
  <c r="CA32" i="40"/>
  <c r="CB32" i="40" s="1"/>
  <c r="AQ33" i="40"/>
  <c r="W34" i="40"/>
  <c r="AU34" i="40"/>
  <c r="AQ35" i="40"/>
  <c r="W36" i="40"/>
  <c r="AU36" i="40"/>
  <c r="CQ36" i="40"/>
  <c r="AQ37" i="40"/>
  <c r="W38" i="40"/>
  <c r="AU38" i="40"/>
  <c r="CA38" i="40"/>
  <c r="CQ38" i="40"/>
  <c r="AQ39" i="40"/>
  <c r="W40" i="40"/>
  <c r="BZ40" i="40"/>
  <c r="CA40" i="40" s="1"/>
  <c r="AU41" i="40"/>
  <c r="Z42" i="40"/>
  <c r="CQ42" i="40"/>
  <c r="CR60" i="40"/>
  <c r="AV18" i="40"/>
  <c r="AR19" i="40"/>
  <c r="AV20" i="40"/>
  <c r="AR21" i="40"/>
  <c r="AV22" i="40"/>
  <c r="AR23" i="40"/>
  <c r="AV24" i="40"/>
  <c r="AR25" i="40"/>
  <c r="AV26" i="40"/>
  <c r="AR27" i="40"/>
  <c r="AV28" i="40"/>
  <c r="AR29" i="40"/>
  <c r="AV30" i="40"/>
  <c r="AR31" i="40"/>
  <c r="AV32" i="40"/>
  <c r="AR33" i="40"/>
  <c r="AV34" i="40"/>
  <c r="AR35" i="40"/>
  <c r="AV36" i="40"/>
  <c r="AR37" i="40"/>
  <c r="AV38" i="40"/>
  <c r="AR39" i="40"/>
  <c r="BZ42" i="40"/>
  <c r="CR42" i="40" s="1"/>
  <c r="W43" i="40"/>
  <c r="O43" i="40"/>
  <c r="Z43" i="40"/>
  <c r="R43" i="40"/>
  <c r="S43" i="40"/>
  <c r="AS27" i="40"/>
  <c r="AW28" i="40"/>
  <c r="AS29" i="40"/>
  <c r="AW30" i="40"/>
  <c r="AS31" i="40"/>
  <c r="AW32" i="40"/>
  <c r="AS33" i="40"/>
  <c r="AW34" i="40"/>
  <c r="AS35" i="40"/>
  <c r="AW36" i="40"/>
  <c r="AS37" i="40"/>
  <c r="AW38" i="40"/>
  <c r="AS39" i="40"/>
  <c r="S42" i="40"/>
  <c r="V42" i="40"/>
  <c r="W45" i="40"/>
  <c r="V45" i="40"/>
  <c r="T45" i="40"/>
  <c r="S45" i="40"/>
  <c r="Z45" i="40"/>
  <c r="Y45" i="40"/>
  <c r="CR48" i="40"/>
  <c r="AX71" i="40"/>
  <c r="AW71" i="40"/>
  <c r="AS44" i="40"/>
  <c r="AW45" i="40"/>
  <c r="U46" i="40"/>
  <c r="AS46" i="40"/>
  <c r="Y47" i="40"/>
  <c r="AW47" i="40"/>
  <c r="U48" i="40"/>
  <c r="AS48" i="40"/>
  <c r="Y49" i="40"/>
  <c r="AW49" i="40"/>
  <c r="M50" i="40"/>
  <c r="U50" i="40"/>
  <c r="AS50" i="40"/>
  <c r="Y51" i="40"/>
  <c r="AW51" i="40"/>
  <c r="U52" i="40"/>
  <c r="AS52" i="40"/>
  <c r="Y53" i="40"/>
  <c r="AW53" i="40"/>
  <c r="U54" i="40"/>
  <c r="AS54" i="40"/>
  <c r="Y55" i="40"/>
  <c r="AW55" i="40"/>
  <c r="U56" i="40"/>
  <c r="AS56" i="40"/>
  <c r="Y57" i="40"/>
  <c r="AW57" i="40"/>
  <c r="U58" i="40"/>
  <c r="AS58" i="40"/>
  <c r="Y59" i="40"/>
  <c r="AW59" i="40"/>
  <c r="U60" i="40"/>
  <c r="AS60" i="40"/>
  <c r="Y61" i="40"/>
  <c r="AW61" i="40"/>
  <c r="U62" i="40"/>
  <c r="AS62" i="40"/>
  <c r="Y63" i="40"/>
  <c r="AW63" i="40"/>
  <c r="U64" i="40"/>
  <c r="AS64" i="40"/>
  <c r="Y65" i="40"/>
  <c r="CQ65" i="40"/>
  <c r="CR66" i="40"/>
  <c r="W67" i="40"/>
  <c r="AU68" i="40"/>
  <c r="CQ70" i="40"/>
  <c r="CA70" i="40"/>
  <c r="CS70" i="40" s="1"/>
  <c r="CA80" i="40"/>
  <c r="CB80" i="40" s="1"/>
  <c r="CT80" i="40" s="1"/>
  <c r="AU91" i="40"/>
  <c r="AT40" i="40"/>
  <c r="AX41" i="40"/>
  <c r="AT42" i="40"/>
  <c r="V44" i="40"/>
  <c r="AT44" i="40"/>
  <c r="AX45" i="40"/>
  <c r="V46" i="40"/>
  <c r="AT46" i="40"/>
  <c r="Z47" i="40"/>
  <c r="AX47" i="40"/>
  <c r="V48" i="40"/>
  <c r="AT48" i="40"/>
  <c r="Z49" i="40"/>
  <c r="AX49" i="40"/>
  <c r="N50" i="40"/>
  <c r="V50" i="40"/>
  <c r="AT50" i="40"/>
  <c r="Z51" i="40"/>
  <c r="AX51" i="40"/>
  <c r="V52" i="40"/>
  <c r="AT52" i="40"/>
  <c r="Z53" i="40"/>
  <c r="AX53" i="40"/>
  <c r="V54" i="40"/>
  <c r="AT54" i="40"/>
  <c r="Z55" i="40"/>
  <c r="AX55" i="40"/>
  <c r="V56" i="40"/>
  <c r="AT56" i="40"/>
  <c r="Z57" i="40"/>
  <c r="AX57" i="40"/>
  <c r="V58" i="40"/>
  <c r="AT58" i="40"/>
  <c r="Z59" i="40"/>
  <c r="AX59" i="40"/>
  <c r="V60" i="40"/>
  <c r="AT60" i="40"/>
  <c r="Z61" i="40"/>
  <c r="AX61" i="40"/>
  <c r="V62" i="40"/>
  <c r="AT62" i="40"/>
  <c r="Z63" i="40"/>
  <c r="AX63" i="40"/>
  <c r="V64" i="40"/>
  <c r="AT64" i="40"/>
  <c r="Z65" i="40"/>
  <c r="CQ66" i="40"/>
  <c r="AX68" i="40"/>
  <c r="CR72" i="40"/>
  <c r="CR80" i="40"/>
  <c r="CA86" i="40"/>
  <c r="CB86" i="40" s="1"/>
  <c r="CT86" i="40" s="1"/>
  <c r="AV91" i="40"/>
  <c r="AU44" i="40"/>
  <c r="AQ45" i="40"/>
  <c r="AU46" i="40"/>
  <c r="CA46" i="40"/>
  <c r="CS46" i="40" s="1"/>
  <c r="CQ46" i="40"/>
  <c r="S47" i="40"/>
  <c r="AQ47" i="40"/>
  <c r="AU48" i="40"/>
  <c r="CA48" i="40"/>
  <c r="CQ48" i="40"/>
  <c r="S49" i="40"/>
  <c r="AQ49" i="40"/>
  <c r="AU50" i="40"/>
  <c r="CQ50" i="40"/>
  <c r="S51" i="40"/>
  <c r="AQ51" i="40"/>
  <c r="AU52" i="40"/>
  <c r="CQ52" i="40"/>
  <c r="S53" i="40"/>
  <c r="AQ53" i="40"/>
  <c r="AU54" i="40"/>
  <c r="CQ54" i="40"/>
  <c r="S55" i="40"/>
  <c r="AQ55" i="40"/>
  <c r="AU56" i="40"/>
  <c r="CA56" i="40"/>
  <c r="CB56" i="40" s="1"/>
  <c r="CQ56" i="40"/>
  <c r="S57" i="40"/>
  <c r="AQ57" i="40"/>
  <c r="AU58" i="40"/>
  <c r="CA58" i="40"/>
  <c r="CB58" i="40" s="1"/>
  <c r="CQ58" i="40"/>
  <c r="S59" i="40"/>
  <c r="AQ59" i="40"/>
  <c r="AU60" i="40"/>
  <c r="CA60" i="40"/>
  <c r="CB60" i="40" s="1"/>
  <c r="CQ60" i="40"/>
  <c r="S61" i="40"/>
  <c r="AQ61" i="40"/>
  <c r="AU62" i="40"/>
  <c r="CQ62" i="40"/>
  <c r="S63" i="40"/>
  <c r="AQ63" i="40"/>
  <c r="AU64" i="40"/>
  <c r="CQ64" i="40"/>
  <c r="S65" i="40"/>
  <c r="AQ69" i="40"/>
  <c r="CQ69" i="40"/>
  <c r="BZ69" i="40"/>
  <c r="CA90" i="40"/>
  <c r="AX95" i="40"/>
  <c r="AW95" i="40"/>
  <c r="AR43" i="40"/>
  <c r="X44" i="40"/>
  <c r="AV44" i="40"/>
  <c r="AR45" i="40"/>
  <c r="X46" i="40"/>
  <c r="AV46" i="40"/>
  <c r="T47" i="40"/>
  <c r="AR47" i="40"/>
  <c r="X48" i="40"/>
  <c r="AV48" i="40"/>
  <c r="T49" i="40"/>
  <c r="AR49" i="40"/>
  <c r="P50" i="40"/>
  <c r="X50" i="40"/>
  <c r="AV50" i="40"/>
  <c r="T51" i="40"/>
  <c r="AR51" i="40"/>
  <c r="X52" i="40"/>
  <c r="AV52" i="40"/>
  <c r="T53" i="40"/>
  <c r="AR53" i="40"/>
  <c r="X54" i="40"/>
  <c r="AV54" i="40"/>
  <c r="T55" i="40"/>
  <c r="AR55" i="40"/>
  <c r="X56" i="40"/>
  <c r="AV56" i="40"/>
  <c r="T57" i="40"/>
  <c r="AR57" i="40"/>
  <c r="X58" i="40"/>
  <c r="AV58" i="40"/>
  <c r="T59" i="40"/>
  <c r="AR59" i="40"/>
  <c r="X60" i="40"/>
  <c r="AV60" i="40"/>
  <c r="T61" i="40"/>
  <c r="AR61" i="40"/>
  <c r="X62" i="40"/>
  <c r="AV62" i="40"/>
  <c r="T63" i="40"/>
  <c r="AR63" i="40"/>
  <c r="X64" i="40"/>
  <c r="AV64" i="40"/>
  <c r="T65" i="40"/>
  <c r="AR65" i="40"/>
  <c r="BB65" i="40"/>
  <c r="BJ65" i="40" s="1"/>
  <c r="T67" i="40"/>
  <c r="Z67" i="40"/>
  <c r="AT67" i="40"/>
  <c r="CR90" i="40"/>
  <c r="CA91" i="40"/>
  <c r="AX96" i="40"/>
  <c r="AW96" i="40"/>
  <c r="AW46" i="40"/>
  <c r="U47" i="40"/>
  <c r="AS47" i="40"/>
  <c r="AW48" i="40"/>
  <c r="U49" i="40"/>
  <c r="AS49" i="40"/>
  <c r="AW50" i="40"/>
  <c r="U51" i="40"/>
  <c r="AS51" i="40"/>
  <c r="AW52" i="40"/>
  <c r="U53" i="40"/>
  <c r="AS53" i="40"/>
  <c r="AW54" i="40"/>
  <c r="U55" i="40"/>
  <c r="AS55" i="40"/>
  <c r="AW56" i="40"/>
  <c r="U57" i="40"/>
  <c r="AS57" i="40"/>
  <c r="AW58" i="40"/>
  <c r="U59" i="40"/>
  <c r="AS59" i="40"/>
  <c r="AW60" i="40"/>
  <c r="U61" i="40"/>
  <c r="AS61" i="40"/>
  <c r="AW62" i="40"/>
  <c r="U63" i="40"/>
  <c r="AS63" i="40"/>
  <c r="Y64" i="40"/>
  <c r="AW64" i="40"/>
  <c r="U65" i="40"/>
  <c r="AT45" i="40"/>
  <c r="BZ45" i="40"/>
  <c r="AX46" i="40"/>
  <c r="V47" i="40"/>
  <c r="AT47" i="40"/>
  <c r="BZ47" i="40"/>
  <c r="AX48" i="40"/>
  <c r="V49" i="40"/>
  <c r="AT49" i="40"/>
  <c r="BZ49" i="40"/>
  <c r="AX50" i="40"/>
  <c r="V51" i="40"/>
  <c r="AT51" i="40"/>
  <c r="BZ51" i="40"/>
  <c r="CA51" i="40" s="1"/>
  <c r="AX52" i="40"/>
  <c r="V53" i="40"/>
  <c r="AT53" i="40"/>
  <c r="BZ53" i="40"/>
  <c r="AX54" i="40"/>
  <c r="V55" i="40"/>
  <c r="AT55" i="40"/>
  <c r="BZ55" i="40"/>
  <c r="CA55" i="40" s="1"/>
  <c r="AX56" i="40"/>
  <c r="V57" i="40"/>
  <c r="AT57" i="40"/>
  <c r="BZ57" i="40"/>
  <c r="CA57" i="40" s="1"/>
  <c r="AX58" i="40"/>
  <c r="V59" i="40"/>
  <c r="AT59" i="40"/>
  <c r="BZ59" i="40"/>
  <c r="AX60" i="40"/>
  <c r="V61" i="40"/>
  <c r="AT61" i="40"/>
  <c r="BZ61" i="40"/>
  <c r="AX62" i="40"/>
  <c r="V63" i="40"/>
  <c r="AT63" i="40"/>
  <c r="BZ63" i="40"/>
  <c r="AX64" i="40"/>
  <c r="V65" i="40"/>
  <c r="BD65" i="40"/>
  <c r="BL65" i="40" s="1"/>
  <c r="S67" i="40"/>
  <c r="BZ67" i="40"/>
  <c r="CA67" i="40" s="1"/>
  <c r="AQ42" i="40"/>
  <c r="AU43" i="40"/>
  <c r="AQ44" i="40"/>
  <c r="AU45" i="40"/>
  <c r="AQ46" i="40"/>
  <c r="W47" i="40"/>
  <c r="AU47" i="40"/>
  <c r="AQ48" i="40"/>
  <c r="W49" i="40"/>
  <c r="AU49" i="40"/>
  <c r="K50" i="40"/>
  <c r="AQ50" i="40"/>
  <c r="W51" i="40"/>
  <c r="AU51" i="40"/>
  <c r="AQ52" i="40"/>
  <c r="W53" i="40"/>
  <c r="AU53" i="40"/>
  <c r="AQ54" i="40"/>
  <c r="W55" i="40"/>
  <c r="AU55" i="40"/>
  <c r="AQ56" i="40"/>
  <c r="W57" i="40"/>
  <c r="AU57" i="40"/>
  <c r="AQ58" i="40"/>
  <c r="W59" i="40"/>
  <c r="AU59" i="40"/>
  <c r="AQ60" i="40"/>
  <c r="W61" i="40"/>
  <c r="AU61" i="40"/>
  <c r="AQ62" i="40"/>
  <c r="W63" i="40"/>
  <c r="AU63" i="40"/>
  <c r="AQ64" i="40"/>
  <c r="W65" i="40"/>
  <c r="U67" i="40"/>
  <c r="AS67" i="40"/>
  <c r="BZ68" i="40"/>
  <c r="CR68" i="40" s="1"/>
  <c r="CA88" i="40"/>
  <c r="AX92" i="40"/>
  <c r="AW92" i="40"/>
  <c r="AV47" i="40"/>
  <c r="AR48" i="40"/>
  <c r="AV49" i="40"/>
  <c r="AR50" i="40"/>
  <c r="AV51" i="40"/>
  <c r="AR52" i="40"/>
  <c r="AV53" i="40"/>
  <c r="AR54" i="40"/>
  <c r="AV55" i="40"/>
  <c r="AR56" i="40"/>
  <c r="AV57" i="40"/>
  <c r="AR58" i="40"/>
  <c r="AV59" i="40"/>
  <c r="AR60" i="40"/>
  <c r="AV61" i="40"/>
  <c r="AR62" i="40"/>
  <c r="AV63" i="40"/>
  <c r="AR64" i="40"/>
  <c r="CR70" i="40"/>
  <c r="CR74" i="40"/>
  <c r="CR88" i="40"/>
  <c r="AX91" i="40"/>
  <c r="AW91" i="40"/>
  <c r="AW68" i="40"/>
  <c r="U69" i="40"/>
  <c r="AS69" i="40"/>
  <c r="AW70" i="40"/>
  <c r="U71" i="40"/>
  <c r="AS71" i="40"/>
  <c r="AW72" i="40"/>
  <c r="U73" i="40"/>
  <c r="AS73" i="40"/>
  <c r="AW74" i="40"/>
  <c r="U75" i="40"/>
  <c r="AS75" i="40"/>
  <c r="AW76" i="40"/>
  <c r="U77" i="40"/>
  <c r="AS77" i="40"/>
  <c r="AW78" i="40"/>
  <c r="U79" i="40"/>
  <c r="AS79" i="40"/>
  <c r="AW80" i="40"/>
  <c r="U81" i="40"/>
  <c r="AS81" i="40"/>
  <c r="Y82" i="40"/>
  <c r="AW82" i="40"/>
  <c r="U83" i="40"/>
  <c r="AS83" i="40"/>
  <c r="Y84" i="40"/>
  <c r="AW84" i="40"/>
  <c r="U85" i="40"/>
  <c r="AS85" i="40"/>
  <c r="Y86" i="40"/>
  <c r="AW86" i="40"/>
  <c r="U87" i="40"/>
  <c r="AS87" i="40"/>
  <c r="Y88" i="40"/>
  <c r="AW88" i="40"/>
  <c r="U89" i="40"/>
  <c r="AS89" i="40"/>
  <c r="Y90" i="40"/>
  <c r="AW90" i="40"/>
  <c r="CS90" i="40"/>
  <c r="U91" i="40"/>
  <c r="AT91" i="40"/>
  <c r="S92" i="40"/>
  <c r="AV92" i="40"/>
  <c r="L93" i="40"/>
  <c r="AQ93" i="40"/>
  <c r="BZ93" i="40"/>
  <c r="CR93" i="40" s="1"/>
  <c r="AS94" i="40"/>
  <c r="AS95" i="40"/>
  <c r="AT69" i="40"/>
  <c r="AX70" i="40"/>
  <c r="V71" i="40"/>
  <c r="AT71" i="40"/>
  <c r="BZ71" i="40"/>
  <c r="AX72" i="40"/>
  <c r="V73" i="40"/>
  <c r="AT73" i="40"/>
  <c r="BZ73" i="40"/>
  <c r="AX74" i="40"/>
  <c r="V75" i="40"/>
  <c r="AT75" i="40"/>
  <c r="BZ75" i="40"/>
  <c r="AX76" i="40"/>
  <c r="V77" i="40"/>
  <c r="AT77" i="40"/>
  <c r="BZ77" i="40"/>
  <c r="AX78" i="40"/>
  <c r="V79" i="40"/>
  <c r="AT79" i="40"/>
  <c r="BZ79" i="40"/>
  <c r="AX80" i="40"/>
  <c r="V81" i="40"/>
  <c r="AT81" i="40"/>
  <c r="BZ81" i="40"/>
  <c r="AX82" i="40"/>
  <c r="V83" i="40"/>
  <c r="AT83" i="40"/>
  <c r="BZ83" i="40"/>
  <c r="AX84" i="40"/>
  <c r="V85" i="40"/>
  <c r="AT85" i="40"/>
  <c r="BZ85" i="40"/>
  <c r="AX86" i="40"/>
  <c r="V87" i="40"/>
  <c r="AT87" i="40"/>
  <c r="BZ87" i="40"/>
  <c r="AX88" i="40"/>
  <c r="V89" i="40"/>
  <c r="AT89" i="40"/>
  <c r="BZ89" i="40"/>
  <c r="AX90" i="40"/>
  <c r="V91" i="40"/>
  <c r="U92" i="40"/>
  <c r="M93" i="40"/>
  <c r="AU94" i="40"/>
  <c r="AU67" i="40"/>
  <c r="AQ68" i="40"/>
  <c r="W69" i="40"/>
  <c r="AU69" i="40"/>
  <c r="AQ70" i="40"/>
  <c r="W71" i="40"/>
  <c r="AU71" i="40"/>
  <c r="AQ72" i="40"/>
  <c r="W73" i="40"/>
  <c r="AU73" i="40"/>
  <c r="AQ74" i="40"/>
  <c r="W75" i="40"/>
  <c r="AU75" i="40"/>
  <c r="AQ76" i="40"/>
  <c r="W77" i="40"/>
  <c r="AU77" i="40"/>
  <c r="AQ78" i="40"/>
  <c r="W79" i="40"/>
  <c r="AU79" i="40"/>
  <c r="AQ80" i="40"/>
  <c r="W81" i="40"/>
  <c r="AU81" i="40"/>
  <c r="AQ82" i="40"/>
  <c r="W83" i="40"/>
  <c r="AU83" i="40"/>
  <c r="AQ84" i="40"/>
  <c r="W85" i="40"/>
  <c r="AU85" i="40"/>
  <c r="AQ86" i="40"/>
  <c r="W87" i="40"/>
  <c r="AU87" i="40"/>
  <c r="AQ88" i="40"/>
  <c r="W89" i="40"/>
  <c r="AU89" i="40"/>
  <c r="AQ90" i="40"/>
  <c r="W91" i="40"/>
  <c r="W92" i="40"/>
  <c r="O93" i="40"/>
  <c r="AW94" i="40"/>
  <c r="CQ94" i="40"/>
  <c r="CA108" i="40"/>
  <c r="X69" i="40"/>
  <c r="AV69" i="40"/>
  <c r="AR70" i="40"/>
  <c r="X71" i="40"/>
  <c r="AV71" i="40"/>
  <c r="AR72" i="40"/>
  <c r="X73" i="40"/>
  <c r="AV73" i="40"/>
  <c r="AR74" i="40"/>
  <c r="X75" i="40"/>
  <c r="AV75" i="40"/>
  <c r="AR76" i="40"/>
  <c r="X77" i="40"/>
  <c r="AV77" i="40"/>
  <c r="AR78" i="40"/>
  <c r="X79" i="40"/>
  <c r="AV79" i="40"/>
  <c r="AR80" i="40"/>
  <c r="X81" i="40"/>
  <c r="AV81" i="40"/>
  <c r="AR82" i="40"/>
  <c r="X83" i="40"/>
  <c r="AV83" i="40"/>
  <c r="AR84" i="40"/>
  <c r="X85" i="40"/>
  <c r="AV85" i="40"/>
  <c r="AR86" i="40"/>
  <c r="X87" i="40"/>
  <c r="AV87" i="40"/>
  <c r="AR88" i="40"/>
  <c r="X89" i="40"/>
  <c r="AV89" i="40"/>
  <c r="AR90" i="40"/>
  <c r="X91" i="40"/>
  <c r="CQ91" i="40"/>
  <c r="X92" i="40"/>
  <c r="Q93" i="40"/>
  <c r="CQ95" i="40"/>
  <c r="BZ95" i="40"/>
  <c r="CA95" i="40" s="1"/>
  <c r="CQ97" i="40"/>
  <c r="CA102" i="40"/>
  <c r="AS72" i="40"/>
  <c r="AW73" i="40"/>
  <c r="AS74" i="40"/>
  <c r="AW75" i="40"/>
  <c r="AS76" i="40"/>
  <c r="AW77" i="40"/>
  <c r="AS78" i="40"/>
  <c r="AW79" i="40"/>
  <c r="AS80" i="40"/>
  <c r="AW81" i="40"/>
  <c r="AS82" i="40"/>
  <c r="AW83" i="40"/>
  <c r="AS84" i="40"/>
  <c r="Y85" i="40"/>
  <c r="AW85" i="40"/>
  <c r="AS86" i="40"/>
  <c r="Y87" i="40"/>
  <c r="AW87" i="40"/>
  <c r="AS88" i="40"/>
  <c r="Y89" i="40"/>
  <c r="AW89" i="40"/>
  <c r="AS90" i="40"/>
  <c r="Y91" i="40"/>
  <c r="CR91" i="40"/>
  <c r="Y92" i="40"/>
  <c r="CA92" i="40"/>
  <c r="CS92" i="40" s="1"/>
  <c r="AU96" i="40"/>
  <c r="CR108" i="40"/>
  <c r="AT68" i="40"/>
  <c r="Z69" i="40"/>
  <c r="AX69" i="40"/>
  <c r="AT70" i="40"/>
  <c r="Z71" i="40"/>
  <c r="AT72" i="40"/>
  <c r="Z73" i="40"/>
  <c r="AX73" i="40"/>
  <c r="AT74" i="40"/>
  <c r="Z75" i="40"/>
  <c r="AX75" i="40"/>
  <c r="AT76" i="40"/>
  <c r="Z77" i="40"/>
  <c r="AX77" i="40"/>
  <c r="AT78" i="40"/>
  <c r="Z79" i="40"/>
  <c r="AX79" i="40"/>
  <c r="AT80" i="40"/>
  <c r="Z81" i="40"/>
  <c r="AX81" i="40"/>
  <c r="AT82" i="40"/>
  <c r="Z83" i="40"/>
  <c r="AX83" i="40"/>
  <c r="AT84" i="40"/>
  <c r="Z85" i="40"/>
  <c r="AX85" i="40"/>
  <c r="AT86" i="40"/>
  <c r="Z87" i="40"/>
  <c r="AX87" i="40"/>
  <c r="AT88" i="40"/>
  <c r="Z89" i="40"/>
  <c r="AX89" i="40"/>
  <c r="AT90" i="40"/>
  <c r="Z91" i="40"/>
  <c r="CA106" i="40"/>
  <c r="CS106" i="40" s="1"/>
  <c r="AU70" i="40"/>
  <c r="AQ71" i="40"/>
  <c r="AU72" i="40"/>
  <c r="CA72" i="40"/>
  <c r="CB72" i="40" s="1"/>
  <c r="CQ72" i="40"/>
  <c r="AQ73" i="40"/>
  <c r="AU74" i="40"/>
  <c r="CA74" i="40"/>
  <c r="CQ74" i="40"/>
  <c r="AQ75" i="40"/>
  <c r="AU76" i="40"/>
  <c r="CQ76" i="40"/>
  <c r="AQ77" i="40"/>
  <c r="AU78" i="40"/>
  <c r="CQ78" i="40"/>
  <c r="AQ79" i="40"/>
  <c r="AU80" i="40"/>
  <c r="AQ81" i="40"/>
  <c r="AU82" i="40"/>
  <c r="AQ83" i="40"/>
  <c r="AU84" i="40"/>
  <c r="AQ85" i="40"/>
  <c r="AU86" i="40"/>
  <c r="AQ87" i="40"/>
  <c r="AU88" i="40"/>
  <c r="AQ89" i="40"/>
  <c r="AU90" i="40"/>
  <c r="T92" i="40"/>
  <c r="V92" i="40"/>
  <c r="AR67" i="40"/>
  <c r="AV68" i="40"/>
  <c r="AR69" i="40"/>
  <c r="AV70" i="40"/>
  <c r="AR71" i="40"/>
  <c r="AV72" i="40"/>
  <c r="AR73" i="40"/>
  <c r="AV74" i="40"/>
  <c r="AR75" i="40"/>
  <c r="AV76" i="40"/>
  <c r="AR77" i="40"/>
  <c r="AV78" i="40"/>
  <c r="AR79" i="40"/>
  <c r="AV80" i="40"/>
  <c r="AR81" i="40"/>
  <c r="AV82" i="40"/>
  <c r="AR83" i="40"/>
  <c r="AV84" i="40"/>
  <c r="AR85" i="40"/>
  <c r="AV86" i="40"/>
  <c r="AR87" i="40"/>
  <c r="AV88" i="40"/>
  <c r="AR89" i="40"/>
  <c r="AV90" i="40"/>
  <c r="K93" i="40"/>
  <c r="BZ94" i="40"/>
  <c r="CR94" i="40" s="1"/>
  <c r="CA96" i="40"/>
  <c r="CB96" i="40" s="1"/>
  <c r="CR106" i="40"/>
  <c r="AS96" i="40"/>
  <c r="AW97" i="40"/>
  <c r="AS98" i="40"/>
  <c r="AW99" i="40"/>
  <c r="AS100" i="40"/>
  <c r="AW101" i="40"/>
  <c r="AS102" i="40"/>
  <c r="AW103" i="40"/>
  <c r="AS104" i="40"/>
  <c r="AW105" i="40"/>
  <c r="AS106" i="40"/>
  <c r="AW107" i="40"/>
  <c r="AS108" i="40"/>
  <c r="AW109" i="40"/>
  <c r="AS110" i="40"/>
  <c r="AW111" i="40"/>
  <c r="AS112" i="40"/>
  <c r="AW113" i="40"/>
  <c r="CQ113" i="40"/>
  <c r="AU114" i="40"/>
  <c r="AQ115" i="40"/>
  <c r="BZ115" i="40"/>
  <c r="AW120" i="40"/>
  <c r="BZ121" i="40"/>
  <c r="CA137" i="40"/>
  <c r="CS137" i="40" s="1"/>
  <c r="AX139" i="40"/>
  <c r="AV139" i="40"/>
  <c r="AT92" i="40"/>
  <c r="R93" i="40"/>
  <c r="Z93" i="40"/>
  <c r="V94" i="40"/>
  <c r="AT94" i="40"/>
  <c r="Z95" i="40"/>
  <c r="V96" i="40"/>
  <c r="AT96" i="40"/>
  <c r="Z97" i="40"/>
  <c r="AX97" i="40"/>
  <c r="V98" i="40"/>
  <c r="AT98" i="40"/>
  <c r="Z99" i="40"/>
  <c r="AX99" i="40"/>
  <c r="V100" i="40"/>
  <c r="AT100" i="40"/>
  <c r="Z101" i="40"/>
  <c r="AX101" i="40"/>
  <c r="V102" i="40"/>
  <c r="AT102" i="40"/>
  <c r="Z103" i="40"/>
  <c r="AX103" i="40"/>
  <c r="V104" i="40"/>
  <c r="AT104" i="40"/>
  <c r="Z105" i="40"/>
  <c r="AX105" i="40"/>
  <c r="V106" i="40"/>
  <c r="AT106" i="40"/>
  <c r="Z107" i="40"/>
  <c r="AX107" i="40"/>
  <c r="V108" i="40"/>
  <c r="AT108" i="40"/>
  <c r="Z109" i="40"/>
  <c r="AX109" i="40"/>
  <c r="V110" i="40"/>
  <c r="AT110" i="40"/>
  <c r="Z111" i="40"/>
  <c r="AX111" i="40"/>
  <c r="V112" i="40"/>
  <c r="AT112" i="40"/>
  <c r="Z113" i="40"/>
  <c r="AX113" i="40"/>
  <c r="AW114" i="40"/>
  <c r="CA114" i="40"/>
  <c r="CQ114" i="40"/>
  <c r="AS115" i="40"/>
  <c r="CQ118" i="40"/>
  <c r="BZ118" i="40"/>
  <c r="CA118" i="40" s="1"/>
  <c r="BZ119" i="40"/>
  <c r="CR119" i="40" s="1"/>
  <c r="AQ97" i="40"/>
  <c r="AU98" i="40"/>
  <c r="AQ99" i="40"/>
  <c r="AU100" i="40"/>
  <c r="AQ101" i="40"/>
  <c r="AU102" i="40"/>
  <c r="AQ103" i="40"/>
  <c r="AU104" i="40"/>
  <c r="AQ105" i="40"/>
  <c r="AU106" i="40"/>
  <c r="AQ107" i="40"/>
  <c r="AU108" i="40"/>
  <c r="AQ109" i="40"/>
  <c r="AU110" i="40"/>
  <c r="AQ111" i="40"/>
  <c r="AU112" i="40"/>
  <c r="AQ113" i="40"/>
  <c r="AQ116" i="40"/>
  <c r="CQ120" i="40"/>
  <c r="BZ120" i="40"/>
  <c r="CA120" i="40" s="1"/>
  <c r="CS120" i="40" s="1"/>
  <c r="CQ121" i="40"/>
  <c r="AX146" i="40"/>
  <c r="AW146" i="40"/>
  <c r="AR93" i="40"/>
  <c r="X94" i="40"/>
  <c r="AV94" i="40"/>
  <c r="AR95" i="40"/>
  <c r="X96" i="40"/>
  <c r="AV96" i="40"/>
  <c r="AR97" i="40"/>
  <c r="X98" i="40"/>
  <c r="AV98" i="40"/>
  <c r="AR99" i="40"/>
  <c r="X100" i="40"/>
  <c r="AV100" i="40"/>
  <c r="AR101" i="40"/>
  <c r="X102" i="40"/>
  <c r="AV102" i="40"/>
  <c r="AR103" i="40"/>
  <c r="X104" i="40"/>
  <c r="AV104" i="40"/>
  <c r="AR105" i="40"/>
  <c r="X106" i="40"/>
  <c r="AV106" i="40"/>
  <c r="AR107" i="40"/>
  <c r="X108" i="40"/>
  <c r="AV108" i="40"/>
  <c r="CB108" i="40"/>
  <c r="AR109" i="40"/>
  <c r="X110" i="40"/>
  <c r="AV110" i="40"/>
  <c r="AR111" i="40"/>
  <c r="X112" i="40"/>
  <c r="AV112" i="40"/>
  <c r="AR113" i="40"/>
  <c r="AT114" i="40"/>
  <c r="CQ115" i="40"/>
  <c r="AS116" i="40"/>
  <c r="AW98" i="40"/>
  <c r="AS99" i="40"/>
  <c r="AW100" i="40"/>
  <c r="AS101" i="40"/>
  <c r="AW102" i="40"/>
  <c r="AS103" i="40"/>
  <c r="AW104" i="40"/>
  <c r="AS105" i="40"/>
  <c r="AW106" i="40"/>
  <c r="AS107" i="40"/>
  <c r="AW108" i="40"/>
  <c r="AS109" i="40"/>
  <c r="AW110" i="40"/>
  <c r="AS111" i="40"/>
  <c r="AW112" i="40"/>
  <c r="AS113" i="40"/>
  <c r="AT93" i="40"/>
  <c r="Z94" i="40"/>
  <c r="AX94" i="40"/>
  <c r="AT95" i="40"/>
  <c r="Z96" i="40"/>
  <c r="AT97" i="40"/>
  <c r="BZ97" i="40"/>
  <c r="Z98" i="40"/>
  <c r="AX98" i="40"/>
  <c r="AT99" i="40"/>
  <c r="BZ99" i="40"/>
  <c r="CA99" i="40" s="1"/>
  <c r="Z100" i="40"/>
  <c r="AX100" i="40"/>
  <c r="AT101" i="40"/>
  <c r="BZ101" i="40"/>
  <c r="CR101" i="40" s="1"/>
  <c r="Z102" i="40"/>
  <c r="AX102" i="40"/>
  <c r="AT103" i="40"/>
  <c r="BZ103" i="40"/>
  <c r="CR103" i="40" s="1"/>
  <c r="Z104" i="40"/>
  <c r="AX104" i="40"/>
  <c r="AT105" i="40"/>
  <c r="BZ105" i="40"/>
  <c r="CR105" i="40" s="1"/>
  <c r="Z106" i="40"/>
  <c r="AX106" i="40"/>
  <c r="AT107" i="40"/>
  <c r="BZ107" i="40"/>
  <c r="Z108" i="40"/>
  <c r="AX108" i="40"/>
  <c r="AT109" i="40"/>
  <c r="BZ109" i="40"/>
  <c r="CA109" i="40" s="1"/>
  <c r="Z110" i="40"/>
  <c r="AX110" i="40"/>
  <c r="AT111" i="40"/>
  <c r="BZ111" i="40"/>
  <c r="CA111" i="40" s="1"/>
  <c r="Z112" i="40"/>
  <c r="AX112" i="40"/>
  <c r="AT113" i="40"/>
  <c r="CQ116" i="40"/>
  <c r="AU95" i="40"/>
  <c r="AQ96" i="40"/>
  <c r="AU97" i="40"/>
  <c r="AQ98" i="40"/>
  <c r="AU99" i="40"/>
  <c r="AQ100" i="40"/>
  <c r="AU101" i="40"/>
  <c r="AQ102" i="40"/>
  <c r="AU103" i="40"/>
  <c r="AQ104" i="40"/>
  <c r="AU105" i="40"/>
  <c r="AQ106" i="40"/>
  <c r="AU107" i="40"/>
  <c r="AQ108" i="40"/>
  <c r="AU109" i="40"/>
  <c r="AQ110" i="40"/>
  <c r="AU111" i="40"/>
  <c r="AQ112" i="40"/>
  <c r="AU113" i="40"/>
  <c r="CR123" i="40"/>
  <c r="CR125" i="40"/>
  <c r="CR129" i="40"/>
  <c r="CA133" i="40"/>
  <c r="CB133" i="40" s="1"/>
  <c r="CT133" i="40" s="1"/>
  <c r="AR92" i="40"/>
  <c r="P93" i="40"/>
  <c r="AR94" i="40"/>
  <c r="AV95" i="40"/>
  <c r="AR96" i="40"/>
  <c r="AV97" i="40"/>
  <c r="AR98" i="40"/>
  <c r="AV99" i="40"/>
  <c r="AR100" i="40"/>
  <c r="AV101" i="40"/>
  <c r="AR102" i="40"/>
  <c r="AV103" i="40"/>
  <c r="AR104" i="40"/>
  <c r="AV105" i="40"/>
  <c r="AR106" i="40"/>
  <c r="AV107" i="40"/>
  <c r="AR108" i="40"/>
  <c r="AV109" i="40"/>
  <c r="AR110" i="40"/>
  <c r="AV111" i="40"/>
  <c r="AR112" i="40"/>
  <c r="AV113" i="40"/>
  <c r="CR114" i="40"/>
  <c r="CQ117" i="40"/>
  <c r="CR133" i="40"/>
  <c r="AX142" i="40"/>
  <c r="AV142" i="40"/>
  <c r="AV144" i="40"/>
  <c r="AV114" i="40"/>
  <c r="AR115" i="40"/>
  <c r="AR117" i="40"/>
  <c r="AV118" i="40"/>
  <c r="AR119" i="40"/>
  <c r="AV120" i="40"/>
  <c r="AR121" i="40"/>
  <c r="AV122" i="40"/>
  <c r="AR123" i="40"/>
  <c r="AV124" i="40"/>
  <c r="AR125" i="40"/>
  <c r="AV126" i="40"/>
  <c r="AR127" i="40"/>
  <c r="AV128" i="40"/>
  <c r="AR129" i="40"/>
  <c r="AV130" i="40"/>
  <c r="AR131" i="40"/>
  <c r="AV132" i="40"/>
  <c r="AR133" i="40"/>
  <c r="AV134" i="40"/>
  <c r="AR135" i="40"/>
  <c r="AV136" i="40"/>
  <c r="AR137" i="40"/>
  <c r="AV138" i="40"/>
  <c r="AS139" i="40"/>
  <c r="T140" i="40"/>
  <c r="AV140" i="40"/>
  <c r="AZ141" i="40"/>
  <c r="BH141" i="40" s="1"/>
  <c r="AS142" i="40"/>
  <c r="U143" i="40"/>
  <c r="AW143" i="40"/>
  <c r="Y144" i="40"/>
  <c r="AS144" i="40"/>
  <c r="BZ144" i="40"/>
  <c r="CR144" i="40" s="1"/>
  <c r="AW122" i="40"/>
  <c r="AS123" i="40"/>
  <c r="AW124" i="40"/>
  <c r="AS125" i="40"/>
  <c r="AW126" i="40"/>
  <c r="AS127" i="40"/>
  <c r="AW128" i="40"/>
  <c r="AS129" i="40"/>
  <c r="AW130" i="40"/>
  <c r="AS131" i="40"/>
  <c r="AW132" i="40"/>
  <c r="AS133" i="40"/>
  <c r="AW134" i="40"/>
  <c r="AS135" i="40"/>
  <c r="AW136" i="40"/>
  <c r="AS137" i="40"/>
  <c r="AW138" i="40"/>
  <c r="AW140" i="40"/>
  <c r="BZ141" i="40"/>
  <c r="CR141" i="40" s="1"/>
  <c r="Z142" i="40"/>
  <c r="V142" i="40"/>
  <c r="S142" i="40"/>
  <c r="AU142" i="40"/>
  <c r="AU144" i="40"/>
  <c r="AS145" i="40"/>
  <c r="AS160" i="40"/>
  <c r="AX114" i="40"/>
  <c r="AT115" i="40"/>
  <c r="AT117" i="40"/>
  <c r="AX118" i="40"/>
  <c r="AT119" i="40"/>
  <c r="AX120" i="40"/>
  <c r="AT121" i="40"/>
  <c r="AX122" i="40"/>
  <c r="AT123" i="40"/>
  <c r="AX124" i="40"/>
  <c r="AT125" i="40"/>
  <c r="AX126" i="40"/>
  <c r="AT127" i="40"/>
  <c r="AX128" i="40"/>
  <c r="AT129" i="40"/>
  <c r="AX130" i="40"/>
  <c r="AT131" i="40"/>
  <c r="AX132" i="40"/>
  <c r="AT133" i="40"/>
  <c r="AX134" i="40"/>
  <c r="AT135" i="40"/>
  <c r="AX136" i="40"/>
  <c r="AT137" i="40"/>
  <c r="AX138" i="40"/>
  <c r="W140" i="40"/>
  <c r="BC141" i="40"/>
  <c r="BK141" i="40" s="1"/>
  <c r="T142" i="40"/>
  <c r="X143" i="40"/>
  <c r="AW145" i="40"/>
  <c r="AW155" i="40"/>
  <c r="AU121" i="40"/>
  <c r="AQ122" i="40"/>
  <c r="AU123" i="40"/>
  <c r="CA123" i="40"/>
  <c r="CS123" i="40" s="1"/>
  <c r="CQ123" i="40"/>
  <c r="AQ124" i="40"/>
  <c r="AU125" i="40"/>
  <c r="CA125" i="40"/>
  <c r="CS125" i="40" s="1"/>
  <c r="CQ125" i="40"/>
  <c r="AQ126" i="40"/>
  <c r="AU127" i="40"/>
  <c r="CQ127" i="40"/>
  <c r="AQ128" i="40"/>
  <c r="AU129" i="40"/>
  <c r="CQ129" i="40"/>
  <c r="AQ130" i="40"/>
  <c r="AU131" i="40"/>
  <c r="AQ132" i="40"/>
  <c r="AU133" i="40"/>
  <c r="AQ134" i="40"/>
  <c r="AU135" i="40"/>
  <c r="AQ136" i="40"/>
  <c r="AU137" i="40"/>
  <c r="AQ138" i="40"/>
  <c r="CQ140" i="40"/>
  <c r="BZ143" i="40"/>
  <c r="CR143" i="40" s="1"/>
  <c r="Z144" i="40"/>
  <c r="V144" i="40"/>
  <c r="S144" i="40"/>
  <c r="AQ145" i="40"/>
  <c r="AR146" i="40"/>
  <c r="AT147" i="40"/>
  <c r="AV147" i="40"/>
  <c r="AW153" i="40"/>
  <c r="AR114" i="40"/>
  <c r="AR116" i="40"/>
  <c r="AV117" i="40"/>
  <c r="AR118" i="40"/>
  <c r="AV119" i="40"/>
  <c r="AR120" i="40"/>
  <c r="AV121" i="40"/>
  <c r="AR122" i="40"/>
  <c r="AV123" i="40"/>
  <c r="AR124" i="40"/>
  <c r="AV125" i="40"/>
  <c r="AR126" i="40"/>
  <c r="AV127" i="40"/>
  <c r="AR128" i="40"/>
  <c r="AV129" i="40"/>
  <c r="AR130" i="40"/>
  <c r="AV131" i="40"/>
  <c r="AR132" i="40"/>
  <c r="AV133" i="40"/>
  <c r="AR134" i="40"/>
  <c r="AV135" i="40"/>
  <c r="AR136" i="40"/>
  <c r="AV137" i="40"/>
  <c r="AR138" i="40"/>
  <c r="BZ140" i="40"/>
  <c r="CR140" i="40" s="1"/>
  <c r="V141" i="40"/>
  <c r="Z141" i="40"/>
  <c r="S141" i="40"/>
  <c r="BE141" i="40"/>
  <c r="BM141" i="40" s="1"/>
  <c r="W142" i="40"/>
  <c r="T144" i="40"/>
  <c r="AR145" i="40"/>
  <c r="W149" i="40"/>
  <c r="V149" i="40"/>
  <c r="T149" i="40"/>
  <c r="S149" i="40"/>
  <c r="Z149" i="40"/>
  <c r="Y149" i="40"/>
  <c r="U149" i="40"/>
  <c r="BZ150" i="40"/>
  <c r="CA150" i="40" s="1"/>
  <c r="CQ150" i="40"/>
  <c r="AW151" i="40"/>
  <c r="Z161" i="40"/>
  <c r="W161" i="40"/>
  <c r="V161" i="40"/>
  <c r="U161" i="40"/>
  <c r="T161" i="40"/>
  <c r="S161" i="40"/>
  <c r="Y161" i="40"/>
  <c r="X161" i="40"/>
  <c r="AW121" i="40"/>
  <c r="AS122" i="40"/>
  <c r="AW123" i="40"/>
  <c r="AS124" i="40"/>
  <c r="AW125" i="40"/>
  <c r="AS126" i="40"/>
  <c r="AW127" i="40"/>
  <c r="AS128" i="40"/>
  <c r="AW129" i="40"/>
  <c r="AS130" i="40"/>
  <c r="AW131" i="40"/>
  <c r="AS132" i="40"/>
  <c r="AW133" i="40"/>
  <c r="AS134" i="40"/>
  <c r="AW135" i="40"/>
  <c r="AS136" i="40"/>
  <c r="AW137" i="40"/>
  <c r="AS138" i="40"/>
  <c r="AV149" i="40"/>
  <c r="AS150" i="40"/>
  <c r="AT116" i="40"/>
  <c r="AX117" i="40"/>
  <c r="AT118" i="40"/>
  <c r="AX119" i="40"/>
  <c r="AT120" i="40"/>
  <c r="AX121" i="40"/>
  <c r="AT122" i="40"/>
  <c r="BZ122" i="40"/>
  <c r="CA122" i="40" s="1"/>
  <c r="AX123" i="40"/>
  <c r="AT124" i="40"/>
  <c r="BZ124" i="40"/>
  <c r="CA124" i="40" s="1"/>
  <c r="AX125" i="40"/>
  <c r="AT126" i="40"/>
  <c r="BZ126" i="40"/>
  <c r="AX127" i="40"/>
  <c r="AT128" i="40"/>
  <c r="BZ128" i="40"/>
  <c r="CR128" i="40" s="1"/>
  <c r="AX129" i="40"/>
  <c r="AT130" i="40"/>
  <c r="BZ130" i="40"/>
  <c r="AX131" i="40"/>
  <c r="AT132" i="40"/>
  <c r="BZ132" i="40"/>
  <c r="AX133" i="40"/>
  <c r="AT134" i="40"/>
  <c r="BZ134" i="40"/>
  <c r="CR134" i="40" s="1"/>
  <c r="AX135" i="40"/>
  <c r="AT136" i="40"/>
  <c r="BZ136" i="40"/>
  <c r="CA136" i="40" s="1"/>
  <c r="AX137" i="40"/>
  <c r="AT138" i="40"/>
  <c r="BZ138" i="40"/>
  <c r="CA138" i="40" s="1"/>
  <c r="CQ139" i="40"/>
  <c r="Y142" i="40"/>
  <c r="V143" i="40"/>
  <c r="Z143" i="40"/>
  <c r="S143" i="40"/>
  <c r="W144" i="40"/>
  <c r="AU146" i="40"/>
  <c r="AW149" i="40"/>
  <c r="AV159" i="40"/>
  <c r="AU118" i="40"/>
  <c r="AQ119" i="40"/>
  <c r="AU120" i="40"/>
  <c r="AQ121" i="40"/>
  <c r="AU122" i="40"/>
  <c r="AQ123" i="40"/>
  <c r="AU124" i="40"/>
  <c r="AQ125" i="40"/>
  <c r="AU126" i="40"/>
  <c r="AQ127" i="40"/>
  <c r="AU128" i="40"/>
  <c r="AQ129" i="40"/>
  <c r="AU130" i="40"/>
  <c r="AQ131" i="40"/>
  <c r="AU132" i="40"/>
  <c r="AQ133" i="40"/>
  <c r="AU134" i="40"/>
  <c r="AQ135" i="40"/>
  <c r="AU136" i="40"/>
  <c r="AQ137" i="40"/>
  <c r="AU138" i="40"/>
  <c r="BZ139" i="40"/>
  <c r="Z140" i="40"/>
  <c r="V140" i="40"/>
  <c r="S140" i="40"/>
  <c r="T143" i="40"/>
  <c r="X144" i="40"/>
  <c r="CR165" i="40"/>
  <c r="CR166" i="40"/>
  <c r="AX167" i="40"/>
  <c r="AT140" i="40"/>
  <c r="AX141" i="40"/>
  <c r="AT142" i="40"/>
  <c r="AX143" i="40"/>
  <c r="AT144" i="40"/>
  <c r="Z145" i="40"/>
  <c r="AX145" i="40"/>
  <c r="AS147" i="40"/>
  <c r="AX149" i="40"/>
  <c r="AR152" i="40"/>
  <c r="AR154" i="40"/>
  <c r="AR156" i="40"/>
  <c r="AS158" i="40"/>
  <c r="BZ158" i="40"/>
  <c r="CR158" i="40" s="1"/>
  <c r="CQ158" i="40"/>
  <c r="AW161" i="40"/>
  <c r="CQ146" i="40"/>
  <c r="W147" i="40"/>
  <c r="T147" i="40"/>
  <c r="BZ152" i="40"/>
  <c r="CR152" i="40" s="1"/>
  <c r="CQ152" i="40"/>
  <c r="BZ154" i="40"/>
  <c r="CR154" i="40" s="1"/>
  <c r="CQ154" i="40"/>
  <c r="BZ156" i="40"/>
  <c r="CA156" i="40" s="1"/>
  <c r="CQ156" i="40"/>
  <c r="Z163" i="40"/>
  <c r="W163" i="40"/>
  <c r="V163" i="40"/>
  <c r="U163" i="40"/>
  <c r="T163" i="40"/>
  <c r="S163" i="40"/>
  <c r="CQ145" i="40"/>
  <c r="S147" i="40"/>
  <c r="AV151" i="40"/>
  <c r="AV153" i="40"/>
  <c r="AV155" i="40"/>
  <c r="AV157" i="40"/>
  <c r="BZ164" i="40"/>
  <c r="CR164" i="40" s="1"/>
  <c r="CQ164" i="40"/>
  <c r="AW184" i="40"/>
  <c r="AX140" i="40"/>
  <c r="AT141" i="40"/>
  <c r="AT143" i="40"/>
  <c r="V145" i="40"/>
  <c r="AT145" i="40"/>
  <c r="CA145" i="40"/>
  <c r="CS145" i="40" s="1"/>
  <c r="V147" i="40"/>
  <c r="AT150" i="40"/>
  <c r="Z151" i="40"/>
  <c r="W151" i="40"/>
  <c r="V151" i="40"/>
  <c r="T151" i="40"/>
  <c r="S151" i="40"/>
  <c r="AS162" i="40"/>
  <c r="BZ162" i="40"/>
  <c r="CR162" i="40" s="1"/>
  <c r="CQ162" i="40"/>
  <c r="AQ144" i="40"/>
  <c r="AU145" i="40"/>
  <c r="X147" i="40"/>
  <c r="CR148" i="40"/>
  <c r="CQ148" i="40"/>
  <c r="CA148" i="40"/>
  <c r="CS148" i="40" s="1"/>
  <c r="Z159" i="40"/>
  <c r="W159" i="40"/>
  <c r="V159" i="40"/>
  <c r="U159" i="40"/>
  <c r="T159" i="40"/>
  <c r="S159" i="40"/>
  <c r="X163" i="40"/>
  <c r="AR144" i="40"/>
  <c r="AV145" i="40"/>
  <c r="Y147" i="40"/>
  <c r="Z153" i="40"/>
  <c r="W153" i="40"/>
  <c r="V153" i="40"/>
  <c r="U153" i="40"/>
  <c r="T153" i="40"/>
  <c r="S153" i="40"/>
  <c r="Z155" i="40"/>
  <c r="W155" i="40"/>
  <c r="V155" i="40"/>
  <c r="U155" i="40"/>
  <c r="T155" i="40"/>
  <c r="S155" i="40"/>
  <c r="Z157" i="40"/>
  <c r="W157" i="40"/>
  <c r="V157" i="40"/>
  <c r="U157" i="40"/>
  <c r="T157" i="40"/>
  <c r="S157" i="40"/>
  <c r="BZ160" i="40"/>
  <c r="CR160" i="40" s="1"/>
  <c r="CQ160" i="40"/>
  <c r="Y163" i="40"/>
  <c r="AW167" i="40"/>
  <c r="CS167" i="40"/>
  <c r="AU148" i="40"/>
  <c r="AQ149" i="40"/>
  <c r="AU150" i="40"/>
  <c r="AQ151" i="40"/>
  <c r="AU152" i="40"/>
  <c r="AQ153" i="40"/>
  <c r="AU154" i="40"/>
  <c r="AQ155" i="40"/>
  <c r="AU156" i="40"/>
  <c r="AQ157" i="40"/>
  <c r="AU158" i="40"/>
  <c r="AQ159" i="40"/>
  <c r="W160" i="40"/>
  <c r="AU160" i="40"/>
  <c r="AQ161" i="40"/>
  <c r="W162" i="40"/>
  <c r="AU162" i="40"/>
  <c r="AQ163" i="40"/>
  <c r="W164" i="40"/>
  <c r="AU164" i="40"/>
  <c r="S165" i="40"/>
  <c r="AQ165" i="40"/>
  <c r="W166" i="40"/>
  <c r="AU166" i="40"/>
  <c r="CA166" i="40"/>
  <c r="CB166" i="40" s="1"/>
  <c r="CQ166" i="40"/>
  <c r="S167" i="40"/>
  <c r="AQ167" i="40"/>
  <c r="AW170" i="40"/>
  <c r="AU171" i="40"/>
  <c r="CQ173" i="40"/>
  <c r="CA173" i="40"/>
  <c r="CB173" i="40" s="1"/>
  <c r="AW176" i="40"/>
  <c r="CR183" i="40"/>
  <c r="AV146" i="40"/>
  <c r="AR147" i="40"/>
  <c r="AV148" i="40"/>
  <c r="AR149" i="40"/>
  <c r="AV150" i="40"/>
  <c r="AR151" i="40"/>
  <c r="AV152" i="40"/>
  <c r="AR153" i="40"/>
  <c r="AV154" i="40"/>
  <c r="AR155" i="40"/>
  <c r="AV156" i="40"/>
  <c r="AR157" i="40"/>
  <c r="X158" i="40"/>
  <c r="AV158" i="40"/>
  <c r="AR159" i="40"/>
  <c r="X160" i="40"/>
  <c r="AV160" i="40"/>
  <c r="AR161" i="40"/>
  <c r="X162" i="40"/>
  <c r="AV162" i="40"/>
  <c r="AR163" i="40"/>
  <c r="X164" i="40"/>
  <c r="AV164" i="40"/>
  <c r="T165" i="40"/>
  <c r="AR165" i="40"/>
  <c r="X166" i="40"/>
  <c r="AV166" i="40"/>
  <c r="T167" i="40"/>
  <c r="AR167" i="40"/>
  <c r="T168" i="40"/>
  <c r="Z168" i="40"/>
  <c r="AT169" i="40"/>
  <c r="AQ171" i="40"/>
  <c r="AW171" i="40"/>
  <c r="AQ172" i="40"/>
  <c r="BZ177" i="40"/>
  <c r="CA177" i="40" s="1"/>
  <c r="AS181" i="40"/>
  <c r="CQ183" i="40"/>
  <c r="CA183" i="40"/>
  <c r="CS183" i="40" s="1"/>
  <c r="BZ185" i="40"/>
  <c r="CA185" i="40" s="1"/>
  <c r="AS189" i="40"/>
  <c r="AS151" i="40"/>
  <c r="AW152" i="40"/>
  <c r="AS153" i="40"/>
  <c r="AW154" i="40"/>
  <c r="AS155" i="40"/>
  <c r="AW156" i="40"/>
  <c r="AS157" i="40"/>
  <c r="AW158" i="40"/>
  <c r="AS159" i="40"/>
  <c r="AW160" i="40"/>
  <c r="AS161" i="40"/>
  <c r="AW162" i="40"/>
  <c r="AS163" i="40"/>
  <c r="AW164" i="40"/>
  <c r="U165" i="40"/>
  <c r="AS165" i="40"/>
  <c r="AW166" i="40"/>
  <c r="U167" i="40"/>
  <c r="AS167" i="40"/>
  <c r="AW178" i="40"/>
  <c r="AW186" i="40"/>
  <c r="BZ147" i="40"/>
  <c r="CR147" i="40" s="1"/>
  <c r="AX148" i="40"/>
  <c r="AT149" i="40"/>
  <c r="BZ149" i="40"/>
  <c r="CA149" i="40" s="1"/>
  <c r="AX150" i="40"/>
  <c r="AT151" i="40"/>
  <c r="BZ151" i="40"/>
  <c r="CA151" i="40" s="1"/>
  <c r="AX152" i="40"/>
  <c r="AT153" i="40"/>
  <c r="BZ153" i="40"/>
  <c r="CA153" i="40" s="1"/>
  <c r="AX154" i="40"/>
  <c r="AT155" i="40"/>
  <c r="BZ155" i="40"/>
  <c r="CA155" i="40" s="1"/>
  <c r="AX156" i="40"/>
  <c r="AT157" i="40"/>
  <c r="AX158" i="40"/>
  <c r="AT159" i="40"/>
  <c r="AX160" i="40"/>
  <c r="AT161" i="40"/>
  <c r="AX162" i="40"/>
  <c r="AT163" i="40"/>
  <c r="AX164" i="40"/>
  <c r="V165" i="40"/>
  <c r="AT165" i="40"/>
  <c r="AX166" i="40"/>
  <c r="V167" i="40"/>
  <c r="AT167" i="40"/>
  <c r="S168" i="40"/>
  <c r="AS175" i="40"/>
  <c r="BZ175" i="40"/>
  <c r="CQ177" i="40"/>
  <c r="BZ179" i="40"/>
  <c r="AS183" i="40"/>
  <c r="CQ185" i="40"/>
  <c r="BZ187" i="40"/>
  <c r="CA187" i="40" s="1"/>
  <c r="CR191" i="40"/>
  <c r="AX195" i="40"/>
  <c r="AW195" i="40"/>
  <c r="AU147" i="40"/>
  <c r="AQ148" i="40"/>
  <c r="AU149" i="40"/>
  <c r="AQ150" i="40"/>
  <c r="AU151" i="40"/>
  <c r="AQ152" i="40"/>
  <c r="AU153" i="40"/>
  <c r="AQ154" i="40"/>
  <c r="AU155" i="40"/>
  <c r="AQ156" i="40"/>
  <c r="AU157" i="40"/>
  <c r="AQ158" i="40"/>
  <c r="AU159" i="40"/>
  <c r="AQ160" i="40"/>
  <c r="AU161" i="40"/>
  <c r="AQ162" i="40"/>
  <c r="AU163" i="40"/>
  <c r="AQ164" i="40"/>
  <c r="W165" i="40"/>
  <c r="AU165" i="40"/>
  <c r="AQ166" i="40"/>
  <c r="W167" i="40"/>
  <c r="AU167" i="40"/>
  <c r="U168" i="40"/>
  <c r="BZ169" i="40"/>
  <c r="CQ174" i="40"/>
  <c r="AW180" i="40"/>
  <c r="X165" i="40"/>
  <c r="AV165" i="40"/>
  <c r="AR166" i="40"/>
  <c r="AV167" i="40"/>
  <c r="AT168" i="40"/>
  <c r="BZ168" i="40"/>
  <c r="CA168" i="40" s="1"/>
  <c r="CB168" i="40" s="1"/>
  <c r="BZ170" i="40"/>
  <c r="CA170" i="40" s="1"/>
  <c r="CS171" i="40"/>
  <c r="CQ175" i="40"/>
  <c r="CQ179" i="40"/>
  <c r="BZ181" i="40"/>
  <c r="CR181" i="40" s="1"/>
  <c r="CQ187" i="40"/>
  <c r="BZ189" i="40"/>
  <c r="CR189" i="40" s="1"/>
  <c r="Y165" i="40"/>
  <c r="AW165" i="40"/>
  <c r="AS166" i="40"/>
  <c r="CR167" i="40"/>
  <c r="AW182" i="40"/>
  <c r="AW190" i="40"/>
  <c r="AX151" i="40"/>
  <c r="AT152" i="40"/>
  <c r="AX153" i="40"/>
  <c r="AT154" i="40"/>
  <c r="AX155" i="40"/>
  <c r="AT156" i="40"/>
  <c r="AX157" i="40"/>
  <c r="AT158" i="40"/>
  <c r="AT160" i="40"/>
  <c r="AX161" i="40"/>
  <c r="AT162" i="40"/>
  <c r="AX163" i="40"/>
  <c r="AT164" i="40"/>
  <c r="AX165" i="40"/>
  <c r="AT166" i="40"/>
  <c r="CB167" i="40"/>
  <c r="CQ167" i="40"/>
  <c r="CQ169" i="40"/>
  <c r="CR173" i="40"/>
  <c r="CQ181" i="40"/>
  <c r="CQ189" i="40"/>
  <c r="AR168" i="40"/>
  <c r="AV169" i="40"/>
  <c r="T170" i="40"/>
  <c r="AR170" i="40"/>
  <c r="AV171" i="40"/>
  <c r="T172" i="40"/>
  <c r="AR172" i="40"/>
  <c r="AV173" i="40"/>
  <c r="T174" i="40"/>
  <c r="AR174" i="40"/>
  <c r="AV175" i="40"/>
  <c r="T176" i="40"/>
  <c r="AR176" i="40"/>
  <c r="AV177" i="40"/>
  <c r="T178" i="40"/>
  <c r="AR178" i="40"/>
  <c r="AV179" i="40"/>
  <c r="T180" i="40"/>
  <c r="AR180" i="40"/>
  <c r="AV181" i="40"/>
  <c r="T182" i="40"/>
  <c r="AR182" i="40"/>
  <c r="AV183" i="40"/>
  <c r="T184" i="40"/>
  <c r="AR184" i="40"/>
  <c r="AV185" i="40"/>
  <c r="T186" i="40"/>
  <c r="AR186" i="40"/>
  <c r="AV187" i="40"/>
  <c r="T188" i="40"/>
  <c r="AR188" i="40"/>
  <c r="AV189" i="40"/>
  <c r="T190" i="40"/>
  <c r="AR190" i="40"/>
  <c r="AV191" i="40"/>
  <c r="T192" i="40"/>
  <c r="AR192" i="40"/>
  <c r="AV193" i="40"/>
  <c r="T194" i="40"/>
  <c r="U195" i="40"/>
  <c r="AS176" i="40"/>
  <c r="AW177" i="40"/>
  <c r="AS178" i="40"/>
  <c r="AW179" i="40"/>
  <c r="AS180" i="40"/>
  <c r="AW181" i="40"/>
  <c r="AS182" i="40"/>
  <c r="AW183" i="40"/>
  <c r="AS184" i="40"/>
  <c r="AW185" i="40"/>
  <c r="AS186" i="40"/>
  <c r="AW187" i="40"/>
  <c r="AS188" i="40"/>
  <c r="AW189" i="40"/>
  <c r="AS190" i="40"/>
  <c r="AW191" i="40"/>
  <c r="AS192" i="40"/>
  <c r="AW193" i="40"/>
  <c r="V195" i="40"/>
  <c r="AX169" i="40"/>
  <c r="AT170" i="40"/>
  <c r="AX171" i="40"/>
  <c r="AT172" i="40"/>
  <c r="BZ172" i="40"/>
  <c r="AX173" i="40"/>
  <c r="AT174" i="40"/>
  <c r="BZ174" i="40"/>
  <c r="AX175" i="40"/>
  <c r="AT176" i="40"/>
  <c r="BZ176" i="40"/>
  <c r="CA176" i="40" s="1"/>
  <c r="AX177" i="40"/>
  <c r="AT178" i="40"/>
  <c r="BZ178" i="40"/>
  <c r="CA178" i="40" s="1"/>
  <c r="AX179" i="40"/>
  <c r="AT180" i="40"/>
  <c r="BZ180" i="40"/>
  <c r="CR180" i="40" s="1"/>
  <c r="AX181" i="40"/>
  <c r="AT182" i="40"/>
  <c r="BZ182" i="40"/>
  <c r="CA182" i="40" s="1"/>
  <c r="CB182" i="40" s="1"/>
  <c r="AX183" i="40"/>
  <c r="AT184" i="40"/>
  <c r="BZ184" i="40"/>
  <c r="CA184" i="40" s="1"/>
  <c r="AX185" i="40"/>
  <c r="AT186" i="40"/>
  <c r="BZ186" i="40"/>
  <c r="CR186" i="40" s="1"/>
  <c r="AX187" i="40"/>
  <c r="AT188" i="40"/>
  <c r="BZ188" i="40"/>
  <c r="AX189" i="40"/>
  <c r="AT190" i="40"/>
  <c r="BZ190" i="40"/>
  <c r="CR190" i="40" s="1"/>
  <c r="AX191" i="40"/>
  <c r="AT192" i="40"/>
  <c r="BZ192" i="40"/>
  <c r="CR192" i="40" s="1"/>
  <c r="AX193" i="40"/>
  <c r="W195" i="40"/>
  <c r="BZ195" i="40"/>
  <c r="CR195" i="40" s="1"/>
  <c r="AS198" i="40"/>
  <c r="AU172" i="40"/>
  <c r="AQ173" i="40"/>
  <c r="AU174" i="40"/>
  <c r="AQ175" i="40"/>
  <c r="AU176" i="40"/>
  <c r="AQ177" i="40"/>
  <c r="AU178" i="40"/>
  <c r="AQ179" i="40"/>
  <c r="AU180" i="40"/>
  <c r="AQ181" i="40"/>
  <c r="AU182" i="40"/>
  <c r="AQ183" i="40"/>
  <c r="AU184" i="40"/>
  <c r="AQ185" i="40"/>
  <c r="AU186" i="40"/>
  <c r="AQ187" i="40"/>
  <c r="AU188" i="40"/>
  <c r="AQ189" i="40"/>
  <c r="AU190" i="40"/>
  <c r="AQ191" i="40"/>
  <c r="AU192" i="40"/>
  <c r="AQ193" i="40"/>
  <c r="CR194" i="40"/>
  <c r="X195" i="40"/>
  <c r="CQ195" i="40"/>
  <c r="AS197" i="40"/>
  <c r="AW198" i="40"/>
  <c r="AW210" i="40"/>
  <c r="AV168" i="40"/>
  <c r="AR169" i="40"/>
  <c r="AV170" i="40"/>
  <c r="AR171" i="40"/>
  <c r="AV172" i="40"/>
  <c r="AR173" i="40"/>
  <c r="AV174" i="40"/>
  <c r="AR175" i="40"/>
  <c r="AV176" i="40"/>
  <c r="AR177" i="40"/>
  <c r="AV178" i="40"/>
  <c r="AR179" i="40"/>
  <c r="AV180" i="40"/>
  <c r="AR181" i="40"/>
  <c r="AV182" i="40"/>
  <c r="AR183" i="40"/>
  <c r="AV184" i="40"/>
  <c r="AR185" i="40"/>
  <c r="AV186" i="40"/>
  <c r="AR187" i="40"/>
  <c r="AV188" i="40"/>
  <c r="AR189" i="40"/>
  <c r="AV190" i="40"/>
  <c r="AR191" i="40"/>
  <c r="AV192" i="40"/>
  <c r="AR193" i="40"/>
  <c r="CQ194" i="40"/>
  <c r="CQ196" i="40"/>
  <c r="BZ196" i="40"/>
  <c r="AS191" i="40"/>
  <c r="AW192" i="40"/>
  <c r="AS193" i="40"/>
  <c r="CQ197" i="40"/>
  <c r="BZ197" i="40"/>
  <c r="CR197" i="40" s="1"/>
  <c r="AW207" i="40"/>
  <c r="AX170" i="40"/>
  <c r="AT171" i="40"/>
  <c r="AX172" i="40"/>
  <c r="AT173" i="40"/>
  <c r="AX174" i="40"/>
  <c r="AT175" i="40"/>
  <c r="AX176" i="40"/>
  <c r="AT177" i="40"/>
  <c r="AX178" i="40"/>
  <c r="AT179" i="40"/>
  <c r="AX180" i="40"/>
  <c r="AT181" i="40"/>
  <c r="AX182" i="40"/>
  <c r="AT183" i="40"/>
  <c r="AX184" i="40"/>
  <c r="AT185" i="40"/>
  <c r="AX186" i="40"/>
  <c r="AT187" i="40"/>
  <c r="AX188" i="40"/>
  <c r="AT189" i="40"/>
  <c r="AX190" i="40"/>
  <c r="AT191" i="40"/>
  <c r="AX192" i="40"/>
  <c r="AT193" i="40"/>
  <c r="CA194" i="40"/>
  <c r="CB194" i="40" s="1"/>
  <c r="Z195" i="40"/>
  <c r="T195" i="40"/>
  <c r="AU173" i="40"/>
  <c r="AQ174" i="40"/>
  <c r="AU175" i="40"/>
  <c r="AQ176" i="40"/>
  <c r="AU177" i="40"/>
  <c r="AQ178" i="40"/>
  <c r="AU179" i="40"/>
  <c r="AQ180" i="40"/>
  <c r="AU181" i="40"/>
  <c r="AQ182" i="40"/>
  <c r="AU183" i="40"/>
  <c r="AQ184" i="40"/>
  <c r="AU185" i="40"/>
  <c r="AQ186" i="40"/>
  <c r="AU187" i="40"/>
  <c r="AQ188" i="40"/>
  <c r="AU189" i="40"/>
  <c r="AQ190" i="40"/>
  <c r="AU191" i="40"/>
  <c r="CA191" i="40"/>
  <c r="AQ192" i="40"/>
  <c r="AU193" i="40"/>
  <c r="AV194" i="40"/>
  <c r="AR195" i="40"/>
  <c r="AV196" i="40"/>
  <c r="T197" i="40"/>
  <c r="AR197" i="40"/>
  <c r="AV198" i="40"/>
  <c r="T199" i="40"/>
  <c r="AR199" i="40"/>
  <c r="AV200" i="40"/>
  <c r="T201" i="40"/>
  <c r="AR201" i="40"/>
  <c r="AV202" i="40"/>
  <c r="T203" i="40"/>
  <c r="AR203" i="40"/>
  <c r="AV204" i="40"/>
  <c r="T205" i="40"/>
  <c r="AR205" i="40"/>
  <c r="AV206" i="40"/>
  <c r="CB206" i="40"/>
  <c r="CT206" i="40" s="1"/>
  <c r="W207" i="40"/>
  <c r="Z207" i="40"/>
  <c r="AR207" i="40"/>
  <c r="CR207" i="40"/>
  <c r="CA207" i="40"/>
  <c r="CS207" i="40" s="1"/>
  <c r="V208" i="40"/>
  <c r="AW208" i="40"/>
  <c r="Y210" i="40"/>
  <c r="CQ211" i="40"/>
  <c r="AS199" i="40"/>
  <c r="AW200" i="40"/>
  <c r="AS201" i="40"/>
  <c r="AW202" i="40"/>
  <c r="AS203" i="40"/>
  <c r="AW204" i="40"/>
  <c r="AS205" i="40"/>
  <c r="AW206" i="40"/>
  <c r="AS207" i="40"/>
  <c r="W208" i="40"/>
  <c r="AQ209" i="40"/>
  <c r="AX217" i="40"/>
  <c r="AW217" i="40"/>
  <c r="AV221" i="40"/>
  <c r="AT197" i="40"/>
  <c r="AX198" i="40"/>
  <c r="AT199" i="40"/>
  <c r="BZ199" i="40"/>
  <c r="CR199" i="40" s="1"/>
  <c r="AX200" i="40"/>
  <c r="AT201" i="40"/>
  <c r="BZ201" i="40"/>
  <c r="AX202" i="40"/>
  <c r="AT203" i="40"/>
  <c r="BZ203" i="40"/>
  <c r="CA203" i="40" s="1"/>
  <c r="AX204" i="40"/>
  <c r="AT205" i="40"/>
  <c r="AX206" i="40"/>
  <c r="AR209" i="40"/>
  <c r="AS211" i="40"/>
  <c r="W212" i="40"/>
  <c r="V212" i="40"/>
  <c r="U212" i="40"/>
  <c r="T212" i="40"/>
  <c r="S212" i="40"/>
  <c r="Z212" i="40"/>
  <c r="Y212" i="40"/>
  <c r="AU197" i="40"/>
  <c r="AQ198" i="40"/>
  <c r="AU199" i="40"/>
  <c r="CQ199" i="40"/>
  <c r="AQ200" i="40"/>
  <c r="AU201" i="40"/>
  <c r="CQ201" i="40"/>
  <c r="AQ202" i="40"/>
  <c r="AU203" i="40"/>
  <c r="CQ203" i="40"/>
  <c r="AQ204" i="40"/>
  <c r="AU205" i="40"/>
  <c r="CA205" i="40"/>
  <c r="CB205" i="40" s="1"/>
  <c r="AQ206" i="40"/>
  <c r="BZ208" i="40"/>
  <c r="AS210" i="40"/>
  <c r="AV195" i="40"/>
  <c r="AR196" i="40"/>
  <c r="X197" i="40"/>
  <c r="AV197" i="40"/>
  <c r="AR198" i="40"/>
  <c r="X199" i="40"/>
  <c r="AV199" i="40"/>
  <c r="AR200" i="40"/>
  <c r="X201" i="40"/>
  <c r="AV201" i="40"/>
  <c r="AR202" i="40"/>
  <c r="X203" i="40"/>
  <c r="AV203" i="40"/>
  <c r="AR204" i="40"/>
  <c r="X205" i="40"/>
  <c r="AV205" i="40"/>
  <c r="CR205" i="40"/>
  <c r="AR206" i="40"/>
  <c r="Z208" i="40"/>
  <c r="AW199" i="40"/>
  <c r="AS200" i="40"/>
  <c r="AW201" i="40"/>
  <c r="AS202" i="40"/>
  <c r="AW203" i="40"/>
  <c r="AS204" i="40"/>
  <c r="AW205" i="40"/>
  <c r="AS206" i="40"/>
  <c r="CQ206" i="40"/>
  <c r="CQ209" i="40"/>
  <c r="BZ209" i="40"/>
  <c r="CA209" i="40" s="1"/>
  <c r="AT196" i="40"/>
  <c r="AX197" i="40"/>
  <c r="AT198" i="40"/>
  <c r="BZ198" i="40"/>
  <c r="AX199" i="40"/>
  <c r="AT200" i="40"/>
  <c r="BZ200" i="40"/>
  <c r="CR200" i="40" s="1"/>
  <c r="AX201" i="40"/>
  <c r="AT202" i="40"/>
  <c r="BZ202" i="40"/>
  <c r="AX203" i="40"/>
  <c r="AT204" i="40"/>
  <c r="BZ204" i="40"/>
  <c r="Z205" i="40"/>
  <c r="AX205" i="40"/>
  <c r="AT206" i="40"/>
  <c r="CR206" i="40"/>
  <c r="T208" i="40"/>
  <c r="S208" i="40"/>
  <c r="CQ208" i="40"/>
  <c r="CS214" i="40"/>
  <c r="CB214" i="40"/>
  <c r="CC214" i="40" s="1"/>
  <c r="CU214" i="40" s="1"/>
  <c r="AU216" i="40"/>
  <c r="AU196" i="40"/>
  <c r="AQ197" i="40"/>
  <c r="AU198" i="40"/>
  <c r="AQ199" i="40"/>
  <c r="AU200" i="40"/>
  <c r="AQ201" i="40"/>
  <c r="AU202" i="40"/>
  <c r="AQ203" i="40"/>
  <c r="AU204" i="40"/>
  <c r="AQ205" i="40"/>
  <c r="AU206" i="40"/>
  <c r="CQ207" i="40"/>
  <c r="U208" i="40"/>
  <c r="W210" i="40"/>
  <c r="T210" i="40"/>
  <c r="S210" i="40"/>
  <c r="Z210" i="40"/>
  <c r="X210" i="40"/>
  <c r="AV220" i="40"/>
  <c r="AV212" i="40"/>
  <c r="AR213" i="40"/>
  <c r="X214" i="40"/>
  <c r="AV214" i="40"/>
  <c r="AR215" i="40"/>
  <c r="X216" i="40"/>
  <c r="AT217" i="40"/>
  <c r="CQ221" i="40"/>
  <c r="BZ221" i="40"/>
  <c r="CA221" i="40" s="1"/>
  <c r="AX234" i="40"/>
  <c r="AU234" i="40"/>
  <c r="AW212" i="40"/>
  <c r="AS213" i="40"/>
  <c r="Y214" i="40"/>
  <c r="AW214" i="40"/>
  <c r="AS215" i="40"/>
  <c r="Y216" i="40"/>
  <c r="CQ216" i="40"/>
  <c r="W219" i="40"/>
  <c r="V219" i="40"/>
  <c r="W220" i="40"/>
  <c r="AV222" i="40"/>
  <c r="AX208" i="40"/>
  <c r="AT209" i="40"/>
  <c r="AX210" i="40"/>
  <c r="AT211" i="40"/>
  <c r="BZ211" i="40"/>
  <c r="CR211" i="40" s="1"/>
  <c r="AX212" i="40"/>
  <c r="AT213" i="40"/>
  <c r="BZ213" i="40"/>
  <c r="CA213" i="40" s="1"/>
  <c r="Z214" i="40"/>
  <c r="AX214" i="40"/>
  <c r="AT215" i="40"/>
  <c r="BZ215" i="40"/>
  <c r="CA215" i="40" s="1"/>
  <c r="Z216" i="40"/>
  <c r="BZ216" i="40"/>
  <c r="CR216" i="40" s="1"/>
  <c r="S219" i="40"/>
  <c r="X220" i="40"/>
  <c r="AR220" i="40"/>
  <c r="AX232" i="40"/>
  <c r="AW232" i="40"/>
  <c r="AU207" i="40"/>
  <c r="AQ208" i="40"/>
  <c r="W209" i="40"/>
  <c r="AU209" i="40"/>
  <c r="AQ210" i="40"/>
  <c r="W211" i="40"/>
  <c r="AU211" i="40"/>
  <c r="AQ212" i="40"/>
  <c r="W213" i="40"/>
  <c r="AU213" i="40"/>
  <c r="S214" i="40"/>
  <c r="AQ214" i="40"/>
  <c r="W215" i="40"/>
  <c r="AU215" i="40"/>
  <c r="S216" i="40"/>
  <c r="AQ216" i="40"/>
  <c r="S218" i="40"/>
  <c r="Z218" i="40"/>
  <c r="T218" i="40"/>
  <c r="BZ218" i="40"/>
  <c r="T219" i="40"/>
  <c r="Y220" i="40"/>
  <c r="AS220" i="40"/>
  <c r="CQ220" i="40"/>
  <c r="Y222" i="40"/>
  <c r="V222" i="40"/>
  <c r="U222" i="40"/>
  <c r="S222" i="40"/>
  <c r="Z222" i="40"/>
  <c r="AX231" i="40"/>
  <c r="AV231" i="40"/>
  <c r="AU232" i="40"/>
  <c r="AV207" i="40"/>
  <c r="AR208" i="40"/>
  <c r="AV209" i="40"/>
  <c r="AR210" i="40"/>
  <c r="AV211" i="40"/>
  <c r="AR212" i="40"/>
  <c r="AV213" i="40"/>
  <c r="T214" i="40"/>
  <c r="AR214" i="40"/>
  <c r="AV215" i="40"/>
  <c r="T216" i="40"/>
  <c r="W217" i="40"/>
  <c r="Z217" i="40"/>
  <c r="CQ217" i="40"/>
  <c r="BZ217" i="40"/>
  <c r="CA217" i="40" s="1"/>
  <c r="U219" i="40"/>
  <c r="AQ221" i="40"/>
  <c r="AR222" i="40"/>
  <c r="AR223" i="40"/>
  <c r="AW211" i="40"/>
  <c r="AS212" i="40"/>
  <c r="AW213" i="40"/>
  <c r="U214" i="40"/>
  <c r="AS214" i="40"/>
  <c r="AW215" i="40"/>
  <c r="U216" i="40"/>
  <c r="X219" i="40"/>
  <c r="CA220" i="40"/>
  <c r="CS220" i="40" s="1"/>
  <c r="CA231" i="40"/>
  <c r="AT210" i="40"/>
  <c r="BZ210" i="40"/>
  <c r="CA210" i="40" s="1"/>
  <c r="AX211" i="40"/>
  <c r="AT212" i="40"/>
  <c r="BZ212" i="40"/>
  <c r="CA212" i="40" s="1"/>
  <c r="AX213" i="40"/>
  <c r="V214" i="40"/>
  <c r="AT214" i="40"/>
  <c r="AX215" i="40"/>
  <c r="V216" i="40"/>
  <c r="Y219" i="40"/>
  <c r="S220" i="40"/>
  <c r="Z220" i="40"/>
  <c r="T220" i="40"/>
  <c r="U221" i="40"/>
  <c r="Z221" i="40"/>
  <c r="Y221" i="40"/>
  <c r="W221" i="40"/>
  <c r="V221" i="40"/>
  <c r="X221" i="40"/>
  <c r="AU210" i="40"/>
  <c r="AQ211" i="40"/>
  <c r="AU212" i="40"/>
  <c r="AQ213" i="40"/>
  <c r="AU214" i="40"/>
  <c r="AQ215" i="40"/>
  <c r="Z219" i="40"/>
  <c r="CQ219" i="40"/>
  <c r="BZ219" i="40"/>
  <c r="CR219" i="40" s="1"/>
  <c r="U220" i="40"/>
  <c r="AT220" i="40"/>
  <c r="AX218" i="40"/>
  <c r="AT219" i="40"/>
  <c r="AX220" i="40"/>
  <c r="AT221" i="40"/>
  <c r="AX222" i="40"/>
  <c r="V223" i="40"/>
  <c r="AT223" i="40"/>
  <c r="BZ223" i="40"/>
  <c r="Z224" i="40"/>
  <c r="AX224" i="40"/>
  <c r="V225" i="40"/>
  <c r="AT225" i="40"/>
  <c r="BZ225" i="40"/>
  <c r="CR225" i="40" s="1"/>
  <c r="Z226" i="40"/>
  <c r="AX226" i="40"/>
  <c r="V227" i="40"/>
  <c r="AT227" i="40"/>
  <c r="BZ227" i="40"/>
  <c r="CA227" i="40" s="1"/>
  <c r="Z228" i="40"/>
  <c r="AX228" i="40"/>
  <c r="V229" i="40"/>
  <c r="AT229" i="40"/>
  <c r="BZ229" i="40"/>
  <c r="Z230" i="40"/>
  <c r="AX230" i="40"/>
  <c r="U231" i="40"/>
  <c r="AQ232" i="40"/>
  <c r="T233" i="40"/>
  <c r="V233" i="40"/>
  <c r="AS234" i="40"/>
  <c r="CR234" i="40"/>
  <c r="AU217" i="40"/>
  <c r="AQ218" i="40"/>
  <c r="AU219" i="40"/>
  <c r="AQ220" i="40"/>
  <c r="AU221" i="40"/>
  <c r="AQ222" i="40"/>
  <c r="W223" i="40"/>
  <c r="AU223" i="40"/>
  <c r="S224" i="40"/>
  <c r="AQ224" i="40"/>
  <c r="W225" i="40"/>
  <c r="AU225" i="40"/>
  <c r="S226" i="40"/>
  <c r="AQ226" i="40"/>
  <c r="W227" i="40"/>
  <c r="AU227" i="40"/>
  <c r="S228" i="40"/>
  <c r="AQ228" i="40"/>
  <c r="W229" i="40"/>
  <c r="AU229" i="40"/>
  <c r="S230" i="40"/>
  <c r="AQ230" i="40"/>
  <c r="V231" i="40"/>
  <c r="CQ233" i="40"/>
  <c r="AT234" i="40"/>
  <c r="X223" i="40"/>
  <c r="AV223" i="40"/>
  <c r="T224" i="40"/>
  <c r="AR224" i="40"/>
  <c r="X225" i="40"/>
  <c r="AV225" i="40"/>
  <c r="T226" i="40"/>
  <c r="AR226" i="40"/>
  <c r="X227" i="40"/>
  <c r="AV227" i="40"/>
  <c r="AR228" i="40"/>
  <c r="X229" i="40"/>
  <c r="AV229" i="40"/>
  <c r="AR230" i="40"/>
  <c r="W231" i="40"/>
  <c r="CQ231" i="40"/>
  <c r="AW221" i="40"/>
  <c r="AS222" i="40"/>
  <c r="Y223" i="40"/>
  <c r="AW223" i="40"/>
  <c r="U224" i="40"/>
  <c r="AS224" i="40"/>
  <c r="Y225" i="40"/>
  <c r="AW225" i="40"/>
  <c r="U226" i="40"/>
  <c r="AS226" i="40"/>
  <c r="Y227" i="40"/>
  <c r="AW227" i="40"/>
  <c r="U228" i="40"/>
  <c r="AS228" i="40"/>
  <c r="Y229" i="40"/>
  <c r="AW229" i="40"/>
  <c r="U230" i="40"/>
  <c r="AS230" i="40"/>
  <c r="CQ230" i="40"/>
  <c r="X231" i="40"/>
  <c r="CR231" i="40"/>
  <c r="BZ232" i="40"/>
  <c r="CA234" i="40"/>
  <c r="AQ237" i="40"/>
  <c r="AU240" i="40"/>
  <c r="BZ241" i="40"/>
  <c r="CA241" i="40" s="1"/>
  <c r="AX221" i="40"/>
  <c r="AT222" i="40"/>
  <c r="Z223" i="40"/>
  <c r="AX223" i="40"/>
  <c r="V224" i="40"/>
  <c r="AT224" i="40"/>
  <c r="Z225" i="40"/>
  <c r="AX225" i="40"/>
  <c r="V226" i="40"/>
  <c r="AT226" i="40"/>
  <c r="BZ226" i="40"/>
  <c r="Z227" i="40"/>
  <c r="AX227" i="40"/>
  <c r="V228" i="40"/>
  <c r="AT228" i="40"/>
  <c r="BZ228" i="40"/>
  <c r="CR228" i="40" s="1"/>
  <c r="Z229" i="40"/>
  <c r="AX229" i="40"/>
  <c r="V230" i="40"/>
  <c r="AT230" i="40"/>
  <c r="BZ230" i="40"/>
  <c r="CA230" i="40" s="1"/>
  <c r="AU222" i="40"/>
  <c r="AQ223" i="40"/>
  <c r="W224" i="40"/>
  <c r="AU224" i="40"/>
  <c r="AQ225" i="40"/>
  <c r="W226" i="40"/>
  <c r="AU226" i="40"/>
  <c r="AQ227" i="40"/>
  <c r="AU228" i="40"/>
  <c r="AQ229" i="40"/>
  <c r="AU230" i="40"/>
  <c r="T231" i="40"/>
  <c r="Z231" i="40"/>
  <c r="X224" i="40"/>
  <c r="AV224" i="40"/>
  <c r="AR225" i="40"/>
  <c r="X226" i="40"/>
  <c r="AV226" i="40"/>
  <c r="T227" i="40"/>
  <c r="AR227" i="40"/>
  <c r="X228" i="40"/>
  <c r="AV228" i="40"/>
  <c r="T229" i="40"/>
  <c r="AR229" i="40"/>
  <c r="X230" i="40"/>
  <c r="AV230" i="40"/>
  <c r="AU236" i="40"/>
  <c r="CQ239" i="40"/>
  <c r="BZ239" i="40"/>
  <c r="AW242" i="40"/>
  <c r="AX242" i="40"/>
  <c r="AW220" i="40"/>
  <c r="AS221" i="40"/>
  <c r="AW222" i="40"/>
  <c r="AS223" i="40"/>
  <c r="AW224" i="40"/>
  <c r="AS225" i="40"/>
  <c r="AW226" i="40"/>
  <c r="AS227" i="40"/>
  <c r="AW228" i="40"/>
  <c r="AS229" i="40"/>
  <c r="AW230" i="40"/>
  <c r="S231" i="40"/>
  <c r="CS235" i="40"/>
  <c r="CR235" i="40"/>
  <c r="CB235" i="40"/>
  <c r="CT235" i="40" s="1"/>
  <c r="CQ237" i="40"/>
  <c r="BZ237" i="40"/>
  <c r="CQ241" i="40"/>
  <c r="AW243" i="40"/>
  <c r="AS233" i="40"/>
  <c r="U235" i="40"/>
  <c r="AS235" i="40"/>
  <c r="AW236" i="40"/>
  <c r="U237" i="40"/>
  <c r="AS237" i="40"/>
  <c r="AW238" i="40"/>
  <c r="U239" i="40"/>
  <c r="AS239" i="40"/>
  <c r="Y240" i="40"/>
  <c r="AW240" i="40"/>
  <c r="U241" i="40"/>
  <c r="AS241" i="40"/>
  <c r="W243" i="40"/>
  <c r="T243" i="40"/>
  <c r="Z243" i="40"/>
  <c r="U243" i="40"/>
  <c r="AW244" i="40"/>
  <c r="AS246" i="40"/>
  <c r="AT233" i="40"/>
  <c r="V235" i="40"/>
  <c r="AT235" i="40"/>
  <c r="AX236" i="40"/>
  <c r="V237" i="40"/>
  <c r="AT237" i="40"/>
  <c r="AX238" i="40"/>
  <c r="V239" i="40"/>
  <c r="AT239" i="40"/>
  <c r="AX240" i="40"/>
  <c r="V241" i="40"/>
  <c r="AT241" i="40"/>
  <c r="V242" i="40"/>
  <c r="Z242" i="40"/>
  <c r="AQ242" i="40"/>
  <c r="BZ242" i="40"/>
  <c r="CQ243" i="40"/>
  <c r="AT245" i="40"/>
  <c r="AW249" i="40"/>
  <c r="AQ236" i="40"/>
  <c r="AU237" i="40"/>
  <c r="AQ238" i="40"/>
  <c r="AU239" i="40"/>
  <c r="AQ240" i="40"/>
  <c r="AU241" i="40"/>
  <c r="AT252" i="40"/>
  <c r="AX252" i="40"/>
  <c r="AU252" i="40"/>
  <c r="AR234" i="40"/>
  <c r="X235" i="40"/>
  <c r="AV235" i="40"/>
  <c r="AR236" i="40"/>
  <c r="X237" i="40"/>
  <c r="AV237" i="40"/>
  <c r="AR238" i="40"/>
  <c r="X239" i="40"/>
  <c r="AV239" i="40"/>
  <c r="AR240" i="40"/>
  <c r="X241" i="40"/>
  <c r="AV241" i="40"/>
  <c r="BZ244" i="40"/>
  <c r="CR244" i="40" s="1"/>
  <c r="CQ245" i="40"/>
  <c r="BZ248" i="40"/>
  <c r="BZ250" i="40"/>
  <c r="CR250" i="40" s="1"/>
  <c r="AW235" i="40"/>
  <c r="AS236" i="40"/>
  <c r="AW237" i="40"/>
  <c r="AS238" i="40"/>
  <c r="AW239" i="40"/>
  <c r="AS240" i="40"/>
  <c r="Y241" i="40"/>
  <c r="AW241" i="40"/>
  <c r="BZ243" i="40"/>
  <c r="CR243" i="40" s="1"/>
  <c r="BZ246" i="40"/>
  <c r="CA246" i="40" s="1"/>
  <c r="AX235" i="40"/>
  <c r="AT236" i="40"/>
  <c r="AX237" i="40"/>
  <c r="AT238" i="40"/>
  <c r="AX239" i="40"/>
  <c r="AT240" i="40"/>
  <c r="AX241" i="40"/>
  <c r="CQ244" i="40"/>
  <c r="BZ245" i="40"/>
  <c r="CA245" i="40" s="1"/>
  <c r="CQ250" i="40"/>
  <c r="CQ246" i="40"/>
  <c r="AR231" i="40"/>
  <c r="AV232" i="40"/>
  <c r="AR233" i="40"/>
  <c r="AR235" i="40"/>
  <c r="AV236" i="40"/>
  <c r="AR237" i="40"/>
  <c r="AV238" i="40"/>
  <c r="AR239" i="40"/>
  <c r="AV240" i="40"/>
  <c r="AR241" i="40"/>
  <c r="X242" i="40"/>
  <c r="AU251" i="40"/>
  <c r="AX251" i="40"/>
  <c r="CR251" i="40"/>
  <c r="CA251" i="40"/>
  <c r="CS251" i="40" s="1"/>
  <c r="AV243" i="40"/>
  <c r="AR244" i="40"/>
  <c r="X245" i="40"/>
  <c r="AV245" i="40"/>
  <c r="AR246" i="40"/>
  <c r="X247" i="40"/>
  <c r="AV247" i="40"/>
  <c r="CB247" i="40"/>
  <c r="CR247" i="40"/>
  <c r="AR248" i="40"/>
  <c r="X249" i="40"/>
  <c r="AV249" i="40"/>
  <c r="AR250" i="40"/>
  <c r="X251" i="40"/>
  <c r="W253" i="40"/>
  <c r="V253" i="40"/>
  <c r="U253" i="40"/>
  <c r="T253" i="40"/>
  <c r="X253" i="40"/>
  <c r="AS254" i="40"/>
  <c r="S259" i="40"/>
  <c r="Y259" i="40"/>
  <c r="W259" i="40"/>
  <c r="V259" i="40"/>
  <c r="U259" i="40"/>
  <c r="T259" i="40"/>
  <c r="AW262" i="40"/>
  <c r="AW263" i="40"/>
  <c r="AX267" i="40"/>
  <c r="AW267" i="40"/>
  <c r="AV257" i="40"/>
  <c r="AR258" i="40"/>
  <c r="AX262" i="40"/>
  <c r="AW270" i="40"/>
  <c r="AT242" i="40"/>
  <c r="AX243" i="40"/>
  <c r="V244" i="40"/>
  <c r="AT244" i="40"/>
  <c r="Z245" i="40"/>
  <c r="AX245" i="40"/>
  <c r="V246" i="40"/>
  <c r="AT246" i="40"/>
  <c r="Z247" i="40"/>
  <c r="AX247" i="40"/>
  <c r="V248" i="40"/>
  <c r="AT248" i="40"/>
  <c r="Z249" i="40"/>
  <c r="AX249" i="40"/>
  <c r="V250" i="40"/>
  <c r="AT250" i="40"/>
  <c r="Z251" i="40"/>
  <c r="Z253" i="40"/>
  <c r="AT258" i="40"/>
  <c r="CQ258" i="40"/>
  <c r="CR258" i="40"/>
  <c r="AU244" i="40"/>
  <c r="AQ245" i="40"/>
  <c r="AU246" i="40"/>
  <c r="AQ247" i="40"/>
  <c r="AU248" i="40"/>
  <c r="CQ248" i="40"/>
  <c r="AQ249" i="40"/>
  <c r="AU250" i="40"/>
  <c r="AQ253" i="40"/>
  <c r="X255" i="40"/>
  <c r="S257" i="40"/>
  <c r="Y257" i="40"/>
  <c r="W257" i="40"/>
  <c r="V257" i="40"/>
  <c r="U257" i="40"/>
  <c r="T257" i="40"/>
  <c r="AV264" i="40"/>
  <c r="AV242" i="40"/>
  <c r="AR243" i="40"/>
  <c r="AV244" i="40"/>
  <c r="T245" i="40"/>
  <c r="AR245" i="40"/>
  <c r="AV246" i="40"/>
  <c r="T247" i="40"/>
  <c r="AR247" i="40"/>
  <c r="AV248" i="40"/>
  <c r="T249" i="40"/>
  <c r="AR249" i="40"/>
  <c r="AV250" i="40"/>
  <c r="T251" i="40"/>
  <c r="AR251" i="40"/>
  <c r="CQ254" i="40"/>
  <c r="BZ265" i="40"/>
  <c r="CA265" i="40" s="1"/>
  <c r="CB265" i="40" s="1"/>
  <c r="AW246" i="40"/>
  <c r="AS247" i="40"/>
  <c r="AW248" i="40"/>
  <c r="AS249" i="40"/>
  <c r="AW250" i="40"/>
  <c r="AT256" i="40"/>
  <c r="CQ256" i="40"/>
  <c r="AW264" i="40"/>
  <c r="AX246" i="40"/>
  <c r="AT247" i="40"/>
  <c r="AX248" i="40"/>
  <c r="AT249" i="40"/>
  <c r="AX250" i="40"/>
  <c r="S255" i="40"/>
  <c r="Y255" i="40"/>
  <c r="W255" i="40"/>
  <c r="V255" i="40"/>
  <c r="U255" i="40"/>
  <c r="T255" i="40"/>
  <c r="AV261" i="40"/>
  <c r="AU243" i="40"/>
  <c r="AQ244" i="40"/>
  <c r="AU245" i="40"/>
  <c r="AQ246" i="40"/>
  <c r="AU247" i="40"/>
  <c r="AQ248" i="40"/>
  <c r="AU249" i="40"/>
  <c r="AQ250" i="40"/>
  <c r="BZ252" i="40"/>
  <c r="S253" i="40"/>
  <c r="BZ256" i="40"/>
  <c r="CA256" i="40" s="1"/>
  <c r="CB256" i="40" s="1"/>
  <c r="W263" i="40"/>
  <c r="V263" i="40"/>
  <c r="S263" i="40"/>
  <c r="Z263" i="40"/>
  <c r="Y263" i="40"/>
  <c r="U263" i="40"/>
  <c r="T263" i="40"/>
  <c r="AS265" i="40"/>
  <c r="X252" i="40"/>
  <c r="AR253" i="40"/>
  <c r="X254" i="40"/>
  <c r="AV254" i="40"/>
  <c r="AR255" i="40"/>
  <c r="X256" i="40"/>
  <c r="AV256" i="40"/>
  <c r="AR257" i="40"/>
  <c r="X258" i="40"/>
  <c r="AV258" i="40"/>
  <c r="AR259" i="40"/>
  <c r="X260" i="40"/>
  <c r="AV260" i="40"/>
  <c r="S261" i="40"/>
  <c r="S262" i="40"/>
  <c r="BZ266" i="40"/>
  <c r="CA266" i="40" s="1"/>
  <c r="AR267" i="40"/>
  <c r="AS272" i="40"/>
  <c r="AS253" i="40"/>
  <c r="Y254" i="40"/>
  <c r="AW254" i="40"/>
  <c r="AS255" i="40"/>
  <c r="Y256" i="40"/>
  <c r="AW256" i="40"/>
  <c r="AS257" i="40"/>
  <c r="Y258" i="40"/>
  <c r="AW258" i="40"/>
  <c r="AS259" i="40"/>
  <c r="Y260" i="40"/>
  <c r="AW260" i="40"/>
  <c r="T261" i="40"/>
  <c r="BZ261" i="40"/>
  <c r="CA261" i="40" s="1"/>
  <c r="T262" i="40"/>
  <c r="T264" i="40"/>
  <c r="CQ266" i="40"/>
  <c r="AS267" i="40"/>
  <c r="CQ268" i="40"/>
  <c r="AR269" i="40"/>
  <c r="AT253" i="40"/>
  <c r="BZ253" i="40"/>
  <c r="AX254" i="40"/>
  <c r="AT255" i="40"/>
  <c r="BZ255" i="40"/>
  <c r="AX256" i="40"/>
  <c r="AT257" i="40"/>
  <c r="BZ257" i="40"/>
  <c r="AX258" i="40"/>
  <c r="AT259" i="40"/>
  <c r="BZ259" i="40"/>
  <c r="AX260" i="40"/>
  <c r="U261" i="40"/>
  <c r="U262" i="40"/>
  <c r="U266" i="40"/>
  <c r="AS269" i="40"/>
  <c r="AR271" i="40"/>
  <c r="AU253" i="40"/>
  <c r="AQ254" i="40"/>
  <c r="AU255" i="40"/>
  <c r="AQ256" i="40"/>
  <c r="AU257" i="40"/>
  <c r="AQ258" i="40"/>
  <c r="AU259" i="40"/>
  <c r="AQ260" i="40"/>
  <c r="BZ260" i="40"/>
  <c r="CA260" i="40" s="1"/>
  <c r="V261" i="40"/>
  <c r="X262" i="40"/>
  <c r="S264" i="40"/>
  <c r="Z264" i="40"/>
  <c r="W264" i="40"/>
  <c r="V264" i="40"/>
  <c r="X264" i="40"/>
  <c r="CQ265" i="40"/>
  <c r="U268" i="40"/>
  <c r="CQ267" i="40"/>
  <c r="X268" i="40"/>
  <c r="U270" i="40"/>
  <c r="AW271" i="40"/>
  <c r="CQ272" i="40"/>
  <c r="AS256" i="40"/>
  <c r="AW257" i="40"/>
  <c r="AS258" i="40"/>
  <c r="AW259" i="40"/>
  <c r="AS260" i="40"/>
  <c r="CQ262" i="40"/>
  <c r="BZ262" i="40"/>
  <c r="BZ263" i="40"/>
  <c r="CR263" i="40" s="1"/>
  <c r="T266" i="40"/>
  <c r="S266" i="40"/>
  <c r="Z266" i="40"/>
  <c r="W266" i="40"/>
  <c r="V266" i="40"/>
  <c r="BZ267" i="40"/>
  <c r="CQ269" i="40"/>
  <c r="AR264" i="40"/>
  <c r="T268" i="40"/>
  <c r="S268" i="40"/>
  <c r="Z268" i="40"/>
  <c r="W268" i="40"/>
  <c r="V268" i="40"/>
  <c r="BZ269" i="40"/>
  <c r="CR269" i="40" s="1"/>
  <c r="AU254" i="40"/>
  <c r="AQ255" i="40"/>
  <c r="AU256" i="40"/>
  <c r="AQ257" i="40"/>
  <c r="AU258" i="40"/>
  <c r="AQ259" i="40"/>
  <c r="AU260" i="40"/>
  <c r="Z261" i="40"/>
  <c r="W262" i="40"/>
  <c r="V262" i="40"/>
  <c r="T270" i="40"/>
  <c r="S270" i="40"/>
  <c r="Z270" i="40"/>
  <c r="W270" i="40"/>
  <c r="V270" i="40"/>
  <c r="BZ271" i="40"/>
  <c r="AX261" i="40"/>
  <c r="AT262" i="40"/>
  <c r="AX263" i="40"/>
  <c r="AT264" i="40"/>
  <c r="BZ264" i="40"/>
  <c r="CA264" i="40" s="1"/>
  <c r="Z265" i="40"/>
  <c r="AX265" i="40"/>
  <c r="AT266" i="40"/>
  <c r="Z267" i="40"/>
  <c r="AT268" i="40"/>
  <c r="BZ268" i="40"/>
  <c r="Z269" i="40"/>
  <c r="AX269" i="40"/>
  <c r="AT270" i="40"/>
  <c r="BZ270" i="40"/>
  <c r="Z271" i="40"/>
  <c r="AX271" i="40"/>
  <c r="V272" i="40"/>
  <c r="AT272" i="40"/>
  <c r="BZ272" i="40"/>
  <c r="CA272" i="40" s="1"/>
  <c r="CS272" i="40" s="1"/>
  <c r="Z273" i="40"/>
  <c r="AR273" i="40"/>
  <c r="CR278" i="40"/>
  <c r="CQ278" i="40"/>
  <c r="CA278" i="40"/>
  <c r="CB278" i="40" s="1"/>
  <c r="AQ261" i="40"/>
  <c r="AU262" i="40"/>
  <c r="AQ263" i="40"/>
  <c r="AU264" i="40"/>
  <c r="S265" i="40"/>
  <c r="AQ265" i="40"/>
  <c r="AU266" i="40"/>
  <c r="S267" i="40"/>
  <c r="AQ267" i="40"/>
  <c r="AU268" i="40"/>
  <c r="S269" i="40"/>
  <c r="AQ269" i="40"/>
  <c r="AU270" i="40"/>
  <c r="S271" i="40"/>
  <c r="AQ271" i="40"/>
  <c r="W272" i="40"/>
  <c r="AU272" i="40"/>
  <c r="S273" i="40"/>
  <c r="W275" i="40"/>
  <c r="V275" i="40"/>
  <c r="T275" i="40"/>
  <c r="S275" i="40"/>
  <c r="Z275" i="40"/>
  <c r="Y275" i="40"/>
  <c r="X272" i="40"/>
  <c r="AV272" i="40"/>
  <c r="T273" i="40"/>
  <c r="BZ276" i="40"/>
  <c r="CR276" i="40" s="1"/>
  <c r="Y272" i="40"/>
  <c r="AW272" i="40"/>
  <c r="U273" i="40"/>
  <c r="CR273" i="40"/>
  <c r="BZ274" i="40"/>
  <c r="CR274" i="40" s="1"/>
  <c r="CQ276" i="40"/>
  <c r="AR278" i="40"/>
  <c r="AU280" i="40"/>
  <c r="AT263" i="40"/>
  <c r="AX264" i="40"/>
  <c r="V265" i="40"/>
  <c r="AT265" i="40"/>
  <c r="V267" i="40"/>
  <c r="AT267" i="40"/>
  <c r="V269" i="40"/>
  <c r="AT269" i="40"/>
  <c r="AX270" i="40"/>
  <c r="V271" i="40"/>
  <c r="AT271" i="40"/>
  <c r="Z272" i="40"/>
  <c r="AX272" i="40"/>
  <c r="CQ274" i="40"/>
  <c r="AS275" i="40"/>
  <c r="W277" i="40"/>
  <c r="V277" i="40"/>
  <c r="U277" i="40"/>
  <c r="T277" i="40"/>
  <c r="S277" i="40"/>
  <c r="Z277" i="40"/>
  <c r="Y277" i="40"/>
  <c r="AU263" i="40"/>
  <c r="AQ264" i="40"/>
  <c r="W265" i="40"/>
  <c r="AU265" i="40"/>
  <c r="AQ266" i="40"/>
  <c r="W267" i="40"/>
  <c r="AU267" i="40"/>
  <c r="AQ268" i="40"/>
  <c r="W269" i="40"/>
  <c r="AU269" i="40"/>
  <c r="AQ270" i="40"/>
  <c r="W271" i="40"/>
  <c r="AU271" i="40"/>
  <c r="S272" i="40"/>
  <c r="AQ272" i="40"/>
  <c r="W273" i="40"/>
  <c r="CQ273" i="40"/>
  <c r="U275" i="40"/>
  <c r="AV275" i="40"/>
  <c r="AV265" i="40"/>
  <c r="AR266" i="40"/>
  <c r="AV267" i="40"/>
  <c r="AR268" i="40"/>
  <c r="AV269" i="40"/>
  <c r="AR270" i="40"/>
  <c r="AV271" i="40"/>
  <c r="AR272" i="40"/>
  <c r="CA273" i="40"/>
  <c r="CS273" i="40" s="1"/>
  <c r="X275" i="40"/>
  <c r="AR276" i="40"/>
  <c r="AU279" i="40"/>
  <c r="AX279" i="40"/>
  <c r="X279" i="40"/>
  <c r="AW280" i="40"/>
  <c r="AW281" i="40"/>
  <c r="AW287" i="40"/>
  <c r="AW275" i="40"/>
  <c r="AS276" i="40"/>
  <c r="AW277" i="40"/>
  <c r="AS278" i="40"/>
  <c r="Y279" i="40"/>
  <c r="AX280" i="40"/>
  <c r="AX273" i="40"/>
  <c r="V274" i="40"/>
  <c r="AT274" i="40"/>
  <c r="AX275" i="40"/>
  <c r="AT276" i="40"/>
  <c r="AX277" i="40"/>
  <c r="AT278" i="40"/>
  <c r="Z279" i="40"/>
  <c r="BZ279" i="40"/>
  <c r="CR279" i="40" s="1"/>
  <c r="AR282" i="40"/>
  <c r="AU274" i="40"/>
  <c r="AQ275" i="40"/>
  <c r="AU276" i="40"/>
  <c r="AQ277" i="40"/>
  <c r="AU278" i="40"/>
  <c r="S279" i="40"/>
  <c r="W281" i="40"/>
  <c r="T281" i="40"/>
  <c r="S281" i="40"/>
  <c r="U281" i="40"/>
  <c r="X274" i="40"/>
  <c r="AV274" i="40"/>
  <c r="AR275" i="40"/>
  <c r="AV276" i="40"/>
  <c r="AR277" i="40"/>
  <c r="AV278" i="40"/>
  <c r="T279" i="40"/>
  <c r="V281" i="40"/>
  <c r="BZ281" i="40"/>
  <c r="AW276" i="40"/>
  <c r="AS277" i="40"/>
  <c r="AW278" i="40"/>
  <c r="U279" i="40"/>
  <c r="AQ280" i="40"/>
  <c r="X281" i="40"/>
  <c r="AT275" i="40"/>
  <c r="BZ275" i="40"/>
  <c r="AX276" i="40"/>
  <c r="AT277" i="40"/>
  <c r="BZ277" i="40"/>
  <c r="CA277" i="40" s="1"/>
  <c r="AX278" i="40"/>
  <c r="V279" i="40"/>
  <c r="Y281" i="40"/>
  <c r="AU273" i="40"/>
  <c r="AQ274" i="40"/>
  <c r="AU275" i="40"/>
  <c r="AQ276" i="40"/>
  <c r="AU277" i="40"/>
  <c r="AQ278" i="40"/>
  <c r="BZ280" i="40"/>
  <c r="CR280" i="40" s="1"/>
  <c r="Z281" i="40"/>
  <c r="BZ282" i="40"/>
  <c r="CR282" i="40" s="1"/>
  <c r="AV287" i="40"/>
  <c r="AQ281" i="40"/>
  <c r="AU282" i="40"/>
  <c r="S283" i="40"/>
  <c r="AQ283" i="40"/>
  <c r="AU284" i="40"/>
  <c r="CA284" i="40"/>
  <c r="CB284" i="40" s="1"/>
  <c r="CQ284" i="40"/>
  <c r="S285" i="40"/>
  <c r="AQ285" i="40"/>
  <c r="AU286" i="40"/>
  <c r="CA286" i="40"/>
  <c r="S287" i="40"/>
  <c r="AR279" i="40"/>
  <c r="AV280" i="40"/>
  <c r="AR281" i="40"/>
  <c r="AV282" i="40"/>
  <c r="T283" i="40"/>
  <c r="AR283" i="40"/>
  <c r="AV284" i="40"/>
  <c r="CR284" i="40"/>
  <c r="T285" i="40"/>
  <c r="AR285" i="40"/>
  <c r="AV286" i="40"/>
  <c r="CR286" i="40"/>
  <c r="T287" i="40"/>
  <c r="AS283" i="40"/>
  <c r="AW284" i="40"/>
  <c r="AS285" i="40"/>
  <c r="AW286" i="40"/>
  <c r="U287" i="40"/>
  <c r="AT281" i="40"/>
  <c r="AX282" i="40"/>
  <c r="V283" i="40"/>
  <c r="AT283" i="40"/>
  <c r="BZ283" i="40"/>
  <c r="CR283" i="40" s="1"/>
  <c r="AX284" i="40"/>
  <c r="V285" i="40"/>
  <c r="AT285" i="40"/>
  <c r="BZ285" i="40"/>
  <c r="CR285" i="40" s="1"/>
  <c r="AX286" i="40"/>
  <c r="V287" i="40"/>
  <c r="CQ287" i="40"/>
  <c r="AS288" i="40"/>
  <c r="BZ288" i="40"/>
  <c r="CR288" i="40" s="1"/>
  <c r="AS289" i="40"/>
  <c r="AU281" i="40"/>
  <c r="AQ282" i="40"/>
  <c r="W283" i="40"/>
  <c r="AU283" i="40"/>
  <c r="AQ284" i="40"/>
  <c r="W285" i="40"/>
  <c r="AU285" i="40"/>
  <c r="AQ286" i="40"/>
  <c r="W287" i="40"/>
  <c r="CA287" i="40"/>
  <c r="X283" i="40"/>
  <c r="AV283" i="40"/>
  <c r="AR284" i="40"/>
  <c r="X285" i="40"/>
  <c r="AV285" i="40"/>
  <c r="AR286" i="40"/>
  <c r="X287" i="40"/>
  <c r="CR287" i="40"/>
  <c r="CQ288" i="40"/>
  <c r="AW283" i="40"/>
  <c r="AS284" i="40"/>
  <c r="AW285" i="40"/>
  <c r="AS286" i="40"/>
  <c r="Y287" i="40"/>
  <c r="AW289" i="40"/>
  <c r="AX281" i="40"/>
  <c r="AT282" i="40"/>
  <c r="AX283" i="40"/>
  <c r="AT284" i="40"/>
  <c r="AX285" i="40"/>
  <c r="AT286" i="40"/>
  <c r="AT288" i="40"/>
  <c r="AQ289" i="40"/>
  <c r="AU290" i="40"/>
  <c r="CA290" i="40"/>
  <c r="CB290" i="40" s="1"/>
  <c r="CQ290" i="40"/>
  <c r="AQ291" i="40"/>
  <c r="AU292" i="40"/>
  <c r="CA292" i="40"/>
  <c r="CS292" i="40" s="1"/>
  <c r="CQ292" i="40"/>
  <c r="AQ293" i="40"/>
  <c r="S294" i="40"/>
  <c r="Z294" i="40"/>
  <c r="AR294" i="40"/>
  <c r="Y295" i="40"/>
  <c r="X288" i="40"/>
  <c r="AV288" i="40"/>
  <c r="T289" i="40"/>
  <c r="AR289" i="40"/>
  <c r="X290" i="40"/>
  <c r="AV290" i="40"/>
  <c r="T291" i="40"/>
  <c r="AR291" i="40"/>
  <c r="AV292" i="40"/>
  <c r="T293" i="40"/>
  <c r="AR293" i="40"/>
  <c r="AS294" i="40"/>
  <c r="AW290" i="40"/>
  <c r="AS291" i="40"/>
  <c r="AW292" i="40"/>
  <c r="U293" i="40"/>
  <c r="AS293" i="40"/>
  <c r="T294" i="40"/>
  <c r="AV294" i="40"/>
  <c r="Z288" i="40"/>
  <c r="AX288" i="40"/>
  <c r="V289" i="40"/>
  <c r="AT289" i="40"/>
  <c r="BZ289" i="40"/>
  <c r="CA289" i="40" s="1"/>
  <c r="Z290" i="40"/>
  <c r="AX290" i="40"/>
  <c r="V291" i="40"/>
  <c r="AT291" i="40"/>
  <c r="BZ291" i="40"/>
  <c r="CA291" i="40" s="1"/>
  <c r="AX292" i="40"/>
  <c r="AT293" i="40"/>
  <c r="BZ293" i="40"/>
  <c r="CA293" i="40" s="1"/>
  <c r="U294" i="40"/>
  <c r="AU287" i="40"/>
  <c r="AQ288" i="40"/>
  <c r="W289" i="40"/>
  <c r="AU289" i="40"/>
  <c r="AQ290" i="40"/>
  <c r="W291" i="40"/>
  <c r="AU291" i="40"/>
  <c r="AQ292" i="40"/>
  <c r="W293" i="40"/>
  <c r="AU293" i="40"/>
  <c r="V294" i="40"/>
  <c r="AT294" i="40"/>
  <c r="X289" i="40"/>
  <c r="AV289" i="40"/>
  <c r="AR290" i="40"/>
  <c r="X291" i="40"/>
  <c r="AV291" i="40"/>
  <c r="AR292" i="40"/>
  <c r="X293" i="40"/>
  <c r="AV293" i="40"/>
  <c r="W294" i="40"/>
  <c r="BZ294" i="40"/>
  <c r="CR294" i="40" s="1"/>
  <c r="CQ294" i="40"/>
  <c r="T295" i="40"/>
  <c r="AX300" i="40"/>
  <c r="AU300" i="40"/>
  <c r="AS290" i="40"/>
  <c r="AW291" i="40"/>
  <c r="AS292" i="40"/>
  <c r="AW293" i="40"/>
  <c r="X294" i="40"/>
  <c r="AW295" i="40"/>
  <c r="AX289" i="40"/>
  <c r="AT290" i="40"/>
  <c r="AX291" i="40"/>
  <c r="AT292" i="40"/>
  <c r="AX293" i="40"/>
  <c r="Z295" i="40"/>
  <c r="W295" i="40"/>
  <c r="V295" i="40"/>
  <c r="S295" i="40"/>
  <c r="X295" i="40"/>
  <c r="AU294" i="40"/>
  <c r="AQ295" i="40"/>
  <c r="W296" i="40"/>
  <c r="AU296" i="40"/>
  <c r="CQ296" i="40"/>
  <c r="S297" i="40"/>
  <c r="AQ297" i="40"/>
  <c r="AU298" i="40"/>
  <c r="CA298" i="40"/>
  <c r="CB298" i="40" s="1"/>
  <c r="CT298" i="40" s="1"/>
  <c r="CQ298" i="40"/>
  <c r="S299" i="40"/>
  <c r="AQ299" i="40"/>
  <c r="BZ300" i="40"/>
  <c r="CA300" i="40" s="1"/>
  <c r="BZ301" i="40"/>
  <c r="CA301" i="40" s="1"/>
  <c r="AR295" i="40"/>
  <c r="X296" i="40"/>
  <c r="AV296" i="40"/>
  <c r="T297" i="40"/>
  <c r="AR297" i="40"/>
  <c r="X298" i="40"/>
  <c r="AV298" i="40"/>
  <c r="CR298" i="40"/>
  <c r="T299" i="40"/>
  <c r="AR299" i="40"/>
  <c r="AS300" i="40"/>
  <c r="AS295" i="40"/>
  <c r="Y296" i="40"/>
  <c r="AW296" i="40"/>
  <c r="U297" i="40"/>
  <c r="AS297" i="40"/>
  <c r="Y298" i="40"/>
  <c r="AW298" i="40"/>
  <c r="U299" i="40"/>
  <c r="AS299" i="40"/>
  <c r="Z300" i="40"/>
  <c r="AT300" i="40"/>
  <c r="AT295" i="40"/>
  <c r="BZ295" i="40"/>
  <c r="Z296" i="40"/>
  <c r="AX296" i="40"/>
  <c r="V297" i="40"/>
  <c r="AT297" i="40"/>
  <c r="BZ297" i="40"/>
  <c r="CA297" i="40" s="1"/>
  <c r="AX298" i="40"/>
  <c r="V299" i="40"/>
  <c r="AT299" i="40"/>
  <c r="AR300" i="40"/>
  <c r="CQ300" i="40"/>
  <c r="AQ294" i="40"/>
  <c r="AU295" i="40"/>
  <c r="AQ296" i="40"/>
  <c r="W297" i="40"/>
  <c r="AU297" i="40"/>
  <c r="S298" i="40"/>
  <c r="AQ298" i="40"/>
  <c r="W299" i="40"/>
  <c r="AU299" i="40"/>
  <c r="AR301" i="40"/>
  <c r="AV295" i="40"/>
  <c r="AR296" i="40"/>
  <c r="X297" i="40"/>
  <c r="AV297" i="40"/>
  <c r="AR298" i="40"/>
  <c r="X299" i="40"/>
  <c r="AV299" i="40"/>
  <c r="AS296" i="40"/>
  <c r="Y297" i="40"/>
  <c r="AW297" i="40"/>
  <c r="AS298" i="40"/>
  <c r="Y299" i="40"/>
  <c r="AW299" i="40"/>
  <c r="BZ299" i="40"/>
  <c r="V300" i="40"/>
  <c r="AX295" i="40"/>
  <c r="AT296" i="40"/>
  <c r="AX297" i="40"/>
  <c r="AT298" i="40"/>
  <c r="AX299" i="40"/>
  <c r="AQ300" i="40"/>
  <c r="W301" i="40"/>
  <c r="AU301" i="40"/>
  <c r="CQ301" i="40"/>
  <c r="S302" i="40"/>
  <c r="AQ302" i="40"/>
  <c r="W303" i="40"/>
  <c r="AU303" i="40"/>
  <c r="CQ303" i="40"/>
  <c r="S304" i="40"/>
  <c r="AQ304" i="40"/>
  <c r="T305" i="40"/>
  <c r="AV305" i="40"/>
  <c r="AR306" i="40"/>
  <c r="AX310" i="40"/>
  <c r="X301" i="40"/>
  <c r="AV301" i="40"/>
  <c r="T302" i="40"/>
  <c r="AR302" i="40"/>
  <c r="AV303" i="40"/>
  <c r="T304" i="40"/>
  <c r="AR304" i="40"/>
  <c r="U305" i="40"/>
  <c r="AW305" i="40"/>
  <c r="BZ305" i="40"/>
  <c r="CA305" i="40" s="1"/>
  <c r="AS306" i="40"/>
  <c r="U302" i="40"/>
  <c r="AS302" i="40"/>
  <c r="AW303" i="40"/>
  <c r="U304" i="40"/>
  <c r="AS304" i="40"/>
  <c r="W305" i="40"/>
  <c r="AV311" i="40"/>
  <c r="AX301" i="40"/>
  <c r="V302" i="40"/>
  <c r="AT302" i="40"/>
  <c r="BZ302" i="40"/>
  <c r="CA302" i="40" s="1"/>
  <c r="AX303" i="40"/>
  <c r="V304" i="40"/>
  <c r="AT304" i="40"/>
  <c r="CR304" i="40"/>
  <c r="X305" i="40"/>
  <c r="AQ301" i="40"/>
  <c r="W302" i="40"/>
  <c r="AU302" i="40"/>
  <c r="CQ302" i="40"/>
  <c r="AQ303" i="40"/>
  <c r="W304" i="40"/>
  <c r="AU304" i="40"/>
  <c r="CQ305" i="40"/>
  <c r="CQ306" i="40"/>
  <c r="X302" i="40"/>
  <c r="AV302" i="40"/>
  <c r="AR303" i="40"/>
  <c r="X304" i="40"/>
  <c r="AV304" i="40"/>
  <c r="V305" i="40"/>
  <c r="Z305" i="40"/>
  <c r="Y302" i="40"/>
  <c r="AW302" i="40"/>
  <c r="AS303" i="40"/>
  <c r="Y304" i="40"/>
  <c r="AW304" i="40"/>
  <c r="AT301" i="40"/>
  <c r="AX302" i="40"/>
  <c r="AT303" i="40"/>
  <c r="AX304" i="40"/>
  <c r="S305" i="40"/>
  <c r="AW310" i="40"/>
  <c r="Y307" i="40"/>
  <c r="AW307" i="40"/>
  <c r="AS308" i="40"/>
  <c r="Y309" i="40"/>
  <c r="AW309" i="40"/>
  <c r="W311" i="40"/>
  <c r="S311" i="40"/>
  <c r="Z311" i="40"/>
  <c r="U311" i="40"/>
  <c r="AS312" i="40"/>
  <c r="AX305" i="40"/>
  <c r="V306" i="40"/>
  <c r="AT306" i="40"/>
  <c r="BZ306" i="40"/>
  <c r="CR306" i="40" s="1"/>
  <c r="Z307" i="40"/>
  <c r="AX307" i="40"/>
  <c r="AT308" i="40"/>
  <c r="BZ308" i="40"/>
  <c r="CR308" i="40" s="1"/>
  <c r="Z309" i="40"/>
  <c r="AX309" i="40"/>
  <c r="W310" i="40"/>
  <c r="Z310" i="40"/>
  <c r="V311" i="40"/>
  <c r="AS313" i="40"/>
  <c r="AQ305" i="40"/>
  <c r="W306" i="40"/>
  <c r="AU306" i="40"/>
  <c r="S307" i="40"/>
  <c r="AQ307" i="40"/>
  <c r="W308" i="40"/>
  <c r="AU308" i="40"/>
  <c r="S309" i="40"/>
  <c r="AQ309" i="40"/>
  <c r="AS310" i="40"/>
  <c r="X311" i="40"/>
  <c r="AS311" i="40"/>
  <c r="X306" i="40"/>
  <c r="AV306" i="40"/>
  <c r="T307" i="40"/>
  <c r="AR307" i="40"/>
  <c r="X308" i="40"/>
  <c r="AV308" i="40"/>
  <c r="T309" i="40"/>
  <c r="AR309" i="40"/>
  <c r="S310" i="40"/>
  <c r="Y311" i="40"/>
  <c r="CQ312" i="40"/>
  <c r="AS307" i="40"/>
  <c r="AW308" i="40"/>
  <c r="U309" i="40"/>
  <c r="AS309" i="40"/>
  <c r="AT305" i="40"/>
  <c r="AX306" i="40"/>
  <c r="V307" i="40"/>
  <c r="AT307" i="40"/>
  <c r="AX308" i="40"/>
  <c r="V309" i="40"/>
  <c r="AT309" i="40"/>
  <c r="U310" i="40"/>
  <c r="AT310" i="40"/>
  <c r="CQ310" i="40"/>
  <c r="AQ306" i="40"/>
  <c r="W307" i="40"/>
  <c r="AU307" i="40"/>
  <c r="CQ307" i="40"/>
  <c r="AQ308" i="40"/>
  <c r="W309" i="40"/>
  <c r="AU309" i="40"/>
  <c r="AV307" i="40"/>
  <c r="AR308" i="40"/>
  <c r="AV309" i="40"/>
  <c r="T311" i="40"/>
  <c r="AT311" i="40"/>
  <c r="Y313" i="40"/>
  <c r="AW313" i="40"/>
  <c r="AS314" i="40"/>
  <c r="Y315" i="40"/>
  <c r="AW315" i="40"/>
  <c r="S316" i="40"/>
  <c r="BZ310" i="40"/>
  <c r="CA310" i="40" s="1"/>
  <c r="V312" i="40"/>
  <c r="AT312" i="40"/>
  <c r="BZ312" i="40"/>
  <c r="CR312" i="40" s="1"/>
  <c r="Z313" i="40"/>
  <c r="AX313" i="40"/>
  <c r="V314" i="40"/>
  <c r="AT314" i="40"/>
  <c r="BZ314" i="40"/>
  <c r="CR314" i="40" s="1"/>
  <c r="Z315" i="40"/>
  <c r="AX315" i="40"/>
  <c r="T316" i="40"/>
  <c r="AU310" i="40"/>
  <c r="AQ311" i="40"/>
  <c r="W312" i="40"/>
  <c r="AU312" i="40"/>
  <c r="S313" i="40"/>
  <c r="AQ313" i="40"/>
  <c r="W314" i="40"/>
  <c r="AU314" i="40"/>
  <c r="S315" i="40"/>
  <c r="AQ315" i="40"/>
  <c r="U316" i="40"/>
  <c r="T317" i="40"/>
  <c r="AR311" i="40"/>
  <c r="X312" i="40"/>
  <c r="AV312" i="40"/>
  <c r="T313" i="40"/>
  <c r="AR313" i="40"/>
  <c r="X314" i="40"/>
  <c r="AV314" i="40"/>
  <c r="T315" i="40"/>
  <c r="AR315" i="40"/>
  <c r="V316" i="40"/>
  <c r="AW314" i="40"/>
  <c r="AS315" i="40"/>
  <c r="CQ315" i="40"/>
  <c r="S317" i="40"/>
  <c r="Z317" i="40"/>
  <c r="W317" i="40"/>
  <c r="V317" i="40"/>
  <c r="X317" i="40"/>
  <c r="AX312" i="40"/>
  <c r="V313" i="40"/>
  <c r="AT313" i="40"/>
  <c r="BZ313" i="40"/>
  <c r="CA313" i="40" s="1"/>
  <c r="CB313" i="40" s="1"/>
  <c r="AX314" i="40"/>
  <c r="V315" i="40"/>
  <c r="AT315" i="40"/>
  <c r="BZ315" i="40"/>
  <c r="CR315" i="40" s="1"/>
  <c r="X316" i="40"/>
  <c r="CQ316" i="40"/>
  <c r="Y317" i="40"/>
  <c r="AS317" i="40"/>
  <c r="L319" i="40"/>
  <c r="M319" i="40"/>
  <c r="AQ310" i="40"/>
  <c r="AU311" i="40"/>
  <c r="CA311" i="40"/>
  <c r="AQ312" i="40"/>
  <c r="W313" i="40"/>
  <c r="AU313" i="40"/>
  <c r="AQ314" i="40"/>
  <c r="W315" i="40"/>
  <c r="AU315" i="40"/>
  <c r="CR317" i="40"/>
  <c r="AV313" i="40"/>
  <c r="AR314" i="40"/>
  <c r="AV315" i="40"/>
  <c r="Z316" i="40"/>
  <c r="AQ316" i="40"/>
  <c r="AR317" i="40"/>
  <c r="Y318" i="40"/>
  <c r="AW318" i="40"/>
  <c r="Q320" i="40"/>
  <c r="Y320" i="40"/>
  <c r="M321" i="40"/>
  <c r="U321" i="40"/>
  <c r="Q322" i="40"/>
  <c r="Y322" i="40"/>
  <c r="AX316" i="40"/>
  <c r="AT317" i="40"/>
  <c r="Z318" i="40"/>
  <c r="AX318" i="40"/>
  <c r="N319" i="40"/>
  <c r="V319" i="40"/>
  <c r="R320" i="40"/>
  <c r="Z320" i="40"/>
  <c r="N321" i="40"/>
  <c r="V321" i="40"/>
  <c r="R322" i="40"/>
  <c r="Z322" i="40"/>
  <c r="AU317" i="40"/>
  <c r="CQ317" i="40"/>
  <c r="S318" i="40"/>
  <c r="AQ318" i="40"/>
  <c r="O319" i="40"/>
  <c r="W319" i="40"/>
  <c r="K320" i="40"/>
  <c r="S320" i="40"/>
  <c r="O321" i="40"/>
  <c r="W321" i="40"/>
  <c r="K322" i="40"/>
  <c r="S322" i="40"/>
  <c r="AV317" i="40"/>
  <c r="T318" i="40"/>
  <c r="AR318" i="40"/>
  <c r="P319" i="40"/>
  <c r="X319" i="40"/>
  <c r="L320" i="40"/>
  <c r="T320" i="40"/>
  <c r="P321" i="40"/>
  <c r="X321" i="40"/>
  <c r="L322" i="40"/>
  <c r="T322" i="40"/>
  <c r="AS318" i="40"/>
  <c r="Q319" i="40"/>
  <c r="Y319" i="40"/>
  <c r="M320" i="40"/>
  <c r="U320" i="40"/>
  <c r="Q321" i="40"/>
  <c r="Y321" i="40"/>
  <c r="M322" i="40"/>
  <c r="U322" i="40"/>
  <c r="AT316" i="40"/>
  <c r="BZ316" i="40"/>
  <c r="AX317" i="40"/>
  <c r="V318" i="40"/>
  <c r="AT318" i="40"/>
  <c r="BZ318" i="40"/>
  <c r="CR318" i="40" s="1"/>
  <c r="R319" i="40"/>
  <c r="Z319" i="40"/>
  <c r="N320" i="40"/>
  <c r="V320" i="40"/>
  <c r="R321" i="40"/>
  <c r="Z321" i="40"/>
  <c r="N322" i="40"/>
  <c r="V322" i="40"/>
  <c r="AU316" i="40"/>
  <c r="AQ317" i="40"/>
  <c r="W318" i="40"/>
  <c r="AU318" i="40"/>
  <c r="K319" i="40"/>
  <c r="O320" i="40"/>
  <c r="W320" i="40"/>
  <c r="K321" i="40"/>
  <c r="O322" i="40"/>
  <c r="W322" i="40"/>
  <c r="AV318" i="40"/>
  <c r="P320" i="40"/>
  <c r="P322" i="40"/>
  <c r="N12" i="39"/>
  <c r="N13" i="39"/>
  <c r="N14" i="39"/>
  <c r="G13" i="39"/>
  <c r="G14" i="39"/>
  <c r="G12" i="39"/>
  <c r="G15" i="39"/>
  <c r="G16" i="39"/>
  <c r="G17" i="39"/>
  <c r="G18" i="39"/>
  <c r="G19" i="39"/>
  <c r="G20" i="39"/>
  <c r="CA303" i="40" l="1"/>
  <c r="CR233" i="40"/>
  <c r="CA307" i="40"/>
  <c r="CB307" i="40" s="1"/>
  <c r="CB240" i="40"/>
  <c r="CT240" i="40" s="1"/>
  <c r="CA84" i="40"/>
  <c r="CS84" i="40" s="1"/>
  <c r="CA62" i="40"/>
  <c r="CR254" i="40"/>
  <c r="CB254" i="40"/>
  <c r="CU254" i="40" s="1"/>
  <c r="CS240" i="40"/>
  <c r="CA224" i="40"/>
  <c r="CR240" i="40"/>
  <c r="CA54" i="40"/>
  <c r="CA7" i="40"/>
  <c r="CB7" i="40" s="1"/>
  <c r="AZ21" i="40"/>
  <c r="BH21" i="40" s="1"/>
  <c r="AZ50" i="40"/>
  <c r="BH50" i="40" s="1"/>
  <c r="CA249" i="40"/>
  <c r="CA127" i="40"/>
  <c r="CB127" i="40" s="1"/>
  <c r="CC127" i="40" s="1"/>
  <c r="CA113" i="40"/>
  <c r="CA110" i="40"/>
  <c r="CB110" i="40" s="1"/>
  <c r="CT110" i="40" s="1"/>
  <c r="CR82" i="40"/>
  <c r="CR117" i="40"/>
  <c r="CB165" i="40"/>
  <c r="CT165" i="40" s="1"/>
  <c r="CR100" i="40"/>
  <c r="CA143" i="40"/>
  <c r="CB143" i="40" s="1"/>
  <c r="CC143" i="40" s="1"/>
  <c r="CR135" i="40"/>
  <c r="CA52" i="40"/>
  <c r="BB93" i="40"/>
  <c r="BJ93" i="40" s="1"/>
  <c r="BV50" i="40"/>
  <c r="CB6" i="40"/>
  <c r="CT6" i="40" s="1"/>
  <c r="CS8" i="40"/>
  <c r="CB8" i="40"/>
  <c r="CT8" i="40" s="1"/>
  <c r="CA146" i="40"/>
  <c r="CB146" i="40" s="1"/>
  <c r="CT146" i="40" s="1"/>
  <c r="CR170" i="40"/>
  <c r="CA64" i="40"/>
  <c r="CA29" i="40"/>
  <c r="CS29" i="40" s="1"/>
  <c r="CR142" i="40"/>
  <c r="CB163" i="40"/>
  <c r="CA159" i="40"/>
  <c r="CB159" i="40" s="1"/>
  <c r="CS142" i="40"/>
  <c r="CA18" i="40"/>
  <c r="CB18" i="40" s="1"/>
  <c r="CT18" i="40" s="1"/>
  <c r="BT43" i="40"/>
  <c r="CR187" i="40"/>
  <c r="CR209" i="40"/>
  <c r="BF43" i="40"/>
  <c r="BN43" i="40" s="1"/>
  <c r="BA43" i="40"/>
  <c r="BI43" i="40" s="1"/>
  <c r="AW14" i="40"/>
  <c r="AW233" i="40"/>
  <c r="AW255" i="40"/>
  <c r="AX268" i="40"/>
  <c r="AV233" i="40"/>
  <c r="BA17" i="40"/>
  <c r="BI17" i="40" s="1"/>
  <c r="AW115" i="40"/>
  <c r="AV115" i="40"/>
  <c r="BA21" i="40"/>
  <c r="BI21" i="40" s="1"/>
  <c r="AV93" i="40"/>
  <c r="BT93" i="40" s="1"/>
  <c r="AW43" i="40"/>
  <c r="BE43" i="40" s="1"/>
  <c r="BM43" i="40" s="1"/>
  <c r="CB171" i="40"/>
  <c r="CT171" i="40" s="1"/>
  <c r="CA131" i="40"/>
  <c r="CB131" i="40" s="1"/>
  <c r="CA36" i="40"/>
  <c r="BC17" i="40"/>
  <c r="BK17" i="40" s="1"/>
  <c r="CR309" i="40"/>
  <c r="CS133" i="40"/>
  <c r="BO50" i="40"/>
  <c r="CA16" i="40"/>
  <c r="CB16" i="40" s="1"/>
  <c r="CR120" i="40"/>
  <c r="CS86" i="40"/>
  <c r="CA19" i="40"/>
  <c r="CS19" i="40" s="1"/>
  <c r="CR236" i="40"/>
  <c r="CA186" i="40"/>
  <c r="CB186" i="40" s="1"/>
  <c r="CR171" i="40"/>
  <c r="CR78" i="40"/>
  <c r="BV17" i="40"/>
  <c r="AY17" i="40"/>
  <c r="BG17" i="40" s="1"/>
  <c r="AW251" i="40"/>
  <c r="CA296" i="40"/>
  <c r="CS296" i="40" s="1"/>
  <c r="CA180" i="40"/>
  <c r="CB180" i="40" s="1"/>
  <c r="CT180" i="40" s="1"/>
  <c r="CB170" i="40"/>
  <c r="CR161" i="40"/>
  <c r="CR150" i="40"/>
  <c r="CA76" i="40"/>
  <c r="CB76" i="40" s="1"/>
  <c r="CC76" i="40" s="1"/>
  <c r="CA306" i="40"/>
  <c r="CS306" i="40" s="1"/>
  <c r="AW252" i="40"/>
  <c r="CT214" i="40"/>
  <c r="CT157" i="40"/>
  <c r="CA116" i="40"/>
  <c r="CB116" i="40" s="1"/>
  <c r="CB66" i="40"/>
  <c r="CT66" i="40" s="1"/>
  <c r="AY21" i="40"/>
  <c r="BG21" i="40" s="1"/>
  <c r="CR293" i="40"/>
  <c r="AV279" i="40"/>
  <c r="CA225" i="40"/>
  <c r="CS225" i="40" s="1"/>
  <c r="CC157" i="40"/>
  <c r="CU157" i="40" s="1"/>
  <c r="CS157" i="40"/>
  <c r="AV116" i="40"/>
  <c r="AV66" i="40"/>
  <c r="CA98" i="40"/>
  <c r="CB98" i="40" s="1"/>
  <c r="CA104" i="40"/>
  <c r="CB104" i="40" s="1"/>
  <c r="BE21" i="40"/>
  <c r="BM21" i="40" s="1"/>
  <c r="CR34" i="40"/>
  <c r="Q40" i="32"/>
  <c r="CS298" i="40"/>
  <c r="CA244" i="40"/>
  <c r="CS244" i="40" s="1"/>
  <c r="CA243" i="40"/>
  <c r="CS243" i="40" s="1"/>
  <c r="AV251" i="40"/>
  <c r="CA222" i="40"/>
  <c r="CS222" i="40" s="1"/>
  <c r="CB92" i="40"/>
  <c r="CC92" i="40" s="1"/>
  <c r="CD92" i="40" s="1"/>
  <c r="BS93" i="40"/>
  <c r="CB301" i="40"/>
  <c r="CC301" i="40" s="1"/>
  <c r="CD301" i="40" s="1"/>
  <c r="CV301" i="40" s="1"/>
  <c r="CB106" i="40"/>
  <c r="CC106" i="40" s="1"/>
  <c r="CD106" i="40" s="1"/>
  <c r="CV106" i="40" s="1"/>
  <c r="AZ93" i="40"/>
  <c r="BH93" i="40" s="1"/>
  <c r="BD50" i="40"/>
  <c r="BL50" i="40" s="1"/>
  <c r="CA50" i="40"/>
  <c r="CS50" i="40" s="1"/>
  <c r="AW66" i="40"/>
  <c r="BB43" i="40"/>
  <c r="BJ43" i="40" s="1"/>
  <c r="CR238" i="40"/>
  <c r="CB304" i="40"/>
  <c r="CT304" i="40" s="1"/>
  <c r="CR301" i="40"/>
  <c r="CA193" i="40"/>
  <c r="CB193" i="40" s="1"/>
  <c r="CA152" i="40"/>
  <c r="CS152" i="40" s="1"/>
  <c r="BC50" i="40"/>
  <c r="BK50" i="40" s="1"/>
  <c r="BS50" i="40" s="1"/>
  <c r="CA13" i="40"/>
  <c r="CB13" i="40" s="1"/>
  <c r="CS238" i="40"/>
  <c r="CB238" i="40"/>
  <c r="CC238" i="40" s="1"/>
  <c r="CA312" i="40"/>
  <c r="CB312" i="40" s="1"/>
  <c r="CB273" i="40"/>
  <c r="CT273" i="40" s="1"/>
  <c r="CR182" i="40"/>
  <c r="CS173" i="40"/>
  <c r="CR156" i="40"/>
  <c r="CB125" i="40"/>
  <c r="CT125" i="40" s="1"/>
  <c r="CB95" i="40"/>
  <c r="CC95" i="40" s="1"/>
  <c r="CD95" i="40" s="1"/>
  <c r="CV95" i="40" s="1"/>
  <c r="BB50" i="40"/>
  <c r="BJ50" i="40" s="1"/>
  <c r="BC43" i="40"/>
  <c r="BK43" i="40" s="1"/>
  <c r="CR163" i="40"/>
  <c r="CB291" i="40"/>
  <c r="CC291" i="40" s="1"/>
  <c r="CD291" i="40" s="1"/>
  <c r="CA282" i="40"/>
  <c r="CB282" i="40" s="1"/>
  <c r="CT282" i="40" s="1"/>
  <c r="CS277" i="40"/>
  <c r="CR302" i="40"/>
  <c r="CR256" i="40"/>
  <c r="CA219" i="40"/>
  <c r="CB219" i="40" s="1"/>
  <c r="CS166" i="40"/>
  <c r="CA162" i="40"/>
  <c r="CS162" i="40" s="1"/>
  <c r="AW139" i="40"/>
  <c r="BU17" i="40"/>
  <c r="CS278" i="40"/>
  <c r="CC254" i="40"/>
  <c r="CD254" i="40" s="1"/>
  <c r="CV254" i="40" s="1"/>
  <c r="CR203" i="40"/>
  <c r="CA274" i="40"/>
  <c r="CB274" i="40" s="1"/>
  <c r="CT274" i="40" s="1"/>
  <c r="AV234" i="40"/>
  <c r="CB145" i="40"/>
  <c r="CC145" i="40" s="1"/>
  <c r="BO93" i="40"/>
  <c r="CA27" i="40"/>
  <c r="BB21" i="40"/>
  <c r="BJ21" i="40" s="1"/>
  <c r="CB9" i="40"/>
  <c r="CT9" i="40" s="1"/>
  <c r="CS5" i="40"/>
  <c r="CA197" i="40"/>
  <c r="CS197" i="40" s="1"/>
  <c r="CR185" i="40"/>
  <c r="CA134" i="40"/>
  <c r="CB134" i="40" s="1"/>
  <c r="AW231" i="40"/>
  <c r="CT108" i="40"/>
  <c r="CR23" i="40"/>
  <c r="CD214" i="40"/>
  <c r="CV214" i="40" s="1"/>
  <c r="CA107" i="40"/>
  <c r="CS107" i="40" s="1"/>
  <c r="CS108" i="40"/>
  <c r="BA50" i="40"/>
  <c r="BI50" i="40" s="1"/>
  <c r="BV21" i="40"/>
  <c r="CR310" i="40"/>
  <c r="CC298" i="40"/>
  <c r="CD298" i="40" s="1"/>
  <c r="CV298" i="40" s="1"/>
  <c r="CA316" i="40"/>
  <c r="CB316" i="40" s="1"/>
  <c r="CB292" i="40"/>
  <c r="CC292" i="40" s="1"/>
  <c r="CB300" i="40"/>
  <c r="CT300" i="40" s="1"/>
  <c r="CR316" i="40"/>
  <c r="CB289" i="40"/>
  <c r="CC289" i="40" s="1"/>
  <c r="CB287" i="40"/>
  <c r="CC287" i="40" s="1"/>
  <c r="CS287" i="40"/>
  <c r="AW279" i="40"/>
  <c r="CA294" i="40"/>
  <c r="CS294" i="40" s="1"/>
  <c r="CA276" i="40"/>
  <c r="CB276" i="40" s="1"/>
  <c r="CT276" i="40" s="1"/>
  <c r="CA269" i="40"/>
  <c r="CB269" i="40" s="1"/>
  <c r="CA267" i="40"/>
  <c r="CB267" i="40" s="1"/>
  <c r="CA204" i="40"/>
  <c r="CB204" i="40" s="1"/>
  <c r="CR204" i="40"/>
  <c r="CR217" i="40"/>
  <c r="CS284" i="40"/>
  <c r="CS213" i="40"/>
  <c r="CR213" i="40"/>
  <c r="CB258" i="40"/>
  <c r="CT258" i="40" s="1"/>
  <c r="CS245" i="40"/>
  <c r="CA201" i="40"/>
  <c r="CB201" i="40" s="1"/>
  <c r="CS264" i="40"/>
  <c r="CA271" i="40"/>
  <c r="CS271" i="40" s="1"/>
  <c r="CA263" i="40"/>
  <c r="CS263" i="40" s="1"/>
  <c r="CS187" i="40"/>
  <c r="CB187" i="40"/>
  <c r="CC187" i="40" s="1"/>
  <c r="AX159" i="40"/>
  <c r="AW159" i="40"/>
  <c r="CA179" i="40"/>
  <c r="CS179" i="40" s="1"/>
  <c r="CR179" i="40"/>
  <c r="CS194" i="40"/>
  <c r="CA164" i="40"/>
  <c r="CS164" i="40" s="1"/>
  <c r="CA139" i="40"/>
  <c r="CS139" i="40" s="1"/>
  <c r="CA195" i="40"/>
  <c r="CB195" i="40" s="1"/>
  <c r="CT195" i="40" s="1"/>
  <c r="CS177" i="40"/>
  <c r="CB177" i="40"/>
  <c r="CA130" i="40"/>
  <c r="CS130" i="40" s="1"/>
  <c r="CR130" i="40"/>
  <c r="CA181" i="40"/>
  <c r="CB181" i="40" s="1"/>
  <c r="CR175" i="40"/>
  <c r="CA175" i="40"/>
  <c r="CB175" i="40" s="1"/>
  <c r="CB161" i="40"/>
  <c r="CT161" i="40" s="1"/>
  <c r="CB102" i="40"/>
  <c r="CT102" i="40" s="1"/>
  <c r="CS102" i="40"/>
  <c r="CA169" i="40"/>
  <c r="CB169" i="40" s="1"/>
  <c r="CB100" i="40"/>
  <c r="CT100" i="40" s="1"/>
  <c r="CR121" i="40"/>
  <c r="CA121" i="40"/>
  <c r="CS121" i="40" s="1"/>
  <c r="CS129" i="40"/>
  <c r="CA103" i="40"/>
  <c r="CS103" i="40" s="1"/>
  <c r="CB137" i="40"/>
  <c r="CC137" i="40" s="1"/>
  <c r="CR111" i="40"/>
  <c r="CS111" i="40"/>
  <c r="CC110" i="40"/>
  <c r="CU110" i="40" s="1"/>
  <c r="CA101" i="40"/>
  <c r="CB101" i="40" s="1"/>
  <c r="CT101" i="40" s="1"/>
  <c r="CS112" i="40"/>
  <c r="CB112" i="40"/>
  <c r="CC112" i="40" s="1"/>
  <c r="CR99" i="40"/>
  <c r="CS80" i="40"/>
  <c r="CS60" i="40"/>
  <c r="CB15" i="40"/>
  <c r="CC15" i="40" s="1"/>
  <c r="CS118" i="40"/>
  <c r="CS95" i="40"/>
  <c r="BD21" i="40"/>
  <c r="BL21" i="40" s="1"/>
  <c r="CS33" i="40"/>
  <c r="CB33" i="40"/>
  <c r="CT33" i="40" s="1"/>
  <c r="CT24" i="40"/>
  <c r="CT32" i="40"/>
  <c r="BP93" i="40"/>
  <c r="AW67" i="40"/>
  <c r="CR44" i="40"/>
  <c r="CA44" i="40"/>
  <c r="CB44" i="40" s="1"/>
  <c r="CS31" i="40"/>
  <c r="CB11" i="40"/>
  <c r="CT11" i="40" s="1"/>
  <c r="BP21" i="40"/>
  <c r="BC21" i="40"/>
  <c r="BK21" i="40" s="1"/>
  <c r="CB17" i="40"/>
  <c r="CC17" i="40" s="1"/>
  <c r="CU17" i="40" s="1"/>
  <c r="AW116" i="40"/>
  <c r="CT7" i="40"/>
  <c r="BF50" i="40"/>
  <c r="BN50" i="40" s="1"/>
  <c r="CB142" i="40"/>
  <c r="AX93" i="40"/>
  <c r="BF93" i="40" s="1"/>
  <c r="BN93" i="40" s="1"/>
  <c r="AW93" i="40"/>
  <c r="BE93" i="40" s="1"/>
  <c r="BM93" i="40" s="1"/>
  <c r="CS163" i="40"/>
  <c r="CA10" i="40"/>
  <c r="CA35" i="40"/>
  <c r="CB35" i="40" s="1"/>
  <c r="AY43" i="40"/>
  <c r="BG43" i="40" s="1"/>
  <c r="BQ21" i="40"/>
  <c r="BP43" i="40"/>
  <c r="BO43" i="40"/>
  <c r="BU50" i="40"/>
  <c r="BD17" i="40"/>
  <c r="BL17" i="40" s="1"/>
  <c r="BT50" i="40"/>
  <c r="CC290" i="40"/>
  <c r="CU290" i="40" s="1"/>
  <c r="CT290" i="40"/>
  <c r="CC278" i="40"/>
  <c r="CD278" i="40" s="1"/>
  <c r="CT278" i="40"/>
  <c r="CT284" i="40"/>
  <c r="CC284" i="40"/>
  <c r="CU284" i="40" s="1"/>
  <c r="CS261" i="40"/>
  <c r="CB241" i="40"/>
  <c r="CT241" i="40" s="1"/>
  <c r="CS241" i="40"/>
  <c r="AX311" i="40"/>
  <c r="AW311" i="40"/>
  <c r="CR252" i="40"/>
  <c r="CS246" i="40"/>
  <c r="CB246" i="40"/>
  <c r="CC246" i="40" s="1"/>
  <c r="CU246" i="40" s="1"/>
  <c r="CC240" i="40"/>
  <c r="CA202" i="40"/>
  <c r="CS202" i="40" s="1"/>
  <c r="CR202" i="40"/>
  <c r="CR198" i="40"/>
  <c r="CB178" i="40"/>
  <c r="CC178" i="40" s="1"/>
  <c r="CT313" i="40"/>
  <c r="CC313" i="40"/>
  <c r="CD313" i="40" s="1"/>
  <c r="CV313" i="40" s="1"/>
  <c r="CA248" i="40"/>
  <c r="CB224" i="40"/>
  <c r="CC224" i="40" s="1"/>
  <c r="CS224" i="40"/>
  <c r="CR188" i="40"/>
  <c r="CA188" i="40"/>
  <c r="CR172" i="40"/>
  <c r="CA172" i="40"/>
  <c r="CS172" i="40" s="1"/>
  <c r="CR300" i="40"/>
  <c r="CA299" i="40"/>
  <c r="CT301" i="40"/>
  <c r="CS301" i="40"/>
  <c r="CS297" i="40"/>
  <c r="CS293" i="40"/>
  <c r="CR281" i="40"/>
  <c r="CR266" i="40"/>
  <c r="AV252" i="40"/>
  <c r="CT256" i="40"/>
  <c r="CC256" i="40"/>
  <c r="CU256" i="40" s="1"/>
  <c r="CC235" i="40"/>
  <c r="CU235" i="40" s="1"/>
  <c r="CR241" i="40"/>
  <c r="CS231" i="40"/>
  <c r="CA226" i="40"/>
  <c r="CS226" i="40" s="1"/>
  <c r="CR226" i="40"/>
  <c r="CB234" i="40"/>
  <c r="CC234" i="40" s="1"/>
  <c r="CD234" i="40" s="1"/>
  <c r="CS234" i="40"/>
  <c r="CR229" i="40"/>
  <c r="CB231" i="40"/>
  <c r="CS215" i="40"/>
  <c r="CR215" i="40"/>
  <c r="CB215" i="40"/>
  <c r="CT215" i="40" s="1"/>
  <c r="CB209" i="40"/>
  <c r="CT209" i="40" s="1"/>
  <c r="CB207" i="40"/>
  <c r="CT207" i="40" s="1"/>
  <c r="CB191" i="40"/>
  <c r="CC191" i="40" s="1"/>
  <c r="CU191" i="40" s="1"/>
  <c r="CS191" i="40"/>
  <c r="CS195" i="40"/>
  <c r="CB185" i="40"/>
  <c r="CT185" i="40" s="1"/>
  <c r="CS136" i="40"/>
  <c r="CA318" i="40"/>
  <c r="CB318" i="40" s="1"/>
  <c r="AV300" i="40"/>
  <c r="CA285" i="40"/>
  <c r="CB285" i="40" s="1"/>
  <c r="CT285" i="40" s="1"/>
  <c r="CR275" i="40"/>
  <c r="CR270" i="40"/>
  <c r="CR262" i="40"/>
  <c r="CS311" i="40"/>
  <c r="CA315" i="40"/>
  <c r="CB315" i="40" s="1"/>
  <c r="CT315" i="40" s="1"/>
  <c r="CA314" i="40"/>
  <c r="CB314" i="40" s="1"/>
  <c r="CA308" i="40"/>
  <c r="CS307" i="40"/>
  <c r="CS302" i="40"/>
  <c r="CU298" i="40"/>
  <c r="CA281" i="40"/>
  <c r="CA275" i="40"/>
  <c r="CB272" i="40"/>
  <c r="CT272" i="40" s="1"/>
  <c r="CA262" i="40"/>
  <c r="CB262" i="40" s="1"/>
  <c r="CC262" i="40" s="1"/>
  <c r="CS256" i="40"/>
  <c r="CS266" i="40"/>
  <c r="CC247" i="40"/>
  <c r="CT247" i="40"/>
  <c r="CB251" i="40"/>
  <c r="CB236" i="40"/>
  <c r="CC236" i="40" s="1"/>
  <c r="CU236" i="40" s="1"/>
  <c r="CA228" i="40"/>
  <c r="CS228" i="40" s="1"/>
  <c r="CA218" i="40"/>
  <c r="CB218" i="40" s="1"/>
  <c r="CR218" i="40"/>
  <c r="CA229" i="40"/>
  <c r="CB229" i="40" s="1"/>
  <c r="CS221" i="40"/>
  <c r="CB221" i="40"/>
  <c r="CR221" i="40"/>
  <c r="CT205" i="40"/>
  <c r="CA199" i="40"/>
  <c r="CB199" i="40" s="1"/>
  <c r="CA198" i="40"/>
  <c r="CA192" i="40"/>
  <c r="CS176" i="40"/>
  <c r="CR176" i="40"/>
  <c r="CB176" i="40"/>
  <c r="CT176" i="40" s="1"/>
  <c r="CB261" i="40"/>
  <c r="CC261" i="40" s="1"/>
  <c r="CR261" i="40"/>
  <c r="CR246" i="40"/>
  <c r="CS230" i="40"/>
  <c r="CS210" i="40"/>
  <c r="CR210" i="40"/>
  <c r="CB210" i="40"/>
  <c r="CT210" i="40" s="1"/>
  <c r="CB220" i="40"/>
  <c r="CT220" i="40" s="1"/>
  <c r="CA196" i="40"/>
  <c r="CB196" i="40" s="1"/>
  <c r="CR196" i="40"/>
  <c r="CB124" i="40"/>
  <c r="CC124" i="40" s="1"/>
  <c r="CU124" i="40" s="1"/>
  <c r="CC5" i="40"/>
  <c r="CU5" i="40" s="1"/>
  <c r="CR295" i="40"/>
  <c r="CA295" i="40"/>
  <c r="CS295" i="40" s="1"/>
  <c r="CS289" i="40"/>
  <c r="CA279" i="40"/>
  <c r="CS279" i="40" s="1"/>
  <c r="CB266" i="40"/>
  <c r="CC266" i="40" s="1"/>
  <c r="CR237" i="40"/>
  <c r="CA237" i="40"/>
  <c r="CS237" i="40" s="1"/>
  <c r="CA232" i="40"/>
  <c r="CS232" i="40" s="1"/>
  <c r="CB230" i="40"/>
  <c r="CC230" i="40" s="1"/>
  <c r="CS233" i="40"/>
  <c r="CS203" i="40"/>
  <c r="CB203" i="40"/>
  <c r="CT203" i="40" s="1"/>
  <c r="CB23" i="40"/>
  <c r="CC23" i="40" s="1"/>
  <c r="CU23" i="40" s="1"/>
  <c r="CB310" i="40"/>
  <c r="CR305" i="40"/>
  <c r="CB305" i="40"/>
  <c r="CC305" i="40" s="1"/>
  <c r="CB303" i="40"/>
  <c r="CT303" i="40" s="1"/>
  <c r="CB309" i="40"/>
  <c r="CT309" i="40" s="1"/>
  <c r="CS313" i="40"/>
  <c r="CR313" i="40"/>
  <c r="CS309" i="40"/>
  <c r="CB302" i="40"/>
  <c r="CC307" i="40"/>
  <c r="CU307" i="40" s="1"/>
  <c r="CR297" i="40"/>
  <c r="CB297" i="40"/>
  <c r="CS303" i="40"/>
  <c r="CR299" i="40"/>
  <c r="CT291" i="40"/>
  <c r="CS291" i="40"/>
  <c r="CS300" i="40"/>
  <c r="CS290" i="40"/>
  <c r="CR291" i="40"/>
  <c r="CR289" i="40"/>
  <c r="CA283" i="40"/>
  <c r="CR277" i="40"/>
  <c r="CB277" i="40"/>
  <c r="CA280" i="40"/>
  <c r="CR268" i="40"/>
  <c r="CR271" i="40"/>
  <c r="CR272" i="40"/>
  <c r="CR267" i="40"/>
  <c r="CB260" i="40"/>
  <c r="CS260" i="40"/>
  <c r="CA268" i="40"/>
  <c r="CS268" i="40" s="1"/>
  <c r="CR260" i="40"/>
  <c r="CT265" i="40"/>
  <c r="CC265" i="40"/>
  <c r="CU265" i="40" s="1"/>
  <c r="CS265" i="40"/>
  <c r="CR265" i="40"/>
  <c r="CR245" i="40"/>
  <c r="CB245" i="40"/>
  <c r="CA250" i="40"/>
  <c r="CR242" i="40"/>
  <c r="CB233" i="40"/>
  <c r="CT233" i="40" s="1"/>
  <c r="CS217" i="40"/>
  <c r="CC205" i="40"/>
  <c r="CU205" i="40" s="1"/>
  <c r="CB156" i="40"/>
  <c r="CT156" i="40" s="1"/>
  <c r="CT116" i="40"/>
  <c r="CB317" i="40"/>
  <c r="CS305" i="40"/>
  <c r="CB311" i="40"/>
  <c r="CT307" i="40"/>
  <c r="CS310" i="40"/>
  <c r="CB293" i="40"/>
  <c r="AW300" i="40"/>
  <c r="CA288" i="40"/>
  <c r="CB286" i="40"/>
  <c r="CC286" i="40" s="1"/>
  <c r="CS286" i="40"/>
  <c r="CB264" i="40"/>
  <c r="CT264" i="40" s="1"/>
  <c r="CR264" i="40"/>
  <c r="CA270" i="40"/>
  <c r="CB270" i="40" s="1"/>
  <c r="CA259" i="40"/>
  <c r="CB259" i="40" s="1"/>
  <c r="CR259" i="40"/>
  <c r="CA255" i="40"/>
  <c r="CB255" i="40" s="1"/>
  <c r="CR255" i="40"/>
  <c r="CA252" i="40"/>
  <c r="CR248" i="40"/>
  <c r="CA242" i="40"/>
  <c r="CR230" i="40"/>
  <c r="CR232" i="40"/>
  <c r="CR223" i="40"/>
  <c r="CA223" i="40"/>
  <c r="CS223" i="40" s="1"/>
  <c r="CB213" i="40"/>
  <c r="CC213" i="40" s="1"/>
  <c r="CU213" i="40" s="1"/>
  <c r="CA216" i="40"/>
  <c r="CB216" i="40" s="1"/>
  <c r="CB217" i="40"/>
  <c r="CC217" i="40" s="1"/>
  <c r="CA208" i="40"/>
  <c r="CB208" i="40" s="1"/>
  <c r="CR208" i="40"/>
  <c r="CS184" i="40"/>
  <c r="CB184" i="40"/>
  <c r="CT184" i="40" s="1"/>
  <c r="CR184" i="40"/>
  <c r="CB138" i="40"/>
  <c r="CT138" i="40" s="1"/>
  <c r="CA257" i="40"/>
  <c r="CB257" i="40" s="1"/>
  <c r="CR257" i="40"/>
  <c r="CA253" i="40"/>
  <c r="CB253" i="40" s="1"/>
  <c r="CR253" i="40"/>
  <c r="CB225" i="40"/>
  <c r="CT225" i="40" s="1"/>
  <c r="CS212" i="40"/>
  <c r="CR212" i="40"/>
  <c r="CB212" i="40"/>
  <c r="CC212" i="40" s="1"/>
  <c r="CS204" i="40"/>
  <c r="CS186" i="40"/>
  <c r="CR168" i="40"/>
  <c r="CT173" i="40"/>
  <c r="CT170" i="40"/>
  <c r="CC170" i="40"/>
  <c r="CD170" i="40" s="1"/>
  <c r="CV170" i="40" s="1"/>
  <c r="CS185" i="40"/>
  <c r="CR177" i="40"/>
  <c r="CB183" i="40"/>
  <c r="CB148" i="40"/>
  <c r="CT148" i="40" s="1"/>
  <c r="CA154" i="40"/>
  <c r="CS154" i="40" s="1"/>
  <c r="CT166" i="40"/>
  <c r="CA158" i="40"/>
  <c r="CS158" i="40" s="1"/>
  <c r="CS138" i="40"/>
  <c r="CC135" i="40"/>
  <c r="CU135" i="40" s="1"/>
  <c r="CS127" i="40"/>
  <c r="CA115" i="40"/>
  <c r="CS115" i="40" s="1"/>
  <c r="AW142" i="40"/>
  <c r="CS109" i="40"/>
  <c r="CR109" i="40"/>
  <c r="CC117" i="40"/>
  <c r="CD117" i="40" s="1"/>
  <c r="CR83" i="40"/>
  <c r="CA83" i="40"/>
  <c r="CS83" i="40" s="1"/>
  <c r="CR75" i="40"/>
  <c r="CA75" i="40"/>
  <c r="CS75" i="40" s="1"/>
  <c r="CB109" i="40"/>
  <c r="CT109" i="40" s="1"/>
  <c r="CA93" i="40"/>
  <c r="CR53" i="40"/>
  <c r="CS91" i="40"/>
  <c r="CB78" i="40"/>
  <c r="CT78" i="40" s="1"/>
  <c r="BR50" i="40"/>
  <c r="BQ50" i="40"/>
  <c r="CT58" i="40"/>
  <c r="CA63" i="40"/>
  <c r="CB63" i="40" s="1"/>
  <c r="CT63" i="40" s="1"/>
  <c r="CB30" i="40"/>
  <c r="CT30" i="40" s="1"/>
  <c r="CB22" i="40"/>
  <c r="CC22" i="40" s="1"/>
  <c r="CS54" i="40"/>
  <c r="CS34" i="40"/>
  <c r="CC34" i="40"/>
  <c r="CD34" i="40" s="1"/>
  <c r="CS26" i="40"/>
  <c r="CC26" i="40"/>
  <c r="CT60" i="40"/>
  <c r="CB27" i="40"/>
  <c r="CC27" i="40" s="1"/>
  <c r="CD27" i="40" s="1"/>
  <c r="BT17" i="40"/>
  <c r="CB65" i="40"/>
  <c r="CS62" i="40"/>
  <c r="CB43" i="40"/>
  <c r="CR43" i="40"/>
  <c r="CA37" i="40"/>
  <c r="BS17" i="40"/>
  <c r="CT26" i="40"/>
  <c r="CR37" i="40"/>
  <c r="CS23" i="40"/>
  <c r="BU21" i="40"/>
  <c r="BO17" i="40"/>
  <c r="BF21" i="40"/>
  <c r="BN21" i="40" s="1"/>
  <c r="CS11" i="40"/>
  <c r="CC7" i="40"/>
  <c r="AW234" i="40"/>
  <c r="CR239" i="40"/>
  <c r="CA239" i="40"/>
  <c r="CS239" i="40" s="1"/>
  <c r="CS227" i="40"/>
  <c r="CR227" i="40"/>
  <c r="CB227" i="40"/>
  <c r="CT227" i="40" s="1"/>
  <c r="CS209" i="40"/>
  <c r="CR201" i="40"/>
  <c r="AV216" i="40"/>
  <c r="CS180" i="40"/>
  <c r="CA200" i="40"/>
  <c r="CA189" i="40"/>
  <c r="CR169" i="40"/>
  <c r="CB153" i="40"/>
  <c r="CT153" i="40" s="1"/>
  <c r="CS153" i="40"/>
  <c r="CR153" i="40"/>
  <c r="CR149" i="40"/>
  <c r="CT163" i="40"/>
  <c r="CS135" i="40"/>
  <c r="CR139" i="40"/>
  <c r="CA128" i="40"/>
  <c r="CB113" i="40"/>
  <c r="CB111" i="40"/>
  <c r="CT111" i="40" s="1"/>
  <c r="CR95" i="40"/>
  <c r="CC102" i="40"/>
  <c r="CD102" i="40" s="1"/>
  <c r="CC108" i="40"/>
  <c r="CU108" i="40" s="1"/>
  <c r="CS88" i="40"/>
  <c r="CB84" i="40"/>
  <c r="CR59" i="40"/>
  <c r="CB90" i="40"/>
  <c r="CT90" i="40" s="1"/>
  <c r="CB82" i="40"/>
  <c r="CB46" i="40"/>
  <c r="CB29" i="40"/>
  <c r="CT29" i="40" s="1"/>
  <c r="CA39" i="40"/>
  <c r="CS39" i="40" s="1"/>
  <c r="CS64" i="40"/>
  <c r="CS27" i="40"/>
  <c r="BO21" i="40"/>
  <c r="CA12" i="40"/>
  <c r="CS12" i="40" s="1"/>
  <c r="CC14" i="40"/>
  <c r="CU14" i="40" s="1"/>
  <c r="BQ17" i="40"/>
  <c r="CS7" i="40"/>
  <c r="CC185" i="40"/>
  <c r="CU185" i="40" s="1"/>
  <c r="CA147" i="40"/>
  <c r="CB147" i="40" s="1"/>
  <c r="CS170" i="40"/>
  <c r="CB149" i="40"/>
  <c r="CC149" i="40" s="1"/>
  <c r="CS122" i="40"/>
  <c r="CS159" i="40"/>
  <c r="CT135" i="40"/>
  <c r="CC133" i="40"/>
  <c r="CU133" i="40" s="1"/>
  <c r="CC129" i="40"/>
  <c r="CU129" i="40" s="1"/>
  <c r="CR124" i="40"/>
  <c r="CR85" i="40"/>
  <c r="CA85" i="40"/>
  <c r="CR77" i="40"/>
  <c r="CA77" i="40"/>
  <c r="CR49" i="40"/>
  <c r="CB91" i="40"/>
  <c r="CA68" i="40"/>
  <c r="CB68" i="40" s="1"/>
  <c r="AY50" i="40"/>
  <c r="BG50" i="40" s="1"/>
  <c r="CA47" i="40"/>
  <c r="CB47" i="40" s="1"/>
  <c r="BV43" i="40"/>
  <c r="CS36" i="40"/>
  <c r="CS28" i="40"/>
  <c r="CC28" i="40"/>
  <c r="CU28" i="40" s="1"/>
  <c r="CS20" i="40"/>
  <c r="BE50" i="40"/>
  <c r="BM50" i="40" s="1"/>
  <c r="BP50" i="40"/>
  <c r="CR41" i="40"/>
  <c r="BS21" i="40"/>
  <c r="CB52" i="40"/>
  <c r="CC52" i="40" s="1"/>
  <c r="CA41" i="40"/>
  <c r="CB41" i="40" s="1"/>
  <c r="CT31" i="40"/>
  <c r="CC31" i="40"/>
  <c r="CD31" i="40" s="1"/>
  <c r="CR31" i="40"/>
  <c r="CC20" i="40"/>
  <c r="CU20" i="40" s="1"/>
  <c r="AW16" i="40"/>
  <c r="AX16" i="40"/>
  <c r="CR12" i="40"/>
  <c r="CB136" i="40"/>
  <c r="CT136" i="40" s="1"/>
  <c r="CA132" i="40"/>
  <c r="CA141" i="40"/>
  <c r="CR55" i="40"/>
  <c r="CB55" i="40"/>
  <c r="CT55" i="40" s="1"/>
  <c r="CR69" i="40"/>
  <c r="CA69" i="40"/>
  <c r="CS69" i="40" s="1"/>
  <c r="CC72" i="40"/>
  <c r="CU72" i="40" s="1"/>
  <c r="CS38" i="40"/>
  <c r="CA59" i="40"/>
  <c r="CB59" i="40" s="1"/>
  <c r="CS55" i="40"/>
  <c r="BR43" i="40"/>
  <c r="BB17" i="40"/>
  <c r="BJ17" i="40" s="1"/>
  <c r="BR17" i="40" s="1"/>
  <c r="BE17" i="40"/>
  <c r="BM17" i="40" s="1"/>
  <c r="AX216" i="40"/>
  <c r="AW216" i="40"/>
  <c r="CA211" i="40"/>
  <c r="CC194" i="40"/>
  <c r="CS178" i="40"/>
  <c r="CC206" i="40"/>
  <c r="CU206" i="40" s="1"/>
  <c r="CA174" i="40"/>
  <c r="CS174" i="40" s="1"/>
  <c r="CT168" i="40"/>
  <c r="CC168" i="40"/>
  <c r="CU168" i="40" s="1"/>
  <c r="CB151" i="40"/>
  <c r="CT151" i="40" s="1"/>
  <c r="CS151" i="40"/>
  <c r="CR151" i="40"/>
  <c r="CA160" i="40"/>
  <c r="CB160" i="40" s="1"/>
  <c r="CS168" i="40"/>
  <c r="AX147" i="40"/>
  <c r="AW147" i="40"/>
  <c r="CC159" i="40"/>
  <c r="CU159" i="40" s="1"/>
  <c r="CS131" i="40"/>
  <c r="CT129" i="40"/>
  <c r="CB118" i="40"/>
  <c r="CT118" i="40" s="1"/>
  <c r="CA119" i="40"/>
  <c r="CS114" i="40"/>
  <c r="CA140" i="40"/>
  <c r="CS110" i="40"/>
  <c r="CR97" i="40"/>
  <c r="BQ93" i="40"/>
  <c r="BA93" i="40"/>
  <c r="BI93" i="40" s="1"/>
  <c r="CR87" i="40"/>
  <c r="CA87" i="40"/>
  <c r="CS87" i="40" s="1"/>
  <c r="CR79" i="40"/>
  <c r="CA79" i="40"/>
  <c r="CR71" i="40"/>
  <c r="CA71" i="40"/>
  <c r="AY93" i="40"/>
  <c r="BG93" i="40" s="1"/>
  <c r="CR61" i="40"/>
  <c r="BC93" i="40"/>
  <c r="BK93" i="40" s="1"/>
  <c r="CT72" i="40"/>
  <c r="CB70" i="40"/>
  <c r="CB48" i="40"/>
  <c r="CC48" i="40" s="1"/>
  <c r="CD48" i="40" s="1"/>
  <c r="BS43" i="40"/>
  <c r="CA53" i="40"/>
  <c r="CS30" i="40"/>
  <c r="CS22" i="40"/>
  <c r="CA49" i="40"/>
  <c r="CA45" i="40"/>
  <c r="CS45" i="40" s="1"/>
  <c r="CC56" i="40"/>
  <c r="CD56" i="40" s="1"/>
  <c r="BT21" i="40"/>
  <c r="CA61" i="40"/>
  <c r="CB61" i="40" s="1"/>
  <c r="CS52" i="40"/>
  <c r="CB25" i="40"/>
  <c r="CB21" i="40"/>
  <c r="CC21" i="40" s="1"/>
  <c r="BR21" i="40"/>
  <c r="CT177" i="40"/>
  <c r="CC177" i="40"/>
  <c r="CU177" i="40" s="1"/>
  <c r="CT167" i="40"/>
  <c r="CC163" i="40"/>
  <c r="CD163" i="40" s="1"/>
  <c r="CS143" i="40"/>
  <c r="CT159" i="40"/>
  <c r="CA144" i="40"/>
  <c r="CR126" i="40"/>
  <c r="CS117" i="40"/>
  <c r="CT92" i="40"/>
  <c r="CS72" i="40"/>
  <c r="CR51" i="40"/>
  <c r="CB51" i="40"/>
  <c r="CT51" i="40" s="1"/>
  <c r="CB88" i="40"/>
  <c r="AZ43" i="40"/>
  <c r="BH43" i="40" s="1"/>
  <c r="CS56" i="40"/>
  <c r="CS51" i="40"/>
  <c r="CA42" i="40"/>
  <c r="CB42" i="40" s="1"/>
  <c r="CC42" i="40" s="1"/>
  <c r="CB40" i="40"/>
  <c r="BQ43" i="40"/>
  <c r="CS25" i="40"/>
  <c r="CT20" i="40"/>
  <c r="CB38" i="40"/>
  <c r="CC38" i="40" s="1"/>
  <c r="CS21" i="40"/>
  <c r="CB36" i="40"/>
  <c r="CT36" i="40" s="1"/>
  <c r="CR21" i="40"/>
  <c r="CR40" i="40"/>
  <c r="CR45" i="40"/>
  <c r="CR33" i="40"/>
  <c r="BF17" i="40"/>
  <c r="BN17" i="40" s="1"/>
  <c r="CB222" i="40"/>
  <c r="CS205" i="40"/>
  <c r="CA190" i="40"/>
  <c r="CS190" i="40" s="1"/>
  <c r="CT182" i="40"/>
  <c r="CS182" i="40"/>
  <c r="CC182" i="40"/>
  <c r="CD182" i="40" s="1"/>
  <c r="CR174" i="40"/>
  <c r="CB155" i="40"/>
  <c r="CT155" i="40" s="1"/>
  <c r="CS155" i="40"/>
  <c r="CR155" i="40"/>
  <c r="CT193" i="40"/>
  <c r="CC173" i="40"/>
  <c r="CD173" i="40" s="1"/>
  <c r="CC167" i="40"/>
  <c r="CD167" i="40" s="1"/>
  <c r="CB150" i="40"/>
  <c r="CT150" i="40" s="1"/>
  <c r="CS156" i="40"/>
  <c r="CS150" i="40"/>
  <c r="CR138" i="40"/>
  <c r="CB120" i="40"/>
  <c r="CT120" i="40" s="1"/>
  <c r="CT117" i="40"/>
  <c r="CR132" i="40"/>
  <c r="CR118" i="40"/>
  <c r="CB114" i="40"/>
  <c r="CB99" i="40"/>
  <c r="CA97" i="40"/>
  <c r="CS96" i="40"/>
  <c r="CT95" i="40"/>
  <c r="CS113" i="40"/>
  <c r="CR107" i="40"/>
  <c r="CR89" i="40"/>
  <c r="CA89" i="40"/>
  <c r="CR81" i="40"/>
  <c r="CA81" i="40"/>
  <c r="CS81" i="40" s="1"/>
  <c r="CR73" i="40"/>
  <c r="CA73" i="40"/>
  <c r="CB73" i="40" s="1"/>
  <c r="CR57" i="40"/>
  <c r="CB57" i="40"/>
  <c r="CC57" i="40" s="1"/>
  <c r="CB74" i="40"/>
  <c r="CC58" i="40"/>
  <c r="CU58" i="40" s="1"/>
  <c r="CS48" i="40"/>
  <c r="CB54" i="40"/>
  <c r="CT54" i="40" s="1"/>
  <c r="CS32" i="40"/>
  <c r="CC32" i="40"/>
  <c r="CS24" i="40"/>
  <c r="CC24" i="40"/>
  <c r="CD24" i="40" s="1"/>
  <c r="CC60" i="40"/>
  <c r="CU60" i="40" s="1"/>
  <c r="CB50" i="40"/>
  <c r="CC50" i="40" s="1"/>
  <c r="CD50" i="40" s="1"/>
  <c r="CT56" i="40"/>
  <c r="CB62" i="40"/>
  <c r="CT44" i="40"/>
  <c r="CC44" i="40"/>
  <c r="CD44" i="40" s="1"/>
  <c r="CS44" i="40"/>
  <c r="CT28" i="40"/>
  <c r="CU7" i="40"/>
  <c r="CD7" i="40"/>
  <c r="CV7" i="40" s="1"/>
  <c r="CT5" i="40"/>
  <c r="BP17" i="40"/>
  <c r="AZ17" i="40"/>
  <c r="BH17" i="40" s="1"/>
  <c r="CS149" i="40"/>
  <c r="CT194" i="40"/>
  <c r="CR178" i="40"/>
  <c r="CC166" i="40"/>
  <c r="CS124" i="40"/>
  <c r="CB123" i="40"/>
  <c r="CC123" i="40" s="1"/>
  <c r="CU123" i="40" s="1"/>
  <c r="CS146" i="40"/>
  <c r="CB122" i="40"/>
  <c r="CC122" i="40" s="1"/>
  <c r="AX144" i="40"/>
  <c r="AW144" i="40"/>
  <c r="CA105" i="40"/>
  <c r="CS105" i="40" s="1"/>
  <c r="CR136" i="40"/>
  <c r="CA126" i="40"/>
  <c r="CR122" i="40"/>
  <c r="CB115" i="40"/>
  <c r="CT115" i="40" s="1"/>
  <c r="CC118" i="40"/>
  <c r="CD118" i="40" s="1"/>
  <c r="CR115" i="40"/>
  <c r="CS99" i="40"/>
  <c r="BR93" i="40"/>
  <c r="CS100" i="40"/>
  <c r="CT112" i="40"/>
  <c r="CT96" i="40"/>
  <c r="CA94" i="40"/>
  <c r="CS74" i="40"/>
  <c r="CS67" i="40"/>
  <c r="CR67" i="40"/>
  <c r="CB67" i="40"/>
  <c r="CC67" i="40" s="1"/>
  <c r="CR63" i="40"/>
  <c r="CR47" i="40"/>
  <c r="CC96" i="40"/>
  <c r="CC86" i="40"/>
  <c r="CU86" i="40" s="1"/>
  <c r="CC80" i="40"/>
  <c r="CS58" i="40"/>
  <c r="CB64" i="40"/>
  <c r="CS57" i="40"/>
  <c r="CS40" i="40"/>
  <c r="CR25" i="40"/>
  <c r="CR17" i="40"/>
  <c r="CT34" i="40"/>
  <c r="I12" i="39"/>
  <c r="I13" i="39"/>
  <c r="I15" i="39"/>
  <c r="I19" i="39"/>
  <c r="I14" i="39"/>
  <c r="I16" i="39"/>
  <c r="I17" i="39"/>
  <c r="I20" i="39"/>
  <c r="I18" i="39"/>
  <c r="N15" i="39"/>
  <c r="E12" i="39"/>
  <c r="E14" i="39"/>
  <c r="E13" i="39"/>
  <c r="E20" i="39"/>
  <c r="E19" i="39"/>
  <c r="E18" i="39"/>
  <c r="E17" i="39"/>
  <c r="E16" i="39"/>
  <c r="E15" i="39"/>
  <c r="S15" i="39"/>
  <c r="CC13" i="40" l="1"/>
  <c r="CD13" i="40" s="1"/>
  <c r="CT16" i="40"/>
  <c r="CD112" i="40"/>
  <c r="CV112" i="40" s="1"/>
  <c r="CS13" i="40"/>
  <c r="CS104" i="40"/>
  <c r="CS18" i="40"/>
  <c r="CS76" i="40"/>
  <c r="CT254" i="40"/>
  <c r="CC125" i="40"/>
  <c r="CU125" i="40" s="1"/>
  <c r="CB139" i="40"/>
  <c r="CC139" i="40" s="1"/>
  <c r="CB306" i="40"/>
  <c r="CB103" i="40"/>
  <c r="CC103" i="40" s="1"/>
  <c r="CD103" i="40" s="1"/>
  <c r="CT17" i="40"/>
  <c r="CC273" i="40"/>
  <c r="CD273" i="40" s="1"/>
  <c r="CS249" i="40"/>
  <c r="CB249" i="40"/>
  <c r="CC33" i="40"/>
  <c r="CD33" i="40" s="1"/>
  <c r="CC11" i="40"/>
  <c r="CU11" i="40" s="1"/>
  <c r="CB162" i="40"/>
  <c r="CC162" i="40" s="1"/>
  <c r="CU162" i="40" s="1"/>
  <c r="CB179" i="40"/>
  <c r="CT179" i="40" s="1"/>
  <c r="BD93" i="40"/>
  <c r="BL93" i="40" s="1"/>
  <c r="CS101" i="40"/>
  <c r="CC8" i="40"/>
  <c r="CU8" i="40" s="1"/>
  <c r="CT23" i="40"/>
  <c r="CU33" i="40"/>
  <c r="CC111" i="40"/>
  <c r="CU111" i="40" s="1"/>
  <c r="CC303" i="40"/>
  <c r="CT145" i="40"/>
  <c r="CC304" i="40"/>
  <c r="CD304" i="40" s="1"/>
  <c r="CV304" i="40" s="1"/>
  <c r="CT27" i="40"/>
  <c r="CT52" i="40"/>
  <c r="CT106" i="40"/>
  <c r="CB130" i="40"/>
  <c r="CC100" i="40"/>
  <c r="CD100" i="40" s="1"/>
  <c r="CT213" i="40"/>
  <c r="CC156" i="40"/>
  <c r="CD156" i="40" s="1"/>
  <c r="CB19" i="40"/>
  <c r="CC19" i="40" s="1"/>
  <c r="CT13" i="40"/>
  <c r="CB294" i="40"/>
  <c r="CT294" i="40" s="1"/>
  <c r="CD157" i="40"/>
  <c r="CV157" i="40" s="1"/>
  <c r="CT131" i="40"/>
  <c r="CC165" i="40"/>
  <c r="CB164" i="40"/>
  <c r="CT164" i="40" s="1"/>
  <c r="CS175" i="40"/>
  <c r="CC6" i="40"/>
  <c r="CU6" i="40" s="1"/>
  <c r="CC186" i="40"/>
  <c r="CC193" i="40"/>
  <c r="CU193" i="40" s="1"/>
  <c r="CC131" i="40"/>
  <c r="CD131" i="40" s="1"/>
  <c r="CS134" i="40"/>
  <c r="CC195" i="40"/>
  <c r="CU195" i="40" s="1"/>
  <c r="CU301" i="40"/>
  <c r="CC204" i="40"/>
  <c r="CD204" i="40" s="1"/>
  <c r="CT204" i="40"/>
  <c r="CC9" i="40"/>
  <c r="CU9" i="40" s="1"/>
  <c r="CT149" i="40"/>
  <c r="CC201" i="40"/>
  <c r="CU201" i="40" s="1"/>
  <c r="CD110" i="40"/>
  <c r="CV110" i="40" s="1"/>
  <c r="CC225" i="40"/>
  <c r="CU225" i="40" s="1"/>
  <c r="CT289" i="40"/>
  <c r="CU31" i="40"/>
  <c r="CS41" i="40"/>
  <c r="CB121" i="40"/>
  <c r="CT121" i="40" s="1"/>
  <c r="CT201" i="40"/>
  <c r="CT178" i="40"/>
  <c r="CT316" i="40"/>
  <c r="CT287" i="40"/>
  <c r="CC171" i="40"/>
  <c r="CC30" i="40"/>
  <c r="CD30" i="40" s="1"/>
  <c r="BU43" i="40"/>
  <c r="CJ43" i="40" s="1"/>
  <c r="CP43" i="40" s="1"/>
  <c r="CB244" i="40"/>
  <c r="CC244" i="40" s="1"/>
  <c r="CC66" i="40"/>
  <c r="CD66" i="40" s="1"/>
  <c r="CV66" i="40" s="1"/>
  <c r="CC18" i="40"/>
  <c r="CU278" i="40"/>
  <c r="CT76" i="40"/>
  <c r="CS219" i="40"/>
  <c r="CC180" i="40"/>
  <c r="CU180" i="40" s="1"/>
  <c r="CT186" i="40"/>
  <c r="CS276" i="40"/>
  <c r="CT124" i="40"/>
  <c r="CT187" i="40"/>
  <c r="CC116" i="40"/>
  <c r="CC269" i="40"/>
  <c r="CU269" i="40" s="1"/>
  <c r="CS318" i="40"/>
  <c r="CD5" i="40"/>
  <c r="CV5" i="40" s="1"/>
  <c r="CC109" i="40"/>
  <c r="CD109" i="40" s="1"/>
  <c r="BV93" i="40"/>
  <c r="CH93" i="40"/>
  <c r="CN93" i="40" s="1"/>
  <c r="CF21" i="40"/>
  <c r="CL21" i="40" s="1"/>
  <c r="CY21" i="40" s="1"/>
  <c r="CZ21" i="40" s="1"/>
  <c r="CT175" i="40"/>
  <c r="CC175" i="40"/>
  <c r="CU175" i="40" s="1"/>
  <c r="CD133" i="40"/>
  <c r="CV133" i="40" s="1"/>
  <c r="CC233" i="40"/>
  <c r="CD233" i="40" s="1"/>
  <c r="CV233" i="40" s="1"/>
  <c r="CD17" i="40"/>
  <c r="CV17" i="40" s="1"/>
  <c r="CB107" i="40"/>
  <c r="CC107" i="40" s="1"/>
  <c r="CD107" i="40" s="1"/>
  <c r="CV107" i="40" s="1"/>
  <c r="CD28" i="40"/>
  <c r="CV28" i="40" s="1"/>
  <c r="CB243" i="40"/>
  <c r="CT243" i="40" s="1"/>
  <c r="CU34" i="40"/>
  <c r="CU137" i="40"/>
  <c r="CD205" i="40"/>
  <c r="CV205" i="40" s="1"/>
  <c r="CC176" i="40"/>
  <c r="CD176" i="40" s="1"/>
  <c r="CT234" i="40"/>
  <c r="CC16" i="40"/>
  <c r="CU16" i="40" s="1"/>
  <c r="CT217" i="40"/>
  <c r="CC51" i="40"/>
  <c r="CC29" i="40"/>
  <c r="CU29" i="40" s="1"/>
  <c r="CC300" i="40"/>
  <c r="CD300" i="40" s="1"/>
  <c r="CV300" i="40" s="1"/>
  <c r="CU313" i="40"/>
  <c r="CT15" i="40"/>
  <c r="CS16" i="40"/>
  <c r="CS35" i="40"/>
  <c r="CS169" i="40"/>
  <c r="CC312" i="40"/>
  <c r="CU312" i="40" s="1"/>
  <c r="CS196" i="40"/>
  <c r="CS274" i="40"/>
  <c r="CC241" i="40"/>
  <c r="CD241" i="40" s="1"/>
  <c r="CV241" i="40" s="1"/>
  <c r="CS98" i="40"/>
  <c r="CB296" i="40"/>
  <c r="CC296" i="40" s="1"/>
  <c r="CT312" i="40"/>
  <c r="CD135" i="40"/>
  <c r="CV135" i="40" s="1"/>
  <c r="CT169" i="40"/>
  <c r="CS181" i="40"/>
  <c r="CT134" i="40"/>
  <c r="CT47" i="40"/>
  <c r="CC47" i="40"/>
  <c r="CU47" i="40" s="1"/>
  <c r="CT104" i="40"/>
  <c r="CC104" i="40"/>
  <c r="CD104" i="40" s="1"/>
  <c r="CC98" i="40"/>
  <c r="CD98" i="40" s="1"/>
  <c r="CT98" i="40"/>
  <c r="CC101" i="40"/>
  <c r="CU101" i="40" s="1"/>
  <c r="CC209" i="40"/>
  <c r="CD209" i="40" s="1"/>
  <c r="CD265" i="40"/>
  <c r="CV265" i="40" s="1"/>
  <c r="CT266" i="40"/>
  <c r="CS262" i="40"/>
  <c r="CS282" i="40"/>
  <c r="CS201" i="40"/>
  <c r="CU44" i="40"/>
  <c r="CG43" i="40"/>
  <c r="CM43" i="40" s="1"/>
  <c r="DA43" i="40" s="1"/>
  <c r="DB43" i="40" s="1"/>
  <c r="CT103" i="40"/>
  <c r="CC134" i="40"/>
  <c r="CD134" i="40" s="1"/>
  <c r="CV134" i="40" s="1"/>
  <c r="CB152" i="40"/>
  <c r="CC54" i="40"/>
  <c r="CD72" i="40"/>
  <c r="CV72" i="40" s="1"/>
  <c r="CU106" i="40"/>
  <c r="CT137" i="40"/>
  <c r="CV34" i="40"/>
  <c r="CU233" i="40"/>
  <c r="CS193" i="40"/>
  <c r="CD177" i="40"/>
  <c r="CV177" i="40" s="1"/>
  <c r="CC203" i="40"/>
  <c r="CC267" i="40"/>
  <c r="CS116" i="40"/>
  <c r="CT267" i="40"/>
  <c r="CV131" i="40"/>
  <c r="CC35" i="40"/>
  <c r="CD35" i="40" s="1"/>
  <c r="CT35" i="40"/>
  <c r="CU139" i="40"/>
  <c r="CD145" i="40"/>
  <c r="CV145" i="40" s="1"/>
  <c r="CT219" i="40"/>
  <c r="CD187" i="40"/>
  <c r="CV187" i="40" s="1"/>
  <c r="CU187" i="40"/>
  <c r="CU15" i="40"/>
  <c r="CB81" i="40"/>
  <c r="CT81" i="40" s="1"/>
  <c r="CT48" i="40"/>
  <c r="CC136" i="40"/>
  <c r="CU136" i="40" s="1"/>
  <c r="CC146" i="40"/>
  <c r="CD146" i="40" s="1"/>
  <c r="CC55" i="40"/>
  <c r="CU55" i="40" s="1"/>
  <c r="CJ17" i="40"/>
  <c r="CP17" i="40" s="1"/>
  <c r="CC219" i="40"/>
  <c r="CU219" i="40" s="1"/>
  <c r="CD284" i="40"/>
  <c r="CB263" i="40"/>
  <c r="CC263" i="40" s="1"/>
  <c r="CT292" i="40"/>
  <c r="CS285" i="40"/>
  <c r="CT238" i="40"/>
  <c r="CU287" i="40"/>
  <c r="CB248" i="40"/>
  <c r="CC248" i="40" s="1"/>
  <c r="CB197" i="40"/>
  <c r="CC138" i="40"/>
  <c r="CU138" i="40" s="1"/>
  <c r="CU170" i="40"/>
  <c r="CE21" i="40"/>
  <c r="CK21" i="40" s="1"/>
  <c r="CW21" i="40" s="1"/>
  <c r="CX21" i="40" s="1"/>
  <c r="CC161" i="40"/>
  <c r="CD161" i="40" s="1"/>
  <c r="CV161" i="40" s="1"/>
  <c r="CD15" i="40"/>
  <c r="CV15" i="40" s="1"/>
  <c r="CD137" i="40"/>
  <c r="CV137" i="40" s="1"/>
  <c r="CC148" i="40"/>
  <c r="CD148" i="40" s="1"/>
  <c r="CV148" i="40" s="1"/>
  <c r="CC276" i="40"/>
  <c r="CD276" i="40" s="1"/>
  <c r="CV276" i="40" s="1"/>
  <c r="CD287" i="40"/>
  <c r="CV287" i="40" s="1"/>
  <c r="CS316" i="40"/>
  <c r="CC150" i="40"/>
  <c r="CU150" i="40" s="1"/>
  <c r="CC78" i="40"/>
  <c r="CU78" i="40" s="1"/>
  <c r="CC169" i="40"/>
  <c r="CD169" i="40" s="1"/>
  <c r="CJ21" i="40"/>
  <c r="CP21" i="40" s="1"/>
  <c r="CU112" i="40"/>
  <c r="BU93" i="40"/>
  <c r="CI93" i="40" s="1"/>
  <c r="CO93" i="40" s="1"/>
  <c r="CU117" i="40"/>
  <c r="CU145" i="40"/>
  <c r="CC181" i="40"/>
  <c r="CU181" i="40" s="1"/>
  <c r="CB271" i="40"/>
  <c r="CT271" i="40" s="1"/>
  <c r="CS269" i="40"/>
  <c r="CC210" i="40"/>
  <c r="CD210" i="40" s="1"/>
  <c r="CC258" i="40"/>
  <c r="CU258" i="40" s="1"/>
  <c r="CC215" i="40"/>
  <c r="CU215" i="40" s="1"/>
  <c r="CT22" i="40"/>
  <c r="CT181" i="40"/>
  <c r="CS312" i="40"/>
  <c r="CT269" i="40"/>
  <c r="CD290" i="40"/>
  <c r="CV290" i="40" s="1"/>
  <c r="CS314" i="40"/>
  <c r="CC316" i="40"/>
  <c r="CU316" i="40" s="1"/>
  <c r="CT191" i="40"/>
  <c r="CS267" i="40"/>
  <c r="CT212" i="40"/>
  <c r="CS253" i="40"/>
  <c r="CU50" i="40"/>
  <c r="CU57" i="40"/>
  <c r="CU13" i="40"/>
  <c r="CC63" i="40"/>
  <c r="CU63" i="40" s="1"/>
  <c r="CT67" i="40"/>
  <c r="CB87" i="40"/>
  <c r="CT87" i="40" s="1"/>
  <c r="CT123" i="40"/>
  <c r="CD162" i="40"/>
  <c r="CV162" i="40" s="1"/>
  <c r="CV24" i="40"/>
  <c r="CU24" i="40"/>
  <c r="CD52" i="40"/>
  <c r="CV52" i="40" s="1"/>
  <c r="CU96" i="40"/>
  <c r="CD96" i="40"/>
  <c r="CV96" i="40" s="1"/>
  <c r="CS141" i="40"/>
  <c r="CB141" i="40"/>
  <c r="CT141" i="40" s="1"/>
  <c r="CB85" i="40"/>
  <c r="CT85" i="40" s="1"/>
  <c r="CS85" i="40"/>
  <c r="CD194" i="40"/>
  <c r="CV194" i="40" s="1"/>
  <c r="CD32" i="40"/>
  <c r="CV32" i="40" s="1"/>
  <c r="CU32" i="40"/>
  <c r="CU194" i="40"/>
  <c r="CV31" i="40"/>
  <c r="CU51" i="40"/>
  <c r="CC40" i="40"/>
  <c r="CU40" i="40" s="1"/>
  <c r="CD206" i="40"/>
  <c r="CV206" i="40" s="1"/>
  <c r="CB239" i="40"/>
  <c r="CT239" i="40" s="1"/>
  <c r="CC253" i="40"/>
  <c r="CU253" i="40" s="1"/>
  <c r="CV173" i="40"/>
  <c r="CU21" i="40"/>
  <c r="CV56" i="40"/>
  <c r="CC41" i="40"/>
  <c r="CD41" i="40" s="1"/>
  <c r="CV41" i="40" s="1"/>
  <c r="CD159" i="40"/>
  <c r="CV159" i="40" s="1"/>
  <c r="CV102" i="40"/>
  <c r="CC227" i="40"/>
  <c r="CU227" i="40" s="1"/>
  <c r="CT216" i="40"/>
  <c r="CV33" i="40"/>
  <c r="CC255" i="40"/>
  <c r="CU255" i="40" s="1"/>
  <c r="CU149" i="40"/>
  <c r="CB75" i="40"/>
  <c r="CC75" i="40" s="1"/>
  <c r="CS255" i="40"/>
  <c r="CU273" i="40"/>
  <c r="CB295" i="40"/>
  <c r="CC295" i="40" s="1"/>
  <c r="CB172" i="40"/>
  <c r="CT246" i="40"/>
  <c r="CV278" i="40"/>
  <c r="CI50" i="40"/>
  <c r="CO50" i="40" s="1"/>
  <c r="CV117" i="40"/>
  <c r="CU224" i="40"/>
  <c r="CS10" i="40"/>
  <c r="CB10" i="40"/>
  <c r="CC274" i="40"/>
  <c r="CD274" i="40" s="1"/>
  <c r="CV274" i="40" s="1"/>
  <c r="CT236" i="40"/>
  <c r="CT262" i="40"/>
  <c r="CD246" i="40"/>
  <c r="CV246" i="40" s="1"/>
  <c r="CD217" i="40"/>
  <c r="CV217" i="40" s="1"/>
  <c r="CC245" i="40"/>
  <c r="CD245" i="40" s="1"/>
  <c r="CU305" i="40"/>
  <c r="CV284" i="40"/>
  <c r="CD261" i="40"/>
  <c r="CV261" i="40" s="1"/>
  <c r="CB237" i="40"/>
  <c r="CT237" i="40" s="1"/>
  <c r="CT261" i="40"/>
  <c r="CD171" i="40"/>
  <c r="CV171" i="40" s="1"/>
  <c r="CT244" i="40"/>
  <c r="CV273" i="40"/>
  <c r="CC142" i="40"/>
  <c r="CD142" i="40" s="1"/>
  <c r="CT142" i="40"/>
  <c r="CF93" i="40"/>
  <c r="CL93" i="40" s="1"/>
  <c r="CY93" i="40" s="1"/>
  <c r="CZ93" i="40" s="1"/>
  <c r="CH50" i="40"/>
  <c r="CN50" i="40" s="1"/>
  <c r="CF50" i="40"/>
  <c r="CL50" i="40" s="1"/>
  <c r="CY50" i="40" s="1"/>
  <c r="CZ50" i="40" s="1"/>
  <c r="CG50" i="40"/>
  <c r="CM50" i="40" s="1"/>
  <c r="DA50" i="40" s="1"/>
  <c r="DB50" i="40" s="1"/>
  <c r="CJ50" i="40"/>
  <c r="CP50" i="40" s="1"/>
  <c r="CH17" i="40"/>
  <c r="CN17" i="40" s="1"/>
  <c r="DC17" i="40" s="1"/>
  <c r="DD17" i="40" s="1"/>
  <c r="CI17" i="40"/>
  <c r="CO17" i="40" s="1"/>
  <c r="DE17" i="40" s="1"/>
  <c r="DF17" i="40" s="1"/>
  <c r="CU76" i="40"/>
  <c r="CD76" i="40"/>
  <c r="CV76" i="40" s="1"/>
  <c r="CT259" i="40"/>
  <c r="CC259" i="40"/>
  <c r="CU259" i="40" s="1"/>
  <c r="CT199" i="40"/>
  <c r="CC199" i="40"/>
  <c r="CU199" i="40" s="1"/>
  <c r="CT318" i="40"/>
  <c r="CC318" i="40"/>
  <c r="CD318" i="40" s="1"/>
  <c r="CT73" i="40"/>
  <c r="CC73" i="40"/>
  <c r="CU73" i="40" s="1"/>
  <c r="CT160" i="40"/>
  <c r="CC160" i="40"/>
  <c r="CU160" i="40" s="1"/>
  <c r="CU212" i="40"/>
  <c r="CD212" i="40"/>
  <c r="CV212" i="40" s="1"/>
  <c r="CC257" i="40"/>
  <c r="CU257" i="40" s="1"/>
  <c r="CT257" i="40"/>
  <c r="CC314" i="40"/>
  <c r="CU314" i="40" s="1"/>
  <c r="CT61" i="40"/>
  <c r="CU22" i="40"/>
  <c r="CD22" i="40"/>
  <c r="CV22" i="40" s="1"/>
  <c r="CB97" i="40"/>
  <c r="CT97" i="40" s="1"/>
  <c r="CS97" i="40"/>
  <c r="CU127" i="40"/>
  <c r="CB174" i="40"/>
  <c r="CC174" i="40" s="1"/>
  <c r="CU174" i="40" s="1"/>
  <c r="CU27" i="40"/>
  <c r="CT74" i="40"/>
  <c r="CV92" i="40"/>
  <c r="CS160" i="40"/>
  <c r="CU182" i="40"/>
  <c r="CG17" i="40"/>
  <c r="CM17" i="40" s="1"/>
  <c r="DA17" i="40" s="1"/>
  <c r="DB17" i="40" s="1"/>
  <c r="CS53" i="40"/>
  <c r="CD86" i="40"/>
  <c r="CV86" i="40" s="1"/>
  <c r="CD129" i="40"/>
  <c r="CV129" i="40" s="1"/>
  <c r="CB189" i="40"/>
  <c r="CS200" i="40"/>
  <c r="CD14" i="40"/>
  <c r="CV14" i="40" s="1"/>
  <c r="CB37" i="40"/>
  <c r="CC65" i="40"/>
  <c r="CS93" i="40"/>
  <c r="CB93" i="40"/>
  <c r="CC93" i="40" s="1"/>
  <c r="CD93" i="40" s="1"/>
  <c r="CB252" i="40"/>
  <c r="CT252" i="40" s="1"/>
  <c r="CT82" i="40"/>
  <c r="CE93" i="40"/>
  <c r="CK93" i="40" s="1"/>
  <c r="CW93" i="40" s="1"/>
  <c r="CX93" i="40" s="1"/>
  <c r="CS281" i="40"/>
  <c r="CT270" i="40"/>
  <c r="CV234" i="40"/>
  <c r="CB226" i="40"/>
  <c r="CC226" i="40" s="1"/>
  <c r="CC272" i="40"/>
  <c r="CD224" i="40"/>
  <c r="CV224" i="40" s="1"/>
  <c r="CT64" i="40"/>
  <c r="CB202" i="40"/>
  <c r="CV44" i="40"/>
  <c r="CD166" i="40"/>
  <c r="CV166" i="40" s="1"/>
  <c r="CD58" i="40"/>
  <c r="CV58" i="40" s="1"/>
  <c r="CT57" i="40"/>
  <c r="CS73" i="40"/>
  <c r="CT42" i="40"/>
  <c r="CT40" i="40"/>
  <c r="CU56" i="40"/>
  <c r="CB79" i="40"/>
  <c r="CT79" i="40" s="1"/>
  <c r="CV167" i="40"/>
  <c r="CB12" i="40"/>
  <c r="CT12" i="40" s="1"/>
  <c r="CD80" i="40"/>
  <c r="CV80" i="40" s="1"/>
  <c r="CD26" i="40"/>
  <c r="CV26" i="40" s="1"/>
  <c r="CC88" i="40"/>
  <c r="CU88" i="40" s="1"/>
  <c r="CU102" i="40"/>
  <c r="CD57" i="40"/>
  <c r="CV57" i="40" s="1"/>
  <c r="CC184" i="40"/>
  <c r="CU184" i="40" s="1"/>
  <c r="CB242" i="40"/>
  <c r="CC242" i="40" s="1"/>
  <c r="CS259" i="40"/>
  <c r="CT286" i="40"/>
  <c r="CT62" i="40"/>
  <c r="CT245" i="40"/>
  <c r="CT260" i="40"/>
  <c r="CT305" i="40"/>
  <c r="CC220" i="40"/>
  <c r="CD220" i="40" s="1"/>
  <c r="CT314" i="40"/>
  <c r="CS199" i="40"/>
  <c r="CC218" i="40"/>
  <c r="CB228" i="40"/>
  <c r="CC228" i="40" s="1"/>
  <c r="CD307" i="40"/>
  <c r="CV307" i="40" s="1"/>
  <c r="CD191" i="40"/>
  <c r="CV191" i="40" s="1"/>
  <c r="CU234" i="40"/>
  <c r="CB299" i="40"/>
  <c r="CC299" i="40" s="1"/>
  <c r="CD299" i="40" s="1"/>
  <c r="CS299" i="40"/>
  <c r="CD235" i="40"/>
  <c r="CV235" i="40" s="1"/>
  <c r="CT231" i="40"/>
  <c r="CV182" i="40"/>
  <c r="CU80" i="40"/>
  <c r="CB200" i="40"/>
  <c r="CT200" i="40" s="1"/>
  <c r="CU26" i="40"/>
  <c r="CD108" i="40"/>
  <c r="CV108" i="40" s="1"/>
  <c r="CD213" i="40"/>
  <c r="CV213" i="40" s="1"/>
  <c r="CD51" i="40"/>
  <c r="CV51" i="40" s="1"/>
  <c r="CB250" i="40"/>
  <c r="CT250" i="40" s="1"/>
  <c r="CS252" i="40"/>
  <c r="CS280" i="40"/>
  <c r="CB280" i="40"/>
  <c r="CC280" i="40" s="1"/>
  <c r="CU280" i="40" s="1"/>
  <c r="CC277" i="40"/>
  <c r="CD277" i="40" s="1"/>
  <c r="CC297" i="40"/>
  <c r="CU297" i="40" s="1"/>
  <c r="CD203" i="40"/>
  <c r="CV203" i="40" s="1"/>
  <c r="CD124" i="40"/>
  <c r="CV124" i="40" s="1"/>
  <c r="CV291" i="40"/>
  <c r="CS192" i="40"/>
  <c r="CT218" i="40"/>
  <c r="CC251" i="40"/>
  <c r="CD251" i="40" s="1"/>
  <c r="CV251" i="40" s="1"/>
  <c r="CU262" i="40"/>
  <c r="CD262" i="40"/>
  <c r="CV262" i="40" s="1"/>
  <c r="CS275" i="40"/>
  <c r="CC229" i="40"/>
  <c r="CU229" i="40" s="1"/>
  <c r="CB281" i="40"/>
  <c r="CC281" i="40" s="1"/>
  <c r="CD292" i="40"/>
  <c r="CV292" i="40" s="1"/>
  <c r="CC293" i="40"/>
  <c r="CU293" i="40" s="1"/>
  <c r="CS37" i="40"/>
  <c r="CT127" i="40"/>
  <c r="CC231" i="40"/>
  <c r="CD231" i="40" s="1"/>
  <c r="CV231" i="40" s="1"/>
  <c r="CB198" i="40"/>
  <c r="CC198" i="40" s="1"/>
  <c r="CD240" i="40"/>
  <c r="CV240" i="40" s="1"/>
  <c r="CD266" i="40"/>
  <c r="CV266" i="40" s="1"/>
  <c r="CC62" i="40"/>
  <c r="CD62" i="40" s="1"/>
  <c r="CV62" i="40" s="1"/>
  <c r="CT114" i="40"/>
  <c r="CV163" i="40"/>
  <c r="CB71" i="40"/>
  <c r="CT71" i="40" s="1"/>
  <c r="CH43" i="40"/>
  <c r="CN43" i="40" s="1"/>
  <c r="CC115" i="40"/>
  <c r="CU115" i="40" s="1"/>
  <c r="CB132" i="40"/>
  <c r="CT132" i="40" s="1"/>
  <c r="CT41" i="40"/>
  <c r="CB77" i="40"/>
  <c r="CC77" i="40" s="1"/>
  <c r="CC164" i="40"/>
  <c r="CC147" i="40"/>
  <c r="CU147" i="40" s="1"/>
  <c r="CB39" i="40"/>
  <c r="CC82" i="40"/>
  <c r="CU82" i="40" s="1"/>
  <c r="CT84" i="40"/>
  <c r="CV27" i="40"/>
  <c r="CC208" i="40"/>
  <c r="CU208" i="40" s="1"/>
  <c r="CT277" i="40"/>
  <c r="CT297" i="40"/>
  <c r="CU203" i="40"/>
  <c r="CS288" i="40"/>
  <c r="CC310" i="40"/>
  <c r="CU310" i="40" s="1"/>
  <c r="CD195" i="40"/>
  <c r="CV195" i="40" s="1"/>
  <c r="CS229" i="40"/>
  <c r="CD238" i="40"/>
  <c r="CV238" i="40" s="1"/>
  <c r="CU238" i="40"/>
  <c r="CU292" i="40"/>
  <c r="CB188" i="40"/>
  <c r="CT188" i="40" s="1"/>
  <c r="CC84" i="40"/>
  <c r="CS132" i="40"/>
  <c r="CS198" i="40"/>
  <c r="CB279" i="40"/>
  <c r="CU266" i="40"/>
  <c r="CU166" i="40"/>
  <c r="CU173" i="40"/>
  <c r="CV50" i="40"/>
  <c r="CB89" i="40"/>
  <c r="CU92" i="40"/>
  <c r="CU42" i="40"/>
  <c r="CD42" i="40"/>
  <c r="CV42" i="40" s="1"/>
  <c r="CS42" i="40"/>
  <c r="CS144" i="40"/>
  <c r="CS49" i="40"/>
  <c r="CV48" i="40"/>
  <c r="CS79" i="40"/>
  <c r="CS211" i="40"/>
  <c r="CB211" i="40"/>
  <c r="CB69" i="40"/>
  <c r="CD122" i="40"/>
  <c r="CV122" i="40" s="1"/>
  <c r="CT46" i="40"/>
  <c r="CD20" i="40"/>
  <c r="CV20" i="40" s="1"/>
  <c r="CC91" i="40"/>
  <c r="CV98" i="40"/>
  <c r="CT122" i="40"/>
  <c r="CS147" i="40"/>
  <c r="CC90" i="40"/>
  <c r="CC243" i="40"/>
  <c r="CD243" i="40" s="1"/>
  <c r="CC64" i="40"/>
  <c r="CU64" i="40" s="1"/>
  <c r="CC43" i="40"/>
  <c r="CU52" i="40"/>
  <c r="CS119" i="40"/>
  <c r="CB154" i="40"/>
  <c r="CT208" i="40"/>
  <c r="CS216" i="40"/>
  <c r="CS270" i="40"/>
  <c r="CD168" i="40"/>
  <c r="CV168" i="40" s="1"/>
  <c r="CC282" i="40"/>
  <c r="CD282" i="40" s="1"/>
  <c r="CB283" i="40"/>
  <c r="CT283" i="40" s="1"/>
  <c r="CF43" i="40"/>
  <c r="CL43" i="40" s="1"/>
  <c r="CY43" i="40" s="1"/>
  <c r="CZ43" i="40" s="1"/>
  <c r="CB232" i="40"/>
  <c r="CC232" i="40" s="1"/>
  <c r="CU232" i="40" s="1"/>
  <c r="CT310" i="40"/>
  <c r="CT196" i="40"/>
  <c r="CC221" i="40"/>
  <c r="CD221" i="40" s="1"/>
  <c r="CD247" i="40"/>
  <c r="CV247" i="40" s="1"/>
  <c r="CU247" i="40"/>
  <c r="CC302" i="40"/>
  <c r="CD302" i="40" s="1"/>
  <c r="CS315" i="40"/>
  <c r="CB275" i="40"/>
  <c r="CC113" i="40"/>
  <c r="CD185" i="40"/>
  <c r="CV185" i="40" s="1"/>
  <c r="CC207" i="40"/>
  <c r="CD207" i="40" s="1"/>
  <c r="CV207" i="40" s="1"/>
  <c r="CT229" i="40"/>
  <c r="CT251" i="40"/>
  <c r="CT293" i="40"/>
  <c r="CD286" i="40"/>
  <c r="CV286" i="40" s="1"/>
  <c r="CU67" i="40"/>
  <c r="CU109" i="40"/>
  <c r="CS47" i="40"/>
  <c r="CB119" i="40"/>
  <c r="CC119" i="40" s="1"/>
  <c r="CU171" i="40"/>
  <c r="CD178" i="40"/>
  <c r="CV178" i="40" s="1"/>
  <c r="CU240" i="40"/>
  <c r="CC252" i="40"/>
  <c r="CU252" i="40" s="1"/>
  <c r="CD305" i="40"/>
  <c r="CV305" i="40" s="1"/>
  <c r="CU261" i="40"/>
  <c r="CS248" i="40"/>
  <c r="CU118" i="40"/>
  <c r="CD123" i="40"/>
  <c r="CV123" i="40" s="1"/>
  <c r="CT70" i="40"/>
  <c r="CC70" i="40"/>
  <c r="CD70" i="40" s="1"/>
  <c r="CV70" i="40" s="1"/>
  <c r="CS71" i="40"/>
  <c r="CU95" i="40"/>
  <c r="CV118" i="40"/>
  <c r="CC99" i="40"/>
  <c r="CU99" i="40" s="1"/>
  <c r="CS59" i="40"/>
  <c r="CU122" i="40"/>
  <c r="CT143" i="40"/>
  <c r="CU143" i="40"/>
  <c r="CB49" i="40"/>
  <c r="CT49" i="40" s="1"/>
  <c r="CT68" i="40"/>
  <c r="CT147" i="40"/>
  <c r="CT43" i="40"/>
  <c r="CD18" i="40"/>
  <c r="CV18" i="40" s="1"/>
  <c r="CV30" i="40"/>
  <c r="CD60" i="40"/>
  <c r="CV60" i="40" s="1"/>
  <c r="CB53" i="40"/>
  <c r="CT53" i="40" s="1"/>
  <c r="CT113" i="40"/>
  <c r="CS94" i="40"/>
  <c r="CC120" i="40"/>
  <c r="CB158" i="40"/>
  <c r="CS189" i="40"/>
  <c r="CV13" i="40"/>
  <c r="CC311" i="40"/>
  <c r="CU311" i="40" s="1"/>
  <c r="CS68" i="40"/>
  <c r="CV156" i="40"/>
  <c r="CB268" i="40"/>
  <c r="CC268" i="40" s="1"/>
  <c r="CT263" i="40"/>
  <c r="CT91" i="40"/>
  <c r="CV169" i="40"/>
  <c r="CC196" i="40"/>
  <c r="CU196" i="40" s="1"/>
  <c r="CS242" i="40"/>
  <c r="CT302" i="40"/>
  <c r="CS308" i="40"/>
  <c r="CS283" i="40"/>
  <c r="CC309" i="40"/>
  <c r="CB308" i="40"/>
  <c r="CC308" i="40" s="1"/>
  <c r="CU286" i="40"/>
  <c r="CU289" i="40"/>
  <c r="CD67" i="40"/>
  <c r="CV67" i="40" s="1"/>
  <c r="CU163" i="40"/>
  <c r="CS63" i="40"/>
  <c r="CU178" i="40"/>
  <c r="CS250" i="40"/>
  <c r="CT130" i="40"/>
  <c r="CB190" i="40"/>
  <c r="CC190" i="40" s="1"/>
  <c r="CC222" i="40"/>
  <c r="CU222" i="40" s="1"/>
  <c r="CT222" i="40"/>
  <c r="CG93" i="40"/>
  <c r="CM93" i="40" s="1"/>
  <c r="CC114" i="40"/>
  <c r="CB140" i="40"/>
  <c r="CT99" i="40"/>
  <c r="CT25" i="40"/>
  <c r="CD38" i="40"/>
  <c r="CV38" i="40" s="1"/>
  <c r="CD143" i="40"/>
  <c r="CV143" i="40" s="1"/>
  <c r="CD54" i="40"/>
  <c r="CV54" i="40" s="1"/>
  <c r="CC68" i="40"/>
  <c r="CS77" i="40"/>
  <c r="CB144" i="40"/>
  <c r="CC59" i="40"/>
  <c r="CV103" i="40"/>
  <c r="CS128" i="40"/>
  <c r="CB128" i="40"/>
  <c r="CD125" i="40"/>
  <c r="CV125" i="40" s="1"/>
  <c r="CE17" i="40"/>
  <c r="CK17" i="40" s="1"/>
  <c r="CW17" i="40" s="1"/>
  <c r="CX17" i="40" s="1"/>
  <c r="CC46" i="40"/>
  <c r="CU46" i="40" s="1"/>
  <c r="CU18" i="40"/>
  <c r="CT88" i="40"/>
  <c r="CC306" i="40"/>
  <c r="CB45" i="40"/>
  <c r="CC45" i="40" s="1"/>
  <c r="CT221" i="40"/>
  <c r="CD303" i="40"/>
  <c r="CV303" i="40" s="1"/>
  <c r="CU169" i="40"/>
  <c r="CD289" i="40"/>
  <c r="CV289" i="40" s="1"/>
  <c r="CT38" i="40"/>
  <c r="CS188" i="40"/>
  <c r="CU291" i="40"/>
  <c r="CU217" i="40"/>
  <c r="CD256" i="40"/>
  <c r="CV256" i="40" s="1"/>
  <c r="CU230" i="40"/>
  <c r="CT311" i="40"/>
  <c r="CD73" i="40"/>
  <c r="CV73" i="40" s="1"/>
  <c r="CC130" i="40"/>
  <c r="CU130" i="40" s="1"/>
  <c r="CB94" i="40"/>
  <c r="CB126" i="40"/>
  <c r="CF17" i="40"/>
  <c r="CL17" i="40" s="1"/>
  <c r="CY17" i="40" s="1"/>
  <c r="CZ17" i="40" s="1"/>
  <c r="CS89" i="40"/>
  <c r="CC155" i="40"/>
  <c r="CU155" i="40" s="1"/>
  <c r="CD127" i="40"/>
  <c r="CV127" i="40" s="1"/>
  <c r="CH21" i="40"/>
  <c r="CN21" i="40" s="1"/>
  <c r="CG21" i="40"/>
  <c r="CM21" i="40" s="1"/>
  <c r="DA21" i="40" s="1"/>
  <c r="DB21" i="40" s="1"/>
  <c r="CU48" i="40"/>
  <c r="CC61" i="40"/>
  <c r="CS126" i="40"/>
  <c r="CC151" i="40"/>
  <c r="CT21" i="40"/>
  <c r="CC25" i="40"/>
  <c r="CD25" i="40" s="1"/>
  <c r="CU38" i="40"/>
  <c r="CI21" i="40"/>
  <c r="CO21" i="40" s="1"/>
  <c r="CC36" i="40"/>
  <c r="CU36" i="40" s="1"/>
  <c r="CU54" i="40"/>
  <c r="CB105" i="40"/>
  <c r="CT105" i="40" s="1"/>
  <c r="CT59" i="40"/>
  <c r="CC153" i="40"/>
  <c r="CT19" i="40"/>
  <c r="CE43" i="40"/>
  <c r="CK43" i="40" s="1"/>
  <c r="CW43" i="40" s="1"/>
  <c r="CX43" i="40" s="1"/>
  <c r="CB83" i="40"/>
  <c r="CS140" i="40"/>
  <c r="CT139" i="40"/>
  <c r="CT162" i="40"/>
  <c r="CC183" i="40"/>
  <c r="CT183" i="40"/>
  <c r="CT253" i="40"/>
  <c r="CS257" i="40"/>
  <c r="CD149" i="40"/>
  <c r="CV149" i="40" s="1"/>
  <c r="CS208" i="40"/>
  <c r="CC216" i="40"/>
  <c r="CU216" i="40" s="1"/>
  <c r="CB223" i="40"/>
  <c r="CT255" i="40"/>
  <c r="CC264" i="40"/>
  <c r="CU264" i="40" s="1"/>
  <c r="CC317" i="40"/>
  <c r="CD317" i="40" s="1"/>
  <c r="CT317" i="40"/>
  <c r="CU156" i="40"/>
  <c r="CC260" i="40"/>
  <c r="CT306" i="40"/>
  <c r="CD23" i="40"/>
  <c r="CV23" i="40" s="1"/>
  <c r="CS61" i="40"/>
  <c r="CC74" i="40"/>
  <c r="CD74" i="40" s="1"/>
  <c r="CU167" i="40"/>
  <c r="CC285" i="40"/>
  <c r="CD285" i="40" s="1"/>
  <c r="CC315" i="40"/>
  <c r="CU315" i="40" s="1"/>
  <c r="CT230" i="40"/>
  <c r="CE50" i="40"/>
  <c r="CK50" i="40" s="1"/>
  <c r="CW50" i="40" s="1"/>
  <c r="CX50" i="40" s="1"/>
  <c r="CB192" i="40"/>
  <c r="CU218" i="40"/>
  <c r="CD218" i="40"/>
  <c r="CS218" i="40"/>
  <c r="CD236" i="40"/>
  <c r="CV236" i="40" s="1"/>
  <c r="CC294" i="40"/>
  <c r="CU294" i="40" s="1"/>
  <c r="CC270" i="40"/>
  <c r="CD270" i="40" s="1"/>
  <c r="CU303" i="40"/>
  <c r="CT50" i="40"/>
  <c r="CD244" i="40"/>
  <c r="CV244" i="40" s="1"/>
  <c r="CT280" i="40"/>
  <c r="CB288" i="40"/>
  <c r="CC288" i="40" s="1"/>
  <c r="CD21" i="40"/>
  <c r="CV21" i="40" s="1"/>
  <c r="CT224" i="40"/>
  <c r="CT65" i="40"/>
  <c r="CU274" i="40"/>
  <c r="CD230" i="40"/>
  <c r="CV230" i="40" s="1"/>
  <c r="CU241" i="40"/>
  <c r="N16" i="39"/>
  <c r="S17" i="39" s="1"/>
  <c r="S16" i="39"/>
  <c r="CT248" i="40" l="1"/>
  <c r="CD269" i="40"/>
  <c r="CV269" i="40" s="1"/>
  <c r="CC179" i="40"/>
  <c r="CU179" i="40" s="1"/>
  <c r="CD139" i="40"/>
  <c r="CV139" i="40" s="1"/>
  <c r="CU103" i="40"/>
  <c r="CD9" i="40"/>
  <c r="CV9" i="40" s="1"/>
  <c r="CV100" i="40"/>
  <c r="CD111" i="40"/>
  <c r="CV111" i="40" s="1"/>
  <c r="CD225" i="40"/>
  <c r="CV225" i="40" s="1"/>
  <c r="CT249" i="40"/>
  <c r="CC249" i="40"/>
  <c r="CD11" i="40"/>
  <c r="CV11" i="40" s="1"/>
  <c r="CC141" i="40"/>
  <c r="CU141" i="40" s="1"/>
  <c r="CD193" i="40"/>
  <c r="CV193" i="40" s="1"/>
  <c r="CU100" i="40"/>
  <c r="CD8" i="40"/>
  <c r="CV8" i="40" s="1"/>
  <c r="CC271" i="40"/>
  <c r="CU204" i="40"/>
  <c r="CU276" i="40"/>
  <c r="CU304" i="40"/>
  <c r="CD180" i="40"/>
  <c r="CV180" i="40" s="1"/>
  <c r="CD47" i="40"/>
  <c r="CV47" i="40" s="1"/>
  <c r="CC239" i="40"/>
  <c r="CU239" i="40" s="1"/>
  <c r="CD227" i="40"/>
  <c r="CV227" i="40" s="1"/>
  <c r="CD78" i="40"/>
  <c r="CV78" i="40" s="1"/>
  <c r="CC121" i="40"/>
  <c r="CD121" i="40" s="1"/>
  <c r="CV121" i="40" s="1"/>
  <c r="CD201" i="40"/>
  <c r="CV201" i="40" s="1"/>
  <c r="CU244" i="40"/>
  <c r="CU131" i="40"/>
  <c r="CC85" i="40"/>
  <c r="CD85" i="40" s="1"/>
  <c r="CV85" i="40" s="1"/>
  <c r="CU66" i="40"/>
  <c r="CD165" i="40"/>
  <c r="CV165" i="40" s="1"/>
  <c r="CU165" i="40"/>
  <c r="CU186" i="40"/>
  <c r="CD186" i="40"/>
  <c r="CV186" i="40" s="1"/>
  <c r="CD6" i="40"/>
  <c r="CV6" i="40" s="1"/>
  <c r="CV204" i="40"/>
  <c r="CV209" i="40"/>
  <c r="CD253" i="40"/>
  <c r="CV253" i="40" s="1"/>
  <c r="CC237" i="40"/>
  <c r="CU237" i="40" s="1"/>
  <c r="CC200" i="40"/>
  <c r="CU200" i="40" s="1"/>
  <c r="CD175" i="40"/>
  <c r="CV175" i="40" s="1"/>
  <c r="CU30" i="40"/>
  <c r="CU277" i="40"/>
  <c r="CC79" i="40"/>
  <c r="CU79" i="40" s="1"/>
  <c r="CD136" i="40"/>
  <c r="CV136" i="40" s="1"/>
  <c r="CD63" i="40"/>
  <c r="CV63" i="40" s="1"/>
  <c r="CU176" i="40"/>
  <c r="CD297" i="40"/>
  <c r="CV297" i="40" s="1"/>
  <c r="CD259" i="40"/>
  <c r="CV259" i="40" s="1"/>
  <c r="CV109" i="40"/>
  <c r="CV210" i="40"/>
  <c r="CD255" i="40"/>
  <c r="CV255" i="40" s="1"/>
  <c r="CD101" i="40"/>
  <c r="CV101" i="40" s="1"/>
  <c r="CU285" i="40"/>
  <c r="CD239" i="40"/>
  <c r="DE21" i="40"/>
  <c r="DF21" i="40" s="1"/>
  <c r="CD99" i="40"/>
  <c r="CV99" i="40" s="1"/>
  <c r="CU209" i="40"/>
  <c r="CD314" i="40"/>
  <c r="CV314" i="40" s="1"/>
  <c r="CV176" i="40"/>
  <c r="CD150" i="40"/>
  <c r="CV150" i="40" s="1"/>
  <c r="CI43" i="40"/>
  <c r="CO43" i="40" s="1"/>
  <c r="CD29" i="40"/>
  <c r="CV29" i="40" s="1"/>
  <c r="CU41" i="40"/>
  <c r="CD312" i="40"/>
  <c r="CV312" i="40" s="1"/>
  <c r="CV35" i="40"/>
  <c r="CD116" i="40"/>
  <c r="CV116" i="40" s="1"/>
  <c r="CU116" i="40"/>
  <c r="DG17" i="40"/>
  <c r="DH17" i="40" s="1"/>
  <c r="CU248" i="40"/>
  <c r="CD248" i="40"/>
  <c r="CV248" i="40" s="1"/>
  <c r="CD75" i="40"/>
  <c r="CV75" i="40" s="1"/>
  <c r="CD222" i="40"/>
  <c r="CV222" i="40" s="1"/>
  <c r="DE50" i="40"/>
  <c r="DF50" i="40" s="1"/>
  <c r="CD219" i="40"/>
  <c r="CV219" i="40" s="1"/>
  <c r="CT296" i="40"/>
  <c r="CD296" i="40"/>
  <c r="CV296" i="40" s="1"/>
  <c r="CT107" i="40"/>
  <c r="CD199" i="40"/>
  <c r="CV199" i="40" s="1"/>
  <c r="CU98" i="40"/>
  <c r="CU296" i="40"/>
  <c r="CD55" i="40"/>
  <c r="CV55" i="40" s="1"/>
  <c r="CD138" i="40"/>
  <c r="CV138" i="40" s="1"/>
  <c r="CD215" i="40"/>
  <c r="CV215" i="40" s="1"/>
  <c r="CU300" i="40"/>
  <c r="CT295" i="40"/>
  <c r="CU75" i="40"/>
  <c r="CU148" i="40"/>
  <c r="CT242" i="40"/>
  <c r="DG50" i="40"/>
  <c r="DH50" i="40" s="1"/>
  <c r="CU295" i="40"/>
  <c r="CD16" i="40"/>
  <c r="CV16" i="40" s="1"/>
  <c r="CJ93" i="40"/>
  <c r="CP93" i="40" s="1"/>
  <c r="DG21" i="40"/>
  <c r="DH21" i="40" s="1"/>
  <c r="CT152" i="40"/>
  <c r="CC152" i="40"/>
  <c r="CU152" i="40" s="1"/>
  <c r="CD181" i="40"/>
  <c r="CV181" i="40" s="1"/>
  <c r="CV104" i="40"/>
  <c r="CU104" i="40"/>
  <c r="CT190" i="40"/>
  <c r="CU161" i="40"/>
  <c r="CU146" i="40"/>
  <c r="CT198" i="40"/>
  <c r="CU318" i="40"/>
  <c r="CU134" i="40"/>
  <c r="CD115" i="40"/>
  <c r="CV115" i="40" s="1"/>
  <c r="CD267" i="40"/>
  <c r="CV267" i="40" s="1"/>
  <c r="CU267" i="40"/>
  <c r="CU207" i="40"/>
  <c r="CD295" i="40"/>
  <c r="CV295" i="40" s="1"/>
  <c r="CV146" i="40"/>
  <c r="CD316" i="40"/>
  <c r="CV316" i="40" s="1"/>
  <c r="CT228" i="40"/>
  <c r="CT77" i="40"/>
  <c r="DC21" i="40"/>
  <c r="DD21" i="40" s="1"/>
  <c r="CD257" i="40"/>
  <c r="CV257" i="40" s="1"/>
  <c r="CD258" i="40"/>
  <c r="CV258" i="40" s="1"/>
  <c r="CD40" i="40"/>
  <c r="CV40" i="40" s="1"/>
  <c r="CC197" i="40"/>
  <c r="CT197" i="40"/>
  <c r="CV285" i="40"/>
  <c r="CC81" i="40"/>
  <c r="CD81" i="40" s="1"/>
  <c r="CV81" i="40" s="1"/>
  <c r="CV245" i="40"/>
  <c r="DC50" i="40"/>
  <c r="DD50" i="40" s="1"/>
  <c r="CV220" i="40"/>
  <c r="CD179" i="40"/>
  <c r="CV179" i="40" s="1"/>
  <c r="CT174" i="40"/>
  <c r="CU210" i="40"/>
  <c r="CD310" i="40"/>
  <c r="CV310" i="40" s="1"/>
  <c r="CU35" i="40"/>
  <c r="CU107" i="40"/>
  <c r="CD155" i="40"/>
  <c r="CV155" i="40" s="1"/>
  <c r="CD306" i="40"/>
  <c r="CV306" i="40" s="1"/>
  <c r="CU306" i="40"/>
  <c r="CC211" i="40"/>
  <c r="CD211" i="40" s="1"/>
  <c r="CV211" i="40" s="1"/>
  <c r="CT211" i="40"/>
  <c r="CD141" i="40"/>
  <c r="CV141" i="40" s="1"/>
  <c r="CC188" i="40"/>
  <c r="CU188" i="40" s="1"/>
  <c r="CD311" i="40"/>
  <c r="CV311" i="40" s="1"/>
  <c r="CU251" i="40"/>
  <c r="CV243" i="40"/>
  <c r="CV239" i="40"/>
  <c r="CD88" i="40"/>
  <c r="CV88" i="40" s="1"/>
  <c r="CU299" i="40"/>
  <c r="CU245" i="40"/>
  <c r="CT172" i="40"/>
  <c r="CC172" i="40"/>
  <c r="CD160" i="40"/>
  <c r="CV160" i="40" s="1"/>
  <c r="CD174" i="40"/>
  <c r="CV174" i="40" s="1"/>
  <c r="CC10" i="40"/>
  <c r="CT10" i="40"/>
  <c r="CC87" i="40"/>
  <c r="DC43" i="40"/>
  <c r="DD43" i="40" s="1"/>
  <c r="CD232" i="40"/>
  <c r="CV232" i="40" s="1"/>
  <c r="CU62" i="40"/>
  <c r="CV318" i="40"/>
  <c r="CV142" i="40"/>
  <c r="CT75" i="40"/>
  <c r="CV277" i="40"/>
  <c r="CV218" i="40"/>
  <c r="CD252" i="40"/>
  <c r="CV252" i="40" s="1"/>
  <c r="CU142" i="40"/>
  <c r="CU77" i="40"/>
  <c r="CD226" i="40"/>
  <c r="CV226" i="40" s="1"/>
  <c r="CU226" i="40"/>
  <c r="CU198" i="40"/>
  <c r="CD198" i="40"/>
  <c r="CV198" i="40" s="1"/>
  <c r="CU190" i="40"/>
  <c r="CD315" i="40"/>
  <c r="CV315" i="40" s="1"/>
  <c r="CT288" i="40"/>
  <c r="CD91" i="40"/>
  <c r="CV91" i="40" s="1"/>
  <c r="CU91" i="40"/>
  <c r="CT119" i="40"/>
  <c r="CC89" i="40"/>
  <c r="CU89" i="40" s="1"/>
  <c r="CT89" i="40"/>
  <c r="CU84" i="40"/>
  <c r="CD84" i="40"/>
  <c r="CV84" i="40" s="1"/>
  <c r="CU270" i="40"/>
  <c r="CV74" i="40"/>
  <c r="CD77" i="40"/>
  <c r="CV77" i="40" s="1"/>
  <c r="CU151" i="40"/>
  <c r="CD45" i="40"/>
  <c r="CV45" i="40" s="1"/>
  <c r="CU272" i="40"/>
  <c r="CD272" i="40"/>
  <c r="CV272" i="40" s="1"/>
  <c r="CD151" i="40"/>
  <c r="CV151" i="40" s="1"/>
  <c r="CD120" i="40"/>
  <c r="CV120" i="40" s="1"/>
  <c r="CU120" i="40"/>
  <c r="CD36" i="40"/>
  <c r="CV36" i="40" s="1"/>
  <c r="CT94" i="40"/>
  <c r="CU282" i="40"/>
  <c r="CD196" i="40"/>
  <c r="CV196" i="40" s="1"/>
  <c r="CD280" i="40"/>
  <c r="CV280" i="40" s="1"/>
  <c r="CU45" i="40"/>
  <c r="CU302" i="40"/>
  <c r="CU25" i="40"/>
  <c r="CU231" i="40"/>
  <c r="CC105" i="40"/>
  <c r="CU105" i="40" s="1"/>
  <c r="CT268" i="40"/>
  <c r="CD216" i="40"/>
  <c r="CV216" i="40" s="1"/>
  <c r="CU19" i="40"/>
  <c r="CD19" i="40"/>
  <c r="CV19" i="40" s="1"/>
  <c r="CD46" i="40"/>
  <c r="CV46" i="40" s="1"/>
  <c r="CC279" i="40"/>
  <c r="CU279" i="40" s="1"/>
  <c r="CT279" i="40"/>
  <c r="CD208" i="40"/>
  <c r="CV208" i="40" s="1"/>
  <c r="CD119" i="40"/>
  <c r="CV119" i="40" s="1"/>
  <c r="CD64" i="40"/>
  <c r="CV64" i="40" s="1"/>
  <c r="CT308" i="40"/>
  <c r="CD82" i="40"/>
  <c r="CV82" i="40" s="1"/>
  <c r="CD114" i="40"/>
  <c r="CV114" i="40" s="1"/>
  <c r="CD153" i="40"/>
  <c r="CV153" i="40" s="1"/>
  <c r="CU153" i="40"/>
  <c r="CD130" i="40"/>
  <c r="CV130" i="40" s="1"/>
  <c r="CD268" i="40"/>
  <c r="CV268" i="40" s="1"/>
  <c r="CC283" i="40"/>
  <c r="CD283" i="40" s="1"/>
  <c r="CV221" i="40"/>
  <c r="CU74" i="40"/>
  <c r="CU119" i="40"/>
  <c r="CU242" i="40"/>
  <c r="CU281" i="40"/>
  <c r="CV93" i="40"/>
  <c r="CT93" i="40"/>
  <c r="DC93" i="40" s="1"/>
  <c r="DD93" i="40" s="1"/>
  <c r="CD65" i="40"/>
  <c r="CV65" i="40" s="1"/>
  <c r="CU65" i="40"/>
  <c r="CT126" i="40"/>
  <c r="CC71" i="40"/>
  <c r="CU71" i="40" s="1"/>
  <c r="CD264" i="40"/>
  <c r="CV264" i="40" s="1"/>
  <c r="CT223" i="40"/>
  <c r="CC223" i="40"/>
  <c r="CU183" i="40"/>
  <c r="CD183" i="40"/>
  <c r="CV183" i="40" s="1"/>
  <c r="CC140" i="40"/>
  <c r="CU140" i="40" s="1"/>
  <c r="CT192" i="40"/>
  <c r="CV317" i="40"/>
  <c r="CT83" i="40"/>
  <c r="CT128" i="40"/>
  <c r="CC128" i="40"/>
  <c r="CU243" i="40"/>
  <c r="CD308" i="40"/>
  <c r="CV308" i="40" s="1"/>
  <c r="CU268" i="40"/>
  <c r="CT158" i="40"/>
  <c r="CC158" i="40"/>
  <c r="CT144" i="40"/>
  <c r="CT281" i="40"/>
  <c r="CT275" i="40"/>
  <c r="CC275" i="40"/>
  <c r="CT232" i="40"/>
  <c r="CT69" i="40"/>
  <c r="CC69" i="40"/>
  <c r="CD89" i="40"/>
  <c r="CD288" i="40"/>
  <c r="CV288" i="40" s="1"/>
  <c r="CD229" i="40"/>
  <c r="CV229" i="40" s="1"/>
  <c r="CV302" i="40"/>
  <c r="CC97" i="40"/>
  <c r="CD97" i="40" s="1"/>
  <c r="CD68" i="40"/>
  <c r="CV68" i="40" s="1"/>
  <c r="CD184" i="40"/>
  <c r="CV184" i="40" s="1"/>
  <c r="CV282" i="40"/>
  <c r="CD242" i="40"/>
  <c r="CV242" i="40" s="1"/>
  <c r="CD281" i="40"/>
  <c r="CV281" i="40" s="1"/>
  <c r="DA93" i="40"/>
  <c r="DB93" i="40" s="1"/>
  <c r="CC83" i="40"/>
  <c r="CT140" i="40"/>
  <c r="CC53" i="40"/>
  <c r="CU53" i="40" s="1"/>
  <c r="CU70" i="40"/>
  <c r="CD61" i="40"/>
  <c r="CV61" i="40" s="1"/>
  <c r="CU308" i="40"/>
  <c r="CD59" i="40"/>
  <c r="CV59" i="40" s="1"/>
  <c r="CD260" i="40"/>
  <c r="CV260" i="40" s="1"/>
  <c r="CT154" i="40"/>
  <c r="CC154" i="40"/>
  <c r="CU154" i="40" s="1"/>
  <c r="CU43" i="40"/>
  <c r="DE43" i="40" s="1"/>
  <c r="DF43" i="40" s="1"/>
  <c r="CD43" i="40"/>
  <c r="CV43" i="40" s="1"/>
  <c r="DG43" i="40" s="1"/>
  <c r="DH43" i="40" s="1"/>
  <c r="CU288" i="40"/>
  <c r="CC94" i="40"/>
  <c r="CD94" i="40" s="1"/>
  <c r="CV94" i="40" s="1"/>
  <c r="CC250" i="40"/>
  <c r="CD250" i="40" s="1"/>
  <c r="CU68" i="40"/>
  <c r="CD293" i="40"/>
  <c r="CV293" i="40" s="1"/>
  <c r="CU220" i="40"/>
  <c r="CT226" i="40"/>
  <c r="CU93" i="40"/>
  <c r="DE93" i="40" s="1"/>
  <c r="DF93" i="40" s="1"/>
  <c r="CT37" i="40"/>
  <c r="CC37" i="40"/>
  <c r="CD37" i="40" s="1"/>
  <c r="CV37" i="40" s="1"/>
  <c r="CT189" i="40"/>
  <c r="CC189" i="40"/>
  <c r="CD147" i="40"/>
  <c r="CV147" i="40" s="1"/>
  <c r="CU114" i="40"/>
  <c r="CT45" i="40"/>
  <c r="CU61" i="40"/>
  <c r="CU59" i="40"/>
  <c r="CU164" i="40"/>
  <c r="CD164" i="40"/>
  <c r="CV164" i="40" s="1"/>
  <c r="CC49" i="40"/>
  <c r="CU49" i="40" s="1"/>
  <c r="CC144" i="40"/>
  <c r="CU144" i="40" s="1"/>
  <c r="CV25" i="40"/>
  <c r="CT202" i="40"/>
  <c r="CD228" i="40"/>
  <c r="CV228" i="40" s="1"/>
  <c r="CV270" i="40"/>
  <c r="CC202" i="40"/>
  <c r="CD190" i="40"/>
  <c r="CV190" i="40" s="1"/>
  <c r="CU309" i="40"/>
  <c r="CD309" i="40"/>
  <c r="CV309" i="40" s="1"/>
  <c r="CD113" i="40"/>
  <c r="CV113" i="40" s="1"/>
  <c r="CU113" i="40"/>
  <c r="CU263" i="40"/>
  <c r="CD263" i="40"/>
  <c r="CV263" i="40" s="1"/>
  <c r="CU90" i="40"/>
  <c r="CD90" i="40"/>
  <c r="CV90" i="40" s="1"/>
  <c r="CU260" i="40"/>
  <c r="CT39" i="40"/>
  <c r="CC39" i="40"/>
  <c r="CU39" i="40" s="1"/>
  <c r="CC132" i="40"/>
  <c r="CU132" i="40" s="1"/>
  <c r="CD294" i="40"/>
  <c r="CV294" i="40" s="1"/>
  <c r="CV299" i="40"/>
  <c r="CT299" i="40"/>
  <c r="CC192" i="40"/>
  <c r="CD192" i="40" s="1"/>
  <c r="CC12" i="40"/>
  <c r="CD12" i="40" s="1"/>
  <c r="CU228" i="40"/>
  <c r="CU221" i="40"/>
  <c r="CC126" i="40"/>
  <c r="CU317" i="40"/>
  <c r="N17" i="39"/>
  <c r="CU121" i="40" l="1"/>
  <c r="CU249" i="40"/>
  <c r="CD249" i="40"/>
  <c r="CV249" i="40" s="1"/>
  <c r="CU85" i="40"/>
  <c r="CD271" i="40"/>
  <c r="CV271" i="40" s="1"/>
  <c r="CU271" i="40"/>
  <c r="CD200" i="40"/>
  <c r="CV200" i="40" s="1"/>
  <c r="CD79" i="40"/>
  <c r="CV79" i="40" s="1"/>
  <c r="CD154" i="40"/>
  <c r="CD237" i="40"/>
  <c r="CV237" i="40" s="1"/>
  <c r="CU37" i="40"/>
  <c r="CU211" i="40"/>
  <c r="CD188" i="40"/>
  <c r="CV188" i="40" s="1"/>
  <c r="DG93" i="40"/>
  <c r="DH93" i="40" s="1"/>
  <c r="CU283" i="40"/>
  <c r="CU81" i="40"/>
  <c r="CV283" i="40"/>
  <c r="CD152" i="40"/>
  <c r="CV152" i="40" s="1"/>
  <c r="CU192" i="40"/>
  <c r="CU94" i="40"/>
  <c r="CD132" i="40"/>
  <c r="CV132" i="40" s="1"/>
  <c r="CU197" i="40"/>
  <c r="CD197" i="40"/>
  <c r="CV197" i="40" s="1"/>
  <c r="CU10" i="40"/>
  <c r="CD10" i="40"/>
  <c r="CV10" i="40" s="1"/>
  <c r="CU12" i="40"/>
  <c r="CD87" i="40"/>
  <c r="CV87" i="40" s="1"/>
  <c r="CU87" i="40"/>
  <c r="CD172" i="40"/>
  <c r="CV172" i="40" s="1"/>
  <c r="CU172" i="40"/>
  <c r="CU189" i="40"/>
  <c r="CD71" i="40"/>
  <c r="CV71" i="40" s="1"/>
  <c r="CD189" i="40"/>
  <c r="CV189" i="40" s="1"/>
  <c r="CD53" i="40"/>
  <c r="CV53" i="40" s="1"/>
  <c r="CU126" i="40"/>
  <c r="CD126" i="40"/>
  <c r="CV126" i="40" s="1"/>
  <c r="CU223" i="40"/>
  <c r="CD279" i="40"/>
  <c r="CV279" i="40" s="1"/>
  <c r="CV12" i="40"/>
  <c r="CU83" i="40"/>
  <c r="CD83" i="40"/>
  <c r="CV83" i="40" s="1"/>
  <c r="CD49" i="40"/>
  <c r="CV49" i="40" s="1"/>
  <c r="CU128" i="40"/>
  <c r="CD128" i="40"/>
  <c r="CV128" i="40" s="1"/>
  <c r="CU250" i="40"/>
  <c r="CD140" i="40"/>
  <c r="CV140" i="40" s="1"/>
  <c r="CD223" i="40"/>
  <c r="CV223" i="40" s="1"/>
  <c r="CU97" i="40"/>
  <c r="CU158" i="40"/>
  <c r="CD158" i="40"/>
  <c r="CV158" i="40" s="1"/>
  <c r="CV192" i="40"/>
  <c r="CD105" i="40"/>
  <c r="CV105" i="40" s="1"/>
  <c r="CU275" i="40"/>
  <c r="CD275" i="40"/>
  <c r="CV275" i="40" s="1"/>
  <c r="CD39" i="40"/>
  <c r="CV39" i="40" s="1"/>
  <c r="CV250" i="40"/>
  <c r="CD69" i="40"/>
  <c r="CV69" i="40" s="1"/>
  <c r="CU69" i="40"/>
  <c r="CV97" i="40"/>
  <c r="CV89" i="40"/>
  <c r="CV154" i="40"/>
  <c r="CD144" i="40"/>
  <c r="CV144" i="40" s="1"/>
  <c r="CU202" i="40"/>
  <c r="CD202" i="40"/>
  <c r="CV202" i="40" s="1"/>
  <c r="S18" i="39"/>
  <c r="N18" i="39"/>
  <c r="S19" i="39" s="1"/>
  <c r="D3" i="35"/>
  <c r="G318" i="24"/>
  <c r="H8" i="17"/>
  <c r="D5" i="35" l="1"/>
  <c r="N19" i="39"/>
  <c r="V8" i="17"/>
  <c r="Z8" i="17"/>
  <c r="S8" i="17"/>
  <c r="U8" i="17"/>
  <c r="X8" i="17"/>
  <c r="Y8" i="17"/>
  <c r="W8" i="17"/>
  <c r="T8" i="17"/>
  <c r="E76" i="17"/>
  <c r="E319" i="17"/>
  <c r="H7" i="17"/>
  <c r="AA63" i="17"/>
  <c r="AQ63" i="17" s="1"/>
  <c r="AA6" i="17"/>
  <c r="AB6" i="17"/>
  <c r="AC6" i="17"/>
  <c r="AD6" i="17"/>
  <c r="AT6" i="17" s="1"/>
  <c r="AE6" i="17"/>
  <c r="AF6" i="17"/>
  <c r="AG6" i="17"/>
  <c r="AH6" i="17"/>
  <c r="BW6" i="17"/>
  <c r="BX6" i="17"/>
  <c r="BY6" i="17"/>
  <c r="AA7" i="17"/>
  <c r="AB7" i="17"/>
  <c r="AC7" i="17"/>
  <c r="AD7" i="17"/>
  <c r="AE7" i="17"/>
  <c r="AF7" i="17"/>
  <c r="AG7" i="17"/>
  <c r="AH7" i="17"/>
  <c r="BW7" i="17"/>
  <c r="BX7" i="17"/>
  <c r="BY7" i="17"/>
  <c r="AA8" i="17"/>
  <c r="AB8" i="17"/>
  <c r="AC8" i="17"/>
  <c r="AD8" i="17"/>
  <c r="AE8" i="17"/>
  <c r="AF8" i="17"/>
  <c r="AG8" i="17"/>
  <c r="AH8" i="17"/>
  <c r="BW8" i="17"/>
  <c r="BX8" i="17"/>
  <c r="BY8" i="17"/>
  <c r="AA9" i="17"/>
  <c r="AB9" i="17"/>
  <c r="AC9" i="17"/>
  <c r="AD9" i="17"/>
  <c r="AE9" i="17"/>
  <c r="AF9" i="17"/>
  <c r="AG9" i="17"/>
  <c r="AH9" i="17"/>
  <c r="BW9" i="17"/>
  <c r="BX9" i="17"/>
  <c r="BY9" i="17"/>
  <c r="AA10" i="17"/>
  <c r="AB10" i="17"/>
  <c r="AC10" i="17"/>
  <c r="AD10" i="17"/>
  <c r="AE10" i="17"/>
  <c r="AF10" i="17"/>
  <c r="AG10" i="17"/>
  <c r="AH10" i="17"/>
  <c r="BW10" i="17"/>
  <c r="BX10" i="17"/>
  <c r="BY10" i="17"/>
  <c r="AA11" i="17"/>
  <c r="AB11" i="17"/>
  <c r="AC11" i="17"/>
  <c r="AD11" i="17"/>
  <c r="AE11" i="17"/>
  <c r="AF11" i="17"/>
  <c r="AG11" i="17"/>
  <c r="AH11" i="17"/>
  <c r="BW11" i="17"/>
  <c r="BX11" i="17"/>
  <c r="BY11" i="17"/>
  <c r="AA12" i="17"/>
  <c r="AB12" i="17"/>
  <c r="AC12" i="17"/>
  <c r="AD12" i="17"/>
  <c r="AE12" i="17"/>
  <c r="AF12" i="17"/>
  <c r="AG12" i="17"/>
  <c r="AH12" i="17"/>
  <c r="BW12" i="17"/>
  <c r="BX12" i="17"/>
  <c r="BY12" i="17"/>
  <c r="AA13" i="17"/>
  <c r="AB13" i="17"/>
  <c r="AC13" i="17"/>
  <c r="AD13" i="17"/>
  <c r="AE13" i="17"/>
  <c r="AF13" i="17"/>
  <c r="AG13" i="17"/>
  <c r="AH13" i="17"/>
  <c r="BW13" i="17"/>
  <c r="BX13" i="17"/>
  <c r="BY13" i="17"/>
  <c r="AA14" i="17"/>
  <c r="AB14" i="17"/>
  <c r="AC14" i="17"/>
  <c r="AS14" i="17" s="1"/>
  <c r="AD14" i="17"/>
  <c r="AE14" i="17"/>
  <c r="AF14" i="17"/>
  <c r="AG14" i="17"/>
  <c r="AH14" i="17"/>
  <c r="BW14" i="17"/>
  <c r="BX14" i="17"/>
  <c r="BY14" i="17"/>
  <c r="AA15" i="17"/>
  <c r="AQ15" i="17" s="1"/>
  <c r="AB15" i="17"/>
  <c r="AZ15" i="17" s="1"/>
  <c r="BH15" i="17" s="1"/>
  <c r="AD15" i="17"/>
  <c r="AT15" i="17" s="1"/>
  <c r="AE15" i="17"/>
  <c r="AU15" i="17" s="1"/>
  <c r="AF15" i="17"/>
  <c r="AV15" i="17" s="1"/>
  <c r="AG15" i="17"/>
  <c r="BE15" i="17" s="1"/>
  <c r="BM15" i="17" s="1"/>
  <c r="AH15" i="17"/>
  <c r="BW15" i="17"/>
  <c r="BX15" i="17"/>
  <c r="BY15" i="17"/>
  <c r="AA16" i="17"/>
  <c r="AB16" i="17"/>
  <c r="AC16" i="17"/>
  <c r="AD16" i="17"/>
  <c r="AE16" i="17"/>
  <c r="AF16" i="17"/>
  <c r="AG16" i="17"/>
  <c r="AH16" i="17"/>
  <c r="BW16" i="17"/>
  <c r="BX16" i="17"/>
  <c r="BY16" i="17"/>
  <c r="AA17" i="17"/>
  <c r="AB17" i="17"/>
  <c r="AC17" i="17"/>
  <c r="AD17" i="17"/>
  <c r="AE17" i="17"/>
  <c r="AF17" i="17"/>
  <c r="AG17" i="17"/>
  <c r="AH17" i="17"/>
  <c r="BW17" i="17"/>
  <c r="BX17" i="17"/>
  <c r="BY17" i="17"/>
  <c r="AA18" i="17"/>
  <c r="AQ18" i="17" s="1"/>
  <c r="AB18" i="17"/>
  <c r="AC18" i="17"/>
  <c r="AD18" i="17"/>
  <c r="AE18" i="17"/>
  <c r="AF18" i="17"/>
  <c r="AG18" i="17"/>
  <c r="AH18" i="17"/>
  <c r="BW18" i="17"/>
  <c r="BX18" i="17"/>
  <c r="BY18" i="17"/>
  <c r="AA19" i="17"/>
  <c r="AB19" i="17"/>
  <c r="AC19" i="17"/>
  <c r="AS19" i="17" s="1"/>
  <c r="AD19" i="17"/>
  <c r="AE19" i="17"/>
  <c r="AF19" i="17"/>
  <c r="AG19" i="17"/>
  <c r="AH19" i="17"/>
  <c r="BW19" i="17"/>
  <c r="BX19" i="17"/>
  <c r="BY19" i="17"/>
  <c r="AA20" i="17"/>
  <c r="AB20" i="17"/>
  <c r="AC20" i="17"/>
  <c r="AD20" i="17"/>
  <c r="AE20" i="17"/>
  <c r="AF20" i="17"/>
  <c r="AG20" i="17"/>
  <c r="AH20" i="17"/>
  <c r="BW20" i="17"/>
  <c r="BX20" i="17"/>
  <c r="BY20" i="17"/>
  <c r="AA21" i="17"/>
  <c r="AB21" i="17"/>
  <c r="AC21" i="17"/>
  <c r="AD21" i="17"/>
  <c r="AE21" i="17"/>
  <c r="AF21" i="17"/>
  <c r="AG21" i="17"/>
  <c r="AH21" i="17"/>
  <c r="AQ21" i="17"/>
  <c r="BW21" i="17"/>
  <c r="BX21" i="17"/>
  <c r="BY21" i="17"/>
  <c r="AA22" i="17"/>
  <c r="AB22" i="17"/>
  <c r="AC22" i="17"/>
  <c r="AD22" i="17"/>
  <c r="AE22" i="17"/>
  <c r="AF22" i="17"/>
  <c r="AG22" i="17"/>
  <c r="AH22" i="17"/>
  <c r="BW22" i="17"/>
  <c r="BX22" i="17"/>
  <c r="BY22" i="17"/>
  <c r="AA23" i="17"/>
  <c r="AB23" i="17"/>
  <c r="AC23" i="17"/>
  <c r="AD23" i="17"/>
  <c r="AE23" i="17"/>
  <c r="AF23" i="17"/>
  <c r="AG23" i="17"/>
  <c r="AH23" i="17"/>
  <c r="BW23" i="17"/>
  <c r="BX23" i="17"/>
  <c r="BY23" i="17"/>
  <c r="AA24" i="17"/>
  <c r="AB24" i="17"/>
  <c r="AC24" i="17"/>
  <c r="AD24" i="17"/>
  <c r="AE24" i="17"/>
  <c r="AF24" i="17"/>
  <c r="AG24" i="17"/>
  <c r="AH24" i="17"/>
  <c r="BW24" i="17"/>
  <c r="BX24" i="17"/>
  <c r="BY24" i="17"/>
  <c r="AA25" i="17"/>
  <c r="AB25" i="17"/>
  <c r="AC25" i="17"/>
  <c r="AD25" i="17"/>
  <c r="AE25" i="17"/>
  <c r="AF25" i="17"/>
  <c r="AG25" i="17"/>
  <c r="AH25" i="17"/>
  <c r="BW25" i="17"/>
  <c r="BX25" i="17"/>
  <c r="BY25" i="17"/>
  <c r="AA26" i="17"/>
  <c r="AB26" i="17"/>
  <c r="AC26" i="17"/>
  <c r="AD26" i="17"/>
  <c r="AE26" i="17"/>
  <c r="AF26" i="17"/>
  <c r="AG26" i="17"/>
  <c r="AH26" i="17"/>
  <c r="BW26" i="17"/>
  <c r="BX26" i="17"/>
  <c r="BY26" i="17"/>
  <c r="AA27" i="17"/>
  <c r="AB27" i="17"/>
  <c r="AC27" i="17"/>
  <c r="AD27" i="17"/>
  <c r="AE27" i="17"/>
  <c r="AF27" i="17"/>
  <c r="AG27" i="17"/>
  <c r="AH27" i="17"/>
  <c r="BW27" i="17"/>
  <c r="BX27" i="17"/>
  <c r="BY27" i="17"/>
  <c r="AA28" i="17"/>
  <c r="AB28" i="17"/>
  <c r="AR28" i="17" s="1"/>
  <c r="AC28" i="17"/>
  <c r="AD28" i="17"/>
  <c r="AE28" i="17"/>
  <c r="AF28" i="17"/>
  <c r="AG28" i="17"/>
  <c r="AH28" i="17"/>
  <c r="BW28" i="17"/>
  <c r="BX28" i="17"/>
  <c r="BY28" i="17"/>
  <c r="AA29" i="17"/>
  <c r="AB29" i="17"/>
  <c r="AC29" i="17"/>
  <c r="AS29" i="17" s="1"/>
  <c r="AD29" i="17"/>
  <c r="AE29" i="17"/>
  <c r="AF29" i="17"/>
  <c r="AG29" i="17"/>
  <c r="AH29" i="17"/>
  <c r="BW29" i="17"/>
  <c r="BX29" i="17"/>
  <c r="BY29" i="17"/>
  <c r="AA30" i="17"/>
  <c r="AQ30" i="17" s="1"/>
  <c r="AB30" i="17"/>
  <c r="AC30" i="17"/>
  <c r="AD30" i="17"/>
  <c r="AE30" i="17"/>
  <c r="AF30" i="17"/>
  <c r="AG30" i="17"/>
  <c r="AH30" i="17"/>
  <c r="BW30" i="17"/>
  <c r="BX30" i="17"/>
  <c r="BY30" i="17"/>
  <c r="AA31" i="17"/>
  <c r="AB31" i="17"/>
  <c r="AC31" i="17"/>
  <c r="AD31" i="17"/>
  <c r="AE31" i="17"/>
  <c r="AF31" i="17"/>
  <c r="AG31" i="17"/>
  <c r="AH31" i="17"/>
  <c r="BW31" i="17"/>
  <c r="BX31" i="17"/>
  <c r="BY31" i="17"/>
  <c r="AA32" i="17"/>
  <c r="AB32" i="17"/>
  <c r="AC32" i="17"/>
  <c r="AD32" i="17"/>
  <c r="AE32" i="17"/>
  <c r="AF32" i="17"/>
  <c r="AG32" i="17"/>
  <c r="AH32" i="17"/>
  <c r="BW32" i="17"/>
  <c r="BX32" i="17"/>
  <c r="BY32" i="17"/>
  <c r="AA33" i="17"/>
  <c r="AB33" i="17"/>
  <c r="AC33" i="17"/>
  <c r="AD33" i="17"/>
  <c r="AE33" i="17"/>
  <c r="AF33" i="17"/>
  <c r="AG33" i="17"/>
  <c r="AH33" i="17"/>
  <c r="BW33" i="17"/>
  <c r="BX33" i="17"/>
  <c r="BY33" i="17"/>
  <c r="AA34" i="17"/>
  <c r="AB34" i="17"/>
  <c r="AC34" i="17"/>
  <c r="AD34" i="17"/>
  <c r="AE34" i="17"/>
  <c r="AF34" i="17"/>
  <c r="AG34" i="17"/>
  <c r="AH34" i="17"/>
  <c r="BW34" i="17"/>
  <c r="BX34" i="17"/>
  <c r="BY34" i="17"/>
  <c r="AA35" i="17"/>
  <c r="AB35" i="17"/>
  <c r="AC35" i="17"/>
  <c r="AD35" i="17"/>
  <c r="AE35" i="17"/>
  <c r="AF35" i="17"/>
  <c r="AG35" i="17"/>
  <c r="AH35" i="17"/>
  <c r="BW35" i="17"/>
  <c r="BX35" i="17"/>
  <c r="BY35" i="17"/>
  <c r="AA36" i="17"/>
  <c r="AB36" i="17"/>
  <c r="AC36" i="17"/>
  <c r="AD36" i="17"/>
  <c r="AE36" i="17"/>
  <c r="AF36" i="17"/>
  <c r="AG36" i="17"/>
  <c r="AH36" i="17"/>
  <c r="BW36" i="17"/>
  <c r="BX36" i="17"/>
  <c r="BY36" i="17"/>
  <c r="AA37" i="17"/>
  <c r="AB37" i="17"/>
  <c r="AC37" i="17"/>
  <c r="AD37" i="17"/>
  <c r="AE37" i="17"/>
  <c r="AF37" i="17"/>
  <c r="AG37" i="17"/>
  <c r="AH37" i="17"/>
  <c r="BW37" i="17"/>
  <c r="BX37" i="17"/>
  <c r="BY37" i="17"/>
  <c r="AA38" i="17"/>
  <c r="AB38" i="17"/>
  <c r="AC38" i="17"/>
  <c r="AD38" i="17"/>
  <c r="AE38" i="17"/>
  <c r="AF38" i="17"/>
  <c r="AG38" i="17"/>
  <c r="AH38" i="17"/>
  <c r="BW38" i="17"/>
  <c r="BX38" i="17"/>
  <c r="BY38" i="17"/>
  <c r="AA39" i="17"/>
  <c r="AB39" i="17"/>
  <c r="AC39" i="17"/>
  <c r="AD39" i="17"/>
  <c r="AE39" i="17"/>
  <c r="AF39" i="17"/>
  <c r="AG39" i="17"/>
  <c r="AH39" i="17"/>
  <c r="BW39" i="17"/>
  <c r="BX39" i="17"/>
  <c r="BY39" i="17"/>
  <c r="AA40" i="17"/>
  <c r="AB40" i="17"/>
  <c r="AC40" i="17"/>
  <c r="AD40" i="17"/>
  <c r="AE40" i="17"/>
  <c r="AF40" i="17"/>
  <c r="AG40" i="17"/>
  <c r="AH40" i="17"/>
  <c r="BW40" i="17"/>
  <c r="BX40" i="17"/>
  <c r="BY40" i="17"/>
  <c r="AA41" i="17"/>
  <c r="AB41" i="17"/>
  <c r="AC41" i="17"/>
  <c r="AD41" i="17"/>
  <c r="AE41" i="17"/>
  <c r="AF41" i="17"/>
  <c r="AG41" i="17"/>
  <c r="AH41" i="17"/>
  <c r="BW41" i="17"/>
  <c r="BX41" i="17"/>
  <c r="BY41" i="17"/>
  <c r="AA42" i="17"/>
  <c r="AB42" i="17"/>
  <c r="AC42" i="17"/>
  <c r="AD42" i="17"/>
  <c r="AE42" i="17"/>
  <c r="AF42" i="17"/>
  <c r="AG42" i="17"/>
  <c r="AH42" i="17"/>
  <c r="BW42" i="17"/>
  <c r="BX42" i="17"/>
  <c r="BY42" i="17"/>
  <c r="AA43" i="17"/>
  <c r="AB43" i="17"/>
  <c r="AC43" i="17"/>
  <c r="AD43" i="17"/>
  <c r="AE43" i="17"/>
  <c r="AF43" i="17"/>
  <c r="AG43" i="17"/>
  <c r="AH43" i="17"/>
  <c r="BW43" i="17"/>
  <c r="BX43" i="17"/>
  <c r="BY43" i="17"/>
  <c r="AA44" i="17"/>
  <c r="AB44" i="17"/>
  <c r="AC44" i="17"/>
  <c r="AD44" i="17"/>
  <c r="AE44" i="17"/>
  <c r="AF44" i="17"/>
  <c r="AG44" i="17"/>
  <c r="AH44" i="17"/>
  <c r="BW44" i="17"/>
  <c r="BX44" i="17"/>
  <c r="BY44" i="17"/>
  <c r="AA45" i="17"/>
  <c r="AB45" i="17"/>
  <c r="AC45" i="17"/>
  <c r="AD45" i="17"/>
  <c r="AE45" i="17"/>
  <c r="AF45" i="17"/>
  <c r="AG45" i="17"/>
  <c r="AH45" i="17"/>
  <c r="BW45" i="17"/>
  <c r="BX45" i="17"/>
  <c r="BY45" i="17"/>
  <c r="AA46" i="17"/>
  <c r="AB46" i="17"/>
  <c r="AC46" i="17"/>
  <c r="AS46" i="17" s="1"/>
  <c r="AD46" i="17"/>
  <c r="AE46" i="17"/>
  <c r="AF46" i="17"/>
  <c r="AG46" i="17"/>
  <c r="AH46" i="17"/>
  <c r="BW46" i="17"/>
  <c r="BX46" i="17"/>
  <c r="BY46" i="17"/>
  <c r="AA47" i="17"/>
  <c r="AB47" i="17"/>
  <c r="AC47" i="17"/>
  <c r="AD47" i="17"/>
  <c r="AE47" i="17"/>
  <c r="AF47" i="17"/>
  <c r="AG47" i="17"/>
  <c r="AH47" i="17"/>
  <c r="BW47" i="17"/>
  <c r="BX47" i="17"/>
  <c r="BY47" i="17"/>
  <c r="AA48" i="17"/>
  <c r="AB48" i="17"/>
  <c r="AC48" i="17"/>
  <c r="AD48" i="17"/>
  <c r="AE48" i="17"/>
  <c r="AF48" i="17"/>
  <c r="AG48" i="17"/>
  <c r="AH48" i="17"/>
  <c r="BW48" i="17"/>
  <c r="BX48" i="17"/>
  <c r="BY48" i="17"/>
  <c r="AA49" i="17"/>
  <c r="AB49" i="17"/>
  <c r="AC49" i="17"/>
  <c r="AD49" i="17"/>
  <c r="AE49" i="17"/>
  <c r="AF49" i="17"/>
  <c r="AG49" i="17"/>
  <c r="AH49" i="17"/>
  <c r="BW49" i="17"/>
  <c r="BX49" i="17"/>
  <c r="BY49" i="17"/>
  <c r="AA50" i="17"/>
  <c r="AB50" i="17"/>
  <c r="AC50" i="17"/>
  <c r="AD50" i="17"/>
  <c r="AE50" i="17"/>
  <c r="AF50" i="17"/>
  <c r="AG50" i="17"/>
  <c r="AH50" i="17"/>
  <c r="BW50" i="17"/>
  <c r="BX50" i="17"/>
  <c r="BY50" i="17"/>
  <c r="AA51" i="17"/>
  <c r="AB51" i="17"/>
  <c r="AC51" i="17"/>
  <c r="AD51" i="17"/>
  <c r="AE51" i="17"/>
  <c r="AF51" i="17"/>
  <c r="AG51" i="17"/>
  <c r="AH51" i="17"/>
  <c r="BW51" i="17"/>
  <c r="BX51" i="17"/>
  <c r="BY51" i="17"/>
  <c r="AA52" i="17"/>
  <c r="AB52" i="17"/>
  <c r="AC52" i="17"/>
  <c r="AD52" i="17"/>
  <c r="AE52" i="17"/>
  <c r="AF52" i="17"/>
  <c r="AG52" i="17"/>
  <c r="AH52" i="17"/>
  <c r="BW52" i="17"/>
  <c r="BX52" i="17"/>
  <c r="BY52" i="17"/>
  <c r="AA53" i="17"/>
  <c r="AB53" i="17"/>
  <c r="AC53" i="17"/>
  <c r="AD53" i="17"/>
  <c r="AE53" i="17"/>
  <c r="AF53" i="17"/>
  <c r="AG53" i="17"/>
  <c r="AH53" i="17"/>
  <c r="BW53" i="17"/>
  <c r="BX53" i="17"/>
  <c r="BY53" i="17"/>
  <c r="AA54" i="17"/>
  <c r="AB54" i="17"/>
  <c r="AC54" i="17"/>
  <c r="AD54" i="17"/>
  <c r="AE54" i="17"/>
  <c r="AF54" i="17"/>
  <c r="AG54" i="17"/>
  <c r="AH54" i="17"/>
  <c r="BW54" i="17"/>
  <c r="BX54" i="17"/>
  <c r="BY54" i="17"/>
  <c r="AA55" i="17"/>
  <c r="AB55" i="17"/>
  <c r="AC55" i="17"/>
  <c r="AD55" i="17"/>
  <c r="AE55" i="17"/>
  <c r="AF55" i="17"/>
  <c r="AG55" i="17"/>
  <c r="AH55" i="17"/>
  <c r="BW55" i="17"/>
  <c r="BX55" i="17"/>
  <c r="BY55" i="17"/>
  <c r="AA56" i="17"/>
  <c r="AB56" i="17"/>
  <c r="AC56" i="17"/>
  <c r="AD56" i="17"/>
  <c r="AE56" i="17"/>
  <c r="AF56" i="17"/>
  <c r="AG56" i="17"/>
  <c r="AH56" i="17"/>
  <c r="BW56" i="17"/>
  <c r="BX56" i="17"/>
  <c r="BY56" i="17"/>
  <c r="AA57" i="17"/>
  <c r="AB57" i="17"/>
  <c r="AC57" i="17"/>
  <c r="AD57" i="17"/>
  <c r="AE57" i="17"/>
  <c r="AF57" i="17"/>
  <c r="AG57" i="17"/>
  <c r="AH57" i="17"/>
  <c r="BW57" i="17"/>
  <c r="BX57" i="17"/>
  <c r="BY57" i="17"/>
  <c r="AA58" i="17"/>
  <c r="AB58" i="17"/>
  <c r="AR58" i="17" s="1"/>
  <c r="AC58" i="17"/>
  <c r="AD58" i="17"/>
  <c r="AE58" i="17"/>
  <c r="AF58" i="17"/>
  <c r="AG58" i="17"/>
  <c r="AH58" i="17"/>
  <c r="BW58" i="17"/>
  <c r="BX58" i="17"/>
  <c r="BY58" i="17"/>
  <c r="AA59" i="17"/>
  <c r="AB59" i="17"/>
  <c r="AC59" i="17"/>
  <c r="AD59" i="17"/>
  <c r="AE59" i="17"/>
  <c r="AF59" i="17"/>
  <c r="AG59" i="17"/>
  <c r="AH59" i="17"/>
  <c r="BW59" i="17"/>
  <c r="BX59" i="17"/>
  <c r="BY59" i="17"/>
  <c r="AA60" i="17"/>
  <c r="AB60" i="17"/>
  <c r="AC60" i="17"/>
  <c r="AD60" i="17"/>
  <c r="AE60" i="17"/>
  <c r="AF60" i="17"/>
  <c r="AG60" i="17"/>
  <c r="AH60" i="17"/>
  <c r="BW60" i="17"/>
  <c r="BX60" i="17"/>
  <c r="BY60" i="17"/>
  <c r="AA61" i="17"/>
  <c r="AB61" i="17"/>
  <c r="AC61" i="17"/>
  <c r="AD61" i="17"/>
  <c r="AE61" i="17"/>
  <c r="AF61" i="17"/>
  <c r="AG61" i="17"/>
  <c r="AH61" i="17"/>
  <c r="BW61" i="17"/>
  <c r="BX61" i="17"/>
  <c r="BY61" i="17"/>
  <c r="AA62" i="17"/>
  <c r="AB62" i="17"/>
  <c r="AC62" i="17"/>
  <c r="AD62" i="17"/>
  <c r="AE62" i="17"/>
  <c r="AF62" i="17"/>
  <c r="AG62" i="17"/>
  <c r="AH62" i="17"/>
  <c r="BW62" i="17"/>
  <c r="BX62" i="17"/>
  <c r="BY62" i="17"/>
  <c r="AB63" i="17"/>
  <c r="AC63" i="17"/>
  <c r="AS63" i="17" s="1"/>
  <c r="AD63" i="17"/>
  <c r="AE63" i="17"/>
  <c r="AF63" i="17"/>
  <c r="AG63" i="17"/>
  <c r="AH63" i="17"/>
  <c r="BW63" i="17"/>
  <c r="BX63" i="17"/>
  <c r="BY63" i="17"/>
  <c r="AA64" i="17"/>
  <c r="AB64" i="17"/>
  <c r="AC64" i="17"/>
  <c r="AD64" i="17"/>
  <c r="AE64" i="17"/>
  <c r="AF64" i="17"/>
  <c r="AG64" i="17"/>
  <c r="AH64" i="17"/>
  <c r="BW64" i="17"/>
  <c r="BX64" i="17"/>
  <c r="BY64" i="17"/>
  <c r="AA65" i="17"/>
  <c r="AB65" i="17"/>
  <c r="AC65" i="17"/>
  <c r="AD65" i="17"/>
  <c r="AE65" i="17"/>
  <c r="AF65" i="17"/>
  <c r="AG65" i="17"/>
  <c r="AW65" i="17" s="1"/>
  <c r="AH65" i="17"/>
  <c r="AX65" i="17" s="1"/>
  <c r="BW65" i="17"/>
  <c r="BX65" i="17"/>
  <c r="BY65" i="17"/>
  <c r="AA66" i="17"/>
  <c r="AQ66" i="17" s="1"/>
  <c r="AB66" i="17"/>
  <c r="AC66" i="17"/>
  <c r="AD66" i="17"/>
  <c r="AE66" i="17"/>
  <c r="AF66" i="17"/>
  <c r="AG66" i="17"/>
  <c r="AH66" i="17"/>
  <c r="BW66" i="17"/>
  <c r="BX66" i="17"/>
  <c r="BY66" i="17"/>
  <c r="AA67" i="17"/>
  <c r="AB67" i="17"/>
  <c r="AC67" i="17"/>
  <c r="AD67" i="17"/>
  <c r="AE67" i="17"/>
  <c r="AF67" i="17"/>
  <c r="AG67" i="17"/>
  <c r="AH67" i="17"/>
  <c r="BW67" i="17"/>
  <c r="BX67" i="17"/>
  <c r="BY67" i="17"/>
  <c r="AA68" i="17"/>
  <c r="AB68" i="17"/>
  <c r="AC68" i="17"/>
  <c r="AD68" i="17"/>
  <c r="AE68" i="17"/>
  <c r="AF68" i="17"/>
  <c r="AG68" i="17"/>
  <c r="AH68" i="17"/>
  <c r="BW68" i="17"/>
  <c r="BX68" i="17"/>
  <c r="BY68" i="17"/>
  <c r="AA69" i="17"/>
  <c r="AB69" i="17"/>
  <c r="AC69" i="17"/>
  <c r="AD69" i="17"/>
  <c r="AE69" i="17"/>
  <c r="AF69" i="17"/>
  <c r="AG69" i="17"/>
  <c r="AH69" i="17"/>
  <c r="BW69" i="17"/>
  <c r="BX69" i="17"/>
  <c r="BY69" i="17"/>
  <c r="AA70" i="17"/>
  <c r="AB70" i="17"/>
  <c r="AC70" i="17"/>
  <c r="AD70" i="17"/>
  <c r="AE70" i="17"/>
  <c r="AF70" i="17"/>
  <c r="AG70" i="17"/>
  <c r="AH70" i="17"/>
  <c r="BW70" i="17"/>
  <c r="BX70" i="17"/>
  <c r="BY70" i="17"/>
  <c r="AA71" i="17"/>
  <c r="AB71" i="17"/>
  <c r="AC71" i="17"/>
  <c r="AD71" i="17"/>
  <c r="AE71" i="17"/>
  <c r="AF71" i="17"/>
  <c r="AG71" i="17"/>
  <c r="AH71" i="17"/>
  <c r="BW71" i="17"/>
  <c r="BX71" i="17"/>
  <c r="BY71" i="17"/>
  <c r="AA72" i="17"/>
  <c r="AB72" i="17"/>
  <c r="AC72" i="17"/>
  <c r="AD72" i="17"/>
  <c r="AE72" i="17"/>
  <c r="AF72" i="17"/>
  <c r="AG72" i="17"/>
  <c r="AH72" i="17"/>
  <c r="BW72" i="17"/>
  <c r="BX72" i="17"/>
  <c r="BY72" i="17"/>
  <c r="AA73" i="17"/>
  <c r="AB73" i="17"/>
  <c r="AC73" i="17"/>
  <c r="AD73" i="17"/>
  <c r="AE73" i="17"/>
  <c r="AF73" i="17"/>
  <c r="AG73" i="17"/>
  <c r="AH73" i="17"/>
  <c r="BW73" i="17"/>
  <c r="BX73" i="17"/>
  <c r="BY73" i="17"/>
  <c r="AA74" i="17"/>
  <c r="AB74" i="17"/>
  <c r="AC74" i="17"/>
  <c r="AD74" i="17"/>
  <c r="AE74" i="17"/>
  <c r="AF74" i="17"/>
  <c r="AG74" i="17"/>
  <c r="AH74" i="17"/>
  <c r="BW74" i="17"/>
  <c r="BX74" i="17"/>
  <c r="BY74" i="17"/>
  <c r="AA75" i="17"/>
  <c r="AB75" i="17"/>
  <c r="AC75" i="17"/>
  <c r="AD75" i="17"/>
  <c r="AE75" i="17"/>
  <c r="AF75" i="17"/>
  <c r="AG75" i="17"/>
  <c r="AH75" i="17"/>
  <c r="BW75" i="17"/>
  <c r="BX75" i="17"/>
  <c r="BY75" i="17"/>
  <c r="AA76" i="17"/>
  <c r="AB76" i="17"/>
  <c r="AC76" i="17"/>
  <c r="AD76" i="17"/>
  <c r="AE76" i="17"/>
  <c r="AF76" i="17"/>
  <c r="AG76" i="17"/>
  <c r="AH76" i="17"/>
  <c r="BW76" i="17"/>
  <c r="BX76" i="17"/>
  <c r="BY76" i="17"/>
  <c r="AA77" i="17"/>
  <c r="AB77" i="17"/>
  <c r="AC77" i="17"/>
  <c r="AD77" i="17"/>
  <c r="AE77" i="17"/>
  <c r="AF77" i="17"/>
  <c r="AG77" i="17"/>
  <c r="AH77" i="17"/>
  <c r="BW77" i="17"/>
  <c r="BX77" i="17"/>
  <c r="BY77" i="17"/>
  <c r="AA78" i="17"/>
  <c r="AB78" i="17"/>
  <c r="AC78" i="17"/>
  <c r="AD78" i="17"/>
  <c r="AE78" i="17"/>
  <c r="AF78" i="17"/>
  <c r="AG78" i="17"/>
  <c r="AH78" i="17"/>
  <c r="BW78" i="17"/>
  <c r="BX78" i="17"/>
  <c r="BY78" i="17"/>
  <c r="AA79" i="17"/>
  <c r="AB79" i="17"/>
  <c r="AC79" i="17"/>
  <c r="AD79" i="17"/>
  <c r="AE79" i="17"/>
  <c r="AF79" i="17"/>
  <c r="AG79" i="17"/>
  <c r="AH79" i="17"/>
  <c r="BW79" i="17"/>
  <c r="BX79" i="17"/>
  <c r="BY79" i="17"/>
  <c r="AA80" i="17"/>
  <c r="AB80" i="17"/>
  <c r="AC80" i="17"/>
  <c r="AD80" i="17"/>
  <c r="AE80" i="17"/>
  <c r="AF80" i="17"/>
  <c r="AG80" i="17"/>
  <c r="AH80" i="17"/>
  <c r="BW80" i="17"/>
  <c r="BX80" i="17"/>
  <c r="BY80" i="17"/>
  <c r="AA81" i="17"/>
  <c r="AB81" i="17"/>
  <c r="AC81" i="17"/>
  <c r="AD81" i="17"/>
  <c r="AE81" i="17"/>
  <c r="AF81" i="17"/>
  <c r="AG81" i="17"/>
  <c r="AH81" i="17"/>
  <c r="BW81" i="17"/>
  <c r="BX81" i="17"/>
  <c r="BY81" i="17"/>
  <c r="AA82" i="17"/>
  <c r="AB82" i="17"/>
  <c r="AC82" i="17"/>
  <c r="AD82" i="17"/>
  <c r="AE82" i="17"/>
  <c r="AF82" i="17"/>
  <c r="AG82" i="17"/>
  <c r="AH82" i="17"/>
  <c r="BW82" i="17"/>
  <c r="BX82" i="17"/>
  <c r="BY82" i="17"/>
  <c r="AA83" i="17"/>
  <c r="AB83" i="17"/>
  <c r="AC83" i="17"/>
  <c r="AD83" i="17"/>
  <c r="AE83" i="17"/>
  <c r="AF83" i="17"/>
  <c r="AG83" i="17"/>
  <c r="AH83" i="17"/>
  <c r="BW83" i="17"/>
  <c r="BX83" i="17"/>
  <c r="BY83" i="17"/>
  <c r="AA84" i="17"/>
  <c r="AB84" i="17"/>
  <c r="AC84" i="17"/>
  <c r="AD84" i="17"/>
  <c r="AE84" i="17"/>
  <c r="AF84" i="17"/>
  <c r="AG84" i="17"/>
  <c r="AH84" i="17"/>
  <c r="BW84" i="17"/>
  <c r="BX84" i="17"/>
  <c r="BY84" i="17"/>
  <c r="AA85" i="17"/>
  <c r="AB85" i="17"/>
  <c r="AC85" i="17"/>
  <c r="AD85" i="17"/>
  <c r="AE85" i="17"/>
  <c r="AF85" i="17"/>
  <c r="AG85" i="17"/>
  <c r="AH85" i="17"/>
  <c r="BW85" i="17"/>
  <c r="BX85" i="17"/>
  <c r="BY85" i="17"/>
  <c r="AA86" i="17"/>
  <c r="AB86" i="17"/>
  <c r="AC86" i="17"/>
  <c r="AD86" i="17"/>
  <c r="AE86" i="17"/>
  <c r="AF86" i="17"/>
  <c r="AG86" i="17"/>
  <c r="AH86" i="17"/>
  <c r="BW86" i="17"/>
  <c r="BX86" i="17"/>
  <c r="BY86" i="17"/>
  <c r="AA87" i="17"/>
  <c r="AB87" i="17"/>
  <c r="AC87" i="17"/>
  <c r="AD87" i="17"/>
  <c r="AE87" i="17"/>
  <c r="AF87" i="17"/>
  <c r="AG87" i="17"/>
  <c r="AH87" i="17"/>
  <c r="BW87" i="17"/>
  <c r="BX87" i="17"/>
  <c r="BY87" i="17"/>
  <c r="AA88" i="17"/>
  <c r="AB88" i="17"/>
  <c r="AC88" i="17"/>
  <c r="AD88" i="17"/>
  <c r="AE88" i="17"/>
  <c r="AF88" i="17"/>
  <c r="AG88" i="17"/>
  <c r="AH88" i="17"/>
  <c r="BW88" i="17"/>
  <c r="BX88" i="17"/>
  <c r="BY88" i="17"/>
  <c r="AA89" i="17"/>
  <c r="AB89" i="17"/>
  <c r="AC89" i="17"/>
  <c r="AD89" i="17"/>
  <c r="AE89" i="17"/>
  <c r="AF89" i="17"/>
  <c r="AG89" i="17"/>
  <c r="AH89" i="17"/>
  <c r="AQ89" i="17"/>
  <c r="BW89" i="17"/>
  <c r="BX89" i="17"/>
  <c r="BY89" i="17"/>
  <c r="AA90" i="17"/>
  <c r="AB90" i="17"/>
  <c r="AC90" i="17"/>
  <c r="AD90" i="17"/>
  <c r="AE90" i="17"/>
  <c r="AF90" i="17"/>
  <c r="AG90" i="17"/>
  <c r="AH90" i="17"/>
  <c r="BW90" i="17"/>
  <c r="BX90" i="17"/>
  <c r="BY90" i="17"/>
  <c r="AA91" i="17"/>
  <c r="AB91" i="17"/>
  <c r="AC91" i="17"/>
  <c r="AD91" i="17"/>
  <c r="AE91" i="17"/>
  <c r="AF91" i="17"/>
  <c r="AG91" i="17"/>
  <c r="AH91" i="17"/>
  <c r="BW91" i="17"/>
  <c r="BX91" i="17"/>
  <c r="BY91" i="17"/>
  <c r="AA92" i="17"/>
  <c r="AB92" i="17"/>
  <c r="AC92" i="17"/>
  <c r="AD92" i="17"/>
  <c r="AE92" i="17"/>
  <c r="AF92" i="17"/>
  <c r="AG92" i="17"/>
  <c r="AH92" i="17"/>
  <c r="BW92" i="17"/>
  <c r="BX92" i="17"/>
  <c r="BY92" i="17"/>
  <c r="AA93" i="17"/>
  <c r="AB93" i="17"/>
  <c r="AC93" i="17"/>
  <c r="AD93" i="17"/>
  <c r="AE93" i="17"/>
  <c r="AF93" i="17"/>
  <c r="AG93" i="17"/>
  <c r="AH93" i="17"/>
  <c r="BW93" i="17"/>
  <c r="BX93" i="17"/>
  <c r="BY93" i="17"/>
  <c r="AA94" i="17"/>
  <c r="AB94" i="17"/>
  <c r="AC94" i="17"/>
  <c r="AD94" i="17"/>
  <c r="AE94" i="17"/>
  <c r="AF94" i="17"/>
  <c r="AG94" i="17"/>
  <c r="AH94" i="17"/>
  <c r="BW94" i="17"/>
  <c r="BX94" i="17"/>
  <c r="BY94" i="17"/>
  <c r="AA95" i="17"/>
  <c r="AB95" i="17"/>
  <c r="AC95" i="17"/>
  <c r="AD95" i="17"/>
  <c r="AE95" i="17"/>
  <c r="AF95" i="17"/>
  <c r="AG95" i="17"/>
  <c r="AH95" i="17"/>
  <c r="BW95" i="17"/>
  <c r="BX95" i="17"/>
  <c r="BY95" i="17"/>
  <c r="AA96" i="17"/>
  <c r="AB96" i="17"/>
  <c r="AC96" i="17"/>
  <c r="AD96" i="17"/>
  <c r="AE96" i="17"/>
  <c r="AF96" i="17"/>
  <c r="AG96" i="17"/>
  <c r="AH96" i="17"/>
  <c r="BW96" i="17"/>
  <c r="BX96" i="17"/>
  <c r="BY96" i="17"/>
  <c r="AA97" i="17"/>
  <c r="AB97" i="17"/>
  <c r="AC97" i="17"/>
  <c r="AD97" i="17"/>
  <c r="AE97" i="17"/>
  <c r="AF97" i="17"/>
  <c r="AG97" i="17"/>
  <c r="AH97" i="17"/>
  <c r="BW97" i="17"/>
  <c r="BX97" i="17"/>
  <c r="BY97" i="17"/>
  <c r="AA98" i="17"/>
  <c r="AB98" i="17"/>
  <c r="AC98" i="17"/>
  <c r="AS98" i="17" s="1"/>
  <c r="AD98" i="17"/>
  <c r="AE98" i="17"/>
  <c r="AF98" i="17"/>
  <c r="AG98" i="17"/>
  <c r="AH98" i="17"/>
  <c r="BW98" i="17"/>
  <c r="BX98" i="17"/>
  <c r="BY98" i="17"/>
  <c r="AA99" i="17"/>
  <c r="AB99" i="17"/>
  <c r="AC99" i="17"/>
  <c r="AD99" i="17"/>
  <c r="AE99" i="17"/>
  <c r="AF99" i="17"/>
  <c r="AG99" i="17"/>
  <c r="AH99" i="17"/>
  <c r="BW99" i="17"/>
  <c r="BX99" i="17"/>
  <c r="BY99" i="17"/>
  <c r="AA100" i="17"/>
  <c r="AB100" i="17"/>
  <c r="AC100" i="17"/>
  <c r="AD100" i="17"/>
  <c r="AE100" i="17"/>
  <c r="AF100" i="17"/>
  <c r="AG100" i="17"/>
  <c r="AH100" i="17"/>
  <c r="BW100" i="17"/>
  <c r="BX100" i="17"/>
  <c r="BY100" i="17"/>
  <c r="AA101" i="17"/>
  <c r="AB101" i="17"/>
  <c r="AC101" i="17"/>
  <c r="AD101" i="17"/>
  <c r="AE101" i="17"/>
  <c r="AF101" i="17"/>
  <c r="AG101" i="17"/>
  <c r="AH101" i="17"/>
  <c r="BW101" i="17"/>
  <c r="BX101" i="17"/>
  <c r="BY101" i="17"/>
  <c r="AA102" i="17"/>
  <c r="AB102" i="17"/>
  <c r="AC102" i="17"/>
  <c r="AD102" i="17"/>
  <c r="AE102" i="17"/>
  <c r="AF102" i="17"/>
  <c r="AG102" i="17"/>
  <c r="AH102" i="17"/>
  <c r="BW102" i="17"/>
  <c r="BX102" i="17"/>
  <c r="BY102" i="17"/>
  <c r="AA103" i="17"/>
  <c r="AQ103" i="17" s="1"/>
  <c r="AB103" i="17"/>
  <c r="AC103" i="17"/>
  <c r="AD103" i="17"/>
  <c r="AE103" i="17"/>
  <c r="AF103" i="17"/>
  <c r="AG103" i="17"/>
  <c r="AH103" i="17"/>
  <c r="BW103" i="17"/>
  <c r="BX103" i="17"/>
  <c r="BY103" i="17"/>
  <c r="AA104" i="17"/>
  <c r="AB104" i="17"/>
  <c r="AC104" i="17"/>
  <c r="AD104" i="17"/>
  <c r="AE104" i="17"/>
  <c r="AF104" i="17"/>
  <c r="AG104" i="17"/>
  <c r="AH104" i="17"/>
  <c r="BW104" i="17"/>
  <c r="BX104" i="17"/>
  <c r="BY104" i="17"/>
  <c r="AA105" i="17"/>
  <c r="AB105" i="17"/>
  <c r="AC105" i="17"/>
  <c r="AD105" i="17"/>
  <c r="AE105" i="17"/>
  <c r="AF105" i="17"/>
  <c r="AG105" i="17"/>
  <c r="AH105" i="17"/>
  <c r="BW105" i="17"/>
  <c r="BX105" i="17"/>
  <c r="BY105" i="17"/>
  <c r="AA106" i="17"/>
  <c r="AB106" i="17"/>
  <c r="AC106" i="17"/>
  <c r="AD106" i="17"/>
  <c r="AE106" i="17"/>
  <c r="AF106" i="17"/>
  <c r="AG106" i="17"/>
  <c r="AH106" i="17"/>
  <c r="BW106" i="17"/>
  <c r="BX106" i="17"/>
  <c r="BY106" i="17"/>
  <c r="AA107" i="17"/>
  <c r="AB107" i="17"/>
  <c r="AC107" i="17"/>
  <c r="AD107" i="17"/>
  <c r="AE107" i="17"/>
  <c r="AF107" i="17"/>
  <c r="AG107" i="17"/>
  <c r="AH107" i="17"/>
  <c r="BW107" i="17"/>
  <c r="BX107" i="17"/>
  <c r="BY107" i="17"/>
  <c r="AA108" i="17"/>
  <c r="AB108" i="17"/>
  <c r="AC108" i="17"/>
  <c r="AD108" i="17"/>
  <c r="AE108" i="17"/>
  <c r="AF108" i="17"/>
  <c r="AG108" i="17"/>
  <c r="AH108" i="17"/>
  <c r="BW108" i="17"/>
  <c r="BX108" i="17"/>
  <c r="BY108" i="17"/>
  <c r="AA109" i="17"/>
  <c r="AB109" i="17"/>
  <c r="AC109" i="17"/>
  <c r="AD109" i="17"/>
  <c r="AE109" i="17"/>
  <c r="AF109" i="17"/>
  <c r="AG109" i="17"/>
  <c r="AH109" i="17"/>
  <c r="AQ109" i="17"/>
  <c r="BW109" i="17"/>
  <c r="BX109" i="17"/>
  <c r="BY109" i="17"/>
  <c r="AA110" i="17"/>
  <c r="AB110" i="17"/>
  <c r="AC110" i="17"/>
  <c r="AD110" i="17"/>
  <c r="AE110" i="17"/>
  <c r="AF110" i="17"/>
  <c r="AG110" i="17"/>
  <c r="AH110" i="17"/>
  <c r="BW110" i="17"/>
  <c r="BX110" i="17"/>
  <c r="BY110" i="17"/>
  <c r="AA111" i="17"/>
  <c r="AB111" i="17"/>
  <c r="AC111" i="17"/>
  <c r="AD111" i="17"/>
  <c r="AE111" i="17"/>
  <c r="AF111" i="17"/>
  <c r="AG111" i="17"/>
  <c r="AH111" i="17"/>
  <c r="AQ111" i="17"/>
  <c r="BW111" i="17"/>
  <c r="BX111" i="17"/>
  <c r="BY111" i="17"/>
  <c r="AA112" i="17"/>
  <c r="AB112" i="17"/>
  <c r="AC112" i="17"/>
  <c r="AD112" i="17"/>
  <c r="AE112" i="17"/>
  <c r="AF112" i="17"/>
  <c r="AG112" i="17"/>
  <c r="AH112" i="17"/>
  <c r="BW112" i="17"/>
  <c r="BX112" i="17"/>
  <c r="BY112" i="17"/>
  <c r="AA113" i="17"/>
  <c r="AB113" i="17"/>
  <c r="AC113" i="17"/>
  <c r="AD113" i="17"/>
  <c r="AE113" i="17"/>
  <c r="AF113" i="17"/>
  <c r="AG113" i="17"/>
  <c r="AH113" i="17"/>
  <c r="BW113" i="17"/>
  <c r="BX113" i="17"/>
  <c r="BY113" i="17"/>
  <c r="AA114" i="17"/>
  <c r="AB114" i="17"/>
  <c r="AC114" i="17"/>
  <c r="AD114" i="17"/>
  <c r="AE114" i="17"/>
  <c r="AF114" i="17"/>
  <c r="AG114" i="17"/>
  <c r="AH114" i="17"/>
  <c r="BW114" i="17"/>
  <c r="BX114" i="17"/>
  <c r="BY114" i="17"/>
  <c r="AA115" i="17"/>
  <c r="AB115" i="17"/>
  <c r="AC115" i="17"/>
  <c r="AS115" i="17" s="1"/>
  <c r="AD115" i="17"/>
  <c r="AE115" i="17"/>
  <c r="AF115" i="17"/>
  <c r="AG115" i="17"/>
  <c r="AH115" i="17"/>
  <c r="BW115" i="17"/>
  <c r="BX115" i="17"/>
  <c r="BY115" i="17"/>
  <c r="AA116" i="17"/>
  <c r="AB116" i="17"/>
  <c r="AC116" i="17"/>
  <c r="AD116" i="17"/>
  <c r="AE116" i="17"/>
  <c r="AF116" i="17"/>
  <c r="AG116" i="17"/>
  <c r="AH116" i="17"/>
  <c r="BW116" i="17"/>
  <c r="BX116" i="17"/>
  <c r="BY116" i="17"/>
  <c r="AA117" i="17"/>
  <c r="AB117" i="17"/>
  <c r="AC117" i="17"/>
  <c r="AD117" i="17"/>
  <c r="AE117" i="17"/>
  <c r="AF117" i="17"/>
  <c r="AG117" i="17"/>
  <c r="AH117" i="17"/>
  <c r="BW117" i="17"/>
  <c r="BX117" i="17"/>
  <c r="BY117" i="17"/>
  <c r="AA118" i="17"/>
  <c r="AB118" i="17"/>
  <c r="AC118" i="17"/>
  <c r="AD118" i="17"/>
  <c r="AE118" i="17"/>
  <c r="AF118" i="17"/>
  <c r="AG118" i="17"/>
  <c r="AH118" i="17"/>
  <c r="BW118" i="17"/>
  <c r="BX118" i="17"/>
  <c r="BY118" i="17"/>
  <c r="AA119" i="17"/>
  <c r="AB119" i="17"/>
  <c r="AC119" i="17"/>
  <c r="AS119" i="17" s="1"/>
  <c r="AD119" i="17"/>
  <c r="AE119" i="17"/>
  <c r="AF119" i="17"/>
  <c r="AG119" i="17"/>
  <c r="AH119" i="17"/>
  <c r="BW119" i="17"/>
  <c r="BX119" i="17"/>
  <c r="BY119" i="17"/>
  <c r="AA120" i="17"/>
  <c r="AB120" i="17"/>
  <c r="AC120" i="17"/>
  <c r="AD120" i="17"/>
  <c r="AE120" i="17"/>
  <c r="AF120" i="17"/>
  <c r="AG120" i="17"/>
  <c r="AH120" i="17"/>
  <c r="BW120" i="17"/>
  <c r="BX120" i="17"/>
  <c r="BY120" i="17"/>
  <c r="AA121" i="17"/>
  <c r="AB121" i="17"/>
  <c r="AC121" i="17"/>
  <c r="AD121" i="17"/>
  <c r="AE121" i="17"/>
  <c r="AF121" i="17"/>
  <c r="AG121" i="17"/>
  <c r="AH121" i="17"/>
  <c r="BW121" i="17"/>
  <c r="BX121" i="17"/>
  <c r="BY121" i="17"/>
  <c r="AA122" i="17"/>
  <c r="AB122" i="17"/>
  <c r="AC122" i="17"/>
  <c r="AD122" i="17"/>
  <c r="AE122" i="17"/>
  <c r="AF122" i="17"/>
  <c r="AG122" i="17"/>
  <c r="AH122" i="17"/>
  <c r="BW122" i="17"/>
  <c r="BX122" i="17"/>
  <c r="BY122" i="17"/>
  <c r="AA123" i="17"/>
  <c r="AQ123" i="17" s="1"/>
  <c r="AB123" i="17"/>
  <c r="AC123" i="17"/>
  <c r="AD123" i="17"/>
  <c r="AE123" i="17"/>
  <c r="AF123" i="17"/>
  <c r="AG123" i="17"/>
  <c r="AH123" i="17"/>
  <c r="BW123" i="17"/>
  <c r="BX123" i="17"/>
  <c r="BY123" i="17"/>
  <c r="AA124" i="17"/>
  <c r="AB124" i="17"/>
  <c r="AC124" i="17"/>
  <c r="AD124" i="17"/>
  <c r="AE124" i="17"/>
  <c r="AF124" i="17"/>
  <c r="AG124" i="17"/>
  <c r="AH124" i="17"/>
  <c r="BW124" i="17"/>
  <c r="BX124" i="17"/>
  <c r="BY124" i="17"/>
  <c r="AA125" i="17"/>
  <c r="AB125" i="17"/>
  <c r="AC125" i="17"/>
  <c r="AD125" i="17"/>
  <c r="AE125" i="17"/>
  <c r="AF125" i="17"/>
  <c r="AG125" i="17"/>
  <c r="AH125" i="17"/>
  <c r="BW125" i="17"/>
  <c r="BX125" i="17"/>
  <c r="BY125" i="17"/>
  <c r="AA126" i="17"/>
  <c r="AB126" i="17"/>
  <c r="AC126" i="17"/>
  <c r="AD126" i="17"/>
  <c r="AE126" i="17"/>
  <c r="AF126" i="17"/>
  <c r="AG126" i="17"/>
  <c r="AH126" i="17"/>
  <c r="BW126" i="17"/>
  <c r="BX126" i="17"/>
  <c r="BY126" i="17"/>
  <c r="AA127" i="17"/>
  <c r="AB127" i="17"/>
  <c r="AC127" i="17"/>
  <c r="AD127" i="17"/>
  <c r="AE127" i="17"/>
  <c r="AF127" i="17"/>
  <c r="AG127" i="17"/>
  <c r="AH127" i="17"/>
  <c r="BW127" i="17"/>
  <c r="BX127" i="17"/>
  <c r="BY127" i="17"/>
  <c r="AA128" i="17"/>
  <c r="AB128" i="17"/>
  <c r="AC128" i="17"/>
  <c r="AD128" i="17"/>
  <c r="AE128" i="17"/>
  <c r="AF128" i="17"/>
  <c r="AG128" i="17"/>
  <c r="AH128" i="17"/>
  <c r="BW128" i="17"/>
  <c r="BX128" i="17"/>
  <c r="BY128" i="17"/>
  <c r="AA129" i="17"/>
  <c r="AB129" i="17"/>
  <c r="AC129" i="17"/>
  <c r="AD129" i="17"/>
  <c r="AE129" i="17"/>
  <c r="AF129" i="17"/>
  <c r="AG129" i="17"/>
  <c r="AH129" i="17"/>
  <c r="BW129" i="17"/>
  <c r="BX129" i="17"/>
  <c r="BY129" i="17"/>
  <c r="AA130" i="17"/>
  <c r="AB130" i="17"/>
  <c r="AC130" i="17"/>
  <c r="AD130" i="17"/>
  <c r="AE130" i="17"/>
  <c r="AF130" i="17"/>
  <c r="AG130" i="17"/>
  <c r="AH130" i="17"/>
  <c r="BW130" i="17"/>
  <c r="BX130" i="17"/>
  <c r="BY130" i="17"/>
  <c r="AA131" i="17"/>
  <c r="AB131" i="17"/>
  <c r="AC131" i="17"/>
  <c r="AD131" i="17"/>
  <c r="AE131" i="17"/>
  <c r="AF131" i="17"/>
  <c r="AG131" i="17"/>
  <c r="AH131" i="17"/>
  <c r="BW131" i="17"/>
  <c r="BX131" i="17"/>
  <c r="BY131" i="17"/>
  <c r="AA132" i="17"/>
  <c r="AB132" i="17"/>
  <c r="AC132" i="17"/>
  <c r="AD132" i="17"/>
  <c r="AE132" i="17"/>
  <c r="AF132" i="17"/>
  <c r="AG132" i="17"/>
  <c r="AH132" i="17"/>
  <c r="BW132" i="17"/>
  <c r="BX132" i="17"/>
  <c r="BY132" i="17"/>
  <c r="AA133" i="17"/>
  <c r="AB133" i="17"/>
  <c r="AC133" i="17"/>
  <c r="AD133" i="17"/>
  <c r="AE133" i="17"/>
  <c r="AF133" i="17"/>
  <c r="AG133" i="17"/>
  <c r="AH133" i="17"/>
  <c r="BW133" i="17"/>
  <c r="BX133" i="17"/>
  <c r="BY133" i="17"/>
  <c r="AA134" i="17"/>
  <c r="AB134" i="17"/>
  <c r="AC134" i="17"/>
  <c r="AD134" i="17"/>
  <c r="AE134" i="17"/>
  <c r="AF134" i="17"/>
  <c r="AG134" i="17"/>
  <c r="AH134" i="17"/>
  <c r="BW134" i="17"/>
  <c r="BX134" i="17"/>
  <c r="BY134" i="17"/>
  <c r="AA135" i="17"/>
  <c r="AB135" i="17"/>
  <c r="AC135" i="17"/>
  <c r="AD135" i="17"/>
  <c r="AE135" i="17"/>
  <c r="AF135" i="17"/>
  <c r="AG135" i="17"/>
  <c r="AH135" i="17"/>
  <c r="BW135" i="17"/>
  <c r="BX135" i="17"/>
  <c r="BY135" i="17"/>
  <c r="AA136" i="17"/>
  <c r="AB136" i="17"/>
  <c r="AC136" i="17"/>
  <c r="AD136" i="17"/>
  <c r="AE136" i="17"/>
  <c r="AF136" i="17"/>
  <c r="AG136" i="17"/>
  <c r="AH136" i="17"/>
  <c r="BW136" i="17"/>
  <c r="BX136" i="17"/>
  <c r="BY136" i="17"/>
  <c r="AA137" i="17"/>
  <c r="AB137" i="17"/>
  <c r="AC137" i="17"/>
  <c r="AD137" i="17"/>
  <c r="AE137" i="17"/>
  <c r="AF137" i="17"/>
  <c r="AG137" i="17"/>
  <c r="AH137" i="17"/>
  <c r="BW137" i="17"/>
  <c r="BX137" i="17"/>
  <c r="BY137" i="17"/>
  <c r="AA138" i="17"/>
  <c r="AB138" i="17"/>
  <c r="AC138" i="17"/>
  <c r="AD138" i="17"/>
  <c r="AE138" i="17"/>
  <c r="AF138" i="17"/>
  <c r="AG138" i="17"/>
  <c r="AH138" i="17"/>
  <c r="BW138" i="17"/>
  <c r="BX138" i="17"/>
  <c r="BY138" i="17"/>
  <c r="AA139" i="17"/>
  <c r="AB139" i="17"/>
  <c r="AC139" i="17"/>
  <c r="AD139" i="17"/>
  <c r="AE139" i="17"/>
  <c r="AF139" i="17"/>
  <c r="AG139" i="17"/>
  <c r="AH139" i="17"/>
  <c r="BW139" i="17"/>
  <c r="BX139" i="17"/>
  <c r="BY139" i="17"/>
  <c r="AA140" i="17"/>
  <c r="AB140" i="17"/>
  <c r="AC140" i="17"/>
  <c r="AD140" i="17"/>
  <c r="AE140" i="17"/>
  <c r="AF140" i="17"/>
  <c r="AG140" i="17"/>
  <c r="AH140" i="17"/>
  <c r="BW140" i="17"/>
  <c r="BX140" i="17"/>
  <c r="BY140" i="17"/>
  <c r="AA141" i="17"/>
  <c r="AY141" i="17" s="1"/>
  <c r="BG141" i="17" s="1"/>
  <c r="AB141" i="17"/>
  <c r="AZ141" i="17" s="1"/>
  <c r="BH141" i="17" s="1"/>
  <c r="AC141" i="17"/>
  <c r="BA141" i="17" s="1"/>
  <c r="BI141" i="17" s="1"/>
  <c r="AD141" i="17"/>
  <c r="BB141" i="17" s="1"/>
  <c r="BJ141" i="17" s="1"/>
  <c r="AE141" i="17"/>
  <c r="BC141" i="17" s="1"/>
  <c r="BK141" i="17" s="1"/>
  <c r="AF141" i="17"/>
  <c r="AV141" i="17" s="1"/>
  <c r="AG141" i="17"/>
  <c r="AH141" i="17"/>
  <c r="AX141" i="17" s="1"/>
  <c r="BW141" i="17"/>
  <c r="BX141" i="17"/>
  <c r="BY141" i="17"/>
  <c r="AA142" i="17"/>
  <c r="AB142" i="17"/>
  <c r="AC142" i="17"/>
  <c r="AD142" i="17"/>
  <c r="AE142" i="17"/>
  <c r="AF142" i="17"/>
  <c r="AG142" i="17"/>
  <c r="AH142" i="17"/>
  <c r="BW142" i="17"/>
  <c r="BX142" i="17"/>
  <c r="BY142" i="17"/>
  <c r="AA143" i="17"/>
  <c r="AB143" i="17"/>
  <c r="AC143" i="17"/>
  <c r="AS143" i="17" s="1"/>
  <c r="AD143" i="17"/>
  <c r="AE143" i="17"/>
  <c r="AF143" i="17"/>
  <c r="AG143" i="17"/>
  <c r="AH143" i="17"/>
  <c r="BW143" i="17"/>
  <c r="BX143" i="17"/>
  <c r="BY143" i="17"/>
  <c r="AA144" i="17"/>
  <c r="AB144" i="17"/>
  <c r="AC144" i="17"/>
  <c r="AD144" i="17"/>
  <c r="AE144" i="17"/>
  <c r="AF144" i="17"/>
  <c r="AG144" i="17"/>
  <c r="AH144" i="17"/>
  <c r="BW144" i="17"/>
  <c r="BX144" i="17"/>
  <c r="BY144" i="17"/>
  <c r="AA145" i="17"/>
  <c r="AB145" i="17"/>
  <c r="AC145" i="17"/>
  <c r="AD145" i="17"/>
  <c r="AE145" i="17"/>
  <c r="AF145" i="17"/>
  <c r="AG145" i="17"/>
  <c r="AH145" i="17"/>
  <c r="BW145" i="17"/>
  <c r="BX145" i="17"/>
  <c r="BY145" i="17"/>
  <c r="AA146" i="17"/>
  <c r="AB146" i="17"/>
  <c r="AC146" i="17"/>
  <c r="AD146" i="17"/>
  <c r="AE146" i="17"/>
  <c r="AF146" i="17"/>
  <c r="AG146" i="17"/>
  <c r="AH146" i="17"/>
  <c r="BW146" i="17"/>
  <c r="BX146" i="17"/>
  <c r="BY146" i="17"/>
  <c r="AA147" i="17"/>
  <c r="AB147" i="17"/>
  <c r="AC147" i="17"/>
  <c r="AD147" i="17"/>
  <c r="AE147" i="17"/>
  <c r="AF147" i="17"/>
  <c r="AG147" i="17"/>
  <c r="AH147" i="17"/>
  <c r="BW147" i="17"/>
  <c r="BX147" i="17"/>
  <c r="BY147" i="17"/>
  <c r="AA148" i="17"/>
  <c r="AB148" i="17"/>
  <c r="AC148" i="17"/>
  <c r="AD148" i="17"/>
  <c r="AE148" i="17"/>
  <c r="AF148" i="17"/>
  <c r="AG148" i="17"/>
  <c r="AH148" i="17"/>
  <c r="BW148" i="17"/>
  <c r="BX148" i="17"/>
  <c r="BY148" i="17"/>
  <c r="AA149" i="17"/>
  <c r="AB149" i="17"/>
  <c r="AC149" i="17"/>
  <c r="AD149" i="17"/>
  <c r="AE149" i="17"/>
  <c r="AF149" i="17"/>
  <c r="AG149" i="17"/>
  <c r="AH149" i="17"/>
  <c r="BW149" i="17"/>
  <c r="BX149" i="17"/>
  <c r="BY149" i="17"/>
  <c r="AA150" i="17"/>
  <c r="AB150" i="17"/>
  <c r="AC150" i="17"/>
  <c r="AD150" i="17"/>
  <c r="AE150" i="17"/>
  <c r="AF150" i="17"/>
  <c r="AG150" i="17"/>
  <c r="AH150" i="17"/>
  <c r="BW150" i="17"/>
  <c r="BX150" i="17"/>
  <c r="BY150" i="17"/>
  <c r="AA151" i="17"/>
  <c r="AB151" i="17"/>
  <c r="AC151" i="17"/>
  <c r="AD151" i="17"/>
  <c r="AE151" i="17"/>
  <c r="AF151" i="17"/>
  <c r="AG151" i="17"/>
  <c r="AH151" i="17"/>
  <c r="BW151" i="17"/>
  <c r="BX151" i="17"/>
  <c r="BY151" i="17"/>
  <c r="AA152" i="17"/>
  <c r="AB152" i="17"/>
  <c r="AC152" i="17"/>
  <c r="AD152" i="17"/>
  <c r="AE152" i="17"/>
  <c r="AF152" i="17"/>
  <c r="AG152" i="17"/>
  <c r="AH152" i="17"/>
  <c r="BW152" i="17"/>
  <c r="BX152" i="17"/>
  <c r="BY152" i="17"/>
  <c r="AA153" i="17"/>
  <c r="AB153" i="17"/>
  <c r="AC153" i="17"/>
  <c r="AD153" i="17"/>
  <c r="AE153" i="17"/>
  <c r="AF153" i="17"/>
  <c r="AG153" i="17"/>
  <c r="AH153" i="17"/>
  <c r="BW153" i="17"/>
  <c r="BX153" i="17"/>
  <c r="BY153" i="17"/>
  <c r="AA154" i="17"/>
  <c r="AB154" i="17"/>
  <c r="AC154" i="17"/>
  <c r="AD154" i="17"/>
  <c r="AE154" i="17"/>
  <c r="AF154" i="17"/>
  <c r="AG154" i="17"/>
  <c r="AH154" i="17"/>
  <c r="BW154" i="17"/>
  <c r="BX154" i="17"/>
  <c r="BY154" i="17"/>
  <c r="AA155" i="17"/>
  <c r="AB155" i="17"/>
  <c r="AC155" i="17"/>
  <c r="AD155" i="17"/>
  <c r="AE155" i="17"/>
  <c r="AF155" i="17"/>
  <c r="AG155" i="17"/>
  <c r="AH155" i="17"/>
  <c r="BW155" i="17"/>
  <c r="BX155" i="17"/>
  <c r="BY155" i="17"/>
  <c r="AA156" i="17"/>
  <c r="AB156" i="17"/>
  <c r="AC156" i="17"/>
  <c r="AD156" i="17"/>
  <c r="AE156" i="17"/>
  <c r="AF156" i="17"/>
  <c r="AG156" i="17"/>
  <c r="AH156" i="17"/>
  <c r="BW156" i="17"/>
  <c r="BX156" i="17"/>
  <c r="BY156" i="17"/>
  <c r="AA157" i="17"/>
  <c r="AB157" i="17"/>
  <c r="AC157" i="17"/>
  <c r="AD157" i="17"/>
  <c r="AE157" i="17"/>
  <c r="AF157" i="17"/>
  <c r="AG157" i="17"/>
  <c r="AH157" i="17"/>
  <c r="BW157" i="17"/>
  <c r="BX157" i="17"/>
  <c r="BY157" i="17"/>
  <c r="AA158" i="17"/>
  <c r="AB158" i="17"/>
  <c r="AC158" i="17"/>
  <c r="AD158" i="17"/>
  <c r="AE158" i="17"/>
  <c r="AF158" i="17"/>
  <c r="AG158" i="17"/>
  <c r="AH158" i="17"/>
  <c r="BW158" i="17"/>
  <c r="BX158" i="17"/>
  <c r="BY158" i="17"/>
  <c r="AA159" i="17"/>
  <c r="AB159" i="17"/>
  <c r="AC159" i="17"/>
  <c r="AD159" i="17"/>
  <c r="AE159" i="17"/>
  <c r="AF159" i="17"/>
  <c r="AG159" i="17"/>
  <c r="AH159" i="17"/>
  <c r="BW159" i="17"/>
  <c r="BX159" i="17"/>
  <c r="BY159" i="17"/>
  <c r="AA160" i="17"/>
  <c r="AB160" i="17"/>
  <c r="AC160" i="17"/>
  <c r="AD160" i="17"/>
  <c r="AE160" i="17"/>
  <c r="AF160" i="17"/>
  <c r="AG160" i="17"/>
  <c r="AH160" i="17"/>
  <c r="BW160" i="17"/>
  <c r="BX160" i="17"/>
  <c r="BY160" i="17"/>
  <c r="AA161" i="17"/>
  <c r="AB161" i="17"/>
  <c r="AC161" i="17"/>
  <c r="AD161" i="17"/>
  <c r="AE161" i="17"/>
  <c r="AF161" i="17"/>
  <c r="AG161" i="17"/>
  <c r="AH161" i="17"/>
  <c r="BW161" i="17"/>
  <c r="BX161" i="17"/>
  <c r="BY161" i="17"/>
  <c r="AA162" i="17"/>
  <c r="AB162" i="17"/>
  <c r="AC162" i="17"/>
  <c r="AD162" i="17"/>
  <c r="AE162" i="17"/>
  <c r="AF162" i="17"/>
  <c r="AG162" i="17"/>
  <c r="AH162" i="17"/>
  <c r="AQ162" i="17"/>
  <c r="BW162" i="17"/>
  <c r="BX162" i="17"/>
  <c r="BY162" i="17"/>
  <c r="AA163" i="17"/>
  <c r="AB163" i="17"/>
  <c r="AC163" i="17"/>
  <c r="AD163" i="17"/>
  <c r="AE163" i="17"/>
  <c r="AF163" i="17"/>
  <c r="AG163" i="17"/>
  <c r="AH163" i="17"/>
  <c r="BW163" i="17"/>
  <c r="BX163" i="17"/>
  <c r="BY163" i="17"/>
  <c r="AA164" i="17"/>
  <c r="AB164" i="17"/>
  <c r="AC164" i="17"/>
  <c r="AD164" i="17"/>
  <c r="AE164" i="17"/>
  <c r="AF164" i="17"/>
  <c r="AG164" i="17"/>
  <c r="AH164" i="17"/>
  <c r="BW164" i="17"/>
  <c r="BX164" i="17"/>
  <c r="BY164" i="17"/>
  <c r="AA165" i="17"/>
  <c r="AB165" i="17"/>
  <c r="AC165" i="17"/>
  <c r="AD165" i="17"/>
  <c r="AE165" i="17"/>
  <c r="AF165" i="17"/>
  <c r="AG165" i="17"/>
  <c r="AH165" i="17"/>
  <c r="BW165" i="17"/>
  <c r="BX165" i="17"/>
  <c r="BY165" i="17"/>
  <c r="AA166" i="17"/>
  <c r="AB166" i="17"/>
  <c r="AC166" i="17"/>
  <c r="AD166" i="17"/>
  <c r="AE166" i="17"/>
  <c r="AF166" i="17"/>
  <c r="AG166" i="17"/>
  <c r="AH166" i="17"/>
  <c r="BW166" i="17"/>
  <c r="BX166" i="17"/>
  <c r="BY166" i="17"/>
  <c r="AA167" i="17"/>
  <c r="AB167" i="17"/>
  <c r="AC167" i="17"/>
  <c r="AD167" i="17"/>
  <c r="AE167" i="17"/>
  <c r="AF167" i="17"/>
  <c r="AG167" i="17"/>
  <c r="AH167" i="17"/>
  <c r="BW167" i="17"/>
  <c r="BX167" i="17"/>
  <c r="BY167" i="17"/>
  <c r="AA168" i="17"/>
  <c r="AB168" i="17"/>
  <c r="AC168" i="17"/>
  <c r="AD168" i="17"/>
  <c r="AE168" i="17"/>
  <c r="AF168" i="17"/>
  <c r="AG168" i="17"/>
  <c r="AH168" i="17"/>
  <c r="BW168" i="17"/>
  <c r="BX168" i="17"/>
  <c r="BY168" i="17"/>
  <c r="AA169" i="17"/>
  <c r="AB169" i="17"/>
  <c r="AC169" i="17"/>
  <c r="AD169" i="17"/>
  <c r="AE169" i="17"/>
  <c r="AF169" i="17"/>
  <c r="AG169" i="17"/>
  <c r="AH169" i="17"/>
  <c r="BW169" i="17"/>
  <c r="BX169" i="17"/>
  <c r="BY169" i="17"/>
  <c r="AA170" i="17"/>
  <c r="AB170" i="17"/>
  <c r="AC170" i="17"/>
  <c r="AD170" i="17"/>
  <c r="AE170" i="17"/>
  <c r="AF170" i="17"/>
  <c r="AG170" i="17"/>
  <c r="AH170" i="17"/>
  <c r="BW170" i="17"/>
  <c r="BX170" i="17"/>
  <c r="BY170" i="17"/>
  <c r="AA171" i="17"/>
  <c r="AB171" i="17"/>
  <c r="AC171" i="17"/>
  <c r="AD171" i="17"/>
  <c r="AE171" i="17"/>
  <c r="AF171" i="17"/>
  <c r="AG171" i="17"/>
  <c r="AH171" i="17"/>
  <c r="BW171" i="17"/>
  <c r="BX171" i="17"/>
  <c r="BY171" i="17"/>
  <c r="AA172" i="17"/>
  <c r="AB172" i="17"/>
  <c r="AC172" i="17"/>
  <c r="AD172" i="17"/>
  <c r="AE172" i="17"/>
  <c r="AF172" i="17"/>
  <c r="AG172" i="17"/>
  <c r="AH172" i="17"/>
  <c r="BW172" i="17"/>
  <c r="BX172" i="17"/>
  <c r="BY172" i="17"/>
  <c r="AA173" i="17"/>
  <c r="AB173" i="17"/>
  <c r="AC173" i="17"/>
  <c r="AD173" i="17"/>
  <c r="AE173" i="17"/>
  <c r="AF173" i="17"/>
  <c r="AG173" i="17"/>
  <c r="AH173" i="17"/>
  <c r="BW173" i="17"/>
  <c r="BX173" i="17"/>
  <c r="BY173" i="17"/>
  <c r="AA174" i="17"/>
  <c r="AB174" i="17"/>
  <c r="AC174" i="17"/>
  <c r="AD174" i="17"/>
  <c r="AE174" i="17"/>
  <c r="AF174" i="17"/>
  <c r="AG174" i="17"/>
  <c r="AH174" i="17"/>
  <c r="AQ174" i="17"/>
  <c r="BW174" i="17"/>
  <c r="BX174" i="17"/>
  <c r="BY174" i="17"/>
  <c r="AA175" i="17"/>
  <c r="AB175" i="17"/>
  <c r="AC175" i="17"/>
  <c r="AD175" i="17"/>
  <c r="AE175" i="17"/>
  <c r="AF175" i="17"/>
  <c r="AG175" i="17"/>
  <c r="AH175" i="17"/>
  <c r="BW175" i="17"/>
  <c r="BX175" i="17"/>
  <c r="BY175" i="17"/>
  <c r="AA176" i="17"/>
  <c r="AB176" i="17"/>
  <c r="AC176" i="17"/>
  <c r="AD176" i="17"/>
  <c r="AE176" i="17"/>
  <c r="AF176" i="17"/>
  <c r="AG176" i="17"/>
  <c r="AH176" i="17"/>
  <c r="BW176" i="17"/>
  <c r="BX176" i="17"/>
  <c r="BY176" i="17"/>
  <c r="AA177" i="17"/>
  <c r="AB177" i="17"/>
  <c r="AC177" i="17"/>
  <c r="AD177" i="17"/>
  <c r="AE177" i="17"/>
  <c r="AF177" i="17"/>
  <c r="AG177" i="17"/>
  <c r="AH177" i="17"/>
  <c r="BW177" i="17"/>
  <c r="BX177" i="17"/>
  <c r="BY177" i="17"/>
  <c r="AA178" i="17"/>
  <c r="AB178" i="17"/>
  <c r="AC178" i="17"/>
  <c r="AD178" i="17"/>
  <c r="AE178" i="17"/>
  <c r="AF178" i="17"/>
  <c r="AG178" i="17"/>
  <c r="AH178" i="17"/>
  <c r="BW178" i="17"/>
  <c r="BX178" i="17"/>
  <c r="BY178" i="17"/>
  <c r="AA179" i="17"/>
  <c r="AB179" i="17"/>
  <c r="AC179" i="17"/>
  <c r="AD179" i="17"/>
  <c r="AE179" i="17"/>
  <c r="AF179" i="17"/>
  <c r="AG179" i="17"/>
  <c r="AH179" i="17"/>
  <c r="BW179" i="17"/>
  <c r="BX179" i="17"/>
  <c r="BY179" i="17"/>
  <c r="AA180" i="17"/>
  <c r="AB180" i="17"/>
  <c r="AC180" i="17"/>
  <c r="AD180" i="17"/>
  <c r="AE180" i="17"/>
  <c r="AF180" i="17"/>
  <c r="AG180" i="17"/>
  <c r="AH180" i="17"/>
  <c r="BW180" i="17"/>
  <c r="BX180" i="17"/>
  <c r="BY180" i="17"/>
  <c r="AA181" i="17"/>
  <c r="AB181" i="17"/>
  <c r="AC181" i="17"/>
  <c r="AD181" i="17"/>
  <c r="AE181" i="17"/>
  <c r="AF181" i="17"/>
  <c r="AG181" i="17"/>
  <c r="AH181" i="17"/>
  <c r="BW181" i="17"/>
  <c r="BX181" i="17"/>
  <c r="BY181" i="17"/>
  <c r="AA182" i="17"/>
  <c r="AB182" i="17"/>
  <c r="AC182" i="17"/>
  <c r="AD182" i="17"/>
  <c r="AE182" i="17"/>
  <c r="AF182" i="17"/>
  <c r="AG182" i="17"/>
  <c r="AH182" i="17"/>
  <c r="AQ182" i="17"/>
  <c r="BW182" i="17"/>
  <c r="BX182" i="17"/>
  <c r="BY182" i="17"/>
  <c r="AA183" i="17"/>
  <c r="AB183" i="17"/>
  <c r="AC183" i="17"/>
  <c r="AD183" i="17"/>
  <c r="AE183" i="17"/>
  <c r="AF183" i="17"/>
  <c r="AG183" i="17"/>
  <c r="AH183" i="17"/>
  <c r="BW183" i="17"/>
  <c r="BX183" i="17"/>
  <c r="BY183" i="17"/>
  <c r="AA184" i="17"/>
  <c r="AB184" i="17"/>
  <c r="AC184" i="17"/>
  <c r="AD184" i="17"/>
  <c r="AE184" i="17"/>
  <c r="AF184" i="17"/>
  <c r="AG184" i="17"/>
  <c r="AH184" i="17"/>
  <c r="BW184" i="17"/>
  <c r="BX184" i="17"/>
  <c r="BY184" i="17"/>
  <c r="AA185" i="17"/>
  <c r="AB185" i="17"/>
  <c r="AC185" i="17"/>
  <c r="AS185" i="17" s="1"/>
  <c r="AD185" i="17"/>
  <c r="AE185" i="17"/>
  <c r="AF185" i="17"/>
  <c r="AG185" i="17"/>
  <c r="AH185" i="17"/>
  <c r="BW185" i="17"/>
  <c r="BX185" i="17"/>
  <c r="BY185" i="17"/>
  <c r="AA186" i="17"/>
  <c r="AB186" i="17"/>
  <c r="AC186" i="17"/>
  <c r="AD186" i="17"/>
  <c r="AE186" i="17"/>
  <c r="AF186" i="17"/>
  <c r="AG186" i="17"/>
  <c r="AH186" i="17"/>
  <c r="BW186" i="17"/>
  <c r="BX186" i="17"/>
  <c r="BY186" i="17"/>
  <c r="AA187" i="17"/>
  <c r="AB187" i="17"/>
  <c r="AC187" i="17"/>
  <c r="AD187" i="17"/>
  <c r="AE187" i="17"/>
  <c r="AF187" i="17"/>
  <c r="AG187" i="17"/>
  <c r="AH187" i="17"/>
  <c r="BW187" i="17"/>
  <c r="BX187" i="17"/>
  <c r="BY187" i="17"/>
  <c r="AA188" i="17"/>
  <c r="AB188" i="17"/>
  <c r="AC188" i="17"/>
  <c r="AD188" i="17"/>
  <c r="AE188" i="17"/>
  <c r="AF188" i="17"/>
  <c r="AG188" i="17"/>
  <c r="AH188" i="17"/>
  <c r="BW188" i="17"/>
  <c r="BX188" i="17"/>
  <c r="BY188" i="17"/>
  <c r="AA189" i="17"/>
  <c r="AB189" i="17"/>
  <c r="AC189" i="17"/>
  <c r="AD189" i="17"/>
  <c r="AE189" i="17"/>
  <c r="AF189" i="17"/>
  <c r="AG189" i="17"/>
  <c r="AH189" i="17"/>
  <c r="BW189" i="17"/>
  <c r="BX189" i="17"/>
  <c r="BY189" i="17"/>
  <c r="AA190" i="17"/>
  <c r="AB190" i="17"/>
  <c r="AC190" i="17"/>
  <c r="AD190" i="17"/>
  <c r="AE190" i="17"/>
  <c r="AF190" i="17"/>
  <c r="AG190" i="17"/>
  <c r="AH190" i="17"/>
  <c r="BW190" i="17"/>
  <c r="BX190" i="17"/>
  <c r="BY190" i="17"/>
  <c r="AA191" i="17"/>
  <c r="AB191" i="17"/>
  <c r="AC191" i="17"/>
  <c r="AD191" i="17"/>
  <c r="AE191" i="17"/>
  <c r="AF191" i="17"/>
  <c r="AG191" i="17"/>
  <c r="AH191" i="17"/>
  <c r="BW191" i="17"/>
  <c r="BX191" i="17"/>
  <c r="BY191" i="17"/>
  <c r="AA192" i="17"/>
  <c r="AB192" i="17"/>
  <c r="AC192" i="17"/>
  <c r="AD192" i="17"/>
  <c r="AE192" i="17"/>
  <c r="AF192" i="17"/>
  <c r="AG192" i="17"/>
  <c r="AH192" i="17"/>
  <c r="BW192" i="17"/>
  <c r="BX192" i="17"/>
  <c r="BY192" i="17"/>
  <c r="AA193" i="17"/>
  <c r="AB193" i="17"/>
  <c r="AC193" i="17"/>
  <c r="AD193" i="17"/>
  <c r="AE193" i="17"/>
  <c r="AF193" i="17"/>
  <c r="AG193" i="17"/>
  <c r="AH193" i="17"/>
  <c r="BW193" i="17"/>
  <c r="BX193" i="17"/>
  <c r="BY193" i="17"/>
  <c r="AA194" i="17"/>
  <c r="AB194" i="17"/>
  <c r="AC194" i="17"/>
  <c r="AD194" i="17"/>
  <c r="AE194" i="17"/>
  <c r="AF194" i="17"/>
  <c r="AG194" i="17"/>
  <c r="AH194" i="17"/>
  <c r="BW194" i="17"/>
  <c r="BX194" i="17"/>
  <c r="BY194" i="17"/>
  <c r="AA195" i="17"/>
  <c r="AB195" i="17"/>
  <c r="AR195" i="17" s="1"/>
  <c r="AC195" i="17"/>
  <c r="AD195" i="17"/>
  <c r="AE195" i="17"/>
  <c r="AF195" i="17"/>
  <c r="AG195" i="17"/>
  <c r="AH195" i="17"/>
  <c r="BW195" i="17"/>
  <c r="BX195" i="17"/>
  <c r="BY195" i="17"/>
  <c r="AA196" i="17"/>
  <c r="AB196" i="17"/>
  <c r="AC196" i="17"/>
  <c r="AD196" i="17"/>
  <c r="AE196" i="17"/>
  <c r="AF196" i="17"/>
  <c r="AG196" i="17"/>
  <c r="AH196" i="17"/>
  <c r="BW196" i="17"/>
  <c r="BX196" i="17"/>
  <c r="BY196" i="17"/>
  <c r="AA197" i="17"/>
  <c r="AB197" i="17"/>
  <c r="AC197" i="17"/>
  <c r="AD197" i="17"/>
  <c r="AE197" i="17"/>
  <c r="AF197" i="17"/>
  <c r="AG197" i="17"/>
  <c r="AH197" i="17"/>
  <c r="BW197" i="17"/>
  <c r="BX197" i="17"/>
  <c r="BY197" i="17"/>
  <c r="AA198" i="17"/>
  <c r="AB198" i="17"/>
  <c r="AC198" i="17"/>
  <c r="AD198" i="17"/>
  <c r="AE198" i="17"/>
  <c r="AF198" i="17"/>
  <c r="AG198" i="17"/>
  <c r="AH198" i="17"/>
  <c r="BW198" i="17"/>
  <c r="BX198" i="17"/>
  <c r="BY198" i="17"/>
  <c r="AA199" i="17"/>
  <c r="AB199" i="17"/>
  <c r="AC199" i="17"/>
  <c r="AD199" i="17"/>
  <c r="AE199" i="17"/>
  <c r="AF199" i="17"/>
  <c r="AG199" i="17"/>
  <c r="AH199" i="17"/>
  <c r="BW199" i="17"/>
  <c r="BX199" i="17"/>
  <c r="BY199" i="17"/>
  <c r="AA200" i="17"/>
  <c r="AB200" i="17"/>
  <c r="AC200" i="17"/>
  <c r="AD200" i="17"/>
  <c r="AE200" i="17"/>
  <c r="AF200" i="17"/>
  <c r="AG200" i="17"/>
  <c r="AH200" i="17"/>
  <c r="BW200" i="17"/>
  <c r="BX200" i="17"/>
  <c r="BY200" i="17"/>
  <c r="AA201" i="17"/>
  <c r="AB201" i="17"/>
  <c r="AC201" i="17"/>
  <c r="AD201" i="17"/>
  <c r="AE201" i="17"/>
  <c r="AF201" i="17"/>
  <c r="AG201" i="17"/>
  <c r="AH201" i="17"/>
  <c r="BW201" i="17"/>
  <c r="BX201" i="17"/>
  <c r="BY201" i="17"/>
  <c r="AA202" i="17"/>
  <c r="AB202" i="17"/>
  <c r="AC202" i="17"/>
  <c r="AD202" i="17"/>
  <c r="AE202" i="17"/>
  <c r="AF202" i="17"/>
  <c r="AG202" i="17"/>
  <c r="AH202" i="17"/>
  <c r="BW202" i="17"/>
  <c r="BX202" i="17"/>
  <c r="BY202" i="17"/>
  <c r="AA203" i="17"/>
  <c r="AB203" i="17"/>
  <c r="AC203" i="17"/>
  <c r="AD203" i="17"/>
  <c r="AE203" i="17"/>
  <c r="AF203" i="17"/>
  <c r="AG203" i="17"/>
  <c r="AH203" i="17"/>
  <c r="BW203" i="17"/>
  <c r="BX203" i="17"/>
  <c r="BY203" i="17"/>
  <c r="AA204" i="17"/>
  <c r="AB204" i="17"/>
  <c r="AC204" i="17"/>
  <c r="AD204" i="17"/>
  <c r="AE204" i="17"/>
  <c r="AF204" i="17"/>
  <c r="AG204" i="17"/>
  <c r="AH204" i="17"/>
  <c r="BW204" i="17"/>
  <c r="BX204" i="17"/>
  <c r="BY204" i="17"/>
  <c r="AA205" i="17"/>
  <c r="AB205" i="17"/>
  <c r="AC205" i="17"/>
  <c r="AD205" i="17"/>
  <c r="AE205" i="17"/>
  <c r="AF205" i="17"/>
  <c r="AG205" i="17"/>
  <c r="AH205" i="17"/>
  <c r="BW205" i="17"/>
  <c r="BX205" i="17"/>
  <c r="BY205" i="17"/>
  <c r="AA206" i="17"/>
  <c r="AB206" i="17"/>
  <c r="AC206" i="17"/>
  <c r="AD206" i="17"/>
  <c r="AE206" i="17"/>
  <c r="AF206" i="17"/>
  <c r="AG206" i="17"/>
  <c r="AH206" i="17"/>
  <c r="BW206" i="17"/>
  <c r="BX206" i="17"/>
  <c r="BY206" i="17"/>
  <c r="AA207" i="17"/>
  <c r="AB207" i="17"/>
  <c r="AC207" i="17"/>
  <c r="AD207" i="17"/>
  <c r="AE207" i="17"/>
  <c r="AF207" i="17"/>
  <c r="AG207" i="17"/>
  <c r="AH207" i="17"/>
  <c r="BW207" i="17"/>
  <c r="BX207" i="17"/>
  <c r="BY207" i="17"/>
  <c r="AA208" i="17"/>
  <c r="AB208" i="17"/>
  <c r="AC208" i="17"/>
  <c r="AD208" i="17"/>
  <c r="AE208" i="17"/>
  <c r="AF208" i="17"/>
  <c r="AG208" i="17"/>
  <c r="AH208" i="17"/>
  <c r="BW208" i="17"/>
  <c r="BX208" i="17"/>
  <c r="BY208" i="17"/>
  <c r="AA209" i="17"/>
  <c r="AB209" i="17"/>
  <c r="AC209" i="17"/>
  <c r="AD209" i="17"/>
  <c r="AT209" i="17" s="1"/>
  <c r="AE209" i="17"/>
  <c r="AF209" i="17"/>
  <c r="AG209" i="17"/>
  <c r="AH209" i="17"/>
  <c r="BW209" i="17"/>
  <c r="BX209" i="17"/>
  <c r="BY209" i="17"/>
  <c r="AA210" i="17"/>
  <c r="AB210" i="17"/>
  <c r="AC210" i="17"/>
  <c r="AD210" i="17"/>
  <c r="AE210" i="17"/>
  <c r="AF210" i="17"/>
  <c r="AG210" i="17"/>
  <c r="AH210" i="17"/>
  <c r="BW210" i="17"/>
  <c r="BX210" i="17"/>
  <c r="BY210" i="17"/>
  <c r="AA211" i="17"/>
  <c r="AB211" i="17"/>
  <c r="AC211" i="17"/>
  <c r="AD211" i="17"/>
  <c r="AE211" i="17"/>
  <c r="AF211" i="17"/>
  <c r="AG211" i="17"/>
  <c r="AH211" i="17"/>
  <c r="BW211" i="17"/>
  <c r="BX211" i="17"/>
  <c r="BY211" i="17"/>
  <c r="AA212" i="17"/>
  <c r="AB212" i="17"/>
  <c r="AC212" i="17"/>
  <c r="AS212" i="17" s="1"/>
  <c r="AD212" i="17"/>
  <c r="AE212" i="17"/>
  <c r="AF212" i="17"/>
  <c r="AG212" i="17"/>
  <c r="AH212" i="17"/>
  <c r="BW212" i="17"/>
  <c r="BX212" i="17"/>
  <c r="BY212" i="17"/>
  <c r="AA213" i="17"/>
  <c r="AB213" i="17"/>
  <c r="AC213" i="17"/>
  <c r="AD213" i="17"/>
  <c r="AE213" i="17"/>
  <c r="AF213" i="17"/>
  <c r="AG213" i="17"/>
  <c r="AH213" i="17"/>
  <c r="BW213" i="17"/>
  <c r="BX213" i="17"/>
  <c r="BY213" i="17"/>
  <c r="AA214" i="17"/>
  <c r="AB214" i="17"/>
  <c r="AC214" i="17"/>
  <c r="AD214" i="17"/>
  <c r="AE214" i="17"/>
  <c r="AF214" i="17"/>
  <c r="AG214" i="17"/>
  <c r="AH214" i="17"/>
  <c r="BW214" i="17"/>
  <c r="BX214" i="17"/>
  <c r="BY214" i="17"/>
  <c r="AA215" i="17"/>
  <c r="AB215" i="17"/>
  <c r="AC215" i="17"/>
  <c r="AD215" i="17"/>
  <c r="AE215" i="17"/>
  <c r="AF215" i="17"/>
  <c r="AG215" i="17"/>
  <c r="AH215" i="17"/>
  <c r="BW215" i="17"/>
  <c r="BX215" i="17"/>
  <c r="BY215" i="17"/>
  <c r="AA216" i="17"/>
  <c r="AB216" i="17"/>
  <c r="AC216" i="17"/>
  <c r="AD216" i="17"/>
  <c r="AE216" i="17"/>
  <c r="AF216" i="17"/>
  <c r="AG216" i="17"/>
  <c r="AH216" i="17"/>
  <c r="BW216" i="17"/>
  <c r="BX216" i="17"/>
  <c r="BY216" i="17"/>
  <c r="AA217" i="17"/>
  <c r="AB217" i="17"/>
  <c r="AC217" i="17"/>
  <c r="AD217" i="17"/>
  <c r="AE217" i="17"/>
  <c r="AF217" i="17"/>
  <c r="AG217" i="17"/>
  <c r="AH217" i="17"/>
  <c r="BW217" i="17"/>
  <c r="BX217" i="17"/>
  <c r="BY217" i="17"/>
  <c r="AA218" i="17"/>
  <c r="AB218" i="17"/>
  <c r="AC218" i="17"/>
  <c r="AD218" i="17"/>
  <c r="AE218" i="17"/>
  <c r="AF218" i="17"/>
  <c r="AG218" i="17"/>
  <c r="AH218" i="17"/>
  <c r="BW218" i="17"/>
  <c r="BX218" i="17"/>
  <c r="BY218" i="17"/>
  <c r="AA219" i="17"/>
  <c r="AB219" i="17"/>
  <c r="AR219" i="17" s="1"/>
  <c r="AC219" i="17"/>
  <c r="AD219" i="17"/>
  <c r="AE219" i="17"/>
  <c r="AF219" i="17"/>
  <c r="AG219" i="17"/>
  <c r="AH219" i="17"/>
  <c r="BW219" i="17"/>
  <c r="BX219" i="17"/>
  <c r="BY219" i="17"/>
  <c r="AA220" i="17"/>
  <c r="AB220" i="17"/>
  <c r="AC220" i="17"/>
  <c r="AD220" i="17"/>
  <c r="AE220" i="17"/>
  <c r="AF220" i="17"/>
  <c r="AG220" i="17"/>
  <c r="AH220" i="17"/>
  <c r="BW220" i="17"/>
  <c r="BX220" i="17"/>
  <c r="BY220" i="17"/>
  <c r="AA221" i="17"/>
  <c r="AB221" i="17"/>
  <c r="AC221" i="17"/>
  <c r="AD221" i="17"/>
  <c r="AE221" i="17"/>
  <c r="AF221" i="17"/>
  <c r="AG221" i="17"/>
  <c r="AH221" i="17"/>
  <c r="BW221" i="17"/>
  <c r="BX221" i="17"/>
  <c r="BY221" i="17"/>
  <c r="AA222" i="17"/>
  <c r="AQ222" i="17" s="1"/>
  <c r="AB222" i="17"/>
  <c r="AC222" i="17"/>
  <c r="AD222" i="17"/>
  <c r="AE222" i="17"/>
  <c r="AF222" i="17"/>
  <c r="AG222" i="17"/>
  <c r="AH222" i="17"/>
  <c r="BW222" i="17"/>
  <c r="BX222" i="17"/>
  <c r="BY222" i="17"/>
  <c r="AA223" i="17"/>
  <c r="AB223" i="17"/>
  <c r="AC223" i="17"/>
  <c r="AD223" i="17"/>
  <c r="AE223" i="17"/>
  <c r="AF223" i="17"/>
  <c r="AG223" i="17"/>
  <c r="AH223" i="17"/>
  <c r="BW223" i="17"/>
  <c r="BX223" i="17"/>
  <c r="BY223" i="17"/>
  <c r="AA224" i="17"/>
  <c r="AB224" i="17"/>
  <c r="AC224" i="17"/>
  <c r="AD224" i="17"/>
  <c r="AE224" i="17"/>
  <c r="AF224" i="17"/>
  <c r="AG224" i="17"/>
  <c r="AH224" i="17"/>
  <c r="BW224" i="17"/>
  <c r="BX224" i="17"/>
  <c r="BY224" i="17"/>
  <c r="AA225" i="17"/>
  <c r="AB225" i="17"/>
  <c r="AC225" i="17"/>
  <c r="AD225" i="17"/>
  <c r="AE225" i="17"/>
  <c r="AF225" i="17"/>
  <c r="AG225" i="17"/>
  <c r="AH225" i="17"/>
  <c r="BW225" i="17"/>
  <c r="BX225" i="17"/>
  <c r="BY225" i="17"/>
  <c r="AA226" i="17"/>
  <c r="AB226" i="17"/>
  <c r="AC226" i="17"/>
  <c r="AD226" i="17"/>
  <c r="AE226" i="17"/>
  <c r="AF226" i="17"/>
  <c r="AG226" i="17"/>
  <c r="AH226" i="17"/>
  <c r="BW226" i="17"/>
  <c r="BX226" i="17"/>
  <c r="BY226" i="17"/>
  <c r="AA227" i="17"/>
  <c r="AB227" i="17"/>
  <c r="AC227" i="17"/>
  <c r="AD227" i="17"/>
  <c r="AE227" i="17"/>
  <c r="AF227" i="17"/>
  <c r="AG227" i="17"/>
  <c r="AH227" i="17"/>
  <c r="BW227" i="17"/>
  <c r="BX227" i="17"/>
  <c r="BY227" i="17"/>
  <c r="AA228" i="17"/>
  <c r="AB228" i="17"/>
  <c r="AC228" i="17"/>
  <c r="AD228" i="17"/>
  <c r="AE228" i="17"/>
  <c r="AF228" i="17"/>
  <c r="AG228" i="17"/>
  <c r="AH228" i="17"/>
  <c r="BW228" i="17"/>
  <c r="BX228" i="17"/>
  <c r="BY228" i="17"/>
  <c r="AA229" i="17"/>
  <c r="AB229" i="17"/>
  <c r="AC229" i="17"/>
  <c r="AD229" i="17"/>
  <c r="AE229" i="17"/>
  <c r="AF229" i="17"/>
  <c r="AG229" i="17"/>
  <c r="AH229" i="17"/>
  <c r="BW229" i="17"/>
  <c r="BX229" i="17"/>
  <c r="BY229" i="17"/>
  <c r="AA230" i="17"/>
  <c r="AB230" i="17"/>
  <c r="AC230" i="17"/>
  <c r="AD230" i="17"/>
  <c r="AE230" i="17"/>
  <c r="AF230" i="17"/>
  <c r="AG230" i="17"/>
  <c r="AH230" i="17"/>
  <c r="BW230" i="17"/>
  <c r="BX230" i="17"/>
  <c r="BY230" i="17"/>
  <c r="AA231" i="17"/>
  <c r="AB231" i="17"/>
  <c r="AC231" i="17"/>
  <c r="AD231" i="17"/>
  <c r="AE231" i="17"/>
  <c r="AF231" i="17"/>
  <c r="AG231" i="17"/>
  <c r="AH231" i="17"/>
  <c r="BW231" i="17"/>
  <c r="BX231" i="17"/>
  <c r="BY231" i="17"/>
  <c r="AA232" i="17"/>
  <c r="AB232" i="17"/>
  <c r="AC232" i="17"/>
  <c r="AS232" i="17" s="1"/>
  <c r="AD232" i="17"/>
  <c r="AE232" i="17"/>
  <c r="AF232" i="17"/>
  <c r="AG232" i="17"/>
  <c r="AH232" i="17"/>
  <c r="BW232" i="17"/>
  <c r="BX232" i="17"/>
  <c r="BY232" i="17"/>
  <c r="AA233" i="17"/>
  <c r="AB233" i="17"/>
  <c r="AC233" i="17"/>
  <c r="AD233" i="17"/>
  <c r="AE233" i="17"/>
  <c r="AF233" i="17"/>
  <c r="AG233" i="17"/>
  <c r="AH233" i="17"/>
  <c r="BW233" i="17"/>
  <c r="BX233" i="17"/>
  <c r="BY233" i="17"/>
  <c r="AA234" i="17"/>
  <c r="AB234" i="17"/>
  <c r="AC234" i="17"/>
  <c r="AD234" i="17"/>
  <c r="AE234" i="17"/>
  <c r="AF234" i="17"/>
  <c r="AG234" i="17"/>
  <c r="AH234" i="17"/>
  <c r="BW234" i="17"/>
  <c r="BX234" i="17"/>
  <c r="BY234" i="17"/>
  <c r="AA235" i="17"/>
  <c r="AB235" i="17"/>
  <c r="AC235" i="17"/>
  <c r="AD235" i="17"/>
  <c r="AE235" i="17"/>
  <c r="AF235" i="17"/>
  <c r="AG235" i="17"/>
  <c r="AH235" i="17"/>
  <c r="BW235" i="17"/>
  <c r="BX235" i="17"/>
  <c r="BY235" i="17"/>
  <c r="AA236" i="17"/>
  <c r="AB236" i="17"/>
  <c r="AC236" i="17"/>
  <c r="AD236" i="17"/>
  <c r="AE236" i="17"/>
  <c r="AF236" i="17"/>
  <c r="AG236" i="17"/>
  <c r="AH236" i="17"/>
  <c r="BW236" i="17"/>
  <c r="BX236" i="17"/>
  <c r="BY236" i="17"/>
  <c r="AA237" i="17"/>
  <c r="AB237" i="17"/>
  <c r="AC237" i="17"/>
  <c r="AD237" i="17"/>
  <c r="AE237" i="17"/>
  <c r="AF237" i="17"/>
  <c r="AG237" i="17"/>
  <c r="AH237" i="17"/>
  <c r="BW237" i="17"/>
  <c r="BX237" i="17"/>
  <c r="BY237" i="17"/>
  <c r="AA238" i="17"/>
  <c r="AB238" i="17"/>
  <c r="AC238" i="17"/>
  <c r="AD238" i="17"/>
  <c r="AE238" i="17"/>
  <c r="AF238" i="17"/>
  <c r="AG238" i="17"/>
  <c r="AH238" i="17"/>
  <c r="BW238" i="17"/>
  <c r="BX238" i="17"/>
  <c r="BY238" i="17"/>
  <c r="AA239" i="17"/>
  <c r="AB239" i="17"/>
  <c r="AC239" i="17"/>
  <c r="AD239" i="17"/>
  <c r="AE239" i="17"/>
  <c r="AF239" i="17"/>
  <c r="AG239" i="17"/>
  <c r="AH239" i="17"/>
  <c r="BW239" i="17"/>
  <c r="BX239" i="17"/>
  <c r="BY239" i="17"/>
  <c r="AA240" i="17"/>
  <c r="AQ240" i="17" s="1"/>
  <c r="AB240" i="17"/>
  <c r="AC240" i="17"/>
  <c r="AD240" i="17"/>
  <c r="AE240" i="17"/>
  <c r="AF240" i="17"/>
  <c r="AG240" i="17"/>
  <c r="AH240" i="17"/>
  <c r="BW240" i="17"/>
  <c r="BX240" i="17"/>
  <c r="BY240" i="17"/>
  <c r="AA241" i="17"/>
  <c r="AB241" i="17"/>
  <c r="AC241" i="17"/>
  <c r="AD241" i="17"/>
  <c r="AE241" i="17"/>
  <c r="AF241" i="17"/>
  <c r="AG241" i="17"/>
  <c r="AH241" i="17"/>
  <c r="BW241" i="17"/>
  <c r="BX241" i="17"/>
  <c r="BY241" i="17"/>
  <c r="AA242" i="17"/>
  <c r="AB242" i="17"/>
  <c r="AC242" i="17"/>
  <c r="AD242" i="17"/>
  <c r="AE242" i="17"/>
  <c r="AF242" i="17"/>
  <c r="AG242" i="17"/>
  <c r="AH242" i="17"/>
  <c r="BW242" i="17"/>
  <c r="BX242" i="17"/>
  <c r="BY242" i="17"/>
  <c r="AA243" i="17"/>
  <c r="AB243" i="17"/>
  <c r="AC243" i="17"/>
  <c r="AD243" i="17"/>
  <c r="AE243" i="17"/>
  <c r="AF243" i="17"/>
  <c r="AG243" i="17"/>
  <c r="AH243" i="17"/>
  <c r="BW243" i="17"/>
  <c r="BX243" i="17"/>
  <c r="BY243" i="17"/>
  <c r="AA244" i="17"/>
  <c r="AB244" i="17"/>
  <c r="AC244" i="17"/>
  <c r="AD244" i="17"/>
  <c r="AE244" i="17"/>
  <c r="AF244" i="17"/>
  <c r="AG244" i="17"/>
  <c r="AH244" i="17"/>
  <c r="BW244" i="17"/>
  <c r="BX244" i="17"/>
  <c r="BY244" i="17"/>
  <c r="AA245" i="17"/>
  <c r="AB245" i="17"/>
  <c r="AC245" i="17"/>
  <c r="AD245" i="17"/>
  <c r="AE245" i="17"/>
  <c r="AF245" i="17"/>
  <c r="AG245" i="17"/>
  <c r="AH245" i="17"/>
  <c r="BW245" i="17"/>
  <c r="BX245" i="17"/>
  <c r="BY245" i="17"/>
  <c r="AA246" i="17"/>
  <c r="AB246" i="17"/>
  <c r="AC246" i="17"/>
  <c r="AD246" i="17"/>
  <c r="AE246" i="17"/>
  <c r="AF246" i="17"/>
  <c r="AG246" i="17"/>
  <c r="AH246" i="17"/>
  <c r="BW246" i="17"/>
  <c r="BX246" i="17"/>
  <c r="BY246" i="17"/>
  <c r="AA247" i="17"/>
  <c r="AB247" i="17"/>
  <c r="AC247" i="17"/>
  <c r="AD247" i="17"/>
  <c r="AE247" i="17"/>
  <c r="AF247" i="17"/>
  <c r="AG247" i="17"/>
  <c r="AH247" i="17"/>
  <c r="BW247" i="17"/>
  <c r="BX247" i="17"/>
  <c r="BY247" i="17"/>
  <c r="AA248" i="17"/>
  <c r="AB248" i="17"/>
  <c r="AC248" i="17"/>
  <c r="AD248" i="17"/>
  <c r="AE248" i="17"/>
  <c r="AF248" i="17"/>
  <c r="AG248" i="17"/>
  <c r="AH248" i="17"/>
  <c r="BW248" i="17"/>
  <c r="BX248" i="17"/>
  <c r="BY248" i="17"/>
  <c r="AA249" i="17"/>
  <c r="AB249" i="17"/>
  <c r="AC249" i="17"/>
  <c r="AD249" i="17"/>
  <c r="AE249" i="17"/>
  <c r="AF249" i="17"/>
  <c r="AG249" i="17"/>
  <c r="AH249" i="17"/>
  <c r="BW249" i="17"/>
  <c r="BX249" i="17"/>
  <c r="BY249" i="17"/>
  <c r="AA250" i="17"/>
  <c r="AB250" i="17"/>
  <c r="AC250" i="17"/>
  <c r="AD250" i="17"/>
  <c r="AE250" i="17"/>
  <c r="AF250" i="17"/>
  <c r="AG250" i="17"/>
  <c r="AH250" i="17"/>
  <c r="BW250" i="17"/>
  <c r="BX250" i="17"/>
  <c r="BY250" i="17"/>
  <c r="AA251" i="17"/>
  <c r="AB251" i="17"/>
  <c r="AC251" i="17"/>
  <c r="AD251" i="17"/>
  <c r="AE251" i="17"/>
  <c r="AF251" i="17"/>
  <c r="AG251" i="17"/>
  <c r="AH251" i="17"/>
  <c r="BW251" i="17"/>
  <c r="BX251" i="17"/>
  <c r="BY251" i="17"/>
  <c r="AA252" i="17"/>
  <c r="AB252" i="17"/>
  <c r="AC252" i="17"/>
  <c r="AD252" i="17"/>
  <c r="AE252" i="17"/>
  <c r="AF252" i="17"/>
  <c r="AG252" i="17"/>
  <c r="AH252" i="17"/>
  <c r="BW252" i="17"/>
  <c r="BX252" i="17"/>
  <c r="BY252" i="17"/>
  <c r="AA253" i="17"/>
  <c r="AB253" i="17"/>
  <c r="AC253" i="17"/>
  <c r="AD253" i="17"/>
  <c r="AE253" i="17"/>
  <c r="AF253" i="17"/>
  <c r="AG253" i="17"/>
  <c r="AH253" i="17"/>
  <c r="BW253" i="17"/>
  <c r="BX253" i="17"/>
  <c r="BY253" i="17"/>
  <c r="AA254" i="17"/>
  <c r="AB254" i="17"/>
  <c r="AC254" i="17"/>
  <c r="AD254" i="17"/>
  <c r="AE254" i="17"/>
  <c r="AF254" i="17"/>
  <c r="AG254" i="17"/>
  <c r="AH254" i="17"/>
  <c r="BW254" i="17"/>
  <c r="BX254" i="17"/>
  <c r="BY254" i="17"/>
  <c r="AA255" i="17"/>
  <c r="AB255" i="17"/>
  <c r="AC255" i="17"/>
  <c r="AD255" i="17"/>
  <c r="AE255" i="17"/>
  <c r="AF255" i="17"/>
  <c r="AG255" i="17"/>
  <c r="AH255" i="17"/>
  <c r="BW255" i="17"/>
  <c r="BX255" i="17"/>
  <c r="BY255" i="17"/>
  <c r="AA256" i="17"/>
  <c r="AB256" i="17"/>
  <c r="AC256" i="17"/>
  <c r="AD256" i="17"/>
  <c r="AE256" i="17"/>
  <c r="AF256" i="17"/>
  <c r="AG256" i="17"/>
  <c r="AH256" i="17"/>
  <c r="BW256" i="17"/>
  <c r="BX256" i="17"/>
  <c r="BY256" i="17"/>
  <c r="AA257" i="17"/>
  <c r="AB257" i="17"/>
  <c r="AC257" i="17"/>
  <c r="AD257" i="17"/>
  <c r="AE257" i="17"/>
  <c r="AF257" i="17"/>
  <c r="AG257" i="17"/>
  <c r="AH257" i="17"/>
  <c r="BW257" i="17"/>
  <c r="BX257" i="17"/>
  <c r="BY257" i="17"/>
  <c r="AA258" i="17"/>
  <c r="AB258" i="17"/>
  <c r="AC258" i="17"/>
  <c r="AD258" i="17"/>
  <c r="AE258" i="17"/>
  <c r="AF258" i="17"/>
  <c r="AG258" i="17"/>
  <c r="AH258" i="17"/>
  <c r="BW258" i="17"/>
  <c r="BX258" i="17"/>
  <c r="BY258" i="17"/>
  <c r="AA259" i="17"/>
  <c r="AB259" i="17"/>
  <c r="AC259" i="17"/>
  <c r="AD259" i="17"/>
  <c r="AE259" i="17"/>
  <c r="AF259" i="17"/>
  <c r="AG259" i="17"/>
  <c r="AH259" i="17"/>
  <c r="BW259" i="17"/>
  <c r="BX259" i="17"/>
  <c r="BY259" i="17"/>
  <c r="AA260" i="17"/>
  <c r="AB260" i="17"/>
  <c r="AC260" i="17"/>
  <c r="AD260" i="17"/>
  <c r="AE260" i="17"/>
  <c r="AF260" i="17"/>
  <c r="AG260" i="17"/>
  <c r="AH260" i="17"/>
  <c r="BW260" i="17"/>
  <c r="BX260" i="17"/>
  <c r="BY260" i="17"/>
  <c r="AA261" i="17"/>
  <c r="AB261" i="17"/>
  <c r="AC261" i="17"/>
  <c r="AD261" i="17"/>
  <c r="AE261" i="17"/>
  <c r="AF261" i="17"/>
  <c r="AG261" i="17"/>
  <c r="AH261" i="17"/>
  <c r="BW261" i="17"/>
  <c r="BX261" i="17"/>
  <c r="BY261" i="17"/>
  <c r="AA262" i="17"/>
  <c r="AB262" i="17"/>
  <c r="AC262" i="17"/>
  <c r="AD262" i="17"/>
  <c r="AE262" i="17"/>
  <c r="AF262" i="17"/>
  <c r="AG262" i="17"/>
  <c r="AH262" i="17"/>
  <c r="BW262" i="17"/>
  <c r="BX262" i="17"/>
  <c r="BY262" i="17"/>
  <c r="AA263" i="17"/>
  <c r="AB263" i="17"/>
  <c r="AC263" i="17"/>
  <c r="AD263" i="17"/>
  <c r="AE263" i="17"/>
  <c r="AF263" i="17"/>
  <c r="AG263" i="17"/>
  <c r="AH263" i="17"/>
  <c r="BW263" i="17"/>
  <c r="BX263" i="17"/>
  <c r="BY263" i="17"/>
  <c r="AA264" i="17"/>
  <c r="AB264" i="17"/>
  <c r="AC264" i="17"/>
  <c r="AD264" i="17"/>
  <c r="AE264" i="17"/>
  <c r="AF264" i="17"/>
  <c r="AG264" i="17"/>
  <c r="AH264" i="17"/>
  <c r="BW264" i="17"/>
  <c r="BX264" i="17"/>
  <c r="BY264" i="17"/>
  <c r="AA265" i="17"/>
  <c r="AB265" i="17"/>
  <c r="AC265" i="17"/>
  <c r="AD265" i="17"/>
  <c r="AE265" i="17"/>
  <c r="AF265" i="17"/>
  <c r="AG265" i="17"/>
  <c r="AH265" i="17"/>
  <c r="BW265" i="17"/>
  <c r="BX265" i="17"/>
  <c r="BY265" i="17"/>
  <c r="AA266" i="17"/>
  <c r="AB266" i="17"/>
  <c r="AC266" i="17"/>
  <c r="AD266" i="17"/>
  <c r="AE266" i="17"/>
  <c r="AF266" i="17"/>
  <c r="AG266" i="17"/>
  <c r="AH266" i="17"/>
  <c r="BW266" i="17"/>
  <c r="BX266" i="17"/>
  <c r="BY266" i="17"/>
  <c r="AA267" i="17"/>
  <c r="AB267" i="17"/>
  <c r="AC267" i="17"/>
  <c r="AD267" i="17"/>
  <c r="AE267" i="17"/>
  <c r="AF267" i="17"/>
  <c r="AG267" i="17"/>
  <c r="AH267" i="17"/>
  <c r="BW267" i="17"/>
  <c r="BX267" i="17"/>
  <c r="BY267" i="17"/>
  <c r="AA268" i="17"/>
  <c r="AB268" i="17"/>
  <c r="AC268" i="17"/>
  <c r="AD268" i="17"/>
  <c r="AE268" i="17"/>
  <c r="AF268" i="17"/>
  <c r="AG268" i="17"/>
  <c r="AH268" i="17"/>
  <c r="BW268" i="17"/>
  <c r="BX268" i="17"/>
  <c r="BY268" i="17"/>
  <c r="AA269" i="17"/>
  <c r="AB269" i="17"/>
  <c r="AC269" i="17"/>
  <c r="AD269" i="17"/>
  <c r="AE269" i="17"/>
  <c r="AF269" i="17"/>
  <c r="AG269" i="17"/>
  <c r="AH269" i="17"/>
  <c r="BW269" i="17"/>
  <c r="BX269" i="17"/>
  <c r="BY269" i="17"/>
  <c r="AA270" i="17"/>
  <c r="AQ270" i="17" s="1"/>
  <c r="AB270" i="17"/>
  <c r="AC270" i="17"/>
  <c r="AD270" i="17"/>
  <c r="AE270" i="17"/>
  <c r="AF270" i="17"/>
  <c r="AG270" i="17"/>
  <c r="AH270" i="17"/>
  <c r="BW270" i="17"/>
  <c r="BX270" i="17"/>
  <c r="BY270" i="17"/>
  <c r="AA271" i="17"/>
  <c r="AB271" i="17"/>
  <c r="AC271" i="17"/>
  <c r="AD271" i="17"/>
  <c r="AE271" i="17"/>
  <c r="AF271" i="17"/>
  <c r="AG271" i="17"/>
  <c r="AH271" i="17"/>
  <c r="BW271" i="17"/>
  <c r="BX271" i="17"/>
  <c r="BY271" i="17"/>
  <c r="AA272" i="17"/>
  <c r="AB272" i="17"/>
  <c r="AC272" i="17"/>
  <c r="AD272" i="17"/>
  <c r="AE272" i="17"/>
  <c r="AF272" i="17"/>
  <c r="AG272" i="17"/>
  <c r="AH272" i="17"/>
  <c r="BW272" i="17"/>
  <c r="BX272" i="17"/>
  <c r="BY272" i="17"/>
  <c r="AA273" i="17"/>
  <c r="AB273" i="17"/>
  <c r="AC273" i="17"/>
  <c r="AD273" i="17"/>
  <c r="AE273" i="17"/>
  <c r="AF273" i="17"/>
  <c r="AG273" i="17"/>
  <c r="AH273" i="17"/>
  <c r="BW273" i="17"/>
  <c r="BX273" i="17"/>
  <c r="BY273" i="17"/>
  <c r="AA274" i="17"/>
  <c r="AB274" i="17"/>
  <c r="AC274" i="17"/>
  <c r="AD274" i="17"/>
  <c r="AE274" i="17"/>
  <c r="AF274" i="17"/>
  <c r="AG274" i="17"/>
  <c r="AH274" i="17"/>
  <c r="BW274" i="17"/>
  <c r="BX274" i="17"/>
  <c r="BY274" i="17"/>
  <c r="AA275" i="17"/>
  <c r="AB275" i="17"/>
  <c r="AC275" i="17"/>
  <c r="AD275" i="17"/>
  <c r="AE275" i="17"/>
  <c r="AF275" i="17"/>
  <c r="AG275" i="17"/>
  <c r="AH275" i="17"/>
  <c r="BW275" i="17"/>
  <c r="BX275" i="17"/>
  <c r="BY275" i="17"/>
  <c r="AA276" i="17"/>
  <c r="AB276" i="17"/>
  <c r="AC276" i="17"/>
  <c r="AD276" i="17"/>
  <c r="AE276" i="17"/>
  <c r="AF276" i="17"/>
  <c r="AG276" i="17"/>
  <c r="AH276" i="17"/>
  <c r="BW276" i="17"/>
  <c r="BX276" i="17"/>
  <c r="BY276" i="17"/>
  <c r="AA277" i="17"/>
  <c r="AB277" i="17"/>
  <c r="AC277" i="17"/>
  <c r="AD277" i="17"/>
  <c r="AE277" i="17"/>
  <c r="AF277" i="17"/>
  <c r="AG277" i="17"/>
  <c r="AH277" i="17"/>
  <c r="BW277" i="17"/>
  <c r="BX277" i="17"/>
  <c r="BY277" i="17"/>
  <c r="AA278" i="17"/>
  <c r="AB278" i="17"/>
  <c r="AC278" i="17"/>
  <c r="AD278" i="17"/>
  <c r="AE278" i="17"/>
  <c r="AF278" i="17"/>
  <c r="AG278" i="17"/>
  <c r="AH278" i="17"/>
  <c r="AQ278" i="17"/>
  <c r="BW278" i="17"/>
  <c r="BX278" i="17"/>
  <c r="BY278" i="17"/>
  <c r="AA279" i="17"/>
  <c r="AB279" i="17"/>
  <c r="AC279" i="17"/>
  <c r="AD279" i="17"/>
  <c r="AE279" i="17"/>
  <c r="AF279" i="17"/>
  <c r="AG279" i="17"/>
  <c r="AH279" i="17"/>
  <c r="BW279" i="17"/>
  <c r="BX279" i="17"/>
  <c r="BY279" i="17"/>
  <c r="AA280" i="17"/>
  <c r="AB280" i="17"/>
  <c r="AC280" i="17"/>
  <c r="AS280" i="17" s="1"/>
  <c r="AD280" i="17"/>
  <c r="AE280" i="17"/>
  <c r="AF280" i="17"/>
  <c r="AG280" i="17"/>
  <c r="AH280" i="17"/>
  <c r="BW280" i="17"/>
  <c r="BX280" i="17"/>
  <c r="BY280" i="17"/>
  <c r="AA281" i="17"/>
  <c r="AB281" i="17"/>
  <c r="AC281" i="17"/>
  <c r="AD281" i="17"/>
  <c r="AE281" i="17"/>
  <c r="AF281" i="17"/>
  <c r="AG281" i="17"/>
  <c r="AH281" i="17"/>
  <c r="BW281" i="17"/>
  <c r="BX281" i="17"/>
  <c r="BY281" i="17"/>
  <c r="AA282" i="17"/>
  <c r="AB282" i="17"/>
  <c r="AC282" i="17"/>
  <c r="AD282" i="17"/>
  <c r="AE282" i="17"/>
  <c r="AF282" i="17"/>
  <c r="AG282" i="17"/>
  <c r="AH282" i="17"/>
  <c r="BW282" i="17"/>
  <c r="BX282" i="17"/>
  <c r="BY282" i="17"/>
  <c r="AA283" i="17"/>
  <c r="AB283" i="17"/>
  <c r="AC283" i="17"/>
  <c r="AD283" i="17"/>
  <c r="AE283" i="17"/>
  <c r="AF283" i="17"/>
  <c r="AG283" i="17"/>
  <c r="AH283" i="17"/>
  <c r="BW283" i="17"/>
  <c r="BX283" i="17"/>
  <c r="BY283" i="17"/>
  <c r="AA284" i="17"/>
  <c r="AB284" i="17"/>
  <c r="AC284" i="17"/>
  <c r="AD284" i="17"/>
  <c r="AE284" i="17"/>
  <c r="AF284" i="17"/>
  <c r="AG284" i="17"/>
  <c r="AH284" i="17"/>
  <c r="BW284" i="17"/>
  <c r="BX284" i="17"/>
  <c r="BY284" i="17"/>
  <c r="AA285" i="17"/>
  <c r="AB285" i="17"/>
  <c r="AC285" i="17"/>
  <c r="AD285" i="17"/>
  <c r="AE285" i="17"/>
  <c r="AF285" i="17"/>
  <c r="AG285" i="17"/>
  <c r="AH285" i="17"/>
  <c r="BW285" i="17"/>
  <c r="BX285" i="17"/>
  <c r="BY285" i="17"/>
  <c r="AA286" i="17"/>
  <c r="AB286" i="17"/>
  <c r="AC286" i="17"/>
  <c r="AD286" i="17"/>
  <c r="AE286" i="17"/>
  <c r="AF286" i="17"/>
  <c r="AG286" i="17"/>
  <c r="AH286" i="17"/>
  <c r="BW286" i="17"/>
  <c r="BX286" i="17"/>
  <c r="BY286" i="17"/>
  <c r="AA287" i="17"/>
  <c r="AB287" i="17"/>
  <c r="AC287" i="17"/>
  <c r="AD287" i="17"/>
  <c r="AE287" i="17"/>
  <c r="AF287" i="17"/>
  <c r="AG287" i="17"/>
  <c r="AH287" i="17"/>
  <c r="BW287" i="17"/>
  <c r="BX287" i="17"/>
  <c r="BY287" i="17"/>
  <c r="AA288" i="17"/>
  <c r="AB288" i="17"/>
  <c r="AC288" i="17"/>
  <c r="AD288" i="17"/>
  <c r="AE288" i="17"/>
  <c r="AF288" i="17"/>
  <c r="AG288" i="17"/>
  <c r="AH288" i="17"/>
  <c r="BW288" i="17"/>
  <c r="BX288" i="17"/>
  <c r="BY288" i="17"/>
  <c r="AA289" i="17"/>
  <c r="AB289" i="17"/>
  <c r="AC289" i="17"/>
  <c r="AD289" i="17"/>
  <c r="AE289" i="17"/>
  <c r="AF289" i="17"/>
  <c r="AG289" i="17"/>
  <c r="AH289" i="17"/>
  <c r="BW289" i="17"/>
  <c r="BX289" i="17"/>
  <c r="BY289" i="17"/>
  <c r="AA290" i="17"/>
  <c r="AB290" i="17"/>
  <c r="AC290" i="17"/>
  <c r="AD290" i="17"/>
  <c r="AE290" i="17"/>
  <c r="AF290" i="17"/>
  <c r="AG290" i="17"/>
  <c r="AH290" i="17"/>
  <c r="BW290" i="17"/>
  <c r="BX290" i="17"/>
  <c r="BY290" i="17"/>
  <c r="AA291" i="17"/>
  <c r="AB291" i="17"/>
  <c r="AC291" i="17"/>
  <c r="AD291" i="17"/>
  <c r="AE291" i="17"/>
  <c r="AF291" i="17"/>
  <c r="AG291" i="17"/>
  <c r="AH291" i="17"/>
  <c r="BW291" i="17"/>
  <c r="BX291" i="17"/>
  <c r="BY291" i="17"/>
  <c r="AA292" i="17"/>
  <c r="AB292" i="17"/>
  <c r="AC292" i="17"/>
  <c r="AD292" i="17"/>
  <c r="AE292" i="17"/>
  <c r="AF292" i="17"/>
  <c r="AG292" i="17"/>
  <c r="AH292" i="17"/>
  <c r="BW292" i="17"/>
  <c r="BX292" i="17"/>
  <c r="BY292" i="17"/>
  <c r="AA293" i="17"/>
  <c r="AB293" i="17"/>
  <c r="AC293" i="17"/>
  <c r="AD293" i="17"/>
  <c r="AE293" i="17"/>
  <c r="AF293" i="17"/>
  <c r="AG293" i="17"/>
  <c r="AH293" i="17"/>
  <c r="BW293" i="17"/>
  <c r="BX293" i="17"/>
  <c r="BY293" i="17"/>
  <c r="AA294" i="17"/>
  <c r="AB294" i="17"/>
  <c r="AC294" i="17"/>
  <c r="AD294" i="17"/>
  <c r="AE294" i="17"/>
  <c r="AF294" i="17"/>
  <c r="AG294" i="17"/>
  <c r="AH294" i="17"/>
  <c r="BW294" i="17"/>
  <c r="BX294" i="17"/>
  <c r="BY294" i="17"/>
  <c r="AA295" i="17"/>
  <c r="AB295" i="17"/>
  <c r="AC295" i="17"/>
  <c r="AD295" i="17"/>
  <c r="AE295" i="17"/>
  <c r="AF295" i="17"/>
  <c r="AG295" i="17"/>
  <c r="AH295" i="17"/>
  <c r="BW295" i="17"/>
  <c r="BX295" i="17"/>
  <c r="BY295" i="17"/>
  <c r="AA296" i="17"/>
  <c r="AB296" i="17"/>
  <c r="AC296" i="17"/>
  <c r="AD296" i="17"/>
  <c r="AE296" i="17"/>
  <c r="AF296" i="17"/>
  <c r="AG296" i="17"/>
  <c r="AH296" i="17"/>
  <c r="BW296" i="17"/>
  <c r="BX296" i="17"/>
  <c r="BY296" i="17"/>
  <c r="AA297" i="17"/>
  <c r="AB297" i="17"/>
  <c r="AC297" i="17"/>
  <c r="AD297" i="17"/>
  <c r="AE297" i="17"/>
  <c r="AF297" i="17"/>
  <c r="AG297" i="17"/>
  <c r="AH297" i="17"/>
  <c r="BW297" i="17"/>
  <c r="BX297" i="17"/>
  <c r="BY297" i="17"/>
  <c r="AA298" i="17"/>
  <c r="AB298" i="17"/>
  <c r="AC298" i="17"/>
  <c r="AD298" i="17"/>
  <c r="AE298" i="17"/>
  <c r="AF298" i="17"/>
  <c r="AG298" i="17"/>
  <c r="AH298" i="17"/>
  <c r="BW298" i="17"/>
  <c r="BX298" i="17"/>
  <c r="BY298" i="17"/>
  <c r="AA299" i="17"/>
  <c r="AB299" i="17"/>
  <c r="AC299" i="17"/>
  <c r="AD299" i="17"/>
  <c r="AE299" i="17"/>
  <c r="AF299" i="17"/>
  <c r="AG299" i="17"/>
  <c r="AH299" i="17"/>
  <c r="BW299" i="17"/>
  <c r="BX299" i="17"/>
  <c r="BY299" i="17"/>
  <c r="AA300" i="17"/>
  <c r="AB300" i="17"/>
  <c r="AC300" i="17"/>
  <c r="AD300" i="17"/>
  <c r="AE300" i="17"/>
  <c r="AF300" i="17"/>
  <c r="AG300" i="17"/>
  <c r="AH300" i="17"/>
  <c r="BW300" i="17"/>
  <c r="BX300" i="17"/>
  <c r="BY300" i="17"/>
  <c r="AA301" i="17"/>
  <c r="AB301" i="17"/>
  <c r="AC301" i="17"/>
  <c r="AD301" i="17"/>
  <c r="AE301" i="17"/>
  <c r="AF301" i="17"/>
  <c r="AG301" i="17"/>
  <c r="AH301" i="17"/>
  <c r="BW301" i="17"/>
  <c r="BX301" i="17"/>
  <c r="BY301" i="17"/>
  <c r="AA302" i="17"/>
  <c r="AB302" i="17"/>
  <c r="AC302" i="17"/>
  <c r="AD302" i="17"/>
  <c r="AE302" i="17"/>
  <c r="AF302" i="17"/>
  <c r="AG302" i="17"/>
  <c r="AH302" i="17"/>
  <c r="BW302" i="17"/>
  <c r="BX302" i="17"/>
  <c r="BY302" i="17"/>
  <c r="AA303" i="17"/>
  <c r="AB303" i="17"/>
  <c r="AC303" i="17"/>
  <c r="AD303" i="17"/>
  <c r="AE303" i="17"/>
  <c r="AF303" i="17"/>
  <c r="AG303" i="17"/>
  <c r="AH303" i="17"/>
  <c r="BW303" i="17"/>
  <c r="BX303" i="17"/>
  <c r="BY303" i="17"/>
  <c r="AA304" i="17"/>
  <c r="AB304" i="17"/>
  <c r="AC304" i="17"/>
  <c r="AD304" i="17"/>
  <c r="AE304" i="17"/>
  <c r="AF304" i="17"/>
  <c r="AG304" i="17"/>
  <c r="AH304" i="17"/>
  <c r="BW304" i="17"/>
  <c r="BX304" i="17"/>
  <c r="BY304" i="17"/>
  <c r="AA305" i="17"/>
  <c r="AB305" i="17"/>
  <c r="AC305" i="17"/>
  <c r="AD305" i="17"/>
  <c r="AE305" i="17"/>
  <c r="AF305" i="17"/>
  <c r="AG305" i="17"/>
  <c r="AH305" i="17"/>
  <c r="BW305" i="17"/>
  <c r="BX305" i="17"/>
  <c r="BY305" i="17"/>
  <c r="AA306" i="17"/>
  <c r="AB306" i="17"/>
  <c r="AC306" i="17"/>
  <c r="AD306" i="17"/>
  <c r="AE306" i="17"/>
  <c r="AF306" i="17"/>
  <c r="AG306" i="17"/>
  <c r="AH306" i="17"/>
  <c r="BW306" i="17"/>
  <c r="BX306" i="17"/>
  <c r="BY306" i="17"/>
  <c r="AA307" i="17"/>
  <c r="AB307" i="17"/>
  <c r="AC307" i="17"/>
  <c r="AD307" i="17"/>
  <c r="AE307" i="17"/>
  <c r="AF307" i="17"/>
  <c r="AG307" i="17"/>
  <c r="AH307" i="17"/>
  <c r="BW307" i="17"/>
  <c r="BX307" i="17"/>
  <c r="BY307" i="17"/>
  <c r="AA308" i="17"/>
  <c r="AB308" i="17"/>
  <c r="AC308" i="17"/>
  <c r="AD308" i="17"/>
  <c r="AE308" i="17"/>
  <c r="AF308" i="17"/>
  <c r="AG308" i="17"/>
  <c r="AH308" i="17"/>
  <c r="BW308" i="17"/>
  <c r="BX308" i="17"/>
  <c r="BY308" i="17"/>
  <c r="AA309" i="17"/>
  <c r="AB309" i="17"/>
  <c r="AC309" i="17"/>
  <c r="AD309" i="17"/>
  <c r="AE309" i="17"/>
  <c r="AF309" i="17"/>
  <c r="AG309" i="17"/>
  <c r="AH309" i="17"/>
  <c r="BW309" i="17"/>
  <c r="BX309" i="17"/>
  <c r="BY309" i="17"/>
  <c r="AA310" i="17"/>
  <c r="AB310" i="17"/>
  <c r="AC310" i="17"/>
  <c r="AD310" i="17"/>
  <c r="AE310" i="17"/>
  <c r="AF310" i="17"/>
  <c r="AG310" i="17"/>
  <c r="AH310" i="17"/>
  <c r="BW310" i="17"/>
  <c r="BX310" i="17"/>
  <c r="BY310" i="17"/>
  <c r="AA311" i="17"/>
  <c r="AB311" i="17"/>
  <c r="AC311" i="17"/>
  <c r="AD311" i="17"/>
  <c r="AE311" i="17"/>
  <c r="AF311" i="17"/>
  <c r="AG311" i="17"/>
  <c r="AH311" i="17"/>
  <c r="BW311" i="17"/>
  <c r="BX311" i="17"/>
  <c r="BY311" i="17"/>
  <c r="AA312" i="17"/>
  <c r="AB312" i="17"/>
  <c r="AC312" i="17"/>
  <c r="AD312" i="17"/>
  <c r="AE312" i="17"/>
  <c r="AF312" i="17"/>
  <c r="AG312" i="17"/>
  <c r="AH312" i="17"/>
  <c r="BW312" i="17"/>
  <c r="BX312" i="17"/>
  <c r="BY312" i="17"/>
  <c r="AA313" i="17"/>
  <c r="AB313" i="17"/>
  <c r="AC313" i="17"/>
  <c r="AD313" i="17"/>
  <c r="AE313" i="17"/>
  <c r="AF313" i="17"/>
  <c r="AG313" i="17"/>
  <c r="AH313" i="17"/>
  <c r="BW313" i="17"/>
  <c r="BX313" i="17"/>
  <c r="BY313" i="17"/>
  <c r="AA314" i="17"/>
  <c r="AB314" i="17"/>
  <c r="AC314" i="17"/>
  <c r="AD314" i="17"/>
  <c r="AE314" i="17"/>
  <c r="AF314" i="17"/>
  <c r="AG314" i="17"/>
  <c r="AH314" i="17"/>
  <c r="BW314" i="17"/>
  <c r="BX314" i="17"/>
  <c r="BY314" i="17"/>
  <c r="AA315" i="17"/>
  <c r="AB315" i="17"/>
  <c r="AC315" i="17"/>
  <c r="AD315" i="17"/>
  <c r="AE315" i="17"/>
  <c r="AF315" i="17"/>
  <c r="AG315" i="17"/>
  <c r="AH315" i="17"/>
  <c r="BW315" i="17"/>
  <c r="BX315" i="17"/>
  <c r="BY315" i="17"/>
  <c r="AA316" i="17"/>
  <c r="AB316" i="17"/>
  <c r="AC316" i="17"/>
  <c r="AD316" i="17"/>
  <c r="AE316" i="17"/>
  <c r="AF316" i="17"/>
  <c r="AG316" i="17"/>
  <c r="AH316" i="17"/>
  <c r="BW316" i="17"/>
  <c r="BX316" i="17"/>
  <c r="BY316" i="17"/>
  <c r="AA317" i="17"/>
  <c r="AB317" i="17"/>
  <c r="AC317" i="17"/>
  <c r="AD317" i="17"/>
  <c r="AE317" i="17"/>
  <c r="AF317" i="17"/>
  <c r="AG317" i="17"/>
  <c r="AH317" i="17"/>
  <c r="BW317" i="17"/>
  <c r="BX317" i="17"/>
  <c r="BY317" i="17"/>
  <c r="AA318" i="17"/>
  <c r="AB318" i="17"/>
  <c r="AC318" i="17"/>
  <c r="AD318" i="17"/>
  <c r="AE318" i="17"/>
  <c r="AF318" i="17"/>
  <c r="AG318" i="17"/>
  <c r="AH318" i="17"/>
  <c r="BW318" i="17"/>
  <c r="BX318" i="17"/>
  <c r="BY318" i="17"/>
  <c r="BW5" i="17"/>
  <c r="C48" i="32" s="1"/>
  <c r="AT63" i="17" l="1"/>
  <c r="S20" i="39"/>
  <c r="N20" i="39"/>
  <c r="AR49" i="17"/>
  <c r="AQ179" i="17"/>
  <c r="AQ155" i="17"/>
  <c r="AS126" i="17"/>
  <c r="AQ211" i="17"/>
  <c r="AQ116" i="17"/>
  <c r="V7" i="17"/>
  <c r="Z7" i="17"/>
  <c r="S7" i="17"/>
  <c r="U7" i="17"/>
  <c r="T7" i="17"/>
  <c r="W7" i="17"/>
  <c r="X7" i="17"/>
  <c r="Y7" i="17"/>
  <c r="AR262" i="17"/>
  <c r="AQ253" i="17"/>
  <c r="AT119" i="17"/>
  <c r="AQ205" i="17"/>
  <c r="AQ276" i="17"/>
  <c r="AQ268" i="17"/>
  <c r="AS239" i="17"/>
  <c r="AQ260" i="17"/>
  <c r="AQ50" i="17"/>
  <c r="AR229" i="17"/>
  <c r="AR308" i="17"/>
  <c r="AS261" i="17"/>
  <c r="AS222" i="17"/>
  <c r="AQ7" i="17"/>
  <c r="AY63" i="17"/>
  <c r="BG63" i="17" s="1"/>
  <c r="AR235" i="17"/>
  <c r="AQ209" i="17"/>
  <c r="AQ114" i="17"/>
  <c r="AQ106" i="17"/>
  <c r="AR131" i="17"/>
  <c r="AR54" i="17"/>
  <c r="AQ282" i="17"/>
  <c r="AQ145" i="17"/>
  <c r="AR162" i="17"/>
  <c r="AR194" i="17"/>
  <c r="AR154" i="17"/>
  <c r="AR307" i="17"/>
  <c r="AR302" i="17"/>
  <c r="AR10" i="17"/>
  <c r="AS241" i="17"/>
  <c r="AR240" i="17"/>
  <c r="AQ280" i="17"/>
  <c r="AR256" i="17"/>
  <c r="AS190" i="17"/>
  <c r="AQ124" i="17"/>
  <c r="AS234" i="17"/>
  <c r="AQ272" i="17"/>
  <c r="AR276" i="17"/>
  <c r="AR267" i="17"/>
  <c r="AR34" i="17"/>
  <c r="AR75" i="17"/>
  <c r="AQ35" i="17"/>
  <c r="AR282" i="17"/>
  <c r="AS313" i="17"/>
  <c r="AR285" i="17"/>
  <c r="AR252" i="17"/>
  <c r="AR216" i="17"/>
  <c r="BZ179" i="17"/>
  <c r="AS111" i="17"/>
  <c r="AS57" i="17"/>
  <c r="AS23" i="17"/>
  <c r="AR236" i="17"/>
  <c r="AS161" i="17"/>
  <c r="AQ127" i="17"/>
  <c r="AQ102" i="17"/>
  <c r="AS24" i="17"/>
  <c r="AS6" i="17"/>
  <c r="AR279" i="17"/>
  <c r="AR237" i="17"/>
  <c r="AQ144" i="17"/>
  <c r="AS59" i="17"/>
  <c r="AR42" i="17"/>
  <c r="AS25" i="17"/>
  <c r="AS8" i="17"/>
  <c r="AQ313" i="17"/>
  <c r="AR280" i="17"/>
  <c r="AQ254" i="17"/>
  <c r="AR238" i="17"/>
  <c r="AR97" i="17"/>
  <c r="AS26" i="17"/>
  <c r="AQ258" i="17"/>
  <c r="AS235" i="17"/>
  <c r="AS304" i="17"/>
  <c r="AR298" i="17"/>
  <c r="AR220" i="17"/>
  <c r="AR98" i="17"/>
  <c r="AS100" i="17"/>
  <c r="AS77" i="17"/>
  <c r="AR224" i="17"/>
  <c r="AR275" i="17"/>
  <c r="AS268" i="17"/>
  <c r="AQ11" i="17"/>
  <c r="AQ133" i="17"/>
  <c r="AS110" i="17"/>
  <c r="AS40" i="17"/>
  <c r="AS22" i="17"/>
  <c r="AQ310" i="17"/>
  <c r="AS314" i="17"/>
  <c r="AQ303" i="17"/>
  <c r="AS276" i="17"/>
  <c r="AQ252" i="17"/>
  <c r="AS230" i="17"/>
  <c r="AS170" i="17"/>
  <c r="AR115" i="17"/>
  <c r="AR17" i="17"/>
  <c r="AS180" i="17"/>
  <c r="AS152" i="17"/>
  <c r="AR151" i="17"/>
  <c r="AQ115" i="17"/>
  <c r="AS52" i="17"/>
  <c r="AQ41" i="17"/>
  <c r="AR18" i="17"/>
  <c r="AS316" i="17"/>
  <c r="AR315" i="17"/>
  <c r="AS307" i="17"/>
  <c r="AS224" i="17"/>
  <c r="AS205" i="17"/>
  <c r="AR196" i="17"/>
  <c r="AS181" i="17"/>
  <c r="AQ178" i="17"/>
  <c r="AR161" i="17"/>
  <c r="AR152" i="17"/>
  <c r="BZ72" i="17"/>
  <c r="AS70" i="17"/>
  <c r="AR19" i="17"/>
  <c r="AQ274" i="17"/>
  <c r="AQ263" i="17"/>
  <c r="AR316" i="17"/>
  <c r="AQ315" i="17"/>
  <c r="AR268" i="17"/>
  <c r="AR213" i="17"/>
  <c r="AR118" i="17"/>
  <c r="AQ117" i="17"/>
  <c r="AS54" i="17"/>
  <c r="AQ19" i="17"/>
  <c r="AS301" i="17"/>
  <c r="AR225" i="17"/>
  <c r="AR182" i="17"/>
  <c r="AR155" i="17"/>
  <c r="AQ118" i="17"/>
  <c r="AR80" i="17"/>
  <c r="AR310" i="17"/>
  <c r="AS272" i="17"/>
  <c r="AR271" i="17"/>
  <c r="AR183" i="17"/>
  <c r="AQ154" i="17"/>
  <c r="AR108" i="17"/>
  <c r="AR65" i="17"/>
  <c r="AT39" i="17"/>
  <c r="AS315" i="17"/>
  <c r="AR251" i="17"/>
  <c r="AR167" i="17"/>
  <c r="AS149" i="17"/>
  <c r="AR109" i="17"/>
  <c r="AQ14" i="17"/>
  <c r="AS295" i="17"/>
  <c r="CQ188" i="17"/>
  <c r="AS159" i="17"/>
  <c r="AS150" i="17"/>
  <c r="AR113" i="17"/>
  <c r="AR101" i="17"/>
  <c r="BZ9" i="17"/>
  <c r="AS259" i="17"/>
  <c r="AQ311" i="17"/>
  <c r="AS303" i="17"/>
  <c r="AQ300" i="17"/>
  <c r="AR255" i="17"/>
  <c r="AS226" i="17"/>
  <c r="BZ207" i="17"/>
  <c r="CA207" i="17" s="1"/>
  <c r="AR202" i="17"/>
  <c r="AT196" i="17"/>
  <c r="AS195" i="17"/>
  <c r="AR181" i="17"/>
  <c r="AR179" i="17"/>
  <c r="AQ139" i="17"/>
  <c r="AQ120" i="17"/>
  <c r="AQ95" i="17"/>
  <c r="AR81" i="17"/>
  <c r="AR69" i="17"/>
  <c r="AQ68" i="17"/>
  <c r="AS62" i="17"/>
  <c r="AR61" i="17"/>
  <c r="AQ60" i="17"/>
  <c r="AQ302" i="17"/>
  <c r="AQ301" i="17"/>
  <c r="AR244" i="17"/>
  <c r="AR227" i="17"/>
  <c r="AS213" i="17"/>
  <c r="AS204" i="17"/>
  <c r="AR203" i="17"/>
  <c r="CQ198" i="17"/>
  <c r="AS196" i="17"/>
  <c r="AQ183" i="17"/>
  <c r="AR171" i="17"/>
  <c r="AQ169" i="17"/>
  <c r="AS134" i="17"/>
  <c r="AQ121" i="17"/>
  <c r="AQ81" i="17"/>
  <c r="AU65" i="17"/>
  <c r="AQ61" i="17"/>
  <c r="AU50" i="17"/>
  <c r="AR32" i="17"/>
  <c r="CQ27" i="17"/>
  <c r="AS135" i="17"/>
  <c r="AS125" i="17"/>
  <c r="AS104" i="17"/>
  <c r="AQ97" i="17"/>
  <c r="AQ90" i="17"/>
  <c r="AS84" i="17"/>
  <c r="AQ82" i="17"/>
  <c r="AQ70" i="17"/>
  <c r="AS12" i="17"/>
  <c r="AS296" i="17"/>
  <c r="AR246" i="17"/>
  <c r="AT232" i="17"/>
  <c r="AS174" i="17"/>
  <c r="AR143" i="17"/>
  <c r="AS136" i="17"/>
  <c r="BZ108" i="17"/>
  <c r="BZ95" i="17"/>
  <c r="AQ83" i="17"/>
  <c r="AS74" i="17"/>
  <c r="AR35" i="17"/>
  <c r="AU16" i="17"/>
  <c r="AQ305" i="17"/>
  <c r="AS297" i="17"/>
  <c r="AR207" i="17"/>
  <c r="AQ187" i="17"/>
  <c r="BZ183" i="17"/>
  <c r="AS165" i="17"/>
  <c r="AR136" i="17"/>
  <c r="AS128" i="17"/>
  <c r="AS127" i="17"/>
  <c r="AS106" i="17"/>
  <c r="AS93" i="17"/>
  <c r="AQ91" i="17"/>
  <c r="AR66" i="17"/>
  <c r="AR50" i="17"/>
  <c r="AS42" i="17"/>
  <c r="AT26" i="17"/>
  <c r="AQ265" i="17"/>
  <c r="AS309" i="17"/>
  <c r="AS298" i="17"/>
  <c r="AS249" i="17"/>
  <c r="AR218" i="17"/>
  <c r="AR190" i="17"/>
  <c r="AQ189" i="17"/>
  <c r="AR175" i="17"/>
  <c r="AQ164" i="17"/>
  <c r="AR137" i="17"/>
  <c r="AS116" i="17"/>
  <c r="AS107" i="17"/>
  <c r="AS94" i="17"/>
  <c r="AS87" i="17"/>
  <c r="CQ70" i="17"/>
  <c r="BZ69" i="17"/>
  <c r="AR56" i="17"/>
  <c r="AS27" i="17"/>
  <c r="AS17" i="17"/>
  <c r="AQ261" i="17"/>
  <c r="AR221" i="17"/>
  <c r="AQ208" i="17"/>
  <c r="AQ175" i="17"/>
  <c r="AR138" i="17"/>
  <c r="AR129" i="17"/>
  <c r="AQ128" i="17"/>
  <c r="AR94" i="17"/>
  <c r="AS88" i="17"/>
  <c r="AS68" i="17"/>
  <c r="AS28" i="17"/>
  <c r="BZ7" i="17"/>
  <c r="BZ6" i="17"/>
  <c r="AQ299" i="17"/>
  <c r="AR283" i="17"/>
  <c r="AS251" i="17"/>
  <c r="AQ242" i="17"/>
  <c r="AR210" i="17"/>
  <c r="AS202" i="17"/>
  <c r="AQ200" i="17"/>
  <c r="AR130" i="17"/>
  <c r="AR120" i="17"/>
  <c r="AS96" i="17"/>
  <c r="AQ94" i="17"/>
  <c r="AQ78" i="17"/>
  <c r="AQ57" i="17"/>
  <c r="BZ55" i="17"/>
  <c r="AS31" i="17"/>
  <c r="AS30" i="17"/>
  <c r="AT205" i="17"/>
  <c r="AW15" i="17"/>
  <c r="AU79" i="17"/>
  <c r="AX64" i="17"/>
  <c r="AU64" i="17"/>
  <c r="AQ293" i="17"/>
  <c r="AS287" i="17"/>
  <c r="AQ285" i="17"/>
  <c r="AS253" i="17"/>
  <c r="AS248" i="17"/>
  <c r="AQ244" i="17"/>
  <c r="AT219" i="17"/>
  <c r="AR214" i="17"/>
  <c r="AQ207" i="17"/>
  <c r="AQ193" i="17"/>
  <c r="AQ177" i="17"/>
  <c r="AQ173" i="17"/>
  <c r="AS145" i="17"/>
  <c r="AR144" i="17"/>
  <c r="AQ140" i="17"/>
  <c r="AR125" i="17"/>
  <c r="AS118" i="17"/>
  <c r="AR44" i="17"/>
  <c r="AR36" i="17"/>
  <c r="AS35" i="17"/>
  <c r="AS21" i="17"/>
  <c r="AS20" i="17"/>
  <c r="AR318" i="17"/>
  <c r="AQ317" i="17"/>
  <c r="AQ316" i="17"/>
  <c r="AS288" i="17"/>
  <c r="AR265" i="17"/>
  <c r="AS255" i="17"/>
  <c r="AQ247" i="17"/>
  <c r="AQ246" i="17"/>
  <c r="AU237" i="17"/>
  <c r="AS228" i="17"/>
  <c r="AS218" i="17"/>
  <c r="AS216" i="17"/>
  <c r="AQ210" i="17"/>
  <c r="AQ202" i="17"/>
  <c r="BZ190" i="17"/>
  <c r="BZ182" i="17"/>
  <c r="CQ179" i="17"/>
  <c r="AU164" i="17"/>
  <c r="AS155" i="17"/>
  <c r="AS146" i="17"/>
  <c r="AQ134" i="17"/>
  <c r="AR116" i="17"/>
  <c r="CQ95" i="17"/>
  <c r="BZ88" i="17"/>
  <c r="BZ76" i="17"/>
  <c r="AS71" i="17"/>
  <c r="AU48" i="17"/>
  <c r="AR45" i="17"/>
  <c r="AR21" i="17"/>
  <c r="AR9" i="17"/>
  <c r="AS308" i="17"/>
  <c r="AR300" i="17"/>
  <c r="AQ318" i="17"/>
  <c r="AQ309" i="17"/>
  <c r="AQ307" i="17"/>
  <c r="AQ297" i="17"/>
  <c r="AQ295" i="17"/>
  <c r="AS271" i="17"/>
  <c r="AS267" i="17"/>
  <c r="AS257" i="17"/>
  <c r="AR249" i="17"/>
  <c r="AR223" i="17"/>
  <c r="AR222" i="17"/>
  <c r="AS220" i="17"/>
  <c r="AQ213" i="17"/>
  <c r="CQ190" i="17"/>
  <c r="BZ175" i="17"/>
  <c r="BZ169" i="17"/>
  <c r="AS154" i="17"/>
  <c r="BZ120" i="17"/>
  <c r="AS114" i="17"/>
  <c r="AS112" i="17"/>
  <c r="AS109" i="17"/>
  <c r="BZ77" i="17"/>
  <c r="AQ45" i="17"/>
  <c r="AS39" i="17"/>
  <c r="AQ20" i="17"/>
  <c r="AT16" i="17"/>
  <c r="AQ9" i="17"/>
  <c r="AR8" i="17"/>
  <c r="AR311" i="17"/>
  <c r="BZ302" i="17"/>
  <c r="AR289" i="17"/>
  <c r="AS275" i="17"/>
  <c r="AR272" i="17"/>
  <c r="AR258" i="17"/>
  <c r="AQ249" i="17"/>
  <c r="AR233" i="17"/>
  <c r="AQ218" i="17"/>
  <c r="AQ216" i="17"/>
  <c r="BZ208" i="17"/>
  <c r="BZ192" i="17"/>
  <c r="AQ156" i="17"/>
  <c r="AS148" i="17"/>
  <c r="AR114" i="17"/>
  <c r="AR111" i="17"/>
  <c r="AS82" i="17"/>
  <c r="AR72" i="17"/>
  <c r="AQ71" i="17"/>
  <c r="AR47" i="17"/>
  <c r="AR39" i="17"/>
  <c r="AQ25" i="17"/>
  <c r="AQ8" i="17"/>
  <c r="AQ6" i="17"/>
  <c r="BZ311" i="17"/>
  <c r="BZ300" i="17"/>
  <c r="AS279" i="17"/>
  <c r="AQ271" i="17"/>
  <c r="AQ267" i="17"/>
  <c r="BZ255" i="17"/>
  <c r="AS240" i="17"/>
  <c r="AR234" i="17"/>
  <c r="AQ220" i="17"/>
  <c r="BZ177" i="17"/>
  <c r="CQ173" i="17"/>
  <c r="AS168" i="17"/>
  <c r="AR158" i="17"/>
  <c r="AR148" i="17"/>
  <c r="AS141" i="17"/>
  <c r="BZ123" i="17"/>
  <c r="AQ113" i="17"/>
  <c r="AQ110" i="17"/>
  <c r="AQ99" i="17"/>
  <c r="AS95" i="17"/>
  <c r="AS90" i="17"/>
  <c r="AR86" i="17"/>
  <c r="AR84" i="17"/>
  <c r="AR83" i="17"/>
  <c r="AS76" i="17"/>
  <c r="AR73" i="17"/>
  <c r="AS64" i="17"/>
  <c r="AQ47" i="17"/>
  <c r="CQ32" i="17"/>
  <c r="CQ25" i="17"/>
  <c r="AS15" i="17"/>
  <c r="BA15" i="17" s="1"/>
  <c r="BI15" i="17" s="1"/>
  <c r="BZ13" i="17"/>
  <c r="AR301" i="17"/>
  <c r="BZ308" i="17"/>
  <c r="AS292" i="17"/>
  <c r="AQ275" i="17"/>
  <c r="AR260" i="17"/>
  <c r="AR242" i="17"/>
  <c r="AR241" i="17"/>
  <c r="AQ236" i="17"/>
  <c r="AR232" i="17"/>
  <c r="AS197" i="17"/>
  <c r="AS189" i="17"/>
  <c r="AR185" i="17"/>
  <c r="AS176" i="17"/>
  <c r="AS171" i="17"/>
  <c r="AS169" i="17"/>
  <c r="AR159" i="17"/>
  <c r="AQ158" i="17"/>
  <c r="AQ152" i="17"/>
  <c r="AQ148" i="17"/>
  <c r="AR141" i="17"/>
  <c r="AS129" i="17"/>
  <c r="AS122" i="17"/>
  <c r="AS121" i="17"/>
  <c r="AQ100" i="17"/>
  <c r="CQ97" i="17"/>
  <c r="AQ96" i="17"/>
  <c r="AR95" i="17"/>
  <c r="AQ86" i="17"/>
  <c r="AQ85" i="17"/>
  <c r="AR76" i="17"/>
  <c r="AR68" i="17"/>
  <c r="AQ48" i="17"/>
  <c r="AR15" i="17"/>
  <c r="AR317" i="17"/>
  <c r="AS305" i="17"/>
  <c r="AQ279" i="17"/>
  <c r="AR206" i="17"/>
  <c r="AR189" i="17"/>
  <c r="AR187" i="17"/>
  <c r="AS177" i="17"/>
  <c r="AR172" i="17"/>
  <c r="AR170" i="17"/>
  <c r="BZ165" i="17"/>
  <c r="AS123" i="17"/>
  <c r="AS120" i="17"/>
  <c r="BZ78" i="17"/>
  <c r="AQ75" i="17"/>
  <c r="AQ74" i="17"/>
  <c r="AQ62" i="17"/>
  <c r="AQ49" i="17"/>
  <c r="AU42" i="17"/>
  <c r="AS317" i="17"/>
  <c r="AS311" i="17"/>
  <c r="AS306" i="17"/>
  <c r="AQ304" i="17"/>
  <c r="AS299" i="17"/>
  <c r="AR293" i="17"/>
  <c r="AQ283" i="17"/>
  <c r="AS246" i="17"/>
  <c r="AU228" i="17"/>
  <c r="AR208" i="17"/>
  <c r="AS201" i="17"/>
  <c r="AQ190" i="17"/>
  <c r="AQ181" i="17"/>
  <c r="AQ180" i="17"/>
  <c r="AS178" i="17"/>
  <c r="AR177" i="17"/>
  <c r="AQ176" i="17"/>
  <c r="AR173" i="17"/>
  <c r="AQ172" i="17"/>
  <c r="CQ167" i="17"/>
  <c r="AR139" i="17"/>
  <c r="AS133" i="17"/>
  <c r="AR126" i="17"/>
  <c r="AS124" i="17"/>
  <c r="AR119" i="17"/>
  <c r="AQ77" i="17"/>
  <c r="AQ59" i="17"/>
  <c r="AS43" i="17"/>
  <c r="AS36" i="17"/>
  <c r="AT12" i="17"/>
  <c r="AT317" i="17"/>
  <c r="AR309" i="17"/>
  <c r="AU304" i="17"/>
  <c r="AQ298" i="17"/>
  <c r="AR297" i="17"/>
  <c r="AR296" i="17"/>
  <c r="AT291" i="17"/>
  <c r="AS290" i="17"/>
  <c r="AS289" i="17"/>
  <c r="AT287" i="17"/>
  <c r="AS286" i="17"/>
  <c r="AS285" i="17"/>
  <c r="AT283" i="17"/>
  <c r="AT275" i="17"/>
  <c r="AT274" i="17"/>
  <c r="AT267" i="17"/>
  <c r="AS266" i="17"/>
  <c r="AT265" i="17"/>
  <c r="AU258" i="17"/>
  <c r="BZ254" i="17"/>
  <c r="AQ250" i="17"/>
  <c r="AS247" i="17"/>
  <c r="AT245" i="17"/>
  <c r="AS243" i="17"/>
  <c r="AT242" i="17"/>
  <c r="AQ235" i="17"/>
  <c r="AU230" i="17"/>
  <c r="AT227" i="17"/>
  <c r="AV226" i="17"/>
  <c r="AQ221" i="17"/>
  <c r="AT220" i="17"/>
  <c r="AQ215" i="17"/>
  <c r="AX209" i="17"/>
  <c r="AR201" i="17"/>
  <c r="AQ194" i="17"/>
  <c r="AQ308" i="17"/>
  <c r="AR306" i="17"/>
  <c r="AT304" i="17"/>
  <c r="AQ296" i="17"/>
  <c r="AR295" i="17"/>
  <c r="AQ284" i="17"/>
  <c r="AS283" i="17"/>
  <c r="AS282" i="17"/>
  <c r="AT280" i="17"/>
  <c r="AS274" i="17"/>
  <c r="AT272" i="17"/>
  <c r="AR264" i="17"/>
  <c r="AR263" i="17"/>
  <c r="AQ262" i="17"/>
  <c r="AR259" i="17"/>
  <c r="AT258" i="17"/>
  <c r="AU257" i="17"/>
  <c r="AQ251" i="17"/>
  <c r="AR248" i="17"/>
  <c r="AR247" i="17"/>
  <c r="AT246" i="17"/>
  <c r="AS245" i="17"/>
  <c r="AT244" i="17"/>
  <c r="AS242" i="17"/>
  <c r="AT241" i="17"/>
  <c r="AU232" i="17"/>
  <c r="AT213" i="17"/>
  <c r="AS211" i="17"/>
  <c r="AU312" i="17"/>
  <c r="BZ310" i="17"/>
  <c r="AR305" i="17"/>
  <c r="AT303" i="17"/>
  <c r="AT302" i="17"/>
  <c r="BZ298" i="17"/>
  <c r="AR291" i="17"/>
  <c r="AQ290" i="17"/>
  <c r="AR287" i="17"/>
  <c r="BZ277" i="17"/>
  <c r="BZ276" i="17"/>
  <c r="AR274" i="17"/>
  <c r="BZ269" i="17"/>
  <c r="BZ268" i="17"/>
  <c r="AQ264" i="17"/>
  <c r="AQ259" i="17"/>
  <c r="AT257" i="17"/>
  <c r="AS244" i="17"/>
  <c r="AQ243" i="17"/>
  <c r="AT239" i="17"/>
  <c r="AQ233" i="17"/>
  <c r="AT226" i="17"/>
  <c r="AT225" i="17"/>
  <c r="AR212" i="17"/>
  <c r="AR211" i="17"/>
  <c r="AS210" i="17"/>
  <c r="BZ202" i="17"/>
  <c r="AT313" i="17"/>
  <c r="AT312" i="17"/>
  <c r="AR304" i="17"/>
  <c r="AT301" i="17"/>
  <c r="AT300" i="17"/>
  <c r="BZ294" i="17"/>
  <c r="AQ291" i="17"/>
  <c r="AQ281" i="17"/>
  <c r="AU279" i="17"/>
  <c r="AU277" i="17"/>
  <c r="AQ273" i="17"/>
  <c r="AU271" i="17"/>
  <c r="AU269" i="17"/>
  <c r="BZ247" i="17"/>
  <c r="AQ245" i="17"/>
  <c r="AT240" i="17"/>
  <c r="AV236" i="17"/>
  <c r="AR231" i="17"/>
  <c r="AQ229" i="17"/>
  <c r="AT224" i="17"/>
  <c r="AT223" i="17"/>
  <c r="AT217" i="17"/>
  <c r="AQ212" i="17"/>
  <c r="AR209" i="17"/>
  <c r="AS208" i="17"/>
  <c r="AT207" i="17"/>
  <c r="BZ194" i="17"/>
  <c r="AT182" i="17"/>
  <c r="BZ318" i="17"/>
  <c r="AR314" i="17"/>
  <c r="AS312" i="17"/>
  <c r="AR303" i="17"/>
  <c r="AT299" i="17"/>
  <c r="AT279" i="17"/>
  <c r="AT278" i="17"/>
  <c r="AT271" i="17"/>
  <c r="AT270" i="17"/>
  <c r="AQ256" i="17"/>
  <c r="AS254" i="17"/>
  <c r="AT253" i="17"/>
  <c r="AQ241" i="17"/>
  <c r="AR239" i="17"/>
  <c r="AU236" i="17"/>
  <c r="AQ231" i="17"/>
  <c r="AQ230" i="17"/>
  <c r="AQ219" i="17"/>
  <c r="AT218" i="17"/>
  <c r="AS207" i="17"/>
  <c r="AS206" i="17"/>
  <c r="BZ200" i="17"/>
  <c r="CQ200" i="17"/>
  <c r="AR184" i="17"/>
  <c r="AS183" i="17"/>
  <c r="AT316" i="17"/>
  <c r="AQ314" i="17"/>
  <c r="AR313" i="17"/>
  <c r="AT310" i="17"/>
  <c r="AT298" i="17"/>
  <c r="AS278" i="17"/>
  <c r="AT276" i="17"/>
  <c r="AS270" i="17"/>
  <c r="AT268" i="17"/>
  <c r="AR254" i="17"/>
  <c r="AT252" i="17"/>
  <c r="AT250" i="17"/>
  <c r="AQ238" i="17"/>
  <c r="AQ237" i="17"/>
  <c r="AT236" i="17"/>
  <c r="AT235" i="17"/>
  <c r="BZ232" i="17"/>
  <c r="AQ226" i="17"/>
  <c r="AQ225" i="17"/>
  <c r="AT222" i="17"/>
  <c r="AT221" i="17"/>
  <c r="AT215" i="17"/>
  <c r="AV214" i="17"/>
  <c r="AT203" i="17"/>
  <c r="AU198" i="17"/>
  <c r="AS187" i="17"/>
  <c r="AU318" i="17"/>
  <c r="BZ316" i="17"/>
  <c r="AS310" i="17"/>
  <c r="AR299" i="17"/>
  <c r="AT297" i="17"/>
  <c r="BZ290" i="17"/>
  <c r="AT284" i="17"/>
  <c r="BZ281" i="17"/>
  <c r="BZ280" i="17"/>
  <c r="AR278" i="17"/>
  <c r="BZ273" i="17"/>
  <c r="BZ272" i="17"/>
  <c r="AR270" i="17"/>
  <c r="AU263" i="17"/>
  <c r="AT262" i="17"/>
  <c r="AU261" i="17"/>
  <c r="AS252" i="17"/>
  <c r="AT251" i="17"/>
  <c r="BZ240" i="17"/>
  <c r="AU234" i="17"/>
  <c r="BZ227" i="17"/>
  <c r="AQ224" i="17"/>
  <c r="AQ223" i="17"/>
  <c r="AQ217" i="17"/>
  <c r="AT216" i="17"/>
  <c r="CQ212" i="17"/>
  <c r="BZ210" i="17"/>
  <c r="AQ206" i="17"/>
  <c r="AS203" i="17"/>
  <c r="AR191" i="17"/>
  <c r="AT178" i="17"/>
  <c r="AT318" i="17"/>
  <c r="AT307" i="17"/>
  <c r="AT306" i="17"/>
  <c r="AT295" i="17"/>
  <c r="AX293" i="17"/>
  <c r="AT293" i="17"/>
  <c r="AT292" i="17"/>
  <c r="AU291" i="17"/>
  <c r="AT290" i="17"/>
  <c r="AU287" i="17"/>
  <c r="AT286" i="17"/>
  <c r="AS284" i="17"/>
  <c r="AU281" i="17"/>
  <c r="AQ277" i="17"/>
  <c r="AU275" i="17"/>
  <c r="AU273" i="17"/>
  <c r="AQ269" i="17"/>
  <c r="AU267" i="17"/>
  <c r="AT264" i="17"/>
  <c r="AT263" i="17"/>
  <c r="AT261" i="17"/>
  <c r="AR250" i="17"/>
  <c r="AT249" i="17"/>
  <c r="AT248" i="17"/>
  <c r="AT234" i="17"/>
  <c r="BZ230" i="17"/>
  <c r="AT214" i="17"/>
  <c r="CQ206" i="17"/>
  <c r="AR204" i="17"/>
  <c r="AR193" i="17"/>
  <c r="AQ192" i="17"/>
  <c r="AQ188" i="17"/>
  <c r="AS179" i="17"/>
  <c r="AT204" i="17"/>
  <c r="CQ202" i="17"/>
  <c r="AT200" i="17"/>
  <c r="AT199" i="17"/>
  <c r="AR192" i="17"/>
  <c r="BZ189" i="17"/>
  <c r="AR188" i="17"/>
  <c r="AT186" i="17"/>
  <c r="AU182" i="17"/>
  <c r="AT179" i="17"/>
  <c r="AT169" i="17"/>
  <c r="AU168" i="17"/>
  <c r="BZ167" i="17"/>
  <c r="CQ165" i="17"/>
  <c r="BZ164" i="17"/>
  <c r="BZ163" i="17"/>
  <c r="AS153" i="17"/>
  <c r="AQ146" i="17"/>
  <c r="AQ141" i="17"/>
  <c r="BZ137" i="17"/>
  <c r="BZ134" i="17"/>
  <c r="AU129" i="17"/>
  <c r="BZ127" i="17"/>
  <c r="AT124" i="17"/>
  <c r="AV118" i="17"/>
  <c r="BZ115" i="17"/>
  <c r="AT114" i="17"/>
  <c r="AT109" i="17"/>
  <c r="BZ105" i="17"/>
  <c r="AT95" i="17"/>
  <c r="AR85" i="17"/>
  <c r="AQ76" i="17"/>
  <c r="AS73" i="17"/>
  <c r="BZ70" i="17"/>
  <c r="BZ68" i="17"/>
  <c r="AT64" i="17"/>
  <c r="BZ61" i="17"/>
  <c r="AQ56" i="17"/>
  <c r="AR53" i="17"/>
  <c r="AT45" i="17"/>
  <c r="AT44" i="17"/>
  <c r="CQ29" i="17"/>
  <c r="AQ28" i="17"/>
  <c r="AT175" i="17"/>
  <c r="AU174" i="17"/>
  <c r="AT168" i="17"/>
  <c r="AT166" i="17"/>
  <c r="AT163" i="17"/>
  <c r="AR153" i="17"/>
  <c r="AQ143" i="17"/>
  <c r="AT140" i="17"/>
  <c r="AQ130" i="17"/>
  <c r="AT129" i="17"/>
  <c r="AT123" i="17"/>
  <c r="AT122" i="17"/>
  <c r="AU118" i="17"/>
  <c r="AT98" i="17"/>
  <c r="AT92" i="17"/>
  <c r="AT91" i="17"/>
  <c r="AT82" i="17"/>
  <c r="AR74" i="17"/>
  <c r="AS72" i="17"/>
  <c r="AT71" i="17"/>
  <c r="AQ54" i="17"/>
  <c r="AS45" i="17"/>
  <c r="AT36" i="17"/>
  <c r="AR25" i="17"/>
  <c r="AQ17" i="17"/>
  <c r="AQ201" i="17"/>
  <c r="AR200" i="17"/>
  <c r="AS198" i="17"/>
  <c r="CQ194" i="17"/>
  <c r="AQ184" i="17"/>
  <c r="AS182" i="17"/>
  <c r="CQ175" i="17"/>
  <c r="AS175" i="17"/>
  <c r="AT174" i="17"/>
  <c r="BZ172" i="17"/>
  <c r="AQ170" i="17"/>
  <c r="AR169" i="17"/>
  <c r="AT167" i="17"/>
  <c r="AT165" i="17"/>
  <c r="AT164" i="17"/>
  <c r="AS163" i="17"/>
  <c r="AT160" i="17"/>
  <c r="AT152" i="17"/>
  <c r="AT139" i="17"/>
  <c r="AT138" i="17"/>
  <c r="AT137" i="17"/>
  <c r="AT128" i="17"/>
  <c r="AR124" i="17"/>
  <c r="AT121" i="17"/>
  <c r="AT118" i="17"/>
  <c r="AT112" i="17"/>
  <c r="AU108" i="17"/>
  <c r="AT94" i="17"/>
  <c r="AT93" i="17"/>
  <c r="AS91" i="17"/>
  <c r="AT89" i="17"/>
  <c r="AT88" i="17"/>
  <c r="AV87" i="17"/>
  <c r="AQ84" i="17"/>
  <c r="CQ76" i="17"/>
  <c r="AQ73" i="17"/>
  <c r="AT62" i="17"/>
  <c r="AT43" i="17"/>
  <c r="AQ37" i="17"/>
  <c r="BZ33" i="17"/>
  <c r="AQ23" i="17"/>
  <c r="BZ18" i="17"/>
  <c r="AQ16" i="17"/>
  <c r="AQ199" i="17"/>
  <c r="AU195" i="17"/>
  <c r="BZ193" i="17"/>
  <c r="AT190" i="17"/>
  <c r="CQ171" i="17"/>
  <c r="AR168" i="17"/>
  <c r="AS167" i="17"/>
  <c r="AR163" i="17"/>
  <c r="AT161" i="17"/>
  <c r="BZ156" i="17"/>
  <c r="AT150" i="17"/>
  <c r="AT149" i="17"/>
  <c r="BZ143" i="17"/>
  <c r="AS138" i="17"/>
  <c r="AS137" i="17"/>
  <c r="AT136" i="17"/>
  <c r="AU132" i="17"/>
  <c r="AR122" i="17"/>
  <c r="AT108" i="17"/>
  <c r="AT107" i="17"/>
  <c r="AT105" i="17"/>
  <c r="AT104" i="17"/>
  <c r="AT103" i="17"/>
  <c r="AT101" i="17"/>
  <c r="AT97" i="17"/>
  <c r="AR91" i="17"/>
  <c r="AU87" i="17"/>
  <c r="AS80" i="17"/>
  <c r="AT78" i="17"/>
  <c r="AQ72" i="17"/>
  <c r="AR71" i="17"/>
  <c r="AT70" i="17"/>
  <c r="AT69" i="17"/>
  <c r="BF65" i="17"/>
  <c r="BN65" i="17" s="1"/>
  <c r="AV65" i="17"/>
  <c r="AU61" i="17"/>
  <c r="AT60" i="17"/>
  <c r="AQ44" i="17"/>
  <c r="AT42" i="17"/>
  <c r="AU41" i="17"/>
  <c r="AT33" i="17"/>
  <c r="AT31" i="17"/>
  <c r="AV14" i="17"/>
  <c r="BZ11" i="17"/>
  <c r="AQ203" i="17"/>
  <c r="AT202" i="17"/>
  <c r="AQ198" i="17"/>
  <c r="AT195" i="17"/>
  <c r="BZ188" i="17"/>
  <c r="BZ170" i="17"/>
  <c r="CQ169" i="17"/>
  <c r="AQ168" i="17"/>
  <c r="AR165" i="17"/>
  <c r="AQ163" i="17"/>
  <c r="AT159" i="17"/>
  <c r="AT147" i="17"/>
  <c r="AT134" i="17"/>
  <c r="AT132" i="17"/>
  <c r="AR128" i="17"/>
  <c r="AT127" i="17"/>
  <c r="AT126" i="17"/>
  <c r="AQ122" i="17"/>
  <c r="AT116" i="17"/>
  <c r="AT111" i="17"/>
  <c r="AS103" i="17"/>
  <c r="AW100" i="17"/>
  <c r="AT96" i="17"/>
  <c r="AR93" i="17"/>
  <c r="AR89" i="17"/>
  <c r="AR88" i="17"/>
  <c r="AT87" i="17"/>
  <c r="BZ84" i="17"/>
  <c r="AQ79" i="17"/>
  <c r="AT77" i="17"/>
  <c r="AS69" i="17"/>
  <c r="BZ67" i="17"/>
  <c r="AT59" i="17"/>
  <c r="AT41" i="17"/>
  <c r="AV40" i="17"/>
  <c r="AT35" i="17"/>
  <c r="AS33" i="17"/>
  <c r="AT30" i="17"/>
  <c r="BZ25" i="17"/>
  <c r="AT19" i="17"/>
  <c r="BZ16" i="17"/>
  <c r="AT13" i="17"/>
  <c r="CQ9" i="17"/>
  <c r="AS7" i="17"/>
  <c r="CQ204" i="17"/>
  <c r="AT189" i="17"/>
  <c r="CQ177" i="17"/>
  <c r="AT177" i="17"/>
  <c r="AT172" i="17"/>
  <c r="AQ167" i="17"/>
  <c r="AQ165" i="17"/>
  <c r="AQ160" i="17"/>
  <c r="AT158" i="17"/>
  <c r="AT157" i="17"/>
  <c r="AT156" i="17"/>
  <c r="AR149" i="17"/>
  <c r="AS147" i="17"/>
  <c r="AT146" i="17"/>
  <c r="AT145" i="17"/>
  <c r="AT142" i="17"/>
  <c r="AQ138" i="17"/>
  <c r="AQ137" i="17"/>
  <c r="AR135" i="17"/>
  <c r="AT133" i="17"/>
  <c r="AU131" i="17"/>
  <c r="AT120" i="17"/>
  <c r="AR105" i="17"/>
  <c r="AR103" i="17"/>
  <c r="AR102" i="17"/>
  <c r="AV100" i="17"/>
  <c r="AT86" i="17"/>
  <c r="AQ80" i="17"/>
  <c r="AT76" i="17"/>
  <c r="AR70" i="17"/>
  <c r="AT68" i="17"/>
  <c r="AT65" i="17"/>
  <c r="AS58" i="17"/>
  <c r="AT57" i="17"/>
  <c r="AT55" i="17"/>
  <c r="AT51" i="17"/>
  <c r="BZ45" i="17"/>
  <c r="AS41" i="17"/>
  <c r="AU40" i="17"/>
  <c r="AT27" i="17"/>
  <c r="AT14" i="17"/>
  <c r="AS13" i="17"/>
  <c r="AR7" i="17"/>
  <c r="AT194" i="17"/>
  <c r="AT192" i="17"/>
  <c r="AU191" i="17"/>
  <c r="AT188" i="17"/>
  <c r="AT176" i="17"/>
  <c r="AS156" i="17"/>
  <c r="AT155" i="17"/>
  <c r="AQ150" i="17"/>
  <c r="AT143" i="17"/>
  <c r="AS142" i="17"/>
  <c r="AQ136" i="17"/>
  <c r="AQ135" i="17"/>
  <c r="AR134" i="17"/>
  <c r="AT131" i="17"/>
  <c r="AT130" i="17"/>
  <c r="AU125" i="17"/>
  <c r="AQ108" i="17"/>
  <c r="AQ107" i="17"/>
  <c r="AR106" i="17"/>
  <c r="AQ105" i="17"/>
  <c r="AR96" i="17"/>
  <c r="CQ87" i="17"/>
  <c r="AS86" i="17"/>
  <c r="AT85" i="17"/>
  <c r="AR77" i="17"/>
  <c r="AT75" i="17"/>
  <c r="CQ72" i="17"/>
  <c r="BZ71" i="17"/>
  <c r="BZ62" i="17"/>
  <c r="AS56" i="17"/>
  <c r="AT54" i="17"/>
  <c r="AT53" i="17"/>
  <c r="AT52" i="17"/>
  <c r="AT49" i="17"/>
  <c r="AT48" i="17"/>
  <c r="AU46" i="17"/>
  <c r="AR41" i="17"/>
  <c r="AT40" i="17"/>
  <c r="AU37" i="17"/>
  <c r="BZ20" i="17"/>
  <c r="AS18" i="17"/>
  <c r="CQ7" i="17"/>
  <c r="AU199" i="17"/>
  <c r="AS194" i="17"/>
  <c r="AS192" i="17"/>
  <c r="AT191" i="17"/>
  <c r="AS188" i="17"/>
  <c r="AT184" i="17"/>
  <c r="CQ181" i="17"/>
  <c r="BZ173" i="17"/>
  <c r="AT170" i="17"/>
  <c r="AR157" i="17"/>
  <c r="AT153" i="17"/>
  <c r="AR145" i="17"/>
  <c r="AR142" i="17"/>
  <c r="AR133" i="17"/>
  <c r="AS131" i="17"/>
  <c r="AQ126" i="17"/>
  <c r="AT125" i="17"/>
  <c r="BZ122" i="17"/>
  <c r="CQ120" i="17"/>
  <c r="AT100" i="17"/>
  <c r="AT99" i="17"/>
  <c r="AT84" i="17"/>
  <c r="AS75" i="17"/>
  <c r="AT74" i="17"/>
  <c r="AT73" i="17"/>
  <c r="BA63" i="17"/>
  <c r="BI63" i="17" s="1"/>
  <c r="AQ58" i="17"/>
  <c r="AT47" i="17"/>
  <c r="AT46" i="17"/>
  <c r="AT24" i="17"/>
  <c r="AT23" i="17"/>
  <c r="AY15" i="17"/>
  <c r="BG15" i="17" s="1"/>
  <c r="AR14" i="17"/>
  <c r="AR11" i="17"/>
  <c r="AW205" i="17"/>
  <c r="AU57" i="17"/>
  <c r="AX238" i="17"/>
  <c r="BF141" i="17"/>
  <c r="BN141" i="17" s="1"/>
  <c r="AV154" i="17"/>
  <c r="AX44" i="17"/>
  <c r="AV265" i="17"/>
  <c r="AV264" i="17"/>
  <c r="AV158" i="17"/>
  <c r="AX108" i="17"/>
  <c r="AU59" i="17"/>
  <c r="AU141" i="17"/>
  <c r="AV132" i="17"/>
  <c r="AW16" i="17"/>
  <c r="BC15" i="17"/>
  <c r="BK15" i="17" s="1"/>
  <c r="AT266" i="17"/>
  <c r="AW209" i="17"/>
  <c r="AU193" i="17"/>
  <c r="AV260" i="17"/>
  <c r="AV52" i="17"/>
  <c r="AT255" i="17"/>
  <c r="AV257" i="17"/>
  <c r="BD141" i="17"/>
  <c r="BL141" i="17" s="1"/>
  <c r="AV318" i="17"/>
  <c r="AX236" i="17"/>
  <c r="AX226" i="17"/>
  <c r="AT141" i="17"/>
  <c r="BE65" i="17"/>
  <c r="BM65" i="17" s="1"/>
  <c r="AX50" i="17"/>
  <c r="AU32" i="17"/>
  <c r="AX55" i="17"/>
  <c r="AV156" i="17"/>
  <c r="AX91" i="17"/>
  <c r="AT289" i="17"/>
  <c r="AW211" i="17"/>
  <c r="AV186" i="17"/>
  <c r="AU63" i="17"/>
  <c r="AV54" i="17"/>
  <c r="AV263" i="17"/>
  <c r="AU300" i="17"/>
  <c r="AU298" i="17"/>
  <c r="AV310" i="17"/>
  <c r="AU310" i="17"/>
  <c r="AU308" i="17"/>
  <c r="AV316" i="17"/>
  <c r="AU316" i="17"/>
  <c r="AV302" i="17"/>
  <c r="AU302" i="17"/>
  <c r="AU306" i="17"/>
  <c r="BZ309" i="17"/>
  <c r="BZ315" i="17"/>
  <c r="AT309" i="17"/>
  <c r="BZ306" i="17"/>
  <c r="AR290" i="17"/>
  <c r="AW269" i="17"/>
  <c r="AV269" i="17"/>
  <c r="AU262" i="17"/>
  <c r="AS318" i="17"/>
  <c r="AT315" i="17"/>
  <c r="AU314" i="17"/>
  <c r="BZ312" i="17"/>
  <c r="AR312" i="17"/>
  <c r="AT308" i="17"/>
  <c r="AQ306" i="17"/>
  <c r="BZ305" i="17"/>
  <c r="AS302" i="17"/>
  <c r="AS300" i="17"/>
  <c r="AU296" i="17"/>
  <c r="AS291" i="17"/>
  <c r="AV273" i="17"/>
  <c r="AT314" i="17"/>
  <c r="AQ312" i="17"/>
  <c r="AT305" i="17"/>
  <c r="AT296" i="17"/>
  <c r="AX277" i="17"/>
  <c r="AV277" i="17"/>
  <c r="BZ317" i="17"/>
  <c r="AT311" i="17"/>
  <c r="AT288" i="17"/>
  <c r="AW281" i="17"/>
  <c r="AV281" i="17"/>
  <c r="BZ314" i="17"/>
  <c r="BZ307" i="17"/>
  <c r="BZ296" i="17"/>
  <c r="AS293" i="17"/>
  <c r="AQ289" i="17"/>
  <c r="AQ287" i="17"/>
  <c r="AQ286" i="17"/>
  <c r="BZ313" i="17"/>
  <c r="BZ304" i="17"/>
  <c r="AR288" i="17"/>
  <c r="AU285" i="17"/>
  <c r="CQ294" i="17"/>
  <c r="AQ288" i="17"/>
  <c r="AT285" i="17"/>
  <c r="AR286" i="17"/>
  <c r="AR266" i="17"/>
  <c r="AS264" i="17"/>
  <c r="AV256" i="17"/>
  <c r="AU256" i="17"/>
  <c r="AQ248" i="17"/>
  <c r="AU240" i="17"/>
  <c r="AW236" i="17"/>
  <c r="AX230" i="17"/>
  <c r="AW230" i="17"/>
  <c r="AV222" i="17"/>
  <c r="AX222" i="17"/>
  <c r="AV218" i="17"/>
  <c r="AX218" i="17"/>
  <c r="AU203" i="17"/>
  <c r="AR284" i="17"/>
  <c r="AS256" i="17"/>
  <c r="AT247" i="17"/>
  <c r="AQ232" i="17"/>
  <c r="AW226" i="17"/>
  <c r="AT281" i="17"/>
  <c r="AT277" i="17"/>
  <c r="AT273" i="17"/>
  <c r="AT269" i="17"/>
  <c r="BZ266" i="17"/>
  <c r="AS262" i="17"/>
  <c r="AX239" i="17"/>
  <c r="AU239" i="17"/>
  <c r="AV237" i="17"/>
  <c r="AX237" i="17"/>
  <c r="AT237" i="17"/>
  <c r="AU231" i="17"/>
  <c r="AU283" i="17"/>
  <c r="AS281" i="17"/>
  <c r="BZ279" i="17"/>
  <c r="BZ278" i="17"/>
  <c r="AS277" i="17"/>
  <c r="BZ275" i="17"/>
  <c r="BZ274" i="17"/>
  <c r="AS273" i="17"/>
  <c r="BZ271" i="17"/>
  <c r="BZ270" i="17"/>
  <c r="AS269" i="17"/>
  <c r="BZ267" i="17"/>
  <c r="AR261" i="17"/>
  <c r="AQ255" i="17"/>
  <c r="AS250" i="17"/>
  <c r="AQ234" i="17"/>
  <c r="AS231" i="17"/>
  <c r="AQ227" i="17"/>
  <c r="BZ287" i="17"/>
  <c r="AR281" i="17"/>
  <c r="AV279" i="17"/>
  <c r="AR277" i="17"/>
  <c r="AV275" i="17"/>
  <c r="AR273" i="17"/>
  <c r="AV271" i="17"/>
  <c r="AR269" i="17"/>
  <c r="AV267" i="17"/>
  <c r="AT254" i="17"/>
  <c r="AU253" i="17"/>
  <c r="AU238" i="17"/>
  <c r="BZ285" i="17"/>
  <c r="AT282" i="17"/>
  <c r="AQ266" i="17"/>
  <c r="AR243" i="17"/>
  <c r="AV232" i="17"/>
  <c r="AX232" i="17"/>
  <c r="BZ283" i="17"/>
  <c r="AU260" i="17"/>
  <c r="AU259" i="17"/>
  <c r="AR253" i="17"/>
  <c r="AR245" i="17"/>
  <c r="AS233" i="17"/>
  <c r="AV230" i="17"/>
  <c r="AX228" i="17"/>
  <c r="AV228" i="17"/>
  <c r="AT260" i="17"/>
  <c r="AQ257" i="17"/>
  <c r="AV255" i="17"/>
  <c r="AX255" i="17"/>
  <c r="AV235" i="17"/>
  <c r="AU235" i="17"/>
  <c r="AV234" i="17"/>
  <c r="AX234" i="17"/>
  <c r="BZ250" i="17"/>
  <c r="AT238" i="17"/>
  <c r="AU233" i="17"/>
  <c r="AU217" i="17"/>
  <c r="AT259" i="17"/>
  <c r="BZ257" i="17"/>
  <c r="AR257" i="17"/>
  <c r="AT256" i="17"/>
  <c r="AT233" i="17"/>
  <c r="AT231" i="17"/>
  <c r="AU229" i="17"/>
  <c r="AQ228" i="17"/>
  <c r="AV221" i="17"/>
  <c r="AU221" i="17"/>
  <c r="AU207" i="17"/>
  <c r="AW207" i="17"/>
  <c r="AS260" i="17"/>
  <c r="BZ252" i="17"/>
  <c r="BZ249" i="17"/>
  <c r="BZ244" i="17"/>
  <c r="BZ242" i="17"/>
  <c r="AR230" i="17"/>
  <c r="AT229" i="17"/>
  <c r="AV216" i="17"/>
  <c r="AX216" i="17"/>
  <c r="BZ260" i="17"/>
  <c r="BZ256" i="17"/>
  <c r="AW238" i="17"/>
  <c r="BZ233" i="17"/>
  <c r="BZ231" i="17"/>
  <c r="BZ229" i="17"/>
  <c r="AR228" i="17"/>
  <c r="AV220" i="17"/>
  <c r="AX220" i="17"/>
  <c r="AV215" i="17"/>
  <c r="AU215" i="17"/>
  <c r="AV261" i="17"/>
  <c r="AU255" i="17"/>
  <c r="BZ253" i="17"/>
  <c r="BZ251" i="17"/>
  <c r="BZ246" i="17"/>
  <c r="BZ243" i="17"/>
  <c r="BZ241" i="17"/>
  <c r="AV238" i="17"/>
  <c r="AV227" i="17"/>
  <c r="AU227" i="17"/>
  <c r="AU225" i="17"/>
  <c r="AV224" i="17"/>
  <c r="AX224" i="17"/>
  <c r="BZ236" i="17"/>
  <c r="BZ234" i="17"/>
  <c r="AV219" i="17"/>
  <c r="AU219" i="17"/>
  <c r="BZ248" i="17"/>
  <c r="BZ245" i="17"/>
  <c r="AT230" i="17"/>
  <c r="AS229" i="17"/>
  <c r="AT228" i="17"/>
  <c r="AU223" i="17"/>
  <c r="AU213" i="17"/>
  <c r="AR226" i="17"/>
  <c r="BZ209" i="17"/>
  <c r="BZ206" i="17"/>
  <c r="AQ195" i="17"/>
  <c r="AS199" i="17"/>
  <c r="AQ196" i="17"/>
  <c r="AU176" i="17"/>
  <c r="AT208" i="17"/>
  <c r="BZ205" i="17"/>
  <c r="AT201" i="17"/>
  <c r="AV178" i="17"/>
  <c r="AU178" i="17"/>
  <c r="AS227" i="17"/>
  <c r="AS225" i="17"/>
  <c r="AS223" i="17"/>
  <c r="AS221" i="17"/>
  <c r="AS219" i="17"/>
  <c r="BZ217" i="17"/>
  <c r="AS217" i="17"/>
  <c r="AS215" i="17"/>
  <c r="AU214" i="17"/>
  <c r="BZ212" i="17"/>
  <c r="AU211" i="17"/>
  <c r="AT206" i="17"/>
  <c r="AV205" i="17"/>
  <c r="BZ201" i="17"/>
  <c r="AW191" i="17"/>
  <c r="AV191" i="17"/>
  <c r="AU180" i="17"/>
  <c r="BZ225" i="17"/>
  <c r="BZ223" i="17"/>
  <c r="BZ221" i="17"/>
  <c r="BZ219" i="17"/>
  <c r="AR217" i="17"/>
  <c r="AR215" i="17"/>
  <c r="AT211" i="17"/>
  <c r="AU205" i="17"/>
  <c r="AR205" i="17"/>
  <c r="AQ204" i="17"/>
  <c r="AT198" i="17"/>
  <c r="AU226" i="17"/>
  <c r="AU224" i="17"/>
  <c r="AU222" i="17"/>
  <c r="AU220" i="17"/>
  <c r="AU218" i="17"/>
  <c r="AU216" i="17"/>
  <c r="CQ214" i="17"/>
  <c r="BZ211" i="17"/>
  <c r="AS209" i="17"/>
  <c r="BZ204" i="17"/>
  <c r="AV201" i="17"/>
  <c r="AS200" i="17"/>
  <c r="AV197" i="17"/>
  <c r="AW187" i="17"/>
  <c r="AV187" i="17"/>
  <c r="BZ228" i="17"/>
  <c r="BZ226" i="17"/>
  <c r="BZ224" i="17"/>
  <c r="BZ222" i="17"/>
  <c r="BZ220" i="17"/>
  <c r="BZ218" i="17"/>
  <c r="BZ216" i="17"/>
  <c r="CQ210" i="17"/>
  <c r="CQ208" i="17"/>
  <c r="AV199" i="17"/>
  <c r="AR198" i="17"/>
  <c r="AT197" i="17"/>
  <c r="AV184" i="17"/>
  <c r="AU184" i="17"/>
  <c r="BZ198" i="17"/>
  <c r="AU197" i="17"/>
  <c r="BZ196" i="17"/>
  <c r="CQ196" i="17"/>
  <c r="AQ186" i="17"/>
  <c r="AV170" i="17"/>
  <c r="AU170" i="17"/>
  <c r="AS158" i="17"/>
  <c r="AR147" i="17"/>
  <c r="BZ187" i="17"/>
  <c r="BZ181" i="17"/>
  <c r="AT180" i="17"/>
  <c r="BZ174" i="17"/>
  <c r="AT173" i="17"/>
  <c r="AV172" i="17"/>
  <c r="AU172" i="17"/>
  <c r="AU159" i="17"/>
  <c r="AW127" i="17"/>
  <c r="AV127" i="17"/>
  <c r="AV112" i="17"/>
  <c r="AV193" i="17"/>
  <c r="AS191" i="17"/>
  <c r="BZ186" i="17"/>
  <c r="AT183" i="17"/>
  <c r="AS172" i="17"/>
  <c r="AQ166" i="17"/>
  <c r="AR156" i="17"/>
  <c r="BZ195" i="17"/>
  <c r="BZ180" i="17"/>
  <c r="AR180" i="17"/>
  <c r="BZ178" i="17"/>
  <c r="AR178" i="17"/>
  <c r="BZ176" i="17"/>
  <c r="AR176" i="17"/>
  <c r="AT171" i="17"/>
  <c r="AV157" i="17"/>
  <c r="AX157" i="17"/>
  <c r="BZ154" i="17"/>
  <c r="AT154" i="17"/>
  <c r="AT148" i="17"/>
  <c r="AR197" i="17"/>
  <c r="AT193" i="17"/>
  <c r="AQ191" i="17"/>
  <c r="AV189" i="17"/>
  <c r="AU187" i="17"/>
  <c r="AR164" i="17"/>
  <c r="AV160" i="17"/>
  <c r="AU160" i="17"/>
  <c r="AS151" i="17"/>
  <c r="AS144" i="17"/>
  <c r="BZ203" i="17"/>
  <c r="AU201" i="17"/>
  <c r="AR199" i="17"/>
  <c r="AQ197" i="17"/>
  <c r="AV195" i="17"/>
  <c r="AS193" i="17"/>
  <c r="BZ191" i="17"/>
  <c r="AU189" i="17"/>
  <c r="AT187" i="17"/>
  <c r="AQ185" i="17"/>
  <c r="CQ183" i="17"/>
  <c r="AR174" i="17"/>
  <c r="AS173" i="17"/>
  <c r="BZ197" i="17"/>
  <c r="CQ192" i="17"/>
  <c r="AQ171" i="17"/>
  <c r="AS162" i="17"/>
  <c r="BZ199" i="17"/>
  <c r="CQ186" i="17"/>
  <c r="BZ171" i="17"/>
  <c r="AV166" i="17"/>
  <c r="AU166" i="17"/>
  <c r="AQ157" i="17"/>
  <c r="AQ142" i="17"/>
  <c r="AU157" i="17"/>
  <c r="AQ153" i="17"/>
  <c r="BZ144" i="17"/>
  <c r="BZ142" i="17"/>
  <c r="BZ140" i="17"/>
  <c r="BZ168" i="17"/>
  <c r="AS166" i="17"/>
  <c r="AU162" i="17"/>
  <c r="AR150" i="17"/>
  <c r="BZ148" i="17"/>
  <c r="AQ147" i="17"/>
  <c r="AR146" i="17"/>
  <c r="AV123" i="17"/>
  <c r="BZ166" i="17"/>
  <c r="AR166" i="17"/>
  <c r="AS164" i="17"/>
  <c r="CQ163" i="17"/>
  <c r="AT162" i="17"/>
  <c r="AU161" i="17"/>
  <c r="AU154" i="17"/>
  <c r="BZ152" i="17"/>
  <c r="AQ151" i="17"/>
  <c r="AW141" i="17"/>
  <c r="BE141" i="17"/>
  <c r="BM141" i="17" s="1"/>
  <c r="AU116" i="17"/>
  <c r="AS140" i="17"/>
  <c r="BZ162" i="17"/>
  <c r="AT151" i="17"/>
  <c r="AR140" i="17"/>
  <c r="AU121" i="17"/>
  <c r="AX121" i="17"/>
  <c r="AU156" i="17"/>
  <c r="BZ150" i="17"/>
  <c r="AQ149" i="17"/>
  <c r="BZ146" i="17"/>
  <c r="AS139" i="17"/>
  <c r="AX131" i="17"/>
  <c r="AW131" i="17"/>
  <c r="AW118" i="17"/>
  <c r="AX118" i="17"/>
  <c r="AX114" i="17"/>
  <c r="AW114" i="17"/>
  <c r="AV110" i="17"/>
  <c r="AU158" i="17"/>
  <c r="BZ141" i="17"/>
  <c r="AT115" i="17"/>
  <c r="AT113" i="17"/>
  <c r="AU104" i="17"/>
  <c r="AU102" i="17"/>
  <c r="BZ135" i="17"/>
  <c r="AQ131" i="17"/>
  <c r="CQ119" i="17"/>
  <c r="AU112" i="17"/>
  <c r="BZ110" i="17"/>
  <c r="AT110" i="17"/>
  <c r="AR107" i="17"/>
  <c r="AV98" i="17"/>
  <c r="AT135" i="17"/>
  <c r="BZ132" i="17"/>
  <c r="AS130" i="17"/>
  <c r="BZ129" i="17"/>
  <c r="AQ129" i="17"/>
  <c r="AU127" i="17"/>
  <c r="AQ125" i="17"/>
  <c r="AU123" i="17"/>
  <c r="AR121" i="17"/>
  <c r="BZ114" i="17"/>
  <c r="BZ112" i="17"/>
  <c r="AR110" i="17"/>
  <c r="AS105" i="17"/>
  <c r="AV131" i="17"/>
  <c r="BZ125" i="17"/>
  <c r="AV114" i="17"/>
  <c r="AS113" i="17"/>
  <c r="AR112" i="17"/>
  <c r="AU110" i="17"/>
  <c r="BZ139" i="17"/>
  <c r="BZ136" i="17"/>
  <c r="AV129" i="17"/>
  <c r="AR127" i="17"/>
  <c r="AV125" i="17"/>
  <c r="AR123" i="17"/>
  <c r="CQ122" i="17"/>
  <c r="BZ121" i="17"/>
  <c r="CA120" i="17"/>
  <c r="AR117" i="17"/>
  <c r="AU114" i="17"/>
  <c r="AQ112" i="17"/>
  <c r="BZ111" i="17"/>
  <c r="AU106" i="17"/>
  <c r="AX106" i="17"/>
  <c r="BZ138" i="17"/>
  <c r="BZ133" i="17"/>
  <c r="AS132" i="17"/>
  <c r="BZ119" i="17"/>
  <c r="BZ117" i="17"/>
  <c r="AW108" i="17"/>
  <c r="AQ101" i="17"/>
  <c r="BZ93" i="17"/>
  <c r="CQ93" i="17"/>
  <c r="AR104" i="17"/>
  <c r="BZ102" i="17"/>
  <c r="AT102" i="17"/>
  <c r="AU98" i="17"/>
  <c r="AU94" i="17"/>
  <c r="AQ93" i="17"/>
  <c r="AR92" i="17"/>
  <c r="AV108" i="17"/>
  <c r="AQ104" i="17"/>
  <c r="BZ103" i="17"/>
  <c r="AS102" i="17"/>
  <c r="BZ99" i="17"/>
  <c r="AS99" i="17"/>
  <c r="AU96" i="17"/>
  <c r="AV91" i="17"/>
  <c r="AV83" i="17"/>
  <c r="AT72" i="17"/>
  <c r="BZ101" i="17"/>
  <c r="AS101" i="17"/>
  <c r="AR100" i="17"/>
  <c r="AR99" i="17"/>
  <c r="BZ97" i="17"/>
  <c r="AU81" i="17"/>
  <c r="AS97" i="17"/>
  <c r="AU89" i="17"/>
  <c r="AS81" i="17"/>
  <c r="AS108" i="17"/>
  <c r="BZ106" i="17"/>
  <c r="AT106" i="17"/>
  <c r="AX100" i="17"/>
  <c r="BZ98" i="17"/>
  <c r="AQ98" i="17"/>
  <c r="AQ88" i="17"/>
  <c r="BZ109" i="17"/>
  <c r="AQ87" i="17"/>
  <c r="AU85" i="17"/>
  <c r="AU62" i="17"/>
  <c r="BZ107" i="17"/>
  <c r="BZ104" i="17"/>
  <c r="AU100" i="17"/>
  <c r="AU83" i="17"/>
  <c r="BZ85" i="17"/>
  <c r="AT81" i="17"/>
  <c r="BZ96" i="17"/>
  <c r="AV89" i="17"/>
  <c r="AR87" i="17"/>
  <c r="AV85" i="17"/>
  <c r="BZ83" i="17"/>
  <c r="AS83" i="17"/>
  <c r="BZ74" i="17"/>
  <c r="CQ74" i="17"/>
  <c r="AQ69" i="17"/>
  <c r="AR78" i="17"/>
  <c r="BZ94" i="17"/>
  <c r="BZ92" i="17"/>
  <c r="AR90" i="17"/>
  <c r="BZ87" i="17"/>
  <c r="AR82" i="17"/>
  <c r="AS89" i="17"/>
  <c r="BZ86" i="17"/>
  <c r="AS85" i="17"/>
  <c r="BZ100" i="17"/>
  <c r="AS92" i="17"/>
  <c r="AT79" i="17"/>
  <c r="BZ89" i="17"/>
  <c r="AT83" i="17"/>
  <c r="AT80" i="17"/>
  <c r="AW79" i="17"/>
  <c r="AV78" i="17"/>
  <c r="CQ79" i="17"/>
  <c r="AU78" i="17"/>
  <c r="CQ68" i="17"/>
  <c r="AR63" i="17"/>
  <c r="AZ63" i="17"/>
  <c r="BH63" i="17" s="1"/>
  <c r="AU54" i="17"/>
  <c r="BZ82" i="17"/>
  <c r="AQ65" i="17"/>
  <c r="AQ64" i="17"/>
  <c r="AT67" i="17"/>
  <c r="AV60" i="17"/>
  <c r="AU60" i="17"/>
  <c r="AQ39" i="17"/>
  <c r="AS67" i="17"/>
  <c r="AS60" i="17"/>
  <c r="AU58" i="17"/>
  <c r="AT58" i="17"/>
  <c r="AR55" i="17"/>
  <c r="AS50" i="17"/>
  <c r="AV48" i="17"/>
  <c r="BZ81" i="17"/>
  <c r="BZ75" i="17"/>
  <c r="AT66" i="17"/>
  <c r="AU56" i="17"/>
  <c r="AT56" i="17"/>
  <c r="BZ80" i="17"/>
  <c r="BZ73" i="17"/>
  <c r="AQ67" i="17"/>
  <c r="AR59" i="17"/>
  <c r="AR57" i="17"/>
  <c r="AQ43" i="17"/>
  <c r="AS65" i="17"/>
  <c r="AR64" i="17"/>
  <c r="AT61" i="17"/>
  <c r="BZ59" i="17"/>
  <c r="BZ57" i="17"/>
  <c r="AR51" i="17"/>
  <c r="AS47" i="17"/>
  <c r="AS61" i="17"/>
  <c r="CQ55" i="17"/>
  <c r="AQ51" i="17"/>
  <c r="AR60" i="17"/>
  <c r="BZ58" i="17"/>
  <c r="BZ56" i="17"/>
  <c r="AS48" i="17"/>
  <c r="AV45" i="17"/>
  <c r="AU45" i="17"/>
  <c r="BZ44" i="17"/>
  <c r="AQ40" i="17"/>
  <c r="AS32" i="17"/>
  <c r="AR67" i="17"/>
  <c r="AW61" i="17"/>
  <c r="AR52" i="17"/>
  <c r="AR48" i="17"/>
  <c r="AR46" i="17"/>
  <c r="AU55" i="17"/>
  <c r="AQ52" i="17"/>
  <c r="AQ46" i="17"/>
  <c r="AX38" i="17"/>
  <c r="AV38" i="17"/>
  <c r="AV50" i="17"/>
  <c r="AU49" i="17"/>
  <c r="AU47" i="17"/>
  <c r="AS38" i="17"/>
  <c r="AQ31" i="17"/>
  <c r="AS51" i="17"/>
  <c r="AT50" i="17"/>
  <c r="AR43" i="17"/>
  <c r="AR38" i="17"/>
  <c r="AR37" i="17"/>
  <c r="BZ48" i="17"/>
  <c r="BZ46" i="17"/>
  <c r="AQ42" i="17"/>
  <c r="AQ38" i="17"/>
  <c r="AS37" i="17"/>
  <c r="AU35" i="17"/>
  <c r="AT34" i="17"/>
  <c r="BZ29" i="17"/>
  <c r="BZ47" i="17"/>
  <c r="AV46" i="17"/>
  <c r="AW44" i="17"/>
  <c r="AV43" i="17"/>
  <c r="AU43" i="17"/>
  <c r="AU38" i="17"/>
  <c r="AS34" i="17"/>
  <c r="AR27" i="17"/>
  <c r="AR22" i="17"/>
  <c r="AT38" i="17"/>
  <c r="AR33" i="17"/>
  <c r="AU53" i="17"/>
  <c r="AV36" i="17"/>
  <c r="AQ33" i="17"/>
  <c r="AR29" i="17"/>
  <c r="AV16" i="17"/>
  <c r="AR40" i="17"/>
  <c r="AU36" i="17"/>
  <c r="AT32" i="17"/>
  <c r="BZ31" i="17"/>
  <c r="CQ31" i="17"/>
  <c r="AR31" i="17"/>
  <c r="AQ29" i="17"/>
  <c r="AU39" i="17"/>
  <c r="AT37" i="17"/>
  <c r="AR30" i="17"/>
  <c r="AU27" i="17"/>
  <c r="AR23" i="17"/>
  <c r="BZ35" i="17"/>
  <c r="AQ34" i="17"/>
  <c r="AU29" i="17"/>
  <c r="AR24" i="17"/>
  <c r="BZ23" i="17"/>
  <c r="CQ23" i="17"/>
  <c r="AU20" i="17"/>
  <c r="AR13" i="17"/>
  <c r="AQ24" i="17"/>
  <c r="AU21" i="17"/>
  <c r="AW21" i="17"/>
  <c r="AT21" i="17"/>
  <c r="BZ39" i="17"/>
  <c r="AU33" i="17"/>
  <c r="BZ27" i="17"/>
  <c r="AQ27" i="17"/>
  <c r="AW18" i="17"/>
  <c r="AV18" i="17"/>
  <c r="BZ37" i="17"/>
  <c r="AT28" i="17"/>
  <c r="AU25" i="17"/>
  <c r="AT25" i="17"/>
  <c r="AR12" i="17"/>
  <c r="AS11" i="17"/>
  <c r="AU10" i="17"/>
  <c r="AR26" i="17"/>
  <c r="AX15" i="17"/>
  <c r="BF15" i="17"/>
  <c r="BN15" i="17" s="1"/>
  <c r="AV10" i="17"/>
  <c r="AT10" i="17"/>
  <c r="BZ17" i="17"/>
  <c r="AQ13" i="17"/>
  <c r="AQ12" i="17"/>
  <c r="AS10" i="17"/>
  <c r="AT7" i="17"/>
  <c r="AS16" i="17"/>
  <c r="AU23" i="17"/>
  <c r="AT20" i="17"/>
  <c r="AR16" i="17"/>
  <c r="BZ15" i="17"/>
  <c r="CQ15" i="17"/>
  <c r="BD15" i="17"/>
  <c r="BL15" i="17" s="1"/>
  <c r="AW14" i="17"/>
  <c r="AU14" i="17"/>
  <c r="AT8" i="17"/>
  <c r="AU18" i="17"/>
  <c r="CQ13" i="17"/>
  <c r="AS9" i="17"/>
  <c r="AR20" i="17"/>
  <c r="AT18" i="17"/>
  <c r="CQ17" i="17"/>
  <c r="AU12" i="17"/>
  <c r="CQ11" i="17"/>
  <c r="AT11" i="17"/>
  <c r="AV8" i="17"/>
  <c r="BZ14" i="17"/>
  <c r="AU8" i="17"/>
  <c r="BZ12" i="17"/>
  <c r="AQ10" i="17"/>
  <c r="BZ19" i="17"/>
  <c r="AT17" i="17"/>
  <c r="BZ10" i="17"/>
  <c r="AR6" i="17"/>
  <c r="AT9" i="17"/>
  <c r="BZ8" i="17"/>
  <c r="AV312" i="17"/>
  <c r="AU303" i="17"/>
  <c r="AU301" i="17"/>
  <c r="AU294" i="17"/>
  <c r="AU309" i="17"/>
  <c r="AU313" i="17"/>
  <c r="AU315" i="17"/>
  <c r="AV308" i="17"/>
  <c r="AU297" i="17"/>
  <c r="AU295" i="17"/>
  <c r="AV314" i="17"/>
  <c r="AU305" i="17"/>
  <c r="AV296" i="17"/>
  <c r="AV306" i="17"/>
  <c r="AU311" i="17"/>
  <c r="AV304" i="17"/>
  <c r="AU317" i="17"/>
  <c r="AU299" i="17"/>
  <c r="AU307" i="17"/>
  <c r="AU290" i="17"/>
  <c r="AU288" i="17"/>
  <c r="AW287" i="17"/>
  <c r="AX287" i="17"/>
  <c r="AV283" i="17"/>
  <c r="BZ282" i="17"/>
  <c r="CQ317" i="17"/>
  <c r="CQ315" i="17"/>
  <c r="CQ313" i="17"/>
  <c r="CQ311" i="17"/>
  <c r="CQ309" i="17"/>
  <c r="CQ307" i="17"/>
  <c r="CQ305" i="17"/>
  <c r="CQ303" i="17"/>
  <c r="BZ303" i="17"/>
  <c r="CQ301" i="17"/>
  <c r="BZ301" i="17"/>
  <c r="CQ299" i="17"/>
  <c r="BZ299" i="17"/>
  <c r="CQ297" i="17"/>
  <c r="BZ297" i="17"/>
  <c r="CQ295" i="17"/>
  <c r="BZ295" i="17"/>
  <c r="AW291" i="17"/>
  <c r="AX291" i="17"/>
  <c r="AV285" i="17"/>
  <c r="BZ284" i="17"/>
  <c r="AU280" i="17"/>
  <c r="AU276" i="17"/>
  <c r="AU272" i="17"/>
  <c r="AU268" i="17"/>
  <c r="AT294" i="17"/>
  <c r="BZ291" i="17"/>
  <c r="BZ289" i="17"/>
  <c r="AV287" i="17"/>
  <c r="BZ286" i="17"/>
  <c r="AS294" i="17"/>
  <c r="AW293" i="17"/>
  <c r="BZ292" i="17"/>
  <c r="CQ292" i="17"/>
  <c r="AR292" i="17"/>
  <c r="AV291" i="17"/>
  <c r="BZ288" i="17"/>
  <c r="AR294" i="17"/>
  <c r="AV293" i="17"/>
  <c r="AQ292" i="17"/>
  <c r="CQ318" i="17"/>
  <c r="CQ316" i="17"/>
  <c r="CQ314" i="17"/>
  <c r="CQ312" i="17"/>
  <c r="CQ310" i="17"/>
  <c r="CQ308" i="17"/>
  <c r="CQ306" i="17"/>
  <c r="CQ304" i="17"/>
  <c r="CQ302" i="17"/>
  <c r="CQ300" i="17"/>
  <c r="CQ298" i="17"/>
  <c r="CQ296" i="17"/>
  <c r="AQ294" i="17"/>
  <c r="AU293" i="17"/>
  <c r="AU282" i="17"/>
  <c r="AU278" i="17"/>
  <c r="AU274" i="17"/>
  <c r="AU270" i="17"/>
  <c r="BZ293" i="17"/>
  <c r="AU292" i="17"/>
  <c r="AU284" i="17"/>
  <c r="AW283" i="17"/>
  <c r="AX283" i="17"/>
  <c r="AU286" i="17"/>
  <c r="AW285" i="17"/>
  <c r="AX285" i="17"/>
  <c r="AW279" i="17"/>
  <c r="AX279" i="17"/>
  <c r="AW275" i="17"/>
  <c r="AX275" i="17"/>
  <c r="AW271" i="17"/>
  <c r="AX271" i="17"/>
  <c r="AW267" i="17"/>
  <c r="AX267" i="17"/>
  <c r="CQ293" i="17"/>
  <c r="CQ291" i="17"/>
  <c r="CQ289" i="17"/>
  <c r="CQ287" i="17"/>
  <c r="CQ285" i="17"/>
  <c r="CQ283" i="17"/>
  <c r="CQ281" i="17"/>
  <c r="CQ279" i="17"/>
  <c r="CQ277" i="17"/>
  <c r="CQ275" i="17"/>
  <c r="CQ273" i="17"/>
  <c r="CQ271" i="17"/>
  <c r="CQ269" i="17"/>
  <c r="CQ267" i="17"/>
  <c r="AU265" i="17"/>
  <c r="AU264" i="17"/>
  <c r="BZ262" i="17"/>
  <c r="AU248" i="17"/>
  <c r="BZ265" i="17"/>
  <c r="CQ265" i="17"/>
  <c r="AS263" i="17"/>
  <c r="BZ259" i="17"/>
  <c r="AS258" i="17"/>
  <c r="AU245" i="17"/>
  <c r="AS265" i="17"/>
  <c r="BZ258" i="17"/>
  <c r="AU250" i="17"/>
  <c r="AT243" i="17"/>
  <c r="BZ261" i="17"/>
  <c r="AU254" i="17"/>
  <c r="AU247" i="17"/>
  <c r="CQ290" i="17"/>
  <c r="CQ288" i="17"/>
  <c r="CQ286" i="17"/>
  <c r="CQ284" i="17"/>
  <c r="CQ282" i="17"/>
  <c r="CQ280" i="17"/>
  <c r="CQ278" i="17"/>
  <c r="CQ276" i="17"/>
  <c r="CQ274" i="17"/>
  <c r="CQ272" i="17"/>
  <c r="CQ270" i="17"/>
  <c r="CQ268" i="17"/>
  <c r="CQ266" i="17"/>
  <c r="AV258" i="17"/>
  <c r="AU252" i="17"/>
  <c r="AU244" i="17"/>
  <c r="AU242" i="17"/>
  <c r="BZ263" i="17"/>
  <c r="CQ263" i="17"/>
  <c r="AX257" i="17"/>
  <c r="AU249" i="17"/>
  <c r="BZ264" i="17"/>
  <c r="CQ264" i="17"/>
  <c r="AU246" i="17"/>
  <c r="AU251" i="17"/>
  <c r="AU241" i="17"/>
  <c r="CQ262" i="17"/>
  <c r="CQ260" i="17"/>
  <c r="CQ258" i="17"/>
  <c r="CQ256" i="17"/>
  <c r="CQ254" i="17"/>
  <c r="CQ252" i="17"/>
  <c r="CQ250" i="17"/>
  <c r="CQ248" i="17"/>
  <c r="CQ246" i="17"/>
  <c r="CQ244" i="17"/>
  <c r="CQ242" i="17"/>
  <c r="CQ240" i="17"/>
  <c r="AV233" i="17"/>
  <c r="AV229" i="17"/>
  <c r="BZ238" i="17"/>
  <c r="CQ238" i="17"/>
  <c r="BZ239" i="17"/>
  <c r="CQ239" i="17"/>
  <c r="AS238" i="17"/>
  <c r="AS237" i="17"/>
  <c r="AS236" i="17"/>
  <c r="BZ235" i="17"/>
  <c r="CQ261" i="17"/>
  <c r="CQ259" i="17"/>
  <c r="CQ257" i="17"/>
  <c r="CQ255" i="17"/>
  <c r="CQ253" i="17"/>
  <c r="CQ251" i="17"/>
  <c r="CQ249" i="17"/>
  <c r="CQ247" i="17"/>
  <c r="CQ245" i="17"/>
  <c r="CQ243" i="17"/>
  <c r="CQ241" i="17"/>
  <c r="AQ239" i="17"/>
  <c r="AV213" i="17"/>
  <c r="BZ237" i="17"/>
  <c r="CQ237" i="17"/>
  <c r="CQ235" i="17"/>
  <c r="CQ233" i="17"/>
  <c r="CQ231" i="17"/>
  <c r="CQ229" i="17"/>
  <c r="CQ227" i="17"/>
  <c r="CQ225" i="17"/>
  <c r="CQ223" i="17"/>
  <c r="CQ221" i="17"/>
  <c r="CQ219" i="17"/>
  <c r="CQ217" i="17"/>
  <c r="CQ215" i="17"/>
  <c r="BZ215" i="17"/>
  <c r="AQ214" i="17"/>
  <c r="AU212" i="17"/>
  <c r="AX211" i="17"/>
  <c r="AW201" i="17"/>
  <c r="AX201" i="17"/>
  <c r="AU194" i="17"/>
  <c r="AW189" i="17"/>
  <c r="AX189" i="17"/>
  <c r="AU210" i="17"/>
  <c r="AW195" i="17"/>
  <c r="AX195" i="17"/>
  <c r="BZ214" i="17"/>
  <c r="AX214" i="17"/>
  <c r="AV211" i="17"/>
  <c r="AU202" i="17"/>
  <c r="AU190" i="17"/>
  <c r="AW214" i="17"/>
  <c r="AT212" i="17"/>
  <c r="AU196" i="17"/>
  <c r="CQ236" i="17"/>
  <c r="CQ234" i="17"/>
  <c r="CQ232" i="17"/>
  <c r="CQ230" i="17"/>
  <c r="CQ228" i="17"/>
  <c r="CQ226" i="17"/>
  <c r="CQ224" i="17"/>
  <c r="CQ222" i="17"/>
  <c r="CQ220" i="17"/>
  <c r="CQ218" i="17"/>
  <c r="CQ216" i="17"/>
  <c r="AX205" i="17"/>
  <c r="AU204" i="17"/>
  <c r="AW197" i="17"/>
  <c r="AX197" i="17"/>
  <c r="AT210" i="17"/>
  <c r="AW199" i="17"/>
  <c r="AX199" i="17"/>
  <c r="AU192" i="17"/>
  <c r="AS214" i="17"/>
  <c r="BZ213" i="17"/>
  <c r="CQ213" i="17"/>
  <c r="AU206" i="17"/>
  <c r="AW193" i="17"/>
  <c r="AX193" i="17"/>
  <c r="AU208" i="17"/>
  <c r="AU200" i="17"/>
  <c r="AU188" i="17"/>
  <c r="AV185" i="17"/>
  <c r="AU163" i="17"/>
  <c r="AU186" i="17"/>
  <c r="BZ185" i="17"/>
  <c r="BZ184" i="17"/>
  <c r="CQ184" i="17"/>
  <c r="AV164" i="17"/>
  <c r="AU183" i="17"/>
  <c r="AV182" i="17"/>
  <c r="AU181" i="17"/>
  <c r="AU179" i="17"/>
  <c r="AU177" i="17"/>
  <c r="AU175" i="17"/>
  <c r="AV162" i="17"/>
  <c r="AS186" i="17"/>
  <c r="CQ185" i="17"/>
  <c r="AU185" i="17"/>
  <c r="AU173" i="17"/>
  <c r="CQ211" i="17"/>
  <c r="CQ209" i="17"/>
  <c r="CQ207" i="17"/>
  <c r="CQ205" i="17"/>
  <c r="CQ203" i="17"/>
  <c r="CQ201" i="17"/>
  <c r="CQ199" i="17"/>
  <c r="CQ197" i="17"/>
  <c r="CQ195" i="17"/>
  <c r="CQ193" i="17"/>
  <c r="CQ191" i="17"/>
  <c r="CQ189" i="17"/>
  <c r="CQ187" i="17"/>
  <c r="AR186" i="17"/>
  <c r="AT185" i="17"/>
  <c r="AV174" i="17"/>
  <c r="AU171" i="17"/>
  <c r="AS184" i="17"/>
  <c r="AU169" i="17"/>
  <c r="AX161" i="17"/>
  <c r="AW161" i="17"/>
  <c r="AT181" i="17"/>
  <c r="AU167" i="17"/>
  <c r="AV168" i="17"/>
  <c r="AU165" i="17"/>
  <c r="AV152" i="17"/>
  <c r="AV150" i="17"/>
  <c r="AV148" i="17"/>
  <c r="AV146" i="17"/>
  <c r="AU134" i="17"/>
  <c r="BZ157" i="17"/>
  <c r="CQ157" i="17"/>
  <c r="BZ153" i="17"/>
  <c r="CQ153" i="17"/>
  <c r="BZ151" i="17"/>
  <c r="CQ151" i="17"/>
  <c r="BZ149" i="17"/>
  <c r="CQ149" i="17"/>
  <c r="BZ147" i="17"/>
  <c r="CQ147" i="17"/>
  <c r="BZ145" i="17"/>
  <c r="CQ145" i="17"/>
  <c r="AU142" i="17"/>
  <c r="AU139" i="17"/>
  <c r="AQ161" i="17"/>
  <c r="AS160" i="17"/>
  <c r="AQ159" i="17"/>
  <c r="AS157" i="17"/>
  <c r="AU136" i="17"/>
  <c r="AR160" i="17"/>
  <c r="AU152" i="17"/>
  <c r="AU150" i="17"/>
  <c r="AU148" i="17"/>
  <c r="AU146" i="17"/>
  <c r="AU133" i="17"/>
  <c r="BZ158" i="17"/>
  <c r="AU155" i="17"/>
  <c r="AT144" i="17"/>
  <c r="AU138" i="17"/>
  <c r="CQ182" i="17"/>
  <c r="CQ180" i="17"/>
  <c r="CQ178" i="17"/>
  <c r="CQ176" i="17"/>
  <c r="CQ174" i="17"/>
  <c r="CQ172" i="17"/>
  <c r="CQ170" i="17"/>
  <c r="CQ168" i="17"/>
  <c r="CQ166" i="17"/>
  <c r="CQ164" i="17"/>
  <c r="CQ162" i="17"/>
  <c r="AV161" i="17"/>
  <c r="AX154" i="17"/>
  <c r="AU135" i="17"/>
  <c r="BZ160" i="17"/>
  <c r="CQ160" i="17"/>
  <c r="AU153" i="17"/>
  <c r="AU151" i="17"/>
  <c r="AU149" i="17"/>
  <c r="AU147" i="17"/>
  <c r="AU145" i="17"/>
  <c r="AU143" i="17"/>
  <c r="AU140" i="17"/>
  <c r="BZ161" i="17"/>
  <c r="CQ161" i="17"/>
  <c r="BZ159" i="17"/>
  <c r="CQ159" i="17"/>
  <c r="BZ155" i="17"/>
  <c r="CQ155" i="17"/>
  <c r="AU137" i="17"/>
  <c r="CQ132" i="17"/>
  <c r="AU128" i="17"/>
  <c r="AU124" i="17"/>
  <c r="CQ158" i="17"/>
  <c r="CQ156" i="17"/>
  <c r="CQ154" i="17"/>
  <c r="CQ152" i="17"/>
  <c r="CQ150" i="17"/>
  <c r="CQ148" i="17"/>
  <c r="CQ146" i="17"/>
  <c r="CQ144" i="17"/>
  <c r="CQ142" i="17"/>
  <c r="CQ140" i="17"/>
  <c r="CQ138" i="17"/>
  <c r="CQ136" i="17"/>
  <c r="CQ134" i="17"/>
  <c r="AW129" i="17"/>
  <c r="AX129" i="17"/>
  <c r="AW125" i="17"/>
  <c r="AX125" i="17"/>
  <c r="AU120" i="17"/>
  <c r="AR132" i="17"/>
  <c r="AU130" i="17"/>
  <c r="AU126" i="17"/>
  <c r="CQ143" i="17"/>
  <c r="CQ141" i="17"/>
  <c r="CQ139" i="17"/>
  <c r="CQ137" i="17"/>
  <c r="CQ135" i="17"/>
  <c r="CQ133" i="17"/>
  <c r="AQ132" i="17"/>
  <c r="AU122" i="17"/>
  <c r="BZ131" i="17"/>
  <c r="CQ131" i="17"/>
  <c r="BZ130" i="17"/>
  <c r="CQ130" i="17"/>
  <c r="CQ128" i="17"/>
  <c r="BZ128" i="17"/>
  <c r="CQ126" i="17"/>
  <c r="BZ126" i="17"/>
  <c r="CQ124" i="17"/>
  <c r="BZ124" i="17"/>
  <c r="AU117" i="17"/>
  <c r="AU113" i="17"/>
  <c r="AU103" i="17"/>
  <c r="AU95" i="17"/>
  <c r="CQ115" i="17"/>
  <c r="BZ113" i="17"/>
  <c r="CQ113" i="17"/>
  <c r="AQ119" i="17"/>
  <c r="AU101" i="17"/>
  <c r="AU93" i="17"/>
  <c r="AT117" i="17"/>
  <c r="AU115" i="17"/>
  <c r="AU111" i="17"/>
  <c r="CQ129" i="17"/>
  <c r="CQ127" i="17"/>
  <c r="CQ125" i="17"/>
  <c r="CQ123" i="17"/>
  <c r="CQ121" i="17"/>
  <c r="AS117" i="17"/>
  <c r="AU109" i="17"/>
  <c r="AU99" i="17"/>
  <c r="CQ117" i="17"/>
  <c r="AU107" i="17"/>
  <c r="BZ116" i="17"/>
  <c r="AU105" i="17"/>
  <c r="AU97" i="17"/>
  <c r="BZ118" i="17"/>
  <c r="CQ118" i="17"/>
  <c r="AQ92" i="17"/>
  <c r="AU91" i="17"/>
  <c r="AW87" i="17"/>
  <c r="AX87" i="17"/>
  <c r="CQ116" i="17"/>
  <c r="CQ114" i="17"/>
  <c r="CQ112" i="17"/>
  <c r="CQ110" i="17"/>
  <c r="CQ108" i="17"/>
  <c r="CQ106" i="17"/>
  <c r="CQ104" i="17"/>
  <c r="CQ102" i="17"/>
  <c r="CQ100" i="17"/>
  <c r="CQ98" i="17"/>
  <c r="CQ96" i="17"/>
  <c r="CQ94" i="17"/>
  <c r="CQ92" i="17"/>
  <c r="AU88" i="17"/>
  <c r="AU84" i="17"/>
  <c r="AU80" i="17"/>
  <c r="AU92" i="17"/>
  <c r="AT90" i="17"/>
  <c r="AW89" i="17"/>
  <c r="AX89" i="17"/>
  <c r="AW85" i="17"/>
  <c r="AX85" i="17"/>
  <c r="CQ111" i="17"/>
  <c r="CQ109" i="17"/>
  <c r="CQ107" i="17"/>
  <c r="CQ105" i="17"/>
  <c r="CQ103" i="17"/>
  <c r="CQ101" i="17"/>
  <c r="CQ99" i="17"/>
  <c r="AW91" i="17"/>
  <c r="BZ90" i="17"/>
  <c r="CQ90" i="17"/>
  <c r="AU86" i="17"/>
  <c r="AU82" i="17"/>
  <c r="BZ91" i="17"/>
  <c r="CQ91" i="17"/>
  <c r="AS79" i="17"/>
  <c r="CQ78" i="17"/>
  <c r="AU77" i="17"/>
  <c r="AU70" i="17"/>
  <c r="AR79" i="17"/>
  <c r="AS78" i="17"/>
  <c r="AU75" i="17"/>
  <c r="AU68" i="17"/>
  <c r="CQ88" i="17"/>
  <c r="CQ86" i="17"/>
  <c r="CQ84" i="17"/>
  <c r="CQ82" i="17"/>
  <c r="CQ80" i="17"/>
  <c r="AU73" i="17"/>
  <c r="AU71" i="17"/>
  <c r="BZ79" i="17"/>
  <c r="AW78" i="17"/>
  <c r="AX78" i="17"/>
  <c r="AU69" i="17"/>
  <c r="AU76" i="17"/>
  <c r="AU67" i="17"/>
  <c r="CQ89" i="17"/>
  <c r="CQ85" i="17"/>
  <c r="CQ83" i="17"/>
  <c r="CQ81" i="17"/>
  <c r="AU74" i="17"/>
  <c r="AU72" i="17"/>
  <c r="AS66" i="17"/>
  <c r="AR62" i="17"/>
  <c r="CQ67" i="17"/>
  <c r="BZ65" i="17"/>
  <c r="CQ65" i="17"/>
  <c r="CQ77" i="17"/>
  <c r="CQ75" i="17"/>
  <c r="CQ73" i="17"/>
  <c r="CQ71" i="17"/>
  <c r="CQ69" i="17"/>
  <c r="AV62" i="17"/>
  <c r="AW55" i="17"/>
  <c r="BZ66" i="17"/>
  <c r="CQ66" i="17"/>
  <c r="AQ53" i="17"/>
  <c r="AV51" i="17"/>
  <c r="AU51" i="17"/>
  <c r="BZ63" i="17"/>
  <c r="CQ63" i="17"/>
  <c r="AV55" i="17"/>
  <c r="BZ64" i="17"/>
  <c r="BZ60" i="17"/>
  <c r="AS53" i="17"/>
  <c r="AX52" i="17"/>
  <c r="AV44" i="17"/>
  <c r="AU30" i="17"/>
  <c r="CQ61" i="17"/>
  <c r="CQ59" i="17"/>
  <c r="CQ57" i="17"/>
  <c r="BZ53" i="17"/>
  <c r="CQ53" i="17"/>
  <c r="BZ52" i="17"/>
  <c r="CQ52" i="17"/>
  <c r="AV31" i="17"/>
  <c r="AS55" i="17"/>
  <c r="BZ54" i="17"/>
  <c r="CQ54" i="17"/>
  <c r="AX54" i="17"/>
  <c r="AV53" i="17"/>
  <c r="AU52" i="17"/>
  <c r="BZ50" i="17"/>
  <c r="CQ50" i="17"/>
  <c r="AS49" i="17"/>
  <c r="AX43" i="17"/>
  <c r="AW43" i="17"/>
  <c r="AW36" i="17"/>
  <c r="AX36" i="17"/>
  <c r="AW50" i="17"/>
  <c r="BZ49" i="17"/>
  <c r="AV47" i="17"/>
  <c r="AU44" i="17"/>
  <c r="CQ64" i="17"/>
  <c r="CQ62" i="17"/>
  <c r="CQ60" i="17"/>
  <c r="CQ58" i="17"/>
  <c r="CQ56" i="17"/>
  <c r="AQ55" i="17"/>
  <c r="BZ51" i="17"/>
  <c r="AV49" i="17"/>
  <c r="AX46" i="17"/>
  <c r="CQ48" i="17"/>
  <c r="CQ46" i="17"/>
  <c r="CQ44" i="17"/>
  <c r="AS44" i="17"/>
  <c r="AV41" i="17"/>
  <c r="BZ38" i="17"/>
  <c r="CQ38" i="17"/>
  <c r="AU34" i="17"/>
  <c r="AW40" i="17"/>
  <c r="AX40" i="17"/>
  <c r="AW42" i="17"/>
  <c r="AX42" i="17"/>
  <c r="BZ40" i="17"/>
  <c r="CQ40" i="17"/>
  <c r="AV35" i="17"/>
  <c r="BZ42" i="17"/>
  <c r="CQ42" i="17"/>
  <c r="BZ34" i="17"/>
  <c r="CQ34" i="17"/>
  <c r="AV33" i="17"/>
  <c r="AQ26" i="17"/>
  <c r="CQ51" i="17"/>
  <c r="CQ49" i="17"/>
  <c r="CQ47" i="17"/>
  <c r="CQ45" i="17"/>
  <c r="AV42" i="17"/>
  <c r="AV37" i="17"/>
  <c r="AQ36" i="17"/>
  <c r="AU31" i="17"/>
  <c r="BZ43" i="17"/>
  <c r="CQ43" i="17"/>
  <c r="BZ41" i="17"/>
  <c r="AV39" i="17"/>
  <c r="BZ36" i="17"/>
  <c r="CQ36" i="17"/>
  <c r="AQ32" i="17"/>
  <c r="AV29" i="17"/>
  <c r="BZ26" i="17"/>
  <c r="CQ26" i="17"/>
  <c r="AV27" i="17"/>
  <c r="AU24" i="17"/>
  <c r="AV20" i="17"/>
  <c r="CQ41" i="17"/>
  <c r="CQ39" i="17"/>
  <c r="CQ37" i="17"/>
  <c r="CQ35" i="17"/>
  <c r="CQ33" i="17"/>
  <c r="AT29" i="17"/>
  <c r="BZ30" i="17"/>
  <c r="CQ30" i="17"/>
  <c r="BZ24" i="17"/>
  <c r="CQ24" i="17"/>
  <c r="CQ21" i="17"/>
  <c r="BZ32" i="17"/>
  <c r="AU28" i="17"/>
  <c r="AV23" i="17"/>
  <c r="BZ21" i="17"/>
  <c r="BZ22" i="17"/>
  <c r="CQ22" i="17"/>
  <c r="AT22" i="17"/>
  <c r="AU26" i="17"/>
  <c r="AW8" i="17"/>
  <c r="AX8" i="17"/>
  <c r="BZ28" i="17"/>
  <c r="CQ28" i="17"/>
  <c r="AU19" i="17"/>
  <c r="AU9" i="17"/>
  <c r="AU7" i="17"/>
  <c r="AX16" i="17"/>
  <c r="BB15" i="17"/>
  <c r="BJ15" i="17" s="1"/>
  <c r="AU11" i="17"/>
  <c r="AQ22" i="17"/>
  <c r="AX14" i="17"/>
  <c r="CQ19" i="17"/>
  <c r="AU17" i="17"/>
  <c r="AU13" i="17"/>
  <c r="CQ20" i="17"/>
  <c r="CQ18" i="17"/>
  <c r="CQ16" i="17"/>
  <c r="CQ14" i="17"/>
  <c r="CQ12" i="17"/>
  <c r="CQ10" i="17"/>
  <c r="CQ8" i="17"/>
  <c r="CQ6" i="17"/>
  <c r="CR201" i="17" l="1"/>
  <c r="CA168" i="17"/>
  <c r="CB168" i="17" s="1"/>
  <c r="CA209" i="17"/>
  <c r="CS209" i="17" s="1"/>
  <c r="CA294" i="17"/>
  <c r="CR6" i="17"/>
  <c r="CA21" i="17"/>
  <c r="CB21" i="17" s="1"/>
  <c r="CA24" i="17"/>
  <c r="CS24" i="17" s="1"/>
  <c r="CR26" i="17"/>
  <c r="CA34" i="17"/>
  <c r="CA54" i="17"/>
  <c r="CA60" i="17"/>
  <c r="CS60" i="17" s="1"/>
  <c r="CR65" i="17"/>
  <c r="CA147" i="17"/>
  <c r="CS147" i="17" s="1"/>
  <c r="CR157" i="17"/>
  <c r="CR237" i="17"/>
  <c r="CA289" i="17"/>
  <c r="CB289" i="17" s="1"/>
  <c r="CA282" i="17"/>
  <c r="CA29" i="17"/>
  <c r="CR100" i="17"/>
  <c r="CA94" i="17"/>
  <c r="CB94" i="17" s="1"/>
  <c r="CR102" i="17"/>
  <c r="CA142" i="17"/>
  <c r="CS142" i="17" s="1"/>
  <c r="CR171" i="17"/>
  <c r="CA154" i="17"/>
  <c r="CB154" i="17" s="1"/>
  <c r="CA218" i="17"/>
  <c r="CS218" i="17" s="1"/>
  <c r="CA212" i="17"/>
  <c r="CR231" i="17"/>
  <c r="CA257" i="17"/>
  <c r="CB257" i="17" s="1"/>
  <c r="CA274" i="17"/>
  <c r="CS274" i="17" s="1"/>
  <c r="CR313" i="17"/>
  <c r="CR173" i="17"/>
  <c r="CR45" i="17"/>
  <c r="CA16" i="17"/>
  <c r="CA143" i="17"/>
  <c r="CB143" i="17" s="1"/>
  <c r="CA33" i="17"/>
  <c r="CS33" i="17" s="1"/>
  <c r="CA137" i="17"/>
  <c r="CS137" i="17" s="1"/>
  <c r="CA272" i="17"/>
  <c r="CR55" i="17"/>
  <c r="CR151" i="17"/>
  <c r="CA214" i="17"/>
  <c r="CS214" i="17" s="1"/>
  <c r="CA217" i="17"/>
  <c r="CR38" i="17"/>
  <c r="CA46" i="17"/>
  <c r="CB46" i="17" s="1"/>
  <c r="CA83" i="17"/>
  <c r="CA117" i="17"/>
  <c r="CB117" i="17" s="1"/>
  <c r="CA271" i="17"/>
  <c r="CS271" i="17" s="1"/>
  <c r="CA172" i="17"/>
  <c r="CS172" i="17" s="1"/>
  <c r="CR311" i="17"/>
  <c r="CR14" i="17"/>
  <c r="CA37" i="17"/>
  <c r="CS37" i="17" s="1"/>
  <c r="CA75" i="17"/>
  <c r="CS75" i="17" s="1"/>
  <c r="CA97" i="17"/>
  <c r="CS97" i="17" s="1"/>
  <c r="CA133" i="17"/>
  <c r="CS133" i="17" s="1"/>
  <c r="CS120" i="17"/>
  <c r="CA139" i="17"/>
  <c r="CS139" i="17" s="1"/>
  <c r="CA129" i="17"/>
  <c r="CS129" i="17" s="1"/>
  <c r="CR110" i="17"/>
  <c r="CR150" i="17"/>
  <c r="CR144" i="17"/>
  <c r="CA180" i="17"/>
  <c r="CR220" i="17"/>
  <c r="CR233" i="17"/>
  <c r="CR242" i="17"/>
  <c r="CR283" i="17"/>
  <c r="CA275" i="17"/>
  <c r="CS275" i="17" s="1"/>
  <c r="CA305" i="17"/>
  <c r="CR315" i="17"/>
  <c r="CR67" i="17"/>
  <c r="CA11" i="17"/>
  <c r="CB11" i="17" s="1"/>
  <c r="CA68" i="17"/>
  <c r="CB68" i="17" s="1"/>
  <c r="CA210" i="17"/>
  <c r="CS210" i="17" s="1"/>
  <c r="CR240" i="17"/>
  <c r="CR273" i="17"/>
  <c r="CA194" i="17"/>
  <c r="CS194" i="17" s="1"/>
  <c r="CR268" i="17"/>
  <c r="CA298" i="17"/>
  <c r="CA78" i="17"/>
  <c r="CB78" i="17" s="1"/>
  <c r="CR255" i="17"/>
  <c r="CR120" i="17"/>
  <c r="CA183" i="17"/>
  <c r="CB183" i="17" s="1"/>
  <c r="CA31" i="17"/>
  <c r="CB31" i="17" s="1"/>
  <c r="CA141" i="17"/>
  <c r="CS141" i="17" s="1"/>
  <c r="CA219" i="17"/>
  <c r="CB219" i="17" s="1"/>
  <c r="CA223" i="17"/>
  <c r="CA245" i="17"/>
  <c r="CB245" i="17" s="1"/>
  <c r="CR250" i="17"/>
  <c r="CR307" i="17"/>
  <c r="CA18" i="17"/>
  <c r="CS18" i="17" s="1"/>
  <c r="CR189" i="17"/>
  <c r="CA290" i="17"/>
  <c r="CS290" i="17" s="1"/>
  <c r="CA247" i="17"/>
  <c r="CB247" i="17" s="1"/>
  <c r="CR90" i="17"/>
  <c r="CA113" i="17"/>
  <c r="CS113" i="17" s="1"/>
  <c r="CR297" i="17"/>
  <c r="CA42" i="17"/>
  <c r="CB42" i="17" s="1"/>
  <c r="CA49" i="17"/>
  <c r="CB49" i="17" s="1"/>
  <c r="CA149" i="17"/>
  <c r="CS149" i="17" s="1"/>
  <c r="CA15" i="17"/>
  <c r="CA56" i="17"/>
  <c r="CB56" i="17" s="1"/>
  <c r="CR57" i="17"/>
  <c r="CR81" i="17"/>
  <c r="CA82" i="17"/>
  <c r="CR86" i="17"/>
  <c r="CA96" i="17"/>
  <c r="CS96" i="17" s="1"/>
  <c r="CR106" i="17"/>
  <c r="CR138" i="17"/>
  <c r="CA121" i="17"/>
  <c r="CB121" i="17" s="1"/>
  <c r="CR112" i="17"/>
  <c r="CA199" i="17"/>
  <c r="CA195" i="17"/>
  <c r="CA222" i="17"/>
  <c r="CB222" i="17" s="1"/>
  <c r="CA234" i="17"/>
  <c r="CS234" i="17" s="1"/>
  <c r="CR244" i="17"/>
  <c r="CA309" i="17"/>
  <c r="CA20" i="17"/>
  <c r="CS20" i="17" s="1"/>
  <c r="CR25" i="17"/>
  <c r="CR193" i="17"/>
  <c r="CA70" i="17"/>
  <c r="CS70" i="17" s="1"/>
  <c r="CA115" i="17"/>
  <c r="CB115" i="17" s="1"/>
  <c r="CA316" i="17"/>
  <c r="CB316" i="17" s="1"/>
  <c r="CA200" i="17"/>
  <c r="CA269" i="17"/>
  <c r="CR254" i="17"/>
  <c r="CA76" i="17"/>
  <c r="CS76" i="17" s="1"/>
  <c r="CR95" i="17"/>
  <c r="CA19" i="17"/>
  <c r="CA74" i="17"/>
  <c r="CS74" i="17" s="1"/>
  <c r="CR260" i="17"/>
  <c r="CA28" i="17"/>
  <c r="CA63" i="17"/>
  <c r="CA153" i="17"/>
  <c r="CS153" i="17" s="1"/>
  <c r="CR265" i="17"/>
  <c r="CA286" i="17"/>
  <c r="CR125" i="17"/>
  <c r="CA251" i="17"/>
  <c r="CB251" i="17" s="1"/>
  <c r="CA160" i="17"/>
  <c r="CS160" i="17" s="1"/>
  <c r="CR213" i="17"/>
  <c r="CA215" i="17"/>
  <c r="CB215" i="17" s="1"/>
  <c r="CA259" i="17"/>
  <c r="CS259" i="17" s="1"/>
  <c r="CR292" i="17"/>
  <c r="CA284" i="17"/>
  <c r="CB284" i="17" s="1"/>
  <c r="CA299" i="17"/>
  <c r="CB299" i="17" s="1"/>
  <c r="CR17" i="17"/>
  <c r="CR35" i="17"/>
  <c r="CA58" i="17"/>
  <c r="CS58" i="17" s="1"/>
  <c r="CA59" i="17"/>
  <c r="CA73" i="17"/>
  <c r="CR93" i="17"/>
  <c r="CR114" i="17"/>
  <c r="CR132" i="17"/>
  <c r="CR203" i="17"/>
  <c r="CR224" i="17"/>
  <c r="CA204" i="17"/>
  <c r="CS204" i="17" s="1"/>
  <c r="CR236" i="17"/>
  <c r="CA241" i="17"/>
  <c r="CS241" i="17" s="1"/>
  <c r="CA256" i="17"/>
  <c r="CA249" i="17"/>
  <c r="CS249" i="17" s="1"/>
  <c r="CA267" i="17"/>
  <c r="CS267" i="17" s="1"/>
  <c r="CR278" i="17"/>
  <c r="CA170" i="17"/>
  <c r="CA230" i="17"/>
  <c r="CR280" i="17"/>
  <c r="CA192" i="17"/>
  <c r="CR169" i="17"/>
  <c r="CA88" i="17"/>
  <c r="CB88" i="17" s="1"/>
  <c r="CA182" i="17"/>
  <c r="CS182" i="17" s="1"/>
  <c r="CR108" i="17"/>
  <c r="CA72" i="17"/>
  <c r="CS72" i="17" s="1"/>
  <c r="CA243" i="17"/>
  <c r="CS243" i="17" s="1"/>
  <c r="CA163" i="17"/>
  <c r="CA202" i="17"/>
  <c r="CS202" i="17" s="1"/>
  <c r="CR276" i="17"/>
  <c r="CR165" i="17"/>
  <c r="CA208" i="17"/>
  <c r="CR175" i="17"/>
  <c r="CA190" i="17"/>
  <c r="CS190" i="17" s="1"/>
  <c r="CA9" i="17"/>
  <c r="CR179" i="17"/>
  <c r="CA32" i="17"/>
  <c r="CS32" i="17" s="1"/>
  <c r="CA36" i="17"/>
  <c r="CR66" i="17"/>
  <c r="CR126" i="17"/>
  <c r="CR131" i="17"/>
  <c r="CA258" i="17"/>
  <c r="CS258" i="17" s="1"/>
  <c r="CR301" i="17"/>
  <c r="CR27" i="17"/>
  <c r="CA89" i="17"/>
  <c r="CB89" i="17" s="1"/>
  <c r="CR87" i="17"/>
  <c r="CR101" i="17"/>
  <c r="CR99" i="17"/>
  <c r="CA111" i="17"/>
  <c r="CB111" i="17" s="1"/>
  <c r="CA135" i="17"/>
  <c r="CA166" i="17"/>
  <c r="CR191" i="17"/>
  <c r="CA176" i="17"/>
  <c r="CS176" i="17" s="1"/>
  <c r="CR181" i="17"/>
  <c r="CR228" i="17"/>
  <c r="CR221" i="17"/>
  <c r="CR205" i="17"/>
  <c r="CS207" i="17"/>
  <c r="CA246" i="17"/>
  <c r="CS246" i="17" s="1"/>
  <c r="CA270" i="17"/>
  <c r="CA296" i="17"/>
  <c r="CR312" i="17"/>
  <c r="CA62" i="17"/>
  <c r="CS62" i="17" s="1"/>
  <c r="CA84" i="17"/>
  <c r="CS84" i="17" s="1"/>
  <c r="CA127" i="17"/>
  <c r="CA164" i="17"/>
  <c r="CA277" i="17"/>
  <c r="CB277" i="17" s="1"/>
  <c r="CR310" i="17"/>
  <c r="CA308" i="17"/>
  <c r="CR177" i="17"/>
  <c r="CR300" i="17"/>
  <c r="CA302" i="17"/>
  <c r="CS302" i="17" s="1"/>
  <c r="CA77" i="17"/>
  <c r="CB77" i="17" s="1"/>
  <c r="CR207" i="17"/>
  <c r="CA79" i="17"/>
  <c r="CS79" i="17" s="1"/>
  <c r="CA109" i="17"/>
  <c r="CS109" i="17" s="1"/>
  <c r="CR226" i="17"/>
  <c r="CR145" i="17"/>
  <c r="CA80" i="17"/>
  <c r="CS80" i="17" s="1"/>
  <c r="CA287" i="17"/>
  <c r="CA22" i="17"/>
  <c r="CB22" i="17" s="1"/>
  <c r="CA12" i="17"/>
  <c r="CS12" i="17" s="1"/>
  <c r="CR197" i="17"/>
  <c r="CA187" i="17"/>
  <c r="CR232" i="17"/>
  <c r="CA69" i="17"/>
  <c r="CB69" i="17" s="1"/>
  <c r="CA116" i="17"/>
  <c r="CB116" i="17" s="1"/>
  <c r="CR235" i="17"/>
  <c r="CR303" i="17"/>
  <c r="CA8" i="17"/>
  <c r="CS8" i="17" s="1"/>
  <c r="CA39" i="17"/>
  <c r="CS39" i="17" s="1"/>
  <c r="CA47" i="17"/>
  <c r="CB47" i="17" s="1"/>
  <c r="CR48" i="17"/>
  <c r="CA92" i="17"/>
  <c r="CA104" i="17"/>
  <c r="CS104" i="17" s="1"/>
  <c r="CR98" i="17"/>
  <c r="CA103" i="17"/>
  <c r="CA119" i="17"/>
  <c r="CA162" i="17"/>
  <c r="CS162" i="17" s="1"/>
  <c r="CA140" i="17"/>
  <c r="CB140" i="17" s="1"/>
  <c r="CA178" i="17"/>
  <c r="CB178" i="17" s="1"/>
  <c r="CR186" i="17"/>
  <c r="CA198" i="17"/>
  <c r="CS198" i="17" s="1"/>
  <c r="CR216" i="17"/>
  <c r="CA225" i="17"/>
  <c r="CB225" i="17" s="1"/>
  <c r="CR248" i="17"/>
  <c r="CR253" i="17"/>
  <c r="CR229" i="17"/>
  <c r="CA266" i="17"/>
  <c r="CA314" i="17"/>
  <c r="CA306" i="17"/>
  <c r="CA61" i="17"/>
  <c r="CB61" i="17" s="1"/>
  <c r="CR105" i="17"/>
  <c r="CA134" i="17"/>
  <c r="CS134" i="17" s="1"/>
  <c r="CR167" i="17"/>
  <c r="CA227" i="17"/>
  <c r="CA318" i="17"/>
  <c r="CB318" i="17" s="1"/>
  <c r="CA13" i="17"/>
  <c r="CB13" i="17" s="1"/>
  <c r="CR123" i="17"/>
  <c r="CR7" i="17"/>
  <c r="AV180" i="17"/>
  <c r="CR180" i="17"/>
  <c r="CR78" i="17"/>
  <c r="CR227" i="17"/>
  <c r="CR194" i="17"/>
  <c r="CA255" i="17"/>
  <c r="CA123" i="17"/>
  <c r="CA125" i="17"/>
  <c r="CA220" i="17"/>
  <c r="CR9" i="17"/>
  <c r="CR163" i="17"/>
  <c r="AV176" i="17"/>
  <c r="CR212" i="17"/>
  <c r="CA102" i="17"/>
  <c r="CR13" i="17"/>
  <c r="CA105" i="17"/>
  <c r="CR134" i="17"/>
  <c r="CR318" i="17"/>
  <c r="CA167" i="17"/>
  <c r="CA186" i="17"/>
  <c r="CR219" i="17"/>
  <c r="CR109" i="17"/>
  <c r="CR141" i="17"/>
  <c r="CA226" i="17"/>
  <c r="CR82" i="17"/>
  <c r="CA86" i="17"/>
  <c r="CA57" i="17"/>
  <c r="CR56" i="17"/>
  <c r="CR94" i="17"/>
  <c r="CA231" i="17"/>
  <c r="CA313" i="17"/>
  <c r="CR257" i="17"/>
  <c r="CR230" i="17"/>
  <c r="AX191" i="17"/>
  <c r="CR72" i="17"/>
  <c r="CR192" i="17"/>
  <c r="CA224" i="17"/>
  <c r="CR88" i="17"/>
  <c r="CA169" i="17"/>
  <c r="CR204" i="17"/>
  <c r="CR62" i="17"/>
  <c r="CR77" i="17"/>
  <c r="CR164" i="17"/>
  <c r="CR277" i="17"/>
  <c r="CR270" i="17"/>
  <c r="CA310" i="17"/>
  <c r="CR84" i="17"/>
  <c r="AW302" i="17"/>
  <c r="CA300" i="17"/>
  <c r="CR89" i="17"/>
  <c r="CR104" i="17"/>
  <c r="CA48" i="17"/>
  <c r="CA95" i="17"/>
  <c r="CA177" i="17"/>
  <c r="CR76" i="17"/>
  <c r="CR271" i="17"/>
  <c r="CR31" i="17"/>
  <c r="CR168" i="17"/>
  <c r="CR246" i="17"/>
  <c r="AW256" i="17"/>
  <c r="CR308" i="17"/>
  <c r="CR29" i="17"/>
  <c r="CA100" i="17"/>
  <c r="AW277" i="17"/>
  <c r="CR302" i="17"/>
  <c r="CR200" i="17"/>
  <c r="CA312" i="17"/>
  <c r="CR127" i="17"/>
  <c r="AV300" i="17"/>
  <c r="CR117" i="17"/>
  <c r="AW184" i="17"/>
  <c r="CR249" i="17"/>
  <c r="CR296" i="17"/>
  <c r="CR92" i="17"/>
  <c r="AW172" i="17"/>
  <c r="CR223" i="17"/>
  <c r="CR20" i="17"/>
  <c r="CA106" i="17"/>
  <c r="CR316" i="17"/>
  <c r="CA98" i="17"/>
  <c r="CR119" i="17"/>
  <c r="CR234" i="17"/>
  <c r="CR199" i="17"/>
  <c r="CA216" i="17"/>
  <c r="CA25" i="17"/>
  <c r="CR115" i="17"/>
  <c r="CR8" i="17"/>
  <c r="CR269" i="17"/>
  <c r="AV58" i="17"/>
  <c r="CR80" i="17"/>
  <c r="CR225" i="17"/>
  <c r="CA254" i="17"/>
  <c r="CA165" i="17"/>
  <c r="CA179" i="17"/>
  <c r="CR208" i="17"/>
  <c r="CA281" i="17"/>
  <c r="CR188" i="17"/>
  <c r="CA250" i="17"/>
  <c r="CR190" i="17"/>
  <c r="CA188" i="17"/>
  <c r="CA276" i="17"/>
  <c r="CA175" i="17"/>
  <c r="CR281" i="17"/>
  <c r="CR209" i="17"/>
  <c r="CA144" i="17"/>
  <c r="CR202" i="17"/>
  <c r="CR166" i="17"/>
  <c r="CA203" i="17"/>
  <c r="CR16" i="17"/>
  <c r="CR111" i="17"/>
  <c r="CR143" i="17"/>
  <c r="AW235" i="17"/>
  <c r="CA244" i="17"/>
  <c r="CR272" i="17"/>
  <c r="AV223" i="17"/>
  <c r="CR135" i="17"/>
  <c r="CR195" i="17"/>
  <c r="CA99" i="17"/>
  <c r="CR137" i="17"/>
  <c r="CR222" i="17"/>
  <c r="AV231" i="17"/>
  <c r="AW157" i="17"/>
  <c r="AU209" i="17"/>
  <c r="AV79" i="17"/>
  <c r="AX127" i="17"/>
  <c r="AV239" i="17"/>
  <c r="AW121" i="17"/>
  <c r="AX187" i="17"/>
  <c r="AX18" i="17"/>
  <c r="AX160" i="17"/>
  <c r="AW38" i="17"/>
  <c r="AX207" i="17"/>
  <c r="CB137" i="17"/>
  <c r="CB76" i="17"/>
  <c r="CA201" i="17"/>
  <c r="AX215" i="17"/>
  <c r="CR178" i="17"/>
  <c r="CB207" i="17"/>
  <c r="CA114" i="17"/>
  <c r="AX281" i="17"/>
  <c r="CA7" i="17"/>
  <c r="CA45" i="17"/>
  <c r="AV56" i="17"/>
  <c r="AW64" i="17"/>
  <c r="CR187" i="17"/>
  <c r="CA181" i="17"/>
  <c r="CR241" i="17"/>
  <c r="AV217" i="17"/>
  <c r="CA236" i="17"/>
  <c r="CR256" i="17"/>
  <c r="CA315" i="17"/>
  <c r="CR33" i="17"/>
  <c r="CA55" i="17"/>
  <c r="CR142" i="17"/>
  <c r="AX45" i="17"/>
  <c r="CR61" i="17"/>
  <c r="AX61" i="17"/>
  <c r="CR70" i="17"/>
  <c r="CA101" i="17"/>
  <c r="CA173" i="17"/>
  <c r="CR183" i="17"/>
  <c r="CA193" i="17"/>
  <c r="CA205" i="17"/>
  <c r="CR243" i="17"/>
  <c r="CA260" i="17"/>
  <c r="CR305" i="17"/>
  <c r="CA268" i="17"/>
  <c r="CA110" i="17"/>
  <c r="CR121" i="17"/>
  <c r="AW60" i="17"/>
  <c r="CA87" i="17"/>
  <c r="CR245" i="17"/>
  <c r="AV64" i="17"/>
  <c r="AW273" i="17"/>
  <c r="AX273" i="17"/>
  <c r="CA156" i="17"/>
  <c r="CR156" i="17"/>
  <c r="CR266" i="17"/>
  <c r="CA279" i="17"/>
  <c r="CR279" i="17"/>
  <c r="CA317" i="17"/>
  <c r="CR317" i="17"/>
  <c r="AV298" i="17"/>
  <c r="AW298" i="17"/>
  <c r="CR172" i="17"/>
  <c r="CR107" i="17"/>
  <c r="CA107" i="17"/>
  <c r="AX83" i="17"/>
  <c r="AW83" i="17"/>
  <c r="CR136" i="17"/>
  <c r="CA136" i="17"/>
  <c r="CA146" i="17"/>
  <c r="AX123" i="17"/>
  <c r="AW123" i="17"/>
  <c r="CA174" i="17"/>
  <c r="CR174" i="17"/>
  <c r="CA44" i="17"/>
  <c r="CR304" i="17"/>
  <c r="CA304" i="17"/>
  <c r="CA285" i="17"/>
  <c r="CR285" i="17"/>
  <c r="CA196" i="17"/>
  <c r="CR196" i="17"/>
  <c r="CA211" i="17"/>
  <c r="CR211" i="17"/>
  <c r="CA206" i="17"/>
  <c r="CR206" i="17"/>
  <c r="CR96" i="17"/>
  <c r="AX269" i="17"/>
  <c r="CA148" i="17"/>
  <c r="AV159" i="17"/>
  <c r="CR10" i="17"/>
  <c r="CA10" i="17"/>
  <c r="AX48" i="17"/>
  <c r="AW48" i="17"/>
  <c r="CR170" i="17"/>
  <c r="CR287" i="17"/>
  <c r="CA283" i="17"/>
  <c r="CA17" i="17"/>
  <c r="CA85" i="17"/>
  <c r="CR85" i="17"/>
  <c r="CR12" i="17"/>
  <c r="CR149" i="17"/>
  <c r="CR182" i="17"/>
  <c r="AV61" i="17"/>
  <c r="CA280" i="17"/>
  <c r="CA108" i="17"/>
  <c r="CR133" i="17"/>
  <c r="CR11" i="17"/>
  <c r="CR210" i="17"/>
  <c r="AW221" i="17"/>
  <c r="CR15" i="17"/>
  <c r="AX227" i="17"/>
  <c r="CA273" i="17"/>
  <c r="CR68" i="17"/>
  <c r="CR129" i="17"/>
  <c r="AV21" i="17"/>
  <c r="CA240" i="17"/>
  <c r="CR298" i="17"/>
  <c r="CA67" i="17"/>
  <c r="CR19" i="17"/>
  <c r="AX21" i="17"/>
  <c r="CR73" i="17"/>
  <c r="AX79" i="17"/>
  <c r="CR103" i="17"/>
  <c r="AX170" i="17"/>
  <c r="CR176" i="17"/>
  <c r="AW219" i="17"/>
  <c r="CA242" i="17"/>
  <c r="CR309" i="17"/>
  <c r="CA232" i="17"/>
  <c r="CA71" i="17"/>
  <c r="AV102" i="17"/>
  <c r="CR59" i="17"/>
  <c r="AV225" i="17"/>
  <c r="CR275" i="17"/>
  <c r="CA311" i="17"/>
  <c r="CA229" i="17"/>
  <c r="CR247" i="17"/>
  <c r="CR294" i="17"/>
  <c r="AW316" i="17"/>
  <c r="CR122" i="17"/>
  <c r="CR139" i="17"/>
  <c r="CA138" i="17"/>
  <c r="CA248" i="17"/>
  <c r="CA122" i="17"/>
  <c r="AV25" i="17"/>
  <c r="CA189" i="17"/>
  <c r="CA253" i="17"/>
  <c r="CR290" i="17"/>
  <c r="CA6" i="17"/>
  <c r="AV104" i="17"/>
  <c r="CR18" i="17"/>
  <c r="CR69" i="17"/>
  <c r="CR28" i="17"/>
  <c r="CR71" i="17"/>
  <c r="CR140" i="17"/>
  <c r="CA93" i="17"/>
  <c r="CR83" i="17"/>
  <c r="CA81" i="17"/>
  <c r="CR162" i="17"/>
  <c r="CR218" i="17"/>
  <c r="AW218" i="17"/>
  <c r="CA14" i="17"/>
  <c r="CR58" i="17"/>
  <c r="CA157" i="17"/>
  <c r="AW178" i="17"/>
  <c r="CA233" i="17"/>
  <c r="CA27" i="17"/>
  <c r="AV209" i="17"/>
  <c r="AW228" i="17"/>
  <c r="CR97" i="17"/>
  <c r="CR306" i="17"/>
  <c r="CR147" i="17"/>
  <c r="CR217" i="17"/>
  <c r="CR274" i="17"/>
  <c r="AW234" i="17"/>
  <c r="CR148" i="17"/>
  <c r="CR113" i="17"/>
  <c r="AW222" i="17"/>
  <c r="CR79" i="17"/>
  <c r="CR284" i="17"/>
  <c r="CS294" i="17"/>
  <c r="AV253" i="17"/>
  <c r="CA53" i="17"/>
  <c r="AU266" i="17"/>
  <c r="CR299" i="17"/>
  <c r="AV198" i="17"/>
  <c r="CA278" i="17"/>
  <c r="CA132" i="17"/>
  <c r="CR251" i="17"/>
  <c r="CA252" i="17"/>
  <c r="AX310" i="17"/>
  <c r="CA307" i="17"/>
  <c r="CR46" i="17"/>
  <c r="CR44" i="17"/>
  <c r="CR47" i="17"/>
  <c r="CA65" i="17"/>
  <c r="CA112" i="17"/>
  <c r="CA197" i="17"/>
  <c r="CA221" i="17"/>
  <c r="CR252" i="17"/>
  <c r="CR267" i="17"/>
  <c r="AW220" i="17"/>
  <c r="AW237" i="17"/>
  <c r="CR34" i="17"/>
  <c r="CR74" i="17"/>
  <c r="CA228" i="17"/>
  <c r="CR314" i="17"/>
  <c r="CR75" i="17"/>
  <c r="CA171" i="17"/>
  <c r="CA191" i="17"/>
  <c r="AW166" i="17"/>
  <c r="CR214" i="17"/>
  <c r="CR36" i="17"/>
  <c r="CR32" i="17"/>
  <c r="CR60" i="17"/>
  <c r="CR198" i="17"/>
  <c r="AW46" i="17"/>
  <c r="AU66" i="17"/>
  <c r="AX185" i="17"/>
  <c r="AW185" i="17"/>
  <c r="CA38" i="17"/>
  <c r="CR42" i="17"/>
  <c r="AW154" i="17"/>
  <c r="AU119" i="17"/>
  <c r="CR160" i="17"/>
  <c r="CB275" i="17"/>
  <c r="CR39" i="17"/>
  <c r="AX112" i="17"/>
  <c r="AW112" i="17"/>
  <c r="AU289" i="17"/>
  <c r="CR154" i="17"/>
  <c r="AV262" i="17"/>
  <c r="CA261" i="17"/>
  <c r="CR258" i="17"/>
  <c r="CR289" i="17"/>
  <c r="AV12" i="17"/>
  <c r="CR37" i="17"/>
  <c r="CB120" i="17"/>
  <c r="CB141" i="17"/>
  <c r="AW216" i="17"/>
  <c r="AX253" i="17"/>
  <c r="AW253" i="17"/>
  <c r="AV203" i="17"/>
  <c r="AV81" i="17"/>
  <c r="AX110" i="17"/>
  <c r="AW110" i="17"/>
  <c r="CR146" i="17"/>
  <c r="AW224" i="17"/>
  <c r="AV259" i="17"/>
  <c r="AV240" i="17"/>
  <c r="CR23" i="17"/>
  <c r="CA23" i="17"/>
  <c r="AV94" i="17"/>
  <c r="AV106" i="17"/>
  <c r="AX102" i="17"/>
  <c r="AW102" i="17"/>
  <c r="AV207" i="17"/>
  <c r="AU6" i="17"/>
  <c r="AW10" i="17"/>
  <c r="AX10" i="17"/>
  <c r="CA35" i="17"/>
  <c r="AV96" i="17"/>
  <c r="AW98" i="17"/>
  <c r="AX98" i="17"/>
  <c r="AX104" i="17"/>
  <c r="AW104" i="17"/>
  <c r="AV116" i="17"/>
  <c r="AX263" i="17"/>
  <c r="AW263" i="17"/>
  <c r="CR215" i="17"/>
  <c r="CR259" i="17"/>
  <c r="CA297" i="17"/>
  <c r="AW106" i="17"/>
  <c r="CR152" i="17"/>
  <c r="CA152" i="17"/>
  <c r="AW255" i="17"/>
  <c r="AV121" i="17"/>
  <c r="CA150" i="17"/>
  <c r="AW232" i="17"/>
  <c r="CS282" i="17"/>
  <c r="AU22" i="17"/>
  <c r="AV26" i="17"/>
  <c r="AW27" i="17"/>
  <c r="AX27" i="17"/>
  <c r="AW47" i="17"/>
  <c r="AX47" i="17"/>
  <c r="AV7" i="17"/>
  <c r="AV19" i="17"/>
  <c r="AV32" i="17"/>
  <c r="CR21" i="17"/>
  <c r="CA30" i="17"/>
  <c r="AV34" i="17"/>
  <c r="AW49" i="17"/>
  <c r="AX49" i="17"/>
  <c r="AW51" i="17"/>
  <c r="AX51" i="17"/>
  <c r="AV63" i="17"/>
  <c r="AW52" i="17"/>
  <c r="AV74" i="17"/>
  <c r="CA66" i="17"/>
  <c r="AV84" i="17"/>
  <c r="CR116" i="17"/>
  <c r="AV111" i="17"/>
  <c r="AV117" i="17"/>
  <c r="AV122" i="17"/>
  <c r="CR118" i="17"/>
  <c r="CA128" i="17"/>
  <c r="AV149" i="17"/>
  <c r="AU144" i="17"/>
  <c r="AV136" i="17"/>
  <c r="AW146" i="17"/>
  <c r="AX146" i="17"/>
  <c r="AW152" i="17"/>
  <c r="AX152" i="17"/>
  <c r="AV165" i="17"/>
  <c r="AV171" i="17"/>
  <c r="AW180" i="17"/>
  <c r="AX180" i="17"/>
  <c r="AW164" i="17"/>
  <c r="AX164" i="17"/>
  <c r="CR185" i="17"/>
  <c r="CA185" i="17"/>
  <c r="AV188" i="17"/>
  <c r="AV196" i="17"/>
  <c r="AV202" i="17"/>
  <c r="CA262" i="17"/>
  <c r="AX260" i="17"/>
  <c r="AW260" i="17"/>
  <c r="AX261" i="17"/>
  <c r="AW261" i="17"/>
  <c r="CA265" i="17"/>
  <c r="AV266" i="17"/>
  <c r="AV286" i="17"/>
  <c r="AV272" i="17"/>
  <c r="AV290" i="17"/>
  <c r="CA301" i="17"/>
  <c r="CB305" i="17"/>
  <c r="AX67" i="17"/>
  <c r="AW67" i="17"/>
  <c r="AV76" i="17"/>
  <c r="AV68" i="17"/>
  <c r="CA90" i="17"/>
  <c r="AV109" i="17"/>
  <c r="AV95" i="17"/>
  <c r="AV130" i="17"/>
  <c r="CA161" i="17"/>
  <c r="AV140" i="17"/>
  <c r="CR155" i="17"/>
  <c r="AV142" i="17"/>
  <c r="AV175" i="17"/>
  <c r="AV210" i="17"/>
  <c r="AV194" i="17"/>
  <c r="AV212" i="17"/>
  <c r="CA213" i="17"/>
  <c r="CR239" i="17"/>
  <c r="CA238" i="17"/>
  <c r="CR238" i="17"/>
  <c r="AW225" i="17"/>
  <c r="AX225" i="17"/>
  <c r="CA237" i="17"/>
  <c r="AV252" i="17"/>
  <c r="AV248" i="17"/>
  <c r="AV299" i="17"/>
  <c r="AW308" i="17"/>
  <c r="AX308" i="17"/>
  <c r="AV313" i="17"/>
  <c r="AX318" i="17"/>
  <c r="AW318" i="17"/>
  <c r="AW29" i="17"/>
  <c r="AX29" i="17"/>
  <c r="AV59" i="17"/>
  <c r="CR64" i="17"/>
  <c r="CR22" i="17"/>
  <c r="CA50" i="17"/>
  <c r="CR50" i="17"/>
  <c r="AV30" i="17"/>
  <c r="AV77" i="17"/>
  <c r="CS82" i="17"/>
  <c r="AV92" i="17"/>
  <c r="AV88" i="17"/>
  <c r="AV115" i="17"/>
  <c r="CR130" i="17"/>
  <c r="AV120" i="17"/>
  <c r="AV124" i="17"/>
  <c r="AV143" i="17"/>
  <c r="AV151" i="17"/>
  <c r="CA155" i="17"/>
  <c r="CS180" i="17"/>
  <c r="AW168" i="17"/>
  <c r="AX168" i="17"/>
  <c r="AX186" i="17"/>
  <c r="AW186" i="17"/>
  <c r="AV167" i="17"/>
  <c r="AV169" i="17"/>
  <c r="AW174" i="17"/>
  <c r="AX174" i="17"/>
  <c r="AW176" i="17"/>
  <c r="AX176" i="17"/>
  <c r="AW162" i="17"/>
  <c r="AX162" i="17"/>
  <c r="AV181" i="17"/>
  <c r="AV163" i="17"/>
  <c r="AV208" i="17"/>
  <c r="AW231" i="17"/>
  <c r="AX231" i="17"/>
  <c r="CR282" i="17"/>
  <c r="AV284" i="17"/>
  <c r="AV274" i="17"/>
  <c r="CR291" i="17"/>
  <c r="CR286" i="17"/>
  <c r="CA263" i="17"/>
  <c r="CA295" i="17"/>
  <c r="CA303" i="17"/>
  <c r="AV294" i="17"/>
  <c r="AV13" i="17"/>
  <c r="AV17" i="17"/>
  <c r="CA43" i="17"/>
  <c r="CR54" i="17"/>
  <c r="AX31" i="17"/>
  <c r="AW31" i="17"/>
  <c r="CR49" i="17"/>
  <c r="CR24" i="17"/>
  <c r="AV24" i="17"/>
  <c r="AW39" i="17"/>
  <c r="AX39" i="17"/>
  <c r="AW37" i="17"/>
  <c r="AX37" i="17"/>
  <c r="CA51" i="17"/>
  <c r="CR51" i="17"/>
  <c r="CR43" i="17"/>
  <c r="CA52" i="17"/>
  <c r="CR52" i="17"/>
  <c r="AV73" i="17"/>
  <c r="AU90" i="17"/>
  <c r="CR124" i="17"/>
  <c r="AV107" i="17"/>
  <c r="AV99" i="17"/>
  <c r="AX132" i="17"/>
  <c r="AW132" i="17"/>
  <c r="CA130" i="17"/>
  <c r="CA131" i="17"/>
  <c r="AX156" i="17"/>
  <c r="AW156" i="17"/>
  <c r="AV134" i="17"/>
  <c r="AW148" i="17"/>
  <c r="AX148" i="17"/>
  <c r="CR161" i="17"/>
  <c r="CB163" i="17"/>
  <c r="AV200" i="17"/>
  <c r="CB227" i="17"/>
  <c r="CS212" i="17"/>
  <c r="AV251" i="17"/>
  <c r="AV242" i="17"/>
  <c r="AV247" i="17"/>
  <c r="AV250" i="17"/>
  <c r="CR261" i="17"/>
  <c r="CA292" i="17"/>
  <c r="AV276" i="17"/>
  <c r="CR295" i="17"/>
  <c r="AV311" i="17"/>
  <c r="AV305" i="17"/>
  <c r="AW33" i="17"/>
  <c r="AX33" i="17"/>
  <c r="AV72" i="17"/>
  <c r="AV101" i="17"/>
  <c r="AV113" i="17"/>
  <c r="AV128" i="17"/>
  <c r="AV145" i="17"/>
  <c r="AV153" i="17"/>
  <c r="AV133" i="17"/>
  <c r="AX158" i="17"/>
  <c r="AW158" i="17"/>
  <c r="AV177" i="17"/>
  <c r="AV183" i="17"/>
  <c r="AV204" i="17"/>
  <c r="AV190" i="17"/>
  <c r="AW213" i="17"/>
  <c r="AX213" i="17"/>
  <c r="CR263" i="17"/>
  <c r="AW258" i="17"/>
  <c r="AX258" i="17"/>
  <c r="CA239" i="17"/>
  <c r="AV288" i="17"/>
  <c r="AV317" i="17"/>
  <c r="AV295" i="17"/>
  <c r="AV297" i="17"/>
  <c r="CR41" i="17"/>
  <c r="AV82" i="17"/>
  <c r="AV9" i="17"/>
  <c r="AW23" i="17"/>
  <c r="AX23" i="17"/>
  <c r="CS34" i="17"/>
  <c r="AW25" i="17"/>
  <c r="AX25" i="17"/>
  <c r="AW20" i="17"/>
  <c r="AX20" i="17"/>
  <c r="CA26" i="17"/>
  <c r="AW35" i="17"/>
  <c r="AX35" i="17"/>
  <c r="CA41" i="17"/>
  <c r="AW54" i="17"/>
  <c r="CS59" i="17"/>
  <c r="CB59" i="17"/>
  <c r="AW58" i="17"/>
  <c r="AX58" i="17"/>
  <c r="CA64" i="17"/>
  <c r="AV71" i="17"/>
  <c r="CR128" i="17"/>
  <c r="AV105" i="17"/>
  <c r="CA118" i="17"/>
  <c r="CS117" i="17"/>
  <c r="CA126" i="17"/>
  <c r="CA124" i="17"/>
  <c r="CA158" i="17"/>
  <c r="AV139" i="17"/>
  <c r="AW150" i="17"/>
  <c r="AX150" i="17"/>
  <c r="CR158" i="17"/>
  <c r="CS217" i="17"/>
  <c r="CB223" i="17"/>
  <c r="AV192" i="17"/>
  <c r="CB230" i="17"/>
  <c r="AW217" i="17"/>
  <c r="AX217" i="17"/>
  <c r="AW233" i="17"/>
  <c r="AX233" i="17"/>
  <c r="CA235" i="17"/>
  <c r="AW239" i="17"/>
  <c r="CR264" i="17"/>
  <c r="AV249" i="17"/>
  <c r="AX264" i="17"/>
  <c r="AW264" i="17"/>
  <c r="AV244" i="17"/>
  <c r="CB287" i="17"/>
  <c r="AW257" i="17"/>
  <c r="AV278" i="17"/>
  <c r="AV268" i="17"/>
  <c r="AV307" i="17"/>
  <c r="AW306" i="17"/>
  <c r="AX306" i="17"/>
  <c r="CB298" i="17"/>
  <c r="AW300" i="17"/>
  <c r="AX300" i="17"/>
  <c r="AV309" i="17"/>
  <c r="AV301" i="17"/>
  <c r="AW312" i="17"/>
  <c r="AX312" i="17"/>
  <c r="AV57" i="17"/>
  <c r="CS63" i="17"/>
  <c r="CB63" i="17"/>
  <c r="AV69" i="17"/>
  <c r="AV75" i="17"/>
  <c r="CA91" i="17"/>
  <c r="CR91" i="17"/>
  <c r="CR30" i="17"/>
  <c r="AV11" i="17"/>
  <c r="CS15" i="17"/>
  <c r="CB36" i="17"/>
  <c r="AW53" i="17"/>
  <c r="AX53" i="17"/>
  <c r="CB54" i="17"/>
  <c r="CR63" i="17"/>
  <c r="AW63" i="17"/>
  <c r="AX63" i="17"/>
  <c r="AW56" i="17"/>
  <c r="AX56" i="17"/>
  <c r="AV66" i="17"/>
  <c r="CR53" i="17"/>
  <c r="AW62" i="17"/>
  <c r="AX62" i="17"/>
  <c r="AV67" i="17"/>
  <c r="CS78" i="17"/>
  <c r="AV86" i="17"/>
  <c r="AV80" i="17"/>
  <c r="CS116" i="17"/>
  <c r="AV97" i="17"/>
  <c r="AV119" i="17"/>
  <c r="AV93" i="17"/>
  <c r="AV103" i="17"/>
  <c r="AV137" i="17"/>
  <c r="AV147" i="17"/>
  <c r="AV135" i="17"/>
  <c r="AV138" i="17"/>
  <c r="AW182" i="17"/>
  <c r="AX182" i="17"/>
  <c r="CA184" i="17"/>
  <c r="CR184" i="17"/>
  <c r="AV206" i="17"/>
  <c r="CS230" i="17"/>
  <c r="AW223" i="17"/>
  <c r="AX223" i="17"/>
  <c r="AV246" i="17"/>
  <c r="AX265" i="17"/>
  <c r="AW265" i="17"/>
  <c r="AU243" i="17"/>
  <c r="CA264" i="17"/>
  <c r="CR288" i="17"/>
  <c r="AV280" i="17"/>
  <c r="CA291" i="17"/>
  <c r="AW304" i="17"/>
  <c r="AX304" i="17"/>
  <c r="CR293" i="17"/>
  <c r="AV315" i="17"/>
  <c r="AW41" i="17"/>
  <c r="AX41" i="17"/>
  <c r="CR40" i="17"/>
  <c r="AV28" i="17"/>
  <c r="CA40" i="17"/>
  <c r="AV70" i="17"/>
  <c r="CB82" i="17"/>
  <c r="CB104" i="17"/>
  <c r="AV126" i="17"/>
  <c r="CR153" i="17"/>
  <c r="CR159" i="17"/>
  <c r="CA159" i="17"/>
  <c r="AV155" i="17"/>
  <c r="CA145" i="17"/>
  <c r="CA151" i="17"/>
  <c r="AV173" i="17"/>
  <c r="AV179" i="17"/>
  <c r="AW229" i="17"/>
  <c r="AX229" i="17"/>
  <c r="AV241" i="17"/>
  <c r="CR262" i="17"/>
  <c r="AV254" i="17"/>
  <c r="AV245" i="17"/>
  <c r="CB282" i="17"/>
  <c r="AV292" i="17"/>
  <c r="AV270" i="17"/>
  <c r="AV282" i="17"/>
  <c r="CA293" i="17"/>
  <c r="CA288" i="17"/>
  <c r="AW296" i="17"/>
  <c r="AX296" i="17"/>
  <c r="AW314" i="17"/>
  <c r="AX314" i="17"/>
  <c r="AV303" i="17"/>
  <c r="CS143" i="17" l="1"/>
  <c r="CB147" i="17"/>
  <c r="CS245" i="17"/>
  <c r="CS31" i="17"/>
  <c r="CB97" i="17"/>
  <c r="CC97" i="17" s="1"/>
  <c r="CU97" i="17" s="1"/>
  <c r="CB58" i="17"/>
  <c r="CT58" i="17" s="1"/>
  <c r="CB153" i="17"/>
  <c r="CT153" i="17" s="1"/>
  <c r="CB75" i="17"/>
  <c r="CT75" i="17" s="1"/>
  <c r="CS318" i="17"/>
  <c r="CB241" i="17"/>
  <c r="CC241" i="17" s="1"/>
  <c r="CD241" i="17" s="1"/>
  <c r="CB274" i="17"/>
  <c r="CC274" i="17" s="1"/>
  <c r="CD274" i="17" s="1"/>
  <c r="CB39" i="17"/>
  <c r="CT39" i="17" s="1"/>
  <c r="CB243" i="17"/>
  <c r="CC243" i="17" s="1"/>
  <c r="CB258" i="17"/>
  <c r="CT258" i="17" s="1"/>
  <c r="CB96" i="17"/>
  <c r="CT96" i="17" s="1"/>
  <c r="CB214" i="17"/>
  <c r="CT214" i="17" s="1"/>
  <c r="CB142" i="17"/>
  <c r="CT142" i="17" s="1"/>
  <c r="CS21" i="17"/>
  <c r="CB160" i="17"/>
  <c r="CT160" i="17" s="1"/>
  <c r="CS154" i="17"/>
  <c r="CS316" i="17"/>
  <c r="CB109" i="17"/>
  <c r="CB33" i="17"/>
  <c r="CC33" i="17" s="1"/>
  <c r="CD33" i="17" s="1"/>
  <c r="CB24" i="17"/>
  <c r="CS42" i="17"/>
  <c r="CB72" i="17"/>
  <c r="CT72" i="17" s="1"/>
  <c r="CT36" i="17"/>
  <c r="CT115" i="17"/>
  <c r="CT163" i="17"/>
  <c r="CB20" i="17"/>
  <c r="CC20" i="17" s="1"/>
  <c r="CD20" i="17" s="1"/>
  <c r="CS277" i="17"/>
  <c r="CT257" i="17"/>
  <c r="CT222" i="17"/>
  <c r="CT54" i="17"/>
  <c r="CT282" i="17"/>
  <c r="CT140" i="17"/>
  <c r="CT141" i="17"/>
  <c r="CS68" i="17"/>
  <c r="CT69" i="17"/>
  <c r="CC121" i="17"/>
  <c r="CD121" i="17" s="1"/>
  <c r="CT21" i="17"/>
  <c r="CT154" i="17"/>
  <c r="CS251" i="17"/>
  <c r="CS111" i="17"/>
  <c r="CB74" i="17"/>
  <c r="CC74" i="17" s="1"/>
  <c r="CD74" i="17" s="1"/>
  <c r="CB139" i="17"/>
  <c r="CB70" i="17"/>
  <c r="CC70" i="17" s="1"/>
  <c r="CD70" i="17" s="1"/>
  <c r="CB267" i="17"/>
  <c r="CB271" i="17"/>
  <c r="CB80" i="17"/>
  <c r="CB37" i="17"/>
  <c r="CT227" i="17"/>
  <c r="CT225" i="17"/>
  <c r="CT42" i="17"/>
  <c r="CT61" i="17"/>
  <c r="CT68" i="17"/>
  <c r="CT116" i="17"/>
  <c r="CT245" i="17"/>
  <c r="CT76" i="17"/>
  <c r="CT178" i="17"/>
  <c r="CT284" i="17"/>
  <c r="CT316" i="17"/>
  <c r="CT11" i="17"/>
  <c r="CT117" i="17"/>
  <c r="CB314" i="17"/>
  <c r="CT94" i="17"/>
  <c r="CS314" i="17"/>
  <c r="CT31" i="17"/>
  <c r="CB198" i="17"/>
  <c r="CT198" i="17" s="1"/>
  <c r="CS270" i="17"/>
  <c r="CT215" i="17"/>
  <c r="CT183" i="17"/>
  <c r="CT275" i="17"/>
  <c r="CT143" i="17"/>
  <c r="CB270" i="17"/>
  <c r="CS73" i="17"/>
  <c r="CT13" i="17"/>
  <c r="CT121" i="17"/>
  <c r="CT56" i="17"/>
  <c r="CT289" i="17"/>
  <c r="CT168" i="17"/>
  <c r="CB79" i="17"/>
  <c r="CB73" i="17"/>
  <c r="CT318" i="17"/>
  <c r="CT88" i="17"/>
  <c r="CT299" i="17"/>
  <c r="CT247" i="17"/>
  <c r="CT223" i="17"/>
  <c r="CT78" i="17"/>
  <c r="CC77" i="17"/>
  <c r="CU77" i="17" s="1"/>
  <c r="CS110" i="17"/>
  <c r="CS102" i="17"/>
  <c r="CC251" i="17"/>
  <c r="CU251" i="17" s="1"/>
  <c r="CT104" i="17"/>
  <c r="CS187" i="17"/>
  <c r="CB187" i="17"/>
  <c r="CB9" i="17"/>
  <c r="CS9" i="17"/>
  <c r="CC22" i="17"/>
  <c r="CU22" i="17" s="1"/>
  <c r="CS238" i="17"/>
  <c r="CS161" i="17"/>
  <c r="CC305" i="17"/>
  <c r="CS262" i="17"/>
  <c r="CS252" i="17"/>
  <c r="CS283" i="17"/>
  <c r="CB315" i="17"/>
  <c r="CS296" i="17"/>
  <c r="CB296" i="17"/>
  <c r="CT305" i="17"/>
  <c r="CB218" i="17"/>
  <c r="CS159" i="17"/>
  <c r="CC163" i="17"/>
  <c r="CU163" i="17" s="1"/>
  <c r="CB292" i="17"/>
  <c r="CB171" i="17"/>
  <c r="CB67" i="17"/>
  <c r="CT22" i="17"/>
  <c r="CS22" i="17"/>
  <c r="CT277" i="17"/>
  <c r="CS208" i="17"/>
  <c r="CB208" i="17"/>
  <c r="CS256" i="17"/>
  <c r="CB256" i="17"/>
  <c r="CS199" i="17"/>
  <c r="CS49" i="17"/>
  <c r="CT49" i="17"/>
  <c r="CC287" i="17"/>
  <c r="CU287" i="17" s="1"/>
  <c r="CC147" i="17"/>
  <c r="CU147" i="17" s="1"/>
  <c r="CT147" i="17"/>
  <c r="CC56" i="17"/>
  <c r="CD56" i="17" s="1"/>
  <c r="CB199" i="17"/>
  <c r="CS81" i="17"/>
  <c r="CS287" i="17"/>
  <c r="CT287" i="17"/>
  <c r="CB164" i="17"/>
  <c r="CS164" i="17"/>
  <c r="CS173" i="17"/>
  <c r="CB255" i="17"/>
  <c r="CS170" i="17"/>
  <c r="CB170" i="17"/>
  <c r="CS253" i="17"/>
  <c r="CB281" i="17"/>
  <c r="CB312" i="17"/>
  <c r="CB48" i="17"/>
  <c r="CC214" i="17"/>
  <c r="CU214" i="17" s="1"/>
  <c r="CB65" i="17"/>
  <c r="CC277" i="17"/>
  <c r="CD277" i="17" s="1"/>
  <c r="CS174" i="17"/>
  <c r="CS107" i="17"/>
  <c r="CS317" i="17"/>
  <c r="CB308" i="17"/>
  <c r="CS308" i="17"/>
  <c r="CS16" i="17"/>
  <c r="CB16" i="17"/>
  <c r="CT82" i="17"/>
  <c r="CC230" i="17"/>
  <c r="CU230" i="17" s="1"/>
  <c r="CT230" i="17"/>
  <c r="CB92" i="17"/>
  <c r="CS195" i="17"/>
  <c r="CB195" i="17"/>
  <c r="CS213" i="17"/>
  <c r="CC94" i="17"/>
  <c r="CD94" i="17" s="1"/>
  <c r="CS279" i="17"/>
  <c r="CC59" i="17"/>
  <c r="CU59" i="17" s="1"/>
  <c r="CC89" i="17"/>
  <c r="CD89" i="17" s="1"/>
  <c r="CT89" i="17"/>
  <c r="CC39" i="17"/>
  <c r="CD39" i="17" s="1"/>
  <c r="CC47" i="17"/>
  <c r="CD47" i="17" s="1"/>
  <c r="CT47" i="17"/>
  <c r="CB197" i="17"/>
  <c r="CS92" i="17"/>
  <c r="CB248" i="17"/>
  <c r="CS232" i="17"/>
  <c r="CS226" i="17"/>
  <c r="CS105" i="17"/>
  <c r="CS125" i="17"/>
  <c r="CS77" i="17"/>
  <c r="CT77" i="17"/>
  <c r="CB127" i="17"/>
  <c r="CS127" i="17"/>
  <c r="CS166" i="17"/>
  <c r="CB166" i="17"/>
  <c r="CS28" i="17"/>
  <c r="CB28" i="17"/>
  <c r="CC28" i="17" s="1"/>
  <c r="CD28" i="17" s="1"/>
  <c r="CT298" i="17"/>
  <c r="CS83" i="17"/>
  <c r="CB83" i="17"/>
  <c r="CB272" i="17"/>
  <c r="CS272" i="17"/>
  <c r="CS43" i="17"/>
  <c r="CB231" i="17"/>
  <c r="CS103" i="17"/>
  <c r="CB103" i="17"/>
  <c r="CB41" i="17"/>
  <c r="CC41" i="17" s="1"/>
  <c r="CD41" i="17" s="1"/>
  <c r="CB29" i="17"/>
  <c r="CS29" i="17"/>
  <c r="CB124" i="17"/>
  <c r="CC124" i="17" s="1"/>
  <c r="CD124" i="17" s="1"/>
  <c r="CS93" i="17"/>
  <c r="CC207" i="17"/>
  <c r="CT207" i="17"/>
  <c r="CC137" i="17"/>
  <c r="CD137" i="17" s="1"/>
  <c r="CT137" i="17"/>
  <c r="CB244" i="17"/>
  <c r="CB250" i="17"/>
  <c r="CB216" i="17"/>
  <c r="CB310" i="17"/>
  <c r="CS266" i="17"/>
  <c r="CB266" i="17"/>
  <c r="CB119" i="17"/>
  <c r="CS119" i="17"/>
  <c r="CB135" i="17"/>
  <c r="CS135" i="17"/>
  <c r="CT59" i="17"/>
  <c r="CT251" i="17"/>
  <c r="CS200" i="17"/>
  <c r="CB200" i="17"/>
  <c r="CB249" i="17"/>
  <c r="CC249" i="17" s="1"/>
  <c r="CD249" i="17" s="1"/>
  <c r="CS19" i="17"/>
  <c r="CS286" i="17"/>
  <c r="CB239" i="17"/>
  <c r="CC46" i="17"/>
  <c r="CD46" i="17" s="1"/>
  <c r="CB90" i="17"/>
  <c r="CB301" i="17"/>
  <c r="CC247" i="17"/>
  <c r="CD247" i="17" s="1"/>
  <c r="CS128" i="17"/>
  <c r="CC299" i="17"/>
  <c r="CD299" i="17" s="1"/>
  <c r="CC316" i="17"/>
  <c r="CD316" i="17" s="1"/>
  <c r="CC284" i="17"/>
  <c r="CD284" i="17" s="1"/>
  <c r="CS157" i="17"/>
  <c r="CB138" i="17"/>
  <c r="CB311" i="17"/>
  <c r="CS273" i="17"/>
  <c r="CS196" i="17"/>
  <c r="CB268" i="17"/>
  <c r="CB101" i="17"/>
  <c r="CS144" i="17"/>
  <c r="CS95" i="17"/>
  <c r="CS224" i="17"/>
  <c r="CS313" i="17"/>
  <c r="CB123" i="17"/>
  <c r="CS227" i="17"/>
  <c r="CS61" i="17"/>
  <c r="CS225" i="17"/>
  <c r="CS178" i="17"/>
  <c r="CB8" i="17"/>
  <c r="CS163" i="17"/>
  <c r="CS284" i="17"/>
  <c r="CB15" i="17"/>
  <c r="CB290" i="17"/>
  <c r="CS219" i="17"/>
  <c r="CB210" i="17"/>
  <c r="CB217" i="17"/>
  <c r="CB60" i="17"/>
  <c r="CB294" i="17"/>
  <c r="CB52" i="17"/>
  <c r="CC245" i="17"/>
  <c r="CD245" i="17" s="1"/>
  <c r="CB38" i="17"/>
  <c r="CC219" i="17"/>
  <c r="CU219" i="17" s="1"/>
  <c r="CB189" i="17"/>
  <c r="CB204" i="17"/>
  <c r="CC318" i="17"/>
  <c r="CD318" i="17" s="1"/>
  <c r="CB285" i="17"/>
  <c r="CB146" i="17"/>
  <c r="CC111" i="17"/>
  <c r="CS269" i="17"/>
  <c r="CB260" i="17"/>
  <c r="CS99" i="17"/>
  <c r="CS140" i="17"/>
  <c r="CT111" i="17"/>
  <c r="CB192" i="17"/>
  <c r="CB113" i="17"/>
  <c r="CB194" i="17"/>
  <c r="CS305" i="17"/>
  <c r="CB172" i="17"/>
  <c r="CT46" i="17"/>
  <c r="CS54" i="17"/>
  <c r="CS130" i="17"/>
  <c r="CB265" i="17"/>
  <c r="CS235" i="17"/>
  <c r="CB263" i="17"/>
  <c r="CB99" i="17"/>
  <c r="CT99" i="17" s="1"/>
  <c r="CS237" i="17"/>
  <c r="CS30" i="17"/>
  <c r="CB306" i="17"/>
  <c r="CS306" i="17"/>
  <c r="CC275" i="17"/>
  <c r="CC42" i="17"/>
  <c r="CD42" i="17" s="1"/>
  <c r="CS228" i="17"/>
  <c r="CS14" i="17"/>
  <c r="CC88" i="17"/>
  <c r="CD88" i="17" s="1"/>
  <c r="CB309" i="17"/>
  <c r="CB240" i="17"/>
  <c r="CT240" i="17" s="1"/>
  <c r="CC13" i="17"/>
  <c r="CU13" i="17" s="1"/>
  <c r="CS304" i="17"/>
  <c r="CS136" i="17"/>
  <c r="CB269" i="17"/>
  <c r="CS87" i="17"/>
  <c r="CB236" i="17"/>
  <c r="CB45" i="17"/>
  <c r="CB175" i="17"/>
  <c r="CS179" i="17"/>
  <c r="CS186" i="17"/>
  <c r="CS47" i="17"/>
  <c r="CB302" i="17"/>
  <c r="CB84" i="17"/>
  <c r="CB176" i="17"/>
  <c r="CS89" i="17"/>
  <c r="CS36" i="17"/>
  <c r="CB190" i="17"/>
  <c r="CB234" i="17"/>
  <c r="CS46" i="17"/>
  <c r="CS257" i="17"/>
  <c r="CB209" i="17"/>
  <c r="CC117" i="17"/>
  <c r="CU117" i="17" s="1"/>
  <c r="CC227" i="17"/>
  <c r="CU227" i="17" s="1"/>
  <c r="CS155" i="17"/>
  <c r="CC116" i="17"/>
  <c r="CU116" i="17" s="1"/>
  <c r="CB297" i="17"/>
  <c r="CS261" i="17"/>
  <c r="CC289" i="17"/>
  <c r="CD289" i="17" s="1"/>
  <c r="CS112" i="17"/>
  <c r="CS132" i="17"/>
  <c r="CS53" i="17"/>
  <c r="CC168" i="17"/>
  <c r="CU168" i="17" s="1"/>
  <c r="CS27" i="17"/>
  <c r="CS309" i="17"/>
  <c r="CS108" i="17"/>
  <c r="CS10" i="17"/>
  <c r="CB206" i="17"/>
  <c r="CB205" i="17"/>
  <c r="CS7" i="17"/>
  <c r="CB201" i="17"/>
  <c r="CB276" i="17"/>
  <c r="CS165" i="17"/>
  <c r="CS98" i="17"/>
  <c r="CS300" i="17"/>
  <c r="CS192" i="17"/>
  <c r="CB57" i="17"/>
  <c r="CB167" i="17"/>
  <c r="CS13" i="17"/>
  <c r="CB134" i="17"/>
  <c r="CB162" i="17"/>
  <c r="CB182" i="17"/>
  <c r="CB259" i="17"/>
  <c r="CB149" i="17"/>
  <c r="CB18" i="17"/>
  <c r="CS223" i="17"/>
  <c r="CS11" i="17"/>
  <c r="CB133" i="17"/>
  <c r="CS293" i="17"/>
  <c r="CC183" i="17"/>
  <c r="CD183" i="17" s="1"/>
  <c r="CS118" i="17"/>
  <c r="CB151" i="17"/>
  <c r="CS40" i="17"/>
  <c r="CC178" i="17"/>
  <c r="CU178" i="17" s="1"/>
  <c r="CB91" i="17"/>
  <c r="CC115" i="17"/>
  <c r="CU115" i="17" s="1"/>
  <c r="CB50" i="17"/>
  <c r="CB286" i="17"/>
  <c r="CB66" i="17"/>
  <c r="CC141" i="17"/>
  <c r="CD141" i="17" s="1"/>
  <c r="CC222" i="17"/>
  <c r="CD222" i="17" s="1"/>
  <c r="CC154" i="17"/>
  <c r="CD154" i="17" s="1"/>
  <c r="CC69" i="17"/>
  <c r="CU69" i="17" s="1"/>
  <c r="CB278" i="17"/>
  <c r="CB233" i="17"/>
  <c r="CC143" i="17"/>
  <c r="CD143" i="17" s="1"/>
  <c r="CC68" i="17"/>
  <c r="CD68" i="17" s="1"/>
  <c r="CC257" i="17"/>
  <c r="CU257" i="17" s="1"/>
  <c r="CB280" i="17"/>
  <c r="CC280" i="17" s="1"/>
  <c r="CD280" i="17" s="1"/>
  <c r="CS85" i="17"/>
  <c r="CS44" i="17"/>
  <c r="CB193" i="17"/>
  <c r="CS203" i="17"/>
  <c r="CB188" i="17"/>
  <c r="CB254" i="17"/>
  <c r="CB100" i="17"/>
  <c r="CS86" i="17"/>
  <c r="CS69" i="17"/>
  <c r="CB12" i="17"/>
  <c r="CU277" i="17"/>
  <c r="CB62" i="17"/>
  <c r="CB246" i="17"/>
  <c r="CB32" i="17"/>
  <c r="CB202" i="17"/>
  <c r="CT63" i="17"/>
  <c r="CS115" i="17"/>
  <c r="CS222" i="17"/>
  <c r="CS94" i="17"/>
  <c r="CS289" i="17"/>
  <c r="CB34" i="17"/>
  <c r="CS168" i="17"/>
  <c r="CC282" i="17"/>
  <c r="CD282" i="17" s="1"/>
  <c r="CC223" i="17"/>
  <c r="CU223" i="17" s="1"/>
  <c r="CC61" i="17"/>
  <c r="CU61" i="17" s="1"/>
  <c r="CC78" i="17"/>
  <c r="CD78" i="17" s="1"/>
  <c r="CB19" i="17"/>
  <c r="CC11" i="17"/>
  <c r="CC140" i="17"/>
  <c r="CD140" i="17" s="1"/>
  <c r="CC21" i="17"/>
  <c r="CD21" i="17" s="1"/>
  <c r="CC225" i="17"/>
  <c r="CD225" i="17" s="1"/>
  <c r="CC215" i="17"/>
  <c r="CD215" i="17" s="1"/>
  <c r="CB191" i="17"/>
  <c r="CS307" i="17"/>
  <c r="CC31" i="17"/>
  <c r="CU31" i="17" s="1"/>
  <c r="CB122" i="17"/>
  <c r="CB229" i="17"/>
  <c r="CB71" i="17"/>
  <c r="CB242" i="17"/>
  <c r="CB17" i="17"/>
  <c r="CS211" i="17"/>
  <c r="CB156" i="17"/>
  <c r="CS181" i="17"/>
  <c r="CS114" i="17"/>
  <c r="CC76" i="17"/>
  <c r="CD76" i="17" s="1"/>
  <c r="CB25" i="17"/>
  <c r="CS106" i="17"/>
  <c r="CS177" i="17"/>
  <c r="CS169" i="17"/>
  <c r="CS220" i="17"/>
  <c r="CS88" i="17"/>
  <c r="CS299" i="17"/>
  <c r="CS215" i="17"/>
  <c r="CS121" i="17"/>
  <c r="CS56" i="17"/>
  <c r="CS247" i="17"/>
  <c r="CS183" i="17"/>
  <c r="CS298" i="17"/>
  <c r="CB180" i="17"/>
  <c r="CB129" i="17"/>
  <c r="CT219" i="17"/>
  <c r="CT120" i="17"/>
  <c r="CB212" i="17"/>
  <c r="CB224" i="17"/>
  <c r="CS123" i="17"/>
  <c r="CB226" i="17"/>
  <c r="CS255" i="17"/>
  <c r="CB125" i="17"/>
  <c r="CB105" i="17"/>
  <c r="CS285" i="17"/>
  <c r="CS57" i="17"/>
  <c r="CB102" i="17"/>
  <c r="CB220" i="17"/>
  <c r="CS167" i="17"/>
  <c r="CB186" i="17"/>
  <c r="CS250" i="17"/>
  <c r="CB169" i="17"/>
  <c r="AW215" i="17"/>
  <c r="CB86" i="17"/>
  <c r="CB14" i="17"/>
  <c r="AX221" i="17"/>
  <c r="CB313" i="17"/>
  <c r="CS231" i="17"/>
  <c r="CB181" i="17"/>
  <c r="CB300" i="17"/>
  <c r="CS101" i="17"/>
  <c r="CB95" i="17"/>
  <c r="AX256" i="17"/>
  <c r="CS276" i="17"/>
  <c r="AX172" i="17"/>
  <c r="CB173" i="17"/>
  <c r="CB98" i="17"/>
  <c r="CS216" i="17"/>
  <c r="CS310" i="17"/>
  <c r="CS254" i="17"/>
  <c r="CB203" i="17"/>
  <c r="CB136" i="17"/>
  <c r="AX302" i="17"/>
  <c r="CB177" i="17"/>
  <c r="CS100" i="17"/>
  <c r="AX184" i="17"/>
  <c r="CS242" i="17"/>
  <c r="CS229" i="17"/>
  <c r="CB106" i="17"/>
  <c r="CB128" i="17"/>
  <c r="CS48" i="17"/>
  <c r="CB10" i="17"/>
  <c r="CB179" i="17"/>
  <c r="CS233" i="17"/>
  <c r="CS312" i="17"/>
  <c r="CB110" i="17"/>
  <c r="CB165" i="17"/>
  <c r="CB304" i="17"/>
  <c r="CB279" i="17"/>
  <c r="CS175" i="17"/>
  <c r="CB252" i="17"/>
  <c r="CS25" i="17"/>
  <c r="CS301" i="17"/>
  <c r="AX235" i="17"/>
  <c r="CS193" i="17"/>
  <c r="CB174" i="17"/>
  <c r="CB144" i="17"/>
  <c r="CB112" i="17"/>
  <c r="CS315" i="17"/>
  <c r="CS188" i="17"/>
  <c r="CB107" i="17"/>
  <c r="CB317" i="17"/>
  <c r="CS281" i="17"/>
  <c r="CB196" i="17"/>
  <c r="CS268" i="17"/>
  <c r="CS201" i="17"/>
  <c r="CS189" i="17"/>
  <c r="CS205" i="17"/>
  <c r="CS191" i="17"/>
  <c r="CB211" i="17"/>
  <c r="CS67" i="17"/>
  <c r="AW45" i="17"/>
  <c r="CB283" i="17"/>
  <c r="CS244" i="17"/>
  <c r="AW160" i="17"/>
  <c r="AW227" i="17"/>
  <c r="AW170" i="17"/>
  <c r="AX178" i="17"/>
  <c r="AW310" i="17"/>
  <c r="AX166" i="17"/>
  <c r="AX298" i="17"/>
  <c r="CS311" i="17"/>
  <c r="CS280" i="17"/>
  <c r="CB44" i="17"/>
  <c r="CB85" i="17"/>
  <c r="CS297" i="17"/>
  <c r="CS260" i="17"/>
  <c r="CB87" i="17"/>
  <c r="CS146" i="17"/>
  <c r="AX60" i="17"/>
  <c r="AX316" i="17"/>
  <c r="CB7" i="17"/>
  <c r="CS45" i="17"/>
  <c r="CB213" i="17"/>
  <c r="CS197" i="17"/>
  <c r="CB55" i="17"/>
  <c r="CS55" i="17"/>
  <c r="CS236" i="17"/>
  <c r="CS156" i="17"/>
  <c r="CB114" i="17"/>
  <c r="CS240" i="17"/>
  <c r="CS248" i="17"/>
  <c r="CB108" i="17"/>
  <c r="CS148" i="17"/>
  <c r="CB148" i="17"/>
  <c r="CS206" i="17"/>
  <c r="CS17" i="17"/>
  <c r="AX159" i="17"/>
  <c r="AW159" i="17"/>
  <c r="CB273" i="17"/>
  <c r="CB232" i="17"/>
  <c r="CB253" i="17"/>
  <c r="CB81" i="17"/>
  <c r="CS65" i="17"/>
  <c r="CS138" i="17"/>
  <c r="AX219" i="17"/>
  <c r="CB27" i="17"/>
  <c r="CS50" i="17"/>
  <c r="CS265" i="17"/>
  <c r="CB237" i="17"/>
  <c r="CB53" i="17"/>
  <c r="CB132" i="17"/>
  <c r="CS71" i="17"/>
  <c r="CS6" i="17"/>
  <c r="CS122" i="17"/>
  <c r="CB6" i="17"/>
  <c r="CB93" i="17"/>
  <c r="CB261" i="17"/>
  <c r="CS278" i="17"/>
  <c r="CB157" i="17"/>
  <c r="CB159" i="17"/>
  <c r="CB130" i="17"/>
  <c r="CB303" i="17"/>
  <c r="CB238" i="17"/>
  <c r="CB221" i="17"/>
  <c r="CS221" i="17"/>
  <c r="CB307" i="17"/>
  <c r="CB228" i="17"/>
  <c r="AW198" i="17"/>
  <c r="AX198" i="17"/>
  <c r="CS171" i="17"/>
  <c r="CC49" i="17"/>
  <c r="CS23" i="17"/>
  <c r="CB23" i="17"/>
  <c r="AW240" i="17"/>
  <c r="AX240" i="17"/>
  <c r="AX262" i="17"/>
  <c r="AW262" i="17"/>
  <c r="CC120" i="17"/>
  <c r="AV6" i="17"/>
  <c r="AX259" i="17"/>
  <c r="AW259" i="17"/>
  <c r="AW94" i="17"/>
  <c r="AX94" i="17"/>
  <c r="AW96" i="17"/>
  <c r="AX96" i="17"/>
  <c r="AX81" i="17"/>
  <c r="AW81" i="17"/>
  <c r="AV289" i="17"/>
  <c r="CS38" i="17"/>
  <c r="AW116" i="17"/>
  <c r="AX116" i="17"/>
  <c r="AW203" i="17"/>
  <c r="AX203" i="17"/>
  <c r="CS150" i="17"/>
  <c r="CB150" i="17"/>
  <c r="CB152" i="17"/>
  <c r="CS152" i="17"/>
  <c r="CB35" i="17"/>
  <c r="CS35" i="17"/>
  <c r="AW12" i="17"/>
  <c r="AX12" i="17"/>
  <c r="CC82" i="17"/>
  <c r="CS64" i="17"/>
  <c r="AW282" i="17"/>
  <c r="AX282" i="17"/>
  <c r="AW315" i="17"/>
  <c r="AX315" i="17"/>
  <c r="AW241" i="17"/>
  <c r="AX241" i="17"/>
  <c r="CB291" i="17"/>
  <c r="AW103" i="17"/>
  <c r="AX103" i="17"/>
  <c r="AW307" i="17"/>
  <c r="AX307" i="17"/>
  <c r="AW278" i="17"/>
  <c r="AX278" i="17"/>
  <c r="AW139" i="17"/>
  <c r="AX139" i="17"/>
  <c r="CS124" i="17"/>
  <c r="AW204" i="17"/>
  <c r="AX204" i="17"/>
  <c r="CC153" i="17"/>
  <c r="AW153" i="17"/>
  <c r="AX153" i="17"/>
  <c r="AW128" i="17"/>
  <c r="AX128" i="17"/>
  <c r="AW311" i="17"/>
  <c r="AX311" i="17"/>
  <c r="CS52" i="17"/>
  <c r="CC54" i="17"/>
  <c r="CB40" i="17"/>
  <c r="AW143" i="17"/>
  <c r="AX143" i="17"/>
  <c r="AW120" i="17"/>
  <c r="AX120" i="17"/>
  <c r="AW88" i="17"/>
  <c r="AX88" i="17"/>
  <c r="AW59" i="17"/>
  <c r="AX59" i="17"/>
  <c r="AW248" i="17"/>
  <c r="AX248" i="17"/>
  <c r="AW252" i="17"/>
  <c r="AX252" i="17"/>
  <c r="AW68" i="17"/>
  <c r="AX68" i="17"/>
  <c r="AW196" i="17"/>
  <c r="AX196" i="17"/>
  <c r="AW188" i="17"/>
  <c r="AX188" i="17"/>
  <c r="AW165" i="17"/>
  <c r="AX165" i="17"/>
  <c r="AW111" i="17"/>
  <c r="AX111" i="17"/>
  <c r="AW32" i="17"/>
  <c r="AX32" i="17"/>
  <c r="AV22" i="17"/>
  <c r="CS91" i="17"/>
  <c r="CC195" i="17"/>
  <c r="AW270" i="17"/>
  <c r="AX270" i="17"/>
  <c r="CB51" i="17"/>
  <c r="AW299" i="17"/>
  <c r="AX299" i="17"/>
  <c r="AW140" i="17"/>
  <c r="AX140" i="17"/>
  <c r="AV144" i="17"/>
  <c r="AX117" i="17"/>
  <c r="AW117" i="17"/>
  <c r="AW295" i="17"/>
  <c r="AX295" i="17"/>
  <c r="AW190" i="17"/>
  <c r="AX190" i="17"/>
  <c r="AW113" i="17"/>
  <c r="AX113" i="17"/>
  <c r="AW72" i="17"/>
  <c r="AX72" i="17"/>
  <c r="AW137" i="17"/>
  <c r="AX137" i="17"/>
  <c r="AW93" i="17"/>
  <c r="AX93" i="17"/>
  <c r="AW301" i="17"/>
  <c r="AX301" i="17"/>
  <c r="CS158" i="17"/>
  <c r="AW145" i="17"/>
  <c r="AX145" i="17"/>
  <c r="AW251" i="17"/>
  <c r="AX251" i="17"/>
  <c r="CS131" i="17"/>
  <c r="CB131" i="17"/>
  <c r="AW99" i="17"/>
  <c r="AX99" i="17"/>
  <c r="CC79" i="17"/>
  <c r="CS291" i="17"/>
  <c r="AW208" i="17"/>
  <c r="AX208" i="17"/>
  <c r="AW77" i="17"/>
  <c r="AX77" i="17"/>
  <c r="AW30" i="17"/>
  <c r="AX30" i="17"/>
  <c r="AW76" i="17"/>
  <c r="AX76" i="17"/>
  <c r="AW272" i="17"/>
  <c r="AX272" i="17"/>
  <c r="CS303" i="17"/>
  <c r="AX266" i="17"/>
  <c r="AW266" i="17"/>
  <c r="CS288" i="17"/>
  <c r="AW171" i="17"/>
  <c r="AX171" i="17"/>
  <c r="AW149" i="17"/>
  <c r="AX149" i="17"/>
  <c r="CD77" i="17"/>
  <c r="CC298" i="17"/>
  <c r="AW206" i="17"/>
  <c r="AX206" i="17"/>
  <c r="AW66" i="17"/>
  <c r="AX66" i="17"/>
  <c r="CS145" i="17"/>
  <c r="AW135" i="17"/>
  <c r="AX135" i="17"/>
  <c r="AW97" i="17"/>
  <c r="AX97" i="17"/>
  <c r="AW80" i="17"/>
  <c r="AX80" i="17"/>
  <c r="AW75" i="17"/>
  <c r="AX75" i="17"/>
  <c r="AW105" i="17"/>
  <c r="AX105" i="17"/>
  <c r="AW9" i="17"/>
  <c r="AX9" i="17"/>
  <c r="AW101" i="17"/>
  <c r="AX101" i="17"/>
  <c r="AW247" i="17"/>
  <c r="AX247" i="17"/>
  <c r="CB26" i="17"/>
  <c r="CS295" i="17"/>
  <c r="AW169" i="17"/>
  <c r="AX169" i="17"/>
  <c r="AW92" i="17"/>
  <c r="AX92" i="17"/>
  <c r="AW175" i="17"/>
  <c r="AX175" i="17"/>
  <c r="AW142" i="17"/>
  <c r="AX142" i="17"/>
  <c r="CS90" i="17"/>
  <c r="AX290" i="17"/>
  <c r="AW290" i="17"/>
  <c r="AW286" i="17"/>
  <c r="AX286" i="17"/>
  <c r="AW202" i="17"/>
  <c r="AX202" i="17"/>
  <c r="AW136" i="17"/>
  <c r="AX136" i="17"/>
  <c r="AW122" i="17"/>
  <c r="AX122" i="17"/>
  <c r="CB295" i="17"/>
  <c r="CB161" i="17"/>
  <c r="AW179" i="17"/>
  <c r="AX179" i="17"/>
  <c r="AW73" i="17"/>
  <c r="AX73" i="17"/>
  <c r="AW280" i="17"/>
  <c r="AX280" i="17"/>
  <c r="AW246" i="17"/>
  <c r="AX246" i="17"/>
  <c r="CC63" i="17"/>
  <c r="AW249" i="17"/>
  <c r="AX249" i="17"/>
  <c r="CS41" i="17"/>
  <c r="CB30" i="17"/>
  <c r="AX183" i="17"/>
  <c r="AW183" i="17"/>
  <c r="AW305" i="17"/>
  <c r="AX305" i="17"/>
  <c r="AW134" i="17"/>
  <c r="AX134" i="17"/>
  <c r="AW107" i="17"/>
  <c r="AX107" i="17"/>
  <c r="AW24" i="17"/>
  <c r="AX24" i="17"/>
  <c r="AW17" i="17"/>
  <c r="AX17" i="17"/>
  <c r="AW163" i="17"/>
  <c r="AX163" i="17"/>
  <c r="AW194" i="17"/>
  <c r="AX194" i="17"/>
  <c r="AW84" i="17"/>
  <c r="AX84" i="17"/>
  <c r="CS66" i="17"/>
  <c r="AW34" i="17"/>
  <c r="AX34" i="17"/>
  <c r="AW19" i="17"/>
  <c r="AX19" i="17"/>
  <c r="CB155" i="17"/>
  <c r="CB262" i="17"/>
  <c r="AX212" i="17"/>
  <c r="AW212" i="17"/>
  <c r="AW109" i="17"/>
  <c r="AX109" i="17"/>
  <c r="AW254" i="17"/>
  <c r="AX254" i="17"/>
  <c r="AW126" i="17"/>
  <c r="AX126" i="17"/>
  <c r="AW138" i="17"/>
  <c r="AX138" i="17"/>
  <c r="AW57" i="17"/>
  <c r="AX57" i="17"/>
  <c r="AW309" i="17"/>
  <c r="AX309" i="17"/>
  <c r="AW71" i="17"/>
  <c r="AX71" i="17"/>
  <c r="CB64" i="17"/>
  <c r="CS26" i="17"/>
  <c r="AW133" i="17"/>
  <c r="AX133" i="17"/>
  <c r="CC104" i="17"/>
  <c r="AW276" i="17"/>
  <c r="AX276" i="17"/>
  <c r="CB235" i="17"/>
  <c r="CS51" i="17"/>
  <c r="AX294" i="17"/>
  <c r="AW294" i="17"/>
  <c r="CB145" i="17"/>
  <c r="AW130" i="17"/>
  <c r="AX130" i="17"/>
  <c r="AW95" i="17"/>
  <c r="AX95" i="17"/>
  <c r="CB185" i="17"/>
  <c r="CS185" i="17"/>
  <c r="CC36" i="17"/>
  <c r="AW26" i="17"/>
  <c r="AX26" i="17"/>
  <c r="CS126" i="17"/>
  <c r="CB288" i="17"/>
  <c r="AW250" i="17"/>
  <c r="AX250" i="17"/>
  <c r="AX292" i="17"/>
  <c r="AW292" i="17"/>
  <c r="AW28" i="17"/>
  <c r="AX28" i="17"/>
  <c r="AW303" i="17"/>
  <c r="AX303" i="17"/>
  <c r="AW70" i="17"/>
  <c r="AX70" i="17"/>
  <c r="AW173" i="17"/>
  <c r="AX173" i="17"/>
  <c r="AW155" i="17"/>
  <c r="AX155" i="17"/>
  <c r="CS264" i="17"/>
  <c r="AV243" i="17"/>
  <c r="AW147" i="17"/>
  <c r="AX147" i="17"/>
  <c r="AX119" i="17"/>
  <c r="AW119" i="17"/>
  <c r="AW82" i="17"/>
  <c r="AX82" i="17"/>
  <c r="AW317" i="17"/>
  <c r="AX317" i="17"/>
  <c r="CB126" i="17"/>
  <c r="AW242" i="17"/>
  <c r="AX242" i="17"/>
  <c r="AV90" i="17"/>
  <c r="AW13" i="17"/>
  <c r="AX13" i="17"/>
  <c r="AW274" i="17"/>
  <c r="AX274" i="17"/>
  <c r="AW151" i="17"/>
  <c r="AX151" i="17"/>
  <c r="AW124" i="17"/>
  <c r="AX124" i="17"/>
  <c r="AW115" i="17"/>
  <c r="AX115" i="17"/>
  <c r="CB264" i="17"/>
  <c r="AW245" i="17"/>
  <c r="AX245" i="17"/>
  <c r="CS151" i="17"/>
  <c r="AW284" i="17"/>
  <c r="AX284" i="17"/>
  <c r="CB184" i="17"/>
  <c r="CS184" i="17"/>
  <c r="AW86" i="17"/>
  <c r="AX86" i="17"/>
  <c r="AW11" i="17"/>
  <c r="AX11" i="17"/>
  <c r="AW69" i="17"/>
  <c r="AX69" i="17"/>
  <c r="AW268" i="17"/>
  <c r="AX268" i="17"/>
  <c r="AW244" i="17"/>
  <c r="AX244" i="17"/>
  <c r="AW192" i="17"/>
  <c r="AX192" i="17"/>
  <c r="CB158" i="17"/>
  <c r="CB118" i="17"/>
  <c r="AW297" i="17"/>
  <c r="AX297" i="17"/>
  <c r="AW288" i="17"/>
  <c r="AX288" i="17"/>
  <c r="AW177" i="17"/>
  <c r="AX177" i="17"/>
  <c r="CS292" i="17"/>
  <c r="AW200" i="17"/>
  <c r="AX200" i="17"/>
  <c r="AW181" i="17"/>
  <c r="AX181" i="17"/>
  <c r="AW167" i="17"/>
  <c r="AX167" i="17"/>
  <c r="AW313" i="17"/>
  <c r="AX313" i="17"/>
  <c r="CB293" i="17"/>
  <c r="CS239" i="17"/>
  <c r="AW210" i="17"/>
  <c r="AX210" i="17"/>
  <c r="AW74" i="17"/>
  <c r="AX74" i="17"/>
  <c r="AW7" i="17"/>
  <c r="AX7" i="17"/>
  <c r="CB43" i="17"/>
  <c r="CS263" i="17"/>
  <c r="CD287" i="17" l="1"/>
  <c r="CV287" i="17" s="1"/>
  <c r="CC58" i="17"/>
  <c r="CU58" i="17" s="1"/>
  <c r="CC142" i="17"/>
  <c r="CD142" i="17" s="1"/>
  <c r="CT97" i="17"/>
  <c r="CD163" i="17"/>
  <c r="CT274" i="17"/>
  <c r="CD117" i="17"/>
  <c r="CC75" i="17"/>
  <c r="CU75" i="17" s="1"/>
  <c r="CC96" i="17"/>
  <c r="CD96" i="17" s="1"/>
  <c r="CU121" i="17"/>
  <c r="CT241" i="17"/>
  <c r="CC258" i="17"/>
  <c r="CD258" i="17" s="1"/>
  <c r="CV258" i="17" s="1"/>
  <c r="CD147" i="17"/>
  <c r="CV147" i="17" s="1"/>
  <c r="CD257" i="17"/>
  <c r="CT243" i="17"/>
  <c r="CC160" i="17"/>
  <c r="CD160" i="17" s="1"/>
  <c r="CC72" i="17"/>
  <c r="CD72" i="17" s="1"/>
  <c r="CV72" i="17" s="1"/>
  <c r="CD11" i="17"/>
  <c r="CU241" i="17"/>
  <c r="CT33" i="17"/>
  <c r="CT266" i="17"/>
  <c r="CC139" i="17"/>
  <c r="CD139" i="17" s="1"/>
  <c r="CT24" i="17"/>
  <c r="CC24" i="17"/>
  <c r="CU24" i="17" s="1"/>
  <c r="CC285" i="17"/>
  <c r="CD285" i="17" s="1"/>
  <c r="CT138" i="17"/>
  <c r="CT301" i="17"/>
  <c r="CV39" i="17"/>
  <c r="CC109" i="17"/>
  <c r="CU109" i="17" s="1"/>
  <c r="CT37" i="17"/>
  <c r="CC25" i="17"/>
  <c r="CD25" i="17" s="1"/>
  <c r="CT101" i="17"/>
  <c r="CC278" i="17"/>
  <c r="CD278" i="17" s="1"/>
  <c r="CC38" i="17"/>
  <c r="CD38" i="17" s="1"/>
  <c r="CT263" i="17"/>
  <c r="CT249" i="17"/>
  <c r="CT109" i="17"/>
  <c r="CT70" i="17"/>
  <c r="CU88" i="17"/>
  <c r="CU47" i="17"/>
  <c r="CV316" i="17"/>
  <c r="CV277" i="17"/>
  <c r="CU89" i="17"/>
  <c r="CV21" i="17"/>
  <c r="CD115" i="17"/>
  <c r="CV115" i="17" s="1"/>
  <c r="CV89" i="17"/>
  <c r="CT213" i="17"/>
  <c r="CT283" i="17"/>
  <c r="CD168" i="17"/>
  <c r="CV168" i="17" s="1"/>
  <c r="CT112" i="17"/>
  <c r="CU142" i="17"/>
  <c r="CV280" i="17"/>
  <c r="CT91" i="17"/>
  <c r="CT133" i="17"/>
  <c r="CT175" i="17"/>
  <c r="CT265" i="17"/>
  <c r="CT197" i="17"/>
  <c r="CC312" i="17"/>
  <c r="CD312" i="17" s="1"/>
  <c r="CT267" i="17"/>
  <c r="CV143" i="17"/>
  <c r="CV56" i="17"/>
  <c r="CV183" i="17"/>
  <c r="CV282" i="17"/>
  <c r="CV77" i="17"/>
  <c r="CT252" i="17"/>
  <c r="CT179" i="17"/>
  <c r="CT100" i="17"/>
  <c r="CT309" i="17"/>
  <c r="CT90" i="17"/>
  <c r="CT28" i="17"/>
  <c r="CV28" i="17"/>
  <c r="CT164" i="17"/>
  <c r="CT208" i="17"/>
  <c r="CT73" i="17"/>
  <c r="CC198" i="17"/>
  <c r="CD198" i="17" s="1"/>
  <c r="CU70" i="17"/>
  <c r="CV70" i="17"/>
  <c r="CV154" i="17"/>
  <c r="CV215" i="17"/>
  <c r="CV121" i="17"/>
  <c r="CV289" i="17"/>
  <c r="CV245" i="17"/>
  <c r="CV247" i="17"/>
  <c r="CT53" i="17"/>
  <c r="CC254" i="17"/>
  <c r="CD254" i="17" s="1"/>
  <c r="CT236" i="17"/>
  <c r="CT204" i="17"/>
  <c r="CT310" i="17"/>
  <c r="CT195" i="17"/>
  <c r="CT16" i="17"/>
  <c r="CT281" i="17"/>
  <c r="CT79" i="17"/>
  <c r="CT270" i="17"/>
  <c r="CV139" i="17"/>
  <c r="CV117" i="17"/>
  <c r="CV68" i="17"/>
  <c r="CV225" i="17"/>
  <c r="CT152" i="17"/>
  <c r="CD214" i="17"/>
  <c r="CV214" i="17" s="1"/>
  <c r="CD59" i="17"/>
  <c r="CV59" i="17" s="1"/>
  <c r="CD13" i="17"/>
  <c r="CV13" i="17" s="1"/>
  <c r="CT139" i="17"/>
  <c r="CU247" i="17"/>
  <c r="CT17" i="17"/>
  <c r="CT191" i="17"/>
  <c r="CC188" i="17"/>
  <c r="CD188" i="17" s="1"/>
  <c r="CC151" i="17"/>
  <c r="CD151" i="17" s="1"/>
  <c r="CT297" i="17"/>
  <c r="CC189" i="17"/>
  <c r="CD189" i="17" s="1"/>
  <c r="CC101" i="17"/>
  <c r="CD101" i="17" s="1"/>
  <c r="CT239" i="17"/>
  <c r="CT124" i="17"/>
  <c r="CV124" i="17"/>
  <c r="CT218" i="17"/>
  <c r="CT74" i="17"/>
  <c r="CV74" i="17"/>
  <c r="CV274" i="17"/>
  <c r="CV318" i="17"/>
  <c r="CV94" i="17"/>
  <c r="CV141" i="17"/>
  <c r="CV299" i="17"/>
  <c r="CV42" i="17"/>
  <c r="CV76" i="17"/>
  <c r="CV46" i="17"/>
  <c r="CV96" i="17"/>
  <c r="CT253" i="17"/>
  <c r="CT44" i="17"/>
  <c r="CT177" i="17"/>
  <c r="CC186" i="17"/>
  <c r="CD186" i="17" s="1"/>
  <c r="CT242" i="17"/>
  <c r="CC233" i="17"/>
  <c r="CD233" i="17" s="1"/>
  <c r="CT201" i="17"/>
  <c r="CT269" i="17"/>
  <c r="CC268" i="17"/>
  <c r="CD268" i="17" s="1"/>
  <c r="CT250" i="17"/>
  <c r="CT92" i="17"/>
  <c r="CT65" i="17"/>
  <c r="CV137" i="17"/>
  <c r="CV222" i="17"/>
  <c r="CV257" i="17"/>
  <c r="CV163" i="17"/>
  <c r="CC71" i="17"/>
  <c r="CD71" i="17" s="1"/>
  <c r="CT193" i="17"/>
  <c r="CT286" i="17"/>
  <c r="CT259" i="17"/>
  <c r="CT38" i="17"/>
  <c r="CT244" i="17"/>
  <c r="CT272" i="17"/>
  <c r="CT296" i="17"/>
  <c r="CC37" i="17"/>
  <c r="CD37" i="17" s="1"/>
  <c r="CV284" i="17"/>
  <c r="CV140" i="17"/>
  <c r="CT27" i="17"/>
  <c r="CT55" i="17"/>
  <c r="CT136" i="17"/>
  <c r="CT205" i="17"/>
  <c r="CV249" i="17"/>
  <c r="CT119" i="17"/>
  <c r="CT41" i="17"/>
  <c r="CV41" i="17"/>
  <c r="CT248" i="17"/>
  <c r="CC255" i="17"/>
  <c r="CD255" i="17" s="1"/>
  <c r="CT67" i="17"/>
  <c r="CC80" i="17"/>
  <c r="CD80" i="17" s="1"/>
  <c r="CV80" i="17" s="1"/>
  <c r="CV33" i="17"/>
  <c r="CV88" i="17"/>
  <c r="CT203" i="17"/>
  <c r="CT14" i="17"/>
  <c r="CT102" i="17"/>
  <c r="CT224" i="17"/>
  <c r="CC122" i="17"/>
  <c r="CD122" i="17" s="1"/>
  <c r="CT146" i="17"/>
  <c r="CT311" i="17"/>
  <c r="CT200" i="17"/>
  <c r="CT103" i="17"/>
  <c r="CT48" i="17"/>
  <c r="CT199" i="17"/>
  <c r="CT256" i="17"/>
  <c r="CT315" i="17"/>
  <c r="CT314" i="17"/>
  <c r="CC271" i="17"/>
  <c r="CU271" i="17" s="1"/>
  <c r="CV241" i="17"/>
  <c r="CV78" i="17"/>
  <c r="CT20" i="17"/>
  <c r="CV20" i="17"/>
  <c r="CV47" i="17"/>
  <c r="CU222" i="17"/>
  <c r="CU215" i="17"/>
  <c r="CT268" i="17"/>
  <c r="CU318" i="17"/>
  <c r="CU274" i="17"/>
  <c r="CT80" i="17"/>
  <c r="CD230" i="17"/>
  <c r="CV230" i="17" s="1"/>
  <c r="CD22" i="17"/>
  <c r="CV22" i="17" s="1"/>
  <c r="CD116" i="17"/>
  <c r="CV116" i="17" s="1"/>
  <c r="CD58" i="17"/>
  <c r="CV58" i="17" s="1"/>
  <c r="CC201" i="17"/>
  <c r="CD201" i="17" s="1"/>
  <c r="CU56" i="17"/>
  <c r="CD251" i="17"/>
  <c r="CV251" i="17" s="1"/>
  <c r="CD61" i="17"/>
  <c r="CD223" i="17"/>
  <c r="CV223" i="17" s="1"/>
  <c r="CD219" i="17"/>
  <c r="CV219" i="17" s="1"/>
  <c r="CU42" i="17"/>
  <c r="CT271" i="17"/>
  <c r="CC179" i="17"/>
  <c r="CD179" i="17" s="1"/>
  <c r="CC90" i="17"/>
  <c r="CD90" i="17" s="1"/>
  <c r="CC265" i="17"/>
  <c r="CU265" i="17" s="1"/>
  <c r="CC239" i="17"/>
  <c r="CD239" i="17" s="1"/>
  <c r="CC197" i="17"/>
  <c r="CU197" i="17" s="1"/>
  <c r="CC205" i="17"/>
  <c r="CD205" i="17" s="1"/>
  <c r="CU183" i="17"/>
  <c r="CC267" i="17"/>
  <c r="CD267" i="17" s="1"/>
  <c r="CU46" i="17"/>
  <c r="CU284" i="17"/>
  <c r="CC314" i="17"/>
  <c r="CD314" i="17" s="1"/>
  <c r="CD227" i="17"/>
  <c r="CV227" i="17" s="1"/>
  <c r="CD97" i="17"/>
  <c r="CV97" i="17" s="1"/>
  <c r="CC248" i="17"/>
  <c r="CD248" i="17" s="1"/>
  <c r="CU94" i="17"/>
  <c r="CC224" i="17"/>
  <c r="CD224" i="17" s="1"/>
  <c r="CC48" i="17"/>
  <c r="CD48" i="17" s="1"/>
  <c r="CC73" i="17"/>
  <c r="CU78" i="17"/>
  <c r="CD31" i="17"/>
  <c r="CV31" i="17" s="1"/>
  <c r="CU39" i="17"/>
  <c r="CU143" i="17"/>
  <c r="CU76" i="17"/>
  <c r="CU21" i="17"/>
  <c r="CD178" i="17"/>
  <c r="CV178" i="17" s="1"/>
  <c r="CU137" i="17"/>
  <c r="CC156" i="17"/>
  <c r="CD156" i="17" s="1"/>
  <c r="CU299" i="17"/>
  <c r="CU289" i="17"/>
  <c r="CU249" i="17"/>
  <c r="CD69" i="17"/>
  <c r="CV69" i="17" s="1"/>
  <c r="CU280" i="17"/>
  <c r="CC45" i="17"/>
  <c r="CD45" i="17" s="1"/>
  <c r="CC296" i="17"/>
  <c r="CD296" i="17" s="1"/>
  <c r="CU96" i="17"/>
  <c r="CU33" i="17"/>
  <c r="CC270" i="17"/>
  <c r="CD270" i="17" s="1"/>
  <c r="CT312" i="17"/>
  <c r="CU316" i="17"/>
  <c r="CC235" i="17"/>
  <c r="CT235" i="17"/>
  <c r="CT150" i="17"/>
  <c r="CD49" i="17"/>
  <c r="CV49" i="17" s="1"/>
  <c r="CU49" i="17"/>
  <c r="CC293" i="17"/>
  <c r="CU293" i="17" s="1"/>
  <c r="CT293" i="17"/>
  <c r="CC161" i="17"/>
  <c r="CD161" i="17" s="1"/>
  <c r="CT161" i="17"/>
  <c r="CC295" i="17"/>
  <c r="CU295" i="17" s="1"/>
  <c r="CT295" i="17"/>
  <c r="CC118" i="17"/>
  <c r="CD118" i="17" s="1"/>
  <c r="CV118" i="17" s="1"/>
  <c r="CT118" i="17"/>
  <c r="CC288" i="17"/>
  <c r="CD288" i="17" s="1"/>
  <c r="CT288" i="17"/>
  <c r="CC64" i="17"/>
  <c r="CU64" i="17" s="1"/>
  <c r="CT64" i="17"/>
  <c r="CC291" i="17"/>
  <c r="CD291" i="17" s="1"/>
  <c r="CT291" i="17"/>
  <c r="CC152" i="17"/>
  <c r="CU152" i="17" s="1"/>
  <c r="CD120" i="17"/>
  <c r="CU120" i="17"/>
  <c r="CC228" i="17"/>
  <c r="CD228" i="17" s="1"/>
  <c r="CT228" i="17"/>
  <c r="CC202" i="17"/>
  <c r="CD202" i="17" s="1"/>
  <c r="CT202" i="17"/>
  <c r="CD275" i="17"/>
  <c r="CV275" i="17" s="1"/>
  <c r="CU275" i="17"/>
  <c r="CU124" i="17"/>
  <c r="CC86" i="17"/>
  <c r="CD86" i="17" s="1"/>
  <c r="CT86" i="17"/>
  <c r="CC276" i="17"/>
  <c r="CD276" i="17" s="1"/>
  <c r="CT276" i="17"/>
  <c r="CC127" i="17"/>
  <c r="CU127" i="17" s="1"/>
  <c r="CT127" i="17"/>
  <c r="CD298" i="17"/>
  <c r="CV298" i="17" s="1"/>
  <c r="CU298" i="17"/>
  <c r="CD79" i="17"/>
  <c r="CV79" i="17" s="1"/>
  <c r="CU79" i="17"/>
  <c r="CC51" i="17"/>
  <c r="CD51" i="17" s="1"/>
  <c r="CT51" i="17"/>
  <c r="CD82" i="17"/>
  <c r="CV82" i="17" s="1"/>
  <c r="CU82" i="17"/>
  <c r="CC261" i="17"/>
  <c r="CD261" i="17" s="1"/>
  <c r="CT261" i="17"/>
  <c r="CC232" i="17"/>
  <c r="CD232" i="17" s="1"/>
  <c r="CT232" i="17"/>
  <c r="CC148" i="17"/>
  <c r="CU148" i="17" s="1"/>
  <c r="CT148" i="17"/>
  <c r="CU243" i="17"/>
  <c r="CD243" i="17"/>
  <c r="CV243" i="17" s="1"/>
  <c r="CT158" i="17"/>
  <c r="CD24" i="17"/>
  <c r="CV24" i="17" s="1"/>
  <c r="CC211" i="17"/>
  <c r="CU211" i="17" s="1"/>
  <c r="CT211" i="17"/>
  <c r="CC273" i="17"/>
  <c r="CD273" i="17" s="1"/>
  <c r="CT273" i="17"/>
  <c r="CT7" i="17"/>
  <c r="CC181" i="17"/>
  <c r="CU181" i="17" s="1"/>
  <c r="CT181" i="17"/>
  <c r="CD111" i="17"/>
  <c r="CV111" i="17" s="1"/>
  <c r="CU111" i="17"/>
  <c r="CC29" i="17"/>
  <c r="CT29" i="17"/>
  <c r="CC34" i="17"/>
  <c r="CD34" i="17" s="1"/>
  <c r="CT34" i="17"/>
  <c r="CC155" i="17"/>
  <c r="CU155" i="17" s="1"/>
  <c r="CT155" i="17"/>
  <c r="CC26" i="17"/>
  <c r="CU26" i="17" s="1"/>
  <c r="CT26" i="17"/>
  <c r="CC209" i="17"/>
  <c r="CU209" i="17" s="1"/>
  <c r="CT209" i="17"/>
  <c r="CC187" i="17"/>
  <c r="CD187" i="17" s="1"/>
  <c r="CT187" i="17"/>
  <c r="CC262" i="17"/>
  <c r="CD262" i="17" s="1"/>
  <c r="CT262" i="17"/>
  <c r="CC145" i="17"/>
  <c r="CU145" i="17" s="1"/>
  <c r="CT145" i="17"/>
  <c r="CD104" i="17"/>
  <c r="CV104" i="17" s="1"/>
  <c r="CU104" i="17"/>
  <c r="CC264" i="17"/>
  <c r="CU264" i="17" s="1"/>
  <c r="CT264" i="17"/>
  <c r="CD36" i="17"/>
  <c r="CV36" i="17" s="1"/>
  <c r="CU36" i="17"/>
  <c r="CD63" i="17"/>
  <c r="CV63" i="17" s="1"/>
  <c r="CU63" i="17"/>
  <c r="CC131" i="17"/>
  <c r="CU131" i="17" s="1"/>
  <c r="CT131" i="17"/>
  <c r="CC23" i="17"/>
  <c r="CD23" i="17" s="1"/>
  <c r="CT23" i="17"/>
  <c r="CC238" i="17"/>
  <c r="CU238" i="17" s="1"/>
  <c r="CT238" i="17"/>
  <c r="CC133" i="17"/>
  <c r="CU133" i="17" s="1"/>
  <c r="CC259" i="17"/>
  <c r="CD259" i="17" s="1"/>
  <c r="CT206" i="17"/>
  <c r="CC206" i="17"/>
  <c r="CD206" i="17" s="1"/>
  <c r="CC99" i="17"/>
  <c r="CD99" i="17" s="1"/>
  <c r="CU207" i="17"/>
  <c r="CD207" i="17"/>
  <c r="CV207" i="17" s="1"/>
  <c r="CU41" i="17"/>
  <c r="CD305" i="17"/>
  <c r="CV305" i="17" s="1"/>
  <c r="CU305" i="17"/>
  <c r="CC30" i="17"/>
  <c r="CU30" i="17" s="1"/>
  <c r="CT30" i="17"/>
  <c r="CD153" i="17"/>
  <c r="CV153" i="17" s="1"/>
  <c r="CU153" i="17"/>
  <c r="CD265" i="17"/>
  <c r="CV265" i="17" s="1"/>
  <c r="CT307" i="17"/>
  <c r="CC83" i="17"/>
  <c r="CT83" i="17"/>
  <c r="CD195" i="17"/>
  <c r="CV195" i="17" s="1"/>
  <c r="CU195" i="17"/>
  <c r="CC40" i="17"/>
  <c r="CU40" i="17" s="1"/>
  <c r="CT40" i="17"/>
  <c r="CC35" i="17"/>
  <c r="CU35" i="17" s="1"/>
  <c r="CT35" i="17"/>
  <c r="CC237" i="17"/>
  <c r="CD237" i="17" s="1"/>
  <c r="CT237" i="17"/>
  <c r="CT81" i="17"/>
  <c r="CC50" i="17"/>
  <c r="CD50" i="17" s="1"/>
  <c r="CT50" i="17"/>
  <c r="CC166" i="17"/>
  <c r="CT166" i="17"/>
  <c r="CC114" i="17"/>
  <c r="CD114" i="17" s="1"/>
  <c r="CT114" i="17"/>
  <c r="CT43" i="17"/>
  <c r="CC126" i="17"/>
  <c r="CD126" i="17" s="1"/>
  <c r="CT126" i="17"/>
  <c r="CC184" i="17"/>
  <c r="CD184" i="17" s="1"/>
  <c r="CT184" i="17"/>
  <c r="CC185" i="17"/>
  <c r="CD185" i="17" s="1"/>
  <c r="CT185" i="17"/>
  <c r="CD54" i="17"/>
  <c r="CV54" i="17" s="1"/>
  <c r="CU54" i="17"/>
  <c r="CT157" i="17"/>
  <c r="CC112" i="17"/>
  <c r="CD112" i="17" s="1"/>
  <c r="CC110" i="17"/>
  <c r="CD110" i="17" s="1"/>
  <c r="CT110" i="17"/>
  <c r="CC128" i="17"/>
  <c r="CT128" i="17"/>
  <c r="CC220" i="17"/>
  <c r="CU220" i="17" s="1"/>
  <c r="CT220" i="17"/>
  <c r="CC226" i="17"/>
  <c r="CD226" i="17" s="1"/>
  <c r="CT226" i="17"/>
  <c r="CT302" i="17"/>
  <c r="CC302" i="17"/>
  <c r="CD302" i="17" s="1"/>
  <c r="CC194" i="17"/>
  <c r="CD194" i="17" s="1"/>
  <c r="CT194" i="17"/>
  <c r="CC303" i="17"/>
  <c r="CC159" i="17"/>
  <c r="CD159" i="17" s="1"/>
  <c r="CC87" i="17"/>
  <c r="CD87" i="17" s="1"/>
  <c r="CC173" i="17"/>
  <c r="CD173" i="17" s="1"/>
  <c r="CC300" i="17"/>
  <c r="CD300" i="17" s="1"/>
  <c r="CC212" i="17"/>
  <c r="CD212" i="17" s="1"/>
  <c r="CC191" i="17"/>
  <c r="CD191" i="17" s="1"/>
  <c r="CC19" i="17"/>
  <c r="CD19" i="17" s="1"/>
  <c r="CC62" i="17"/>
  <c r="CD62" i="17" s="1"/>
  <c r="CC57" i="17"/>
  <c r="CD57" i="17" s="1"/>
  <c r="CC204" i="17"/>
  <c r="CD204" i="17" s="1"/>
  <c r="CT60" i="17"/>
  <c r="CC60" i="17"/>
  <c r="CD60" i="17" s="1"/>
  <c r="CC8" i="17"/>
  <c r="CD8" i="17" s="1"/>
  <c r="CT8" i="17"/>
  <c r="CC301" i="17"/>
  <c r="CD301" i="17" s="1"/>
  <c r="CC170" i="17"/>
  <c r="CT122" i="17"/>
  <c r="CC208" i="17"/>
  <c r="CD208" i="17" s="1"/>
  <c r="CT87" i="17"/>
  <c r="CC292" i="17"/>
  <c r="CD292" i="17" s="1"/>
  <c r="CT292" i="17"/>
  <c r="CC9" i="17"/>
  <c r="CU9" i="17" s="1"/>
  <c r="CC196" i="17"/>
  <c r="CU196" i="17" s="1"/>
  <c r="CT196" i="17"/>
  <c r="CC144" i="17"/>
  <c r="CU144" i="17" s="1"/>
  <c r="CT144" i="17"/>
  <c r="CC106" i="17"/>
  <c r="CD106" i="17" s="1"/>
  <c r="CT106" i="17"/>
  <c r="CC102" i="17"/>
  <c r="CD102" i="17" s="1"/>
  <c r="CC129" i="17"/>
  <c r="CT25" i="17"/>
  <c r="CT156" i="17"/>
  <c r="CC242" i="17"/>
  <c r="CU74" i="17"/>
  <c r="CT304" i="17"/>
  <c r="CT188" i="17"/>
  <c r="CT278" i="17"/>
  <c r="CC18" i="17"/>
  <c r="CU18" i="17" s="1"/>
  <c r="CT300" i="17"/>
  <c r="CC134" i="17"/>
  <c r="CC297" i="17"/>
  <c r="CU282" i="17"/>
  <c r="CC269" i="17"/>
  <c r="CD269" i="17" s="1"/>
  <c r="CC240" i="17"/>
  <c r="CU141" i="17"/>
  <c r="CT189" i="17"/>
  <c r="CT217" i="17"/>
  <c r="CC217" i="17"/>
  <c r="CT290" i="17"/>
  <c r="CC290" i="17"/>
  <c r="CC123" i="17"/>
  <c r="CT123" i="17"/>
  <c r="CC310" i="17"/>
  <c r="CC244" i="17"/>
  <c r="CT105" i="17"/>
  <c r="CT149" i="17"/>
  <c r="CT57" i="17"/>
  <c r="CC308" i="17"/>
  <c r="CD308" i="17" s="1"/>
  <c r="CT107" i="17"/>
  <c r="CC174" i="17"/>
  <c r="CD174" i="17" s="1"/>
  <c r="CC177" i="17"/>
  <c r="CU177" i="17" s="1"/>
  <c r="CC169" i="17"/>
  <c r="CD169" i="17" s="1"/>
  <c r="CT169" i="17"/>
  <c r="CT32" i="17"/>
  <c r="CC32" i="17"/>
  <c r="CU11" i="17"/>
  <c r="CU154" i="17"/>
  <c r="CC175" i="17"/>
  <c r="CC309" i="17"/>
  <c r="CD309" i="17" s="1"/>
  <c r="CC263" i="17"/>
  <c r="CC172" i="17"/>
  <c r="CU172" i="17" s="1"/>
  <c r="CT172" i="17"/>
  <c r="CU245" i="17"/>
  <c r="CC192" i="17"/>
  <c r="CT192" i="17"/>
  <c r="CC146" i="17"/>
  <c r="CU225" i="17"/>
  <c r="CT129" i="17"/>
  <c r="CT135" i="17"/>
  <c r="CC119" i="17"/>
  <c r="CT6" i="17"/>
  <c r="CT231" i="17"/>
  <c r="CT308" i="17"/>
  <c r="CT134" i="17"/>
  <c r="CC67" i="17"/>
  <c r="CC218" i="17"/>
  <c r="CD218" i="17" s="1"/>
  <c r="CT221" i="17"/>
  <c r="CC132" i="17"/>
  <c r="CU132" i="17" s="1"/>
  <c r="CC27" i="17"/>
  <c r="CD27" i="17" s="1"/>
  <c r="CC253" i="17"/>
  <c r="CD253" i="17" s="1"/>
  <c r="CT85" i="17"/>
  <c r="CC252" i="17"/>
  <c r="CU252" i="17" s="1"/>
  <c r="CC180" i="17"/>
  <c r="CD180" i="17" s="1"/>
  <c r="CT19" i="17"/>
  <c r="CT71" i="17"/>
  <c r="CC12" i="17"/>
  <c r="CU12" i="17" s="1"/>
  <c r="CT12" i="17"/>
  <c r="CT233" i="17"/>
  <c r="CC149" i="17"/>
  <c r="CD149" i="17" s="1"/>
  <c r="CT190" i="17"/>
  <c r="CC190" i="17"/>
  <c r="CD190" i="17" s="1"/>
  <c r="CC176" i="17"/>
  <c r="CU176" i="17" s="1"/>
  <c r="CT176" i="17"/>
  <c r="CC306" i="17"/>
  <c r="CT306" i="17"/>
  <c r="CC52" i="17"/>
  <c r="CD52" i="17" s="1"/>
  <c r="CT52" i="17"/>
  <c r="CU139" i="17"/>
  <c r="CT15" i="17"/>
  <c r="CC15" i="17"/>
  <c r="CD15" i="17" s="1"/>
  <c r="CT18" i="17"/>
  <c r="CC266" i="17"/>
  <c r="CC216" i="17"/>
  <c r="CD216" i="17" s="1"/>
  <c r="CT151" i="17"/>
  <c r="CC16" i="17"/>
  <c r="CT303" i="17"/>
  <c r="CT254" i="17"/>
  <c r="CT171" i="17"/>
  <c r="CC315" i="17"/>
  <c r="CT212" i="17"/>
  <c r="CC213" i="17"/>
  <c r="CU213" i="17" s="1"/>
  <c r="CC44" i="17"/>
  <c r="CD44" i="17" s="1"/>
  <c r="CC317" i="17"/>
  <c r="CD317" i="17" s="1"/>
  <c r="CC136" i="17"/>
  <c r="CD136" i="17" s="1"/>
  <c r="CC313" i="17"/>
  <c r="CU313" i="17" s="1"/>
  <c r="CC105" i="17"/>
  <c r="CU105" i="17" s="1"/>
  <c r="CT132" i="17"/>
  <c r="CC182" i="17"/>
  <c r="CD182" i="17" s="1"/>
  <c r="CT45" i="17"/>
  <c r="CT113" i="17"/>
  <c r="CC113" i="17"/>
  <c r="CD113" i="17" s="1"/>
  <c r="CC311" i="17"/>
  <c r="CD311" i="17" s="1"/>
  <c r="CT182" i="17"/>
  <c r="CC231" i="17"/>
  <c r="CU231" i="17" s="1"/>
  <c r="CT174" i="17"/>
  <c r="CC164" i="17"/>
  <c r="CD164" i="17" s="1"/>
  <c r="CC199" i="17"/>
  <c r="CD199" i="17" s="1"/>
  <c r="CC256" i="17"/>
  <c r="CD256" i="17" s="1"/>
  <c r="CT9" i="17"/>
  <c r="CC283" i="17"/>
  <c r="CD283" i="17" s="1"/>
  <c r="CC107" i="17"/>
  <c r="CU107" i="17" s="1"/>
  <c r="CC279" i="17"/>
  <c r="CT279" i="17"/>
  <c r="CC10" i="17"/>
  <c r="CD10" i="17" s="1"/>
  <c r="CT10" i="17"/>
  <c r="CC98" i="17"/>
  <c r="CD98" i="17" s="1"/>
  <c r="CT98" i="17"/>
  <c r="CC95" i="17"/>
  <c r="CD95" i="17" s="1"/>
  <c r="CT186" i="17"/>
  <c r="CC125" i="17"/>
  <c r="CD125" i="17" s="1"/>
  <c r="CC17" i="17"/>
  <c r="CC229" i="17"/>
  <c r="CT229" i="17"/>
  <c r="CC246" i="17"/>
  <c r="CT246" i="17"/>
  <c r="CC100" i="17"/>
  <c r="CC193" i="17"/>
  <c r="CC66" i="17"/>
  <c r="CT66" i="17"/>
  <c r="CC91" i="17"/>
  <c r="CC162" i="17"/>
  <c r="CC167" i="17"/>
  <c r="CT167" i="17"/>
  <c r="CC260" i="17"/>
  <c r="CT294" i="17"/>
  <c r="CC294" i="17"/>
  <c r="CC210" i="17"/>
  <c r="CU210" i="17" s="1"/>
  <c r="CT210" i="17"/>
  <c r="CT95" i="17"/>
  <c r="CC200" i="17"/>
  <c r="CD200" i="17" s="1"/>
  <c r="CC272" i="17"/>
  <c r="CD272" i="17" s="1"/>
  <c r="CT162" i="17"/>
  <c r="CT173" i="17"/>
  <c r="CC171" i="17"/>
  <c r="CD171" i="17" s="1"/>
  <c r="CT62" i="17"/>
  <c r="CT280" i="17"/>
  <c r="CT255" i="17"/>
  <c r="CC130" i="17"/>
  <c r="CD130" i="17" s="1"/>
  <c r="CC93" i="17"/>
  <c r="CD93" i="17" s="1"/>
  <c r="CT93" i="17"/>
  <c r="CC108" i="17"/>
  <c r="CU108" i="17" s="1"/>
  <c r="CT108" i="17"/>
  <c r="CC304" i="17"/>
  <c r="CD304" i="17" s="1"/>
  <c r="CC203" i="17"/>
  <c r="CD203" i="17" s="1"/>
  <c r="CC14" i="17"/>
  <c r="CU14" i="17" s="1"/>
  <c r="CT313" i="17"/>
  <c r="CU20" i="17"/>
  <c r="CC286" i="17"/>
  <c r="CD286" i="17" s="1"/>
  <c r="CT130" i="17"/>
  <c r="CT234" i="17"/>
  <c r="CC234" i="17"/>
  <c r="CC84" i="17"/>
  <c r="CT84" i="17"/>
  <c r="CC236" i="17"/>
  <c r="CU68" i="17"/>
  <c r="CT260" i="17"/>
  <c r="CU140" i="17"/>
  <c r="CC138" i="17"/>
  <c r="CC135" i="17"/>
  <c r="CU135" i="17" s="1"/>
  <c r="CC250" i="17"/>
  <c r="CC103" i="17"/>
  <c r="CU28" i="17"/>
  <c r="CT125" i="17"/>
  <c r="CT165" i="17"/>
  <c r="CC92" i="17"/>
  <c r="CT180" i="17"/>
  <c r="CT317" i="17"/>
  <c r="CC65" i="17"/>
  <c r="CC281" i="17"/>
  <c r="CT170" i="17"/>
  <c r="CT285" i="17"/>
  <c r="CT159" i="17"/>
  <c r="CT216" i="17"/>
  <c r="CC165" i="17"/>
  <c r="CD165" i="17" s="1"/>
  <c r="CC85" i="17"/>
  <c r="CC7" i="17"/>
  <c r="CD7" i="17" s="1"/>
  <c r="CC55" i="17"/>
  <c r="CD55" i="17" s="1"/>
  <c r="CC81" i="17"/>
  <c r="CD81" i="17" s="1"/>
  <c r="CC53" i="17"/>
  <c r="CD53" i="17" s="1"/>
  <c r="CC6" i="17"/>
  <c r="CD6" i="17" s="1"/>
  <c r="CC157" i="17"/>
  <c r="CD157" i="17" s="1"/>
  <c r="CC307" i="17"/>
  <c r="CD307" i="17" s="1"/>
  <c r="CC221" i="17"/>
  <c r="CD221" i="17" s="1"/>
  <c r="CC150" i="17"/>
  <c r="CD150" i="17" s="1"/>
  <c r="AW6" i="17"/>
  <c r="AX6" i="17"/>
  <c r="AW289" i="17"/>
  <c r="AX289" i="17"/>
  <c r="CC43" i="17"/>
  <c r="CD43" i="17" s="1"/>
  <c r="AX90" i="17"/>
  <c r="AW90" i="17"/>
  <c r="CC158" i="17"/>
  <c r="CD158" i="17" s="1"/>
  <c r="AW243" i="17"/>
  <c r="AX243" i="17"/>
  <c r="AW144" i="17"/>
  <c r="AX144" i="17"/>
  <c r="AW22" i="17"/>
  <c r="AX22" i="17"/>
  <c r="CU254" i="17" l="1"/>
  <c r="CU258" i="17"/>
  <c r="CV142" i="17"/>
  <c r="CD75" i="17"/>
  <c r="CV75" i="17" s="1"/>
  <c r="CU122" i="17"/>
  <c r="CU38" i="17"/>
  <c r="CV285" i="17"/>
  <c r="CU72" i="17"/>
  <c r="CV278" i="17"/>
  <c r="CU160" i="17"/>
  <c r="CU201" i="17"/>
  <c r="CU233" i="17"/>
  <c r="CU25" i="17"/>
  <c r="CU278" i="17"/>
  <c r="CU285" i="17"/>
  <c r="CV11" i="17"/>
  <c r="CV38" i="17"/>
  <c r="CD155" i="17"/>
  <c r="CV155" i="17" s="1"/>
  <c r="CU90" i="17"/>
  <c r="CV25" i="17"/>
  <c r="CU186" i="17"/>
  <c r="CU189" i="17"/>
  <c r="CU188" i="17"/>
  <c r="CV120" i="17"/>
  <c r="CD235" i="17"/>
  <c r="CV235" i="17" s="1"/>
  <c r="CU302" i="17"/>
  <c r="CU198" i="17"/>
  <c r="CV186" i="17"/>
  <c r="CD109" i="17"/>
  <c r="CV109" i="17" s="1"/>
  <c r="CV160" i="17"/>
  <c r="CV61" i="17"/>
  <c r="CU267" i="17"/>
  <c r="CD107" i="17"/>
  <c r="CV107" i="17" s="1"/>
  <c r="CU268" i="17"/>
  <c r="CV189" i="17"/>
  <c r="CV198" i="17"/>
  <c r="CU261" i="17"/>
  <c r="CU255" i="17"/>
  <c r="CU80" i="17"/>
  <c r="CV205" i="17"/>
  <c r="CD152" i="17"/>
  <c r="CV255" i="17"/>
  <c r="CV268" i="17"/>
  <c r="CV254" i="17"/>
  <c r="CU314" i="17"/>
  <c r="CV98" i="17"/>
  <c r="CV23" i="17"/>
  <c r="CV200" i="17"/>
  <c r="CV99" i="17"/>
  <c r="CV19" i="17"/>
  <c r="CV90" i="17"/>
  <c r="CV182" i="17"/>
  <c r="CV190" i="17"/>
  <c r="CV161" i="17"/>
  <c r="CV191" i="17"/>
  <c r="CV187" i="17"/>
  <c r="CV50" i="17"/>
  <c r="CV309" i="17"/>
  <c r="CV51" i="17"/>
  <c r="CV136" i="17"/>
  <c r="CV286" i="17"/>
  <c r="CV276" i="17"/>
  <c r="CV237" i="17"/>
  <c r="CV81" i="17"/>
  <c r="CV208" i="17"/>
  <c r="CV93" i="17"/>
  <c r="CV151" i="17"/>
  <c r="CV261" i="17"/>
  <c r="CV87" i="17"/>
  <c r="CV122" i="17"/>
  <c r="CV156" i="17"/>
  <c r="CV273" i="17"/>
  <c r="CV71" i="17"/>
  <c r="CV101" i="17"/>
  <c r="CV188" i="17"/>
  <c r="CV125" i="17"/>
  <c r="CV270" i="17"/>
  <c r="CV204" i="17"/>
  <c r="CV307" i="17"/>
  <c r="CU57" i="17"/>
  <c r="CU312" i="17"/>
  <c r="CV296" i="17"/>
  <c r="CV106" i="17"/>
  <c r="CD40" i="17"/>
  <c r="CV40" i="17" s="1"/>
  <c r="CU224" i="17"/>
  <c r="CU71" i="17"/>
  <c r="CV256" i="17"/>
  <c r="CV113" i="17"/>
  <c r="CV102" i="17"/>
  <c r="CV228" i="17"/>
  <c r="CV308" i="17"/>
  <c r="CV57" i="17"/>
  <c r="CV110" i="17"/>
  <c r="CV288" i="17"/>
  <c r="CV165" i="17"/>
  <c r="CV304" i="17"/>
  <c r="CV291" i="17"/>
  <c r="CV126" i="17"/>
  <c r="CV114" i="17"/>
  <c r="CV164" i="17"/>
  <c r="CV60" i="17"/>
  <c r="CV202" i="17"/>
  <c r="CV312" i="17"/>
  <c r="CV112" i="17"/>
  <c r="CV159" i="17"/>
  <c r="CV184" i="17"/>
  <c r="CV206" i="17"/>
  <c r="CV248" i="17"/>
  <c r="CV55" i="17"/>
  <c r="CV272" i="17"/>
  <c r="CV201" i="17"/>
  <c r="CV317" i="17"/>
  <c r="CV262" i="17"/>
  <c r="CV34" i="17"/>
  <c r="CD144" i="17"/>
  <c r="CV144" i="17" s="1"/>
  <c r="CV199" i="17"/>
  <c r="CV44" i="17"/>
  <c r="CV169" i="17"/>
  <c r="CV53" i="17"/>
  <c r="CV157" i="17"/>
  <c r="CU48" i="17"/>
  <c r="CU151" i="17"/>
  <c r="CV15" i="17"/>
  <c r="CV149" i="17"/>
  <c r="CV216" i="17"/>
  <c r="CV302" i="17"/>
  <c r="CV300" i="17"/>
  <c r="CV45" i="17"/>
  <c r="CV212" i="17"/>
  <c r="CV283" i="17"/>
  <c r="CU37" i="17"/>
  <c r="CV314" i="17"/>
  <c r="CV311" i="17"/>
  <c r="CV232" i="17"/>
  <c r="CD128" i="17"/>
  <c r="CV128" i="17" s="1"/>
  <c r="CU106" i="17"/>
  <c r="CU174" i="17"/>
  <c r="CU101" i="17"/>
  <c r="CV48" i="17"/>
  <c r="CV203" i="17"/>
  <c r="CV194" i="17"/>
  <c r="CV27" i="17"/>
  <c r="CV259" i="17"/>
  <c r="CV6" i="17"/>
  <c r="CV173" i="17"/>
  <c r="CV253" i="17"/>
  <c r="CV239" i="17"/>
  <c r="CV10" i="17"/>
  <c r="CV221" i="17"/>
  <c r="CV179" i="17"/>
  <c r="CV301" i="17"/>
  <c r="CV180" i="17"/>
  <c r="CV52" i="17"/>
  <c r="CV37" i="17"/>
  <c r="CV226" i="17"/>
  <c r="CV233" i="17"/>
  <c r="CV174" i="17"/>
  <c r="CV267" i="17"/>
  <c r="CV158" i="17"/>
  <c r="CV224" i="17"/>
  <c r="CV218" i="17"/>
  <c r="CV86" i="17"/>
  <c r="CD271" i="17"/>
  <c r="CV271" i="17" s="1"/>
  <c r="CV171" i="17"/>
  <c r="CV130" i="17"/>
  <c r="CV269" i="17"/>
  <c r="CV62" i="17"/>
  <c r="CV150" i="17"/>
  <c r="CV185" i="17"/>
  <c r="CV7" i="17"/>
  <c r="CV8" i="17"/>
  <c r="CV292" i="17"/>
  <c r="CV95" i="17"/>
  <c r="CV43" i="17"/>
  <c r="CD133" i="17"/>
  <c r="CV133" i="17" s="1"/>
  <c r="CD197" i="17"/>
  <c r="CV197" i="17" s="1"/>
  <c r="CD35" i="17"/>
  <c r="CV35" i="17" s="1"/>
  <c r="CD313" i="17"/>
  <c r="CV313" i="17" s="1"/>
  <c r="CU95" i="17"/>
  <c r="CU239" i="17"/>
  <c r="CU126" i="17"/>
  <c r="CD177" i="17"/>
  <c r="CV177" i="17" s="1"/>
  <c r="CU19" i="17"/>
  <c r="CD213" i="17"/>
  <c r="CV213" i="17" s="1"/>
  <c r="CU62" i="17"/>
  <c r="CU283" i="17"/>
  <c r="CU179" i="17"/>
  <c r="CU203" i="17"/>
  <c r="CD148" i="17"/>
  <c r="CV148" i="17" s="1"/>
  <c r="CU205" i="17"/>
  <c r="CU226" i="17"/>
  <c r="CU296" i="17"/>
  <c r="CD64" i="17"/>
  <c r="CV64" i="17" s="1"/>
  <c r="CU164" i="17"/>
  <c r="CU248" i="17"/>
  <c r="CD181" i="17"/>
  <c r="CV181" i="17" s="1"/>
  <c r="CD196" i="17"/>
  <c r="CV196" i="17" s="1"/>
  <c r="CD14" i="17"/>
  <c r="CV14" i="17" s="1"/>
  <c r="CU208" i="17"/>
  <c r="CU45" i="17"/>
  <c r="CU269" i="17"/>
  <c r="CD135" i="17"/>
  <c r="CV135" i="17" s="1"/>
  <c r="CD73" i="17"/>
  <c r="CU73" i="17"/>
  <c r="CU110" i="17"/>
  <c r="CU156" i="17"/>
  <c r="CD26" i="17"/>
  <c r="CV26" i="17" s="1"/>
  <c r="CU200" i="17"/>
  <c r="CU276" i="17"/>
  <c r="CD30" i="17"/>
  <c r="CV30" i="17" s="1"/>
  <c r="CU292" i="17"/>
  <c r="CD264" i="17"/>
  <c r="CD131" i="17"/>
  <c r="CV131" i="17" s="1"/>
  <c r="CU256" i="17"/>
  <c r="CU286" i="17"/>
  <c r="CU55" i="17"/>
  <c r="CD18" i="17"/>
  <c r="CU237" i="17"/>
  <c r="CU206" i="17"/>
  <c r="CD211" i="17"/>
  <c r="CV211" i="17" s="1"/>
  <c r="CU27" i="17"/>
  <c r="CU113" i="17"/>
  <c r="CD220" i="17"/>
  <c r="CV220" i="17" s="1"/>
  <c r="CU212" i="17"/>
  <c r="CU169" i="17"/>
  <c r="CD9" i="17"/>
  <c r="CU87" i="17"/>
  <c r="CU114" i="17"/>
  <c r="CU23" i="17"/>
  <c r="CU159" i="17"/>
  <c r="CD105" i="17"/>
  <c r="CV105" i="17" s="1"/>
  <c r="CU204" i="17"/>
  <c r="CD238" i="17"/>
  <c r="CV238" i="17" s="1"/>
  <c r="CU60" i="17"/>
  <c r="CD132" i="17"/>
  <c r="CV132" i="17" s="1"/>
  <c r="CU191" i="17"/>
  <c r="CD12" i="17"/>
  <c r="CV12" i="17" s="1"/>
  <c r="CD231" i="17"/>
  <c r="CV231" i="17" s="1"/>
  <c r="CU300" i="17"/>
  <c r="CU194" i="17"/>
  <c r="CU270" i="17"/>
  <c r="CU273" i="17"/>
  <c r="CU51" i="17"/>
  <c r="CU15" i="17"/>
  <c r="CU232" i="17"/>
  <c r="CD306" i="17"/>
  <c r="CV306" i="17" s="1"/>
  <c r="CU306" i="17"/>
  <c r="CD246" i="17"/>
  <c r="CV246" i="17" s="1"/>
  <c r="CU246" i="17"/>
  <c r="CU253" i="17"/>
  <c r="CU236" i="17"/>
  <c r="CD236" i="17"/>
  <c r="CV236" i="17" s="1"/>
  <c r="CU44" i="17"/>
  <c r="CD293" i="17"/>
  <c r="CV293" i="17" s="1"/>
  <c r="CD85" i="17"/>
  <c r="CV85" i="17" s="1"/>
  <c r="CU85" i="17"/>
  <c r="CU102" i="17"/>
  <c r="CU173" i="17"/>
  <c r="CU272" i="17"/>
  <c r="CU8" i="17"/>
  <c r="CU66" i="17"/>
  <c r="CD66" i="17"/>
  <c r="CV66" i="17" s="1"/>
  <c r="CD175" i="17"/>
  <c r="CV175" i="17" s="1"/>
  <c r="CU175" i="17"/>
  <c r="CD32" i="17"/>
  <c r="CV32" i="17" s="1"/>
  <c r="CU32" i="17"/>
  <c r="CD244" i="17"/>
  <c r="CV244" i="17" s="1"/>
  <c r="CU244" i="17"/>
  <c r="CD290" i="17"/>
  <c r="CV290" i="17" s="1"/>
  <c r="CU290" i="17"/>
  <c r="CU128" i="17"/>
  <c r="CU185" i="17"/>
  <c r="CD209" i="17"/>
  <c r="CV209" i="17" s="1"/>
  <c r="CU279" i="17"/>
  <c r="CU311" i="17"/>
  <c r="CU98" i="17"/>
  <c r="CU202" i="17"/>
  <c r="CU291" i="17"/>
  <c r="CU235" i="17"/>
  <c r="CU16" i="17"/>
  <c r="CD16" i="17"/>
  <c r="CV16" i="17" s="1"/>
  <c r="CU146" i="17"/>
  <c r="CD146" i="17"/>
  <c r="CV146" i="17" s="1"/>
  <c r="CD108" i="17"/>
  <c r="CV108" i="17" s="1"/>
  <c r="CD252" i="17"/>
  <c r="CD279" i="17"/>
  <c r="CV279" i="17" s="1"/>
  <c r="CD92" i="17"/>
  <c r="CV92" i="17" s="1"/>
  <c r="CU92" i="17"/>
  <c r="CD103" i="17"/>
  <c r="CV103" i="17" s="1"/>
  <c r="CU103" i="17"/>
  <c r="CU301" i="17"/>
  <c r="CD84" i="17"/>
  <c r="CV84" i="17" s="1"/>
  <c r="CU84" i="17"/>
  <c r="CD162" i="17"/>
  <c r="CV162" i="17" s="1"/>
  <c r="CU162" i="17"/>
  <c r="CD193" i="17"/>
  <c r="CV193" i="17" s="1"/>
  <c r="CU193" i="17"/>
  <c r="CD229" i="17"/>
  <c r="CV229" i="17" s="1"/>
  <c r="CU229" i="17"/>
  <c r="CU315" i="17"/>
  <c r="CD315" i="17"/>
  <c r="CV315" i="17" s="1"/>
  <c r="CD119" i="17"/>
  <c r="CV119" i="17" s="1"/>
  <c r="CU119" i="17"/>
  <c r="CD310" i="17"/>
  <c r="CV310" i="17" s="1"/>
  <c r="CU310" i="17"/>
  <c r="CD240" i="17"/>
  <c r="CU240" i="17"/>
  <c r="CD134" i="17"/>
  <c r="CU134" i="17"/>
  <c r="CU309" i="17"/>
  <c r="CU157" i="17"/>
  <c r="CU166" i="17"/>
  <c r="CU259" i="17"/>
  <c r="CU304" i="17"/>
  <c r="CU171" i="17"/>
  <c r="CU29" i="17"/>
  <c r="CD127" i="17"/>
  <c r="CV127" i="17" s="1"/>
  <c r="CU288" i="17"/>
  <c r="CD167" i="17"/>
  <c r="CV167" i="17" s="1"/>
  <c r="CU167" i="17"/>
  <c r="CD281" i="17"/>
  <c r="CV281" i="17" s="1"/>
  <c r="CU281" i="17"/>
  <c r="CD234" i="17"/>
  <c r="CV234" i="17" s="1"/>
  <c r="CU234" i="17"/>
  <c r="CD260" i="17"/>
  <c r="CV260" i="17" s="1"/>
  <c r="CU260" i="17"/>
  <c r="CD176" i="17"/>
  <c r="CV176" i="17" s="1"/>
  <c r="CU53" i="17"/>
  <c r="CD217" i="17"/>
  <c r="CV217" i="17" s="1"/>
  <c r="CU217" i="17"/>
  <c r="CD166" i="17"/>
  <c r="CV166" i="17" s="1"/>
  <c r="CD83" i="17"/>
  <c r="CV83" i="17" s="1"/>
  <c r="CU99" i="17"/>
  <c r="CU130" i="17"/>
  <c r="CU262" i="17"/>
  <c r="CU93" i="17"/>
  <c r="CU34" i="17"/>
  <c r="CU86" i="17"/>
  <c r="CU118" i="17"/>
  <c r="CU161" i="17"/>
  <c r="CD145" i="17"/>
  <c r="CV145" i="17" s="1"/>
  <c r="CD210" i="17"/>
  <c r="CV210" i="17" s="1"/>
  <c r="CU218" i="17"/>
  <c r="CD67" i="17"/>
  <c r="CV67" i="17" s="1"/>
  <c r="CU67" i="17"/>
  <c r="CU250" i="17"/>
  <c r="CD250" i="17"/>
  <c r="CV250" i="17" s="1"/>
  <c r="CU100" i="17"/>
  <c r="CD100" i="17"/>
  <c r="CD17" i="17"/>
  <c r="CV17" i="17" s="1"/>
  <c r="CU17" i="17"/>
  <c r="CU6" i="17"/>
  <c r="CU221" i="17"/>
  <c r="CD192" i="17"/>
  <c r="CV192" i="17" s="1"/>
  <c r="CU192" i="17"/>
  <c r="CU263" i="17"/>
  <c r="CD263" i="17"/>
  <c r="CV263" i="17" s="1"/>
  <c r="CD129" i="17"/>
  <c r="CU129" i="17"/>
  <c r="CU184" i="17"/>
  <c r="CU83" i="17"/>
  <c r="CD29" i="17"/>
  <c r="CV29" i="17" s="1"/>
  <c r="CU136" i="17"/>
  <c r="CU158" i="17"/>
  <c r="CD138" i="17"/>
  <c r="CV138" i="17" s="1"/>
  <c r="CU138" i="17"/>
  <c r="CU91" i="17"/>
  <c r="CD91" i="17"/>
  <c r="CV91" i="17" s="1"/>
  <c r="CD303" i="17"/>
  <c r="CV303" i="17" s="1"/>
  <c r="CU303" i="17"/>
  <c r="CU43" i="17"/>
  <c r="CU216" i="17"/>
  <c r="CU149" i="17"/>
  <c r="CU317" i="17"/>
  <c r="CU150" i="17"/>
  <c r="CU81" i="17"/>
  <c r="CU165" i="17"/>
  <c r="CD172" i="17"/>
  <c r="CV172" i="17" s="1"/>
  <c r="CD123" i="17"/>
  <c r="CV123" i="17" s="1"/>
  <c r="CU123" i="17"/>
  <c r="CD170" i="17"/>
  <c r="CV170" i="17" s="1"/>
  <c r="CU170" i="17"/>
  <c r="CU50" i="17"/>
  <c r="CU125" i="17"/>
  <c r="CU180" i="17"/>
  <c r="CU7" i="17"/>
  <c r="CU52" i="17"/>
  <c r="CU190" i="17"/>
  <c r="CD266" i="17"/>
  <c r="CV266" i="17" s="1"/>
  <c r="CU266" i="17"/>
  <c r="CD65" i="17"/>
  <c r="CV65" i="17" s="1"/>
  <c r="CU65" i="17"/>
  <c r="CD295" i="17"/>
  <c r="CV295" i="17" s="1"/>
  <c r="CD294" i="17"/>
  <c r="CV294" i="17" s="1"/>
  <c r="CU294" i="17"/>
  <c r="CD297" i="17"/>
  <c r="CV297" i="17" s="1"/>
  <c r="CU297" i="17"/>
  <c r="CD242" i="17"/>
  <c r="CV242" i="17" s="1"/>
  <c r="CU242" i="17"/>
  <c r="CU112" i="17"/>
  <c r="CU307" i="17"/>
  <c r="CU187" i="17"/>
  <c r="CU10" i="17"/>
  <c r="CU308" i="17"/>
  <c r="CU199" i="17"/>
  <c r="CU182" i="17"/>
  <c r="CU228" i="17"/>
  <c r="D3" i="32"/>
  <c r="BY5" i="17"/>
  <c r="C50" i="32" s="1"/>
  <c r="BX5" i="17"/>
  <c r="C49" i="32" s="1"/>
  <c r="AH5" i="17"/>
  <c r="AG5" i="17"/>
  <c r="AF5" i="17"/>
  <c r="AE5" i="17"/>
  <c r="AD5" i="17"/>
  <c r="AC5" i="17"/>
  <c r="AB5" i="17"/>
  <c r="AA5" i="17"/>
  <c r="AQ5" i="17" s="1"/>
  <c r="CV152" i="17" l="1"/>
  <c r="CV129" i="17"/>
  <c r="CV100" i="17"/>
  <c r="CV252" i="17"/>
  <c r="CV134" i="17"/>
  <c r="CV264" i="17"/>
  <c r="CV73" i="17"/>
  <c r="CV240" i="17"/>
  <c r="CV9" i="17"/>
  <c r="CV18" i="17"/>
  <c r="CQ5" i="17"/>
  <c r="D5" i="32"/>
  <c r="AR5" i="17"/>
  <c r="AS5" i="17"/>
  <c r="BZ5" i="17"/>
  <c r="C51" i="32" s="1"/>
  <c r="AT5" i="17"/>
  <c r="AX5" i="17"/>
  <c r="AU5" i="17"/>
  <c r="AV5" i="17"/>
  <c r="AW5" i="17"/>
  <c r="CR5" i="17" l="1"/>
  <c r="CA5" i="17"/>
  <c r="C52" i="32" s="1"/>
  <c r="CB5" i="17" l="1"/>
  <c r="C53" i="32" s="1"/>
  <c r="CS5" i="17"/>
  <c r="D320" i="10"/>
  <c r="E320" i="10"/>
  <c r="F320" i="10"/>
  <c r="BW321" i="40" s="1"/>
  <c r="G320" i="10"/>
  <c r="BX321" i="40" s="1"/>
  <c r="H320" i="10"/>
  <c r="BY321" i="40" s="1"/>
  <c r="D321" i="10"/>
  <c r="E321" i="10"/>
  <c r="F321" i="10"/>
  <c r="BW322" i="40" s="1"/>
  <c r="G321" i="10"/>
  <c r="BX322" i="40" s="1"/>
  <c r="H321" i="10"/>
  <c r="BY322" i="40" s="1"/>
  <c r="H319" i="10"/>
  <c r="BY320" i="40" s="1"/>
  <c r="D319" i="10"/>
  <c r="E319" i="10"/>
  <c r="F319" i="10"/>
  <c r="BW320" i="40" s="1"/>
  <c r="G319" i="10"/>
  <c r="BX320" i="40" s="1"/>
  <c r="D318" i="10"/>
  <c r="E318" i="10"/>
  <c r="F318" i="10"/>
  <c r="BW319" i="40" s="1"/>
  <c r="G318" i="10"/>
  <c r="BX319" i="40" s="1"/>
  <c r="H318" i="10"/>
  <c r="BY319" i="40" s="1"/>
  <c r="CQ319" i="40" l="1"/>
  <c r="BZ319" i="40"/>
  <c r="CQ320" i="40"/>
  <c r="BZ320" i="40"/>
  <c r="CR320" i="40" s="1"/>
  <c r="CQ321" i="40"/>
  <c r="BZ321" i="40"/>
  <c r="CR321" i="40" s="1"/>
  <c r="CQ322" i="40"/>
  <c r="BZ322" i="40"/>
  <c r="CA322" i="40" s="1"/>
  <c r="CT5" i="17"/>
  <c r="CC5" i="17"/>
  <c r="BW320" i="17"/>
  <c r="BY321" i="17"/>
  <c r="BX319" i="17"/>
  <c r="BW321" i="17"/>
  <c r="BY322" i="17"/>
  <c r="BW322" i="17"/>
  <c r="BY319" i="17"/>
  <c r="BX321" i="17"/>
  <c r="BY320" i="17"/>
  <c r="BW319" i="17"/>
  <c r="BX322" i="17"/>
  <c r="BX320" i="17"/>
  <c r="CR322" i="40" l="1"/>
  <c r="CA319" i="40"/>
  <c r="CB319" i="40" s="1"/>
  <c r="CS322" i="40"/>
  <c r="CB322" i="40"/>
  <c r="CT322" i="40" s="1"/>
  <c r="CA320" i="40"/>
  <c r="CR319" i="40"/>
  <c r="CA321" i="40"/>
  <c r="CD5" i="17"/>
  <c r="CU5" i="17"/>
  <c r="CQ322" i="17"/>
  <c r="CQ320" i="17"/>
  <c r="BZ320" i="17"/>
  <c r="CQ321" i="17"/>
  <c r="CQ319" i="17"/>
  <c r="BZ322" i="17"/>
  <c r="BZ319" i="17"/>
  <c r="BZ321" i="17"/>
  <c r="E5" i="17"/>
  <c r="C318" i="10"/>
  <c r="CT319" i="40" l="1"/>
  <c r="CC322" i="40"/>
  <c r="CU322" i="40" s="1"/>
  <c r="CC319" i="40"/>
  <c r="CD319" i="40" s="1"/>
  <c r="CV319" i="40" s="1"/>
  <c r="CV5" i="17"/>
  <c r="CS319" i="40"/>
  <c r="CB320" i="40"/>
  <c r="CS320" i="40"/>
  <c r="CS321" i="40"/>
  <c r="CB321" i="40"/>
  <c r="CA320" i="17"/>
  <c r="CS320" i="17" s="1"/>
  <c r="CR321" i="17"/>
  <c r="CR319" i="17"/>
  <c r="CA322" i="17"/>
  <c r="CB322" i="17" s="1"/>
  <c r="CA319" i="17"/>
  <c r="CR322" i="17"/>
  <c r="CR320" i="17"/>
  <c r="CA321" i="17"/>
  <c r="D2" i="16"/>
  <c r="H17" i="16" l="1"/>
  <c r="H12" i="16"/>
  <c r="H18" i="16"/>
  <c r="H19" i="16"/>
  <c r="H20" i="16"/>
  <c r="H16" i="16"/>
  <c r="H15" i="16"/>
  <c r="H14" i="16"/>
  <c r="H13" i="16"/>
  <c r="CU319" i="40"/>
  <c r="CD322" i="40"/>
  <c r="CV322" i="40" s="1"/>
  <c r="CC321" i="40"/>
  <c r="CU321" i="40" s="1"/>
  <c r="CT321" i="40"/>
  <c r="CT320" i="40"/>
  <c r="CC320" i="40"/>
  <c r="CD320" i="40" s="1"/>
  <c r="G20" i="16"/>
  <c r="G19" i="16"/>
  <c r="G18" i="16"/>
  <c r="G17" i="16"/>
  <c r="G16" i="16"/>
  <c r="G15" i="16"/>
  <c r="CT322" i="17"/>
  <c r="CC322" i="17"/>
  <c r="CD322" i="17" s="1"/>
  <c r="CB320" i="17"/>
  <c r="CS322" i="17"/>
  <c r="CS321" i="17"/>
  <c r="CS319" i="17"/>
  <c r="CB319" i="17"/>
  <c r="CB321" i="17"/>
  <c r="G12" i="16"/>
  <c r="N14" i="16"/>
  <c r="N12" i="16"/>
  <c r="G14" i="16"/>
  <c r="G13" i="16"/>
  <c r="N13" i="16"/>
  <c r="CU320" i="40" l="1"/>
  <c r="I12" i="16"/>
  <c r="CD321" i="40"/>
  <c r="CV321" i="40" s="1"/>
  <c r="CV320" i="40"/>
  <c r="CV322" i="17"/>
  <c r="CU322" i="17"/>
  <c r="CC321" i="17"/>
  <c r="CU321" i="17" s="1"/>
  <c r="CT321" i="17"/>
  <c r="CC320" i="17"/>
  <c r="CD320" i="17" s="1"/>
  <c r="CT320" i="17"/>
  <c r="CC319" i="17"/>
  <c r="CT319" i="17"/>
  <c r="S15" i="16"/>
  <c r="I19" i="16"/>
  <c r="I17" i="16"/>
  <c r="I20" i="16"/>
  <c r="I16" i="16"/>
  <c r="I18" i="16"/>
  <c r="I13" i="16"/>
  <c r="I14" i="16"/>
  <c r="I15" i="16"/>
  <c r="N15" i="16"/>
  <c r="S16" i="16" s="1"/>
  <c r="C321" i="10"/>
  <c r="C320" i="10"/>
  <c r="C319" i="10"/>
  <c r="D316" i="9"/>
  <c r="E316" i="9"/>
  <c r="F316" i="9"/>
  <c r="G316" i="9"/>
  <c r="H316" i="9"/>
  <c r="I316" i="9"/>
  <c r="J316" i="9"/>
  <c r="K316" i="9"/>
  <c r="L316" i="9"/>
  <c r="M316" i="9"/>
  <c r="N316" i="9"/>
  <c r="O316" i="9"/>
  <c r="P316" i="9"/>
  <c r="Q316" i="9"/>
  <c r="R316" i="9"/>
  <c r="S316" i="9"/>
  <c r="T316" i="9"/>
  <c r="U316" i="9"/>
  <c r="V316" i="9"/>
  <c r="W316" i="9"/>
  <c r="X316" i="9"/>
  <c r="Y316" i="9"/>
  <c r="Z316" i="9"/>
  <c r="AA316" i="9"/>
  <c r="AB316" i="9"/>
  <c r="AC316" i="9"/>
  <c r="AD316" i="9"/>
  <c r="AE316" i="9"/>
  <c r="AF316" i="9"/>
  <c r="AG316" i="9"/>
  <c r="AH316" i="9"/>
  <c r="AI316" i="9"/>
  <c r="AJ316" i="9"/>
  <c r="AK316" i="9"/>
  <c r="AL316" i="9"/>
  <c r="AM316" i="9"/>
  <c r="AN316" i="9"/>
  <c r="AA319" i="40" s="1"/>
  <c r="AO316" i="9"/>
  <c r="AP316" i="9"/>
  <c r="AQ316" i="9"/>
  <c r="AR316" i="9"/>
  <c r="AS316" i="9"/>
  <c r="AT316" i="9"/>
  <c r="AU316" i="9"/>
  <c r="AV316" i="9"/>
  <c r="AW316" i="9"/>
  <c r="AX316" i="9"/>
  <c r="AY316" i="9"/>
  <c r="D317" i="9"/>
  <c r="E317" i="9"/>
  <c r="F317" i="9"/>
  <c r="G317" i="9"/>
  <c r="H317" i="9"/>
  <c r="I317" i="9"/>
  <c r="J317" i="9"/>
  <c r="K317" i="9"/>
  <c r="L317" i="9"/>
  <c r="M317" i="9"/>
  <c r="N317" i="9"/>
  <c r="O317" i="9"/>
  <c r="P317" i="9"/>
  <c r="Q317" i="9"/>
  <c r="R317" i="9"/>
  <c r="S317" i="9"/>
  <c r="T317" i="9"/>
  <c r="U317" i="9"/>
  <c r="V317" i="9"/>
  <c r="W317" i="9"/>
  <c r="X317" i="9"/>
  <c r="Y317" i="9"/>
  <c r="Z317" i="9"/>
  <c r="AA317" i="9"/>
  <c r="AB317" i="9"/>
  <c r="AC317" i="9"/>
  <c r="AD317" i="9"/>
  <c r="AE317" i="9"/>
  <c r="AF317" i="9"/>
  <c r="AG317" i="9"/>
  <c r="AH317" i="9"/>
  <c r="AI317" i="9"/>
  <c r="AJ317" i="9"/>
  <c r="AK317" i="9"/>
  <c r="AL317" i="9"/>
  <c r="AM317" i="9"/>
  <c r="AN317" i="9"/>
  <c r="AA320" i="40" s="1"/>
  <c r="AO317" i="9"/>
  <c r="AP317" i="9"/>
  <c r="AQ317" i="9"/>
  <c r="AR317" i="9"/>
  <c r="AS317" i="9"/>
  <c r="AT317" i="9"/>
  <c r="AU317" i="9"/>
  <c r="AV317" i="9"/>
  <c r="AW317" i="9"/>
  <c r="AX317" i="9"/>
  <c r="AY317" i="9"/>
  <c r="D318" i="9"/>
  <c r="E318" i="9"/>
  <c r="F318" i="9"/>
  <c r="G318" i="9"/>
  <c r="H318" i="9"/>
  <c r="I318" i="9"/>
  <c r="J318" i="9"/>
  <c r="K318" i="9"/>
  <c r="L318" i="9"/>
  <c r="M318" i="9"/>
  <c r="N318" i="9"/>
  <c r="O318" i="9"/>
  <c r="P318" i="9"/>
  <c r="Q318" i="9"/>
  <c r="R318" i="9"/>
  <c r="S318" i="9"/>
  <c r="T318" i="9"/>
  <c r="U318" i="9"/>
  <c r="V318" i="9"/>
  <c r="W318" i="9"/>
  <c r="X318" i="9"/>
  <c r="Y318" i="9"/>
  <c r="Z318" i="9"/>
  <c r="AA318" i="9"/>
  <c r="AB318" i="9"/>
  <c r="AC318" i="9"/>
  <c r="AD318" i="9"/>
  <c r="AE318" i="9"/>
  <c r="AF318" i="9"/>
  <c r="AG318" i="9"/>
  <c r="AH318" i="9"/>
  <c r="AI318" i="9"/>
  <c r="AJ318" i="9"/>
  <c r="AK318" i="9"/>
  <c r="AL318" i="9"/>
  <c r="AM318" i="9"/>
  <c r="AN318" i="9"/>
  <c r="AA321" i="40" s="1"/>
  <c r="AO318" i="9"/>
  <c r="AP318" i="9"/>
  <c r="AQ318" i="9"/>
  <c r="AR318" i="9"/>
  <c r="AS318" i="9"/>
  <c r="AT318" i="9"/>
  <c r="AU318" i="9"/>
  <c r="AV318" i="9"/>
  <c r="AW318" i="9"/>
  <c r="AX318" i="9"/>
  <c r="AY318" i="9"/>
  <c r="D319" i="9"/>
  <c r="E319" i="9"/>
  <c r="F319" i="9"/>
  <c r="G319" i="9"/>
  <c r="H319" i="9"/>
  <c r="I319" i="9"/>
  <c r="J319" i="9"/>
  <c r="K319" i="9"/>
  <c r="L319" i="9"/>
  <c r="M319" i="9"/>
  <c r="N319" i="9"/>
  <c r="O319" i="9"/>
  <c r="P319" i="9"/>
  <c r="Q319" i="9"/>
  <c r="R319" i="9"/>
  <c r="S319" i="9"/>
  <c r="T319" i="9"/>
  <c r="U319" i="9"/>
  <c r="V319" i="9"/>
  <c r="W319" i="9"/>
  <c r="X319" i="9"/>
  <c r="Y319" i="9"/>
  <c r="Z319" i="9"/>
  <c r="AA319" i="9"/>
  <c r="AB319" i="9"/>
  <c r="AC319" i="9"/>
  <c r="AD319" i="9"/>
  <c r="AE319" i="9"/>
  <c r="AF319" i="9"/>
  <c r="AG319" i="9"/>
  <c r="AH319" i="9"/>
  <c r="AI319" i="9"/>
  <c r="AJ319" i="9"/>
  <c r="AK319" i="9"/>
  <c r="AL319" i="9"/>
  <c r="AM319" i="9"/>
  <c r="AN319" i="9"/>
  <c r="AA322" i="40" s="1"/>
  <c r="AO319" i="9"/>
  <c r="AP319" i="9"/>
  <c r="AQ319" i="9"/>
  <c r="AR319" i="9"/>
  <c r="AS319" i="9"/>
  <c r="AT319" i="9"/>
  <c r="AU319" i="9"/>
  <c r="AV319" i="9"/>
  <c r="AW319" i="9"/>
  <c r="AX319" i="9"/>
  <c r="AY319" i="9"/>
  <c r="C319" i="9"/>
  <c r="C318" i="9"/>
  <c r="C317" i="9"/>
  <c r="C316" i="9"/>
  <c r="D316" i="18"/>
  <c r="E316" i="18"/>
  <c r="F316" i="18"/>
  <c r="G316" i="18"/>
  <c r="H316" i="18"/>
  <c r="I316" i="18"/>
  <c r="J316" i="18"/>
  <c r="K316" i="18"/>
  <c r="L316" i="18"/>
  <c r="M316" i="18"/>
  <c r="N316" i="18"/>
  <c r="O316" i="18"/>
  <c r="P316" i="18"/>
  <c r="Q316" i="18"/>
  <c r="R316" i="18"/>
  <c r="S316" i="18"/>
  <c r="T316" i="18"/>
  <c r="U316" i="18"/>
  <c r="V316" i="18"/>
  <c r="W316" i="18"/>
  <c r="X316" i="18"/>
  <c r="Y316" i="18"/>
  <c r="Z316" i="18"/>
  <c r="AA316" i="18"/>
  <c r="AB316" i="18"/>
  <c r="AC316" i="18"/>
  <c r="AD316" i="18"/>
  <c r="AE316" i="18"/>
  <c r="AF316" i="18"/>
  <c r="AG316" i="18"/>
  <c r="AH316" i="18"/>
  <c r="AI316" i="18"/>
  <c r="AJ316" i="18"/>
  <c r="AK316" i="18"/>
  <c r="AL316" i="18"/>
  <c r="AM316" i="18"/>
  <c r="AN316" i="18"/>
  <c r="AO316" i="18"/>
  <c r="AP316" i="18"/>
  <c r="AQ316" i="18"/>
  <c r="D317" i="18"/>
  <c r="E317" i="18"/>
  <c r="F317" i="18"/>
  <c r="G317" i="18"/>
  <c r="H317" i="18"/>
  <c r="I317" i="18"/>
  <c r="J317" i="18"/>
  <c r="K317" i="18"/>
  <c r="L317" i="18"/>
  <c r="M317" i="18"/>
  <c r="N317" i="18"/>
  <c r="O317" i="18"/>
  <c r="P317" i="18"/>
  <c r="Q317" i="18"/>
  <c r="R317" i="18"/>
  <c r="S317" i="18"/>
  <c r="T317" i="18"/>
  <c r="U317" i="18"/>
  <c r="V317" i="18"/>
  <c r="W317" i="18"/>
  <c r="X317" i="18"/>
  <c r="Y317" i="18"/>
  <c r="Z317" i="18"/>
  <c r="AA317" i="18"/>
  <c r="AB317" i="18"/>
  <c r="AC317" i="18"/>
  <c r="AD317" i="18"/>
  <c r="AE317" i="18"/>
  <c r="AF317" i="18"/>
  <c r="AG317" i="18"/>
  <c r="AH317" i="18"/>
  <c r="AI317" i="18"/>
  <c r="AJ317" i="18"/>
  <c r="AK317" i="18"/>
  <c r="AL317" i="18"/>
  <c r="AM317" i="18"/>
  <c r="AN317" i="18"/>
  <c r="AO317" i="18"/>
  <c r="AP317" i="18"/>
  <c r="AQ317" i="18"/>
  <c r="D318" i="18"/>
  <c r="E318" i="18"/>
  <c r="F318" i="18"/>
  <c r="G318" i="18"/>
  <c r="H318" i="18"/>
  <c r="I318" i="18"/>
  <c r="J318" i="18"/>
  <c r="K318" i="18"/>
  <c r="L318" i="18"/>
  <c r="M318" i="18"/>
  <c r="N318" i="18"/>
  <c r="O318" i="18"/>
  <c r="P318" i="18"/>
  <c r="Q318" i="18"/>
  <c r="R318" i="18"/>
  <c r="S318" i="18"/>
  <c r="T318" i="18"/>
  <c r="U318" i="18"/>
  <c r="V318" i="18"/>
  <c r="W318" i="18"/>
  <c r="X318" i="18"/>
  <c r="Y318" i="18"/>
  <c r="Z318" i="18"/>
  <c r="AA318" i="18"/>
  <c r="AB318" i="18"/>
  <c r="AC318" i="18"/>
  <c r="AD318" i="18"/>
  <c r="AE318" i="18"/>
  <c r="AF318" i="18"/>
  <c r="AG318" i="18"/>
  <c r="AH318" i="18"/>
  <c r="AI318" i="18"/>
  <c r="AJ318" i="18"/>
  <c r="AK318" i="18"/>
  <c r="AL318" i="18"/>
  <c r="AM318" i="18"/>
  <c r="AN318" i="18"/>
  <c r="AO318" i="18"/>
  <c r="AP318" i="18"/>
  <c r="AQ318" i="18"/>
  <c r="D319" i="18"/>
  <c r="E319" i="18"/>
  <c r="F319" i="18"/>
  <c r="G319" i="18"/>
  <c r="H319" i="18"/>
  <c r="I319" i="18"/>
  <c r="J319" i="18"/>
  <c r="K319" i="18"/>
  <c r="L319" i="18"/>
  <c r="M319" i="18"/>
  <c r="N319" i="18"/>
  <c r="O319" i="18"/>
  <c r="P319" i="18"/>
  <c r="Q319" i="18"/>
  <c r="R319" i="18"/>
  <c r="S319" i="18"/>
  <c r="T319" i="18"/>
  <c r="U319" i="18"/>
  <c r="V319" i="18"/>
  <c r="W319" i="18"/>
  <c r="X319" i="18"/>
  <c r="Y319" i="18"/>
  <c r="Z319" i="18"/>
  <c r="AA319" i="18"/>
  <c r="AB319" i="18"/>
  <c r="AC319" i="18"/>
  <c r="AD319" i="18"/>
  <c r="AE319" i="18"/>
  <c r="AF319" i="18"/>
  <c r="AG319" i="18"/>
  <c r="AH319" i="18"/>
  <c r="AI319" i="18"/>
  <c r="AJ319" i="18"/>
  <c r="AK319" i="18"/>
  <c r="AL319" i="18"/>
  <c r="AM319" i="18"/>
  <c r="AN319" i="18"/>
  <c r="AO319" i="18"/>
  <c r="AP319" i="18"/>
  <c r="AQ319" i="18"/>
  <c r="C319" i="18"/>
  <c r="C318" i="18"/>
  <c r="C317" i="18"/>
  <c r="C316" i="18"/>
  <c r="D316" i="24"/>
  <c r="E316" i="24"/>
  <c r="F316" i="24"/>
  <c r="G316" i="24"/>
  <c r="H316" i="24"/>
  <c r="I316" i="24"/>
  <c r="J316" i="24"/>
  <c r="K316" i="24"/>
  <c r="L316" i="24"/>
  <c r="M316" i="24"/>
  <c r="N316" i="24"/>
  <c r="O316" i="24"/>
  <c r="P316" i="24"/>
  <c r="Q316" i="24"/>
  <c r="R316" i="24"/>
  <c r="S316" i="24"/>
  <c r="T316" i="24"/>
  <c r="U316" i="24"/>
  <c r="V316" i="24"/>
  <c r="W316" i="24"/>
  <c r="X316" i="24"/>
  <c r="Y316" i="24"/>
  <c r="Z316" i="24"/>
  <c r="AA316" i="24"/>
  <c r="AB316" i="24"/>
  <c r="AC316" i="24"/>
  <c r="AD316" i="24"/>
  <c r="AE316" i="24"/>
  <c r="AF316" i="24"/>
  <c r="AG316" i="24"/>
  <c r="AH316" i="24"/>
  <c r="AI316" i="24"/>
  <c r="AJ316" i="24"/>
  <c r="AK316" i="24"/>
  <c r="AL316" i="24"/>
  <c r="AM316" i="24"/>
  <c r="AN316" i="24"/>
  <c r="AO316" i="24"/>
  <c r="AP316" i="24"/>
  <c r="AQ316" i="24"/>
  <c r="AR316" i="24"/>
  <c r="AS316" i="24"/>
  <c r="D317" i="24"/>
  <c r="E317" i="24"/>
  <c r="F317" i="24"/>
  <c r="G317" i="24"/>
  <c r="H317" i="24"/>
  <c r="I317" i="24"/>
  <c r="J317" i="24"/>
  <c r="K317" i="24"/>
  <c r="L317" i="24"/>
  <c r="M317" i="24"/>
  <c r="N317" i="24"/>
  <c r="O317" i="24"/>
  <c r="P317" i="24"/>
  <c r="Q317" i="24"/>
  <c r="R317" i="24"/>
  <c r="S317" i="24"/>
  <c r="T317" i="24"/>
  <c r="U317" i="24"/>
  <c r="V317" i="24"/>
  <c r="W317" i="24"/>
  <c r="X317" i="24"/>
  <c r="Y317" i="24"/>
  <c r="Z317" i="24"/>
  <c r="AA317" i="24"/>
  <c r="AB317" i="24"/>
  <c r="AC317" i="24"/>
  <c r="AD317" i="24"/>
  <c r="AE317" i="24"/>
  <c r="AF317" i="24"/>
  <c r="AG317" i="24"/>
  <c r="AH317" i="24"/>
  <c r="AI317" i="24"/>
  <c r="AJ317" i="24"/>
  <c r="AK317" i="24"/>
  <c r="AL317" i="24"/>
  <c r="AM317" i="24"/>
  <c r="AN317" i="24"/>
  <c r="AO317" i="24"/>
  <c r="AP317" i="24"/>
  <c r="AQ317" i="24"/>
  <c r="AR317" i="24"/>
  <c r="AS317" i="24"/>
  <c r="D318" i="24"/>
  <c r="E318" i="24"/>
  <c r="F318" i="24"/>
  <c r="H318" i="24"/>
  <c r="I318" i="24"/>
  <c r="J318" i="24"/>
  <c r="K318" i="24"/>
  <c r="L318" i="24"/>
  <c r="M318" i="24"/>
  <c r="N318" i="24"/>
  <c r="O318" i="24"/>
  <c r="P318" i="24"/>
  <c r="Q318" i="24"/>
  <c r="R318" i="24"/>
  <c r="S318" i="24"/>
  <c r="T318" i="24"/>
  <c r="U318" i="24"/>
  <c r="V318" i="24"/>
  <c r="W318" i="24"/>
  <c r="X318" i="24"/>
  <c r="Y318" i="24"/>
  <c r="Z318" i="24"/>
  <c r="AA318" i="24"/>
  <c r="AB318" i="24"/>
  <c r="AC318" i="24"/>
  <c r="AD318" i="24"/>
  <c r="AE318" i="24"/>
  <c r="AF318" i="24"/>
  <c r="AG318" i="24"/>
  <c r="AH318" i="24"/>
  <c r="AE321" i="40" s="1"/>
  <c r="AI318" i="24"/>
  <c r="AF321" i="40" s="1"/>
  <c r="AV321" i="40" s="1"/>
  <c r="AJ318" i="24"/>
  <c r="AK318" i="24"/>
  <c r="AH321" i="40" s="1"/>
  <c r="AL318" i="24"/>
  <c r="AM318" i="24"/>
  <c r="AN318" i="24"/>
  <c r="AO318" i="24"/>
  <c r="AP318" i="24"/>
  <c r="AQ318" i="24"/>
  <c r="AR318" i="24"/>
  <c r="AS318" i="24"/>
  <c r="D319" i="24"/>
  <c r="E319" i="24"/>
  <c r="F319" i="24"/>
  <c r="G319" i="24"/>
  <c r="H319" i="24"/>
  <c r="I319" i="24"/>
  <c r="J319" i="24"/>
  <c r="K319" i="24"/>
  <c r="L319" i="24"/>
  <c r="M319" i="24"/>
  <c r="N319" i="24"/>
  <c r="O319" i="24"/>
  <c r="P319" i="24"/>
  <c r="Q319" i="24"/>
  <c r="R319" i="24"/>
  <c r="S319" i="24"/>
  <c r="T319" i="24"/>
  <c r="U319" i="24"/>
  <c r="V319" i="24"/>
  <c r="W319" i="24"/>
  <c r="X319" i="24"/>
  <c r="Y319" i="24"/>
  <c r="Z319" i="24"/>
  <c r="AA319" i="24"/>
  <c r="AB319" i="24"/>
  <c r="AC319" i="24"/>
  <c r="AD319" i="24"/>
  <c r="AE319" i="24"/>
  <c r="AF319" i="24"/>
  <c r="AG319" i="24"/>
  <c r="AD322" i="40" s="1"/>
  <c r="AH319" i="24"/>
  <c r="AI319" i="24"/>
  <c r="AF322" i="40" s="1"/>
  <c r="AV322" i="40" s="1"/>
  <c r="AJ319" i="24"/>
  <c r="AG322" i="40" s="1"/>
  <c r="AK319" i="24"/>
  <c r="AL319" i="24"/>
  <c r="AM319" i="24"/>
  <c r="AN319" i="24"/>
  <c r="AO319" i="24"/>
  <c r="AP319" i="24"/>
  <c r="AQ319" i="24"/>
  <c r="AR319" i="24"/>
  <c r="AS319" i="24"/>
  <c r="C319" i="24"/>
  <c r="C318" i="24"/>
  <c r="C317" i="24"/>
  <c r="C316" i="24"/>
  <c r="AD319" i="40" l="1"/>
  <c r="AH319" i="40"/>
  <c r="AB322" i="40"/>
  <c r="AR322" i="40" s="1"/>
  <c r="BP322" i="40" s="1"/>
  <c r="AG320" i="40"/>
  <c r="AW320" i="40" s="1"/>
  <c r="BU320" i="40" s="1"/>
  <c r="AB321" i="40"/>
  <c r="AR321" i="40" s="1"/>
  <c r="BP321" i="40" s="1"/>
  <c r="AH322" i="40"/>
  <c r="AX322" i="40" s="1"/>
  <c r="BV322" i="40" s="1"/>
  <c r="AC322" i="40"/>
  <c r="AS322" i="40" s="1"/>
  <c r="BA322" i="40" s="1"/>
  <c r="BI322" i="40" s="1"/>
  <c r="AC321" i="40"/>
  <c r="AS321" i="40" s="1"/>
  <c r="BQ321" i="40" s="1"/>
  <c r="AC320" i="40"/>
  <c r="AS320" i="40" s="1"/>
  <c r="BQ320" i="40" s="1"/>
  <c r="AC319" i="40"/>
  <c r="AS319" i="40" s="1"/>
  <c r="BQ319" i="40" s="1"/>
  <c r="AB320" i="40"/>
  <c r="AR320" i="40" s="1"/>
  <c r="BP320" i="40" s="1"/>
  <c r="AB319" i="40"/>
  <c r="AR319" i="40" s="1"/>
  <c r="BP319" i="40" s="1"/>
  <c r="AW322" i="40"/>
  <c r="BU322" i="40" s="1"/>
  <c r="AT322" i="40"/>
  <c r="BR322" i="40" s="1"/>
  <c r="AD320" i="40"/>
  <c r="AF319" i="40"/>
  <c r="AE319" i="17"/>
  <c r="AE319" i="40"/>
  <c r="AQ322" i="40"/>
  <c r="BO322" i="40" s="1"/>
  <c r="AQ320" i="40"/>
  <c r="BO320" i="40" s="1"/>
  <c r="AQ319" i="40"/>
  <c r="BO319" i="40" s="1"/>
  <c r="AQ321" i="40"/>
  <c r="BO321" i="40" s="1"/>
  <c r="AE322" i="40"/>
  <c r="AG321" i="17"/>
  <c r="AW321" i="17" s="1"/>
  <c r="AG321" i="40"/>
  <c r="AH320" i="40"/>
  <c r="AX321" i="40"/>
  <c r="BV321" i="40" s="1"/>
  <c r="BD321" i="40"/>
  <c r="BL321" i="40" s="1"/>
  <c r="BT321" i="40"/>
  <c r="AT319" i="40"/>
  <c r="BR319" i="40" s="1"/>
  <c r="AU321" i="40"/>
  <c r="BS321" i="40" s="1"/>
  <c r="AF320" i="17"/>
  <c r="AV320" i="17" s="1"/>
  <c r="AF320" i="40"/>
  <c r="AX319" i="40"/>
  <c r="BV319" i="40" s="1"/>
  <c r="BD322" i="40"/>
  <c r="BL322" i="40" s="1"/>
  <c r="BT322" i="40"/>
  <c r="AD321" i="40"/>
  <c r="AE320" i="40"/>
  <c r="AG319" i="40"/>
  <c r="CV320" i="17"/>
  <c r="CD321" i="17"/>
  <c r="CD319" i="17"/>
  <c r="CV319" i="17" s="1"/>
  <c r="CU319" i="17"/>
  <c r="CU320" i="17"/>
  <c r="AC322" i="17"/>
  <c r="AS322" i="17" s="1"/>
  <c r="AC321" i="17"/>
  <c r="AS321" i="17" s="1"/>
  <c r="AG322" i="17"/>
  <c r="AW322" i="17" s="1"/>
  <c r="AD319" i="17"/>
  <c r="AT319" i="17" s="1"/>
  <c r="AB322" i="17"/>
  <c r="AR322" i="17" s="1"/>
  <c r="AB321" i="17"/>
  <c r="AR321" i="17" s="1"/>
  <c r="AB320" i="17"/>
  <c r="AR320" i="17" s="1"/>
  <c r="AB319" i="17"/>
  <c r="AR319" i="17" s="1"/>
  <c r="AF322" i="17"/>
  <c r="AV322" i="17" s="1"/>
  <c r="AH321" i="17"/>
  <c r="AX321" i="17" s="1"/>
  <c r="AA322" i="17"/>
  <c r="AQ322" i="17" s="1"/>
  <c r="AA321" i="17"/>
  <c r="AQ321" i="17" s="1"/>
  <c r="AA320" i="17"/>
  <c r="AQ320" i="17" s="1"/>
  <c r="AA319" i="17"/>
  <c r="AQ319" i="17" s="1"/>
  <c r="AH319" i="17"/>
  <c r="AX319" i="17" s="1"/>
  <c r="AC320" i="17"/>
  <c r="AS320" i="17" s="1"/>
  <c r="AC319" i="17"/>
  <c r="AS319" i="17" s="1"/>
  <c r="AE322" i="17"/>
  <c r="AU322" i="17" s="1"/>
  <c r="AD322" i="17"/>
  <c r="AT322" i="17" s="1"/>
  <c r="AD321" i="17"/>
  <c r="AT321" i="17" s="1"/>
  <c r="AU319" i="17"/>
  <c r="AF321" i="17"/>
  <c r="AH320" i="17"/>
  <c r="AE321" i="17"/>
  <c r="AG320" i="17"/>
  <c r="AW320" i="17" s="1"/>
  <c r="AE320" i="17"/>
  <c r="AG319" i="17"/>
  <c r="AH322" i="17"/>
  <c r="AD320" i="17"/>
  <c r="AF319" i="17"/>
  <c r="AV319" i="17" s="1"/>
  <c r="N16" i="16"/>
  <c r="S17" i="16" s="1"/>
  <c r="BQ322" i="40" l="1"/>
  <c r="CJ322" i="40"/>
  <c r="CP322" i="40" s="1"/>
  <c r="DG322" i="40" s="1"/>
  <c r="DH322" i="40" s="1"/>
  <c r="BA320" i="40"/>
  <c r="BI320" i="40" s="1"/>
  <c r="BB322" i="40"/>
  <c r="BJ322" i="40" s="1"/>
  <c r="BC321" i="40"/>
  <c r="BK321" i="40" s="1"/>
  <c r="BB319" i="40"/>
  <c r="BJ319" i="40" s="1"/>
  <c r="CE320" i="40"/>
  <c r="CK320" i="40" s="1"/>
  <c r="CW320" i="40" s="1"/>
  <c r="CX320" i="40" s="1"/>
  <c r="AZ322" i="40"/>
  <c r="BH322" i="40" s="1"/>
  <c r="CE322" i="40"/>
  <c r="CK322" i="40" s="1"/>
  <c r="CW322" i="40" s="1"/>
  <c r="CX322" i="40" s="1"/>
  <c r="CF319" i="40"/>
  <c r="CL319" i="40" s="1"/>
  <c r="CY319" i="40" s="1"/>
  <c r="CZ319" i="40" s="1"/>
  <c r="AY321" i="40"/>
  <c r="BG321" i="40" s="1"/>
  <c r="AZ320" i="40"/>
  <c r="BH320" i="40" s="1"/>
  <c r="AX320" i="40"/>
  <c r="BV320" i="40" s="1"/>
  <c r="AY320" i="40"/>
  <c r="BG320" i="40" s="1"/>
  <c r="BF319" i="40"/>
  <c r="BN319" i="40" s="1"/>
  <c r="AW321" i="40"/>
  <c r="BU321" i="40" s="1"/>
  <c r="CJ321" i="40" s="1"/>
  <c r="CP321" i="40" s="1"/>
  <c r="DG321" i="40" s="1"/>
  <c r="DH321" i="40" s="1"/>
  <c r="BA319" i="40"/>
  <c r="BI319" i="40" s="1"/>
  <c r="AV319" i="40"/>
  <c r="BT319" i="40" s="1"/>
  <c r="BE320" i="40"/>
  <c r="BM320" i="40" s="1"/>
  <c r="AY322" i="40"/>
  <c r="BG322" i="40" s="1"/>
  <c r="AZ321" i="40"/>
  <c r="BH321" i="40" s="1"/>
  <c r="CE319" i="40"/>
  <c r="CK319" i="40" s="1"/>
  <c r="CW319" i="40" s="1"/>
  <c r="CX319" i="40" s="1"/>
  <c r="AT320" i="40"/>
  <c r="BR320" i="40" s="1"/>
  <c r="CF320" i="40" s="1"/>
  <c r="CL320" i="40" s="1"/>
  <c r="CY320" i="40" s="1"/>
  <c r="CZ320" i="40" s="1"/>
  <c r="AV320" i="40"/>
  <c r="BT320" i="40" s="1"/>
  <c r="AU322" i="40"/>
  <c r="BS322" i="40" s="1"/>
  <c r="CI322" i="40" s="1"/>
  <c r="CO322" i="40" s="1"/>
  <c r="DE322" i="40" s="1"/>
  <c r="DF322" i="40" s="1"/>
  <c r="AW319" i="40"/>
  <c r="BU319" i="40" s="1"/>
  <c r="AU319" i="40"/>
  <c r="BS319" i="40" s="1"/>
  <c r="AU320" i="40"/>
  <c r="BS320" i="40" s="1"/>
  <c r="CE321" i="40"/>
  <c r="CK321" i="40" s="1"/>
  <c r="CW321" i="40" s="1"/>
  <c r="CX321" i="40" s="1"/>
  <c r="CF322" i="40"/>
  <c r="CL322" i="40" s="1"/>
  <c r="CY322" i="40" s="1"/>
  <c r="CZ322" i="40" s="1"/>
  <c r="BA321" i="40"/>
  <c r="BI321" i="40" s="1"/>
  <c r="BE322" i="40"/>
  <c r="BM322" i="40" s="1"/>
  <c r="AT321" i="40"/>
  <c r="BR321" i="40" s="1"/>
  <c r="CH321" i="40" s="1"/>
  <c r="CN321" i="40" s="1"/>
  <c r="DC321" i="40" s="1"/>
  <c r="DD321" i="40" s="1"/>
  <c r="BF321" i="40"/>
  <c r="BN321" i="40" s="1"/>
  <c r="AY319" i="40"/>
  <c r="BG319" i="40" s="1"/>
  <c r="AZ319" i="40"/>
  <c r="BH319" i="40" s="1"/>
  <c r="BF322" i="40"/>
  <c r="BN322" i="40" s="1"/>
  <c r="CV321" i="17"/>
  <c r="AU321" i="17"/>
  <c r="AX322" i="17"/>
  <c r="AX320" i="17"/>
  <c r="AV321" i="17"/>
  <c r="AW319" i="17"/>
  <c r="AU320" i="17"/>
  <c r="AT320" i="17"/>
  <c r="N17" i="16"/>
  <c r="N18" i="16" s="1"/>
  <c r="N19" i="16" s="1"/>
  <c r="N20" i="16" s="1"/>
  <c r="CH319" i="40" l="1"/>
  <c r="CN319" i="40" s="1"/>
  <c r="DC319" i="40" s="1"/>
  <c r="DD319" i="40" s="1"/>
  <c r="CG321" i="40"/>
  <c r="CM321" i="40" s="1"/>
  <c r="DA321" i="40" s="1"/>
  <c r="DB321" i="40" s="1"/>
  <c r="BC320" i="40"/>
  <c r="BK320" i="40" s="1"/>
  <c r="BF320" i="40"/>
  <c r="BN320" i="40" s="1"/>
  <c r="CJ320" i="40"/>
  <c r="CP320" i="40" s="1"/>
  <c r="DG320" i="40" s="1"/>
  <c r="DH320" i="40" s="1"/>
  <c r="CJ319" i="40"/>
  <c r="CP319" i="40" s="1"/>
  <c r="DG319" i="40" s="1"/>
  <c r="DH319" i="40" s="1"/>
  <c r="CI321" i="40"/>
  <c r="CO321" i="40" s="1"/>
  <c r="DE321" i="40" s="1"/>
  <c r="DF321" i="40" s="1"/>
  <c r="CG320" i="40"/>
  <c r="CM320" i="40" s="1"/>
  <c r="DA320" i="40" s="1"/>
  <c r="DB320" i="40" s="1"/>
  <c r="BC319" i="40"/>
  <c r="BK319" i="40" s="1"/>
  <c r="BB320" i="40"/>
  <c r="BJ320" i="40" s="1"/>
  <c r="BE321" i="40"/>
  <c r="BM321" i="40" s="1"/>
  <c r="BE319" i="40"/>
  <c r="BM319" i="40" s="1"/>
  <c r="CH320" i="40"/>
  <c r="CN320" i="40" s="1"/>
  <c r="DC320" i="40" s="1"/>
  <c r="DD320" i="40" s="1"/>
  <c r="CG322" i="40"/>
  <c r="CM322" i="40" s="1"/>
  <c r="DA322" i="40" s="1"/>
  <c r="DB322" i="40" s="1"/>
  <c r="BB321" i="40"/>
  <c r="BJ321" i="40" s="1"/>
  <c r="CH322" i="40"/>
  <c r="CN322" i="40" s="1"/>
  <c r="DC322" i="40" s="1"/>
  <c r="DD322" i="40" s="1"/>
  <c r="BC322" i="40"/>
  <c r="BK322" i="40" s="1"/>
  <c r="CI319" i="40"/>
  <c r="CO319" i="40" s="1"/>
  <c r="DE319" i="40" s="1"/>
  <c r="DF319" i="40" s="1"/>
  <c r="BD320" i="40"/>
  <c r="BL320" i="40" s="1"/>
  <c r="BD319" i="40"/>
  <c r="BL319" i="40" s="1"/>
  <c r="CI320" i="40"/>
  <c r="CO320" i="40" s="1"/>
  <c r="DE320" i="40" s="1"/>
  <c r="DF320" i="40" s="1"/>
  <c r="CF321" i="40"/>
  <c r="CL321" i="40" s="1"/>
  <c r="CY321" i="40" s="1"/>
  <c r="CZ321" i="40" s="1"/>
  <c r="CG319" i="40"/>
  <c r="CM319" i="40" s="1"/>
  <c r="DA319" i="40" s="1"/>
  <c r="DB319" i="40" s="1"/>
  <c r="S18" i="16"/>
  <c r="S19" i="16"/>
  <c r="S20" i="16"/>
  <c r="H318" i="17" l="1"/>
  <c r="H317" i="17"/>
  <c r="H316" i="17"/>
  <c r="H314" i="17"/>
  <c r="H311" i="17"/>
  <c r="H310" i="17"/>
  <c r="H309" i="17"/>
  <c r="H308" i="17"/>
  <c r="H307" i="17"/>
  <c r="H306" i="17"/>
  <c r="H305" i="17"/>
  <c r="H302" i="17"/>
  <c r="H300" i="17"/>
  <c r="H298" i="17"/>
  <c r="H297" i="17"/>
  <c r="H295" i="17"/>
  <c r="H294" i="17"/>
  <c r="H293" i="17"/>
  <c r="H292" i="17"/>
  <c r="H291" i="17"/>
  <c r="H287" i="17"/>
  <c r="H286" i="17"/>
  <c r="H285" i="17"/>
  <c r="H284" i="17"/>
  <c r="H283" i="17"/>
  <c r="H280" i="17"/>
  <c r="H279" i="17"/>
  <c r="H278" i="17"/>
  <c r="H277" i="17"/>
  <c r="H276" i="17"/>
  <c r="H274" i="17"/>
  <c r="H273" i="17"/>
  <c r="H272" i="17"/>
  <c r="H271" i="17"/>
  <c r="H270" i="17"/>
  <c r="H269" i="17"/>
  <c r="H267" i="17"/>
  <c r="H266" i="17"/>
  <c r="H264" i="17"/>
  <c r="H263" i="17"/>
  <c r="H262" i="17"/>
  <c r="H261" i="17"/>
  <c r="H259" i="17"/>
  <c r="H258" i="17"/>
  <c r="H257" i="17"/>
  <c r="H256" i="17"/>
  <c r="H255" i="17"/>
  <c r="H254" i="17"/>
  <c r="H253" i="17"/>
  <c r="H252" i="17"/>
  <c r="H250" i="17"/>
  <c r="H249" i="17"/>
  <c r="H248" i="17"/>
  <c r="H247" i="17"/>
  <c r="H246" i="17"/>
  <c r="H244" i="17"/>
  <c r="H241" i="17"/>
  <c r="H240" i="17"/>
  <c r="H237" i="17"/>
  <c r="H236" i="17"/>
  <c r="H235" i="17"/>
  <c r="H234" i="17"/>
  <c r="H233" i="17"/>
  <c r="H232" i="17"/>
  <c r="H231" i="17"/>
  <c r="H230" i="17"/>
  <c r="H229" i="17"/>
  <c r="H228" i="17"/>
  <c r="H227" i="17"/>
  <c r="H226" i="17"/>
  <c r="H225" i="17"/>
  <c r="H223" i="17"/>
  <c r="H222" i="17"/>
  <c r="H221" i="17"/>
  <c r="H220" i="17"/>
  <c r="H219" i="17"/>
  <c r="H218" i="17"/>
  <c r="H217" i="17"/>
  <c r="H216" i="17"/>
  <c r="H215" i="17"/>
  <c r="H214" i="17"/>
  <c r="H213" i="17"/>
  <c r="H212" i="17"/>
  <c r="H211" i="17"/>
  <c r="H209" i="17"/>
  <c r="H208" i="17"/>
  <c r="H207" i="17"/>
  <c r="H206" i="17"/>
  <c r="H204" i="17"/>
  <c r="H202" i="17"/>
  <c r="H200" i="17"/>
  <c r="H199" i="17"/>
  <c r="H198" i="17"/>
  <c r="H197" i="17"/>
  <c r="H196" i="17"/>
  <c r="H195" i="17"/>
  <c r="H192" i="17"/>
  <c r="H190" i="17"/>
  <c r="H189" i="17"/>
  <c r="H188" i="17"/>
  <c r="H187" i="17"/>
  <c r="H186" i="17"/>
  <c r="H185" i="17"/>
  <c r="H183" i="17"/>
  <c r="H182" i="17"/>
  <c r="H181" i="17"/>
  <c r="H176" i="17"/>
  <c r="H175" i="17"/>
  <c r="H174" i="17"/>
  <c r="H173" i="17"/>
  <c r="H172" i="17"/>
  <c r="H171" i="17"/>
  <c r="H170" i="17"/>
  <c r="H169" i="17"/>
  <c r="H167" i="17"/>
  <c r="H166" i="17"/>
  <c r="H165" i="17"/>
  <c r="H164" i="17"/>
  <c r="H163" i="17"/>
  <c r="H161" i="17"/>
  <c r="H160" i="17"/>
  <c r="H159" i="17"/>
  <c r="H158" i="17"/>
  <c r="H156" i="17"/>
  <c r="H154" i="17"/>
  <c r="H153" i="17"/>
  <c r="H152" i="17"/>
  <c r="H151" i="17"/>
  <c r="H149" i="17"/>
  <c r="H148" i="17"/>
  <c r="H146" i="17"/>
  <c r="H145" i="17"/>
  <c r="H141" i="17"/>
  <c r="H140" i="17"/>
  <c r="H139" i="17"/>
  <c r="H138" i="17"/>
  <c r="H137" i="17"/>
  <c r="H135" i="17"/>
  <c r="H134" i="17"/>
  <c r="H132" i="17"/>
  <c r="H131" i="17"/>
  <c r="H130" i="17"/>
  <c r="H128" i="17"/>
  <c r="H127" i="17"/>
  <c r="H126" i="17"/>
  <c r="H125" i="17"/>
  <c r="H123" i="17"/>
  <c r="H122" i="17"/>
  <c r="H120" i="17"/>
  <c r="H118" i="17"/>
  <c r="H117" i="17"/>
  <c r="H115" i="17"/>
  <c r="H113" i="17"/>
  <c r="H112" i="17"/>
  <c r="H111" i="17"/>
  <c r="H107" i="17"/>
  <c r="H106" i="17"/>
  <c r="H105" i="17"/>
  <c r="H104" i="17"/>
  <c r="H103" i="17"/>
  <c r="H102" i="17"/>
  <c r="H101" i="17"/>
  <c r="H100" i="17"/>
  <c r="H99" i="17"/>
  <c r="H97" i="17"/>
  <c r="H96" i="17"/>
  <c r="H95" i="17"/>
  <c r="H94" i="17"/>
  <c r="H92" i="17"/>
  <c r="H91" i="17"/>
  <c r="H89" i="17"/>
  <c r="H88" i="17"/>
  <c r="H87" i="17"/>
  <c r="H86" i="17"/>
  <c r="H85" i="17"/>
  <c r="H83" i="17"/>
  <c r="H81" i="17"/>
  <c r="H79" i="17"/>
  <c r="H78" i="17"/>
  <c r="H77" i="17"/>
  <c r="H75" i="17"/>
  <c r="H74" i="17"/>
  <c r="H73" i="17"/>
  <c r="H71" i="17"/>
  <c r="H70" i="17"/>
  <c r="H69" i="17"/>
  <c r="H68" i="17"/>
  <c r="H67" i="17"/>
  <c r="H65" i="17"/>
  <c r="H64" i="17"/>
  <c r="H61" i="17"/>
  <c r="H60" i="17"/>
  <c r="H59" i="17"/>
  <c r="H58" i="17"/>
  <c r="H57" i="17"/>
  <c r="H55" i="17"/>
  <c r="H54" i="17"/>
  <c r="H53" i="17"/>
  <c r="H52" i="17"/>
  <c r="H51" i="17"/>
  <c r="H50" i="17"/>
  <c r="H49" i="17"/>
  <c r="H47" i="17"/>
  <c r="H46" i="17"/>
  <c r="H44" i="17"/>
  <c r="H41" i="17"/>
  <c r="H40" i="17"/>
  <c r="H37" i="17"/>
  <c r="H36" i="17"/>
  <c r="H35" i="17"/>
  <c r="H33" i="17"/>
  <c r="H32" i="17"/>
  <c r="H31" i="17"/>
  <c r="H30" i="17"/>
  <c r="H27" i="17"/>
  <c r="H26" i="17"/>
  <c r="H25" i="17"/>
  <c r="H24" i="17"/>
  <c r="H23" i="17"/>
  <c r="H22" i="17"/>
  <c r="H20" i="17"/>
  <c r="H19" i="17"/>
  <c r="H18" i="17"/>
  <c r="H17" i="17"/>
  <c r="H16" i="17"/>
  <c r="H15" i="17"/>
  <c r="H14" i="17"/>
  <c r="H11" i="17"/>
  <c r="H10" i="17"/>
  <c r="H6" i="17"/>
  <c r="H5" i="17"/>
  <c r="V5" i="17" s="1"/>
  <c r="AD442" i="23"/>
  <c r="AD440" i="23"/>
  <c r="I263" i="40" s="1"/>
  <c r="J263" i="40" s="1"/>
  <c r="AD437" i="23"/>
  <c r="I297" i="40" s="1"/>
  <c r="J297" i="40" s="1"/>
  <c r="AD435" i="23"/>
  <c r="I287" i="40" s="1"/>
  <c r="J287" i="40" s="1"/>
  <c r="AD433" i="23"/>
  <c r="AD430" i="23"/>
  <c r="I301" i="40" s="1"/>
  <c r="J301" i="40" s="1"/>
  <c r="AD428" i="23"/>
  <c r="I317" i="40" s="1"/>
  <c r="J317" i="40" s="1"/>
  <c r="AD426" i="23"/>
  <c r="I127" i="40" s="1"/>
  <c r="J127" i="40" s="1"/>
  <c r="AD463" i="23"/>
  <c r="AD424" i="23"/>
  <c r="I36" i="40" s="1"/>
  <c r="J36" i="40" s="1"/>
  <c r="AD421" i="23"/>
  <c r="AD462" i="23"/>
  <c r="I98" i="40" s="1"/>
  <c r="J98" i="40" s="1"/>
  <c r="AD419" i="23"/>
  <c r="I286" i="40" s="1"/>
  <c r="J286" i="40" s="1"/>
  <c r="AD416" i="23"/>
  <c r="I312" i="40" s="1"/>
  <c r="J312" i="40" s="1"/>
  <c r="AD413" i="23"/>
  <c r="I299" i="40" s="1"/>
  <c r="J299" i="40" s="1"/>
  <c r="AD411" i="23"/>
  <c r="I304" i="40" s="1"/>
  <c r="J304" i="40" s="1"/>
  <c r="AD408" i="23"/>
  <c r="I294" i="40" s="1"/>
  <c r="J294" i="40" s="1"/>
  <c r="AD405" i="23"/>
  <c r="AD403" i="23"/>
  <c r="AD400" i="23"/>
  <c r="I290" i="40" s="1"/>
  <c r="J290" i="40" s="1"/>
  <c r="AD398" i="23"/>
  <c r="AD396" i="23"/>
  <c r="AD394" i="23"/>
  <c r="AD392" i="23"/>
  <c r="I55" i="40" s="1"/>
  <c r="J55" i="40" s="1"/>
  <c r="AD389" i="23"/>
  <c r="I207" i="40" s="1"/>
  <c r="J207" i="40" s="1"/>
  <c r="AD386" i="23"/>
  <c r="I243" i="40" s="1"/>
  <c r="J243" i="40" s="1"/>
  <c r="AD384" i="23"/>
  <c r="I300" i="40" s="1"/>
  <c r="J300" i="40" s="1"/>
  <c r="AD382" i="23"/>
  <c r="I62" i="40" s="1"/>
  <c r="J62" i="40" s="1"/>
  <c r="AD364" i="23"/>
  <c r="AD380" i="23"/>
  <c r="AD378" i="23"/>
  <c r="AD375" i="23"/>
  <c r="I90" i="40" s="1"/>
  <c r="J90" i="40" s="1"/>
  <c r="AD373" i="23"/>
  <c r="I306" i="40" s="1"/>
  <c r="J306" i="40" s="1"/>
  <c r="AD370" i="23"/>
  <c r="I19" i="40" s="1"/>
  <c r="J19" i="40" s="1"/>
  <c r="AD367" i="23"/>
  <c r="I216" i="40" s="1"/>
  <c r="J216" i="40" s="1"/>
  <c r="P294" i="40" l="1"/>
  <c r="L294" i="40"/>
  <c r="N294" i="40"/>
  <c r="O294" i="40"/>
  <c r="K294" i="40"/>
  <c r="R294" i="40"/>
  <c r="M294" i="40"/>
  <c r="Q294" i="40"/>
  <c r="O90" i="40"/>
  <c r="N90" i="40"/>
  <c r="BB90" i="40" s="1"/>
  <c r="BJ90" i="40" s="1"/>
  <c r="BR90" i="40" s="1"/>
  <c r="L90" i="40"/>
  <c r="R90" i="40"/>
  <c r="Q90" i="40"/>
  <c r="M90" i="40"/>
  <c r="P90" i="40"/>
  <c r="K90" i="40"/>
  <c r="P55" i="40"/>
  <c r="L55" i="40"/>
  <c r="O55" i="40"/>
  <c r="Q55" i="40"/>
  <c r="R55" i="40"/>
  <c r="K55" i="40"/>
  <c r="N55" i="40"/>
  <c r="M55" i="40"/>
  <c r="N304" i="40"/>
  <c r="P304" i="40"/>
  <c r="M304" i="40"/>
  <c r="Q304" i="40"/>
  <c r="R304" i="40"/>
  <c r="L304" i="40"/>
  <c r="O304" i="40"/>
  <c r="K304" i="40"/>
  <c r="O127" i="40"/>
  <c r="N127" i="40"/>
  <c r="K127" i="40"/>
  <c r="AY127" i="40" s="1"/>
  <c r="BG127" i="40" s="1"/>
  <c r="BO127" i="40" s="1"/>
  <c r="R127" i="40"/>
  <c r="Q127" i="40"/>
  <c r="M127" i="40"/>
  <c r="L127" i="40"/>
  <c r="P127" i="40"/>
  <c r="P207" i="40"/>
  <c r="K207" i="40"/>
  <c r="R207" i="40"/>
  <c r="O207" i="40"/>
  <c r="Q207" i="40"/>
  <c r="L207" i="40"/>
  <c r="N207" i="40"/>
  <c r="BB207" i="40" s="1"/>
  <c r="BJ207" i="40" s="1"/>
  <c r="BR207" i="40" s="1"/>
  <c r="M207" i="40"/>
  <c r="Q317" i="40"/>
  <c r="N317" i="40"/>
  <c r="K317" i="40"/>
  <c r="M317" i="40"/>
  <c r="P317" i="40"/>
  <c r="R317" i="40"/>
  <c r="O317" i="40"/>
  <c r="L317" i="40"/>
  <c r="M306" i="40"/>
  <c r="Q306" i="40"/>
  <c r="L306" i="40"/>
  <c r="AZ306" i="40" s="1"/>
  <c r="BH306" i="40" s="1"/>
  <c r="BP306" i="40" s="1"/>
  <c r="K306" i="40"/>
  <c r="R306" i="40"/>
  <c r="O306" i="40"/>
  <c r="P306" i="40"/>
  <c r="N306" i="40"/>
  <c r="Q299" i="40"/>
  <c r="K299" i="40"/>
  <c r="O299" i="40"/>
  <c r="L299" i="40"/>
  <c r="M299" i="40"/>
  <c r="P299" i="40"/>
  <c r="N299" i="40"/>
  <c r="R299" i="40"/>
  <c r="R312" i="40"/>
  <c r="M312" i="40"/>
  <c r="L312" i="40"/>
  <c r="K312" i="40"/>
  <c r="O312" i="40"/>
  <c r="Q312" i="40"/>
  <c r="P312" i="40"/>
  <c r="N312" i="40"/>
  <c r="K301" i="40"/>
  <c r="N301" i="40"/>
  <c r="L301" i="40"/>
  <c r="O301" i="40"/>
  <c r="P301" i="40"/>
  <c r="M301" i="40"/>
  <c r="R301" i="40"/>
  <c r="Q301" i="40"/>
  <c r="N286" i="40"/>
  <c r="BB286" i="40" s="1"/>
  <c r="BJ286" i="40" s="1"/>
  <c r="BR286" i="40" s="1"/>
  <c r="L286" i="40"/>
  <c r="K286" i="40"/>
  <c r="P286" i="40"/>
  <c r="R286" i="40"/>
  <c r="O286" i="40"/>
  <c r="Q286" i="40"/>
  <c r="M286" i="40"/>
  <c r="K62" i="40"/>
  <c r="L62" i="40"/>
  <c r="R62" i="40"/>
  <c r="Q62" i="40"/>
  <c r="P62" i="40"/>
  <c r="O62" i="40"/>
  <c r="M62" i="40"/>
  <c r="N62" i="40"/>
  <c r="K287" i="40"/>
  <c r="O287" i="40"/>
  <c r="P287" i="40"/>
  <c r="Q287" i="40"/>
  <c r="L287" i="40"/>
  <c r="R287" i="40"/>
  <c r="N287" i="40"/>
  <c r="M287" i="40"/>
  <c r="N290" i="40"/>
  <c r="M290" i="40"/>
  <c r="Q290" i="40"/>
  <c r="K290" i="40"/>
  <c r="O290" i="40"/>
  <c r="R290" i="40"/>
  <c r="L290" i="40"/>
  <c r="P290" i="40"/>
  <c r="O216" i="40"/>
  <c r="L216" i="40"/>
  <c r="N216" i="40"/>
  <c r="P216" i="40"/>
  <c r="Q216" i="40"/>
  <c r="R216" i="40"/>
  <c r="M216" i="40"/>
  <c r="K216" i="40"/>
  <c r="N297" i="40"/>
  <c r="O297" i="40"/>
  <c r="K297" i="40"/>
  <c r="P297" i="40"/>
  <c r="Q297" i="40"/>
  <c r="R297" i="40"/>
  <c r="L297" i="40"/>
  <c r="M297" i="40"/>
  <c r="M98" i="40"/>
  <c r="N98" i="40"/>
  <c r="L98" i="40"/>
  <c r="P98" i="40"/>
  <c r="R98" i="40"/>
  <c r="K98" i="40"/>
  <c r="Q98" i="40"/>
  <c r="O98" i="40"/>
  <c r="L300" i="40"/>
  <c r="K300" i="40"/>
  <c r="AY300" i="40" s="1"/>
  <c r="BG300" i="40" s="1"/>
  <c r="BO300" i="40" s="1"/>
  <c r="N300" i="40"/>
  <c r="P300" i="40"/>
  <c r="R300" i="40"/>
  <c r="M300" i="40"/>
  <c r="Q300" i="40"/>
  <c r="O300" i="40"/>
  <c r="M19" i="40"/>
  <c r="L19" i="40"/>
  <c r="R19" i="40"/>
  <c r="Q19" i="40"/>
  <c r="N19" i="40"/>
  <c r="O19" i="40"/>
  <c r="P19" i="40"/>
  <c r="K19" i="40"/>
  <c r="Q243" i="40"/>
  <c r="P243" i="40"/>
  <c r="K243" i="40"/>
  <c r="N243" i="40"/>
  <c r="M243" i="40"/>
  <c r="L243" i="40"/>
  <c r="R243" i="40"/>
  <c r="O243" i="40"/>
  <c r="L36" i="40"/>
  <c r="M36" i="40"/>
  <c r="Q36" i="40"/>
  <c r="N36" i="40"/>
  <c r="O36" i="40"/>
  <c r="K36" i="40"/>
  <c r="R36" i="40"/>
  <c r="P36" i="40"/>
  <c r="K263" i="40"/>
  <c r="Q263" i="40"/>
  <c r="P263" i="40"/>
  <c r="R263" i="40"/>
  <c r="M263" i="40"/>
  <c r="O263" i="40"/>
  <c r="L263" i="40"/>
  <c r="N263" i="40"/>
  <c r="V51" i="17"/>
  <c r="Z51" i="17"/>
  <c r="S51" i="17"/>
  <c r="T51" i="17"/>
  <c r="U51" i="17"/>
  <c r="X51" i="17"/>
  <c r="W51" i="17"/>
  <c r="Y51" i="17"/>
  <c r="U103" i="17"/>
  <c r="W103" i="17"/>
  <c r="X103" i="17"/>
  <c r="Z103" i="17"/>
  <c r="S103" i="17"/>
  <c r="T103" i="17"/>
  <c r="V103" i="17"/>
  <c r="Y103" i="17"/>
  <c r="U151" i="17"/>
  <c r="X151" i="17"/>
  <c r="S151" i="17"/>
  <c r="T151" i="17"/>
  <c r="V151" i="17"/>
  <c r="Y151" i="17"/>
  <c r="Z151" i="17"/>
  <c r="W151" i="17"/>
  <c r="W161" i="17"/>
  <c r="X161" i="17"/>
  <c r="Y161" i="17"/>
  <c r="S161" i="17"/>
  <c r="T161" i="17"/>
  <c r="U161" i="17"/>
  <c r="V161" i="17"/>
  <c r="Z161" i="17"/>
  <c r="Y195" i="17"/>
  <c r="Z195" i="17"/>
  <c r="S195" i="17"/>
  <c r="T195" i="17"/>
  <c r="U195" i="17"/>
  <c r="V195" i="17"/>
  <c r="W195" i="17"/>
  <c r="X195" i="17"/>
  <c r="Y215" i="17"/>
  <c r="Z215" i="17"/>
  <c r="S215" i="17"/>
  <c r="T215" i="17"/>
  <c r="V215" i="17"/>
  <c r="U215" i="17"/>
  <c r="W215" i="17"/>
  <c r="X215" i="17"/>
  <c r="Y223" i="17"/>
  <c r="Z223" i="17"/>
  <c r="S223" i="17"/>
  <c r="T223" i="17"/>
  <c r="V223" i="17"/>
  <c r="U223" i="17"/>
  <c r="W223" i="17"/>
  <c r="X223" i="17"/>
  <c r="Y244" i="17"/>
  <c r="Z244" i="17"/>
  <c r="S244" i="17"/>
  <c r="V244" i="17"/>
  <c r="T244" i="17"/>
  <c r="U244" i="17"/>
  <c r="W244" i="17"/>
  <c r="X244" i="17"/>
  <c r="Y263" i="17"/>
  <c r="Z263" i="17"/>
  <c r="V263" i="17"/>
  <c r="S263" i="17"/>
  <c r="T263" i="17"/>
  <c r="U263" i="17"/>
  <c r="W263" i="17"/>
  <c r="X263" i="17"/>
  <c r="Y273" i="17"/>
  <c r="Z273" i="17"/>
  <c r="V273" i="17"/>
  <c r="U273" i="17"/>
  <c r="S273" i="17"/>
  <c r="T273" i="17"/>
  <c r="W273" i="17"/>
  <c r="X273" i="17"/>
  <c r="Y284" i="17"/>
  <c r="Z284" i="17"/>
  <c r="V284" i="17"/>
  <c r="S284" i="17"/>
  <c r="T284" i="17"/>
  <c r="U284" i="17"/>
  <c r="W284" i="17"/>
  <c r="X284" i="17"/>
  <c r="Y295" i="17"/>
  <c r="Z295" i="17"/>
  <c r="S295" i="17"/>
  <c r="T295" i="17"/>
  <c r="W295" i="17"/>
  <c r="U295" i="17"/>
  <c r="V295" i="17"/>
  <c r="X295" i="17"/>
  <c r="Y308" i="17"/>
  <c r="Z308" i="17"/>
  <c r="U308" i="17"/>
  <c r="V308" i="17"/>
  <c r="X308" i="17"/>
  <c r="W308" i="17"/>
  <c r="S308" i="17"/>
  <c r="T308" i="17"/>
  <c r="X5" i="17"/>
  <c r="Y5" i="17"/>
  <c r="Z5" i="17"/>
  <c r="S5" i="17"/>
  <c r="T5" i="17"/>
  <c r="U5" i="17"/>
  <c r="W5" i="17"/>
  <c r="V18" i="17"/>
  <c r="Z18" i="17"/>
  <c r="U18" i="17"/>
  <c r="S18" i="17"/>
  <c r="W18" i="17"/>
  <c r="Y18" i="17"/>
  <c r="T18" i="17"/>
  <c r="X18" i="17"/>
  <c r="V27" i="17"/>
  <c r="Z27" i="17"/>
  <c r="U27" i="17"/>
  <c r="S27" i="17"/>
  <c r="T27" i="17"/>
  <c r="W27" i="17"/>
  <c r="X27" i="17"/>
  <c r="Y27" i="17"/>
  <c r="V40" i="17"/>
  <c r="Z40" i="17"/>
  <c r="T40" i="17"/>
  <c r="U40" i="17"/>
  <c r="W40" i="17"/>
  <c r="X40" i="17"/>
  <c r="S40" i="17"/>
  <c r="Y40" i="17"/>
  <c r="V52" i="17"/>
  <c r="Z52" i="17"/>
  <c r="T52" i="17"/>
  <c r="U52" i="17"/>
  <c r="W52" i="17"/>
  <c r="X52" i="17"/>
  <c r="S52" i="17"/>
  <c r="Y52" i="17"/>
  <c r="U61" i="17"/>
  <c r="W61" i="17"/>
  <c r="X61" i="17"/>
  <c r="Z61" i="17"/>
  <c r="T61" i="17"/>
  <c r="Y61" i="17"/>
  <c r="S61" i="17"/>
  <c r="V61" i="17"/>
  <c r="U73" i="17"/>
  <c r="W73" i="17"/>
  <c r="X73" i="17"/>
  <c r="Z73" i="17"/>
  <c r="T73" i="17"/>
  <c r="S73" i="17"/>
  <c r="V73" i="17"/>
  <c r="Y73" i="17"/>
  <c r="U85" i="17"/>
  <c r="W85" i="17"/>
  <c r="X85" i="17"/>
  <c r="Z85" i="17"/>
  <c r="S85" i="17"/>
  <c r="T85" i="17"/>
  <c r="V85" i="17"/>
  <c r="Y85" i="17"/>
  <c r="U95" i="17"/>
  <c r="W95" i="17"/>
  <c r="X95" i="17"/>
  <c r="Z95" i="17"/>
  <c r="S95" i="17"/>
  <c r="T95" i="17"/>
  <c r="V95" i="17"/>
  <c r="Y95" i="17"/>
  <c r="U104" i="17"/>
  <c r="W104" i="17"/>
  <c r="X104" i="17"/>
  <c r="Z104" i="17"/>
  <c r="Y104" i="17"/>
  <c r="S104" i="17"/>
  <c r="T104" i="17"/>
  <c r="V104" i="17"/>
  <c r="U117" i="17"/>
  <c r="W117" i="17"/>
  <c r="X117" i="17"/>
  <c r="Z117" i="17"/>
  <c r="S117" i="17"/>
  <c r="T117" i="17"/>
  <c r="V117" i="17"/>
  <c r="Y117" i="17"/>
  <c r="U128" i="17"/>
  <c r="W128" i="17"/>
  <c r="X128" i="17"/>
  <c r="Z128" i="17"/>
  <c r="Y128" i="17"/>
  <c r="S128" i="17"/>
  <c r="T128" i="17"/>
  <c r="V128" i="17"/>
  <c r="U139" i="17"/>
  <c r="W139" i="17"/>
  <c r="X139" i="17"/>
  <c r="S139" i="17"/>
  <c r="V139" i="17"/>
  <c r="T139" i="17"/>
  <c r="Y139" i="17"/>
  <c r="Z139" i="17"/>
  <c r="U152" i="17"/>
  <c r="X152" i="17"/>
  <c r="V152" i="17"/>
  <c r="W152" i="17"/>
  <c r="Y152" i="17"/>
  <c r="S152" i="17"/>
  <c r="T152" i="17"/>
  <c r="Z152" i="17"/>
  <c r="W163" i="17"/>
  <c r="X163" i="17"/>
  <c r="Y163" i="17"/>
  <c r="S163" i="17"/>
  <c r="T163" i="17"/>
  <c r="U163" i="17"/>
  <c r="V163" i="17"/>
  <c r="Z163" i="17"/>
  <c r="W172" i="17"/>
  <c r="X172" i="17"/>
  <c r="Y172" i="17"/>
  <c r="U172" i="17"/>
  <c r="V172" i="17"/>
  <c r="Z172" i="17"/>
  <c r="S172" i="17"/>
  <c r="T172" i="17"/>
  <c r="Y185" i="17"/>
  <c r="Z185" i="17"/>
  <c r="S185" i="17"/>
  <c r="T185" i="17"/>
  <c r="U185" i="17"/>
  <c r="V185" i="17"/>
  <c r="W185" i="17"/>
  <c r="X185" i="17"/>
  <c r="Y196" i="17"/>
  <c r="Z196" i="17"/>
  <c r="S196" i="17"/>
  <c r="T196" i="17"/>
  <c r="U196" i="17"/>
  <c r="V196" i="17"/>
  <c r="W196" i="17"/>
  <c r="X196" i="17"/>
  <c r="Y207" i="17"/>
  <c r="Z207" i="17"/>
  <c r="S207" i="17"/>
  <c r="T207" i="17"/>
  <c r="V207" i="17"/>
  <c r="U207" i="17"/>
  <c r="W207" i="17"/>
  <c r="X207" i="17"/>
  <c r="Y216" i="17"/>
  <c r="Z216" i="17"/>
  <c r="S216" i="17"/>
  <c r="T216" i="17"/>
  <c r="V216" i="17"/>
  <c r="U216" i="17"/>
  <c r="W216" i="17"/>
  <c r="X216" i="17"/>
  <c r="Y225" i="17"/>
  <c r="Z225" i="17"/>
  <c r="S225" i="17"/>
  <c r="T225" i="17"/>
  <c r="V225" i="17"/>
  <c r="W225" i="17"/>
  <c r="X225" i="17"/>
  <c r="U225" i="17"/>
  <c r="Y233" i="17"/>
  <c r="Z233" i="17"/>
  <c r="S233" i="17"/>
  <c r="T233" i="17"/>
  <c r="V233" i="17"/>
  <c r="W233" i="17"/>
  <c r="X233" i="17"/>
  <c r="U233" i="17"/>
  <c r="Y246" i="17"/>
  <c r="Z246" i="17"/>
  <c r="S246" i="17"/>
  <c r="V246" i="17"/>
  <c r="T246" i="17"/>
  <c r="U246" i="17"/>
  <c r="W246" i="17"/>
  <c r="X246" i="17"/>
  <c r="Y255" i="17"/>
  <c r="Z255" i="17"/>
  <c r="S255" i="17"/>
  <c r="V255" i="17"/>
  <c r="T255" i="17"/>
  <c r="U255" i="17"/>
  <c r="W255" i="17"/>
  <c r="X255" i="17"/>
  <c r="Y264" i="17"/>
  <c r="Z264" i="17"/>
  <c r="V264" i="17"/>
  <c r="W264" i="17"/>
  <c r="X264" i="17"/>
  <c r="S264" i="17"/>
  <c r="U264" i="17"/>
  <c r="T264" i="17"/>
  <c r="Y274" i="17"/>
  <c r="Z274" i="17"/>
  <c r="V274" i="17"/>
  <c r="T274" i="17"/>
  <c r="U274" i="17"/>
  <c r="W274" i="17"/>
  <c r="X274" i="17"/>
  <c r="S274" i="17"/>
  <c r="Y285" i="17"/>
  <c r="Z285" i="17"/>
  <c r="V285" i="17"/>
  <c r="U285" i="17"/>
  <c r="W285" i="17"/>
  <c r="X285" i="17"/>
  <c r="T285" i="17"/>
  <c r="S285" i="17"/>
  <c r="Y297" i="17"/>
  <c r="Z297" i="17"/>
  <c r="W297" i="17"/>
  <c r="X297" i="17"/>
  <c r="S297" i="17"/>
  <c r="T297" i="17"/>
  <c r="U297" i="17"/>
  <c r="V297" i="17"/>
  <c r="Y309" i="17"/>
  <c r="Z309" i="17"/>
  <c r="W309" i="17"/>
  <c r="X309" i="17"/>
  <c r="S309" i="17"/>
  <c r="T309" i="17"/>
  <c r="U309" i="17"/>
  <c r="V309" i="17"/>
  <c r="V37" i="17"/>
  <c r="Z37" i="17"/>
  <c r="W37" i="17"/>
  <c r="X37" i="17"/>
  <c r="Y37" i="17"/>
  <c r="S37" i="17"/>
  <c r="U37" i="17"/>
  <c r="T37" i="17"/>
  <c r="U83" i="17"/>
  <c r="W83" i="17"/>
  <c r="X83" i="17"/>
  <c r="Z83" i="17"/>
  <c r="S83" i="17"/>
  <c r="T83" i="17"/>
  <c r="V83" i="17"/>
  <c r="Y83" i="17"/>
  <c r="U138" i="17"/>
  <c r="W138" i="17"/>
  <c r="X138" i="17"/>
  <c r="Y138" i="17"/>
  <c r="Z138" i="17"/>
  <c r="S138" i="17"/>
  <c r="T138" i="17"/>
  <c r="V138" i="17"/>
  <c r="W171" i="17"/>
  <c r="X171" i="17"/>
  <c r="Y171" i="17"/>
  <c r="S171" i="17"/>
  <c r="T171" i="17"/>
  <c r="U171" i="17"/>
  <c r="V171" i="17"/>
  <c r="Z171" i="17"/>
  <c r="Y183" i="17"/>
  <c r="Z183" i="17"/>
  <c r="S183" i="17"/>
  <c r="T183" i="17"/>
  <c r="U183" i="17"/>
  <c r="V183" i="17"/>
  <c r="W183" i="17"/>
  <c r="X183" i="17"/>
  <c r="Y206" i="17"/>
  <c r="Z206" i="17"/>
  <c r="S206" i="17"/>
  <c r="T206" i="17"/>
  <c r="V206" i="17"/>
  <c r="X206" i="17"/>
  <c r="W206" i="17"/>
  <c r="U206" i="17"/>
  <c r="Y232" i="17"/>
  <c r="Z232" i="17"/>
  <c r="S232" i="17"/>
  <c r="T232" i="17"/>
  <c r="V232" i="17"/>
  <c r="U232" i="17"/>
  <c r="W232" i="17"/>
  <c r="X232" i="17"/>
  <c r="Y254" i="17"/>
  <c r="Z254" i="17"/>
  <c r="S254" i="17"/>
  <c r="V254" i="17"/>
  <c r="T254" i="17"/>
  <c r="U254" i="17"/>
  <c r="W254" i="17"/>
  <c r="X254" i="17"/>
  <c r="V6" i="17"/>
  <c r="Z6" i="17"/>
  <c r="S6" i="17"/>
  <c r="U6" i="17"/>
  <c r="X6" i="17"/>
  <c r="Y6" i="17"/>
  <c r="W6" i="17"/>
  <c r="T6" i="17"/>
  <c r="V19" i="17"/>
  <c r="Z19" i="17"/>
  <c r="U19" i="17"/>
  <c r="S19" i="17"/>
  <c r="T19" i="17"/>
  <c r="W19" i="17"/>
  <c r="X19" i="17"/>
  <c r="Y19" i="17"/>
  <c r="V30" i="17"/>
  <c r="Z30" i="17"/>
  <c r="U30" i="17"/>
  <c r="T30" i="17"/>
  <c r="W30" i="17"/>
  <c r="X30" i="17"/>
  <c r="Y30" i="17"/>
  <c r="S30" i="17"/>
  <c r="V41" i="17"/>
  <c r="Z41" i="17"/>
  <c r="W41" i="17"/>
  <c r="X41" i="17"/>
  <c r="Y41" i="17"/>
  <c r="S41" i="17"/>
  <c r="U41" i="17"/>
  <c r="T41" i="17"/>
  <c r="V53" i="17"/>
  <c r="Z53" i="17"/>
  <c r="W53" i="17"/>
  <c r="X53" i="17"/>
  <c r="Y53" i="17"/>
  <c r="S53" i="17"/>
  <c r="U53" i="17"/>
  <c r="T53" i="17"/>
  <c r="U64" i="17"/>
  <c r="W64" i="17"/>
  <c r="X64" i="17"/>
  <c r="Z64" i="17"/>
  <c r="T64" i="17"/>
  <c r="V64" i="17"/>
  <c r="Y64" i="17"/>
  <c r="S64" i="17"/>
  <c r="U74" i="17"/>
  <c r="W74" i="17"/>
  <c r="X74" i="17"/>
  <c r="Z74" i="17"/>
  <c r="Y74" i="17"/>
  <c r="S74" i="17"/>
  <c r="T74" i="17"/>
  <c r="V74" i="17"/>
  <c r="U86" i="17"/>
  <c r="W86" i="17"/>
  <c r="X86" i="17"/>
  <c r="Z86" i="17"/>
  <c r="Y86" i="17"/>
  <c r="S86" i="17"/>
  <c r="T86" i="17"/>
  <c r="V86" i="17"/>
  <c r="U96" i="17"/>
  <c r="W96" i="17"/>
  <c r="X96" i="17"/>
  <c r="Z96" i="17"/>
  <c r="Y96" i="17"/>
  <c r="S96" i="17"/>
  <c r="T96" i="17"/>
  <c r="V96" i="17"/>
  <c r="U105" i="17"/>
  <c r="W105" i="17"/>
  <c r="X105" i="17"/>
  <c r="Z105" i="17"/>
  <c r="S105" i="17"/>
  <c r="T105" i="17"/>
  <c r="V105" i="17"/>
  <c r="Y105" i="17"/>
  <c r="U118" i="17"/>
  <c r="W118" i="17"/>
  <c r="X118" i="17"/>
  <c r="Z118" i="17"/>
  <c r="Y118" i="17"/>
  <c r="S118" i="17"/>
  <c r="T118" i="17"/>
  <c r="V118" i="17"/>
  <c r="U130" i="17"/>
  <c r="W130" i="17"/>
  <c r="X130" i="17"/>
  <c r="V130" i="17"/>
  <c r="Y130" i="17"/>
  <c r="Z130" i="17"/>
  <c r="S130" i="17"/>
  <c r="T130" i="17"/>
  <c r="U140" i="17"/>
  <c r="W140" i="17"/>
  <c r="X140" i="17"/>
  <c r="T140" i="17"/>
  <c r="V140" i="17"/>
  <c r="Y140" i="17"/>
  <c r="S140" i="17"/>
  <c r="Z140" i="17"/>
  <c r="U153" i="17"/>
  <c r="X153" i="17"/>
  <c r="Y153" i="17"/>
  <c r="Z153" i="17"/>
  <c r="S153" i="17"/>
  <c r="T153" i="17"/>
  <c r="V153" i="17"/>
  <c r="W153" i="17"/>
  <c r="W164" i="17"/>
  <c r="X164" i="17"/>
  <c r="Y164" i="17"/>
  <c r="S164" i="17"/>
  <c r="T164" i="17"/>
  <c r="U164" i="17"/>
  <c r="V164" i="17"/>
  <c r="Z164" i="17"/>
  <c r="W173" i="17"/>
  <c r="X173" i="17"/>
  <c r="Y173" i="17"/>
  <c r="S173" i="17"/>
  <c r="T173" i="17"/>
  <c r="U173" i="17"/>
  <c r="Z173" i="17"/>
  <c r="V173" i="17"/>
  <c r="Y186" i="17"/>
  <c r="Z186" i="17"/>
  <c r="S186" i="17"/>
  <c r="T186" i="17"/>
  <c r="U186" i="17"/>
  <c r="V186" i="17"/>
  <c r="X186" i="17"/>
  <c r="W186" i="17"/>
  <c r="Y197" i="17"/>
  <c r="Z197" i="17"/>
  <c r="S197" i="17"/>
  <c r="T197" i="17"/>
  <c r="U197" i="17"/>
  <c r="V197" i="17"/>
  <c r="W197" i="17"/>
  <c r="X197" i="17"/>
  <c r="Y208" i="17"/>
  <c r="Z208" i="17"/>
  <c r="S208" i="17"/>
  <c r="T208" i="17"/>
  <c r="V208" i="17"/>
  <c r="U208" i="17"/>
  <c r="W208" i="17"/>
  <c r="X208" i="17"/>
  <c r="Y217" i="17"/>
  <c r="Z217" i="17"/>
  <c r="S217" i="17"/>
  <c r="T217" i="17"/>
  <c r="V217" i="17"/>
  <c r="W217" i="17"/>
  <c r="X217" i="17"/>
  <c r="U217" i="17"/>
  <c r="Y226" i="17"/>
  <c r="Z226" i="17"/>
  <c r="S226" i="17"/>
  <c r="T226" i="17"/>
  <c r="V226" i="17"/>
  <c r="U226" i="17"/>
  <c r="W226" i="17"/>
  <c r="X226" i="17"/>
  <c r="Y234" i="17"/>
  <c r="Z234" i="17"/>
  <c r="S234" i="17"/>
  <c r="T234" i="17"/>
  <c r="V234" i="17"/>
  <c r="U234" i="17"/>
  <c r="W234" i="17"/>
  <c r="X234" i="17"/>
  <c r="Y247" i="17"/>
  <c r="Z247" i="17"/>
  <c r="S247" i="17"/>
  <c r="V247" i="17"/>
  <c r="T247" i="17"/>
  <c r="U247" i="17"/>
  <c r="X247" i="17"/>
  <c r="W247" i="17"/>
  <c r="Y256" i="17"/>
  <c r="Z256" i="17"/>
  <c r="S256" i="17"/>
  <c r="V256" i="17"/>
  <c r="T256" i="17"/>
  <c r="U256" i="17"/>
  <c r="W256" i="17"/>
  <c r="X256" i="17"/>
  <c r="Y266" i="17"/>
  <c r="Z266" i="17"/>
  <c r="V266" i="17"/>
  <c r="T266" i="17"/>
  <c r="U266" i="17"/>
  <c r="W266" i="17"/>
  <c r="X266" i="17"/>
  <c r="S266" i="17"/>
  <c r="Y276" i="17"/>
  <c r="Z276" i="17"/>
  <c r="V276" i="17"/>
  <c r="S276" i="17"/>
  <c r="T276" i="17"/>
  <c r="U276" i="17"/>
  <c r="W276" i="17"/>
  <c r="X276" i="17"/>
  <c r="Y286" i="17"/>
  <c r="Z286" i="17"/>
  <c r="V286" i="17"/>
  <c r="S286" i="17"/>
  <c r="T286" i="17"/>
  <c r="U286" i="17"/>
  <c r="W286" i="17"/>
  <c r="X286" i="17"/>
  <c r="Y298" i="17"/>
  <c r="Z298" i="17"/>
  <c r="S298" i="17"/>
  <c r="T298" i="17"/>
  <c r="U298" i="17"/>
  <c r="V298" i="17"/>
  <c r="W298" i="17"/>
  <c r="X298" i="17"/>
  <c r="Y310" i="17"/>
  <c r="Z310" i="17"/>
  <c r="S310" i="17"/>
  <c r="T310" i="17"/>
  <c r="U310" i="17"/>
  <c r="V310" i="17"/>
  <c r="W310" i="17"/>
  <c r="X310" i="17"/>
  <c r="W165" i="17"/>
  <c r="X165" i="17"/>
  <c r="Y165" i="17"/>
  <c r="S165" i="17"/>
  <c r="T165" i="17"/>
  <c r="U165" i="17"/>
  <c r="V165" i="17"/>
  <c r="Z165" i="17"/>
  <c r="Y287" i="17"/>
  <c r="Z287" i="17"/>
  <c r="V287" i="17"/>
  <c r="S287" i="17"/>
  <c r="T287" i="17"/>
  <c r="X287" i="17"/>
  <c r="U287" i="17"/>
  <c r="W287" i="17"/>
  <c r="Y300" i="17"/>
  <c r="Z300" i="17"/>
  <c r="U300" i="17"/>
  <c r="V300" i="17"/>
  <c r="X300" i="17"/>
  <c r="W300" i="17"/>
  <c r="S300" i="17"/>
  <c r="T300" i="17"/>
  <c r="Z311" i="17"/>
  <c r="S311" i="17"/>
  <c r="T311" i="17"/>
  <c r="V311" i="17"/>
  <c r="W311" i="17"/>
  <c r="U311" i="17"/>
  <c r="X311" i="17"/>
  <c r="Y311" i="17"/>
  <c r="U94" i="17"/>
  <c r="W94" i="17"/>
  <c r="X94" i="17"/>
  <c r="Z94" i="17"/>
  <c r="Y94" i="17"/>
  <c r="S94" i="17"/>
  <c r="T94" i="17"/>
  <c r="V94" i="17"/>
  <c r="V44" i="17"/>
  <c r="Z44" i="17"/>
  <c r="T44" i="17"/>
  <c r="U44" i="17"/>
  <c r="W44" i="17"/>
  <c r="X44" i="17"/>
  <c r="S44" i="17"/>
  <c r="Y44" i="17"/>
  <c r="U75" i="17"/>
  <c r="W75" i="17"/>
  <c r="X75" i="17"/>
  <c r="Z75" i="17"/>
  <c r="S75" i="17"/>
  <c r="T75" i="17"/>
  <c r="V75" i="17"/>
  <c r="Y75" i="17"/>
  <c r="U120" i="17"/>
  <c r="W120" i="17"/>
  <c r="X120" i="17"/>
  <c r="Z120" i="17"/>
  <c r="Y120" i="17"/>
  <c r="S120" i="17"/>
  <c r="T120" i="17"/>
  <c r="V120" i="17"/>
  <c r="W174" i="17"/>
  <c r="X174" i="17"/>
  <c r="Y174" i="17"/>
  <c r="S174" i="17"/>
  <c r="T174" i="17"/>
  <c r="U174" i="17"/>
  <c r="V174" i="17"/>
  <c r="Z174" i="17"/>
  <c r="Y218" i="17"/>
  <c r="Z218" i="17"/>
  <c r="S218" i="17"/>
  <c r="T218" i="17"/>
  <c r="V218" i="17"/>
  <c r="U218" i="17"/>
  <c r="W218" i="17"/>
  <c r="X218" i="17"/>
  <c r="Y257" i="17"/>
  <c r="Z257" i="17"/>
  <c r="S257" i="17"/>
  <c r="V257" i="17"/>
  <c r="T257" i="17"/>
  <c r="U257" i="17"/>
  <c r="W257" i="17"/>
  <c r="X257" i="17"/>
  <c r="V22" i="17"/>
  <c r="Z22" i="17"/>
  <c r="U22" i="17"/>
  <c r="T22" i="17"/>
  <c r="W22" i="17"/>
  <c r="X22" i="17"/>
  <c r="Y22" i="17"/>
  <c r="S22" i="17"/>
  <c r="V46" i="17"/>
  <c r="Z46" i="17"/>
  <c r="Y46" i="17"/>
  <c r="S46" i="17"/>
  <c r="U46" i="17"/>
  <c r="X46" i="17"/>
  <c r="T46" i="17"/>
  <c r="W46" i="17"/>
  <c r="V55" i="17"/>
  <c r="Z55" i="17"/>
  <c r="S55" i="17"/>
  <c r="T55" i="17"/>
  <c r="U55" i="17"/>
  <c r="X55" i="17"/>
  <c r="W55" i="17"/>
  <c r="Y55" i="17"/>
  <c r="U67" i="17"/>
  <c r="W67" i="17"/>
  <c r="X67" i="17"/>
  <c r="Z67" i="17"/>
  <c r="T67" i="17"/>
  <c r="S67" i="17"/>
  <c r="V67" i="17"/>
  <c r="Y67" i="17"/>
  <c r="U77" i="17"/>
  <c r="W77" i="17"/>
  <c r="X77" i="17"/>
  <c r="Z77" i="17"/>
  <c r="S77" i="17"/>
  <c r="T77" i="17"/>
  <c r="V77" i="17"/>
  <c r="Y77" i="17"/>
  <c r="U88" i="17"/>
  <c r="W88" i="17"/>
  <c r="X88" i="17"/>
  <c r="Z88" i="17"/>
  <c r="Y88" i="17"/>
  <c r="S88" i="17"/>
  <c r="T88" i="17"/>
  <c r="V88" i="17"/>
  <c r="U99" i="17"/>
  <c r="W99" i="17"/>
  <c r="X99" i="17"/>
  <c r="Z99" i="17"/>
  <c r="S99" i="17"/>
  <c r="T99" i="17"/>
  <c r="V99" i="17"/>
  <c r="Y99" i="17"/>
  <c r="U107" i="17"/>
  <c r="W107" i="17"/>
  <c r="X107" i="17"/>
  <c r="Z107" i="17"/>
  <c r="S107" i="17"/>
  <c r="T107" i="17"/>
  <c r="V107" i="17"/>
  <c r="Y107" i="17"/>
  <c r="U122" i="17"/>
  <c r="W122" i="17"/>
  <c r="X122" i="17"/>
  <c r="Z122" i="17"/>
  <c r="Y122" i="17"/>
  <c r="S122" i="17"/>
  <c r="T122" i="17"/>
  <c r="V122" i="17"/>
  <c r="U132" i="17"/>
  <c r="W132" i="17"/>
  <c r="X132" i="17"/>
  <c r="S132" i="17"/>
  <c r="T132" i="17"/>
  <c r="V132" i="17"/>
  <c r="Y132" i="17"/>
  <c r="Z132" i="17"/>
  <c r="U145" i="17"/>
  <c r="X145" i="17"/>
  <c r="Y145" i="17"/>
  <c r="Z145" i="17"/>
  <c r="S145" i="17"/>
  <c r="T145" i="17"/>
  <c r="V145" i="17"/>
  <c r="W145" i="17"/>
  <c r="U156" i="17"/>
  <c r="X156" i="17"/>
  <c r="V156" i="17"/>
  <c r="W156" i="17"/>
  <c r="Y156" i="17"/>
  <c r="S156" i="17"/>
  <c r="T156" i="17"/>
  <c r="Z156" i="17"/>
  <c r="W166" i="17"/>
  <c r="X166" i="17"/>
  <c r="Y166" i="17"/>
  <c r="S166" i="17"/>
  <c r="T166" i="17"/>
  <c r="U166" i="17"/>
  <c r="Z166" i="17"/>
  <c r="V166" i="17"/>
  <c r="W175" i="17"/>
  <c r="X175" i="17"/>
  <c r="Y175" i="17"/>
  <c r="V175" i="17"/>
  <c r="Z175" i="17"/>
  <c r="S175" i="17"/>
  <c r="T175" i="17"/>
  <c r="U175" i="17"/>
  <c r="Y188" i="17"/>
  <c r="Z188" i="17"/>
  <c r="S188" i="17"/>
  <c r="T188" i="17"/>
  <c r="U188" i="17"/>
  <c r="V188" i="17"/>
  <c r="W188" i="17"/>
  <c r="X188" i="17"/>
  <c r="Y199" i="17"/>
  <c r="Z199" i="17"/>
  <c r="S199" i="17"/>
  <c r="T199" i="17"/>
  <c r="U199" i="17"/>
  <c r="V199" i="17"/>
  <c r="W199" i="17"/>
  <c r="X199" i="17"/>
  <c r="Y211" i="17"/>
  <c r="Z211" i="17"/>
  <c r="S211" i="17"/>
  <c r="T211" i="17"/>
  <c r="V211" i="17"/>
  <c r="U211" i="17"/>
  <c r="W211" i="17"/>
  <c r="X211" i="17"/>
  <c r="Y219" i="17"/>
  <c r="Z219" i="17"/>
  <c r="S219" i="17"/>
  <c r="T219" i="17"/>
  <c r="V219" i="17"/>
  <c r="U219" i="17"/>
  <c r="X219" i="17"/>
  <c r="W219" i="17"/>
  <c r="Y228" i="17"/>
  <c r="Z228" i="17"/>
  <c r="S228" i="17"/>
  <c r="T228" i="17"/>
  <c r="V228" i="17"/>
  <c r="U228" i="17"/>
  <c r="W228" i="17"/>
  <c r="X228" i="17"/>
  <c r="Y236" i="17"/>
  <c r="Z236" i="17"/>
  <c r="S236" i="17"/>
  <c r="T236" i="17"/>
  <c r="V236" i="17"/>
  <c r="U236" i="17"/>
  <c r="W236" i="17"/>
  <c r="X236" i="17"/>
  <c r="Y249" i="17"/>
  <c r="Z249" i="17"/>
  <c r="S249" i="17"/>
  <c r="V249" i="17"/>
  <c r="T249" i="17"/>
  <c r="U249" i="17"/>
  <c r="W249" i="17"/>
  <c r="X249" i="17"/>
  <c r="Y258" i="17"/>
  <c r="Z258" i="17"/>
  <c r="S258" i="17"/>
  <c r="V258" i="17"/>
  <c r="T258" i="17"/>
  <c r="U258" i="17"/>
  <c r="W258" i="17"/>
  <c r="X258" i="17"/>
  <c r="Y269" i="17"/>
  <c r="Z269" i="17"/>
  <c r="V269" i="17"/>
  <c r="U269" i="17"/>
  <c r="W269" i="17"/>
  <c r="X269" i="17"/>
  <c r="S269" i="17"/>
  <c r="T269" i="17"/>
  <c r="Y278" i="17"/>
  <c r="Z278" i="17"/>
  <c r="V278" i="17"/>
  <c r="T278" i="17"/>
  <c r="S278" i="17"/>
  <c r="U278" i="17"/>
  <c r="X278" i="17"/>
  <c r="W278" i="17"/>
  <c r="Y291" i="17"/>
  <c r="Z291" i="17"/>
  <c r="V291" i="17"/>
  <c r="X291" i="17"/>
  <c r="S291" i="17"/>
  <c r="T291" i="17"/>
  <c r="U291" i="17"/>
  <c r="W291" i="17"/>
  <c r="Y302" i="17"/>
  <c r="Z302" i="17"/>
  <c r="S302" i="17"/>
  <c r="T302" i="17"/>
  <c r="U302" i="17"/>
  <c r="V302" i="17"/>
  <c r="W302" i="17"/>
  <c r="X302" i="17"/>
  <c r="Z314" i="17"/>
  <c r="V314" i="17"/>
  <c r="W314" i="17"/>
  <c r="Y314" i="17"/>
  <c r="X314" i="17"/>
  <c r="S314" i="17"/>
  <c r="T314" i="17"/>
  <c r="U314" i="17"/>
  <c r="V17" i="17"/>
  <c r="Z17" i="17"/>
  <c r="U17" i="17"/>
  <c r="W17" i="17"/>
  <c r="X17" i="17"/>
  <c r="Y17" i="17"/>
  <c r="T17" i="17"/>
  <c r="S17" i="17"/>
  <c r="U60" i="17"/>
  <c r="W60" i="17"/>
  <c r="X60" i="17"/>
  <c r="Z60" i="17"/>
  <c r="T60" i="17"/>
  <c r="S60" i="17"/>
  <c r="V60" i="17"/>
  <c r="Y60" i="17"/>
  <c r="U115" i="17"/>
  <c r="W115" i="17"/>
  <c r="X115" i="17"/>
  <c r="Z115" i="17"/>
  <c r="S115" i="17"/>
  <c r="T115" i="17"/>
  <c r="V115" i="17"/>
  <c r="Y115" i="17"/>
  <c r="V20" i="17"/>
  <c r="Z20" i="17"/>
  <c r="U20" i="17"/>
  <c r="X20" i="17"/>
  <c r="Y20" i="17"/>
  <c r="S20" i="17"/>
  <c r="W20" i="17"/>
  <c r="T20" i="17"/>
  <c r="U65" i="17"/>
  <c r="W65" i="17"/>
  <c r="X65" i="17"/>
  <c r="Z65" i="17"/>
  <c r="T65" i="17"/>
  <c r="S65" i="17"/>
  <c r="V65" i="17"/>
  <c r="Y65" i="17"/>
  <c r="U97" i="17"/>
  <c r="W97" i="17"/>
  <c r="X97" i="17"/>
  <c r="Z97" i="17"/>
  <c r="S97" i="17"/>
  <c r="T97" i="17"/>
  <c r="V97" i="17"/>
  <c r="Y97" i="17"/>
  <c r="U141" i="17"/>
  <c r="X141" i="17"/>
  <c r="Y141" i="17"/>
  <c r="Z141" i="17"/>
  <c r="S141" i="17"/>
  <c r="T141" i="17"/>
  <c r="V141" i="17"/>
  <c r="W141" i="17"/>
  <c r="Y198" i="17"/>
  <c r="Z198" i="17"/>
  <c r="S198" i="17"/>
  <c r="T198" i="17"/>
  <c r="U198" i="17"/>
  <c r="V198" i="17"/>
  <c r="W198" i="17"/>
  <c r="X198" i="17"/>
  <c r="Y235" i="17"/>
  <c r="Z235" i="17"/>
  <c r="S235" i="17"/>
  <c r="T235" i="17"/>
  <c r="V235" i="17"/>
  <c r="U235" i="17"/>
  <c r="X235" i="17"/>
  <c r="W235" i="17"/>
  <c r="Y277" i="17"/>
  <c r="Z277" i="17"/>
  <c r="V277" i="17"/>
  <c r="U277" i="17"/>
  <c r="W277" i="17"/>
  <c r="X277" i="17"/>
  <c r="S277" i="17"/>
  <c r="T277" i="17"/>
  <c r="V11" i="17"/>
  <c r="Z11" i="17"/>
  <c r="S11" i="17"/>
  <c r="U11" i="17"/>
  <c r="T11" i="17"/>
  <c r="W11" i="17"/>
  <c r="Y11" i="17"/>
  <c r="X11" i="17"/>
  <c r="V32" i="17"/>
  <c r="Z32" i="17"/>
  <c r="U32" i="17"/>
  <c r="S32" i="17"/>
  <c r="T32" i="17"/>
  <c r="W32" i="17"/>
  <c r="Y32" i="17"/>
  <c r="X32" i="17"/>
  <c r="V14" i="17"/>
  <c r="Z14" i="17"/>
  <c r="U14" i="17"/>
  <c r="T14" i="17"/>
  <c r="W14" i="17"/>
  <c r="X14" i="17"/>
  <c r="Y14" i="17"/>
  <c r="S14" i="17"/>
  <c r="V23" i="17"/>
  <c r="Z23" i="17"/>
  <c r="U23" i="17"/>
  <c r="Y23" i="17"/>
  <c r="T23" i="17"/>
  <c r="X23" i="17"/>
  <c r="S23" i="17"/>
  <c r="W23" i="17"/>
  <c r="V33" i="17"/>
  <c r="Z33" i="17"/>
  <c r="U33" i="17"/>
  <c r="W33" i="17"/>
  <c r="X33" i="17"/>
  <c r="Y33" i="17"/>
  <c r="T33" i="17"/>
  <c r="S33" i="17"/>
  <c r="V47" i="17"/>
  <c r="Z47" i="17"/>
  <c r="S47" i="17"/>
  <c r="T47" i="17"/>
  <c r="U47" i="17"/>
  <c r="X47" i="17"/>
  <c r="W47" i="17"/>
  <c r="Y47" i="17"/>
  <c r="U57" i="17"/>
  <c r="V57" i="17"/>
  <c r="W57" i="17"/>
  <c r="X57" i="17"/>
  <c r="Z57" i="17"/>
  <c r="T57" i="17"/>
  <c r="S57" i="17"/>
  <c r="Y57" i="17"/>
  <c r="U68" i="17"/>
  <c r="W68" i="17"/>
  <c r="X68" i="17"/>
  <c r="Z68" i="17"/>
  <c r="T68" i="17"/>
  <c r="S68" i="17"/>
  <c r="V68" i="17"/>
  <c r="Y68" i="17"/>
  <c r="U78" i="17"/>
  <c r="W78" i="17"/>
  <c r="X78" i="17"/>
  <c r="Z78" i="17"/>
  <c r="Y78" i="17"/>
  <c r="S78" i="17"/>
  <c r="V78" i="17"/>
  <c r="T78" i="17"/>
  <c r="U89" i="17"/>
  <c r="W89" i="17"/>
  <c r="X89" i="17"/>
  <c r="Z89" i="17"/>
  <c r="S89" i="17"/>
  <c r="T89" i="17"/>
  <c r="V89" i="17"/>
  <c r="Y89" i="17"/>
  <c r="U100" i="17"/>
  <c r="W100" i="17"/>
  <c r="X100" i="17"/>
  <c r="Z100" i="17"/>
  <c r="Y100" i="17"/>
  <c r="S100" i="17"/>
  <c r="T100" i="17"/>
  <c r="V100" i="17"/>
  <c r="U111" i="17"/>
  <c r="W111" i="17"/>
  <c r="X111" i="17"/>
  <c r="Z111" i="17"/>
  <c r="S111" i="17"/>
  <c r="T111" i="17"/>
  <c r="V111" i="17"/>
  <c r="Y111" i="17"/>
  <c r="U123" i="17"/>
  <c r="W123" i="17"/>
  <c r="X123" i="17"/>
  <c r="Z123" i="17"/>
  <c r="S123" i="17"/>
  <c r="T123" i="17"/>
  <c r="V123" i="17"/>
  <c r="Y123" i="17"/>
  <c r="U134" i="17"/>
  <c r="W134" i="17"/>
  <c r="X134" i="17"/>
  <c r="S134" i="17"/>
  <c r="T134" i="17"/>
  <c r="V134" i="17"/>
  <c r="Y134" i="17"/>
  <c r="Z134" i="17"/>
  <c r="U146" i="17"/>
  <c r="X146" i="17"/>
  <c r="S146" i="17"/>
  <c r="V146" i="17"/>
  <c r="W146" i="17"/>
  <c r="Y146" i="17"/>
  <c r="Z146" i="17"/>
  <c r="T146" i="17"/>
  <c r="W158" i="17"/>
  <c r="X158" i="17"/>
  <c r="Y158" i="17"/>
  <c r="S158" i="17"/>
  <c r="T158" i="17"/>
  <c r="U158" i="17"/>
  <c r="Z158" i="17"/>
  <c r="V158" i="17"/>
  <c r="W167" i="17"/>
  <c r="X167" i="17"/>
  <c r="Y167" i="17"/>
  <c r="S167" i="17"/>
  <c r="T167" i="17"/>
  <c r="U167" i="17"/>
  <c r="V167" i="17"/>
  <c r="Z167" i="17"/>
  <c r="Y176" i="17"/>
  <c r="Z176" i="17"/>
  <c r="S176" i="17"/>
  <c r="T176" i="17"/>
  <c r="U176" i="17"/>
  <c r="V176" i="17"/>
  <c r="W176" i="17"/>
  <c r="X176" i="17"/>
  <c r="Y189" i="17"/>
  <c r="Z189" i="17"/>
  <c r="S189" i="17"/>
  <c r="T189" i="17"/>
  <c r="U189" i="17"/>
  <c r="V189" i="17"/>
  <c r="W189" i="17"/>
  <c r="X189" i="17"/>
  <c r="Y200" i="17"/>
  <c r="Z200" i="17"/>
  <c r="S200" i="17"/>
  <c r="T200" i="17"/>
  <c r="U200" i="17"/>
  <c r="V200" i="17"/>
  <c r="W200" i="17"/>
  <c r="X200" i="17"/>
  <c r="Y212" i="17"/>
  <c r="Z212" i="17"/>
  <c r="S212" i="17"/>
  <c r="T212" i="17"/>
  <c r="V212" i="17"/>
  <c r="U212" i="17"/>
  <c r="W212" i="17"/>
  <c r="X212" i="17"/>
  <c r="Y220" i="17"/>
  <c r="Z220" i="17"/>
  <c r="S220" i="17"/>
  <c r="T220" i="17"/>
  <c r="V220" i="17"/>
  <c r="U220" i="17"/>
  <c r="W220" i="17"/>
  <c r="X220" i="17"/>
  <c r="Y229" i="17"/>
  <c r="Z229" i="17"/>
  <c r="S229" i="17"/>
  <c r="T229" i="17"/>
  <c r="V229" i="17"/>
  <c r="W229" i="17"/>
  <c r="U229" i="17"/>
  <c r="X229" i="17"/>
  <c r="Y237" i="17"/>
  <c r="Z237" i="17"/>
  <c r="S237" i="17"/>
  <c r="T237" i="17"/>
  <c r="V237" i="17"/>
  <c r="U237" i="17"/>
  <c r="W237" i="17"/>
  <c r="X237" i="17"/>
  <c r="Y250" i="17"/>
  <c r="Z250" i="17"/>
  <c r="S250" i="17"/>
  <c r="V250" i="17"/>
  <c r="T250" i="17"/>
  <c r="U250" i="17"/>
  <c r="W250" i="17"/>
  <c r="X250" i="17"/>
  <c r="Y259" i="17"/>
  <c r="Z259" i="17"/>
  <c r="V259" i="17"/>
  <c r="X259" i="17"/>
  <c r="S259" i="17"/>
  <c r="T259" i="17"/>
  <c r="U259" i="17"/>
  <c r="W259" i="17"/>
  <c r="Y270" i="17"/>
  <c r="Z270" i="17"/>
  <c r="V270" i="17"/>
  <c r="T270" i="17"/>
  <c r="S270" i="17"/>
  <c r="U270" i="17"/>
  <c r="W270" i="17"/>
  <c r="X270" i="17"/>
  <c r="Y279" i="17"/>
  <c r="Z279" i="17"/>
  <c r="V279" i="17"/>
  <c r="S279" i="17"/>
  <c r="T279" i="17"/>
  <c r="U279" i="17"/>
  <c r="X279" i="17"/>
  <c r="W279" i="17"/>
  <c r="Y292" i="17"/>
  <c r="Z292" i="17"/>
  <c r="V292" i="17"/>
  <c r="S292" i="17"/>
  <c r="U292" i="17"/>
  <c r="W292" i="17"/>
  <c r="T292" i="17"/>
  <c r="X292" i="17"/>
  <c r="Y305" i="17"/>
  <c r="Z305" i="17"/>
  <c r="W305" i="17"/>
  <c r="X305" i="17"/>
  <c r="S305" i="17"/>
  <c r="T305" i="17"/>
  <c r="U305" i="17"/>
  <c r="V305" i="17"/>
  <c r="W316" i="17"/>
  <c r="X316" i="17"/>
  <c r="Z316" i="17"/>
  <c r="Y316" i="17"/>
  <c r="S316" i="17"/>
  <c r="T316" i="17"/>
  <c r="U316" i="17"/>
  <c r="V316" i="17"/>
  <c r="V54" i="17"/>
  <c r="Z54" i="17"/>
  <c r="Y54" i="17"/>
  <c r="S54" i="17"/>
  <c r="U54" i="17"/>
  <c r="X54" i="17"/>
  <c r="T54" i="17"/>
  <c r="W54" i="17"/>
  <c r="U106" i="17"/>
  <c r="W106" i="17"/>
  <c r="X106" i="17"/>
  <c r="Z106" i="17"/>
  <c r="Y106" i="17"/>
  <c r="S106" i="17"/>
  <c r="T106" i="17"/>
  <c r="V106" i="17"/>
  <c r="U154" i="17"/>
  <c r="X154" i="17"/>
  <c r="S154" i="17"/>
  <c r="V154" i="17"/>
  <c r="W154" i="17"/>
  <c r="Y154" i="17"/>
  <c r="Z154" i="17"/>
  <c r="T154" i="17"/>
  <c r="Y209" i="17"/>
  <c r="Z209" i="17"/>
  <c r="S209" i="17"/>
  <c r="T209" i="17"/>
  <c r="V209" i="17"/>
  <c r="W209" i="17"/>
  <c r="X209" i="17"/>
  <c r="U209" i="17"/>
  <c r="Y248" i="17"/>
  <c r="Z248" i="17"/>
  <c r="S248" i="17"/>
  <c r="V248" i="17"/>
  <c r="T248" i="17"/>
  <c r="U248" i="17"/>
  <c r="W248" i="17"/>
  <c r="X248" i="17"/>
  <c r="V15" i="17"/>
  <c r="Z15" i="17"/>
  <c r="U15" i="17"/>
  <c r="Y15" i="17"/>
  <c r="T15" i="17"/>
  <c r="X15" i="17"/>
  <c r="S15" i="17"/>
  <c r="W15" i="17"/>
  <c r="V24" i="17"/>
  <c r="Z24" i="17"/>
  <c r="U24" i="17"/>
  <c r="S24" i="17"/>
  <c r="T24" i="17"/>
  <c r="W24" i="17"/>
  <c r="Y24" i="17"/>
  <c r="X24" i="17"/>
  <c r="V35" i="17"/>
  <c r="Z35" i="17"/>
  <c r="S35" i="17"/>
  <c r="T35" i="17"/>
  <c r="U35" i="17"/>
  <c r="X35" i="17"/>
  <c r="W35" i="17"/>
  <c r="Y35" i="17"/>
  <c r="V49" i="17"/>
  <c r="Z49" i="17"/>
  <c r="W49" i="17"/>
  <c r="X49" i="17"/>
  <c r="Y49" i="17"/>
  <c r="S49" i="17"/>
  <c r="U49" i="17"/>
  <c r="T49" i="17"/>
  <c r="U58" i="17"/>
  <c r="W58" i="17"/>
  <c r="X58" i="17"/>
  <c r="Z58" i="17"/>
  <c r="T58" i="17"/>
  <c r="S58" i="17"/>
  <c r="V58" i="17"/>
  <c r="Y58" i="17"/>
  <c r="U69" i="17"/>
  <c r="W69" i="17"/>
  <c r="X69" i="17"/>
  <c r="Z69" i="17"/>
  <c r="T69" i="17"/>
  <c r="Y69" i="17"/>
  <c r="S69" i="17"/>
  <c r="V69" i="17"/>
  <c r="U79" i="17"/>
  <c r="W79" i="17"/>
  <c r="X79" i="17"/>
  <c r="Z79" i="17"/>
  <c r="S79" i="17"/>
  <c r="T79" i="17"/>
  <c r="V79" i="17"/>
  <c r="Y79" i="17"/>
  <c r="U91" i="17"/>
  <c r="W91" i="17"/>
  <c r="X91" i="17"/>
  <c r="Z91" i="17"/>
  <c r="S91" i="17"/>
  <c r="T91" i="17"/>
  <c r="V91" i="17"/>
  <c r="Y91" i="17"/>
  <c r="U101" i="17"/>
  <c r="W101" i="17"/>
  <c r="X101" i="17"/>
  <c r="Z101" i="17"/>
  <c r="S101" i="17"/>
  <c r="T101" i="17"/>
  <c r="V101" i="17"/>
  <c r="Y101" i="17"/>
  <c r="U112" i="17"/>
  <c r="W112" i="17"/>
  <c r="X112" i="17"/>
  <c r="Z112" i="17"/>
  <c r="Y112" i="17"/>
  <c r="S112" i="17"/>
  <c r="T112" i="17"/>
  <c r="V112" i="17"/>
  <c r="U125" i="17"/>
  <c r="W125" i="17"/>
  <c r="X125" i="17"/>
  <c r="Z125" i="17"/>
  <c r="S125" i="17"/>
  <c r="T125" i="17"/>
  <c r="V125" i="17"/>
  <c r="Y125" i="17"/>
  <c r="U135" i="17"/>
  <c r="W135" i="17"/>
  <c r="X135" i="17"/>
  <c r="V135" i="17"/>
  <c r="Y135" i="17"/>
  <c r="Z135" i="17"/>
  <c r="S135" i="17"/>
  <c r="T135" i="17"/>
  <c r="U148" i="17"/>
  <c r="X148" i="17"/>
  <c r="V148" i="17"/>
  <c r="W148" i="17"/>
  <c r="Y148" i="17"/>
  <c r="S148" i="17"/>
  <c r="T148" i="17"/>
  <c r="Z148" i="17"/>
  <c r="W159" i="17"/>
  <c r="X159" i="17"/>
  <c r="Y159" i="17"/>
  <c r="S159" i="17"/>
  <c r="T159" i="17"/>
  <c r="U159" i="17"/>
  <c r="V159" i="17"/>
  <c r="Z159" i="17"/>
  <c r="W169" i="17"/>
  <c r="X169" i="17"/>
  <c r="Y169" i="17"/>
  <c r="S169" i="17"/>
  <c r="T169" i="17"/>
  <c r="U169" i="17"/>
  <c r="V169" i="17"/>
  <c r="Z169" i="17"/>
  <c r="Y181" i="17"/>
  <c r="Z181" i="17"/>
  <c r="S181" i="17"/>
  <c r="T181" i="17"/>
  <c r="U181" i="17"/>
  <c r="V181" i="17"/>
  <c r="W181" i="17"/>
  <c r="X181" i="17"/>
  <c r="Y190" i="17"/>
  <c r="Z190" i="17"/>
  <c r="S190" i="17"/>
  <c r="T190" i="17"/>
  <c r="U190" i="17"/>
  <c r="V190" i="17"/>
  <c r="W190" i="17"/>
  <c r="X190" i="17"/>
  <c r="Y202" i="17"/>
  <c r="Z202" i="17"/>
  <c r="S202" i="17"/>
  <c r="T202" i="17"/>
  <c r="U202" i="17"/>
  <c r="V202" i="17"/>
  <c r="W202" i="17"/>
  <c r="X202" i="17"/>
  <c r="Y213" i="17"/>
  <c r="Z213" i="17"/>
  <c r="S213" i="17"/>
  <c r="T213" i="17"/>
  <c r="V213" i="17"/>
  <c r="W213" i="17"/>
  <c r="U213" i="17"/>
  <c r="X213" i="17"/>
  <c r="Y221" i="17"/>
  <c r="Z221" i="17"/>
  <c r="S221" i="17"/>
  <c r="T221" i="17"/>
  <c r="V221" i="17"/>
  <c r="W221" i="17"/>
  <c r="U221" i="17"/>
  <c r="X221" i="17"/>
  <c r="Y230" i="17"/>
  <c r="Z230" i="17"/>
  <c r="S230" i="17"/>
  <c r="T230" i="17"/>
  <c r="V230" i="17"/>
  <c r="X230" i="17"/>
  <c r="U230" i="17"/>
  <c r="W230" i="17"/>
  <c r="Y240" i="17"/>
  <c r="Z240" i="17"/>
  <c r="S240" i="17"/>
  <c r="T240" i="17"/>
  <c r="V240" i="17"/>
  <c r="U240" i="17"/>
  <c r="W240" i="17"/>
  <c r="X240" i="17"/>
  <c r="Y252" i="17"/>
  <c r="Z252" i="17"/>
  <c r="S252" i="17"/>
  <c r="V252" i="17"/>
  <c r="T252" i="17"/>
  <c r="U252" i="17"/>
  <c r="W252" i="17"/>
  <c r="X252" i="17"/>
  <c r="Y261" i="17"/>
  <c r="Z261" i="17"/>
  <c r="V261" i="17"/>
  <c r="U261" i="17"/>
  <c r="W261" i="17"/>
  <c r="X261" i="17"/>
  <c r="S261" i="17"/>
  <c r="T261" i="17"/>
  <c r="Y271" i="17"/>
  <c r="Z271" i="17"/>
  <c r="V271" i="17"/>
  <c r="S271" i="17"/>
  <c r="T271" i="17"/>
  <c r="U271" i="17"/>
  <c r="W271" i="17"/>
  <c r="X271" i="17"/>
  <c r="Y280" i="17"/>
  <c r="Z280" i="17"/>
  <c r="V280" i="17"/>
  <c r="W280" i="17"/>
  <c r="X280" i="17"/>
  <c r="S280" i="17"/>
  <c r="T280" i="17"/>
  <c r="U280" i="17"/>
  <c r="Y293" i="17"/>
  <c r="Z293" i="17"/>
  <c r="V293" i="17"/>
  <c r="U293" i="17"/>
  <c r="W293" i="17"/>
  <c r="X293" i="17"/>
  <c r="S293" i="17"/>
  <c r="T293" i="17"/>
  <c r="Y306" i="17"/>
  <c r="Z306" i="17"/>
  <c r="S306" i="17"/>
  <c r="T306" i="17"/>
  <c r="U306" i="17"/>
  <c r="V306" i="17"/>
  <c r="W306" i="17"/>
  <c r="X306" i="17"/>
  <c r="W317" i="17"/>
  <c r="X317" i="17"/>
  <c r="Y317" i="17"/>
  <c r="Z317" i="17"/>
  <c r="S317" i="17"/>
  <c r="T317" i="17"/>
  <c r="U317" i="17"/>
  <c r="V317" i="17"/>
  <c r="V26" i="17"/>
  <c r="Z26" i="17"/>
  <c r="U26" i="17"/>
  <c r="S26" i="17"/>
  <c r="W26" i="17"/>
  <c r="Y26" i="17"/>
  <c r="T26" i="17"/>
  <c r="X26" i="17"/>
  <c r="U71" i="17"/>
  <c r="W71" i="17"/>
  <c r="X71" i="17"/>
  <c r="Z71" i="17"/>
  <c r="T71" i="17"/>
  <c r="S71" i="17"/>
  <c r="V71" i="17"/>
  <c r="Y71" i="17"/>
  <c r="U127" i="17"/>
  <c r="W127" i="17"/>
  <c r="X127" i="17"/>
  <c r="Z127" i="17"/>
  <c r="S127" i="17"/>
  <c r="T127" i="17"/>
  <c r="V127" i="17"/>
  <c r="Y127" i="17"/>
  <c r="V10" i="17"/>
  <c r="Z10" i="17"/>
  <c r="S10" i="17"/>
  <c r="U10" i="17"/>
  <c r="X10" i="17"/>
  <c r="Y10" i="17"/>
  <c r="W10" i="17"/>
  <c r="T10" i="17"/>
  <c r="V31" i="17"/>
  <c r="Z31" i="17"/>
  <c r="U31" i="17"/>
  <c r="Y31" i="17"/>
  <c r="T31" i="17"/>
  <c r="X31" i="17"/>
  <c r="S31" i="17"/>
  <c r="W31" i="17"/>
  <c r="U87" i="17"/>
  <c r="W87" i="17"/>
  <c r="X87" i="17"/>
  <c r="Z87" i="17"/>
  <c r="S87" i="17"/>
  <c r="T87" i="17"/>
  <c r="V87" i="17"/>
  <c r="Y87" i="17"/>
  <c r="U131" i="17"/>
  <c r="W131" i="17"/>
  <c r="X131" i="17"/>
  <c r="S131" i="17"/>
  <c r="T131" i="17"/>
  <c r="V131" i="17"/>
  <c r="Y131" i="17"/>
  <c r="Z131" i="17"/>
  <c r="Y187" i="17"/>
  <c r="Z187" i="17"/>
  <c r="S187" i="17"/>
  <c r="T187" i="17"/>
  <c r="U187" i="17"/>
  <c r="V187" i="17"/>
  <c r="W187" i="17"/>
  <c r="X187" i="17"/>
  <c r="Y227" i="17"/>
  <c r="Z227" i="17"/>
  <c r="S227" i="17"/>
  <c r="T227" i="17"/>
  <c r="V227" i="17"/>
  <c r="U227" i="17"/>
  <c r="W227" i="17"/>
  <c r="X227" i="17"/>
  <c r="Y267" i="17"/>
  <c r="Z267" i="17"/>
  <c r="V267" i="17"/>
  <c r="X267" i="17"/>
  <c r="S267" i="17"/>
  <c r="T267" i="17"/>
  <c r="U267" i="17"/>
  <c r="W267" i="17"/>
  <c r="V16" i="17"/>
  <c r="Z16" i="17"/>
  <c r="U16" i="17"/>
  <c r="S16" i="17"/>
  <c r="T16" i="17"/>
  <c r="W16" i="17"/>
  <c r="Y16" i="17"/>
  <c r="X16" i="17"/>
  <c r="V25" i="17"/>
  <c r="Z25" i="17"/>
  <c r="U25" i="17"/>
  <c r="W25" i="17"/>
  <c r="X25" i="17"/>
  <c r="Y25" i="17"/>
  <c r="T25" i="17"/>
  <c r="S25" i="17"/>
  <c r="V36" i="17"/>
  <c r="Z36" i="17"/>
  <c r="T36" i="17"/>
  <c r="U36" i="17"/>
  <c r="W36" i="17"/>
  <c r="X36" i="17"/>
  <c r="S36" i="17"/>
  <c r="Y36" i="17"/>
  <c r="V50" i="17"/>
  <c r="Z50" i="17"/>
  <c r="Y50" i="17"/>
  <c r="S50" i="17"/>
  <c r="U50" i="17"/>
  <c r="X50" i="17"/>
  <c r="T50" i="17"/>
  <c r="W50" i="17"/>
  <c r="U59" i="17"/>
  <c r="W59" i="17"/>
  <c r="X59" i="17"/>
  <c r="Z59" i="17"/>
  <c r="T59" i="17"/>
  <c r="S59" i="17"/>
  <c r="V59" i="17"/>
  <c r="Y59" i="17"/>
  <c r="U70" i="17"/>
  <c r="W70" i="17"/>
  <c r="X70" i="17"/>
  <c r="Z70" i="17"/>
  <c r="T70" i="17"/>
  <c r="S70" i="17"/>
  <c r="V70" i="17"/>
  <c r="Y70" i="17"/>
  <c r="U81" i="17"/>
  <c r="W81" i="17"/>
  <c r="X81" i="17"/>
  <c r="Z81" i="17"/>
  <c r="S81" i="17"/>
  <c r="T81" i="17"/>
  <c r="V81" i="17"/>
  <c r="Y81" i="17"/>
  <c r="U92" i="17"/>
  <c r="W92" i="17"/>
  <c r="X92" i="17"/>
  <c r="Z92" i="17"/>
  <c r="Y92" i="17"/>
  <c r="S92" i="17"/>
  <c r="T92" i="17"/>
  <c r="V92" i="17"/>
  <c r="U102" i="17"/>
  <c r="W102" i="17"/>
  <c r="X102" i="17"/>
  <c r="Z102" i="17"/>
  <c r="Y102" i="17"/>
  <c r="S102" i="17"/>
  <c r="T102" i="17"/>
  <c r="V102" i="17"/>
  <c r="U113" i="17"/>
  <c r="W113" i="17"/>
  <c r="X113" i="17"/>
  <c r="Z113" i="17"/>
  <c r="S113" i="17"/>
  <c r="T113" i="17"/>
  <c r="V113" i="17"/>
  <c r="Y113" i="17"/>
  <c r="U126" i="17"/>
  <c r="W126" i="17"/>
  <c r="X126" i="17"/>
  <c r="Z126" i="17"/>
  <c r="Y126" i="17"/>
  <c r="S126" i="17"/>
  <c r="T126" i="17"/>
  <c r="V126" i="17"/>
  <c r="U137" i="17"/>
  <c r="W137" i="17"/>
  <c r="X137" i="17"/>
  <c r="S137" i="17"/>
  <c r="T137" i="17"/>
  <c r="V137" i="17"/>
  <c r="Z137" i="17"/>
  <c r="Y137" i="17"/>
  <c r="U149" i="17"/>
  <c r="X149" i="17"/>
  <c r="Y149" i="17"/>
  <c r="Z149" i="17"/>
  <c r="S149" i="17"/>
  <c r="T149" i="17"/>
  <c r="V149" i="17"/>
  <c r="W149" i="17"/>
  <c r="W160" i="17"/>
  <c r="X160" i="17"/>
  <c r="Y160" i="17"/>
  <c r="S160" i="17"/>
  <c r="T160" i="17"/>
  <c r="U160" i="17"/>
  <c r="V160" i="17"/>
  <c r="Z160" i="17"/>
  <c r="W170" i="17"/>
  <c r="X170" i="17"/>
  <c r="Y170" i="17"/>
  <c r="Z170" i="17"/>
  <c r="S170" i="17"/>
  <c r="T170" i="17"/>
  <c r="U170" i="17"/>
  <c r="V170" i="17"/>
  <c r="Y182" i="17"/>
  <c r="Z182" i="17"/>
  <c r="S182" i="17"/>
  <c r="T182" i="17"/>
  <c r="U182" i="17"/>
  <c r="V182" i="17"/>
  <c r="W182" i="17"/>
  <c r="X182" i="17"/>
  <c r="Y192" i="17"/>
  <c r="Z192" i="17"/>
  <c r="S192" i="17"/>
  <c r="T192" i="17"/>
  <c r="U192" i="17"/>
  <c r="V192" i="17"/>
  <c r="W192" i="17"/>
  <c r="X192" i="17"/>
  <c r="Y204" i="17"/>
  <c r="Z204" i="17"/>
  <c r="S204" i="17"/>
  <c r="T204" i="17"/>
  <c r="U204" i="17"/>
  <c r="V204" i="17"/>
  <c r="W204" i="17"/>
  <c r="X204" i="17"/>
  <c r="Y214" i="17"/>
  <c r="Z214" i="17"/>
  <c r="S214" i="17"/>
  <c r="T214" i="17"/>
  <c r="V214" i="17"/>
  <c r="X214" i="17"/>
  <c r="U214" i="17"/>
  <c r="W214" i="17"/>
  <c r="Y222" i="17"/>
  <c r="Z222" i="17"/>
  <c r="S222" i="17"/>
  <c r="T222" i="17"/>
  <c r="V222" i="17"/>
  <c r="X222" i="17"/>
  <c r="U222" i="17"/>
  <c r="W222" i="17"/>
  <c r="Y231" i="17"/>
  <c r="Z231" i="17"/>
  <c r="S231" i="17"/>
  <c r="T231" i="17"/>
  <c r="V231" i="17"/>
  <c r="U231" i="17"/>
  <c r="W231" i="17"/>
  <c r="X231" i="17"/>
  <c r="Y241" i="17"/>
  <c r="Z241" i="17"/>
  <c r="S241" i="17"/>
  <c r="T241" i="17"/>
  <c r="V241" i="17"/>
  <c r="W241" i="17"/>
  <c r="X241" i="17"/>
  <c r="U241" i="17"/>
  <c r="Y253" i="17"/>
  <c r="Z253" i="17"/>
  <c r="S253" i="17"/>
  <c r="V253" i="17"/>
  <c r="T253" i="17"/>
  <c r="U253" i="17"/>
  <c r="X253" i="17"/>
  <c r="W253" i="17"/>
  <c r="Y262" i="17"/>
  <c r="Z262" i="17"/>
  <c r="V262" i="17"/>
  <c r="T262" i="17"/>
  <c r="S262" i="17"/>
  <c r="U262" i="17"/>
  <c r="W262" i="17"/>
  <c r="X262" i="17"/>
  <c r="Y272" i="17"/>
  <c r="Z272" i="17"/>
  <c r="V272" i="17"/>
  <c r="W272" i="17"/>
  <c r="X272" i="17"/>
  <c r="S272" i="17"/>
  <c r="T272" i="17"/>
  <c r="U272" i="17"/>
  <c r="Y283" i="17"/>
  <c r="Z283" i="17"/>
  <c r="V283" i="17"/>
  <c r="X283" i="17"/>
  <c r="S283" i="17"/>
  <c r="W283" i="17"/>
  <c r="T283" i="17"/>
  <c r="U283" i="17"/>
  <c r="Y294" i="17"/>
  <c r="Z294" i="17"/>
  <c r="V294" i="17"/>
  <c r="S294" i="17"/>
  <c r="T294" i="17"/>
  <c r="U294" i="17"/>
  <c r="W294" i="17"/>
  <c r="X294" i="17"/>
  <c r="Y307" i="17"/>
  <c r="Z307" i="17"/>
  <c r="S307" i="17"/>
  <c r="T307" i="17"/>
  <c r="W307" i="17"/>
  <c r="U307" i="17"/>
  <c r="V307" i="17"/>
  <c r="X307" i="17"/>
  <c r="W318" i="17"/>
  <c r="X318" i="17"/>
  <c r="Z318" i="17"/>
  <c r="S318" i="17"/>
  <c r="Y318" i="17"/>
  <c r="T318" i="17"/>
  <c r="U318" i="17"/>
  <c r="V318" i="17"/>
  <c r="D5" i="16"/>
  <c r="H322" i="17"/>
  <c r="I322" i="17"/>
  <c r="J322" i="17" s="1"/>
  <c r="H320" i="17"/>
  <c r="I320" i="17"/>
  <c r="J320" i="17" s="1"/>
  <c r="H319" i="17"/>
  <c r="I319" i="17"/>
  <c r="J319" i="17" s="1"/>
  <c r="I321" i="17"/>
  <c r="J321" i="17" s="1"/>
  <c r="H321" i="17"/>
  <c r="H303" i="17"/>
  <c r="H48" i="17"/>
  <c r="H56" i="17"/>
  <c r="H72" i="17"/>
  <c r="H80" i="17"/>
  <c r="H136" i="17"/>
  <c r="H144" i="17"/>
  <c r="H168" i="17"/>
  <c r="H184" i="17"/>
  <c r="H224" i="17"/>
  <c r="H288" i="17"/>
  <c r="H296" i="17"/>
  <c r="H304" i="17"/>
  <c r="H312" i="17"/>
  <c r="H9" i="17"/>
  <c r="H121" i="17"/>
  <c r="H129" i="17"/>
  <c r="H177" i="17"/>
  <c r="H193" i="17"/>
  <c r="H201" i="17"/>
  <c r="H265" i="17"/>
  <c r="H281" i="17"/>
  <c r="H289" i="17"/>
  <c r="H313" i="17"/>
  <c r="H34" i="17"/>
  <c r="H42" i="17"/>
  <c r="H66" i="17"/>
  <c r="H82" i="17"/>
  <c r="H90" i="17"/>
  <c r="H98" i="17"/>
  <c r="H114" i="17"/>
  <c r="H162" i="17"/>
  <c r="H178" i="17"/>
  <c r="H194" i="17"/>
  <c r="H210" i="17"/>
  <c r="H242" i="17"/>
  <c r="H282" i="17"/>
  <c r="H290" i="17"/>
  <c r="H43" i="17"/>
  <c r="H147" i="17"/>
  <c r="H155" i="17"/>
  <c r="H179" i="17"/>
  <c r="H203" i="17"/>
  <c r="H243" i="17"/>
  <c r="H251" i="17"/>
  <c r="H275" i="17"/>
  <c r="H299" i="17"/>
  <c r="H315" i="17"/>
  <c r="H12" i="17"/>
  <c r="H28" i="17"/>
  <c r="H76" i="17"/>
  <c r="H84" i="17"/>
  <c r="H108" i="17"/>
  <c r="H116" i="17"/>
  <c r="H124" i="17"/>
  <c r="H180" i="17"/>
  <c r="H260" i="17"/>
  <c r="H268" i="17"/>
  <c r="H13" i="17"/>
  <c r="H21" i="17"/>
  <c r="H29" i="17"/>
  <c r="H45" i="17"/>
  <c r="H93" i="17"/>
  <c r="H109" i="17"/>
  <c r="H133" i="17"/>
  <c r="H157" i="17"/>
  <c r="H205" i="17"/>
  <c r="H245" i="17"/>
  <c r="H301" i="17"/>
  <c r="H38" i="17"/>
  <c r="H62" i="17"/>
  <c r="H110" i="17"/>
  <c r="H142" i="17"/>
  <c r="H150" i="17"/>
  <c r="H238" i="17"/>
  <c r="H39" i="17"/>
  <c r="H63" i="17"/>
  <c r="H119" i="17"/>
  <c r="H143" i="17"/>
  <c r="H191" i="17"/>
  <c r="H239" i="17"/>
  <c r="I93" i="17"/>
  <c r="I304" i="17"/>
  <c r="I43" i="17"/>
  <c r="I98" i="17"/>
  <c r="I290" i="17"/>
  <c r="K58" i="25"/>
  <c r="K264" i="25"/>
  <c r="K263" i="25"/>
  <c r="K262" i="25"/>
  <c r="Q317" i="25"/>
  <c r="F6" i="17"/>
  <c r="G6" i="17"/>
  <c r="F7" i="17"/>
  <c r="G7" i="17"/>
  <c r="F8" i="17"/>
  <c r="G8" i="17"/>
  <c r="F9" i="17"/>
  <c r="G9" i="17"/>
  <c r="F10" i="17"/>
  <c r="G10" i="17"/>
  <c r="F11" i="17"/>
  <c r="G11" i="17"/>
  <c r="F12" i="17"/>
  <c r="G12" i="17"/>
  <c r="F13" i="17"/>
  <c r="G13" i="17"/>
  <c r="F14" i="17"/>
  <c r="G14" i="17"/>
  <c r="F15" i="17"/>
  <c r="G15" i="17"/>
  <c r="F16" i="17"/>
  <c r="G16" i="17"/>
  <c r="F17" i="17"/>
  <c r="G17" i="17"/>
  <c r="F18" i="17"/>
  <c r="G18" i="17"/>
  <c r="F19" i="17"/>
  <c r="G19" i="17"/>
  <c r="F20" i="17"/>
  <c r="G20" i="17"/>
  <c r="F21" i="17"/>
  <c r="G21" i="17"/>
  <c r="F22" i="17"/>
  <c r="G22" i="17"/>
  <c r="F23" i="17"/>
  <c r="G23" i="17"/>
  <c r="F24" i="17"/>
  <c r="G24" i="17"/>
  <c r="F25" i="17"/>
  <c r="G25" i="17"/>
  <c r="F26" i="17"/>
  <c r="G26" i="17"/>
  <c r="F27" i="17"/>
  <c r="G27" i="17"/>
  <c r="F28" i="17"/>
  <c r="G28" i="17"/>
  <c r="F29" i="17"/>
  <c r="G29" i="17"/>
  <c r="F30" i="17"/>
  <c r="G30" i="17"/>
  <c r="F31" i="17"/>
  <c r="G31" i="17"/>
  <c r="F32" i="17"/>
  <c r="G32" i="17"/>
  <c r="F33" i="17"/>
  <c r="G33" i="17"/>
  <c r="F34" i="17"/>
  <c r="G34" i="17"/>
  <c r="F35" i="17"/>
  <c r="G35" i="17"/>
  <c r="F36" i="17"/>
  <c r="G36" i="17"/>
  <c r="F37" i="17"/>
  <c r="G37" i="17"/>
  <c r="F38" i="17"/>
  <c r="G38" i="17"/>
  <c r="F39" i="17"/>
  <c r="G39" i="17"/>
  <c r="F40" i="17"/>
  <c r="G40" i="17"/>
  <c r="F41" i="17"/>
  <c r="G41" i="17"/>
  <c r="F42" i="17"/>
  <c r="G42" i="17"/>
  <c r="F43" i="17"/>
  <c r="G43" i="17"/>
  <c r="F44" i="17"/>
  <c r="G44" i="17"/>
  <c r="F45" i="17"/>
  <c r="G45" i="17"/>
  <c r="F46" i="17"/>
  <c r="G46" i="17"/>
  <c r="F47" i="17"/>
  <c r="G47" i="17"/>
  <c r="F48" i="17"/>
  <c r="G48" i="17"/>
  <c r="F49" i="17"/>
  <c r="G49" i="17"/>
  <c r="F50" i="17"/>
  <c r="G50" i="17"/>
  <c r="F51" i="17"/>
  <c r="G51" i="17"/>
  <c r="F52" i="17"/>
  <c r="G52" i="17"/>
  <c r="F53" i="17"/>
  <c r="G53" i="17"/>
  <c r="F54" i="17"/>
  <c r="G54" i="17"/>
  <c r="F55" i="17"/>
  <c r="G55" i="17"/>
  <c r="F56" i="17"/>
  <c r="G56" i="17"/>
  <c r="F57" i="17"/>
  <c r="G57" i="17"/>
  <c r="F58" i="17"/>
  <c r="G58" i="17"/>
  <c r="F59" i="17"/>
  <c r="G59" i="17"/>
  <c r="F60" i="17"/>
  <c r="G60" i="17"/>
  <c r="F61" i="17"/>
  <c r="G61" i="17"/>
  <c r="F62" i="17"/>
  <c r="G62" i="17"/>
  <c r="F63" i="17"/>
  <c r="G63" i="17"/>
  <c r="F64" i="17"/>
  <c r="G64" i="17"/>
  <c r="F65" i="17"/>
  <c r="G65" i="17"/>
  <c r="F66" i="17"/>
  <c r="G66" i="17"/>
  <c r="F67" i="17"/>
  <c r="G67" i="17"/>
  <c r="F68" i="17"/>
  <c r="G68" i="17"/>
  <c r="F69" i="17"/>
  <c r="G69" i="17"/>
  <c r="F70" i="17"/>
  <c r="G70" i="17"/>
  <c r="F71" i="17"/>
  <c r="G71" i="17"/>
  <c r="F72" i="17"/>
  <c r="G72" i="17"/>
  <c r="F73" i="17"/>
  <c r="G73" i="17"/>
  <c r="F74" i="17"/>
  <c r="G74" i="17"/>
  <c r="F75" i="17"/>
  <c r="G75" i="17"/>
  <c r="F76" i="17"/>
  <c r="G76" i="17"/>
  <c r="F77" i="17"/>
  <c r="G77" i="17"/>
  <c r="F78" i="17"/>
  <c r="G78" i="17"/>
  <c r="F79" i="17"/>
  <c r="G79" i="17"/>
  <c r="F80" i="17"/>
  <c r="G80" i="17"/>
  <c r="F81" i="17"/>
  <c r="G81" i="17"/>
  <c r="F82" i="17"/>
  <c r="G82" i="17"/>
  <c r="F83" i="17"/>
  <c r="G83" i="17"/>
  <c r="F84" i="17"/>
  <c r="G84" i="17"/>
  <c r="F85" i="17"/>
  <c r="G85" i="17"/>
  <c r="F86" i="17"/>
  <c r="G86" i="17"/>
  <c r="F87" i="17"/>
  <c r="G87" i="17"/>
  <c r="F88" i="17"/>
  <c r="G88" i="17"/>
  <c r="F89" i="17"/>
  <c r="G89" i="17"/>
  <c r="F90" i="17"/>
  <c r="G90" i="17"/>
  <c r="F91" i="17"/>
  <c r="G91" i="17"/>
  <c r="F92" i="17"/>
  <c r="G92" i="17"/>
  <c r="F93" i="17"/>
  <c r="G93" i="17"/>
  <c r="F94" i="17"/>
  <c r="G94" i="17"/>
  <c r="F95" i="17"/>
  <c r="G95" i="17"/>
  <c r="F96" i="17"/>
  <c r="G96" i="17"/>
  <c r="F97" i="17"/>
  <c r="G97" i="17"/>
  <c r="F98" i="17"/>
  <c r="G98" i="17"/>
  <c r="F99" i="17"/>
  <c r="G99" i="17"/>
  <c r="F100" i="17"/>
  <c r="G100" i="17"/>
  <c r="F101" i="17"/>
  <c r="G101" i="17"/>
  <c r="F102" i="17"/>
  <c r="G102" i="17"/>
  <c r="F103" i="17"/>
  <c r="G103" i="17"/>
  <c r="F104" i="17"/>
  <c r="G104" i="17"/>
  <c r="F105" i="17"/>
  <c r="G105" i="17"/>
  <c r="F106" i="17"/>
  <c r="G106" i="17"/>
  <c r="F107" i="17"/>
  <c r="G107" i="17"/>
  <c r="F108" i="17"/>
  <c r="G108" i="17"/>
  <c r="F109" i="17"/>
  <c r="G109" i="17"/>
  <c r="F110" i="17"/>
  <c r="G110" i="17"/>
  <c r="F111" i="17"/>
  <c r="G111" i="17"/>
  <c r="F112" i="17"/>
  <c r="G112" i="17"/>
  <c r="F113" i="17"/>
  <c r="G113" i="17"/>
  <c r="F114" i="17"/>
  <c r="G114" i="17"/>
  <c r="F115" i="17"/>
  <c r="G115" i="17"/>
  <c r="F116" i="17"/>
  <c r="G116" i="17"/>
  <c r="F117" i="17"/>
  <c r="G117" i="17"/>
  <c r="F118" i="17"/>
  <c r="G118" i="17"/>
  <c r="F119" i="17"/>
  <c r="G119" i="17"/>
  <c r="F120" i="17"/>
  <c r="G120" i="17"/>
  <c r="F121" i="17"/>
  <c r="G121" i="17"/>
  <c r="F122" i="17"/>
  <c r="G122" i="17"/>
  <c r="F123" i="17"/>
  <c r="G123" i="17"/>
  <c r="F124" i="17"/>
  <c r="G124" i="17"/>
  <c r="F125" i="17"/>
  <c r="G125" i="17"/>
  <c r="F126" i="17"/>
  <c r="G126" i="17"/>
  <c r="F127" i="17"/>
  <c r="G127" i="17"/>
  <c r="F128" i="17"/>
  <c r="G128" i="17"/>
  <c r="F129" i="17"/>
  <c r="G129" i="17"/>
  <c r="F130" i="17"/>
  <c r="G130" i="17"/>
  <c r="F131" i="17"/>
  <c r="G131" i="17"/>
  <c r="F132" i="17"/>
  <c r="G132" i="17"/>
  <c r="F133" i="17"/>
  <c r="G133" i="17"/>
  <c r="F134" i="17"/>
  <c r="G134" i="17"/>
  <c r="F135" i="17"/>
  <c r="G135" i="17"/>
  <c r="F136" i="17"/>
  <c r="G136" i="17"/>
  <c r="F137" i="17"/>
  <c r="G137" i="17"/>
  <c r="F138" i="17"/>
  <c r="G138" i="17"/>
  <c r="F139" i="17"/>
  <c r="G139" i="17"/>
  <c r="F140" i="17"/>
  <c r="G140" i="17"/>
  <c r="F141" i="17"/>
  <c r="G141" i="17"/>
  <c r="F142" i="17"/>
  <c r="G142" i="17"/>
  <c r="F143" i="17"/>
  <c r="G143" i="17"/>
  <c r="F144" i="17"/>
  <c r="G144" i="17"/>
  <c r="F145" i="17"/>
  <c r="G145" i="17"/>
  <c r="F146" i="17"/>
  <c r="G146" i="17"/>
  <c r="F147" i="17"/>
  <c r="G147" i="17"/>
  <c r="F148" i="17"/>
  <c r="G148" i="17"/>
  <c r="F149" i="17"/>
  <c r="G149" i="17"/>
  <c r="F150" i="17"/>
  <c r="G150" i="17"/>
  <c r="F151" i="17"/>
  <c r="G151" i="17"/>
  <c r="F152" i="17"/>
  <c r="G152" i="17"/>
  <c r="F153" i="17"/>
  <c r="G153" i="17"/>
  <c r="F154" i="17"/>
  <c r="G154" i="17"/>
  <c r="F155" i="17"/>
  <c r="G155" i="17"/>
  <c r="F156" i="17"/>
  <c r="G156" i="17"/>
  <c r="F157" i="17"/>
  <c r="G157" i="17"/>
  <c r="F158" i="17"/>
  <c r="G158" i="17"/>
  <c r="F159" i="17"/>
  <c r="G159" i="17"/>
  <c r="F160" i="17"/>
  <c r="G160" i="17"/>
  <c r="F161" i="17"/>
  <c r="G161" i="17"/>
  <c r="F162" i="17"/>
  <c r="G162" i="17"/>
  <c r="F163" i="17"/>
  <c r="G163" i="17"/>
  <c r="F164" i="17"/>
  <c r="G164" i="17"/>
  <c r="F165" i="17"/>
  <c r="G165" i="17"/>
  <c r="F166" i="17"/>
  <c r="G166" i="17"/>
  <c r="F167" i="17"/>
  <c r="G167" i="17"/>
  <c r="F168" i="17"/>
  <c r="G168" i="17"/>
  <c r="F169" i="17"/>
  <c r="G169" i="17"/>
  <c r="F170" i="17"/>
  <c r="G170" i="17"/>
  <c r="F171" i="17"/>
  <c r="G171" i="17"/>
  <c r="F172" i="17"/>
  <c r="G172" i="17"/>
  <c r="F173" i="17"/>
  <c r="G173" i="17"/>
  <c r="F174" i="17"/>
  <c r="G174" i="17"/>
  <c r="F175" i="17"/>
  <c r="G175" i="17"/>
  <c r="F176" i="17"/>
  <c r="G176" i="17"/>
  <c r="F177" i="17"/>
  <c r="G177" i="17"/>
  <c r="F178" i="17"/>
  <c r="G178" i="17"/>
  <c r="F179" i="17"/>
  <c r="G179" i="17"/>
  <c r="F180" i="17"/>
  <c r="G180" i="17"/>
  <c r="F181" i="17"/>
  <c r="G181" i="17"/>
  <c r="F182" i="17"/>
  <c r="G182" i="17"/>
  <c r="F183" i="17"/>
  <c r="G183" i="17"/>
  <c r="F184" i="17"/>
  <c r="G184" i="17"/>
  <c r="F185" i="17"/>
  <c r="G185" i="17"/>
  <c r="F186" i="17"/>
  <c r="G186" i="17"/>
  <c r="F187" i="17"/>
  <c r="G187" i="17"/>
  <c r="F188" i="17"/>
  <c r="G188" i="17"/>
  <c r="F189" i="17"/>
  <c r="G189" i="17"/>
  <c r="F190" i="17"/>
  <c r="G190" i="17"/>
  <c r="F191" i="17"/>
  <c r="G191" i="17"/>
  <c r="F192" i="17"/>
  <c r="G192" i="17"/>
  <c r="F193" i="17"/>
  <c r="G193" i="17"/>
  <c r="F194" i="17"/>
  <c r="G194" i="17"/>
  <c r="F195" i="17"/>
  <c r="G195" i="17"/>
  <c r="F196" i="17"/>
  <c r="G196" i="17"/>
  <c r="F197" i="17"/>
  <c r="G197" i="17"/>
  <c r="F198" i="17"/>
  <c r="G198" i="17"/>
  <c r="F199" i="17"/>
  <c r="G199" i="17"/>
  <c r="F200" i="17"/>
  <c r="G200" i="17"/>
  <c r="F201" i="17"/>
  <c r="G201" i="17"/>
  <c r="F202" i="17"/>
  <c r="G202" i="17"/>
  <c r="F203" i="17"/>
  <c r="G203" i="17"/>
  <c r="F204" i="17"/>
  <c r="G204" i="17"/>
  <c r="F205" i="17"/>
  <c r="G205" i="17"/>
  <c r="F206" i="17"/>
  <c r="G206" i="17"/>
  <c r="F207" i="17"/>
  <c r="G207" i="17"/>
  <c r="F208" i="17"/>
  <c r="G208" i="17"/>
  <c r="F209" i="17"/>
  <c r="G209" i="17"/>
  <c r="F210" i="17"/>
  <c r="G210" i="17"/>
  <c r="F211" i="17"/>
  <c r="G211" i="17"/>
  <c r="F212" i="17"/>
  <c r="G212" i="17"/>
  <c r="F213" i="17"/>
  <c r="G213" i="17"/>
  <c r="F214" i="17"/>
  <c r="G214" i="17"/>
  <c r="F215" i="17"/>
  <c r="G215" i="17"/>
  <c r="F216" i="17"/>
  <c r="G216" i="17"/>
  <c r="F217" i="17"/>
  <c r="G217" i="17"/>
  <c r="F218" i="17"/>
  <c r="G218" i="17"/>
  <c r="F219" i="17"/>
  <c r="G219" i="17"/>
  <c r="F220" i="17"/>
  <c r="G220" i="17"/>
  <c r="F221" i="17"/>
  <c r="G221" i="17"/>
  <c r="F222" i="17"/>
  <c r="G222" i="17"/>
  <c r="F223" i="17"/>
  <c r="G223" i="17"/>
  <c r="F224" i="17"/>
  <c r="G224" i="17"/>
  <c r="F225" i="17"/>
  <c r="G225" i="17"/>
  <c r="F226" i="17"/>
  <c r="G226" i="17"/>
  <c r="F227" i="17"/>
  <c r="G227" i="17"/>
  <c r="F228" i="17"/>
  <c r="G228" i="17"/>
  <c r="F229" i="17"/>
  <c r="G229" i="17"/>
  <c r="F230" i="17"/>
  <c r="G230" i="17"/>
  <c r="F231" i="17"/>
  <c r="G231" i="17"/>
  <c r="F232" i="17"/>
  <c r="G232" i="17"/>
  <c r="F233" i="17"/>
  <c r="G233" i="17"/>
  <c r="F234" i="17"/>
  <c r="G234" i="17"/>
  <c r="F235" i="17"/>
  <c r="G235" i="17"/>
  <c r="F236" i="17"/>
  <c r="G236" i="17"/>
  <c r="F237" i="17"/>
  <c r="G237" i="17"/>
  <c r="F238" i="17"/>
  <c r="G238" i="17"/>
  <c r="F239" i="17"/>
  <c r="G239" i="17"/>
  <c r="F240" i="17"/>
  <c r="G240" i="17"/>
  <c r="F241" i="17"/>
  <c r="G241" i="17"/>
  <c r="F242" i="17"/>
  <c r="G242" i="17"/>
  <c r="F243" i="17"/>
  <c r="G243" i="17"/>
  <c r="F244" i="17"/>
  <c r="G244" i="17"/>
  <c r="F245" i="17"/>
  <c r="G245" i="17"/>
  <c r="F246" i="17"/>
  <c r="G246" i="17"/>
  <c r="F247" i="17"/>
  <c r="G247" i="17"/>
  <c r="F248" i="17"/>
  <c r="G248" i="17"/>
  <c r="F249" i="17"/>
  <c r="G249" i="17"/>
  <c r="F250" i="17"/>
  <c r="G250" i="17"/>
  <c r="F251" i="17"/>
  <c r="G251" i="17"/>
  <c r="F252" i="17"/>
  <c r="G252" i="17"/>
  <c r="F253" i="17"/>
  <c r="G253" i="17"/>
  <c r="F254" i="17"/>
  <c r="G254" i="17"/>
  <c r="F255" i="17"/>
  <c r="G255" i="17"/>
  <c r="F256" i="17"/>
  <c r="G256" i="17"/>
  <c r="F257" i="17"/>
  <c r="G257" i="17"/>
  <c r="F258" i="17"/>
  <c r="G258" i="17"/>
  <c r="F259" i="17"/>
  <c r="G259" i="17"/>
  <c r="F260" i="17"/>
  <c r="G260" i="17"/>
  <c r="F261" i="17"/>
  <c r="G261" i="17"/>
  <c r="F262" i="17"/>
  <c r="G262" i="17"/>
  <c r="F263" i="17"/>
  <c r="G263" i="17"/>
  <c r="F264" i="17"/>
  <c r="G264" i="17"/>
  <c r="F265" i="17"/>
  <c r="G265" i="17"/>
  <c r="F266" i="17"/>
  <c r="G266" i="17"/>
  <c r="F267" i="17"/>
  <c r="G267" i="17"/>
  <c r="F268" i="17"/>
  <c r="G268" i="17"/>
  <c r="F269" i="17"/>
  <c r="G269" i="17"/>
  <c r="F270" i="17"/>
  <c r="G270" i="17"/>
  <c r="F271" i="17"/>
  <c r="G271" i="17"/>
  <c r="F272" i="17"/>
  <c r="G272" i="17"/>
  <c r="F273" i="17"/>
  <c r="G273" i="17"/>
  <c r="F274" i="17"/>
  <c r="G274" i="17"/>
  <c r="F275" i="17"/>
  <c r="G275" i="17"/>
  <c r="F276" i="17"/>
  <c r="G276" i="17"/>
  <c r="F277" i="17"/>
  <c r="G277" i="17"/>
  <c r="F278" i="17"/>
  <c r="G278" i="17"/>
  <c r="F279" i="17"/>
  <c r="G279" i="17"/>
  <c r="F280" i="17"/>
  <c r="G280" i="17"/>
  <c r="F281" i="17"/>
  <c r="G281" i="17"/>
  <c r="F282" i="17"/>
  <c r="G282" i="17"/>
  <c r="F283" i="17"/>
  <c r="G283" i="17"/>
  <c r="F284" i="17"/>
  <c r="G284" i="17"/>
  <c r="F285" i="17"/>
  <c r="G285" i="17"/>
  <c r="F286" i="17"/>
  <c r="G286" i="17"/>
  <c r="F287" i="17"/>
  <c r="G287" i="17"/>
  <c r="F288" i="17"/>
  <c r="G288" i="17"/>
  <c r="F289" i="17"/>
  <c r="G289" i="17"/>
  <c r="F290" i="17"/>
  <c r="G290" i="17"/>
  <c r="F291" i="17"/>
  <c r="G291" i="17"/>
  <c r="F292" i="17"/>
  <c r="G292" i="17"/>
  <c r="F293" i="17"/>
  <c r="G293" i="17"/>
  <c r="F294" i="17"/>
  <c r="G294" i="17"/>
  <c r="F295" i="17"/>
  <c r="G295" i="17"/>
  <c r="F296" i="17"/>
  <c r="G296" i="17"/>
  <c r="F297" i="17"/>
  <c r="G297" i="17"/>
  <c r="F298" i="17"/>
  <c r="G298" i="17"/>
  <c r="F299" i="17"/>
  <c r="G299" i="17"/>
  <c r="F300" i="17"/>
  <c r="G300" i="17"/>
  <c r="F301" i="17"/>
  <c r="G301" i="17"/>
  <c r="F302" i="17"/>
  <c r="G302" i="17"/>
  <c r="F303" i="17"/>
  <c r="G303" i="17"/>
  <c r="F304" i="17"/>
  <c r="G304" i="17"/>
  <c r="F305" i="17"/>
  <c r="G305" i="17"/>
  <c r="F306" i="17"/>
  <c r="G306" i="17"/>
  <c r="F307" i="17"/>
  <c r="G307" i="17"/>
  <c r="F308" i="17"/>
  <c r="G308" i="17"/>
  <c r="F309" i="17"/>
  <c r="G309" i="17"/>
  <c r="F310" i="17"/>
  <c r="G310" i="17"/>
  <c r="F311" i="17"/>
  <c r="G311" i="17"/>
  <c r="F312" i="17"/>
  <c r="G312" i="17"/>
  <c r="F313" i="17"/>
  <c r="G313" i="17"/>
  <c r="F314" i="17"/>
  <c r="G314" i="17"/>
  <c r="F315" i="17"/>
  <c r="G315" i="17"/>
  <c r="F316" i="17"/>
  <c r="G316" i="17"/>
  <c r="F317" i="17"/>
  <c r="G317" i="17"/>
  <c r="F318" i="17"/>
  <c r="G318" i="17"/>
  <c r="F319" i="17"/>
  <c r="G319" i="17"/>
  <c r="F320" i="17"/>
  <c r="G320" i="17"/>
  <c r="F321" i="17"/>
  <c r="G321" i="17"/>
  <c r="F322" i="17"/>
  <c r="G322" i="17"/>
  <c r="G5" i="17"/>
  <c r="F5" i="17"/>
  <c r="E6" i="17"/>
  <c r="E7" i="17"/>
  <c r="E8" i="17"/>
  <c r="E9" i="17"/>
  <c r="E10" i="17"/>
  <c r="E11" i="17"/>
  <c r="E12" i="17"/>
  <c r="E13" i="17"/>
  <c r="E14" i="17"/>
  <c r="E15" i="17"/>
  <c r="E16" i="17"/>
  <c r="E17" i="17"/>
  <c r="E18" i="17"/>
  <c r="E19" i="17"/>
  <c r="E20" i="17"/>
  <c r="E21" i="17"/>
  <c r="E22"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E128" i="17"/>
  <c r="E129" i="17"/>
  <c r="E130" i="17"/>
  <c r="E131" i="17"/>
  <c r="E132" i="17"/>
  <c r="E133" i="17"/>
  <c r="E134" i="17"/>
  <c r="E135" i="17"/>
  <c r="E136" i="17"/>
  <c r="E137" i="17"/>
  <c r="E138" i="17"/>
  <c r="E139" i="17"/>
  <c r="E140" i="17"/>
  <c r="E141" i="17"/>
  <c r="E142" i="17"/>
  <c r="E143" i="17"/>
  <c r="E144" i="17"/>
  <c r="E145" i="17"/>
  <c r="E146" i="17"/>
  <c r="E147" i="17"/>
  <c r="E148" i="17"/>
  <c r="E149" i="17"/>
  <c r="E150" i="17"/>
  <c r="E151" i="17"/>
  <c r="E152" i="17"/>
  <c r="E153" i="17"/>
  <c r="E154" i="17"/>
  <c r="E155" i="17"/>
  <c r="E156" i="17"/>
  <c r="E157" i="17"/>
  <c r="E158" i="17"/>
  <c r="E159" i="17"/>
  <c r="E160" i="17"/>
  <c r="E161" i="17"/>
  <c r="E162" i="17"/>
  <c r="E163" i="17"/>
  <c r="E164" i="17"/>
  <c r="E165" i="17"/>
  <c r="E166" i="17"/>
  <c r="E167" i="17"/>
  <c r="E168" i="17"/>
  <c r="E169" i="17"/>
  <c r="E170" i="17"/>
  <c r="E171" i="17"/>
  <c r="E172" i="17"/>
  <c r="E173" i="17"/>
  <c r="E174" i="17"/>
  <c r="E175" i="17"/>
  <c r="E176" i="17"/>
  <c r="E177" i="17"/>
  <c r="E178" i="17"/>
  <c r="E179" i="17"/>
  <c r="E180" i="17"/>
  <c r="E181" i="17"/>
  <c r="E182" i="17"/>
  <c r="E183" i="17"/>
  <c r="E184" i="17"/>
  <c r="E185" i="17"/>
  <c r="E186" i="17"/>
  <c r="E187" i="17"/>
  <c r="E188" i="17"/>
  <c r="E189" i="17"/>
  <c r="E190" i="17"/>
  <c r="E191" i="17"/>
  <c r="E192" i="17"/>
  <c r="E193" i="17"/>
  <c r="E194" i="17"/>
  <c r="E195" i="17"/>
  <c r="E196" i="17"/>
  <c r="E197" i="17"/>
  <c r="E198" i="17"/>
  <c r="E199" i="17"/>
  <c r="E200" i="17"/>
  <c r="E201" i="17"/>
  <c r="E202" i="17"/>
  <c r="E203" i="17"/>
  <c r="E204" i="17"/>
  <c r="E205" i="17"/>
  <c r="E206" i="17"/>
  <c r="E207" i="17"/>
  <c r="E208" i="17"/>
  <c r="E209" i="17"/>
  <c r="E210" i="17"/>
  <c r="E211" i="17"/>
  <c r="E212" i="17"/>
  <c r="E213" i="17"/>
  <c r="E214" i="17"/>
  <c r="E215" i="17"/>
  <c r="E216" i="17"/>
  <c r="E217" i="17"/>
  <c r="E218" i="17"/>
  <c r="E219" i="17"/>
  <c r="E220" i="17"/>
  <c r="E221" i="17"/>
  <c r="E222" i="17"/>
  <c r="E223" i="17"/>
  <c r="E224" i="17"/>
  <c r="E225" i="17"/>
  <c r="E226" i="17"/>
  <c r="E227" i="17"/>
  <c r="E228" i="17"/>
  <c r="E229" i="17"/>
  <c r="E230" i="17"/>
  <c r="E231" i="17"/>
  <c r="E232" i="17"/>
  <c r="E233" i="17"/>
  <c r="E234" i="17"/>
  <c r="E235" i="17"/>
  <c r="E236" i="17"/>
  <c r="E237" i="17"/>
  <c r="E238" i="17"/>
  <c r="E239" i="17"/>
  <c r="E240" i="17"/>
  <c r="E241" i="17"/>
  <c r="E242" i="17"/>
  <c r="E243" i="17"/>
  <c r="E244" i="17"/>
  <c r="E245" i="17"/>
  <c r="E246" i="17"/>
  <c r="E247" i="17"/>
  <c r="E248" i="17"/>
  <c r="E249" i="17"/>
  <c r="E250" i="17"/>
  <c r="E251" i="17"/>
  <c r="E252" i="17"/>
  <c r="E253" i="17"/>
  <c r="E254" i="17"/>
  <c r="E255" i="17"/>
  <c r="E256" i="17"/>
  <c r="E257" i="17"/>
  <c r="E258" i="17"/>
  <c r="E259" i="17"/>
  <c r="E260" i="17"/>
  <c r="E261" i="17"/>
  <c r="E262" i="17"/>
  <c r="E263" i="17"/>
  <c r="E264" i="17"/>
  <c r="E265" i="17"/>
  <c r="E266" i="17"/>
  <c r="E267" i="17"/>
  <c r="E268" i="17"/>
  <c r="E269" i="17"/>
  <c r="E270" i="17"/>
  <c r="E271" i="17"/>
  <c r="E272" i="17"/>
  <c r="E273" i="17"/>
  <c r="E274" i="17"/>
  <c r="E275" i="17"/>
  <c r="E276" i="17"/>
  <c r="E277" i="17"/>
  <c r="E278" i="17"/>
  <c r="E279" i="17"/>
  <c r="E280" i="17"/>
  <c r="E281" i="17"/>
  <c r="E282" i="17"/>
  <c r="E283" i="17"/>
  <c r="E284" i="17"/>
  <c r="E285" i="17"/>
  <c r="E286" i="17"/>
  <c r="E287" i="17"/>
  <c r="E288" i="17"/>
  <c r="E289" i="17"/>
  <c r="E290" i="17"/>
  <c r="E291" i="17"/>
  <c r="E292" i="17"/>
  <c r="E293" i="17"/>
  <c r="E294" i="17"/>
  <c r="E295" i="17"/>
  <c r="E296" i="17"/>
  <c r="E297" i="17"/>
  <c r="E298" i="17"/>
  <c r="E299" i="17"/>
  <c r="E300" i="17"/>
  <c r="E301" i="17"/>
  <c r="E302" i="17"/>
  <c r="E303" i="17"/>
  <c r="E304" i="17"/>
  <c r="E305" i="17"/>
  <c r="E306" i="17"/>
  <c r="E307" i="17"/>
  <c r="E308" i="17"/>
  <c r="E309" i="17"/>
  <c r="E310" i="17"/>
  <c r="E311" i="17"/>
  <c r="E312" i="17"/>
  <c r="E313" i="17"/>
  <c r="E314" i="17"/>
  <c r="E315" i="17"/>
  <c r="E316" i="17"/>
  <c r="E317" i="17"/>
  <c r="E318" i="17"/>
  <c r="E320" i="17"/>
  <c r="E321" i="17"/>
  <c r="E322" i="17"/>
  <c r="BB263" i="40" l="1"/>
  <c r="BJ263" i="40" s="1"/>
  <c r="BR263" i="40"/>
  <c r="BD36" i="40"/>
  <c r="BL36" i="40" s="1"/>
  <c r="BT36" i="40"/>
  <c r="BC243" i="40"/>
  <c r="BK243" i="40" s="1"/>
  <c r="BS243" i="40"/>
  <c r="BO19" i="40"/>
  <c r="AY19" i="40"/>
  <c r="BG19" i="40" s="1"/>
  <c r="BS300" i="40"/>
  <c r="BC300" i="40"/>
  <c r="BK300" i="40" s="1"/>
  <c r="BS98" i="40"/>
  <c r="BC98" i="40"/>
  <c r="BK98" i="40" s="1"/>
  <c r="BA297" i="40"/>
  <c r="BI297" i="40" s="1"/>
  <c r="BQ297" i="40"/>
  <c r="AY216" i="40"/>
  <c r="BG216" i="40" s="1"/>
  <c r="BO216" i="40"/>
  <c r="BD290" i="40"/>
  <c r="BL290" i="40" s="1"/>
  <c r="BT290" i="40"/>
  <c r="BA287" i="40"/>
  <c r="BI287" i="40" s="1"/>
  <c r="BQ287" i="40"/>
  <c r="BB62" i="40"/>
  <c r="BJ62" i="40" s="1"/>
  <c r="BR62" i="40"/>
  <c r="BA286" i="40"/>
  <c r="BI286" i="40" s="1"/>
  <c r="BQ286" i="40"/>
  <c r="BE301" i="40"/>
  <c r="BM301" i="40" s="1"/>
  <c r="BU301" i="40"/>
  <c r="BB312" i="40"/>
  <c r="BJ312" i="40" s="1"/>
  <c r="BR312" i="40"/>
  <c r="BV299" i="40"/>
  <c r="BF299" i="40"/>
  <c r="BN299" i="40" s="1"/>
  <c r="BB306" i="40"/>
  <c r="BJ306" i="40" s="1"/>
  <c r="BR306" i="40"/>
  <c r="AZ317" i="40"/>
  <c r="BH317" i="40" s="1"/>
  <c r="BP317" i="40"/>
  <c r="BA207" i="40"/>
  <c r="BI207" i="40" s="1"/>
  <c r="BQ207" i="40"/>
  <c r="BT127" i="40"/>
  <c r="BD127" i="40"/>
  <c r="BL127" i="40" s="1"/>
  <c r="AY304" i="40"/>
  <c r="BG304" i="40" s="1"/>
  <c r="BO304" i="40"/>
  <c r="BA55" i="40"/>
  <c r="BI55" i="40" s="1"/>
  <c r="BQ55" i="40"/>
  <c r="AY90" i="40"/>
  <c r="BG90" i="40" s="1"/>
  <c r="BO90" i="40"/>
  <c r="BU294" i="40"/>
  <c r="BE294" i="40"/>
  <c r="BM294" i="40" s="1"/>
  <c r="AZ263" i="40"/>
  <c r="BH263" i="40" s="1"/>
  <c r="BP263" i="40"/>
  <c r="BF36" i="40"/>
  <c r="BN36" i="40" s="1"/>
  <c r="BV36" i="40"/>
  <c r="BF243" i="40"/>
  <c r="BN243" i="40" s="1"/>
  <c r="BV243" i="40"/>
  <c r="BD19" i="40"/>
  <c r="BL19" i="40" s="1"/>
  <c r="BT19" i="40"/>
  <c r="BU300" i="40"/>
  <c r="BE300" i="40"/>
  <c r="BM300" i="40" s="1"/>
  <c r="BU98" i="40"/>
  <c r="BE98" i="40"/>
  <c r="BM98" i="40" s="1"/>
  <c r="AZ297" i="40"/>
  <c r="BH297" i="40" s="1"/>
  <c r="BP297" i="40"/>
  <c r="BA216" i="40"/>
  <c r="BI216" i="40" s="1"/>
  <c r="BQ216" i="40"/>
  <c r="BP290" i="40"/>
  <c r="AZ290" i="40"/>
  <c r="BH290" i="40" s="1"/>
  <c r="BB287" i="40"/>
  <c r="BJ287" i="40" s="1"/>
  <c r="BR287" i="40"/>
  <c r="BA62" i="40"/>
  <c r="BI62" i="40" s="1"/>
  <c r="BQ62" i="40"/>
  <c r="BU286" i="40"/>
  <c r="BE286" i="40"/>
  <c r="BM286" i="40" s="1"/>
  <c r="BV301" i="40"/>
  <c r="BF301" i="40"/>
  <c r="BN301" i="40" s="1"/>
  <c r="BD312" i="40"/>
  <c r="BL312" i="40" s="1"/>
  <c r="BT312" i="40"/>
  <c r="BB299" i="40"/>
  <c r="BJ299" i="40" s="1"/>
  <c r="BR299" i="40"/>
  <c r="BD306" i="40"/>
  <c r="BL306" i="40" s="1"/>
  <c r="BT306" i="40"/>
  <c r="BC317" i="40"/>
  <c r="BK317" i="40" s="1"/>
  <c r="BS317" i="40"/>
  <c r="BP127" i="40"/>
  <c r="AZ127" i="40"/>
  <c r="BH127" i="40" s="1"/>
  <c r="BC304" i="40"/>
  <c r="BK304" i="40" s="1"/>
  <c r="BS304" i="40"/>
  <c r="BB55" i="40"/>
  <c r="BJ55" i="40" s="1"/>
  <c r="BR55" i="40"/>
  <c r="BT90" i="40"/>
  <c r="BD90" i="40"/>
  <c r="BL90" i="40" s="1"/>
  <c r="BA294" i="40"/>
  <c r="BI294" i="40" s="1"/>
  <c r="BQ294" i="40"/>
  <c r="BS263" i="40"/>
  <c r="BC263" i="40"/>
  <c r="BK263" i="40" s="1"/>
  <c r="AY36" i="40"/>
  <c r="BG36" i="40" s="1"/>
  <c r="BO36" i="40"/>
  <c r="AZ243" i="40"/>
  <c r="BH243" i="40" s="1"/>
  <c r="BP243" i="40" s="1"/>
  <c r="BC19" i="40"/>
  <c r="BK19" i="40" s="1"/>
  <c r="BS19" i="40"/>
  <c r="BA300" i="40"/>
  <c r="BI300" i="40" s="1"/>
  <c r="BQ300" i="40"/>
  <c r="BO98" i="40"/>
  <c r="AY98" i="40"/>
  <c r="BG98" i="40" s="1"/>
  <c r="BV297" i="40"/>
  <c r="BF297" i="40"/>
  <c r="BN297" i="40" s="1"/>
  <c r="BF216" i="40"/>
  <c r="BN216" i="40" s="1"/>
  <c r="BV216" i="40"/>
  <c r="BF290" i="40"/>
  <c r="BN290" i="40" s="1"/>
  <c r="BV290" i="40"/>
  <c r="BV287" i="40"/>
  <c r="BF287" i="40"/>
  <c r="BN287" i="40" s="1"/>
  <c r="BC62" i="40"/>
  <c r="BK62" i="40" s="1"/>
  <c r="BS62" i="40"/>
  <c r="BC286" i="40"/>
  <c r="BK286" i="40" s="1"/>
  <c r="BS286" i="40"/>
  <c r="BA301" i="40"/>
  <c r="BI301" i="40" s="1"/>
  <c r="BQ301" i="40"/>
  <c r="BE312" i="40"/>
  <c r="BM312" i="40" s="1"/>
  <c r="BU312" i="40"/>
  <c r="BD299" i="40"/>
  <c r="BL299" i="40" s="1"/>
  <c r="BT299" i="40" s="1"/>
  <c r="BC306" i="40"/>
  <c r="BK306" i="40" s="1"/>
  <c r="BS306" i="40"/>
  <c r="BF317" i="40"/>
  <c r="BN317" i="40" s="1"/>
  <c r="BV317" i="40"/>
  <c r="AZ207" i="40"/>
  <c r="BH207" i="40" s="1"/>
  <c r="BP207" i="40"/>
  <c r="CF207" i="40" s="1"/>
  <c r="CL207" i="40" s="1"/>
  <c r="CY207" i="40" s="1"/>
  <c r="CZ207" i="40" s="1"/>
  <c r="BQ127" i="40"/>
  <c r="BA127" i="40"/>
  <c r="BI127" i="40" s="1"/>
  <c r="AZ304" i="40"/>
  <c r="BH304" i="40" s="1"/>
  <c r="BP304" i="40"/>
  <c r="AY55" i="40"/>
  <c r="BG55" i="40" s="1"/>
  <c r="BO55" i="40"/>
  <c r="BQ90" i="40"/>
  <c r="BA90" i="40"/>
  <c r="BI90" i="40" s="1"/>
  <c r="BF294" i="40"/>
  <c r="BN294" i="40" s="1"/>
  <c r="BV294" i="40"/>
  <c r="BA263" i="40"/>
  <c r="BI263" i="40" s="1"/>
  <c r="BQ263" i="40"/>
  <c r="BC36" i="40"/>
  <c r="BK36" i="40" s="1"/>
  <c r="BS36" i="40"/>
  <c r="BA243" i="40"/>
  <c r="BI243" i="40" s="1"/>
  <c r="BQ243" i="40"/>
  <c r="BR19" i="40"/>
  <c r="BB19" i="40"/>
  <c r="BJ19" i="40" s="1"/>
  <c r="BF300" i="40"/>
  <c r="BN300" i="40" s="1"/>
  <c r="BV300" i="40"/>
  <c r="BF98" i="40"/>
  <c r="BN98" i="40" s="1"/>
  <c r="BV98" i="40"/>
  <c r="BE297" i="40"/>
  <c r="BM297" i="40" s="1"/>
  <c r="BU297" i="40"/>
  <c r="BU216" i="40"/>
  <c r="BE216" i="40"/>
  <c r="BM216" i="40" s="1"/>
  <c r="BS290" i="40"/>
  <c r="BC290" i="40"/>
  <c r="BK290" i="40" s="1"/>
  <c r="AZ287" i="40"/>
  <c r="BH287" i="40" s="1"/>
  <c r="BP287" i="40"/>
  <c r="BD62" i="40"/>
  <c r="BL62" i="40" s="1"/>
  <c r="BT62" i="40"/>
  <c r="BV286" i="40"/>
  <c r="BF286" i="40"/>
  <c r="BN286" i="40" s="1"/>
  <c r="BD301" i="40"/>
  <c r="BL301" i="40" s="1"/>
  <c r="BT301" i="40"/>
  <c r="BC312" i="40"/>
  <c r="BK312" i="40" s="1"/>
  <c r="BS312" i="40"/>
  <c r="BA299" i="40"/>
  <c r="BI299" i="40" s="1"/>
  <c r="BQ299" i="40"/>
  <c r="BV306" i="40"/>
  <c r="BF306" i="40"/>
  <c r="BN306" i="40" s="1"/>
  <c r="BD317" i="40"/>
  <c r="BL317" i="40" s="1"/>
  <c r="BT317" i="40"/>
  <c r="BE207" i="40"/>
  <c r="BM207" i="40" s="1"/>
  <c r="BU207" i="40"/>
  <c r="BE127" i="40"/>
  <c r="BM127" i="40" s="1"/>
  <c r="BU127" i="40"/>
  <c r="BV304" i="40"/>
  <c r="BF304" i="40"/>
  <c r="BN304" i="40" s="1"/>
  <c r="BF55" i="40"/>
  <c r="BN55" i="40" s="1"/>
  <c r="BV55" i="40" s="1"/>
  <c r="BE90" i="40"/>
  <c r="BM90" i="40" s="1"/>
  <c r="BU90" i="40"/>
  <c r="AY294" i="40"/>
  <c r="BG294" i="40" s="1"/>
  <c r="BO294" i="40"/>
  <c r="BF263" i="40"/>
  <c r="BN263" i="40" s="1"/>
  <c r="BV263" i="40"/>
  <c r="BB36" i="40"/>
  <c r="BJ36" i="40" s="1"/>
  <c r="BR36" i="40"/>
  <c r="BB243" i="40"/>
  <c r="BJ243" i="40" s="1"/>
  <c r="BR243" i="40"/>
  <c r="BE19" i="40"/>
  <c r="BM19" i="40" s="1"/>
  <c r="BU19" i="40"/>
  <c r="BT300" i="40"/>
  <c r="BD300" i="40"/>
  <c r="BL300" i="40" s="1"/>
  <c r="BD98" i="40"/>
  <c r="BL98" i="40" s="1"/>
  <c r="BT98" i="40"/>
  <c r="BD297" i="40"/>
  <c r="BL297" i="40" s="1"/>
  <c r="BT297" i="40"/>
  <c r="BD216" i="40"/>
  <c r="BL216" i="40" s="1"/>
  <c r="BT216" i="40"/>
  <c r="BO290" i="40"/>
  <c r="AY290" i="40"/>
  <c r="BG290" i="40" s="1"/>
  <c r="BE287" i="40"/>
  <c r="BM287" i="40" s="1"/>
  <c r="BU287" i="40"/>
  <c r="BU62" i="40"/>
  <c r="BE62" i="40"/>
  <c r="BM62" i="40" s="1"/>
  <c r="BT286" i="40"/>
  <c r="BD286" i="40"/>
  <c r="BL286" i="40" s="1"/>
  <c r="BC301" i="40"/>
  <c r="BK301" i="40" s="1"/>
  <c r="BS301" i="40" s="1"/>
  <c r="BO312" i="40"/>
  <c r="AY312" i="40"/>
  <c r="BG312" i="40" s="1"/>
  <c r="AZ299" i="40"/>
  <c r="BH299" i="40" s="1"/>
  <c r="BP299" i="40"/>
  <c r="CF299" i="40" s="1"/>
  <c r="CL299" i="40" s="1"/>
  <c r="CY299" i="40" s="1"/>
  <c r="CZ299" i="40" s="1"/>
  <c r="BO306" i="40"/>
  <c r="AY306" i="40"/>
  <c r="BG306" i="40" s="1"/>
  <c r="BQ317" i="40"/>
  <c r="BA317" i="40"/>
  <c r="BI317" i="40" s="1"/>
  <c r="BC207" i="40"/>
  <c r="BK207" i="40" s="1"/>
  <c r="BS207" i="40"/>
  <c r="BV127" i="40"/>
  <c r="BF127" i="40"/>
  <c r="BN127" i="40" s="1"/>
  <c r="BE304" i="40"/>
  <c r="BM304" i="40" s="1"/>
  <c r="BU304" i="40"/>
  <c r="BE55" i="40"/>
  <c r="BM55" i="40" s="1"/>
  <c r="BU55" i="40"/>
  <c r="BV90" i="40"/>
  <c r="BF90" i="40"/>
  <c r="BN90" i="40" s="1"/>
  <c r="BC294" i="40"/>
  <c r="BK294" i="40" s="1"/>
  <c r="BS294" i="40" s="1"/>
  <c r="BT263" i="40"/>
  <c r="BD263" i="40"/>
  <c r="BL263" i="40" s="1"/>
  <c r="BU36" i="40"/>
  <c r="BE36" i="40"/>
  <c r="BM36" i="40" s="1"/>
  <c r="BO243" i="40"/>
  <c r="AY243" i="40"/>
  <c r="BG243" i="40" s="1"/>
  <c r="BV19" i="40"/>
  <c r="BF19" i="40"/>
  <c r="BN19" i="40" s="1"/>
  <c r="BB300" i="40"/>
  <c r="BJ300" i="40" s="1"/>
  <c r="BR300" i="40"/>
  <c r="BP98" i="40"/>
  <c r="AZ98" i="40"/>
  <c r="BH98" i="40" s="1"/>
  <c r="AY297" i="40"/>
  <c r="BG297" i="40" s="1"/>
  <c r="BO297" i="40"/>
  <c r="BB216" i="40"/>
  <c r="BJ216" i="40" s="1"/>
  <c r="BR216" i="40"/>
  <c r="BU290" i="40"/>
  <c r="BE290" i="40"/>
  <c r="BM290" i="40" s="1"/>
  <c r="BD287" i="40"/>
  <c r="BL287" i="40" s="1"/>
  <c r="BT287" i="40"/>
  <c r="BV62" i="40"/>
  <c r="BF62" i="40"/>
  <c r="BN62" i="40" s="1"/>
  <c r="AY286" i="40"/>
  <c r="BG286" i="40" s="1"/>
  <c r="BO286" i="40"/>
  <c r="AZ301" i="40"/>
  <c r="BH301" i="40" s="1"/>
  <c r="BP301" i="40"/>
  <c r="BP312" i="40"/>
  <c r="AZ312" i="40"/>
  <c r="BH312" i="40" s="1"/>
  <c r="BC299" i="40"/>
  <c r="BK299" i="40" s="1"/>
  <c r="BS299" i="40"/>
  <c r="AY317" i="40"/>
  <c r="BG317" i="40" s="1"/>
  <c r="BO317" i="40"/>
  <c r="BF207" i="40"/>
  <c r="BN207" i="40" s="1"/>
  <c r="BV207" i="40"/>
  <c r="BA304" i="40"/>
  <c r="BI304" i="40" s="1"/>
  <c r="BQ304" i="40"/>
  <c r="BC55" i="40"/>
  <c r="BK55" i="40" s="1"/>
  <c r="BS55" i="40"/>
  <c r="AZ90" i="40"/>
  <c r="BH90" i="40" s="1"/>
  <c r="BP90" i="40"/>
  <c r="CF90" i="40" s="1"/>
  <c r="CL90" i="40" s="1"/>
  <c r="CY90" i="40" s="1"/>
  <c r="CZ90" i="40" s="1"/>
  <c r="BB294" i="40"/>
  <c r="BJ294" i="40" s="1"/>
  <c r="BR294" i="40"/>
  <c r="BE263" i="40"/>
  <c r="BM263" i="40" s="1"/>
  <c r="BU263" i="40" s="1"/>
  <c r="BA36" i="40"/>
  <c r="BI36" i="40" s="1"/>
  <c r="BQ36" i="40" s="1"/>
  <c r="BT243" i="40"/>
  <c r="BD243" i="40"/>
  <c r="BL243" i="40" s="1"/>
  <c r="BP19" i="40"/>
  <c r="AZ19" i="40"/>
  <c r="BH19" i="40" s="1"/>
  <c r="BB98" i="40"/>
  <c r="BJ98" i="40" s="1"/>
  <c r="BR98" i="40"/>
  <c r="BC297" i="40"/>
  <c r="BK297" i="40" s="1"/>
  <c r="BS297" i="40"/>
  <c r="AZ216" i="40"/>
  <c r="BH216" i="40" s="1"/>
  <c r="BP216" i="40" s="1"/>
  <c r="BA290" i="40"/>
  <c r="BI290" i="40" s="1"/>
  <c r="BQ290" i="40" s="1"/>
  <c r="BC287" i="40"/>
  <c r="BK287" i="40" s="1"/>
  <c r="BS287" i="40"/>
  <c r="BP62" i="40"/>
  <c r="AZ62" i="40"/>
  <c r="BH62" i="40" s="1"/>
  <c r="BP286" i="40"/>
  <c r="AZ286" i="40"/>
  <c r="BH286" i="40" s="1"/>
  <c r="BB301" i="40"/>
  <c r="BJ301" i="40" s="1"/>
  <c r="BR301" i="40"/>
  <c r="BQ312" i="40"/>
  <c r="CG312" i="40" s="1"/>
  <c r="CM312" i="40" s="1"/>
  <c r="DA312" i="40" s="1"/>
  <c r="DB312" i="40" s="1"/>
  <c r="BA312" i="40"/>
  <c r="BI312" i="40" s="1"/>
  <c r="AY299" i="40"/>
  <c r="BG299" i="40" s="1"/>
  <c r="BO299" i="40"/>
  <c r="BE306" i="40"/>
  <c r="BM306" i="40" s="1"/>
  <c r="BU306" i="40"/>
  <c r="BB317" i="40"/>
  <c r="BJ317" i="40" s="1"/>
  <c r="BR317" i="40"/>
  <c r="BO207" i="40"/>
  <c r="CE207" i="40" s="1"/>
  <c r="CK207" i="40" s="1"/>
  <c r="CW207" i="40" s="1"/>
  <c r="CX207" i="40" s="1"/>
  <c r="AY207" i="40"/>
  <c r="BG207" i="40" s="1"/>
  <c r="BB127" i="40"/>
  <c r="BJ127" i="40" s="1"/>
  <c r="BR127" i="40"/>
  <c r="BD304" i="40"/>
  <c r="BL304" i="40" s="1"/>
  <c r="BT304" i="40"/>
  <c r="AZ55" i="40"/>
  <c r="BH55" i="40" s="1"/>
  <c r="BP55" i="40"/>
  <c r="AZ294" i="40"/>
  <c r="BH294" i="40" s="1"/>
  <c r="BP294" i="40"/>
  <c r="AY263" i="40"/>
  <c r="BG263" i="40" s="1"/>
  <c r="BO263" i="40"/>
  <c r="AZ36" i="40"/>
  <c r="BH36" i="40" s="1"/>
  <c r="BP36" i="40"/>
  <c r="BE243" i="40"/>
  <c r="BM243" i="40" s="1"/>
  <c r="BU243" i="40"/>
  <c r="BA19" i="40"/>
  <c r="BI19" i="40" s="1"/>
  <c r="BQ19" i="40"/>
  <c r="CG19" i="40" s="1"/>
  <c r="CM19" i="40" s="1"/>
  <c r="DA19" i="40" s="1"/>
  <c r="DB19" i="40" s="1"/>
  <c r="AZ300" i="40"/>
  <c r="BH300" i="40" s="1"/>
  <c r="BP300" i="40"/>
  <c r="BA98" i="40"/>
  <c r="BI98" i="40" s="1"/>
  <c r="BQ98" i="40"/>
  <c r="BB297" i="40"/>
  <c r="BJ297" i="40" s="1"/>
  <c r="BR297" i="40"/>
  <c r="BS216" i="40"/>
  <c r="BC216" i="40"/>
  <c r="BK216" i="40" s="1"/>
  <c r="BB290" i="40"/>
  <c r="BJ290" i="40" s="1"/>
  <c r="BR290" i="40"/>
  <c r="AY287" i="40"/>
  <c r="BG287" i="40" s="1"/>
  <c r="BO287" i="40"/>
  <c r="CE287" i="40" s="1"/>
  <c r="CK287" i="40" s="1"/>
  <c r="CW287" i="40" s="1"/>
  <c r="CX287" i="40" s="1"/>
  <c r="AY62" i="40"/>
  <c r="BG62" i="40" s="1"/>
  <c r="BO62" i="40"/>
  <c r="CH286" i="40"/>
  <c r="CN286" i="40" s="1"/>
  <c r="DC286" i="40" s="1"/>
  <c r="DD286" i="40" s="1"/>
  <c r="BO301" i="40"/>
  <c r="AY301" i="40"/>
  <c r="BG301" i="40" s="1"/>
  <c r="BF312" i="40"/>
  <c r="BN312" i="40" s="1"/>
  <c r="BV312" i="40"/>
  <c r="BE299" i="40"/>
  <c r="BM299" i="40" s="1"/>
  <c r="BU299" i="40"/>
  <c r="BA306" i="40"/>
  <c r="BI306" i="40" s="1"/>
  <c r="BQ306" i="40"/>
  <c r="BE317" i="40"/>
  <c r="BM317" i="40" s="1"/>
  <c r="BU317" i="40"/>
  <c r="BD207" i="40"/>
  <c r="BL207" i="40" s="1"/>
  <c r="BT207" i="40"/>
  <c r="BC127" i="40"/>
  <c r="BK127" i="40" s="1"/>
  <c r="BS127" i="40"/>
  <c r="CI127" i="40" s="1"/>
  <c r="CO127" i="40" s="1"/>
  <c r="DE127" i="40" s="1"/>
  <c r="DF127" i="40" s="1"/>
  <c r="BB304" i="40"/>
  <c r="BJ304" i="40" s="1"/>
  <c r="BR304" i="40"/>
  <c r="BT55" i="40"/>
  <c r="BD55" i="40"/>
  <c r="BL55" i="40" s="1"/>
  <c r="BS90" i="40"/>
  <c r="BC90" i="40"/>
  <c r="BK90" i="40" s="1"/>
  <c r="BT294" i="40"/>
  <c r="BD294" i="40"/>
  <c r="BL294" i="40" s="1"/>
  <c r="U93" i="17"/>
  <c r="W93" i="17"/>
  <c r="X93" i="17"/>
  <c r="Z93" i="17"/>
  <c r="S93" i="17"/>
  <c r="T93" i="17"/>
  <c r="V93" i="17"/>
  <c r="Y93" i="17"/>
  <c r="U143" i="17"/>
  <c r="X143" i="17"/>
  <c r="S143" i="17"/>
  <c r="T143" i="17"/>
  <c r="V143" i="17"/>
  <c r="Y143" i="17"/>
  <c r="Z143" i="17"/>
  <c r="W143" i="17"/>
  <c r="V43" i="17"/>
  <c r="Z43" i="17"/>
  <c r="S43" i="17"/>
  <c r="T43" i="17"/>
  <c r="U43" i="17"/>
  <c r="X43" i="17"/>
  <c r="W43" i="17"/>
  <c r="Y43" i="17"/>
  <c r="V9" i="17"/>
  <c r="Z9" i="17"/>
  <c r="S9" i="17"/>
  <c r="U9" i="17"/>
  <c r="T9" i="17"/>
  <c r="W9" i="17"/>
  <c r="Y9" i="17"/>
  <c r="X9" i="17"/>
  <c r="V38" i="17"/>
  <c r="Z38" i="17"/>
  <c r="Y38" i="17"/>
  <c r="S38" i="17"/>
  <c r="U38" i="17"/>
  <c r="X38" i="17"/>
  <c r="T38" i="17"/>
  <c r="W38" i="17"/>
  <c r="Y275" i="17"/>
  <c r="Z275" i="17"/>
  <c r="V275" i="17"/>
  <c r="X275" i="17"/>
  <c r="S275" i="17"/>
  <c r="T275" i="17"/>
  <c r="U275" i="17"/>
  <c r="W275" i="17"/>
  <c r="Y281" i="17"/>
  <c r="Z281" i="17"/>
  <c r="V281" i="17"/>
  <c r="S281" i="17"/>
  <c r="T281" i="17"/>
  <c r="U281" i="17"/>
  <c r="W281" i="17"/>
  <c r="X281" i="17"/>
  <c r="Z312" i="17"/>
  <c r="T312" i="17"/>
  <c r="U312" i="17"/>
  <c r="V312" i="17"/>
  <c r="W312" i="17"/>
  <c r="X312" i="17"/>
  <c r="Y312" i="17"/>
  <c r="S312" i="17"/>
  <c r="U124" i="17"/>
  <c r="W124" i="17"/>
  <c r="X124" i="17"/>
  <c r="Z124" i="17"/>
  <c r="Y124" i="17"/>
  <c r="S124" i="17"/>
  <c r="T124" i="17"/>
  <c r="V124" i="17"/>
  <c r="U144" i="17"/>
  <c r="X144" i="17"/>
  <c r="V144" i="17"/>
  <c r="W144" i="17"/>
  <c r="Y144" i="17"/>
  <c r="S144" i="17"/>
  <c r="T144" i="17"/>
  <c r="Z144" i="17"/>
  <c r="U119" i="17"/>
  <c r="W119" i="17"/>
  <c r="X119" i="17"/>
  <c r="Z119" i="17"/>
  <c r="S119" i="17"/>
  <c r="T119" i="17"/>
  <c r="V119" i="17"/>
  <c r="Y119" i="17"/>
  <c r="V45" i="17"/>
  <c r="Z45" i="17"/>
  <c r="W45" i="17"/>
  <c r="X45" i="17"/>
  <c r="Y45" i="17"/>
  <c r="S45" i="17"/>
  <c r="U45" i="17"/>
  <c r="T45" i="17"/>
  <c r="U98" i="17"/>
  <c r="W98" i="17"/>
  <c r="X98" i="17"/>
  <c r="Z98" i="17"/>
  <c r="Y98" i="17"/>
  <c r="S98" i="17"/>
  <c r="T98" i="17"/>
  <c r="V98" i="17"/>
  <c r="U136" i="17"/>
  <c r="W136" i="17"/>
  <c r="X136" i="17"/>
  <c r="T136" i="17"/>
  <c r="S136" i="17"/>
  <c r="V136" i="17"/>
  <c r="Y136" i="17"/>
  <c r="Z136" i="17"/>
  <c r="Y299" i="17"/>
  <c r="Z299" i="17"/>
  <c r="S299" i="17"/>
  <c r="T299" i="17"/>
  <c r="W299" i="17"/>
  <c r="U299" i="17"/>
  <c r="V299" i="17"/>
  <c r="X299" i="17"/>
  <c r="Y289" i="17"/>
  <c r="Z289" i="17"/>
  <c r="V289" i="17"/>
  <c r="S289" i="17"/>
  <c r="T289" i="17"/>
  <c r="U289" i="17"/>
  <c r="W289" i="17"/>
  <c r="X289" i="17"/>
  <c r="U116" i="17"/>
  <c r="W116" i="17"/>
  <c r="X116" i="17"/>
  <c r="Z116" i="17"/>
  <c r="Y116" i="17"/>
  <c r="S116" i="17"/>
  <c r="T116" i="17"/>
  <c r="V116" i="17"/>
  <c r="V39" i="17"/>
  <c r="Z39" i="17"/>
  <c r="S39" i="17"/>
  <c r="T39" i="17"/>
  <c r="U39" i="17"/>
  <c r="X39" i="17"/>
  <c r="W39" i="17"/>
  <c r="Y39" i="17"/>
  <c r="Y245" i="17"/>
  <c r="Z245" i="17"/>
  <c r="S245" i="17"/>
  <c r="V245" i="17"/>
  <c r="T245" i="17"/>
  <c r="U245" i="17"/>
  <c r="W245" i="17"/>
  <c r="X245" i="17"/>
  <c r="V21" i="17"/>
  <c r="Z21" i="17"/>
  <c r="U21" i="17"/>
  <c r="S21" i="17"/>
  <c r="T21" i="17"/>
  <c r="X21" i="17"/>
  <c r="W21" i="17"/>
  <c r="Y21" i="17"/>
  <c r="U84" i="17"/>
  <c r="W84" i="17"/>
  <c r="X84" i="17"/>
  <c r="Z84" i="17"/>
  <c r="Y84" i="17"/>
  <c r="S84" i="17"/>
  <c r="T84" i="17"/>
  <c r="V84" i="17"/>
  <c r="Y243" i="17"/>
  <c r="Z243" i="17"/>
  <c r="S243" i="17"/>
  <c r="T243" i="17"/>
  <c r="V243" i="17"/>
  <c r="U243" i="17"/>
  <c r="W243" i="17"/>
  <c r="X243" i="17"/>
  <c r="Y242" i="17"/>
  <c r="Z242" i="17"/>
  <c r="S242" i="17"/>
  <c r="T242" i="17"/>
  <c r="V242" i="17"/>
  <c r="U242" i="17"/>
  <c r="W242" i="17"/>
  <c r="X242" i="17"/>
  <c r="U82" i="17"/>
  <c r="W82" i="17"/>
  <c r="X82" i="17"/>
  <c r="Z82" i="17"/>
  <c r="Y82" i="17"/>
  <c r="S82" i="17"/>
  <c r="T82" i="17"/>
  <c r="V82" i="17"/>
  <c r="Y201" i="17"/>
  <c r="Z201" i="17"/>
  <c r="S201" i="17"/>
  <c r="T201" i="17"/>
  <c r="U201" i="17"/>
  <c r="V201" i="17"/>
  <c r="W201" i="17"/>
  <c r="X201" i="17"/>
  <c r="U62" i="17"/>
  <c r="W62" i="17"/>
  <c r="X62" i="17"/>
  <c r="Z62" i="17"/>
  <c r="T62" i="17"/>
  <c r="S62" i="17"/>
  <c r="V62" i="17"/>
  <c r="Y62" i="17"/>
  <c r="U114" i="17"/>
  <c r="W114" i="17"/>
  <c r="X114" i="17"/>
  <c r="Z114" i="17"/>
  <c r="Y114" i="17"/>
  <c r="S114" i="17"/>
  <c r="T114" i="17"/>
  <c r="V114" i="17"/>
  <c r="Y290" i="17"/>
  <c r="Z290" i="17"/>
  <c r="V290" i="17"/>
  <c r="T290" i="17"/>
  <c r="U290" i="17"/>
  <c r="W290" i="17"/>
  <c r="X290" i="17"/>
  <c r="S290" i="17"/>
  <c r="Y238" i="17"/>
  <c r="Z238" i="17"/>
  <c r="S238" i="17"/>
  <c r="T238" i="17"/>
  <c r="V238" i="17"/>
  <c r="X238" i="17"/>
  <c r="U238" i="17"/>
  <c r="W238" i="17"/>
  <c r="Y205" i="17"/>
  <c r="Z205" i="17"/>
  <c r="S205" i="17"/>
  <c r="T205" i="17"/>
  <c r="U205" i="17"/>
  <c r="V205" i="17"/>
  <c r="W205" i="17"/>
  <c r="X205" i="17"/>
  <c r="V13" i="17"/>
  <c r="Z13" i="17"/>
  <c r="U13" i="17"/>
  <c r="S13" i="17"/>
  <c r="T13" i="17"/>
  <c r="X13" i="17"/>
  <c r="Y13" i="17"/>
  <c r="W13" i="17"/>
  <c r="U76" i="17"/>
  <c r="W76" i="17"/>
  <c r="X76" i="17"/>
  <c r="Z76" i="17"/>
  <c r="Y76" i="17"/>
  <c r="S76" i="17"/>
  <c r="T76" i="17"/>
  <c r="V76" i="17"/>
  <c r="Y203" i="17"/>
  <c r="Z203" i="17"/>
  <c r="S203" i="17"/>
  <c r="T203" i="17"/>
  <c r="U203" i="17"/>
  <c r="V203" i="17"/>
  <c r="W203" i="17"/>
  <c r="X203" i="17"/>
  <c r="Y210" i="17"/>
  <c r="Z210" i="17"/>
  <c r="S210" i="17"/>
  <c r="T210" i="17"/>
  <c r="V210" i="17"/>
  <c r="U210" i="17"/>
  <c r="W210" i="17"/>
  <c r="X210" i="17"/>
  <c r="U66" i="17"/>
  <c r="W66" i="17"/>
  <c r="X66" i="17"/>
  <c r="Z66" i="17"/>
  <c r="T66" i="17"/>
  <c r="S66" i="17"/>
  <c r="V66" i="17"/>
  <c r="Y66" i="17"/>
  <c r="Y193" i="17"/>
  <c r="Z193" i="17"/>
  <c r="S193" i="17"/>
  <c r="T193" i="17"/>
  <c r="U193" i="17"/>
  <c r="V193" i="17"/>
  <c r="W193" i="17"/>
  <c r="X193" i="17"/>
  <c r="U150" i="17"/>
  <c r="X150" i="17"/>
  <c r="S150" i="17"/>
  <c r="V150" i="17"/>
  <c r="T150" i="17"/>
  <c r="W150" i="17"/>
  <c r="Y150" i="17"/>
  <c r="Z150" i="17"/>
  <c r="W157" i="17"/>
  <c r="X157" i="17"/>
  <c r="Y157" i="17"/>
  <c r="S157" i="17"/>
  <c r="T157" i="17"/>
  <c r="U157" i="17"/>
  <c r="V157" i="17"/>
  <c r="Z157" i="17"/>
  <c r="Y268" i="17"/>
  <c r="Z268" i="17"/>
  <c r="V268" i="17"/>
  <c r="S268" i="17"/>
  <c r="W268" i="17"/>
  <c r="T268" i="17"/>
  <c r="U268" i="17"/>
  <c r="X268" i="17"/>
  <c r="V28" i="17"/>
  <c r="Z28" i="17"/>
  <c r="U28" i="17"/>
  <c r="X28" i="17"/>
  <c r="Y28" i="17"/>
  <c r="S28" i="17"/>
  <c r="W28" i="17"/>
  <c r="T28" i="17"/>
  <c r="Y179" i="17"/>
  <c r="Z179" i="17"/>
  <c r="S179" i="17"/>
  <c r="T179" i="17"/>
  <c r="U179" i="17"/>
  <c r="V179" i="17"/>
  <c r="W179" i="17"/>
  <c r="X179" i="17"/>
  <c r="Y194" i="17"/>
  <c r="Z194" i="17"/>
  <c r="S194" i="17"/>
  <c r="T194" i="17"/>
  <c r="U194" i="17"/>
  <c r="V194" i="17"/>
  <c r="X194" i="17"/>
  <c r="W194" i="17"/>
  <c r="V42" i="17"/>
  <c r="Z42" i="17"/>
  <c r="Y42" i="17"/>
  <c r="S42" i="17"/>
  <c r="U42" i="17"/>
  <c r="X42" i="17"/>
  <c r="T42" i="17"/>
  <c r="W42" i="17"/>
  <c r="Y177" i="17"/>
  <c r="Z177" i="17"/>
  <c r="S177" i="17"/>
  <c r="T177" i="17"/>
  <c r="U177" i="17"/>
  <c r="V177" i="17"/>
  <c r="W177" i="17"/>
  <c r="X177" i="17"/>
  <c r="Y224" i="17"/>
  <c r="Z224" i="17"/>
  <c r="S224" i="17"/>
  <c r="T224" i="17"/>
  <c r="V224" i="17"/>
  <c r="U224" i="17"/>
  <c r="W224" i="17"/>
  <c r="X224" i="17"/>
  <c r="V48" i="17"/>
  <c r="Z48" i="17"/>
  <c r="T48" i="17"/>
  <c r="U48" i="17"/>
  <c r="W48" i="17"/>
  <c r="X48" i="17"/>
  <c r="S48" i="17"/>
  <c r="Y48" i="17"/>
  <c r="Y239" i="17"/>
  <c r="Z239" i="17"/>
  <c r="S239" i="17"/>
  <c r="T239" i="17"/>
  <c r="V239" i="17"/>
  <c r="U239" i="17"/>
  <c r="W239" i="17"/>
  <c r="X239" i="17"/>
  <c r="U133" i="17"/>
  <c r="W133" i="17"/>
  <c r="X133" i="17"/>
  <c r="Y133" i="17"/>
  <c r="Z133" i="17"/>
  <c r="S133" i="17"/>
  <c r="T133" i="17"/>
  <c r="V133" i="17"/>
  <c r="V12" i="17"/>
  <c r="Z12" i="17"/>
  <c r="S12" i="17"/>
  <c r="U12" i="17"/>
  <c r="X12" i="17"/>
  <c r="Y12" i="17"/>
  <c r="W12" i="17"/>
  <c r="T12" i="17"/>
  <c r="U155" i="17"/>
  <c r="X155" i="17"/>
  <c r="S155" i="17"/>
  <c r="T155" i="17"/>
  <c r="V155" i="17"/>
  <c r="Y155" i="17"/>
  <c r="W155" i="17"/>
  <c r="Z155" i="17"/>
  <c r="V34" i="17"/>
  <c r="Z34" i="17"/>
  <c r="Y34" i="17"/>
  <c r="S34" i="17"/>
  <c r="U34" i="17"/>
  <c r="X34" i="17"/>
  <c r="T34" i="17"/>
  <c r="W34" i="17"/>
  <c r="U129" i="17"/>
  <c r="W129" i="17"/>
  <c r="X129" i="17"/>
  <c r="S129" i="17"/>
  <c r="T129" i="17"/>
  <c r="V129" i="17"/>
  <c r="Y129" i="17"/>
  <c r="Z129" i="17"/>
  <c r="Y184" i="17"/>
  <c r="Z184" i="17"/>
  <c r="S184" i="17"/>
  <c r="T184" i="17"/>
  <c r="U184" i="17"/>
  <c r="V184" i="17"/>
  <c r="W184" i="17"/>
  <c r="X184" i="17"/>
  <c r="Y303" i="17"/>
  <c r="Z303" i="17"/>
  <c r="S303" i="17"/>
  <c r="T303" i="17"/>
  <c r="W303" i="17"/>
  <c r="U303" i="17"/>
  <c r="V303" i="17"/>
  <c r="X303" i="17"/>
  <c r="W322" i="17"/>
  <c r="X322" i="17"/>
  <c r="Z322" i="17"/>
  <c r="Y322" i="17"/>
  <c r="S322" i="17"/>
  <c r="T322" i="17"/>
  <c r="U322" i="17"/>
  <c r="V322" i="17"/>
  <c r="U142" i="17"/>
  <c r="X142" i="17"/>
  <c r="S142" i="17"/>
  <c r="V142" i="17"/>
  <c r="T142" i="17"/>
  <c r="W142" i="17"/>
  <c r="Y142" i="17"/>
  <c r="Z142" i="17"/>
  <c r="Y260" i="17"/>
  <c r="Z260" i="17"/>
  <c r="V260" i="17"/>
  <c r="S260" i="17"/>
  <c r="T260" i="17"/>
  <c r="U260" i="17"/>
  <c r="W260" i="17"/>
  <c r="X260" i="17"/>
  <c r="Y178" i="17"/>
  <c r="Z178" i="17"/>
  <c r="S178" i="17"/>
  <c r="T178" i="17"/>
  <c r="U178" i="17"/>
  <c r="V178" i="17"/>
  <c r="X178" i="17"/>
  <c r="W178" i="17"/>
  <c r="Y191" i="17"/>
  <c r="Z191" i="17"/>
  <c r="S191" i="17"/>
  <c r="T191" i="17"/>
  <c r="U191" i="17"/>
  <c r="V191" i="17"/>
  <c r="W191" i="17"/>
  <c r="X191" i="17"/>
  <c r="U110" i="17"/>
  <c r="W110" i="17"/>
  <c r="X110" i="17"/>
  <c r="Z110" i="17"/>
  <c r="Y110" i="17"/>
  <c r="S110" i="17"/>
  <c r="V110" i="17"/>
  <c r="T110" i="17"/>
  <c r="U109" i="17"/>
  <c r="W109" i="17"/>
  <c r="X109" i="17"/>
  <c r="Z109" i="17"/>
  <c r="S109" i="17"/>
  <c r="T109" i="17"/>
  <c r="V109" i="17"/>
  <c r="Y109" i="17"/>
  <c r="Y180" i="17"/>
  <c r="Z180" i="17"/>
  <c r="S180" i="17"/>
  <c r="T180" i="17"/>
  <c r="U180" i="17"/>
  <c r="V180" i="17"/>
  <c r="W180" i="17"/>
  <c r="X180" i="17"/>
  <c r="W315" i="17"/>
  <c r="X315" i="17"/>
  <c r="S315" i="17"/>
  <c r="Y315" i="17"/>
  <c r="Z315" i="17"/>
  <c r="T315" i="17"/>
  <c r="U315" i="17"/>
  <c r="V315" i="17"/>
  <c r="U147" i="17"/>
  <c r="X147" i="17"/>
  <c r="S147" i="17"/>
  <c r="T147" i="17"/>
  <c r="V147" i="17"/>
  <c r="Y147" i="17"/>
  <c r="W147" i="17"/>
  <c r="Z147" i="17"/>
  <c r="W162" i="17"/>
  <c r="X162" i="17"/>
  <c r="Y162" i="17"/>
  <c r="S162" i="17"/>
  <c r="T162" i="17"/>
  <c r="U162" i="17"/>
  <c r="V162" i="17"/>
  <c r="Z162" i="17"/>
  <c r="Z313" i="17"/>
  <c r="U313" i="17"/>
  <c r="V313" i="17"/>
  <c r="W313" i="17"/>
  <c r="X313" i="17"/>
  <c r="Y313" i="17"/>
  <c r="S313" i="17"/>
  <c r="T313" i="17"/>
  <c r="U121" i="17"/>
  <c r="W121" i="17"/>
  <c r="X121" i="17"/>
  <c r="Z121" i="17"/>
  <c r="S121" i="17"/>
  <c r="T121" i="17"/>
  <c r="V121" i="17"/>
  <c r="Y121" i="17"/>
  <c r="W168" i="17"/>
  <c r="X168" i="17"/>
  <c r="Y168" i="17"/>
  <c r="S168" i="17"/>
  <c r="T168" i="17"/>
  <c r="U168" i="17"/>
  <c r="V168" i="17"/>
  <c r="Z168" i="17"/>
  <c r="U63" i="17"/>
  <c r="W63" i="17"/>
  <c r="X63" i="17"/>
  <c r="Z63" i="17"/>
  <c r="T63" i="17"/>
  <c r="S63" i="17"/>
  <c r="V63" i="17"/>
  <c r="Y63" i="17"/>
  <c r="Y301" i="17"/>
  <c r="Z301" i="17"/>
  <c r="W301" i="17"/>
  <c r="X301" i="17"/>
  <c r="S301" i="17"/>
  <c r="T301" i="17"/>
  <c r="U301" i="17"/>
  <c r="V301" i="17"/>
  <c r="V29" i="17"/>
  <c r="Z29" i="17"/>
  <c r="U29" i="17"/>
  <c r="S29" i="17"/>
  <c r="T29" i="17"/>
  <c r="X29" i="17"/>
  <c r="W29" i="17"/>
  <c r="Y29" i="17"/>
  <c r="U108" i="17"/>
  <c r="W108" i="17"/>
  <c r="X108" i="17"/>
  <c r="Z108" i="17"/>
  <c r="Y108" i="17"/>
  <c r="S108" i="17"/>
  <c r="T108" i="17"/>
  <c r="V108" i="17"/>
  <c r="Y251" i="17"/>
  <c r="Z251" i="17"/>
  <c r="S251" i="17"/>
  <c r="V251" i="17"/>
  <c r="T251" i="17"/>
  <c r="U251" i="17"/>
  <c r="W251" i="17"/>
  <c r="X251" i="17"/>
  <c r="Y282" i="17"/>
  <c r="Z282" i="17"/>
  <c r="V282" i="17"/>
  <c r="T282" i="17"/>
  <c r="U282" i="17"/>
  <c r="W282" i="17"/>
  <c r="X282" i="17"/>
  <c r="S282" i="17"/>
  <c r="U90" i="17"/>
  <c r="W90" i="17"/>
  <c r="X90" i="17"/>
  <c r="Z90" i="17"/>
  <c r="Y90" i="17"/>
  <c r="S90" i="17"/>
  <c r="T90" i="17"/>
  <c r="V90" i="17"/>
  <c r="Y265" i="17"/>
  <c r="Z265" i="17"/>
  <c r="V265" i="17"/>
  <c r="S265" i="17"/>
  <c r="T265" i="17"/>
  <c r="U265" i="17"/>
  <c r="W265" i="17"/>
  <c r="X265" i="17"/>
  <c r="Y304" i="17"/>
  <c r="Z304" i="17"/>
  <c r="U304" i="17"/>
  <c r="V304" i="17"/>
  <c r="X304" i="17"/>
  <c r="W304" i="17"/>
  <c r="S304" i="17"/>
  <c r="T304" i="17"/>
  <c r="U80" i="17"/>
  <c r="W80" i="17"/>
  <c r="X80" i="17"/>
  <c r="Z80" i="17"/>
  <c r="Y80" i="17"/>
  <c r="S80" i="17"/>
  <c r="T80" i="17"/>
  <c r="V80" i="17"/>
  <c r="W319" i="17"/>
  <c r="X319" i="17"/>
  <c r="Y319" i="17"/>
  <c r="Z319" i="17"/>
  <c r="S319" i="17"/>
  <c r="T319" i="17"/>
  <c r="U319" i="17"/>
  <c r="V319" i="17"/>
  <c r="Y296" i="17"/>
  <c r="Z296" i="17"/>
  <c r="U296" i="17"/>
  <c r="V296" i="17"/>
  <c r="W296" i="17"/>
  <c r="X296" i="17"/>
  <c r="S296" i="17"/>
  <c r="T296" i="17"/>
  <c r="U72" i="17"/>
  <c r="W72" i="17"/>
  <c r="X72" i="17"/>
  <c r="Z72" i="17"/>
  <c r="T72" i="17"/>
  <c r="V72" i="17"/>
  <c r="Y72" i="17"/>
  <c r="S72" i="17"/>
  <c r="Y288" i="17"/>
  <c r="Z288" i="17"/>
  <c r="V288" i="17"/>
  <c r="W288" i="17"/>
  <c r="X288" i="17"/>
  <c r="S288" i="17"/>
  <c r="T288" i="17"/>
  <c r="U288" i="17"/>
  <c r="V56" i="17"/>
  <c r="T56" i="17"/>
  <c r="U56" i="17"/>
  <c r="W56" i="17"/>
  <c r="X56" i="17"/>
  <c r="Z56" i="17"/>
  <c r="S56" i="17"/>
  <c r="Y56" i="17"/>
  <c r="W320" i="17"/>
  <c r="X320" i="17"/>
  <c r="Z320" i="17"/>
  <c r="Y320" i="17"/>
  <c r="S320" i="17"/>
  <c r="T320" i="17"/>
  <c r="U320" i="17"/>
  <c r="V320" i="17"/>
  <c r="W321" i="17"/>
  <c r="X321" i="17"/>
  <c r="S321" i="17"/>
  <c r="Y321" i="17"/>
  <c r="Z321" i="17"/>
  <c r="T321" i="17"/>
  <c r="U321" i="17"/>
  <c r="V321" i="17"/>
  <c r="O320" i="17"/>
  <c r="BC320" i="17" s="1"/>
  <c r="BK320" i="17" s="1"/>
  <c r="R320" i="17"/>
  <c r="BF320" i="17" s="1"/>
  <c r="BN320" i="17" s="1"/>
  <c r="K320" i="17"/>
  <c r="AY320" i="17" s="1"/>
  <c r="BG320" i="17" s="1"/>
  <c r="Q320" i="17"/>
  <c r="BE320" i="17" s="1"/>
  <c r="BM320" i="17" s="1"/>
  <c r="L320" i="17"/>
  <c r="AZ320" i="17" s="1"/>
  <c r="BH320" i="17" s="1"/>
  <c r="M320" i="17"/>
  <c r="BA320" i="17" s="1"/>
  <c r="BI320" i="17" s="1"/>
  <c r="N320" i="17"/>
  <c r="BB320" i="17" s="1"/>
  <c r="BJ320" i="17" s="1"/>
  <c r="P320" i="17"/>
  <c r="BD320" i="17" s="1"/>
  <c r="BL320" i="17" s="1"/>
  <c r="N322" i="17"/>
  <c r="BB322" i="17" s="1"/>
  <c r="BJ322" i="17" s="1"/>
  <c r="R322" i="17"/>
  <c r="BF322" i="17" s="1"/>
  <c r="BN322" i="17" s="1"/>
  <c r="P322" i="17"/>
  <c r="BD322" i="17" s="1"/>
  <c r="BL322" i="17" s="1"/>
  <c r="Q322" i="17"/>
  <c r="BE322" i="17" s="1"/>
  <c r="BM322" i="17" s="1"/>
  <c r="K322" i="17"/>
  <c r="AY322" i="17" s="1"/>
  <c r="BG322" i="17" s="1"/>
  <c r="L322" i="17"/>
  <c r="AZ322" i="17" s="1"/>
  <c r="BH322" i="17" s="1"/>
  <c r="M322" i="17"/>
  <c r="BA322" i="17" s="1"/>
  <c r="BI322" i="17" s="1"/>
  <c r="O322" i="17"/>
  <c r="BC322" i="17" s="1"/>
  <c r="BK322" i="17" s="1"/>
  <c r="O321" i="17"/>
  <c r="BC321" i="17" s="1"/>
  <c r="BK321" i="17" s="1"/>
  <c r="K321" i="17"/>
  <c r="AY321" i="17" s="1"/>
  <c r="BG321" i="17" s="1"/>
  <c r="N321" i="17"/>
  <c r="BB321" i="17" s="1"/>
  <c r="BJ321" i="17" s="1"/>
  <c r="P321" i="17"/>
  <c r="BD321" i="17" s="1"/>
  <c r="BL321" i="17" s="1"/>
  <c r="Q321" i="17"/>
  <c r="BE321" i="17" s="1"/>
  <c r="BM321" i="17" s="1"/>
  <c r="R321" i="17"/>
  <c r="BF321" i="17" s="1"/>
  <c r="BN321" i="17" s="1"/>
  <c r="L321" i="17"/>
  <c r="AZ321" i="17" s="1"/>
  <c r="BH321" i="17" s="1"/>
  <c r="M321" i="17"/>
  <c r="BA321" i="17" s="1"/>
  <c r="BI321" i="17" s="1"/>
  <c r="M319" i="17"/>
  <c r="BA319" i="17" s="1"/>
  <c r="BI319" i="17" s="1"/>
  <c r="P319" i="17"/>
  <c r="BD319" i="17" s="1"/>
  <c r="BL319" i="17" s="1"/>
  <c r="Q319" i="17"/>
  <c r="BE319" i="17" s="1"/>
  <c r="BM319" i="17" s="1"/>
  <c r="L319" i="17"/>
  <c r="AZ319" i="17" s="1"/>
  <c r="BH319" i="17" s="1"/>
  <c r="N319" i="17"/>
  <c r="BB319" i="17" s="1"/>
  <c r="BJ319" i="17" s="1"/>
  <c r="O319" i="17"/>
  <c r="BC319" i="17" s="1"/>
  <c r="BK319" i="17" s="1"/>
  <c r="R319" i="17"/>
  <c r="BF319" i="17" s="1"/>
  <c r="BN319" i="17" s="1"/>
  <c r="K319" i="17"/>
  <c r="AY319" i="17" s="1"/>
  <c r="BG319" i="17" s="1"/>
  <c r="J43" i="17"/>
  <c r="J93" i="17"/>
  <c r="J98" i="17"/>
  <c r="P98" i="17" s="1"/>
  <c r="BD98" i="17" s="1"/>
  <c r="BL98" i="17" s="1"/>
  <c r="J290" i="17"/>
  <c r="R290" i="17" s="1"/>
  <c r="BF290" i="17" s="1"/>
  <c r="BN290" i="17" s="1"/>
  <c r="J304" i="17"/>
  <c r="K304" i="17" s="1"/>
  <c r="AY304" i="17" s="1"/>
  <c r="BG304" i="17" s="1"/>
  <c r="CJ98" i="40" l="1"/>
  <c r="CP98" i="40" s="1"/>
  <c r="DG98" i="40" s="1"/>
  <c r="DH98" i="40" s="1"/>
  <c r="CH36" i="40"/>
  <c r="CN36" i="40" s="1"/>
  <c r="DC36" i="40" s="1"/>
  <c r="DD36" i="40" s="1"/>
  <c r="CI216" i="40"/>
  <c r="CO216" i="40" s="1"/>
  <c r="DE216" i="40" s="1"/>
  <c r="DF216" i="40" s="1"/>
  <c r="CE127" i="40"/>
  <c r="CK127" i="40" s="1"/>
  <c r="CW127" i="40" s="1"/>
  <c r="CX127" i="40" s="1"/>
  <c r="CE317" i="40"/>
  <c r="CK317" i="40" s="1"/>
  <c r="CW317" i="40" s="1"/>
  <c r="CX317" i="40" s="1"/>
  <c r="CH304" i="40"/>
  <c r="CN304" i="40" s="1"/>
  <c r="DC304" i="40" s="1"/>
  <c r="DD304" i="40" s="1"/>
  <c r="CF55" i="40"/>
  <c r="CL55" i="40" s="1"/>
  <c r="CY55" i="40" s="1"/>
  <c r="CZ55" i="40" s="1"/>
  <c r="CG306" i="40"/>
  <c r="CM306" i="40" s="1"/>
  <c r="DA306" i="40" s="1"/>
  <c r="DB306" i="40" s="1"/>
  <c r="CE301" i="40"/>
  <c r="CK301" i="40" s="1"/>
  <c r="CW301" i="40" s="1"/>
  <c r="CX301" i="40" s="1"/>
  <c r="CJ304" i="40"/>
  <c r="CP304" i="40" s="1"/>
  <c r="DG304" i="40" s="1"/>
  <c r="DH304" i="40" s="1"/>
  <c r="CF300" i="40"/>
  <c r="CL300" i="40" s="1"/>
  <c r="CY300" i="40" s="1"/>
  <c r="CZ300" i="40" s="1"/>
  <c r="CH317" i="40"/>
  <c r="CN317" i="40" s="1"/>
  <c r="DC317" i="40" s="1"/>
  <c r="DD317" i="40" s="1"/>
  <c r="CF286" i="40"/>
  <c r="CL286" i="40" s="1"/>
  <c r="CY286" i="40" s="1"/>
  <c r="CZ286" i="40" s="1"/>
  <c r="CE263" i="40"/>
  <c r="CK263" i="40" s="1"/>
  <c r="CW263" i="40" s="1"/>
  <c r="CX263" i="40" s="1"/>
  <c r="CJ317" i="40"/>
  <c r="CP317" i="40" s="1"/>
  <c r="DG317" i="40" s="1"/>
  <c r="DH317" i="40" s="1"/>
  <c r="CF216" i="40"/>
  <c r="CL216" i="40" s="1"/>
  <c r="CY216" i="40" s="1"/>
  <c r="CZ216" i="40" s="1"/>
  <c r="CJ301" i="40"/>
  <c r="CP301" i="40" s="1"/>
  <c r="DG301" i="40" s="1"/>
  <c r="DH301" i="40" s="1"/>
  <c r="CG98" i="40"/>
  <c r="CM98" i="40" s="1"/>
  <c r="DA98" i="40" s="1"/>
  <c r="DB98" i="40" s="1"/>
  <c r="CI297" i="40"/>
  <c r="CO297" i="40" s="1"/>
  <c r="DE297" i="40" s="1"/>
  <c r="DF297" i="40" s="1"/>
  <c r="CG36" i="40"/>
  <c r="CM36" i="40" s="1"/>
  <c r="DA36" i="40" s="1"/>
  <c r="DB36" i="40" s="1"/>
  <c r="CE297" i="40"/>
  <c r="CK297" i="40" s="1"/>
  <c r="CW297" i="40" s="1"/>
  <c r="CX297" i="40" s="1"/>
  <c r="CI301" i="40"/>
  <c r="CO301" i="40" s="1"/>
  <c r="DE301" i="40" s="1"/>
  <c r="DF301" i="40" s="1"/>
  <c r="CH90" i="40"/>
  <c r="CN90" i="40" s="1"/>
  <c r="DC90" i="40" s="1"/>
  <c r="DD90" i="40" s="1"/>
  <c r="CH290" i="40"/>
  <c r="CN290" i="40" s="1"/>
  <c r="DC290" i="40" s="1"/>
  <c r="DD290" i="40" s="1"/>
  <c r="CF62" i="40"/>
  <c r="CL62" i="40" s="1"/>
  <c r="CY62" i="40" s="1"/>
  <c r="CZ62" i="40" s="1"/>
  <c r="CJ297" i="40"/>
  <c r="CP297" i="40" s="1"/>
  <c r="DG297" i="40" s="1"/>
  <c r="DH297" i="40" s="1"/>
  <c r="CE299" i="40"/>
  <c r="CK299" i="40" s="1"/>
  <c r="CW299" i="40" s="1"/>
  <c r="CX299" i="40" s="1"/>
  <c r="CH98" i="40"/>
  <c r="CN98" i="40" s="1"/>
  <c r="DC98" i="40" s="1"/>
  <c r="DD98" i="40" s="1"/>
  <c r="CG304" i="40"/>
  <c r="CM304" i="40" s="1"/>
  <c r="DA304" i="40" s="1"/>
  <c r="DB304" i="40" s="1"/>
  <c r="CE243" i="40"/>
  <c r="CK243" i="40" s="1"/>
  <c r="CW243" i="40" s="1"/>
  <c r="CX243" i="40" s="1"/>
  <c r="CF294" i="40"/>
  <c r="CL294" i="40" s="1"/>
  <c r="CY294" i="40" s="1"/>
  <c r="CZ294" i="40" s="1"/>
  <c r="CJ287" i="40"/>
  <c r="CP287" i="40" s="1"/>
  <c r="DG287" i="40" s="1"/>
  <c r="DH287" i="40" s="1"/>
  <c r="CE62" i="40"/>
  <c r="CK62" i="40" s="1"/>
  <c r="CW62" i="40" s="1"/>
  <c r="CX62" i="40" s="1"/>
  <c r="CH297" i="40"/>
  <c r="CN297" i="40" s="1"/>
  <c r="DC297" i="40" s="1"/>
  <c r="DD297" i="40" s="1"/>
  <c r="CH301" i="40"/>
  <c r="CN301" i="40" s="1"/>
  <c r="DC301" i="40" s="1"/>
  <c r="DD301" i="40" s="1"/>
  <c r="CH300" i="40"/>
  <c r="CN300" i="40" s="1"/>
  <c r="DC300" i="40" s="1"/>
  <c r="DD300" i="40" s="1"/>
  <c r="CJ286" i="40"/>
  <c r="CP286" i="40" s="1"/>
  <c r="DG286" i="40" s="1"/>
  <c r="DH286" i="40" s="1"/>
  <c r="CI312" i="40"/>
  <c r="CO312" i="40" s="1"/>
  <c r="DE312" i="40" s="1"/>
  <c r="DF312" i="40" s="1"/>
  <c r="CF287" i="40"/>
  <c r="CL287" i="40" s="1"/>
  <c r="CY287" i="40" s="1"/>
  <c r="CZ287" i="40" s="1"/>
  <c r="CI294" i="40"/>
  <c r="CO294" i="40" s="1"/>
  <c r="DE294" i="40" s="1"/>
  <c r="DF294" i="40" s="1"/>
  <c r="CG263" i="40"/>
  <c r="CM263" i="40" s="1"/>
  <c r="DA263" i="40" s="1"/>
  <c r="DB263" i="40" s="1"/>
  <c r="CI19" i="40"/>
  <c r="CO19" i="40" s="1"/>
  <c r="DE19" i="40" s="1"/>
  <c r="DF19" i="40" s="1"/>
  <c r="CF36" i="40"/>
  <c r="CL36" i="40" s="1"/>
  <c r="CY36" i="40" s="1"/>
  <c r="CZ36" i="40" s="1"/>
  <c r="CH294" i="40"/>
  <c r="CN294" i="40" s="1"/>
  <c r="DC294" i="40" s="1"/>
  <c r="DD294" i="40" s="1"/>
  <c r="CF98" i="40"/>
  <c r="CL98" i="40" s="1"/>
  <c r="CY98" i="40" s="1"/>
  <c r="CZ98" i="40" s="1"/>
  <c r="CG317" i="40"/>
  <c r="CM317" i="40" s="1"/>
  <c r="DA317" i="40" s="1"/>
  <c r="DB317" i="40" s="1"/>
  <c r="CE290" i="40"/>
  <c r="CK290" i="40" s="1"/>
  <c r="CW290" i="40" s="1"/>
  <c r="CX290" i="40" s="1"/>
  <c r="CJ300" i="40"/>
  <c r="CP300" i="40" s="1"/>
  <c r="DG300" i="40" s="1"/>
  <c r="DH300" i="40" s="1"/>
  <c r="CH19" i="40"/>
  <c r="CN19" i="40" s="1"/>
  <c r="DC19" i="40" s="1"/>
  <c r="DD19" i="40" s="1"/>
  <c r="CG127" i="40"/>
  <c r="CM127" i="40" s="1"/>
  <c r="DA127" i="40" s="1"/>
  <c r="DB127" i="40" s="1"/>
  <c r="CJ90" i="40"/>
  <c r="CP90" i="40" s="1"/>
  <c r="DG90" i="40" s="1"/>
  <c r="DH90" i="40" s="1"/>
  <c r="CI317" i="40"/>
  <c r="CO317" i="40" s="1"/>
  <c r="DE317" i="40" s="1"/>
  <c r="DF317" i="40" s="1"/>
  <c r="CF263" i="40"/>
  <c r="CL263" i="40" s="1"/>
  <c r="CY263" i="40" s="1"/>
  <c r="CZ263" i="40" s="1"/>
  <c r="CE304" i="40"/>
  <c r="CK304" i="40" s="1"/>
  <c r="CW304" i="40" s="1"/>
  <c r="CX304" i="40" s="1"/>
  <c r="CF306" i="40"/>
  <c r="CL306" i="40" s="1"/>
  <c r="CY306" i="40" s="1"/>
  <c r="CZ306" i="40" s="1"/>
  <c r="CH306" i="40"/>
  <c r="CN306" i="40" s="1"/>
  <c r="DC306" i="40" s="1"/>
  <c r="DD306" i="40" s="1"/>
  <c r="CG286" i="40"/>
  <c r="CM286" i="40" s="1"/>
  <c r="DA286" i="40" s="1"/>
  <c r="DB286" i="40" s="1"/>
  <c r="CE216" i="40"/>
  <c r="CK216" i="40" s="1"/>
  <c r="CW216" i="40" s="1"/>
  <c r="CX216" i="40" s="1"/>
  <c r="CF19" i="40"/>
  <c r="CL19" i="40" s="1"/>
  <c r="CY19" i="40" s="1"/>
  <c r="CZ19" i="40" s="1"/>
  <c r="CJ207" i="40"/>
  <c r="CP207" i="40" s="1"/>
  <c r="DG207" i="40" s="1"/>
  <c r="DH207" i="40" s="1"/>
  <c r="CF301" i="40"/>
  <c r="CL301" i="40" s="1"/>
  <c r="CY301" i="40" s="1"/>
  <c r="CZ301" i="40" s="1"/>
  <c r="CJ216" i="40"/>
  <c r="CP216" i="40" s="1"/>
  <c r="DG216" i="40" s="1"/>
  <c r="DH216" i="40" s="1"/>
  <c r="CE294" i="40"/>
  <c r="CK294" i="40" s="1"/>
  <c r="CW294" i="40" s="1"/>
  <c r="CX294" i="40" s="1"/>
  <c r="CJ127" i="40"/>
  <c r="CP127" i="40" s="1"/>
  <c r="DG127" i="40" s="1"/>
  <c r="DH127" i="40" s="1"/>
  <c r="CG299" i="40"/>
  <c r="CM299" i="40" s="1"/>
  <c r="DA299" i="40" s="1"/>
  <c r="DB299" i="40" s="1"/>
  <c r="CJ62" i="40"/>
  <c r="CP62" i="40" s="1"/>
  <c r="DG62" i="40" s="1"/>
  <c r="DH62" i="40" s="1"/>
  <c r="CG243" i="40"/>
  <c r="CM243" i="40" s="1"/>
  <c r="DA243" i="40" s="1"/>
  <c r="DB243" i="40" s="1"/>
  <c r="CE36" i="40"/>
  <c r="CK36" i="40" s="1"/>
  <c r="CW36" i="40" s="1"/>
  <c r="CX36" i="40" s="1"/>
  <c r="CH55" i="40"/>
  <c r="CN55" i="40" s="1"/>
  <c r="DC55" i="40" s="1"/>
  <c r="DD55" i="40" s="1"/>
  <c r="CF290" i="40"/>
  <c r="CL290" i="40" s="1"/>
  <c r="CY290" i="40" s="1"/>
  <c r="CZ290" i="40" s="1"/>
  <c r="CE19" i="40"/>
  <c r="CK19" i="40" s="1"/>
  <c r="CW19" i="40" s="1"/>
  <c r="CX19" i="40" s="1"/>
  <c r="CJ263" i="40"/>
  <c r="CP263" i="40" s="1"/>
  <c r="DG263" i="40" s="1"/>
  <c r="DH263" i="40" s="1"/>
  <c r="CE306" i="40"/>
  <c r="CK306" i="40" s="1"/>
  <c r="CW306" i="40" s="1"/>
  <c r="CX306" i="40" s="1"/>
  <c r="CG90" i="40"/>
  <c r="CM90" i="40" s="1"/>
  <c r="DA90" i="40" s="1"/>
  <c r="DB90" i="40" s="1"/>
  <c r="CE98" i="40"/>
  <c r="CK98" i="40" s="1"/>
  <c r="CW98" i="40" s="1"/>
  <c r="CX98" i="40" s="1"/>
  <c r="CJ306" i="40"/>
  <c r="CP306" i="40" s="1"/>
  <c r="DG306" i="40" s="1"/>
  <c r="DH306" i="40" s="1"/>
  <c r="CG216" i="40"/>
  <c r="CM216" i="40" s="1"/>
  <c r="DA216" i="40" s="1"/>
  <c r="DB216" i="40" s="1"/>
  <c r="CJ19" i="40"/>
  <c r="CP19" i="40" s="1"/>
  <c r="DG19" i="40" s="1"/>
  <c r="DH19" i="40" s="1"/>
  <c r="CH62" i="40"/>
  <c r="CN62" i="40" s="1"/>
  <c r="DC62" i="40" s="1"/>
  <c r="DD62" i="40" s="1"/>
  <c r="CG297" i="40"/>
  <c r="CM297" i="40" s="1"/>
  <c r="DA297" i="40" s="1"/>
  <c r="DB297" i="40" s="1"/>
  <c r="CI243" i="40"/>
  <c r="CO243" i="40" s="1"/>
  <c r="DE243" i="40" s="1"/>
  <c r="DF243" i="40" s="1"/>
  <c r="CH127" i="40"/>
  <c r="CN127" i="40" s="1"/>
  <c r="DC127" i="40" s="1"/>
  <c r="DD127" i="40" s="1"/>
  <c r="CE286" i="40"/>
  <c r="CK286" i="40" s="1"/>
  <c r="CW286" i="40" s="1"/>
  <c r="CX286" i="40" s="1"/>
  <c r="CH216" i="40"/>
  <c r="CN216" i="40" s="1"/>
  <c r="DC216" i="40" s="1"/>
  <c r="DD216" i="40" s="1"/>
  <c r="CH243" i="40"/>
  <c r="CN243" i="40" s="1"/>
  <c r="DC243" i="40" s="1"/>
  <c r="DD243" i="40" s="1"/>
  <c r="CI90" i="40"/>
  <c r="CO90" i="40" s="1"/>
  <c r="DE90" i="40" s="1"/>
  <c r="DF90" i="40" s="1"/>
  <c r="CI36" i="40"/>
  <c r="CO36" i="40" s="1"/>
  <c r="DE36" i="40" s="1"/>
  <c r="DF36" i="40" s="1"/>
  <c r="CE55" i="40"/>
  <c r="CK55" i="40" s="1"/>
  <c r="CW55" i="40" s="1"/>
  <c r="CX55" i="40" s="1"/>
  <c r="CG301" i="40"/>
  <c r="CM301" i="40" s="1"/>
  <c r="DA301" i="40" s="1"/>
  <c r="DB301" i="40" s="1"/>
  <c r="CG300" i="40"/>
  <c r="CM300" i="40" s="1"/>
  <c r="DA300" i="40" s="1"/>
  <c r="DB300" i="40" s="1"/>
  <c r="CI304" i="40"/>
  <c r="CO304" i="40" s="1"/>
  <c r="DE304" i="40" s="1"/>
  <c r="DF304" i="40" s="1"/>
  <c r="CJ55" i="40"/>
  <c r="CP55" i="40" s="1"/>
  <c r="DG55" i="40" s="1"/>
  <c r="DH55" i="40" s="1"/>
  <c r="CI55" i="40"/>
  <c r="CO55" i="40" s="1"/>
  <c r="DE55" i="40" s="1"/>
  <c r="DF55" i="40" s="1"/>
  <c r="CI263" i="40"/>
  <c r="CO263" i="40" s="1"/>
  <c r="DE263" i="40" s="1"/>
  <c r="DF263" i="40" s="1"/>
  <c r="CH299" i="40"/>
  <c r="CN299" i="40" s="1"/>
  <c r="DC299" i="40" s="1"/>
  <c r="DD299" i="40" s="1"/>
  <c r="CG62" i="40"/>
  <c r="CM62" i="40" s="1"/>
  <c r="DA62" i="40" s="1"/>
  <c r="DB62" i="40" s="1"/>
  <c r="CF297" i="40"/>
  <c r="CL297" i="40" s="1"/>
  <c r="CY297" i="40" s="1"/>
  <c r="CZ297" i="40" s="1"/>
  <c r="CJ243" i="40"/>
  <c r="CP243" i="40" s="1"/>
  <c r="DG243" i="40" s="1"/>
  <c r="DH243" i="40" s="1"/>
  <c r="CE90" i="40"/>
  <c r="CK90" i="40" s="1"/>
  <c r="CW90" i="40" s="1"/>
  <c r="CX90" i="40" s="1"/>
  <c r="CG207" i="40"/>
  <c r="CM207" i="40" s="1"/>
  <c r="DA207" i="40" s="1"/>
  <c r="DB207" i="40" s="1"/>
  <c r="CF312" i="40"/>
  <c r="CL312" i="40" s="1"/>
  <c r="CY312" i="40" s="1"/>
  <c r="CZ312" i="40" s="1"/>
  <c r="CH312" i="40"/>
  <c r="CN312" i="40" s="1"/>
  <c r="DC312" i="40" s="1"/>
  <c r="DD312" i="40" s="1"/>
  <c r="CG287" i="40"/>
  <c r="CM287" i="40" s="1"/>
  <c r="DA287" i="40" s="1"/>
  <c r="DB287" i="40" s="1"/>
  <c r="CJ36" i="40"/>
  <c r="CP36" i="40" s="1"/>
  <c r="DG36" i="40" s="1"/>
  <c r="DH36" i="40" s="1"/>
  <c r="CI287" i="40"/>
  <c r="CO287" i="40" s="1"/>
  <c r="DE287" i="40" s="1"/>
  <c r="DF287" i="40" s="1"/>
  <c r="CI299" i="40"/>
  <c r="CO299" i="40" s="1"/>
  <c r="DE299" i="40" s="1"/>
  <c r="DF299" i="40" s="1"/>
  <c r="CI207" i="40"/>
  <c r="CO207" i="40" s="1"/>
  <c r="DE207" i="40" s="1"/>
  <c r="DF207" i="40" s="1"/>
  <c r="CF304" i="40"/>
  <c r="CL304" i="40" s="1"/>
  <c r="CY304" i="40" s="1"/>
  <c r="CZ304" i="40" s="1"/>
  <c r="CI306" i="40"/>
  <c r="CO306" i="40" s="1"/>
  <c r="DE306" i="40" s="1"/>
  <c r="DF306" i="40" s="1"/>
  <c r="CI286" i="40"/>
  <c r="CO286" i="40" s="1"/>
  <c r="DE286" i="40" s="1"/>
  <c r="DF286" i="40" s="1"/>
  <c r="CG294" i="40"/>
  <c r="CM294" i="40" s="1"/>
  <c r="DA294" i="40" s="1"/>
  <c r="DB294" i="40" s="1"/>
  <c r="CI98" i="40"/>
  <c r="CO98" i="40" s="1"/>
  <c r="DE98" i="40" s="1"/>
  <c r="DF98" i="40" s="1"/>
  <c r="CE312" i="40"/>
  <c r="CK312" i="40" s="1"/>
  <c r="CW312" i="40" s="1"/>
  <c r="CX312" i="40" s="1"/>
  <c r="CI290" i="40"/>
  <c r="CO290" i="40" s="1"/>
  <c r="DE290" i="40" s="1"/>
  <c r="DF290" i="40" s="1"/>
  <c r="CF127" i="40"/>
  <c r="CL127" i="40" s="1"/>
  <c r="CY127" i="40" s="1"/>
  <c r="CZ127" i="40" s="1"/>
  <c r="CJ312" i="40"/>
  <c r="CP312" i="40" s="1"/>
  <c r="DG312" i="40" s="1"/>
  <c r="DH312" i="40" s="1"/>
  <c r="CH287" i="40"/>
  <c r="CN287" i="40" s="1"/>
  <c r="DC287" i="40" s="1"/>
  <c r="DD287" i="40" s="1"/>
  <c r="CG55" i="40"/>
  <c r="CM55" i="40" s="1"/>
  <c r="DA55" i="40" s="1"/>
  <c r="DB55" i="40" s="1"/>
  <c r="CF317" i="40"/>
  <c r="CL317" i="40" s="1"/>
  <c r="CY317" i="40" s="1"/>
  <c r="CZ317" i="40" s="1"/>
  <c r="CJ290" i="40"/>
  <c r="CP290" i="40" s="1"/>
  <c r="DG290" i="40" s="1"/>
  <c r="DH290" i="40" s="1"/>
  <c r="CH263" i="40"/>
  <c r="CN263" i="40" s="1"/>
  <c r="DC263" i="40" s="1"/>
  <c r="DD263" i="40" s="1"/>
  <c r="CG290" i="40"/>
  <c r="CM290" i="40" s="1"/>
  <c r="DA290" i="40" s="1"/>
  <c r="DB290" i="40" s="1"/>
  <c r="CE300" i="40"/>
  <c r="CK300" i="40" s="1"/>
  <c r="CW300" i="40" s="1"/>
  <c r="CX300" i="40" s="1"/>
  <c r="CJ294" i="40"/>
  <c r="CP294" i="40" s="1"/>
  <c r="DG294" i="40" s="1"/>
  <c r="DH294" i="40" s="1"/>
  <c r="CJ299" i="40"/>
  <c r="CP299" i="40" s="1"/>
  <c r="DG299" i="40" s="1"/>
  <c r="DH299" i="40" s="1"/>
  <c r="CI62" i="40"/>
  <c r="CO62" i="40" s="1"/>
  <c r="DE62" i="40" s="1"/>
  <c r="DF62" i="40" s="1"/>
  <c r="CF243" i="40"/>
  <c r="CL243" i="40" s="1"/>
  <c r="CY243" i="40" s="1"/>
  <c r="CZ243" i="40" s="1"/>
  <c r="CH207" i="40"/>
  <c r="CN207" i="40" s="1"/>
  <c r="DC207" i="40" s="1"/>
  <c r="DD207" i="40" s="1"/>
  <c r="CI300" i="40"/>
  <c r="CO300" i="40" s="1"/>
  <c r="DE300" i="40" s="1"/>
  <c r="DF300" i="40" s="1"/>
  <c r="BP321" i="17"/>
  <c r="BO320" i="17"/>
  <c r="BV321" i="17"/>
  <c r="BU320" i="17"/>
  <c r="BU321" i="17"/>
  <c r="BO321" i="17"/>
  <c r="BT321" i="17"/>
  <c r="BS320" i="17"/>
  <c r="BS321" i="17"/>
  <c r="BR320" i="17"/>
  <c r="BR321" i="17"/>
  <c r="BQ320" i="17"/>
  <c r="BQ321" i="17"/>
  <c r="BP320" i="17"/>
  <c r="BV320" i="17"/>
  <c r="BU319" i="17"/>
  <c r="BQ322" i="17"/>
  <c r="BT320" i="17"/>
  <c r="BT319" i="17"/>
  <c r="BP322" i="17"/>
  <c r="BS319" i="17"/>
  <c r="BO322" i="17"/>
  <c r="BR319" i="17"/>
  <c r="BU322" i="17"/>
  <c r="BQ319" i="17"/>
  <c r="BO304" i="17"/>
  <c r="BV322" i="17"/>
  <c r="BT98" i="17"/>
  <c r="BP319" i="17"/>
  <c r="BT322" i="17"/>
  <c r="BV290" i="17"/>
  <c r="BO319" i="17"/>
  <c r="BS322" i="17"/>
  <c r="BV319" i="17"/>
  <c r="BR322" i="17"/>
  <c r="L98" i="17"/>
  <c r="AZ98" i="17" s="1"/>
  <c r="BH98" i="17" s="1"/>
  <c r="N98" i="17"/>
  <c r="BB98" i="17" s="1"/>
  <c r="BJ98" i="17" s="1"/>
  <c r="R98" i="17"/>
  <c r="BF98" i="17" s="1"/>
  <c r="BN98" i="17" s="1"/>
  <c r="Q98" i="17"/>
  <c r="BE98" i="17" s="1"/>
  <c r="BM98" i="17" s="1"/>
  <c r="K98" i="17"/>
  <c r="AY98" i="17" s="1"/>
  <c r="BG98" i="17" s="1"/>
  <c r="N304" i="17"/>
  <c r="BB304" i="17" s="1"/>
  <c r="BJ304" i="17" s="1"/>
  <c r="R304" i="17"/>
  <c r="BF304" i="17" s="1"/>
  <c r="BN304" i="17" s="1"/>
  <c r="M290" i="17"/>
  <c r="BA290" i="17" s="1"/>
  <c r="BI290" i="17" s="1"/>
  <c r="O98" i="17"/>
  <c r="BC98" i="17" s="1"/>
  <c r="BK98" i="17" s="1"/>
  <c r="M304" i="17"/>
  <c r="BA304" i="17" s="1"/>
  <c r="BI304" i="17" s="1"/>
  <c r="Q304" i="17"/>
  <c r="BE304" i="17" s="1"/>
  <c r="BM304" i="17" s="1"/>
  <c r="Q290" i="17"/>
  <c r="BE290" i="17" s="1"/>
  <c r="BM290" i="17" s="1"/>
  <c r="N290" i="17"/>
  <c r="BB290" i="17" s="1"/>
  <c r="BJ290" i="17" s="1"/>
  <c r="K290" i="17"/>
  <c r="AY290" i="17" s="1"/>
  <c r="BG290" i="17" s="1"/>
  <c r="O290" i="17"/>
  <c r="BC290" i="17" s="1"/>
  <c r="BK290" i="17" s="1"/>
  <c r="L290" i="17"/>
  <c r="AZ290" i="17" s="1"/>
  <c r="BH290" i="17" s="1"/>
  <c r="O43" i="17"/>
  <c r="BC43" i="17" s="1"/>
  <c r="BK43" i="17" s="1"/>
  <c r="K43" i="17"/>
  <c r="AY43" i="17" s="1"/>
  <c r="BG43" i="17" s="1"/>
  <c r="L43" i="17"/>
  <c r="AZ43" i="17" s="1"/>
  <c r="BH43" i="17" s="1"/>
  <c r="P43" i="17"/>
  <c r="BD43" i="17" s="1"/>
  <c r="BL43" i="17" s="1"/>
  <c r="M43" i="17"/>
  <c r="BA43" i="17" s="1"/>
  <c r="BI43" i="17" s="1"/>
  <c r="Q43" i="17"/>
  <c r="BE43" i="17" s="1"/>
  <c r="BM43" i="17" s="1"/>
  <c r="N43" i="17"/>
  <c r="BB43" i="17" s="1"/>
  <c r="BJ43" i="17" s="1"/>
  <c r="R43" i="17"/>
  <c r="BF43" i="17" s="1"/>
  <c r="BN43" i="17" s="1"/>
  <c r="L304" i="17"/>
  <c r="AZ304" i="17" s="1"/>
  <c r="BH304" i="17" s="1"/>
  <c r="P304" i="17"/>
  <c r="BD304" i="17" s="1"/>
  <c r="BL304" i="17" s="1"/>
  <c r="P290" i="17"/>
  <c r="BD290" i="17" s="1"/>
  <c r="BL290" i="17" s="1"/>
  <c r="M98" i="17"/>
  <c r="BA98" i="17" s="1"/>
  <c r="BI98" i="17" s="1"/>
  <c r="P93" i="17"/>
  <c r="BD93" i="17" s="1"/>
  <c r="BL93" i="17" s="1"/>
  <c r="K93" i="17"/>
  <c r="AY93" i="17" s="1"/>
  <c r="BG93" i="17" s="1"/>
  <c r="M93" i="17"/>
  <c r="BA93" i="17" s="1"/>
  <c r="BI93" i="17" s="1"/>
  <c r="Q93" i="17"/>
  <c r="BE93" i="17" s="1"/>
  <c r="BM93" i="17" s="1"/>
  <c r="N93" i="17"/>
  <c r="BB93" i="17" s="1"/>
  <c r="BJ93" i="17" s="1"/>
  <c r="R93" i="17"/>
  <c r="BF93" i="17" s="1"/>
  <c r="BN93" i="17" s="1"/>
  <c r="O93" i="17"/>
  <c r="BC93" i="17" s="1"/>
  <c r="BK93" i="17" s="1"/>
  <c r="L93" i="17"/>
  <c r="AZ93" i="17" s="1"/>
  <c r="BH93" i="17" s="1"/>
  <c r="O304" i="17"/>
  <c r="BC304" i="17" s="1"/>
  <c r="BK304" i="17" s="1"/>
  <c r="CJ319" i="17" l="1"/>
  <c r="CP319" i="17" s="1"/>
  <c r="DG319" i="17" s="1"/>
  <c r="DH319" i="17" s="1"/>
  <c r="CJ322" i="17"/>
  <c r="CP322" i="17" s="1"/>
  <c r="DG322" i="17" s="1"/>
  <c r="DH322" i="17" s="1"/>
  <c r="CJ320" i="17"/>
  <c r="CP320" i="17" s="1"/>
  <c r="DG320" i="17" s="1"/>
  <c r="DH320" i="17" s="1"/>
  <c r="CJ321" i="17"/>
  <c r="CP321" i="17" s="1"/>
  <c r="DG321" i="17" s="1"/>
  <c r="DH321" i="17" s="1"/>
  <c r="CH322" i="17"/>
  <c r="CN322" i="17" s="1"/>
  <c r="DC322" i="17" s="1"/>
  <c r="DD322" i="17" s="1"/>
  <c r="CH321" i="17"/>
  <c r="CN321" i="17" s="1"/>
  <c r="DC321" i="17" s="1"/>
  <c r="DD321" i="17" s="1"/>
  <c r="CI320" i="17"/>
  <c r="CO320" i="17" s="1"/>
  <c r="DE320" i="17" s="1"/>
  <c r="DF320" i="17" s="1"/>
  <c r="CH319" i="17"/>
  <c r="CN319" i="17" s="1"/>
  <c r="DC319" i="17" s="1"/>
  <c r="DD319" i="17" s="1"/>
  <c r="CI319" i="17"/>
  <c r="CO319" i="17" s="1"/>
  <c r="DE319" i="17" s="1"/>
  <c r="DF319" i="17" s="1"/>
  <c r="CH320" i="17"/>
  <c r="CN320" i="17" s="1"/>
  <c r="DC320" i="17" s="1"/>
  <c r="DD320" i="17" s="1"/>
  <c r="CI322" i="17"/>
  <c r="CO322" i="17" s="1"/>
  <c r="DE322" i="17" s="1"/>
  <c r="DF322" i="17" s="1"/>
  <c r="CI321" i="17"/>
  <c r="CO321" i="17" s="1"/>
  <c r="DE321" i="17" s="1"/>
  <c r="DF321" i="17" s="1"/>
  <c r="CE322" i="17"/>
  <c r="CK322" i="17" s="1"/>
  <c r="CW322" i="17" s="1"/>
  <c r="CX322" i="17" s="1"/>
  <c r="CE320" i="17"/>
  <c r="CK320" i="17" s="1"/>
  <c r="CW320" i="17" s="1"/>
  <c r="CX320" i="17" s="1"/>
  <c r="CE321" i="17"/>
  <c r="CK321" i="17" s="1"/>
  <c r="CW321" i="17" s="1"/>
  <c r="CX321" i="17" s="1"/>
  <c r="CG322" i="17"/>
  <c r="CM322" i="17" s="1"/>
  <c r="DA322" i="17" s="1"/>
  <c r="DB322" i="17" s="1"/>
  <c r="CE319" i="17"/>
  <c r="CK319" i="17" s="1"/>
  <c r="CW319" i="17" s="1"/>
  <c r="CX319" i="17" s="1"/>
  <c r="CF319" i="17"/>
  <c r="CL319" i="17" s="1"/>
  <c r="CY319" i="17" s="1"/>
  <c r="CZ319" i="17" s="1"/>
  <c r="CG319" i="17"/>
  <c r="CM319" i="17" s="1"/>
  <c r="DA319" i="17" s="1"/>
  <c r="DB319" i="17" s="1"/>
  <c r="CG320" i="17"/>
  <c r="CM320" i="17" s="1"/>
  <c r="DA320" i="17" s="1"/>
  <c r="DB320" i="17" s="1"/>
  <c r="CG321" i="17"/>
  <c r="CM321" i="17" s="1"/>
  <c r="DA321" i="17" s="1"/>
  <c r="DB321" i="17" s="1"/>
  <c r="BU43" i="17"/>
  <c r="CF321" i="17"/>
  <c r="CL321" i="17" s="1"/>
  <c r="CY321" i="17" s="1"/>
  <c r="CZ321" i="17" s="1"/>
  <c r="CF320" i="17"/>
  <c r="CL320" i="17" s="1"/>
  <c r="CY320" i="17" s="1"/>
  <c r="CZ320" i="17" s="1"/>
  <c r="BR98" i="17"/>
  <c r="BQ93" i="17"/>
  <c r="BS43" i="17"/>
  <c r="CF322" i="17"/>
  <c r="CL322" i="17" s="1"/>
  <c r="CY322" i="17" s="1"/>
  <c r="CZ322" i="17" s="1"/>
  <c r="BS93" i="17"/>
  <c r="BT93" i="17"/>
  <c r="BV93" i="17"/>
  <c r="BO93" i="17"/>
  <c r="BT290" i="17"/>
  <c r="BP93" i="17"/>
  <c r="BR93" i="17"/>
  <c r="BP98" i="17"/>
  <c r="BQ304" i="17"/>
  <c r="BO290" i="17"/>
  <c r="BR43" i="17"/>
  <c r="BV43" i="17"/>
  <c r="BO43" i="17"/>
  <c r="BP43" i="17"/>
  <c r="BR304" i="17"/>
  <c r="BU290" i="17"/>
  <c r="BR290" i="17"/>
  <c r="BP290" i="17"/>
  <c r="BQ43" i="17"/>
  <c r="BT43" i="17"/>
  <c r="BQ98" i="17"/>
  <c r="BT304" i="17"/>
  <c r="BS98" i="17"/>
  <c r="BS304" i="17"/>
  <c r="BV98" i="17"/>
  <c r="BP304" i="17"/>
  <c r="BQ290" i="17"/>
  <c r="BS290" i="17"/>
  <c r="BU98" i="17"/>
  <c r="BU304" i="17"/>
  <c r="BO98" i="17"/>
  <c r="BV304" i="17"/>
  <c r="BU93" i="17"/>
  <c r="AD34" i="23"/>
  <c r="AD33" i="23"/>
  <c r="I76" i="40" s="1"/>
  <c r="J76" i="40" s="1"/>
  <c r="AD35" i="23"/>
  <c r="I32" i="40" s="1"/>
  <c r="J32" i="40" s="1"/>
  <c r="AD37" i="23"/>
  <c r="AD38" i="23"/>
  <c r="I22" i="40" s="1"/>
  <c r="J22" i="40" s="1"/>
  <c r="AD39" i="23"/>
  <c r="I8" i="40" s="1"/>
  <c r="J8" i="40" s="1"/>
  <c r="AD40" i="23"/>
  <c r="I33" i="40" s="1"/>
  <c r="J33" i="40" s="1"/>
  <c r="AD41" i="23"/>
  <c r="I71" i="40" s="1"/>
  <c r="J71" i="40" s="1"/>
  <c r="AD42" i="23"/>
  <c r="AD43" i="23"/>
  <c r="I51" i="40" s="1"/>
  <c r="J51" i="40" s="1"/>
  <c r="AD44" i="23"/>
  <c r="I73" i="40" s="1"/>
  <c r="J73" i="40" s="1"/>
  <c r="AD46" i="23"/>
  <c r="I23" i="40" s="1"/>
  <c r="J23" i="40" s="1"/>
  <c r="AD45" i="23"/>
  <c r="AD47" i="23"/>
  <c r="AD48" i="23"/>
  <c r="I26" i="40" s="1"/>
  <c r="J26" i="40" s="1"/>
  <c r="AD49" i="23"/>
  <c r="I15" i="40" s="1"/>
  <c r="J15" i="40" s="1"/>
  <c r="AD50" i="23"/>
  <c r="I49" i="40" s="1"/>
  <c r="J49" i="40" s="1"/>
  <c r="AD51" i="23"/>
  <c r="AD52" i="23"/>
  <c r="I61" i="40" s="1"/>
  <c r="J61" i="40" s="1"/>
  <c r="AD54" i="23"/>
  <c r="I53" i="40" s="1"/>
  <c r="J53" i="40" s="1"/>
  <c r="AD53" i="23"/>
  <c r="AD55" i="23"/>
  <c r="I77" i="40" s="1"/>
  <c r="J77" i="40" s="1"/>
  <c r="AD56" i="23"/>
  <c r="I54" i="40" s="1"/>
  <c r="J54" i="40" s="1"/>
  <c r="AD57" i="23"/>
  <c r="AD58" i="23"/>
  <c r="I27" i="40" s="1"/>
  <c r="J27" i="40" s="1"/>
  <c r="AD59" i="23"/>
  <c r="AD60" i="23"/>
  <c r="I37" i="40" s="1"/>
  <c r="J37" i="40" s="1"/>
  <c r="AD61" i="23"/>
  <c r="AD62" i="23"/>
  <c r="AD64" i="23"/>
  <c r="AD63" i="23"/>
  <c r="I56" i="40" s="1"/>
  <c r="J56" i="40" s="1"/>
  <c r="AD65" i="23"/>
  <c r="I30" i="40" s="1"/>
  <c r="J30" i="40" s="1"/>
  <c r="AD66" i="23"/>
  <c r="AD67" i="23"/>
  <c r="I68" i="40" s="1"/>
  <c r="J68" i="40" s="1"/>
  <c r="AD68" i="23"/>
  <c r="I60" i="40" s="1"/>
  <c r="J60" i="40" s="1"/>
  <c r="AD69" i="23"/>
  <c r="I18" i="40" s="1"/>
  <c r="J18" i="40" s="1"/>
  <c r="AD70" i="23"/>
  <c r="AD71" i="23"/>
  <c r="I47" i="40" s="1"/>
  <c r="J47" i="40" s="1"/>
  <c r="AD72" i="23"/>
  <c r="AD73" i="23"/>
  <c r="I11" i="40" s="1"/>
  <c r="J11" i="40" s="1"/>
  <c r="AD74" i="23"/>
  <c r="AD75" i="23"/>
  <c r="I66" i="40" s="1"/>
  <c r="J66" i="40" s="1"/>
  <c r="AD76" i="23"/>
  <c r="I57" i="40" s="1"/>
  <c r="J57" i="40" s="1"/>
  <c r="AD78" i="23"/>
  <c r="I14" i="40" s="1"/>
  <c r="J14" i="40" s="1"/>
  <c r="AD77" i="23"/>
  <c r="AD79" i="23"/>
  <c r="I44" i="40" s="1"/>
  <c r="J44" i="40" s="1"/>
  <c r="AD80" i="23"/>
  <c r="I69" i="40" s="1"/>
  <c r="J69" i="40" s="1"/>
  <c r="AD81" i="23"/>
  <c r="I42" i="40" s="1"/>
  <c r="J42" i="40" s="1"/>
  <c r="AD82" i="23"/>
  <c r="AD83" i="23"/>
  <c r="I16" i="40" s="1"/>
  <c r="J16" i="40" s="1"/>
  <c r="AD84" i="23"/>
  <c r="I70" i="40" s="1"/>
  <c r="J70" i="40" s="1"/>
  <c r="AD85" i="23"/>
  <c r="AD86" i="23"/>
  <c r="I74" i="40" s="1"/>
  <c r="J74" i="40" s="1"/>
  <c r="AD87" i="23"/>
  <c r="AD88" i="23"/>
  <c r="I24" i="40" s="1"/>
  <c r="J24" i="40" s="1"/>
  <c r="AD89" i="23"/>
  <c r="AD90" i="23"/>
  <c r="AD92" i="23"/>
  <c r="I117" i="40" s="1"/>
  <c r="J117" i="40" s="1"/>
  <c r="AD91" i="23"/>
  <c r="AD93" i="23"/>
  <c r="AD94" i="23"/>
  <c r="I96" i="40" s="1"/>
  <c r="J96" i="40" s="1"/>
  <c r="AD95" i="23"/>
  <c r="I86" i="40" s="1"/>
  <c r="J86" i="40" s="1"/>
  <c r="AD96" i="23"/>
  <c r="AD97" i="23"/>
  <c r="I119" i="40" s="1"/>
  <c r="J119" i="40" s="1"/>
  <c r="AD98" i="23"/>
  <c r="I138" i="40" s="1"/>
  <c r="J138" i="40" s="1"/>
  <c r="AD99" i="23"/>
  <c r="AD100" i="23"/>
  <c r="I144" i="40" s="1"/>
  <c r="J144" i="40" s="1"/>
  <c r="AD101" i="23"/>
  <c r="I78" i="40" s="1"/>
  <c r="J78" i="40" s="1"/>
  <c r="AD102" i="23"/>
  <c r="I94" i="40" s="1"/>
  <c r="J94" i="40" s="1"/>
  <c r="AD104" i="23"/>
  <c r="I134" i="40" s="1"/>
  <c r="J134" i="40" s="1"/>
  <c r="AD103" i="23"/>
  <c r="AD105" i="23"/>
  <c r="AD106" i="23"/>
  <c r="I105" i="40" s="1"/>
  <c r="J105" i="40" s="1"/>
  <c r="AD107" i="23"/>
  <c r="AD108" i="23"/>
  <c r="I107" i="40" s="1"/>
  <c r="J107" i="40" s="1"/>
  <c r="AD109" i="23"/>
  <c r="AD110" i="23"/>
  <c r="I145" i="40" s="1"/>
  <c r="J145" i="40" s="1"/>
  <c r="AD111" i="23"/>
  <c r="I86" i="17" s="1"/>
  <c r="J86" i="17" s="1"/>
  <c r="AD112" i="23"/>
  <c r="I85" i="40" s="1"/>
  <c r="J85" i="40" s="1"/>
  <c r="AD114" i="23"/>
  <c r="AD113" i="23"/>
  <c r="AD115" i="23"/>
  <c r="I125" i="40" s="1"/>
  <c r="J125" i="40" s="1"/>
  <c r="AD116" i="23"/>
  <c r="I122" i="40" s="1"/>
  <c r="J122" i="40" s="1"/>
  <c r="AD117" i="23"/>
  <c r="I111" i="40" s="1"/>
  <c r="J111" i="40" s="1"/>
  <c r="AD118" i="23"/>
  <c r="I132" i="40" s="1"/>
  <c r="J132" i="40" s="1"/>
  <c r="AD119" i="23"/>
  <c r="I148" i="40" s="1"/>
  <c r="J148" i="40" s="1"/>
  <c r="AD120" i="23"/>
  <c r="I106" i="40" s="1"/>
  <c r="J106" i="40" s="1"/>
  <c r="AD121" i="23"/>
  <c r="AD122" i="23"/>
  <c r="I108" i="40" s="1"/>
  <c r="J108" i="40" s="1"/>
  <c r="AD123" i="23"/>
  <c r="I102" i="40" s="1"/>
  <c r="J102" i="40" s="1"/>
  <c r="AD124" i="23"/>
  <c r="I127" i="17" s="1"/>
  <c r="J127" i="17" s="1"/>
  <c r="AD125" i="23"/>
  <c r="I99" i="40" s="1"/>
  <c r="J99" i="40" s="1"/>
  <c r="AD126" i="23"/>
  <c r="I101" i="40" s="1"/>
  <c r="J101" i="40" s="1"/>
  <c r="AD127" i="23"/>
  <c r="AD128" i="23"/>
  <c r="I128" i="40" s="1"/>
  <c r="J128" i="40" s="1"/>
  <c r="AD129" i="23"/>
  <c r="AD130" i="23"/>
  <c r="I95" i="40" s="1"/>
  <c r="J95" i="40" s="1"/>
  <c r="AD131" i="23"/>
  <c r="I82" i="40" s="1"/>
  <c r="J82" i="40" s="1"/>
  <c r="AD132" i="23"/>
  <c r="AD133" i="23"/>
  <c r="I79" i="40" s="1"/>
  <c r="J79" i="40" s="1"/>
  <c r="AD135" i="23"/>
  <c r="AD134" i="23"/>
  <c r="I100" i="40" s="1"/>
  <c r="J100" i="40" s="1"/>
  <c r="AD137" i="23"/>
  <c r="I131" i="40" s="1"/>
  <c r="J131" i="40" s="1"/>
  <c r="AD136" i="23"/>
  <c r="I92" i="40" s="1"/>
  <c r="J92" i="40" s="1"/>
  <c r="AD138" i="23"/>
  <c r="AD139" i="23"/>
  <c r="I118" i="40" s="1"/>
  <c r="J118" i="40" s="1"/>
  <c r="AD140" i="23"/>
  <c r="I122" i="17" s="1"/>
  <c r="J122" i="17" s="1"/>
  <c r="AD141" i="23"/>
  <c r="I135" i="40" s="1"/>
  <c r="J135" i="40" s="1"/>
  <c r="AD142" i="23"/>
  <c r="AD143" i="23"/>
  <c r="I130" i="40" s="1"/>
  <c r="J130" i="40" s="1"/>
  <c r="AD144" i="23"/>
  <c r="I97" i="40" s="1"/>
  <c r="J97" i="40" s="1"/>
  <c r="AD145" i="23"/>
  <c r="AD146" i="23"/>
  <c r="I91" i="40" s="1"/>
  <c r="J91" i="40" s="1"/>
  <c r="AD147" i="23"/>
  <c r="AD148" i="23"/>
  <c r="I87" i="40" s="1"/>
  <c r="J87" i="40" s="1"/>
  <c r="AD149" i="23"/>
  <c r="AD150" i="23"/>
  <c r="I88" i="40" s="1"/>
  <c r="J88" i="40" s="1"/>
  <c r="AD151" i="23"/>
  <c r="I81" i="40" s="1"/>
  <c r="J81" i="40" s="1"/>
  <c r="AD152" i="23"/>
  <c r="AD153" i="23"/>
  <c r="I104" i="40" s="1"/>
  <c r="J104" i="40" s="1"/>
  <c r="AD154" i="23"/>
  <c r="AD155" i="23"/>
  <c r="AD156" i="23"/>
  <c r="I110" i="40" s="1"/>
  <c r="J110" i="40" s="1"/>
  <c r="AD157" i="23"/>
  <c r="AD158" i="23"/>
  <c r="I89" i="40" s="1"/>
  <c r="J89" i="40" s="1"/>
  <c r="AD159" i="23"/>
  <c r="AD161" i="23"/>
  <c r="I115" i="40" s="1"/>
  <c r="J115" i="40" s="1"/>
  <c r="AD160" i="23"/>
  <c r="I113" i="40" s="1"/>
  <c r="J113" i="40" s="1"/>
  <c r="AD162" i="23"/>
  <c r="I139" i="40" s="1"/>
  <c r="J139" i="40" s="1"/>
  <c r="AD163" i="23"/>
  <c r="AD164" i="23"/>
  <c r="I109" i="40" s="1"/>
  <c r="J109" i="40" s="1"/>
  <c r="AD165" i="23"/>
  <c r="AD166" i="23"/>
  <c r="I140" i="40" s="1"/>
  <c r="J140" i="40" s="1"/>
  <c r="AD167" i="23"/>
  <c r="AD168" i="23"/>
  <c r="I149" i="40" s="1"/>
  <c r="J149" i="40" s="1"/>
  <c r="AD169" i="23"/>
  <c r="I116" i="40" s="1"/>
  <c r="J116" i="40" s="1"/>
  <c r="AD170" i="23"/>
  <c r="I121" i="40" s="1"/>
  <c r="J121" i="40" s="1"/>
  <c r="AD171" i="23"/>
  <c r="AD172" i="23"/>
  <c r="I124" i="40" s="1"/>
  <c r="J124" i="40" s="1"/>
  <c r="AD173" i="23"/>
  <c r="I129" i="40" s="1"/>
  <c r="J129" i="40" s="1"/>
  <c r="AD174" i="23"/>
  <c r="I133" i="40" s="1"/>
  <c r="J133" i="40" s="1"/>
  <c r="AD175" i="23"/>
  <c r="I142" i="40" s="1"/>
  <c r="J142" i="40" s="1"/>
  <c r="AD176" i="23"/>
  <c r="AD177" i="23"/>
  <c r="I143" i="40" s="1"/>
  <c r="J143" i="40" s="1"/>
  <c r="AD178" i="23"/>
  <c r="I147" i="40" s="1"/>
  <c r="J147" i="40" s="1"/>
  <c r="AD179" i="23"/>
  <c r="AD180" i="23"/>
  <c r="AD181" i="23"/>
  <c r="AD182" i="23"/>
  <c r="I84" i="40" s="1"/>
  <c r="J84" i="40" s="1"/>
  <c r="AD183" i="23"/>
  <c r="I146" i="40" s="1"/>
  <c r="J146" i="40" s="1"/>
  <c r="AD184" i="23"/>
  <c r="AD185" i="23"/>
  <c r="I215" i="40" s="1"/>
  <c r="J215" i="40" s="1"/>
  <c r="AD186" i="23"/>
  <c r="I193" i="40" s="1"/>
  <c r="J193" i="40" s="1"/>
  <c r="AD187" i="23"/>
  <c r="AD188" i="23"/>
  <c r="I214" i="40" s="1"/>
  <c r="J214" i="40" s="1"/>
  <c r="AD189" i="23"/>
  <c r="I166" i="40" s="1"/>
  <c r="J166" i="40" s="1"/>
  <c r="AD190" i="23"/>
  <c r="I159" i="40" s="1"/>
  <c r="J159" i="40" s="1"/>
  <c r="AD191" i="23"/>
  <c r="I212" i="40" s="1"/>
  <c r="J212" i="40" s="1"/>
  <c r="AD192" i="23"/>
  <c r="AD193" i="23"/>
  <c r="I186" i="40" s="1"/>
  <c r="J186" i="40" s="1"/>
  <c r="AD194" i="23"/>
  <c r="AD195" i="23"/>
  <c r="I168" i="40" s="1"/>
  <c r="J168" i="40" s="1"/>
  <c r="AD196" i="23"/>
  <c r="AD197" i="23"/>
  <c r="I205" i="40" s="1"/>
  <c r="J205" i="40" s="1"/>
  <c r="AD198" i="23"/>
  <c r="I210" i="40" s="1"/>
  <c r="J210" i="40" s="1"/>
  <c r="AD199" i="23"/>
  <c r="I170" i="40" s="1"/>
  <c r="J170" i="40" s="1"/>
  <c r="AD200" i="23"/>
  <c r="AD201" i="23"/>
  <c r="I172" i="40" s="1"/>
  <c r="J172" i="40" s="1"/>
  <c r="AD203" i="23"/>
  <c r="I200" i="40" s="1"/>
  <c r="J200" i="40" s="1"/>
  <c r="AD202" i="23"/>
  <c r="AD204" i="23"/>
  <c r="I204" i="40" s="1"/>
  <c r="J204" i="40" s="1"/>
  <c r="AD205" i="23"/>
  <c r="I209" i="40" s="1"/>
  <c r="J209" i="40" s="1"/>
  <c r="AD206" i="23"/>
  <c r="I178" i="40" s="1"/>
  <c r="J178" i="40" s="1"/>
  <c r="AD207" i="23"/>
  <c r="I158" i="40" s="1"/>
  <c r="J158" i="40" s="1"/>
  <c r="AD208" i="23"/>
  <c r="I167" i="40" s="1"/>
  <c r="J167" i="40" s="1"/>
  <c r="AD209" i="23"/>
  <c r="AD210" i="23"/>
  <c r="I213" i="40" s="1"/>
  <c r="J213" i="40" s="1"/>
  <c r="AD211" i="23"/>
  <c r="I23" i="17" s="1"/>
  <c r="J23" i="17" s="1"/>
  <c r="AD212" i="23"/>
  <c r="I195" i="40" s="1"/>
  <c r="J195" i="40" s="1"/>
  <c r="AD213" i="23"/>
  <c r="AD214" i="23"/>
  <c r="AD215" i="23"/>
  <c r="I171" i="40" s="1"/>
  <c r="J171" i="40" s="1"/>
  <c r="AD216" i="23"/>
  <c r="I203" i="40" s="1"/>
  <c r="J203" i="40" s="1"/>
  <c r="AD217" i="23"/>
  <c r="AD218" i="23"/>
  <c r="I185" i="40" s="1"/>
  <c r="J185" i="40" s="1"/>
  <c r="AD219" i="23"/>
  <c r="AD220" i="23"/>
  <c r="I151" i="40" s="1"/>
  <c r="J151" i="40" s="1"/>
  <c r="AD221" i="23"/>
  <c r="I180" i="40" s="1"/>
  <c r="J180" i="40" s="1"/>
  <c r="AD222" i="23"/>
  <c r="I160" i="40" s="1"/>
  <c r="J160" i="40" s="1"/>
  <c r="AD223" i="23"/>
  <c r="AD224" i="23"/>
  <c r="I179" i="40" s="1"/>
  <c r="J179" i="40" s="1"/>
  <c r="AD226" i="23"/>
  <c r="AD225" i="23"/>
  <c r="I190" i="40" s="1"/>
  <c r="J190" i="40" s="1"/>
  <c r="AD227" i="23"/>
  <c r="I183" i="40" s="1"/>
  <c r="J183" i="40" s="1"/>
  <c r="AD228" i="23"/>
  <c r="I201" i="40" s="1"/>
  <c r="J201" i="40" s="1"/>
  <c r="AD229" i="23"/>
  <c r="I182" i="40" s="1"/>
  <c r="J182" i="40" s="1"/>
  <c r="AD230" i="23"/>
  <c r="I191" i="40" s="1"/>
  <c r="J191" i="40" s="1"/>
  <c r="AD231" i="23"/>
  <c r="AD232" i="23"/>
  <c r="AD233" i="23"/>
  <c r="I211" i="40" s="1"/>
  <c r="J211" i="40" s="1"/>
  <c r="AD234" i="23"/>
  <c r="AD236" i="23"/>
  <c r="AD235" i="23"/>
  <c r="I156" i="40" s="1"/>
  <c r="J156" i="40" s="1"/>
  <c r="AD237" i="23"/>
  <c r="I176" i="40" s="1"/>
  <c r="J176" i="40" s="1"/>
  <c r="AD238" i="23"/>
  <c r="AD239" i="23"/>
  <c r="I164" i="40" s="1"/>
  <c r="J164" i="40" s="1"/>
  <c r="AD240" i="23"/>
  <c r="I197" i="40" s="1"/>
  <c r="J197" i="40" s="1"/>
  <c r="AD241" i="23"/>
  <c r="AD242" i="23"/>
  <c r="AD243" i="23"/>
  <c r="AD244" i="23"/>
  <c r="I177" i="40" s="1"/>
  <c r="J177" i="40" s="1"/>
  <c r="AD245" i="23"/>
  <c r="I208" i="40" s="1"/>
  <c r="J208" i="40" s="1"/>
  <c r="AD246" i="23"/>
  <c r="I153" i="40" s="1"/>
  <c r="J153" i="40" s="1"/>
  <c r="AD247" i="23"/>
  <c r="AD249" i="23"/>
  <c r="I192" i="40" s="1"/>
  <c r="J192" i="40" s="1"/>
  <c r="AD248" i="23"/>
  <c r="AD251" i="23"/>
  <c r="I161" i="40" s="1"/>
  <c r="J161" i="40" s="1"/>
  <c r="AD250" i="23"/>
  <c r="I196" i="40" s="1"/>
  <c r="J196" i="40" s="1"/>
  <c r="AD252" i="23"/>
  <c r="I169" i="40" s="1"/>
  <c r="J169" i="40" s="1"/>
  <c r="AD253" i="23"/>
  <c r="I163" i="40" s="1"/>
  <c r="J163" i="40" s="1"/>
  <c r="AD254" i="23"/>
  <c r="I286" i="17" s="1"/>
  <c r="J286" i="17" s="1"/>
  <c r="AD255" i="23"/>
  <c r="AD256" i="23"/>
  <c r="I157" i="40" s="1"/>
  <c r="J157" i="40" s="1"/>
  <c r="AD257" i="23"/>
  <c r="AD258" i="23"/>
  <c r="I198" i="40" s="1"/>
  <c r="J198" i="40" s="1"/>
  <c r="AD259" i="23"/>
  <c r="AD260" i="23"/>
  <c r="AD261" i="23"/>
  <c r="I150" i="40" s="1"/>
  <c r="J150" i="40" s="1"/>
  <c r="AD262" i="23"/>
  <c r="I175" i="40" s="1"/>
  <c r="J175" i="40" s="1"/>
  <c r="AD263" i="23"/>
  <c r="I184" i="40" s="1"/>
  <c r="J184" i="40" s="1"/>
  <c r="AD264" i="23"/>
  <c r="AD265" i="23"/>
  <c r="I181" i="40" s="1"/>
  <c r="J181" i="40" s="1"/>
  <c r="AD266" i="23"/>
  <c r="I173" i="40" s="1"/>
  <c r="J173" i="40" s="1"/>
  <c r="AD267" i="23"/>
  <c r="AD268" i="23"/>
  <c r="AD269" i="23"/>
  <c r="AD270" i="23"/>
  <c r="AD272" i="23"/>
  <c r="AD271" i="23"/>
  <c r="I248" i="40" s="1"/>
  <c r="J248" i="40" s="1"/>
  <c r="AD273" i="23"/>
  <c r="I260" i="40" s="1"/>
  <c r="J260" i="40" s="1"/>
  <c r="AD274" i="23"/>
  <c r="AD276" i="23"/>
  <c r="AD275" i="23"/>
  <c r="I279" i="40" s="1"/>
  <c r="J279" i="40" s="1"/>
  <c r="AD277" i="23"/>
  <c r="I259" i="40" s="1"/>
  <c r="J259" i="40" s="1"/>
  <c r="AD278" i="23"/>
  <c r="I267" i="40" s="1"/>
  <c r="J267" i="40" s="1"/>
  <c r="AD279" i="23"/>
  <c r="I170" i="17" s="1"/>
  <c r="J170" i="17" s="1"/>
  <c r="AD280" i="23"/>
  <c r="I251" i="40" s="1"/>
  <c r="J251" i="40" s="1"/>
  <c r="AD282" i="23"/>
  <c r="I257" i="40" s="1"/>
  <c r="J257" i="40" s="1"/>
  <c r="AD281" i="23"/>
  <c r="AD283" i="23"/>
  <c r="I270" i="40" s="1"/>
  <c r="J270" i="40" s="1"/>
  <c r="AD284" i="23"/>
  <c r="AD285" i="23"/>
  <c r="AD286" i="23"/>
  <c r="I266" i="40" s="1"/>
  <c r="J266" i="40" s="1"/>
  <c r="AD287" i="23"/>
  <c r="AD288" i="23"/>
  <c r="I237" i="40" s="1"/>
  <c r="J237" i="40" s="1"/>
  <c r="AD289" i="23"/>
  <c r="AD290" i="23"/>
  <c r="I219" i="40" s="1"/>
  <c r="J219" i="40" s="1"/>
  <c r="AD291" i="23"/>
  <c r="AD292" i="23"/>
  <c r="I242" i="40" s="1"/>
  <c r="J242" i="40" s="1"/>
  <c r="AD293" i="23"/>
  <c r="AD294" i="23"/>
  <c r="I244" i="40" s="1"/>
  <c r="J244" i="40" s="1"/>
  <c r="AD295" i="23"/>
  <c r="AD296" i="23"/>
  <c r="I246" i="40" s="1"/>
  <c r="J246" i="40" s="1"/>
  <c r="AD297" i="23"/>
  <c r="AD298" i="23"/>
  <c r="I231" i="40" s="1"/>
  <c r="J231" i="40" s="1"/>
  <c r="AD299" i="23"/>
  <c r="I294" i="17" s="1"/>
  <c r="J294" i="17" s="1"/>
  <c r="AD300" i="23"/>
  <c r="I265" i="40" s="1"/>
  <c r="J265" i="40" s="1"/>
  <c r="AD301" i="23"/>
  <c r="I238" i="40" s="1"/>
  <c r="J238" i="40" s="1"/>
  <c r="AD302" i="23"/>
  <c r="I235" i="40" s="1"/>
  <c r="J235" i="40" s="1"/>
  <c r="AD303" i="23"/>
  <c r="AD304" i="23"/>
  <c r="I280" i="40" s="1"/>
  <c r="J280" i="40" s="1"/>
  <c r="AD305" i="23"/>
  <c r="I271" i="40" s="1"/>
  <c r="J271" i="40" s="1"/>
  <c r="AD306" i="23"/>
  <c r="AD307" i="23"/>
  <c r="I278" i="40" s="1"/>
  <c r="J278" i="40" s="1"/>
  <c r="AD308" i="23"/>
  <c r="I8" i="17" s="1"/>
  <c r="J8" i="17" s="1"/>
  <c r="AD309" i="23"/>
  <c r="AD310" i="23"/>
  <c r="I285" i="40" s="1"/>
  <c r="J285" i="40" s="1"/>
  <c r="AD311" i="23"/>
  <c r="I222" i="40" s="1"/>
  <c r="J222" i="40" s="1"/>
  <c r="AD312" i="23"/>
  <c r="I225" i="40" s="1"/>
  <c r="J225" i="40" s="1"/>
  <c r="AD313" i="23"/>
  <c r="I135" i="17" s="1"/>
  <c r="J135" i="17" s="1"/>
  <c r="AD314" i="23"/>
  <c r="I281" i="40" s="1"/>
  <c r="J281" i="40" s="1"/>
  <c r="AD315" i="23"/>
  <c r="I228" i="40" s="1"/>
  <c r="J228" i="40" s="1"/>
  <c r="AD316" i="23"/>
  <c r="AD317" i="23"/>
  <c r="I218" i="40" s="1"/>
  <c r="J218" i="40" s="1"/>
  <c r="AD318" i="23"/>
  <c r="I252" i="40" s="1"/>
  <c r="J252" i="40" s="1"/>
  <c r="AD319" i="23"/>
  <c r="AD320" i="23"/>
  <c r="I269" i="40" s="1"/>
  <c r="J269" i="40" s="1"/>
  <c r="AD321" i="23"/>
  <c r="I282" i="40" s="1"/>
  <c r="J282" i="40" s="1"/>
  <c r="AD322" i="23"/>
  <c r="I241" i="40" s="1"/>
  <c r="J241" i="40" s="1"/>
  <c r="AD323" i="23"/>
  <c r="I249" i="40" s="1"/>
  <c r="J249" i="40" s="1"/>
  <c r="AD324" i="23"/>
  <c r="I297" i="17" s="1"/>
  <c r="J297" i="17" s="1"/>
  <c r="AD325" i="23"/>
  <c r="I217" i="40" s="1"/>
  <c r="J217" i="40" s="1"/>
  <c r="AD326" i="23"/>
  <c r="AD327" i="23"/>
  <c r="AD328" i="23"/>
  <c r="I230" i="40" s="1"/>
  <c r="J230" i="40" s="1"/>
  <c r="AD329" i="23"/>
  <c r="AD330" i="23"/>
  <c r="I220" i="40" s="1"/>
  <c r="J220" i="40" s="1"/>
  <c r="AD331" i="23"/>
  <c r="I274" i="40" s="1"/>
  <c r="J274" i="40" s="1"/>
  <c r="AD332" i="23"/>
  <c r="AD333" i="23"/>
  <c r="I254" i="40" s="1"/>
  <c r="J254" i="40" s="1"/>
  <c r="AD334" i="23"/>
  <c r="AD335" i="23"/>
  <c r="I227" i="40" s="1"/>
  <c r="J227" i="40" s="1"/>
  <c r="AD336" i="23"/>
  <c r="I221" i="40" s="1"/>
  <c r="J221" i="40" s="1"/>
  <c r="AD337" i="23"/>
  <c r="AD338" i="23"/>
  <c r="I250" i="40" s="1"/>
  <c r="J250" i="40" s="1"/>
  <c r="AD339" i="23"/>
  <c r="AD340" i="23"/>
  <c r="I283" i="40" s="1"/>
  <c r="J283" i="40" s="1"/>
  <c r="AD341" i="23"/>
  <c r="AD342" i="23"/>
  <c r="I14" i="17" s="1"/>
  <c r="J14" i="17" s="1"/>
  <c r="AD343" i="23"/>
  <c r="I261" i="40" s="1"/>
  <c r="J261" i="40" s="1"/>
  <c r="AD344" i="23"/>
  <c r="I224" i="40" s="1"/>
  <c r="J224" i="40" s="1"/>
  <c r="AD345" i="23"/>
  <c r="I216" i="17" s="1"/>
  <c r="J216" i="17" s="1"/>
  <c r="AD346" i="23"/>
  <c r="I272" i="40" s="1"/>
  <c r="J272" i="40" s="1"/>
  <c r="AD347" i="23"/>
  <c r="AD348" i="23"/>
  <c r="I277" i="40" s="1"/>
  <c r="J277" i="40" s="1"/>
  <c r="AD349" i="23"/>
  <c r="AD350" i="23"/>
  <c r="I253" i="40" s="1"/>
  <c r="J253" i="40" s="1"/>
  <c r="AD351" i="23"/>
  <c r="I264" i="40" s="1"/>
  <c r="J264" i="40" s="1"/>
  <c r="AD352" i="23"/>
  <c r="I22" i="17" s="1"/>
  <c r="J22" i="17" s="1"/>
  <c r="AD353" i="23"/>
  <c r="I275" i="40" s="1"/>
  <c r="J275" i="40" s="1"/>
  <c r="AD354" i="23"/>
  <c r="AD355" i="23"/>
  <c r="I232" i="40" s="1"/>
  <c r="J232" i="40" s="1"/>
  <c r="AD356" i="23"/>
  <c r="AD357" i="23"/>
  <c r="I276" i="40" s="1"/>
  <c r="J276" i="40" s="1"/>
  <c r="AD358" i="23"/>
  <c r="I256" i="40" s="1"/>
  <c r="J256" i="40" s="1"/>
  <c r="AD359" i="23"/>
  <c r="I239" i="40" s="1"/>
  <c r="J239" i="40" s="1"/>
  <c r="AD361" i="23"/>
  <c r="AD360" i="23"/>
  <c r="I247" i="40" s="1"/>
  <c r="J247" i="40" s="1"/>
  <c r="AD362" i="23"/>
  <c r="I240" i="40" s="1"/>
  <c r="J240" i="40" s="1"/>
  <c r="AD363" i="23"/>
  <c r="I255" i="40" s="1"/>
  <c r="J255" i="40" s="1"/>
  <c r="AD365" i="23"/>
  <c r="I258" i="40" s="1"/>
  <c r="J258" i="40" s="1"/>
  <c r="AD366" i="23"/>
  <c r="AD368" i="23"/>
  <c r="AD369" i="23"/>
  <c r="AD371" i="23"/>
  <c r="AD372" i="23"/>
  <c r="AD374" i="23"/>
  <c r="AD376" i="23"/>
  <c r="I293" i="40" s="1"/>
  <c r="J293" i="40" s="1"/>
  <c r="AD377" i="23"/>
  <c r="AD379" i="23"/>
  <c r="I10" i="40" s="1"/>
  <c r="J10" i="40" s="1"/>
  <c r="AD381" i="23"/>
  <c r="AD383" i="23"/>
  <c r="AD385" i="23"/>
  <c r="I5" i="40" s="1"/>
  <c r="J5" i="40" s="1"/>
  <c r="AD387" i="23"/>
  <c r="AD388" i="23"/>
  <c r="AD390" i="23"/>
  <c r="I289" i="40" s="1"/>
  <c r="J289" i="40" s="1"/>
  <c r="AD393" i="23"/>
  <c r="I31" i="40" s="1"/>
  <c r="J31" i="40" s="1"/>
  <c r="AD391" i="23"/>
  <c r="AD395" i="23"/>
  <c r="I262" i="40" s="1"/>
  <c r="J262" i="40" s="1"/>
  <c r="AD397" i="23"/>
  <c r="I291" i="40" s="1"/>
  <c r="J291" i="40" s="1"/>
  <c r="AD399" i="23"/>
  <c r="I296" i="40" s="1"/>
  <c r="J296" i="40" s="1"/>
  <c r="AD401" i="23"/>
  <c r="AD402" i="23"/>
  <c r="I298" i="40" s="1"/>
  <c r="J298" i="40" s="1"/>
  <c r="AD404" i="23"/>
  <c r="I316" i="40" s="1"/>
  <c r="J316" i="40" s="1"/>
  <c r="AD406" i="23"/>
  <c r="I288" i="40" s="1"/>
  <c r="J288" i="40" s="1"/>
  <c r="AD407" i="23"/>
  <c r="AD409" i="23"/>
  <c r="I313" i="40" s="1"/>
  <c r="J313" i="40" s="1"/>
  <c r="AD410" i="23"/>
  <c r="AD412" i="23"/>
  <c r="AD414" i="23"/>
  <c r="I103" i="40" s="1"/>
  <c r="J103" i="40" s="1"/>
  <c r="AD415" i="23"/>
  <c r="AD417" i="23"/>
  <c r="AD418" i="23"/>
  <c r="I308" i="40" s="1"/>
  <c r="J308" i="40" s="1"/>
  <c r="AD420" i="23"/>
  <c r="AD422" i="23"/>
  <c r="AD423" i="23"/>
  <c r="I28" i="40" s="1"/>
  <c r="J28" i="40" s="1"/>
  <c r="AD425" i="23"/>
  <c r="I310" i="40" s="1"/>
  <c r="J310" i="40" s="1"/>
  <c r="AD427" i="23"/>
  <c r="AD429" i="23"/>
  <c r="AD431" i="23"/>
  <c r="AD432" i="23"/>
  <c r="I302" i="40" s="1"/>
  <c r="J302" i="40" s="1"/>
  <c r="AD434" i="23"/>
  <c r="I292" i="40" s="1"/>
  <c r="J292" i="40" s="1"/>
  <c r="AD436" i="23"/>
  <c r="AD438" i="23"/>
  <c r="I305" i="40" s="1"/>
  <c r="J305" i="40" s="1"/>
  <c r="AD439" i="23"/>
  <c r="AD441" i="23"/>
  <c r="AD443" i="23"/>
  <c r="I318" i="40" s="1"/>
  <c r="J318" i="40" s="1"/>
  <c r="AD444" i="23"/>
  <c r="I194" i="40" s="1"/>
  <c r="J194" i="40" s="1"/>
  <c r="AD445" i="23"/>
  <c r="AD446" i="23"/>
  <c r="I295" i="40" s="1"/>
  <c r="J295" i="40" s="1"/>
  <c r="AD447" i="23"/>
  <c r="AD449" i="23"/>
  <c r="I126" i="40" s="1"/>
  <c r="J126" i="40" s="1"/>
  <c r="AD448" i="23"/>
  <c r="AD451" i="23"/>
  <c r="AD450" i="23"/>
  <c r="I206" i="40" s="1"/>
  <c r="J206" i="40" s="1"/>
  <c r="AD452" i="23"/>
  <c r="I174" i="40" s="1"/>
  <c r="J174" i="40" s="1"/>
  <c r="AD453" i="23"/>
  <c r="AD454" i="23"/>
  <c r="I189" i="40" s="1"/>
  <c r="J189" i="40" s="1"/>
  <c r="AD455" i="23"/>
  <c r="I152" i="40" s="1"/>
  <c r="J152" i="40" s="1"/>
  <c r="AD456" i="23"/>
  <c r="AD457" i="23"/>
  <c r="I162" i="40" s="1"/>
  <c r="J162" i="40" s="1"/>
  <c r="AD458" i="23"/>
  <c r="AD460" i="23"/>
  <c r="AD459" i="23"/>
  <c r="I315" i="40" s="1"/>
  <c r="J315" i="40" s="1"/>
  <c r="AD461" i="23"/>
  <c r="I39" i="40" s="1"/>
  <c r="J39" i="40" s="1"/>
  <c r="AD464" i="23"/>
  <c r="I114" i="40" s="1"/>
  <c r="J114" i="40" s="1"/>
  <c r="AD465" i="23"/>
  <c r="I311" i="40" s="1"/>
  <c r="J311" i="40" s="1"/>
  <c r="AD466" i="23"/>
  <c r="AD467" i="23"/>
  <c r="I202" i="40" s="1"/>
  <c r="J202" i="40" s="1"/>
  <c r="AD468" i="23"/>
  <c r="AD469" i="23"/>
  <c r="I154" i="40" s="1"/>
  <c r="J154" i="40" s="1"/>
  <c r="AD470" i="23"/>
  <c r="I83" i="40" s="1"/>
  <c r="J83" i="40" s="1"/>
  <c r="AD471" i="23"/>
  <c r="I59" i="40" s="1"/>
  <c r="J59" i="40" s="1"/>
  <c r="AD472" i="23"/>
  <c r="I137" i="40" s="1"/>
  <c r="J137" i="40" s="1"/>
  <c r="AD473" i="23"/>
  <c r="I236" i="40" s="1"/>
  <c r="J236" i="40" s="1"/>
  <c r="AD474" i="23"/>
  <c r="I120" i="40" s="1"/>
  <c r="J120" i="40" s="1"/>
  <c r="AD475" i="23"/>
  <c r="I273" i="40" s="1"/>
  <c r="J273" i="40" s="1"/>
  <c r="AD476" i="23"/>
  <c r="I307" i="40" s="1"/>
  <c r="J307" i="40" s="1"/>
  <c r="AD477" i="23"/>
  <c r="AD478" i="23"/>
  <c r="I41" i="40" s="1"/>
  <c r="J41" i="40" s="1"/>
  <c r="AD479" i="23"/>
  <c r="I112" i="40" s="1"/>
  <c r="J112" i="40" s="1"/>
  <c r="AD480" i="23"/>
  <c r="AD481" i="23"/>
  <c r="I229" i="40" s="1"/>
  <c r="J229" i="40" s="1"/>
  <c r="AD482" i="23"/>
  <c r="I299" i="17" s="1"/>
  <c r="J299" i="17" s="1"/>
  <c r="AD483" i="23"/>
  <c r="I284" i="40" s="1"/>
  <c r="J284" i="40" s="1"/>
  <c r="AD484" i="23"/>
  <c r="AD485" i="23"/>
  <c r="I199" i="40" s="1"/>
  <c r="J199" i="40" s="1"/>
  <c r="AD486" i="23"/>
  <c r="AD487" i="23"/>
  <c r="I245" i="40" s="1"/>
  <c r="J245" i="40" s="1"/>
  <c r="AD488" i="23"/>
  <c r="AD489" i="23"/>
  <c r="I233" i="40" s="1"/>
  <c r="J233" i="40" s="1"/>
  <c r="AD490" i="23"/>
  <c r="AD491" i="23"/>
  <c r="I123" i="40" s="1"/>
  <c r="J123" i="40" s="1"/>
  <c r="AD492" i="23"/>
  <c r="I226" i="40" s="1"/>
  <c r="J226" i="40" s="1"/>
  <c r="AD493" i="23"/>
  <c r="I136" i="40" s="1"/>
  <c r="J136" i="40" s="1"/>
  <c r="AD494" i="23"/>
  <c r="AD495" i="23"/>
  <c r="I155" i="40" s="1"/>
  <c r="J155" i="40" s="1"/>
  <c r="AD496" i="23"/>
  <c r="AD497" i="23"/>
  <c r="I314" i="40" s="1"/>
  <c r="J314" i="40" s="1"/>
  <c r="AD498" i="23"/>
  <c r="AD499" i="23"/>
  <c r="I63" i="40" s="1"/>
  <c r="J63" i="40" s="1"/>
  <c r="AD500" i="23"/>
  <c r="AD501" i="23"/>
  <c r="I45" i="40" s="1"/>
  <c r="J45" i="40" s="1"/>
  <c r="AD502" i="23"/>
  <c r="I141" i="40" s="1"/>
  <c r="J141" i="40" s="1"/>
  <c r="AD503" i="23"/>
  <c r="I187" i="40" s="1"/>
  <c r="J187" i="40" s="1"/>
  <c r="AD504" i="23"/>
  <c r="I239" i="17" s="1"/>
  <c r="J239" i="17" s="1"/>
  <c r="AD505" i="23"/>
  <c r="I301" i="17" s="1"/>
  <c r="J301" i="17" s="1"/>
  <c r="AD506" i="23"/>
  <c r="I188" i="40" s="1"/>
  <c r="J188" i="40" s="1"/>
  <c r="AD507" i="23"/>
  <c r="I223" i="40" s="1"/>
  <c r="J223" i="40" s="1"/>
  <c r="AD508" i="23"/>
  <c r="I268" i="40" s="1"/>
  <c r="J268" i="40" s="1"/>
  <c r="AD509" i="23"/>
  <c r="I309" i="40" s="1"/>
  <c r="J309" i="40" s="1"/>
  <c r="AD510" i="23"/>
  <c r="I9" i="40" s="1"/>
  <c r="J9" i="40" s="1"/>
  <c r="AD511" i="23"/>
  <c r="I35" i="40" s="1"/>
  <c r="J35" i="40" s="1"/>
  <c r="AD512" i="23"/>
  <c r="AD513" i="23"/>
  <c r="I165" i="40" s="1"/>
  <c r="J165" i="40" s="1"/>
  <c r="AD514" i="23"/>
  <c r="I52" i="40" s="1"/>
  <c r="J52" i="40" s="1"/>
  <c r="AD515" i="23"/>
  <c r="I29" i="40" s="1"/>
  <c r="J29" i="40" s="1"/>
  <c r="AD516" i="23"/>
  <c r="I80" i="40" s="1"/>
  <c r="J80" i="40" s="1"/>
  <c r="AD517" i="23"/>
  <c r="I234" i="40" s="1"/>
  <c r="J234" i="40" s="1"/>
  <c r="AD518" i="23"/>
  <c r="I303" i="40" s="1"/>
  <c r="J303" i="40" s="1"/>
  <c r="AD519" i="23"/>
  <c r="AD520" i="23"/>
  <c r="I243" i="17" s="1"/>
  <c r="J243" i="17" s="1"/>
  <c r="AD521" i="23"/>
  <c r="AD522" i="23"/>
  <c r="AD523" i="23"/>
  <c r="I42" i="17" s="1"/>
  <c r="J42" i="17" s="1"/>
  <c r="AD524" i="23"/>
  <c r="AD525" i="23"/>
  <c r="AD526" i="23"/>
  <c r="AD527" i="23"/>
  <c r="AD528" i="23"/>
  <c r="AD529" i="23"/>
  <c r="AD530" i="23"/>
  <c r="AD531" i="23"/>
  <c r="AD532" i="23"/>
  <c r="AD533" i="23"/>
  <c r="I178" i="17" s="1"/>
  <c r="J178" i="17" s="1"/>
  <c r="AD534" i="23"/>
  <c r="AD535" i="23"/>
  <c r="AD536" i="23"/>
  <c r="AD537" i="23"/>
  <c r="AD538" i="23"/>
  <c r="AD539" i="23"/>
  <c r="I313" i="17" s="1"/>
  <c r="J313" i="17" s="1"/>
  <c r="AD540" i="23"/>
  <c r="AD541" i="23"/>
  <c r="AD542" i="23"/>
  <c r="AD543" i="23"/>
  <c r="AD544" i="23"/>
  <c r="AD545" i="23"/>
  <c r="AD546" i="23"/>
  <c r="AD547" i="23"/>
  <c r="AD548" i="23"/>
  <c r="AD549" i="23"/>
  <c r="AD550" i="23"/>
  <c r="AD551" i="23"/>
  <c r="AD552" i="23"/>
  <c r="AD553" i="23"/>
  <c r="AD554" i="23"/>
  <c r="AD555" i="23"/>
  <c r="AD556" i="23"/>
  <c r="AD557" i="23"/>
  <c r="AD558" i="23"/>
  <c r="AD559" i="23"/>
  <c r="AD560" i="23"/>
  <c r="I312" i="17" s="1"/>
  <c r="J312" i="17" s="1"/>
  <c r="AD561" i="23"/>
  <c r="AD566" i="23"/>
  <c r="I108" i="17" s="1"/>
  <c r="J108" i="17" s="1"/>
  <c r="AD3" i="23"/>
  <c r="I20" i="40" s="1"/>
  <c r="J20" i="40" s="1"/>
  <c r="AD4" i="23"/>
  <c r="I25" i="40" s="1"/>
  <c r="J25" i="40" s="1"/>
  <c r="AD5" i="23"/>
  <c r="I65" i="40" s="1"/>
  <c r="J65" i="40" s="1"/>
  <c r="AD6" i="23"/>
  <c r="AD7" i="23"/>
  <c r="I74" i="17" s="1"/>
  <c r="J74" i="17" s="1"/>
  <c r="AD8" i="23"/>
  <c r="I40" i="40" s="1"/>
  <c r="J40" i="40" s="1"/>
  <c r="AD9" i="23"/>
  <c r="AD10" i="23"/>
  <c r="I13" i="40" s="1"/>
  <c r="J13" i="40" s="1"/>
  <c r="AD11" i="23"/>
  <c r="I291" i="17" s="1"/>
  <c r="J291" i="17" s="1"/>
  <c r="AD12" i="23"/>
  <c r="I75" i="40" s="1"/>
  <c r="J75" i="40" s="1"/>
  <c r="AD13" i="23"/>
  <c r="AD14" i="23"/>
  <c r="I48" i="40" s="1"/>
  <c r="J48" i="40" s="1"/>
  <c r="AD15" i="23"/>
  <c r="I7" i="40" s="1"/>
  <c r="J7" i="40" s="1"/>
  <c r="AD16" i="23"/>
  <c r="I67" i="40" s="1"/>
  <c r="J67" i="40" s="1"/>
  <c r="AD18" i="23"/>
  <c r="AD19" i="23"/>
  <c r="I46" i="40" s="1"/>
  <c r="J46" i="40" s="1"/>
  <c r="AD20" i="23"/>
  <c r="I6" i="40" s="1"/>
  <c r="J6" i="40" s="1"/>
  <c r="AD21" i="23"/>
  <c r="I72" i="40" s="1"/>
  <c r="J72" i="40" s="1"/>
  <c r="AD22" i="23"/>
  <c r="AD23" i="23"/>
  <c r="I38" i="40" s="1"/>
  <c r="J38" i="40" s="1"/>
  <c r="AD24" i="23"/>
  <c r="I153" i="17" s="1"/>
  <c r="J153" i="17" s="1"/>
  <c r="AD25" i="23"/>
  <c r="AD26" i="23"/>
  <c r="AD27" i="23"/>
  <c r="I12" i="40" s="1"/>
  <c r="J12" i="40" s="1"/>
  <c r="AD28" i="23"/>
  <c r="I272" i="17" s="1"/>
  <c r="J272" i="17" s="1"/>
  <c r="AD29" i="23"/>
  <c r="I64" i="40" s="1"/>
  <c r="J64" i="40" s="1"/>
  <c r="AD30" i="23"/>
  <c r="I34" i="40" s="1"/>
  <c r="J34" i="40" s="1"/>
  <c r="AD31" i="23"/>
  <c r="AD32" i="23"/>
  <c r="I58" i="40" s="1"/>
  <c r="J58" i="40" s="1"/>
  <c r="I37" i="17" l="1"/>
  <c r="J37" i="17" s="1"/>
  <c r="I92" i="17"/>
  <c r="J92" i="17" s="1"/>
  <c r="I260" i="17"/>
  <c r="J260" i="17" s="1"/>
  <c r="I116" i="17"/>
  <c r="J116" i="17" s="1"/>
  <c r="I82" i="17"/>
  <c r="J82" i="17" s="1"/>
  <c r="I117" i="17"/>
  <c r="J117" i="17" s="1"/>
  <c r="M67" i="40"/>
  <c r="P67" i="40"/>
  <c r="R67" i="40"/>
  <c r="N67" i="40"/>
  <c r="BB67" i="40" s="1"/>
  <c r="BJ67" i="40" s="1"/>
  <c r="BR67" i="40" s="1"/>
  <c r="O67" i="40"/>
  <c r="K67" i="40"/>
  <c r="L67" i="40"/>
  <c r="Q67" i="40"/>
  <c r="Q58" i="40"/>
  <c r="K58" i="40"/>
  <c r="L58" i="40"/>
  <c r="P58" i="40"/>
  <c r="R58" i="40"/>
  <c r="M58" i="40"/>
  <c r="N58" i="40"/>
  <c r="O58" i="40"/>
  <c r="BC58" i="40" s="1"/>
  <c r="BK58" i="40" s="1"/>
  <c r="BS58" i="40" s="1"/>
  <c r="M7" i="40"/>
  <c r="R7" i="40"/>
  <c r="K7" i="40"/>
  <c r="Q7" i="40"/>
  <c r="N7" i="40"/>
  <c r="L7" i="40"/>
  <c r="O7" i="40"/>
  <c r="P7" i="40"/>
  <c r="L35" i="40"/>
  <c r="M35" i="40"/>
  <c r="P35" i="40"/>
  <c r="N35" i="40"/>
  <c r="Q35" i="40"/>
  <c r="R35" i="40"/>
  <c r="O35" i="40"/>
  <c r="K35" i="40"/>
  <c r="M187" i="40"/>
  <c r="N187" i="40"/>
  <c r="K187" i="40"/>
  <c r="R187" i="40"/>
  <c r="Q187" i="40"/>
  <c r="P187" i="40"/>
  <c r="O187" i="40"/>
  <c r="L187" i="40"/>
  <c r="Q155" i="40"/>
  <c r="M155" i="40"/>
  <c r="R155" i="40"/>
  <c r="L155" i="40"/>
  <c r="P155" i="40"/>
  <c r="O155" i="40"/>
  <c r="K155" i="40"/>
  <c r="N155" i="40"/>
  <c r="K245" i="40"/>
  <c r="L245" i="40"/>
  <c r="M245" i="40"/>
  <c r="O245" i="40"/>
  <c r="Q245" i="40"/>
  <c r="N245" i="40"/>
  <c r="P245" i="40"/>
  <c r="R245" i="40"/>
  <c r="O112" i="40"/>
  <c r="M112" i="40"/>
  <c r="K112" i="40"/>
  <c r="N112" i="40"/>
  <c r="Q112" i="40"/>
  <c r="P112" i="40"/>
  <c r="R112" i="40"/>
  <c r="L112" i="40"/>
  <c r="M59" i="40"/>
  <c r="O59" i="40"/>
  <c r="N59" i="40"/>
  <c r="L59" i="40"/>
  <c r="Q59" i="40"/>
  <c r="R59" i="40"/>
  <c r="K59" i="40"/>
  <c r="P59" i="40"/>
  <c r="M39" i="40"/>
  <c r="L39" i="40"/>
  <c r="N39" i="40"/>
  <c r="R39" i="40"/>
  <c r="O39" i="40"/>
  <c r="P39" i="40"/>
  <c r="Q39" i="40"/>
  <c r="K39" i="40"/>
  <c r="R302" i="40"/>
  <c r="N302" i="40"/>
  <c r="M302" i="40"/>
  <c r="Q302" i="40"/>
  <c r="K302" i="40"/>
  <c r="P302" i="40"/>
  <c r="L302" i="40"/>
  <c r="O302" i="40"/>
  <c r="Q308" i="40"/>
  <c r="M308" i="40"/>
  <c r="O308" i="40"/>
  <c r="P308" i="40"/>
  <c r="L308" i="40"/>
  <c r="R308" i="40"/>
  <c r="K308" i="40"/>
  <c r="N308" i="40"/>
  <c r="M288" i="40"/>
  <c r="L288" i="40"/>
  <c r="P288" i="40"/>
  <c r="Q288" i="40"/>
  <c r="N288" i="40"/>
  <c r="K288" i="40"/>
  <c r="O288" i="40"/>
  <c r="R288" i="40"/>
  <c r="L31" i="40"/>
  <c r="N31" i="40"/>
  <c r="Q31" i="40"/>
  <c r="M31" i="40"/>
  <c r="O31" i="40"/>
  <c r="P31" i="40"/>
  <c r="K31" i="40"/>
  <c r="R31" i="40"/>
  <c r="O258" i="40"/>
  <c r="K258" i="40"/>
  <c r="M258" i="40"/>
  <c r="L258" i="40"/>
  <c r="N258" i="40"/>
  <c r="P258" i="40"/>
  <c r="Q258" i="40"/>
  <c r="R258" i="40"/>
  <c r="P277" i="40"/>
  <c r="O277" i="40"/>
  <c r="K277" i="40"/>
  <c r="N277" i="40"/>
  <c r="R277" i="40"/>
  <c r="M277" i="40"/>
  <c r="Q277" i="40"/>
  <c r="L277" i="40"/>
  <c r="Q283" i="40"/>
  <c r="M283" i="40"/>
  <c r="N283" i="40"/>
  <c r="O283" i="40"/>
  <c r="L283" i="40"/>
  <c r="R283" i="40"/>
  <c r="K283" i="40"/>
  <c r="P283" i="40"/>
  <c r="Q265" i="40"/>
  <c r="L265" i="40"/>
  <c r="M265" i="40"/>
  <c r="O265" i="40"/>
  <c r="K265" i="40"/>
  <c r="R265" i="40"/>
  <c r="N265" i="40"/>
  <c r="P265" i="40"/>
  <c r="K242" i="40"/>
  <c r="AY242" i="40" s="1"/>
  <c r="BG242" i="40" s="1"/>
  <c r="BO242" i="40" s="1"/>
  <c r="M242" i="40"/>
  <c r="L242" i="40"/>
  <c r="R242" i="40"/>
  <c r="P242" i="40"/>
  <c r="N242" i="40"/>
  <c r="Q242" i="40"/>
  <c r="O242" i="40"/>
  <c r="K279" i="40"/>
  <c r="M279" i="40"/>
  <c r="P279" i="40"/>
  <c r="Q279" i="40"/>
  <c r="L279" i="40"/>
  <c r="N279" i="40"/>
  <c r="O279" i="40"/>
  <c r="R279" i="40"/>
  <c r="O169" i="40"/>
  <c r="Q169" i="40"/>
  <c r="K169" i="40"/>
  <c r="M169" i="40"/>
  <c r="P169" i="40"/>
  <c r="L169" i="40"/>
  <c r="R169" i="40"/>
  <c r="N169" i="40"/>
  <c r="M177" i="40"/>
  <c r="R177" i="40"/>
  <c r="O177" i="40"/>
  <c r="N177" i="40"/>
  <c r="L177" i="40"/>
  <c r="AZ177" i="40" s="1"/>
  <c r="BH177" i="40" s="1"/>
  <c r="BP177" i="40" s="1"/>
  <c r="P177" i="40"/>
  <c r="K177" i="40"/>
  <c r="Q177" i="40"/>
  <c r="L156" i="40"/>
  <c r="Q156" i="40"/>
  <c r="K156" i="40"/>
  <c r="R156" i="40"/>
  <c r="O156" i="40"/>
  <c r="M156" i="40"/>
  <c r="P156" i="40"/>
  <c r="N156" i="40"/>
  <c r="M201" i="40"/>
  <c r="L201" i="40"/>
  <c r="K201" i="40"/>
  <c r="P201" i="40"/>
  <c r="Q201" i="40"/>
  <c r="N201" i="40"/>
  <c r="O201" i="40"/>
  <c r="R201" i="40"/>
  <c r="M151" i="40"/>
  <c r="Q151" i="40"/>
  <c r="R151" i="40"/>
  <c r="K151" i="40"/>
  <c r="O151" i="40"/>
  <c r="P151" i="40"/>
  <c r="N151" i="40"/>
  <c r="L151" i="40"/>
  <c r="P195" i="40"/>
  <c r="L195" i="40"/>
  <c r="K195" i="40"/>
  <c r="N195" i="40"/>
  <c r="Q195" i="40"/>
  <c r="M195" i="40"/>
  <c r="R195" i="40"/>
  <c r="O195" i="40"/>
  <c r="O204" i="40"/>
  <c r="K204" i="40"/>
  <c r="M204" i="40"/>
  <c r="P204" i="40"/>
  <c r="R204" i="40"/>
  <c r="L204" i="40"/>
  <c r="N204" i="40"/>
  <c r="Q204" i="40"/>
  <c r="BE204" i="40" s="1"/>
  <c r="BM204" i="40" s="1"/>
  <c r="BU204" i="40" s="1"/>
  <c r="M214" i="40"/>
  <c r="Q214" i="40"/>
  <c r="L214" i="40"/>
  <c r="N214" i="40"/>
  <c r="R214" i="40"/>
  <c r="O214" i="40"/>
  <c r="K214" i="40"/>
  <c r="P214" i="40"/>
  <c r="Q124" i="40"/>
  <c r="L124" i="40"/>
  <c r="K124" i="40"/>
  <c r="R124" i="40"/>
  <c r="O124" i="40"/>
  <c r="N124" i="40"/>
  <c r="P124" i="40"/>
  <c r="M124" i="40"/>
  <c r="K109" i="40"/>
  <c r="O109" i="40"/>
  <c r="N109" i="40"/>
  <c r="M109" i="40"/>
  <c r="Q109" i="40"/>
  <c r="R109" i="40"/>
  <c r="P109" i="40"/>
  <c r="L109" i="40"/>
  <c r="K110" i="40"/>
  <c r="Q110" i="40"/>
  <c r="P110" i="40"/>
  <c r="L110" i="40"/>
  <c r="O110" i="40"/>
  <c r="BC110" i="40" s="1"/>
  <c r="BK110" i="40" s="1"/>
  <c r="BS110" i="40" s="1"/>
  <c r="M110" i="40"/>
  <c r="N110" i="40"/>
  <c r="R110" i="40"/>
  <c r="K87" i="40"/>
  <c r="M87" i="40"/>
  <c r="P87" i="40"/>
  <c r="N87" i="40"/>
  <c r="L87" i="40"/>
  <c r="AZ87" i="40" s="1"/>
  <c r="BH87" i="40" s="1"/>
  <c r="BP87" i="40" s="1"/>
  <c r="O87" i="40"/>
  <c r="R87" i="40"/>
  <c r="Q87" i="40"/>
  <c r="K122" i="40"/>
  <c r="R122" i="40"/>
  <c r="BF122" i="40" s="1"/>
  <c r="BN122" i="40" s="1"/>
  <c r="BV122" i="40" s="1"/>
  <c r="M122" i="40"/>
  <c r="L122" i="40"/>
  <c r="P122" i="40"/>
  <c r="Q122" i="40"/>
  <c r="O122" i="40"/>
  <c r="N122" i="40"/>
  <c r="Q107" i="40"/>
  <c r="P107" i="40"/>
  <c r="BD107" i="40" s="1"/>
  <c r="BL107" i="40" s="1"/>
  <c r="BT107" i="40" s="1"/>
  <c r="O107" i="40"/>
  <c r="R107" i="40"/>
  <c r="N107" i="40"/>
  <c r="M107" i="40"/>
  <c r="L107" i="40"/>
  <c r="K107" i="40"/>
  <c r="K144" i="40"/>
  <c r="Q144" i="40"/>
  <c r="R144" i="40"/>
  <c r="O144" i="40"/>
  <c r="N144" i="40"/>
  <c r="L144" i="40"/>
  <c r="P144" i="40"/>
  <c r="M144" i="40"/>
  <c r="N70" i="40"/>
  <c r="O70" i="40"/>
  <c r="M70" i="40"/>
  <c r="L70" i="40"/>
  <c r="Q70" i="40"/>
  <c r="R70" i="40"/>
  <c r="K70" i="40"/>
  <c r="P70" i="40"/>
  <c r="Q57" i="40"/>
  <c r="R57" i="40"/>
  <c r="K57" i="40"/>
  <c r="P57" i="40"/>
  <c r="O57" i="40"/>
  <c r="L57" i="40"/>
  <c r="M57" i="40"/>
  <c r="N57" i="40"/>
  <c r="O60" i="40"/>
  <c r="R60" i="40"/>
  <c r="BF60" i="40" s="1"/>
  <c r="BN60" i="40" s="1"/>
  <c r="BV60" i="40" s="1"/>
  <c r="Q60" i="40"/>
  <c r="L60" i="40"/>
  <c r="P60" i="40"/>
  <c r="M60" i="40"/>
  <c r="N60" i="40"/>
  <c r="K60" i="40"/>
  <c r="L37" i="40"/>
  <c r="M37" i="40"/>
  <c r="O37" i="40"/>
  <c r="N37" i="40"/>
  <c r="Q37" i="40"/>
  <c r="K37" i="40"/>
  <c r="P37" i="40"/>
  <c r="R37" i="40"/>
  <c r="O61" i="40"/>
  <c r="N61" i="40"/>
  <c r="P61" i="40"/>
  <c r="L61" i="40"/>
  <c r="Q61" i="40"/>
  <c r="R61" i="40"/>
  <c r="K61" i="40"/>
  <c r="M61" i="40"/>
  <c r="M73" i="40"/>
  <c r="K73" i="40"/>
  <c r="Q73" i="40"/>
  <c r="N73" i="40"/>
  <c r="O73" i="40"/>
  <c r="P73" i="40"/>
  <c r="R73" i="40"/>
  <c r="L73" i="40"/>
  <c r="N32" i="40"/>
  <c r="M32" i="40"/>
  <c r="R32" i="40"/>
  <c r="Q32" i="40"/>
  <c r="K32" i="40"/>
  <c r="O32" i="40"/>
  <c r="L32" i="40"/>
  <c r="P32" i="40"/>
  <c r="O46" i="40"/>
  <c r="L46" i="40"/>
  <c r="K46" i="40"/>
  <c r="R46" i="40"/>
  <c r="P46" i="40"/>
  <c r="Q46" i="40"/>
  <c r="M46" i="40"/>
  <c r="N46" i="40"/>
  <c r="Q303" i="40"/>
  <c r="O303" i="40"/>
  <c r="P303" i="40"/>
  <c r="N303" i="40"/>
  <c r="M303" i="40"/>
  <c r="L303" i="40"/>
  <c r="K303" i="40"/>
  <c r="R303" i="40"/>
  <c r="M9" i="40"/>
  <c r="K9" i="40"/>
  <c r="Q9" i="40"/>
  <c r="L9" i="40"/>
  <c r="N9" i="40"/>
  <c r="P9" i="40"/>
  <c r="R9" i="40"/>
  <c r="O9" i="40"/>
  <c r="L141" i="40"/>
  <c r="BP141" i="40" s="1"/>
  <c r="CF141" i="40" s="1"/>
  <c r="CL141" i="40" s="1"/>
  <c r="CY141" i="40" s="1"/>
  <c r="CZ141" i="40" s="1"/>
  <c r="O141" i="40"/>
  <c r="BS141" i="40" s="1"/>
  <c r="P141" i="40"/>
  <c r="BT141" i="40" s="1"/>
  <c r="Q141" i="40"/>
  <c r="BU141" i="40" s="1"/>
  <c r="N141" i="40"/>
  <c r="BR141" i="40" s="1"/>
  <c r="K141" i="40"/>
  <c r="BO141" i="40" s="1"/>
  <c r="CE141" i="40" s="1"/>
  <c r="CK141" i="40" s="1"/>
  <c r="CW141" i="40" s="1"/>
  <c r="CX141" i="40" s="1"/>
  <c r="M141" i="40"/>
  <c r="BQ141" i="40" s="1"/>
  <c r="CG141" i="40" s="1"/>
  <c r="CM141" i="40" s="1"/>
  <c r="DA141" i="40" s="1"/>
  <c r="DB141" i="40" s="1"/>
  <c r="R141" i="40"/>
  <c r="BV141" i="40" s="1"/>
  <c r="N41" i="40"/>
  <c r="R41" i="40"/>
  <c r="O41" i="40"/>
  <c r="K41" i="40"/>
  <c r="L41" i="40"/>
  <c r="M41" i="40"/>
  <c r="P41" i="40"/>
  <c r="Q41" i="40"/>
  <c r="K83" i="40"/>
  <c r="O83" i="40"/>
  <c r="P83" i="40"/>
  <c r="Q83" i="40"/>
  <c r="M83" i="40"/>
  <c r="L83" i="40"/>
  <c r="R83" i="40"/>
  <c r="N83" i="40"/>
  <c r="M315" i="40"/>
  <c r="BA315" i="40" s="1"/>
  <c r="BI315" i="40" s="1"/>
  <c r="BQ315" i="40" s="1"/>
  <c r="N315" i="40"/>
  <c r="O315" i="40"/>
  <c r="R315" i="40"/>
  <c r="K315" i="40"/>
  <c r="P315" i="40"/>
  <c r="Q315" i="40"/>
  <c r="L315" i="40"/>
  <c r="Q174" i="40"/>
  <c r="M174" i="40"/>
  <c r="K174" i="40"/>
  <c r="R174" i="40"/>
  <c r="O174" i="40"/>
  <c r="N174" i="40"/>
  <c r="L174" i="40"/>
  <c r="P174" i="40"/>
  <c r="Q194" i="40"/>
  <c r="N194" i="40"/>
  <c r="K194" i="40"/>
  <c r="R194" i="40"/>
  <c r="O194" i="40"/>
  <c r="M194" i="40"/>
  <c r="P194" i="40"/>
  <c r="L194" i="40"/>
  <c r="N316" i="40"/>
  <c r="L316" i="40"/>
  <c r="R316" i="40"/>
  <c r="M316" i="40"/>
  <c r="Q316" i="40"/>
  <c r="P316" i="40"/>
  <c r="K316" i="40"/>
  <c r="O316" i="40"/>
  <c r="Q289" i="40"/>
  <c r="K289" i="40"/>
  <c r="O289" i="40"/>
  <c r="M289" i="40"/>
  <c r="R289" i="40"/>
  <c r="N289" i="40"/>
  <c r="P289" i="40"/>
  <c r="L289" i="40"/>
  <c r="R293" i="40"/>
  <c r="K293" i="40"/>
  <c r="L293" i="40"/>
  <c r="N293" i="40"/>
  <c r="P293" i="40"/>
  <c r="O293" i="40"/>
  <c r="Q293" i="40"/>
  <c r="M293" i="40"/>
  <c r="P255" i="40"/>
  <c r="Q255" i="40"/>
  <c r="L255" i="40"/>
  <c r="O255" i="40"/>
  <c r="N255" i="40"/>
  <c r="R255" i="40"/>
  <c r="K255" i="40"/>
  <c r="M255" i="40"/>
  <c r="R232" i="40"/>
  <c r="Q232" i="40"/>
  <c r="L232" i="40"/>
  <c r="K232" i="40"/>
  <c r="O232" i="40"/>
  <c r="P232" i="40"/>
  <c r="N232" i="40"/>
  <c r="M232" i="40"/>
  <c r="O274" i="40"/>
  <c r="M274" i="40"/>
  <c r="K274" i="40"/>
  <c r="L274" i="40"/>
  <c r="R274" i="40"/>
  <c r="Q274" i="40"/>
  <c r="N274" i="40"/>
  <c r="P274" i="40"/>
  <c r="O249" i="40"/>
  <c r="N249" i="40"/>
  <c r="P249" i="40"/>
  <c r="L249" i="40"/>
  <c r="M249" i="40"/>
  <c r="R249" i="40"/>
  <c r="K249" i="40"/>
  <c r="Q249" i="40"/>
  <c r="M228" i="40"/>
  <c r="R228" i="40"/>
  <c r="K228" i="40"/>
  <c r="O228" i="40"/>
  <c r="L228" i="40"/>
  <c r="Q228" i="40"/>
  <c r="N228" i="40"/>
  <c r="P228" i="40"/>
  <c r="L278" i="40"/>
  <c r="K278" i="40"/>
  <c r="Q278" i="40"/>
  <c r="O278" i="40"/>
  <c r="N278" i="40"/>
  <c r="P278" i="40"/>
  <c r="R278" i="40"/>
  <c r="M278" i="40"/>
  <c r="M270" i="40"/>
  <c r="L270" i="40"/>
  <c r="N270" i="40"/>
  <c r="K270" i="40"/>
  <c r="P270" i="40"/>
  <c r="R270" i="40"/>
  <c r="O270" i="40"/>
  <c r="Q270" i="40"/>
  <c r="R196" i="40"/>
  <c r="K196" i="40"/>
  <c r="M196" i="40"/>
  <c r="O196" i="40"/>
  <c r="N196" i="40"/>
  <c r="L196" i="40"/>
  <c r="P196" i="40"/>
  <c r="Q196" i="40"/>
  <c r="M183" i="40"/>
  <c r="L183" i="40"/>
  <c r="R183" i="40"/>
  <c r="O183" i="40"/>
  <c r="N183" i="40"/>
  <c r="K183" i="40"/>
  <c r="P183" i="40"/>
  <c r="Q183" i="40"/>
  <c r="L168" i="40"/>
  <c r="K168" i="40"/>
  <c r="N168" i="40"/>
  <c r="Q168" i="40"/>
  <c r="M168" i="40"/>
  <c r="R168" i="40"/>
  <c r="P168" i="40"/>
  <c r="O168" i="40"/>
  <c r="K118" i="40"/>
  <c r="O118" i="40"/>
  <c r="N118" i="40"/>
  <c r="P118" i="40"/>
  <c r="L118" i="40"/>
  <c r="Q118" i="40"/>
  <c r="R118" i="40"/>
  <c r="M118" i="40"/>
  <c r="N82" i="40"/>
  <c r="M82" i="40"/>
  <c r="L82" i="40"/>
  <c r="O82" i="40"/>
  <c r="R82" i="40"/>
  <c r="Q82" i="40"/>
  <c r="P82" i="40"/>
  <c r="K82" i="40"/>
  <c r="K102" i="40"/>
  <c r="Q102" i="40"/>
  <c r="O102" i="40"/>
  <c r="L102" i="40"/>
  <c r="M102" i="40"/>
  <c r="P102" i="40"/>
  <c r="R102" i="40"/>
  <c r="N102" i="40"/>
  <c r="Q125" i="40"/>
  <c r="O125" i="40"/>
  <c r="L125" i="40"/>
  <c r="K125" i="40"/>
  <c r="R125" i="40"/>
  <c r="BF125" i="40" s="1"/>
  <c r="BN125" i="40" s="1"/>
  <c r="BV125" i="40" s="1"/>
  <c r="N125" i="40"/>
  <c r="M125" i="40"/>
  <c r="P125" i="40"/>
  <c r="R117" i="40"/>
  <c r="K117" i="40"/>
  <c r="O117" i="40"/>
  <c r="N117" i="40"/>
  <c r="M117" i="40"/>
  <c r="L117" i="40"/>
  <c r="Q117" i="40"/>
  <c r="P117" i="40"/>
  <c r="K16" i="40"/>
  <c r="M16" i="40"/>
  <c r="O16" i="40"/>
  <c r="P16" i="40"/>
  <c r="Q16" i="40"/>
  <c r="L16" i="40"/>
  <c r="R16" i="40"/>
  <c r="N16" i="40"/>
  <c r="K66" i="40"/>
  <c r="R66" i="40"/>
  <c r="N66" i="40"/>
  <c r="M66" i="40"/>
  <c r="L66" i="40"/>
  <c r="Q66" i="40"/>
  <c r="O66" i="40"/>
  <c r="P66" i="40"/>
  <c r="R68" i="40"/>
  <c r="O68" i="40"/>
  <c r="L68" i="40"/>
  <c r="M68" i="40"/>
  <c r="N68" i="40"/>
  <c r="K68" i="40"/>
  <c r="Q68" i="40"/>
  <c r="P68" i="40"/>
  <c r="BD68" i="40" s="1"/>
  <c r="BL68" i="40" s="1"/>
  <c r="BT68" i="40" s="1"/>
  <c r="N51" i="40"/>
  <c r="P51" i="40"/>
  <c r="M51" i="40"/>
  <c r="L51" i="40"/>
  <c r="Q51" i="40"/>
  <c r="R51" i="40"/>
  <c r="K51" i="40"/>
  <c r="O51" i="40"/>
  <c r="N76" i="40"/>
  <c r="M76" i="40"/>
  <c r="O76" i="40"/>
  <c r="L76" i="40"/>
  <c r="AZ76" i="40" s="1"/>
  <c r="BH76" i="40" s="1"/>
  <c r="BP76" i="40" s="1"/>
  <c r="Q76" i="40"/>
  <c r="K76" i="40"/>
  <c r="R76" i="40"/>
  <c r="P76" i="40"/>
  <c r="Q12" i="40"/>
  <c r="R12" i="40"/>
  <c r="K12" i="40"/>
  <c r="O12" i="40"/>
  <c r="M12" i="40"/>
  <c r="P12" i="40"/>
  <c r="N12" i="40"/>
  <c r="L12" i="40"/>
  <c r="Q38" i="40"/>
  <c r="R38" i="40"/>
  <c r="L38" i="40"/>
  <c r="M38" i="40"/>
  <c r="K38" i="40"/>
  <c r="P38" i="40"/>
  <c r="O38" i="40"/>
  <c r="N38" i="40"/>
  <c r="Q65" i="40"/>
  <c r="BU65" i="40" s="1"/>
  <c r="R65" i="40"/>
  <c r="BV65" i="40" s="1"/>
  <c r="K65" i="40"/>
  <c r="M65" i="40"/>
  <c r="O65" i="40"/>
  <c r="BS65" i="40" s="1"/>
  <c r="N65" i="40"/>
  <c r="BR65" i="40" s="1"/>
  <c r="L65" i="40"/>
  <c r="P65" i="40"/>
  <c r="BT65" i="40" s="1"/>
  <c r="N234" i="40"/>
  <c r="O234" i="40"/>
  <c r="L234" i="40"/>
  <c r="M234" i="40"/>
  <c r="R234" i="40"/>
  <c r="Q234" i="40"/>
  <c r="K234" i="40"/>
  <c r="P234" i="40"/>
  <c r="N309" i="40"/>
  <c r="K309" i="40"/>
  <c r="Q309" i="40"/>
  <c r="L309" i="40"/>
  <c r="M309" i="40"/>
  <c r="O309" i="40"/>
  <c r="R309" i="40"/>
  <c r="P309" i="40"/>
  <c r="P45" i="40"/>
  <c r="N45" i="40"/>
  <c r="Q45" i="40"/>
  <c r="M45" i="40"/>
  <c r="L45" i="40"/>
  <c r="K45" i="40"/>
  <c r="O45" i="40"/>
  <c r="R45" i="40"/>
  <c r="N136" i="40"/>
  <c r="M136" i="40"/>
  <c r="P136" i="40"/>
  <c r="L136" i="40"/>
  <c r="K136" i="40"/>
  <c r="R136" i="40"/>
  <c r="Q136" i="40"/>
  <c r="O136" i="40"/>
  <c r="Q199" i="40"/>
  <c r="O199" i="40"/>
  <c r="N199" i="40"/>
  <c r="M199" i="40"/>
  <c r="BA199" i="40" s="1"/>
  <c r="BI199" i="40" s="1"/>
  <c r="BQ199" i="40" s="1"/>
  <c r="L199" i="40"/>
  <c r="K199" i="40"/>
  <c r="P199" i="40"/>
  <c r="R199" i="40"/>
  <c r="L154" i="40"/>
  <c r="K154" i="40"/>
  <c r="Q154" i="40"/>
  <c r="P154" i="40"/>
  <c r="M154" i="40"/>
  <c r="N154" i="40"/>
  <c r="BB154" i="40" s="1"/>
  <c r="BJ154" i="40" s="1"/>
  <c r="BR154" i="40" s="1"/>
  <c r="R154" i="40"/>
  <c r="O154" i="40"/>
  <c r="O206" i="40"/>
  <c r="P206" i="40"/>
  <c r="BD206" i="40" s="1"/>
  <c r="BL206" i="40" s="1"/>
  <c r="BT206" i="40" s="1"/>
  <c r="Q206" i="40"/>
  <c r="L206" i="40"/>
  <c r="M206" i="40"/>
  <c r="R206" i="40"/>
  <c r="K206" i="40"/>
  <c r="N206" i="40"/>
  <c r="M318" i="40"/>
  <c r="K318" i="40"/>
  <c r="N318" i="40"/>
  <c r="L318" i="40"/>
  <c r="P318" i="40"/>
  <c r="R318" i="40"/>
  <c r="O318" i="40"/>
  <c r="Q318" i="40"/>
  <c r="N298" i="40"/>
  <c r="L298" i="40"/>
  <c r="R298" i="40"/>
  <c r="M298" i="40"/>
  <c r="P298" i="40"/>
  <c r="K298" i="40"/>
  <c r="Q298" i="40"/>
  <c r="O298" i="40"/>
  <c r="R240" i="40"/>
  <c r="N240" i="40"/>
  <c r="O240" i="40"/>
  <c r="M240" i="40"/>
  <c r="L240" i="40"/>
  <c r="K240" i="40"/>
  <c r="P240" i="40"/>
  <c r="Q240" i="40"/>
  <c r="M272" i="40"/>
  <c r="O272" i="40"/>
  <c r="P272" i="40"/>
  <c r="N272" i="40"/>
  <c r="K272" i="40"/>
  <c r="Q272" i="40"/>
  <c r="R272" i="40"/>
  <c r="L272" i="40"/>
  <c r="K250" i="40"/>
  <c r="M250" i="40"/>
  <c r="Q250" i="40"/>
  <c r="R250" i="40"/>
  <c r="O250" i="40"/>
  <c r="P250" i="40"/>
  <c r="L250" i="40"/>
  <c r="N250" i="40"/>
  <c r="L220" i="40"/>
  <c r="Q220" i="40"/>
  <c r="R220" i="40"/>
  <c r="N220" i="40"/>
  <c r="O220" i="40"/>
  <c r="M220" i="40"/>
  <c r="K220" i="40"/>
  <c r="P220" i="40"/>
  <c r="R241" i="40"/>
  <c r="K241" i="40"/>
  <c r="O241" i="40"/>
  <c r="N241" i="40"/>
  <c r="P241" i="40"/>
  <c r="M241" i="40"/>
  <c r="L241" i="40"/>
  <c r="Q241" i="40"/>
  <c r="R281" i="40"/>
  <c r="K281" i="40"/>
  <c r="N281" i="40"/>
  <c r="Q281" i="40"/>
  <c r="O281" i="40"/>
  <c r="L281" i="40"/>
  <c r="P281" i="40"/>
  <c r="M281" i="40"/>
  <c r="K231" i="40"/>
  <c r="M231" i="40"/>
  <c r="O231" i="40"/>
  <c r="N231" i="40"/>
  <c r="P231" i="40"/>
  <c r="L231" i="40"/>
  <c r="Q231" i="40"/>
  <c r="R231" i="40"/>
  <c r="Q219" i="40"/>
  <c r="R219" i="40"/>
  <c r="K219" i="40"/>
  <c r="P219" i="40"/>
  <c r="O219" i="40"/>
  <c r="M219" i="40"/>
  <c r="N219" i="40"/>
  <c r="L219" i="40"/>
  <c r="Q173" i="40"/>
  <c r="O173" i="40"/>
  <c r="K173" i="40"/>
  <c r="R173" i="40"/>
  <c r="P173" i="40"/>
  <c r="BD173" i="40" s="1"/>
  <c r="BL173" i="40" s="1"/>
  <c r="BT173" i="40" s="1"/>
  <c r="N173" i="40"/>
  <c r="M173" i="40"/>
  <c r="L173" i="40"/>
  <c r="R198" i="40"/>
  <c r="P198" i="40"/>
  <c r="BT198" i="40" s="1"/>
  <c r="Q198" i="40"/>
  <c r="O198" i="40"/>
  <c r="BS198" i="40" s="1"/>
  <c r="N198" i="40"/>
  <c r="BR198" i="40" s="1"/>
  <c r="K198" i="40"/>
  <c r="M198" i="40"/>
  <c r="L198" i="40"/>
  <c r="N161" i="40"/>
  <c r="P161" i="40"/>
  <c r="M161" i="40"/>
  <c r="R161" i="40"/>
  <c r="L161" i="40"/>
  <c r="O161" i="40"/>
  <c r="K161" i="40"/>
  <c r="Q161" i="40"/>
  <c r="Q190" i="40"/>
  <c r="R190" i="40"/>
  <c r="M190" i="40"/>
  <c r="L190" i="40"/>
  <c r="K190" i="40"/>
  <c r="O190" i="40"/>
  <c r="BC190" i="40" s="1"/>
  <c r="BK190" i="40" s="1"/>
  <c r="BS190" i="40" s="1"/>
  <c r="N190" i="40"/>
  <c r="P190" i="40"/>
  <c r="M185" i="40"/>
  <c r="N185" i="40"/>
  <c r="O185" i="40"/>
  <c r="L185" i="40"/>
  <c r="K185" i="40"/>
  <c r="R185" i="40"/>
  <c r="Q185" i="40"/>
  <c r="P185" i="40"/>
  <c r="L213" i="40"/>
  <c r="M213" i="40"/>
  <c r="K213" i="40"/>
  <c r="P213" i="40"/>
  <c r="N213" i="40"/>
  <c r="O213" i="40"/>
  <c r="R213" i="40"/>
  <c r="Q213" i="40"/>
  <c r="K200" i="40"/>
  <c r="R200" i="40"/>
  <c r="Q200" i="40"/>
  <c r="O200" i="40"/>
  <c r="N200" i="40"/>
  <c r="L200" i="40"/>
  <c r="P200" i="40"/>
  <c r="M200" i="40"/>
  <c r="M193" i="40"/>
  <c r="K193" i="40"/>
  <c r="R193" i="40"/>
  <c r="Q193" i="40"/>
  <c r="P193" i="40"/>
  <c r="O193" i="40"/>
  <c r="N193" i="40"/>
  <c r="L193" i="40"/>
  <c r="P147" i="40"/>
  <c r="Q147" i="40"/>
  <c r="M147" i="40"/>
  <c r="K147" i="40"/>
  <c r="N147" i="40"/>
  <c r="O147" i="40"/>
  <c r="L147" i="40"/>
  <c r="R147" i="40"/>
  <c r="R121" i="40"/>
  <c r="O121" i="40"/>
  <c r="M121" i="40"/>
  <c r="P121" i="40"/>
  <c r="N121" i="40"/>
  <c r="Q121" i="40"/>
  <c r="L121" i="40"/>
  <c r="K121" i="40"/>
  <c r="K139" i="40"/>
  <c r="R139" i="40"/>
  <c r="Q139" i="40"/>
  <c r="O139" i="40"/>
  <c r="N139" i="40"/>
  <c r="M139" i="40"/>
  <c r="L139" i="40"/>
  <c r="P139" i="40"/>
  <c r="K91" i="40"/>
  <c r="Q91" i="40"/>
  <c r="M91" i="40"/>
  <c r="P91" i="40"/>
  <c r="L91" i="40"/>
  <c r="O91" i="40"/>
  <c r="R91" i="40"/>
  <c r="N91" i="40"/>
  <c r="K95" i="40"/>
  <c r="Q95" i="40"/>
  <c r="M95" i="40"/>
  <c r="R95" i="40"/>
  <c r="O95" i="40"/>
  <c r="N95" i="40"/>
  <c r="P95" i="40"/>
  <c r="L95" i="40"/>
  <c r="Q108" i="40"/>
  <c r="O108" i="40"/>
  <c r="M108" i="40"/>
  <c r="K108" i="40"/>
  <c r="P108" i="40"/>
  <c r="R108" i="40"/>
  <c r="L108" i="40"/>
  <c r="N108" i="40"/>
  <c r="O105" i="40"/>
  <c r="N105" i="40"/>
  <c r="L105" i="40"/>
  <c r="K105" i="40"/>
  <c r="AY105" i="40" s="1"/>
  <c r="BG105" i="40" s="1"/>
  <c r="BO105" i="40" s="1"/>
  <c r="Q105" i="40"/>
  <c r="M105" i="40"/>
  <c r="R105" i="40"/>
  <c r="P105" i="40"/>
  <c r="M138" i="40"/>
  <c r="L138" i="40"/>
  <c r="Q138" i="40"/>
  <c r="O138" i="40"/>
  <c r="P138" i="40"/>
  <c r="N138" i="40"/>
  <c r="K138" i="40"/>
  <c r="R138" i="40"/>
  <c r="L27" i="40"/>
  <c r="M27" i="40"/>
  <c r="N27" i="40"/>
  <c r="O27" i="40"/>
  <c r="Q27" i="40"/>
  <c r="R27" i="40"/>
  <c r="K27" i="40"/>
  <c r="P27" i="40"/>
  <c r="Q49" i="40"/>
  <c r="R49" i="40"/>
  <c r="K49" i="40"/>
  <c r="O49" i="40"/>
  <c r="N49" i="40"/>
  <c r="L49" i="40"/>
  <c r="M49" i="40"/>
  <c r="P49" i="40"/>
  <c r="L48" i="40"/>
  <c r="K48" i="40"/>
  <c r="R48" i="40"/>
  <c r="P48" i="40"/>
  <c r="Q48" i="40"/>
  <c r="M48" i="40"/>
  <c r="N48" i="40"/>
  <c r="O48" i="40"/>
  <c r="BC48" i="40" s="1"/>
  <c r="BK48" i="40" s="1"/>
  <c r="BS48" i="40" s="1"/>
  <c r="L64" i="40"/>
  <c r="R64" i="40"/>
  <c r="BF64" i="40" s="1"/>
  <c r="BN64" i="40" s="1"/>
  <c r="BV64" i="40" s="1"/>
  <c r="O64" i="40"/>
  <c r="K64" i="40"/>
  <c r="P64" i="40"/>
  <c r="M64" i="40"/>
  <c r="N64" i="40"/>
  <c r="Q64" i="40"/>
  <c r="N72" i="40"/>
  <c r="M72" i="40"/>
  <c r="O72" i="40"/>
  <c r="BC72" i="40" s="1"/>
  <c r="BK72" i="40" s="1"/>
  <c r="BS72" i="40" s="1"/>
  <c r="L72" i="40"/>
  <c r="Q72" i="40"/>
  <c r="K72" i="40"/>
  <c r="P72" i="40"/>
  <c r="R72" i="40"/>
  <c r="K75" i="40"/>
  <c r="Q75" i="40"/>
  <c r="P75" i="40"/>
  <c r="M75" i="40"/>
  <c r="L75" i="40"/>
  <c r="O75" i="40"/>
  <c r="R75" i="40"/>
  <c r="N75" i="40"/>
  <c r="R25" i="40"/>
  <c r="L25" i="40"/>
  <c r="Q25" i="40"/>
  <c r="M25" i="40"/>
  <c r="BA25" i="40" s="1"/>
  <c r="BI25" i="40" s="1"/>
  <c r="BQ25" i="40" s="1"/>
  <c r="N25" i="40"/>
  <c r="P25" i="40"/>
  <c r="O25" i="40"/>
  <c r="K25" i="40"/>
  <c r="N80" i="40"/>
  <c r="L80" i="40"/>
  <c r="O80" i="40"/>
  <c r="M80" i="40"/>
  <c r="Q80" i="40"/>
  <c r="K80" i="40"/>
  <c r="P80" i="40"/>
  <c r="R80" i="40"/>
  <c r="Q268" i="40"/>
  <c r="O268" i="40"/>
  <c r="L268" i="40"/>
  <c r="N268" i="40"/>
  <c r="P268" i="40"/>
  <c r="K268" i="40"/>
  <c r="M268" i="40"/>
  <c r="R268" i="40"/>
  <c r="N226" i="40"/>
  <c r="P226" i="40"/>
  <c r="Q226" i="40"/>
  <c r="R226" i="40"/>
  <c r="M226" i="40"/>
  <c r="K226" i="40"/>
  <c r="O226" i="40"/>
  <c r="L226" i="40"/>
  <c r="M307" i="40"/>
  <c r="R307" i="40"/>
  <c r="Q307" i="40"/>
  <c r="O307" i="40"/>
  <c r="N307" i="40"/>
  <c r="P307" i="40"/>
  <c r="K307" i="40"/>
  <c r="L307" i="40"/>
  <c r="K103" i="40"/>
  <c r="O103" i="40"/>
  <c r="N103" i="40"/>
  <c r="R103" i="40"/>
  <c r="M103" i="40"/>
  <c r="L103" i="40"/>
  <c r="Q103" i="40"/>
  <c r="P103" i="40"/>
  <c r="Q247" i="40"/>
  <c r="N247" i="40"/>
  <c r="M247" i="40"/>
  <c r="P247" i="40"/>
  <c r="K247" i="40"/>
  <c r="R247" i="40"/>
  <c r="L247" i="40"/>
  <c r="O247" i="40"/>
  <c r="P275" i="40"/>
  <c r="O275" i="40"/>
  <c r="R275" i="40"/>
  <c r="N275" i="40"/>
  <c r="Q275" i="40"/>
  <c r="L275" i="40"/>
  <c r="K275" i="40"/>
  <c r="M275" i="40"/>
  <c r="L282" i="40"/>
  <c r="Q282" i="40"/>
  <c r="BE282" i="40" s="1"/>
  <c r="BM282" i="40" s="1"/>
  <c r="BU282" i="40" s="1"/>
  <c r="M282" i="40"/>
  <c r="P282" i="40"/>
  <c r="N282" i="40"/>
  <c r="K282" i="40"/>
  <c r="O282" i="40"/>
  <c r="R282" i="40"/>
  <c r="L271" i="40"/>
  <c r="AZ271" i="40" s="1"/>
  <c r="BH271" i="40" s="1"/>
  <c r="BP271" i="40" s="1"/>
  <c r="M271" i="40"/>
  <c r="P271" i="40"/>
  <c r="Q271" i="40"/>
  <c r="R271" i="40"/>
  <c r="O271" i="40"/>
  <c r="K271" i="40"/>
  <c r="N271" i="40"/>
  <c r="R257" i="40"/>
  <c r="P257" i="40"/>
  <c r="O257" i="40"/>
  <c r="N257" i="40"/>
  <c r="K257" i="40"/>
  <c r="M257" i="40"/>
  <c r="Q257" i="40"/>
  <c r="L257" i="40"/>
  <c r="N260" i="40"/>
  <c r="M260" i="40"/>
  <c r="L260" i="40"/>
  <c r="K260" i="40"/>
  <c r="O260" i="40"/>
  <c r="Q260" i="40"/>
  <c r="R260" i="40"/>
  <c r="P260" i="40"/>
  <c r="K181" i="40"/>
  <c r="Q181" i="40"/>
  <c r="N181" i="40"/>
  <c r="L181" i="40"/>
  <c r="R181" i="40"/>
  <c r="M181" i="40"/>
  <c r="P181" i="40"/>
  <c r="O181" i="40"/>
  <c r="L211" i="40"/>
  <c r="M211" i="40"/>
  <c r="R211" i="40"/>
  <c r="K211" i="40"/>
  <c r="Q211" i="40"/>
  <c r="N211" i="40"/>
  <c r="P211" i="40"/>
  <c r="O211" i="40"/>
  <c r="M172" i="40"/>
  <c r="Q172" i="40"/>
  <c r="N172" i="40"/>
  <c r="P172" i="40"/>
  <c r="K172" i="40"/>
  <c r="R172" i="40"/>
  <c r="O172" i="40"/>
  <c r="L172" i="40"/>
  <c r="Q186" i="40"/>
  <c r="O186" i="40"/>
  <c r="M186" i="40"/>
  <c r="R186" i="40"/>
  <c r="P186" i="40"/>
  <c r="N186" i="40"/>
  <c r="L186" i="40"/>
  <c r="K186" i="40"/>
  <c r="L215" i="40"/>
  <c r="AZ215" i="40" s="1"/>
  <c r="BH215" i="40" s="1"/>
  <c r="BP215" i="40" s="1"/>
  <c r="M215" i="40"/>
  <c r="K215" i="40"/>
  <c r="N215" i="40"/>
  <c r="O215" i="40"/>
  <c r="Q215" i="40"/>
  <c r="P215" i="40"/>
  <c r="R215" i="40"/>
  <c r="Q143" i="40"/>
  <c r="BE143" i="40" s="1"/>
  <c r="BM143" i="40" s="1"/>
  <c r="BU143" i="40" s="1"/>
  <c r="L143" i="40"/>
  <c r="O143" i="40"/>
  <c r="P143" i="40"/>
  <c r="M143" i="40"/>
  <c r="N143" i="40"/>
  <c r="K143" i="40"/>
  <c r="R143" i="40"/>
  <c r="K116" i="40"/>
  <c r="Q116" i="40"/>
  <c r="O116" i="40"/>
  <c r="M116" i="40"/>
  <c r="N116" i="40"/>
  <c r="L116" i="40"/>
  <c r="P116" i="40"/>
  <c r="R116" i="40"/>
  <c r="BF116" i="40" s="1"/>
  <c r="BN116" i="40" s="1"/>
  <c r="BV116" i="40" s="1"/>
  <c r="K113" i="40"/>
  <c r="Q113" i="40"/>
  <c r="O113" i="40"/>
  <c r="N113" i="40"/>
  <c r="M113" i="40"/>
  <c r="BA113" i="40" s="1"/>
  <c r="BI113" i="40" s="1"/>
  <c r="BQ113" i="40" s="1"/>
  <c r="L113" i="40"/>
  <c r="R113" i="40"/>
  <c r="P113" i="40"/>
  <c r="M104" i="40"/>
  <c r="R104" i="40"/>
  <c r="N104" i="40"/>
  <c r="L104" i="40"/>
  <c r="K104" i="40"/>
  <c r="Q104" i="40"/>
  <c r="O104" i="40"/>
  <c r="P104" i="40"/>
  <c r="M92" i="40"/>
  <c r="K92" i="40"/>
  <c r="O92" i="40"/>
  <c r="P92" i="40"/>
  <c r="L92" i="40"/>
  <c r="N92" i="40"/>
  <c r="Q92" i="40"/>
  <c r="R92" i="40"/>
  <c r="M119" i="40"/>
  <c r="K119" i="40"/>
  <c r="O119" i="40"/>
  <c r="R119" i="40"/>
  <c r="N119" i="40"/>
  <c r="L119" i="40"/>
  <c r="P119" i="40"/>
  <c r="Q119" i="40"/>
  <c r="L42" i="40"/>
  <c r="O42" i="40"/>
  <c r="Q42" i="40"/>
  <c r="M42" i="40"/>
  <c r="K42" i="40"/>
  <c r="N42" i="40"/>
  <c r="R42" i="40"/>
  <c r="P42" i="40"/>
  <c r="M11" i="40"/>
  <c r="N11" i="40"/>
  <c r="O11" i="40"/>
  <c r="R11" i="40"/>
  <c r="K11" i="40"/>
  <c r="AY11" i="40" s="1"/>
  <c r="BG11" i="40" s="1"/>
  <c r="BO11" i="40" s="1"/>
  <c r="Q11" i="40"/>
  <c r="L11" i="40"/>
  <c r="P11" i="40"/>
  <c r="M30" i="40"/>
  <c r="K30" i="40"/>
  <c r="L30" i="40"/>
  <c r="R30" i="40"/>
  <c r="Q30" i="40"/>
  <c r="N30" i="40"/>
  <c r="O30" i="40"/>
  <c r="P30" i="40"/>
  <c r="R15" i="40"/>
  <c r="BV15" i="40" s="1"/>
  <c r="P15" i="40"/>
  <c r="BT15" i="40" s="1"/>
  <c r="N15" i="40"/>
  <c r="BR15" i="40" s="1"/>
  <c r="O15" i="40"/>
  <c r="BS15" i="40" s="1"/>
  <c r="M15" i="40"/>
  <c r="BQ15" i="40" s="1"/>
  <c r="Q15" i="40"/>
  <c r="BU15" i="40" s="1"/>
  <c r="L15" i="40"/>
  <c r="BP15" i="40" s="1"/>
  <c r="K15" i="40"/>
  <c r="BO15" i="40" s="1"/>
  <c r="K71" i="40"/>
  <c r="Q71" i="40"/>
  <c r="M71" i="40"/>
  <c r="P71" i="40"/>
  <c r="N71" i="40"/>
  <c r="L71" i="40"/>
  <c r="O71" i="40"/>
  <c r="R71" i="40"/>
  <c r="Q34" i="40"/>
  <c r="O34" i="40"/>
  <c r="P34" i="40"/>
  <c r="N34" i="40"/>
  <c r="M34" i="40"/>
  <c r="K34" i="40"/>
  <c r="R34" i="40"/>
  <c r="L34" i="40"/>
  <c r="R6" i="40"/>
  <c r="K6" i="40"/>
  <c r="L6" i="40"/>
  <c r="P6" i="40"/>
  <c r="O6" i="40"/>
  <c r="N6" i="40"/>
  <c r="Q6" i="40"/>
  <c r="M6" i="40"/>
  <c r="Q20" i="40"/>
  <c r="BE20" i="40" s="1"/>
  <c r="BM20" i="40" s="1"/>
  <c r="BU20" i="40" s="1"/>
  <c r="M20" i="40"/>
  <c r="R20" i="40"/>
  <c r="N20" i="40"/>
  <c r="L20" i="40"/>
  <c r="P20" i="40"/>
  <c r="K20" i="40"/>
  <c r="O20" i="40"/>
  <c r="L29" i="40"/>
  <c r="O29" i="40"/>
  <c r="M29" i="40"/>
  <c r="R29" i="40"/>
  <c r="K29" i="40"/>
  <c r="N29" i="40"/>
  <c r="P29" i="40"/>
  <c r="Q29" i="40"/>
  <c r="K223" i="40"/>
  <c r="L223" i="40"/>
  <c r="N223" i="40"/>
  <c r="R223" i="40"/>
  <c r="O223" i="40"/>
  <c r="Q223" i="40"/>
  <c r="M223" i="40"/>
  <c r="P223" i="40"/>
  <c r="L63" i="40"/>
  <c r="BP63" i="40" s="1"/>
  <c r="CF63" i="40" s="1"/>
  <c r="CL63" i="40" s="1"/>
  <c r="CY63" i="40" s="1"/>
  <c r="CZ63" i="40" s="1"/>
  <c r="Q63" i="40"/>
  <c r="R63" i="40"/>
  <c r="K63" i="40"/>
  <c r="BO63" i="40" s="1"/>
  <c r="CE63" i="40" s="1"/>
  <c r="CK63" i="40" s="1"/>
  <c r="CW63" i="40" s="1"/>
  <c r="CX63" i="40" s="1"/>
  <c r="M63" i="40"/>
  <c r="BQ63" i="40" s="1"/>
  <c r="CG63" i="40" s="1"/>
  <c r="CM63" i="40" s="1"/>
  <c r="DA63" i="40" s="1"/>
  <c r="DB63" i="40" s="1"/>
  <c r="P63" i="40"/>
  <c r="O63" i="40"/>
  <c r="N63" i="40"/>
  <c r="R123" i="40"/>
  <c r="Q123" i="40"/>
  <c r="O123" i="40"/>
  <c r="N123" i="40"/>
  <c r="M123" i="40"/>
  <c r="L123" i="40"/>
  <c r="P123" i="40"/>
  <c r="K123" i="40"/>
  <c r="N284" i="40"/>
  <c r="L284" i="40"/>
  <c r="K284" i="40"/>
  <c r="R284" i="40"/>
  <c r="O284" i="40"/>
  <c r="P284" i="40"/>
  <c r="M284" i="40"/>
  <c r="Q284" i="40"/>
  <c r="R273" i="40"/>
  <c r="Q273" i="40"/>
  <c r="L273" i="40"/>
  <c r="N273" i="40"/>
  <c r="K273" i="40"/>
  <c r="P273" i="40"/>
  <c r="M273" i="40"/>
  <c r="O273" i="40"/>
  <c r="R202" i="40"/>
  <c r="Q202" i="40"/>
  <c r="O202" i="40"/>
  <c r="N202" i="40"/>
  <c r="M202" i="40"/>
  <c r="P202" i="40"/>
  <c r="K202" i="40"/>
  <c r="L202" i="40"/>
  <c r="M162" i="40"/>
  <c r="R162" i="40"/>
  <c r="K162" i="40"/>
  <c r="N162" i="40"/>
  <c r="Q162" i="40"/>
  <c r="L162" i="40"/>
  <c r="O162" i="40"/>
  <c r="P162" i="40"/>
  <c r="P310" i="40"/>
  <c r="K310" i="40"/>
  <c r="N310" i="40"/>
  <c r="M310" i="40"/>
  <c r="L310" i="40"/>
  <c r="O310" i="40"/>
  <c r="Q310" i="40"/>
  <c r="R310" i="40"/>
  <c r="M296" i="40"/>
  <c r="Q296" i="40"/>
  <c r="N296" i="40"/>
  <c r="BB296" i="40" s="1"/>
  <c r="BJ296" i="40" s="1"/>
  <c r="BR296" i="40" s="1"/>
  <c r="P296" i="40"/>
  <c r="L296" i="40"/>
  <c r="K296" i="40"/>
  <c r="O296" i="40"/>
  <c r="R296" i="40"/>
  <c r="M5" i="40"/>
  <c r="Q5" i="40"/>
  <c r="D10" i="39"/>
  <c r="O5" i="40"/>
  <c r="BC5" i="40" s="1"/>
  <c r="BK5" i="40" s="1"/>
  <c r="BS5" i="40" s="1"/>
  <c r="N5" i="40"/>
  <c r="R5" i="40"/>
  <c r="P5" i="40"/>
  <c r="L5" i="40"/>
  <c r="K5" i="40"/>
  <c r="R224" i="40"/>
  <c r="K224" i="40"/>
  <c r="O224" i="40"/>
  <c r="L224" i="40"/>
  <c r="N224" i="40"/>
  <c r="M224" i="40"/>
  <c r="P224" i="40"/>
  <c r="Q224" i="40"/>
  <c r="K221" i="40"/>
  <c r="L221" i="40"/>
  <c r="M221" i="40"/>
  <c r="N221" i="40"/>
  <c r="R221" i="40"/>
  <c r="Q221" i="40"/>
  <c r="P221" i="40"/>
  <c r="O221" i="40"/>
  <c r="L230" i="40"/>
  <c r="R230" i="40"/>
  <c r="O230" i="40"/>
  <c r="Q230" i="40"/>
  <c r="P230" i="40"/>
  <c r="M230" i="40"/>
  <c r="K230" i="40"/>
  <c r="N230" i="40"/>
  <c r="Q269" i="40"/>
  <c r="M269" i="40"/>
  <c r="BA269" i="40" s="1"/>
  <c r="BI269" i="40" s="1"/>
  <c r="BQ269" i="40" s="1"/>
  <c r="L269" i="40"/>
  <c r="O269" i="40"/>
  <c r="K269" i="40"/>
  <c r="N269" i="40"/>
  <c r="R269" i="40"/>
  <c r="P269" i="40"/>
  <c r="L225" i="40"/>
  <c r="K225" i="40"/>
  <c r="P225" i="40"/>
  <c r="Q225" i="40"/>
  <c r="N225" i="40"/>
  <c r="O225" i="40"/>
  <c r="R225" i="40"/>
  <c r="M225" i="40"/>
  <c r="K280" i="40"/>
  <c r="L280" i="40"/>
  <c r="M280" i="40"/>
  <c r="N280" i="40"/>
  <c r="O280" i="40"/>
  <c r="R280" i="40"/>
  <c r="P280" i="40"/>
  <c r="Q280" i="40"/>
  <c r="M246" i="40"/>
  <c r="Q246" i="40"/>
  <c r="N246" i="40"/>
  <c r="P246" i="40"/>
  <c r="K246" i="40"/>
  <c r="R246" i="40"/>
  <c r="O246" i="40"/>
  <c r="L246" i="40"/>
  <c r="AZ246" i="40" s="1"/>
  <c r="BH246" i="40" s="1"/>
  <c r="BP246" i="40" s="1"/>
  <c r="O237" i="40"/>
  <c r="K237" i="40"/>
  <c r="AY237" i="40" s="1"/>
  <c r="BG237" i="40" s="1"/>
  <c r="BO237" i="40" s="1"/>
  <c r="R237" i="40"/>
  <c r="N237" i="40"/>
  <c r="P237" i="40"/>
  <c r="L237" i="40"/>
  <c r="M237" i="40"/>
  <c r="Q237" i="40"/>
  <c r="P251" i="40"/>
  <c r="R251" i="40"/>
  <c r="O251" i="40"/>
  <c r="N251" i="40"/>
  <c r="M251" i="40"/>
  <c r="Q251" i="40"/>
  <c r="K251" i="40"/>
  <c r="L251" i="40"/>
  <c r="K248" i="40"/>
  <c r="M248" i="40"/>
  <c r="L248" i="40"/>
  <c r="N248" i="40"/>
  <c r="P248" i="40"/>
  <c r="O248" i="40"/>
  <c r="Q248" i="40"/>
  <c r="R248" i="40"/>
  <c r="Q157" i="40"/>
  <c r="O157" i="40"/>
  <c r="K157" i="40"/>
  <c r="N157" i="40"/>
  <c r="M157" i="40"/>
  <c r="P157" i="40"/>
  <c r="R157" i="40"/>
  <c r="L157" i="40"/>
  <c r="K192" i="40"/>
  <c r="Q192" i="40"/>
  <c r="L192" i="40"/>
  <c r="P192" i="40"/>
  <c r="R192" i="40"/>
  <c r="O192" i="40"/>
  <c r="N192" i="40"/>
  <c r="M192" i="40"/>
  <c r="K197" i="40"/>
  <c r="Q197" i="40"/>
  <c r="N197" i="40"/>
  <c r="O197" i="40"/>
  <c r="M197" i="40"/>
  <c r="P197" i="40"/>
  <c r="L197" i="40"/>
  <c r="R197" i="40"/>
  <c r="M179" i="40"/>
  <c r="K179" i="40"/>
  <c r="Q179" i="40"/>
  <c r="P179" i="40"/>
  <c r="O179" i="40"/>
  <c r="N179" i="40"/>
  <c r="L179" i="40"/>
  <c r="R179" i="40"/>
  <c r="K203" i="40"/>
  <c r="Q203" i="40"/>
  <c r="O203" i="40"/>
  <c r="M203" i="40"/>
  <c r="L203" i="40"/>
  <c r="N203" i="40"/>
  <c r="P203" i="40"/>
  <c r="R203" i="40"/>
  <c r="N167" i="40"/>
  <c r="K167" i="40"/>
  <c r="R167" i="40"/>
  <c r="M167" i="40"/>
  <c r="O167" i="40"/>
  <c r="Q167" i="40"/>
  <c r="L167" i="40"/>
  <c r="P167" i="40"/>
  <c r="K149" i="40"/>
  <c r="M149" i="40"/>
  <c r="O149" i="40"/>
  <c r="N149" i="40"/>
  <c r="R149" i="40"/>
  <c r="L149" i="40"/>
  <c r="Q149" i="40"/>
  <c r="P149" i="40"/>
  <c r="O115" i="40"/>
  <c r="Q115" i="40"/>
  <c r="BE115" i="40" s="1"/>
  <c r="BM115" i="40" s="1"/>
  <c r="BU115" i="40" s="1"/>
  <c r="P115" i="40"/>
  <c r="R115" i="40"/>
  <c r="K115" i="40"/>
  <c r="N115" i="40"/>
  <c r="L115" i="40"/>
  <c r="M115" i="40"/>
  <c r="N97" i="40"/>
  <c r="L97" i="40"/>
  <c r="K97" i="40"/>
  <c r="M97" i="40"/>
  <c r="R97" i="40"/>
  <c r="O97" i="40"/>
  <c r="Q97" i="40"/>
  <c r="P97" i="40"/>
  <c r="M131" i="40"/>
  <c r="L131" i="40"/>
  <c r="P131" i="40"/>
  <c r="K131" i="40"/>
  <c r="R131" i="40"/>
  <c r="Q131" i="40"/>
  <c r="O131" i="40"/>
  <c r="N131" i="40"/>
  <c r="Q128" i="40"/>
  <c r="O128" i="40"/>
  <c r="N128" i="40"/>
  <c r="M128" i="40"/>
  <c r="P128" i="40"/>
  <c r="L128" i="40"/>
  <c r="K128" i="40"/>
  <c r="R128" i="40"/>
  <c r="O106" i="40"/>
  <c r="M106" i="40"/>
  <c r="R106" i="40"/>
  <c r="N106" i="40"/>
  <c r="L106" i="40"/>
  <c r="K106" i="40"/>
  <c r="Q106" i="40"/>
  <c r="P106" i="40"/>
  <c r="K85" i="40"/>
  <c r="N85" i="40"/>
  <c r="M85" i="40"/>
  <c r="P85" i="40"/>
  <c r="Q85" i="40"/>
  <c r="L85" i="40"/>
  <c r="O85" i="40"/>
  <c r="R85" i="40"/>
  <c r="Q24" i="40"/>
  <c r="K24" i="40"/>
  <c r="O24" i="40"/>
  <c r="L24" i="40"/>
  <c r="M24" i="40"/>
  <c r="N24" i="40"/>
  <c r="R24" i="40"/>
  <c r="P24" i="40"/>
  <c r="Q69" i="40"/>
  <c r="K69" i="40"/>
  <c r="M69" i="40"/>
  <c r="N69" i="40"/>
  <c r="O69" i="40"/>
  <c r="P69" i="40"/>
  <c r="R69" i="40"/>
  <c r="L69" i="40"/>
  <c r="Q56" i="40"/>
  <c r="O56" i="40"/>
  <c r="R56" i="40"/>
  <c r="P56" i="40"/>
  <c r="K56" i="40"/>
  <c r="M56" i="40"/>
  <c r="N56" i="40"/>
  <c r="L56" i="40"/>
  <c r="O54" i="40"/>
  <c r="L54" i="40"/>
  <c r="R54" i="40"/>
  <c r="Q54" i="40"/>
  <c r="P54" i="40"/>
  <c r="M54" i="40"/>
  <c r="N54" i="40"/>
  <c r="K54" i="40"/>
  <c r="L26" i="40"/>
  <c r="N26" i="40"/>
  <c r="Q26" i="40"/>
  <c r="BE26" i="40" s="1"/>
  <c r="BM26" i="40" s="1"/>
  <c r="BU26" i="40" s="1"/>
  <c r="M26" i="40"/>
  <c r="R26" i="40"/>
  <c r="K26" i="40"/>
  <c r="O26" i="40"/>
  <c r="P26" i="40"/>
  <c r="L33" i="40"/>
  <c r="M33" i="40"/>
  <c r="O33" i="40"/>
  <c r="N33" i="40"/>
  <c r="Q33" i="40"/>
  <c r="BE33" i="40" s="1"/>
  <c r="BM33" i="40" s="1"/>
  <c r="BU33" i="40" s="1"/>
  <c r="R33" i="40"/>
  <c r="P33" i="40"/>
  <c r="K33" i="40"/>
  <c r="P52" i="40"/>
  <c r="M52" i="40"/>
  <c r="N52" i="40"/>
  <c r="K52" i="40"/>
  <c r="L52" i="40"/>
  <c r="R52" i="40"/>
  <c r="Q52" i="40"/>
  <c r="O52" i="40"/>
  <c r="Q188" i="40"/>
  <c r="K188" i="40"/>
  <c r="P188" i="40"/>
  <c r="R188" i="40"/>
  <c r="O188" i="40"/>
  <c r="N188" i="40"/>
  <c r="L188" i="40"/>
  <c r="M188" i="40"/>
  <c r="Q120" i="40"/>
  <c r="BE120" i="40" s="1"/>
  <c r="BM120" i="40" s="1"/>
  <c r="BU120" i="40" s="1"/>
  <c r="K120" i="40"/>
  <c r="N120" i="40"/>
  <c r="M120" i="40"/>
  <c r="P120" i="40"/>
  <c r="O120" i="40"/>
  <c r="L120" i="40"/>
  <c r="R120" i="40"/>
  <c r="Q126" i="40"/>
  <c r="K126" i="40"/>
  <c r="R126" i="40"/>
  <c r="P126" i="40"/>
  <c r="BD126" i="40" s="1"/>
  <c r="BL126" i="40" s="1"/>
  <c r="BT126" i="40" s="1"/>
  <c r="O126" i="40"/>
  <c r="N126" i="40"/>
  <c r="M126" i="40"/>
  <c r="L126" i="40"/>
  <c r="K305" i="40"/>
  <c r="O305" i="40"/>
  <c r="P305" i="40"/>
  <c r="M305" i="40"/>
  <c r="R305" i="40"/>
  <c r="L305" i="40"/>
  <c r="N305" i="40"/>
  <c r="Q305" i="40"/>
  <c r="Q28" i="40"/>
  <c r="N28" i="40"/>
  <c r="L28" i="40"/>
  <c r="R28" i="40"/>
  <c r="K28" i="40"/>
  <c r="O28" i="40"/>
  <c r="M28" i="40"/>
  <c r="P28" i="40"/>
  <c r="N291" i="40"/>
  <c r="P291" i="40"/>
  <c r="R291" i="40"/>
  <c r="Q291" i="40"/>
  <c r="K291" i="40"/>
  <c r="L291" i="40"/>
  <c r="O291" i="40"/>
  <c r="M291" i="40"/>
  <c r="R239" i="40"/>
  <c r="K239" i="40"/>
  <c r="O239" i="40"/>
  <c r="L239" i="40"/>
  <c r="Q239" i="40"/>
  <c r="M239" i="40"/>
  <c r="N239" i="40"/>
  <c r="P239" i="40"/>
  <c r="M264" i="40"/>
  <c r="O264" i="40"/>
  <c r="Q264" i="40"/>
  <c r="L264" i="40"/>
  <c r="N264" i="40"/>
  <c r="K264" i="40"/>
  <c r="P264" i="40"/>
  <c r="R264" i="40"/>
  <c r="N261" i="40"/>
  <c r="P261" i="40"/>
  <c r="M261" i="40"/>
  <c r="L261" i="40"/>
  <c r="K261" i="40"/>
  <c r="O261" i="40"/>
  <c r="R261" i="40"/>
  <c r="Q261" i="40"/>
  <c r="K227" i="40"/>
  <c r="R227" i="40"/>
  <c r="P227" i="40"/>
  <c r="M227" i="40"/>
  <c r="L227" i="40"/>
  <c r="N227" i="40"/>
  <c r="Q227" i="40"/>
  <c r="O227" i="40"/>
  <c r="L222" i="40"/>
  <c r="Q222" i="40"/>
  <c r="R222" i="40"/>
  <c r="N222" i="40"/>
  <c r="M222" i="40"/>
  <c r="O222" i="40"/>
  <c r="K222" i="40"/>
  <c r="P222" i="40"/>
  <c r="O184" i="40"/>
  <c r="BC184" i="40" s="1"/>
  <c r="BK184" i="40" s="1"/>
  <c r="BS184" i="40" s="1"/>
  <c r="M184" i="40"/>
  <c r="N184" i="40"/>
  <c r="L184" i="40"/>
  <c r="P184" i="40"/>
  <c r="K184" i="40"/>
  <c r="Q184" i="40"/>
  <c r="R184" i="40"/>
  <c r="M164" i="40"/>
  <c r="K164" i="40"/>
  <c r="R164" i="40"/>
  <c r="BF164" i="40" s="1"/>
  <c r="BN164" i="40" s="1"/>
  <c r="BV164" i="40" s="1"/>
  <c r="N164" i="40"/>
  <c r="O164" i="40"/>
  <c r="Q164" i="40"/>
  <c r="P164" i="40"/>
  <c r="L164" i="40"/>
  <c r="M171" i="40"/>
  <c r="K171" i="40"/>
  <c r="Q171" i="40"/>
  <c r="L171" i="40"/>
  <c r="O171" i="40"/>
  <c r="N171" i="40"/>
  <c r="P171" i="40"/>
  <c r="R171" i="40"/>
  <c r="L158" i="40"/>
  <c r="M158" i="40"/>
  <c r="N158" i="40"/>
  <c r="R158" i="40"/>
  <c r="Q158" i="40"/>
  <c r="K158" i="40"/>
  <c r="O158" i="40"/>
  <c r="P158" i="40"/>
  <c r="Q170" i="40"/>
  <c r="K170" i="40"/>
  <c r="M170" i="40"/>
  <c r="O170" i="40"/>
  <c r="R170" i="40"/>
  <c r="L170" i="40"/>
  <c r="N170" i="40"/>
  <c r="P170" i="40"/>
  <c r="M212" i="40"/>
  <c r="Q212" i="40"/>
  <c r="P212" i="40"/>
  <c r="L212" i="40"/>
  <c r="O212" i="40"/>
  <c r="K212" i="40"/>
  <c r="R212" i="40"/>
  <c r="N212" i="40"/>
  <c r="Q146" i="40"/>
  <c r="O146" i="40"/>
  <c r="BC146" i="40" s="1"/>
  <c r="BK146" i="40" s="1"/>
  <c r="BS146" i="40" s="1"/>
  <c r="M146" i="40"/>
  <c r="K146" i="40"/>
  <c r="N146" i="40"/>
  <c r="L146" i="40"/>
  <c r="P146" i="40"/>
  <c r="R146" i="40"/>
  <c r="M142" i="40"/>
  <c r="Q142" i="40"/>
  <c r="K142" i="40"/>
  <c r="L142" i="40"/>
  <c r="R142" i="40"/>
  <c r="P142" i="40"/>
  <c r="O142" i="40"/>
  <c r="N142" i="40"/>
  <c r="M81" i="40"/>
  <c r="O81" i="40"/>
  <c r="K81" i="40"/>
  <c r="Q81" i="40"/>
  <c r="N81" i="40"/>
  <c r="P81" i="40"/>
  <c r="L81" i="40"/>
  <c r="R81" i="40"/>
  <c r="O130" i="40"/>
  <c r="N130" i="40"/>
  <c r="M130" i="40"/>
  <c r="L130" i="40"/>
  <c r="K130" i="40"/>
  <c r="R130" i="40"/>
  <c r="Q130" i="40"/>
  <c r="P130" i="40"/>
  <c r="P100" i="40"/>
  <c r="N100" i="40"/>
  <c r="K100" i="40"/>
  <c r="Q100" i="40"/>
  <c r="L100" i="40"/>
  <c r="O100" i="40"/>
  <c r="M100" i="40"/>
  <c r="R100" i="40"/>
  <c r="Q148" i="40"/>
  <c r="K148" i="40"/>
  <c r="O148" i="40"/>
  <c r="P148" i="40"/>
  <c r="N148" i="40"/>
  <c r="M148" i="40"/>
  <c r="L148" i="40"/>
  <c r="R148" i="40"/>
  <c r="Q134" i="40"/>
  <c r="O134" i="40"/>
  <c r="N134" i="40"/>
  <c r="M134" i="40"/>
  <c r="L134" i="40"/>
  <c r="P134" i="40"/>
  <c r="K134" i="40"/>
  <c r="R134" i="40"/>
  <c r="N86" i="40"/>
  <c r="O86" i="40"/>
  <c r="L86" i="40"/>
  <c r="M86" i="40"/>
  <c r="BA86" i="40" s="1"/>
  <c r="BI86" i="40" s="1"/>
  <c r="BQ86" i="40" s="1"/>
  <c r="Q86" i="40"/>
  <c r="R86" i="40"/>
  <c r="K86" i="40"/>
  <c r="P86" i="40"/>
  <c r="L44" i="40"/>
  <c r="Q44" i="40"/>
  <c r="O44" i="40"/>
  <c r="M44" i="40"/>
  <c r="K44" i="40"/>
  <c r="P44" i="40"/>
  <c r="N44" i="40"/>
  <c r="R44" i="40"/>
  <c r="L47" i="40"/>
  <c r="Q47" i="40"/>
  <c r="R47" i="40"/>
  <c r="K47" i="40"/>
  <c r="M47" i="40"/>
  <c r="P47" i="40"/>
  <c r="O47" i="40"/>
  <c r="N47" i="40"/>
  <c r="N77" i="40"/>
  <c r="K77" i="40"/>
  <c r="Q77" i="40"/>
  <c r="M77" i="40"/>
  <c r="O77" i="40"/>
  <c r="P77" i="40"/>
  <c r="L77" i="40"/>
  <c r="R77" i="40"/>
  <c r="R8" i="40"/>
  <c r="P8" i="40"/>
  <c r="BD8" i="40" s="1"/>
  <c r="BL8" i="40" s="1"/>
  <c r="BT8" i="40" s="1"/>
  <c r="L8" i="40"/>
  <c r="M8" i="40"/>
  <c r="K8" i="40"/>
  <c r="O8" i="40"/>
  <c r="N8" i="40"/>
  <c r="Q8" i="40"/>
  <c r="O314" i="40"/>
  <c r="L314" i="40"/>
  <c r="P314" i="40"/>
  <c r="R314" i="40"/>
  <c r="Q314" i="40"/>
  <c r="M314" i="40"/>
  <c r="N314" i="40"/>
  <c r="K314" i="40"/>
  <c r="Q233" i="40"/>
  <c r="O233" i="40"/>
  <c r="R233" i="40"/>
  <c r="P233" i="40"/>
  <c r="N233" i="40"/>
  <c r="M233" i="40"/>
  <c r="K233" i="40"/>
  <c r="L233" i="40"/>
  <c r="K229" i="40"/>
  <c r="Q229" i="40"/>
  <c r="O229" i="40"/>
  <c r="L229" i="40"/>
  <c r="R229" i="40"/>
  <c r="N229" i="40"/>
  <c r="P229" i="40"/>
  <c r="M229" i="40"/>
  <c r="O236" i="40"/>
  <c r="N236" i="40"/>
  <c r="BB236" i="40" s="1"/>
  <c r="BJ236" i="40" s="1"/>
  <c r="BR236" i="40" s="1"/>
  <c r="P236" i="40"/>
  <c r="M236" i="40"/>
  <c r="L236" i="40"/>
  <c r="R236" i="40"/>
  <c r="K236" i="40"/>
  <c r="Q236" i="40"/>
  <c r="Q311" i="40"/>
  <c r="K311" i="40"/>
  <c r="P311" i="40"/>
  <c r="R311" i="40"/>
  <c r="L311" i="40"/>
  <c r="M311" i="40"/>
  <c r="N311" i="40"/>
  <c r="O311" i="40"/>
  <c r="L152" i="40"/>
  <c r="AZ152" i="40" s="1"/>
  <c r="BH152" i="40" s="1"/>
  <c r="BP152" i="40" s="1"/>
  <c r="R152" i="40"/>
  <c r="O152" i="40"/>
  <c r="M152" i="40"/>
  <c r="N152" i="40"/>
  <c r="K152" i="40"/>
  <c r="Q152" i="40"/>
  <c r="P152" i="40"/>
  <c r="M313" i="40"/>
  <c r="BA313" i="40" s="1"/>
  <c r="BI313" i="40" s="1"/>
  <c r="BQ313" i="40" s="1"/>
  <c r="L313" i="40"/>
  <c r="P313" i="40"/>
  <c r="Q313" i="40"/>
  <c r="R313" i="40"/>
  <c r="O313" i="40"/>
  <c r="N313" i="40"/>
  <c r="K313" i="40"/>
  <c r="Q262" i="40"/>
  <c r="O262" i="40"/>
  <c r="L262" i="40"/>
  <c r="N262" i="40"/>
  <c r="R262" i="40"/>
  <c r="M262" i="40"/>
  <c r="K262" i="40"/>
  <c r="P262" i="40"/>
  <c r="K256" i="40"/>
  <c r="O256" i="40"/>
  <c r="L256" i="40"/>
  <c r="N256" i="40"/>
  <c r="M256" i="40"/>
  <c r="Q256" i="40"/>
  <c r="R256" i="40"/>
  <c r="BF256" i="40" s="1"/>
  <c r="BN256" i="40" s="1"/>
  <c r="BV256" i="40" s="1"/>
  <c r="P256" i="40"/>
  <c r="P253" i="40"/>
  <c r="K253" i="40"/>
  <c r="L253" i="40"/>
  <c r="O253" i="40"/>
  <c r="N253" i="40"/>
  <c r="R253" i="40"/>
  <c r="Q253" i="40"/>
  <c r="M253" i="40"/>
  <c r="L252" i="40"/>
  <c r="K252" i="40"/>
  <c r="Q252" i="40"/>
  <c r="R252" i="40"/>
  <c r="P252" i="40"/>
  <c r="O252" i="40"/>
  <c r="N252" i="40"/>
  <c r="M252" i="40"/>
  <c r="M285" i="40"/>
  <c r="L285" i="40"/>
  <c r="K285" i="40"/>
  <c r="N285" i="40"/>
  <c r="Q285" i="40"/>
  <c r="O285" i="40"/>
  <c r="P285" i="40"/>
  <c r="R285" i="40"/>
  <c r="O235" i="40"/>
  <c r="K235" i="40"/>
  <c r="M235" i="40"/>
  <c r="L235" i="40"/>
  <c r="R235" i="40"/>
  <c r="Q235" i="40"/>
  <c r="N235" i="40"/>
  <c r="P235" i="40"/>
  <c r="BD235" i="40" s="1"/>
  <c r="BL235" i="40" s="1"/>
  <c r="BT235" i="40" s="1"/>
  <c r="K244" i="40"/>
  <c r="O244" i="40"/>
  <c r="L244" i="40"/>
  <c r="N244" i="40"/>
  <c r="M244" i="40"/>
  <c r="R244" i="40"/>
  <c r="BF244" i="40" s="1"/>
  <c r="BN244" i="40" s="1"/>
  <c r="BV244" i="40" s="1"/>
  <c r="P244" i="40"/>
  <c r="Q244" i="40"/>
  <c r="R266" i="40"/>
  <c r="Q266" i="40"/>
  <c r="O266" i="40"/>
  <c r="BC266" i="40" s="1"/>
  <c r="BK266" i="40" s="1"/>
  <c r="BS266" i="40" s="1"/>
  <c r="P266" i="40"/>
  <c r="L266" i="40"/>
  <c r="N266" i="40"/>
  <c r="K266" i="40"/>
  <c r="M266" i="40"/>
  <c r="L267" i="40"/>
  <c r="AZ267" i="40" s="1"/>
  <c r="BH267" i="40" s="1"/>
  <c r="BP267" i="40" s="1"/>
  <c r="O267" i="40"/>
  <c r="K267" i="40"/>
  <c r="Q267" i="40"/>
  <c r="M267" i="40"/>
  <c r="R267" i="40"/>
  <c r="N267" i="40"/>
  <c r="P267" i="40"/>
  <c r="O175" i="40"/>
  <c r="Q175" i="40"/>
  <c r="L175" i="40"/>
  <c r="N175" i="40"/>
  <c r="K175" i="40"/>
  <c r="M175" i="40"/>
  <c r="P175" i="40"/>
  <c r="R175" i="40"/>
  <c r="BF175" i="40" s="1"/>
  <c r="BN175" i="40" s="1"/>
  <c r="BV175" i="40" s="1"/>
  <c r="Q153" i="40"/>
  <c r="O153" i="40"/>
  <c r="K153" i="40"/>
  <c r="P153" i="40"/>
  <c r="N153" i="40"/>
  <c r="M153" i="40"/>
  <c r="R153" i="40"/>
  <c r="L153" i="40"/>
  <c r="Q191" i="40"/>
  <c r="O191" i="40"/>
  <c r="N191" i="40"/>
  <c r="M191" i="40"/>
  <c r="L191" i="40"/>
  <c r="K191" i="40"/>
  <c r="R191" i="40"/>
  <c r="P191" i="40"/>
  <c r="M160" i="40"/>
  <c r="R160" i="40"/>
  <c r="L160" i="40"/>
  <c r="K160" i="40"/>
  <c r="N160" i="40"/>
  <c r="Q160" i="40"/>
  <c r="O160" i="40"/>
  <c r="P160" i="40"/>
  <c r="M178" i="40"/>
  <c r="R178" i="40"/>
  <c r="O178" i="40"/>
  <c r="N178" i="40"/>
  <c r="P178" i="40"/>
  <c r="Q178" i="40"/>
  <c r="L178" i="40"/>
  <c r="K178" i="40"/>
  <c r="N210" i="40"/>
  <c r="P210" i="40"/>
  <c r="Q210" i="40"/>
  <c r="M210" i="40"/>
  <c r="K210" i="40"/>
  <c r="O210" i="40"/>
  <c r="L210" i="40"/>
  <c r="R210" i="40"/>
  <c r="N159" i="40"/>
  <c r="M159" i="40"/>
  <c r="O159" i="40"/>
  <c r="Q159" i="40"/>
  <c r="P159" i="40"/>
  <c r="L159" i="40"/>
  <c r="R159" i="40"/>
  <c r="K159" i="40"/>
  <c r="M84" i="40"/>
  <c r="L84" i="40"/>
  <c r="O84" i="40"/>
  <c r="N84" i="40"/>
  <c r="K84" i="40"/>
  <c r="Q84" i="40"/>
  <c r="R84" i="40"/>
  <c r="P84" i="40"/>
  <c r="N133" i="40"/>
  <c r="M133" i="40"/>
  <c r="K133" i="40"/>
  <c r="R133" i="40"/>
  <c r="Q133" i="40"/>
  <c r="O133" i="40"/>
  <c r="L133" i="40"/>
  <c r="P133" i="40"/>
  <c r="P140" i="40"/>
  <c r="K140" i="40"/>
  <c r="M140" i="40"/>
  <c r="Q140" i="40"/>
  <c r="O140" i="40"/>
  <c r="L140" i="40"/>
  <c r="R140" i="40"/>
  <c r="N140" i="40"/>
  <c r="K89" i="40"/>
  <c r="N89" i="40"/>
  <c r="O89" i="40"/>
  <c r="P89" i="40"/>
  <c r="Q89" i="40"/>
  <c r="L89" i="40"/>
  <c r="M89" i="40"/>
  <c r="R89" i="40"/>
  <c r="L88" i="40"/>
  <c r="N88" i="40"/>
  <c r="M88" i="40"/>
  <c r="O88" i="40"/>
  <c r="Q88" i="40"/>
  <c r="P88" i="40"/>
  <c r="BD88" i="40" s="1"/>
  <c r="BL88" i="40" s="1"/>
  <c r="BT88" i="40" s="1"/>
  <c r="R88" i="40"/>
  <c r="K88" i="40"/>
  <c r="Q101" i="40"/>
  <c r="O101" i="40"/>
  <c r="N101" i="40"/>
  <c r="M101" i="40"/>
  <c r="L101" i="40"/>
  <c r="R101" i="40"/>
  <c r="K101" i="40"/>
  <c r="AY101" i="40" s="1"/>
  <c r="BG101" i="40" s="1"/>
  <c r="BO101" i="40" s="1"/>
  <c r="P101" i="40"/>
  <c r="Q132" i="40"/>
  <c r="O132" i="40"/>
  <c r="P132" i="40"/>
  <c r="N132" i="40"/>
  <c r="BB132" i="40" s="1"/>
  <c r="BJ132" i="40" s="1"/>
  <c r="BR132" i="40" s="1"/>
  <c r="M132" i="40"/>
  <c r="L132" i="40"/>
  <c r="K132" i="40"/>
  <c r="R132" i="40"/>
  <c r="L145" i="40"/>
  <c r="Q145" i="40"/>
  <c r="O145" i="40"/>
  <c r="M145" i="40"/>
  <c r="P145" i="40"/>
  <c r="N145" i="40"/>
  <c r="R145" i="40"/>
  <c r="K145" i="40"/>
  <c r="M94" i="40"/>
  <c r="K94" i="40"/>
  <c r="Q94" i="40"/>
  <c r="O94" i="40"/>
  <c r="N94" i="40"/>
  <c r="L94" i="40"/>
  <c r="P94" i="40"/>
  <c r="R94" i="40"/>
  <c r="K96" i="40"/>
  <c r="O96" i="40"/>
  <c r="M96" i="40"/>
  <c r="Q96" i="40"/>
  <c r="L96" i="40"/>
  <c r="N96" i="40"/>
  <c r="P96" i="40"/>
  <c r="R96" i="40"/>
  <c r="N74" i="40"/>
  <c r="L74" i="40"/>
  <c r="M74" i="40"/>
  <c r="O74" i="40"/>
  <c r="R74" i="40"/>
  <c r="Q74" i="40"/>
  <c r="K74" i="40"/>
  <c r="P74" i="40"/>
  <c r="Q22" i="40"/>
  <c r="N22" i="40"/>
  <c r="K22" i="40"/>
  <c r="R22" i="40"/>
  <c r="L22" i="40"/>
  <c r="M22" i="40"/>
  <c r="P22" i="40"/>
  <c r="O22" i="40"/>
  <c r="M13" i="40"/>
  <c r="O13" i="40"/>
  <c r="L13" i="40"/>
  <c r="Q13" i="40"/>
  <c r="P13" i="40"/>
  <c r="N13" i="40"/>
  <c r="K13" i="40"/>
  <c r="R13" i="40"/>
  <c r="K165" i="40"/>
  <c r="O165" i="40"/>
  <c r="Q165" i="40"/>
  <c r="N165" i="40"/>
  <c r="P165" i="40"/>
  <c r="R165" i="40"/>
  <c r="L165" i="40"/>
  <c r="M165" i="40"/>
  <c r="R40" i="40"/>
  <c r="L40" i="40"/>
  <c r="M40" i="40"/>
  <c r="O40" i="40"/>
  <c r="P40" i="40"/>
  <c r="Q40" i="40"/>
  <c r="N40" i="40"/>
  <c r="BB40" i="40" s="1"/>
  <c r="BJ40" i="40" s="1"/>
  <c r="BR40" i="40" s="1"/>
  <c r="K40" i="40"/>
  <c r="Q137" i="40"/>
  <c r="BE137" i="40" s="1"/>
  <c r="BM137" i="40" s="1"/>
  <c r="BU137" i="40" s="1"/>
  <c r="O137" i="40"/>
  <c r="N137" i="40"/>
  <c r="M137" i="40"/>
  <c r="L137" i="40"/>
  <c r="P137" i="40"/>
  <c r="K137" i="40"/>
  <c r="R137" i="40"/>
  <c r="L114" i="40"/>
  <c r="AZ114" i="40" s="1"/>
  <c r="BH114" i="40" s="1"/>
  <c r="BP114" i="40" s="1"/>
  <c r="N114" i="40"/>
  <c r="Q114" i="40"/>
  <c r="O114" i="40"/>
  <c r="M114" i="40"/>
  <c r="R114" i="40"/>
  <c r="K114" i="40"/>
  <c r="P114" i="40"/>
  <c r="N189" i="40"/>
  <c r="O189" i="40"/>
  <c r="P189" i="40"/>
  <c r="L189" i="40"/>
  <c r="K189" i="40"/>
  <c r="M189" i="40"/>
  <c r="R189" i="40"/>
  <c r="Q189" i="40"/>
  <c r="L295" i="40"/>
  <c r="M295" i="40"/>
  <c r="R295" i="40"/>
  <c r="O295" i="40"/>
  <c r="K295" i="40"/>
  <c r="P295" i="40"/>
  <c r="Q295" i="40"/>
  <c r="N295" i="40"/>
  <c r="L292" i="40"/>
  <c r="P292" i="40"/>
  <c r="K292" i="40"/>
  <c r="Q292" i="40"/>
  <c r="O292" i="40"/>
  <c r="BC292" i="40" s="1"/>
  <c r="BK292" i="40" s="1"/>
  <c r="BS292" i="40" s="1"/>
  <c r="M292" i="40"/>
  <c r="N292" i="40"/>
  <c r="R292" i="40"/>
  <c r="R10" i="40"/>
  <c r="L10" i="40"/>
  <c r="Q10" i="40"/>
  <c r="K10" i="40"/>
  <c r="N10" i="40"/>
  <c r="M10" i="40"/>
  <c r="O10" i="40"/>
  <c r="P10" i="40"/>
  <c r="BD10" i="40" s="1"/>
  <c r="BL10" i="40" s="1"/>
  <c r="BT10" i="40" s="1"/>
  <c r="M276" i="40"/>
  <c r="K276" i="40"/>
  <c r="R276" i="40"/>
  <c r="BF276" i="40" s="1"/>
  <c r="BN276" i="40" s="1"/>
  <c r="BV276" i="40" s="1"/>
  <c r="L276" i="40"/>
  <c r="Q276" i="40"/>
  <c r="O276" i="40"/>
  <c r="N276" i="40"/>
  <c r="P276" i="40"/>
  <c r="L254" i="40"/>
  <c r="N254" i="40"/>
  <c r="O254" i="40"/>
  <c r="M254" i="40"/>
  <c r="K254" i="40"/>
  <c r="Q254" i="40"/>
  <c r="R254" i="40"/>
  <c r="P254" i="40"/>
  <c r="K217" i="40"/>
  <c r="L217" i="40"/>
  <c r="N217" i="40"/>
  <c r="Q217" i="40"/>
  <c r="P217" i="40"/>
  <c r="O217" i="40"/>
  <c r="R217" i="40"/>
  <c r="M217" i="40"/>
  <c r="O218" i="40"/>
  <c r="N218" i="40"/>
  <c r="Q218" i="40"/>
  <c r="P218" i="40"/>
  <c r="L218" i="40"/>
  <c r="M218" i="40"/>
  <c r="K218" i="40"/>
  <c r="R218" i="40"/>
  <c r="R238" i="40"/>
  <c r="K238" i="40"/>
  <c r="O238" i="40"/>
  <c r="N238" i="40"/>
  <c r="M238" i="40"/>
  <c r="L238" i="40"/>
  <c r="Q238" i="40"/>
  <c r="P238" i="40"/>
  <c r="R259" i="40"/>
  <c r="P259" i="40"/>
  <c r="BD259" i="40" s="1"/>
  <c r="BL259" i="40" s="1"/>
  <c r="BT259" i="40" s="1"/>
  <c r="Q259" i="40"/>
  <c r="L259" i="40"/>
  <c r="O259" i="40"/>
  <c r="N259" i="40"/>
  <c r="K259" i="40"/>
  <c r="M259" i="40"/>
  <c r="L150" i="40"/>
  <c r="N150" i="40"/>
  <c r="Q150" i="40"/>
  <c r="M150" i="40"/>
  <c r="K150" i="40"/>
  <c r="R150" i="40"/>
  <c r="O150" i="40"/>
  <c r="P150" i="40"/>
  <c r="P163" i="40"/>
  <c r="M163" i="40"/>
  <c r="R163" i="40"/>
  <c r="L163" i="40"/>
  <c r="Q163" i="40"/>
  <c r="O163" i="40"/>
  <c r="K163" i="40"/>
  <c r="N163" i="40"/>
  <c r="Q208" i="40"/>
  <c r="N208" i="40"/>
  <c r="R208" i="40"/>
  <c r="M208" i="40"/>
  <c r="O208" i="40"/>
  <c r="K208" i="40"/>
  <c r="P208" i="40"/>
  <c r="L208" i="40"/>
  <c r="R176" i="40"/>
  <c r="N176" i="40"/>
  <c r="L176" i="40"/>
  <c r="P176" i="40"/>
  <c r="BD176" i="40" s="1"/>
  <c r="BL176" i="40" s="1"/>
  <c r="BT176" i="40" s="1"/>
  <c r="K176" i="40"/>
  <c r="O176" i="40"/>
  <c r="Q176" i="40"/>
  <c r="M176" i="40"/>
  <c r="Q182" i="40"/>
  <c r="K182" i="40"/>
  <c r="R182" i="40"/>
  <c r="O182" i="40"/>
  <c r="P182" i="40"/>
  <c r="N182" i="40"/>
  <c r="M182" i="40"/>
  <c r="L182" i="40"/>
  <c r="K180" i="40"/>
  <c r="L180" i="40"/>
  <c r="R180" i="40"/>
  <c r="O180" i="40"/>
  <c r="N180" i="40"/>
  <c r="M180" i="40"/>
  <c r="Q180" i="40"/>
  <c r="P180" i="40"/>
  <c r="BD180" i="40" s="1"/>
  <c r="BL180" i="40" s="1"/>
  <c r="BT180" i="40" s="1"/>
  <c r="Q209" i="40"/>
  <c r="M209" i="40"/>
  <c r="L209" i="40"/>
  <c r="AZ209" i="40" s="1"/>
  <c r="BH209" i="40" s="1"/>
  <c r="BP209" i="40" s="1"/>
  <c r="K209" i="40"/>
  <c r="R209" i="40"/>
  <c r="O209" i="40"/>
  <c r="P209" i="40"/>
  <c r="N209" i="40"/>
  <c r="M205" i="40"/>
  <c r="K205" i="40"/>
  <c r="Q205" i="40"/>
  <c r="L205" i="40"/>
  <c r="N205" i="40"/>
  <c r="R205" i="40"/>
  <c r="O205" i="40"/>
  <c r="BC205" i="40" s="1"/>
  <c r="BK205" i="40" s="1"/>
  <c r="BS205" i="40" s="1"/>
  <c r="P205" i="40"/>
  <c r="L166" i="40"/>
  <c r="Q166" i="40"/>
  <c r="P166" i="40"/>
  <c r="K166" i="40"/>
  <c r="N166" i="40"/>
  <c r="M166" i="40"/>
  <c r="O166" i="40"/>
  <c r="R166" i="40"/>
  <c r="N129" i="40"/>
  <c r="M129" i="40"/>
  <c r="Q129" i="40"/>
  <c r="O129" i="40"/>
  <c r="L129" i="40"/>
  <c r="K129" i="40"/>
  <c r="R129" i="40"/>
  <c r="P129" i="40"/>
  <c r="Q135" i="40"/>
  <c r="O135" i="40"/>
  <c r="R135" i="40"/>
  <c r="N135" i="40"/>
  <c r="P135" i="40"/>
  <c r="M135" i="40"/>
  <c r="BA135" i="40" s="1"/>
  <c r="BI135" i="40" s="1"/>
  <c r="BQ135" i="40" s="1"/>
  <c r="L135" i="40"/>
  <c r="K135" i="40"/>
  <c r="K79" i="40"/>
  <c r="Q79" i="40"/>
  <c r="M79" i="40"/>
  <c r="O79" i="40"/>
  <c r="P79" i="40"/>
  <c r="N79" i="40"/>
  <c r="L79" i="40"/>
  <c r="R79" i="40"/>
  <c r="M99" i="40"/>
  <c r="L99" i="40"/>
  <c r="O99" i="40"/>
  <c r="N99" i="40"/>
  <c r="K99" i="40"/>
  <c r="Q99" i="40"/>
  <c r="P99" i="40"/>
  <c r="R99" i="40"/>
  <c r="R111" i="40"/>
  <c r="O111" i="40"/>
  <c r="Q111" i="40"/>
  <c r="P111" i="40"/>
  <c r="N111" i="40"/>
  <c r="M111" i="40"/>
  <c r="BA111" i="40" s="1"/>
  <c r="BI111" i="40" s="1"/>
  <c r="BQ111" i="40" s="1"/>
  <c r="L111" i="40"/>
  <c r="K111" i="40"/>
  <c r="L78" i="40"/>
  <c r="O78" i="40"/>
  <c r="BC78" i="40" s="1"/>
  <c r="BK78" i="40" s="1"/>
  <c r="BS78" i="40" s="1"/>
  <c r="N78" i="40"/>
  <c r="M78" i="40"/>
  <c r="R78" i="40"/>
  <c r="Q78" i="40"/>
  <c r="K78" i="40"/>
  <c r="P78" i="40"/>
  <c r="R14" i="40"/>
  <c r="O14" i="40"/>
  <c r="M14" i="40"/>
  <c r="K14" i="40"/>
  <c r="L14" i="40"/>
  <c r="N14" i="40"/>
  <c r="P14" i="40"/>
  <c r="Q14" i="40"/>
  <c r="N18" i="40"/>
  <c r="L18" i="40"/>
  <c r="M18" i="40"/>
  <c r="K18" i="40"/>
  <c r="R18" i="40"/>
  <c r="Q18" i="40"/>
  <c r="O18" i="40"/>
  <c r="P18" i="40"/>
  <c r="L53" i="40"/>
  <c r="Q53" i="40"/>
  <c r="R53" i="40"/>
  <c r="K53" i="40"/>
  <c r="O53" i="40"/>
  <c r="N53" i="40"/>
  <c r="P53" i="40"/>
  <c r="M53" i="40"/>
  <c r="R23" i="40"/>
  <c r="M23" i="40"/>
  <c r="O23" i="40"/>
  <c r="L23" i="40"/>
  <c r="Q23" i="40"/>
  <c r="N23" i="40"/>
  <c r="P23" i="40"/>
  <c r="K23" i="40"/>
  <c r="CJ98" i="17"/>
  <c r="CP98" i="17" s="1"/>
  <c r="DG98" i="17" s="1"/>
  <c r="DH98" i="17" s="1"/>
  <c r="CJ43" i="17"/>
  <c r="CP43" i="17" s="1"/>
  <c r="DG43" i="17" s="1"/>
  <c r="DH43" i="17" s="1"/>
  <c r="CJ304" i="17"/>
  <c r="CP304" i="17" s="1"/>
  <c r="DG304" i="17" s="1"/>
  <c r="DH304" i="17" s="1"/>
  <c r="CJ290" i="17"/>
  <c r="CP290" i="17" s="1"/>
  <c r="DG290" i="17" s="1"/>
  <c r="DH290" i="17" s="1"/>
  <c r="CJ93" i="17"/>
  <c r="CP93" i="17" s="1"/>
  <c r="DG93" i="17" s="1"/>
  <c r="DH93" i="17" s="1"/>
  <c r="CH98" i="17"/>
  <c r="CN98" i="17" s="1"/>
  <c r="DC98" i="17" s="1"/>
  <c r="DD98" i="17" s="1"/>
  <c r="CI304" i="17"/>
  <c r="CO304" i="17" s="1"/>
  <c r="DE304" i="17" s="1"/>
  <c r="DF304" i="17" s="1"/>
  <c r="CH43" i="17"/>
  <c r="CN43" i="17" s="1"/>
  <c r="DC43" i="17" s="1"/>
  <c r="DD43" i="17" s="1"/>
  <c r="CH290" i="17"/>
  <c r="CN290" i="17" s="1"/>
  <c r="DC290" i="17" s="1"/>
  <c r="DD290" i="17" s="1"/>
  <c r="CI98" i="17"/>
  <c r="CO98" i="17" s="1"/>
  <c r="DE98" i="17" s="1"/>
  <c r="DF98" i="17" s="1"/>
  <c r="CH304" i="17"/>
  <c r="CN304" i="17" s="1"/>
  <c r="DC304" i="17" s="1"/>
  <c r="DD304" i="17" s="1"/>
  <c r="CH93" i="17"/>
  <c r="CN93" i="17" s="1"/>
  <c r="DC93" i="17" s="1"/>
  <c r="DD93" i="17" s="1"/>
  <c r="CI43" i="17"/>
  <c r="CO43" i="17" s="1"/>
  <c r="DE43" i="17" s="1"/>
  <c r="DF43" i="17" s="1"/>
  <c r="CI93" i="17"/>
  <c r="CO93" i="17" s="1"/>
  <c r="DE93" i="17" s="1"/>
  <c r="DF93" i="17" s="1"/>
  <c r="CI290" i="17"/>
  <c r="CO290" i="17" s="1"/>
  <c r="DE290" i="17" s="1"/>
  <c r="DF290" i="17" s="1"/>
  <c r="CF98" i="17"/>
  <c r="CL98" i="17" s="1"/>
  <c r="CY98" i="17" s="1"/>
  <c r="CZ98" i="17" s="1"/>
  <c r="CG98" i="17"/>
  <c r="CM98" i="17" s="1"/>
  <c r="DA98" i="17" s="1"/>
  <c r="DB98" i="17" s="1"/>
  <c r="I221" i="17"/>
  <c r="J221" i="17" s="1"/>
  <c r="CE98" i="17"/>
  <c r="CK98" i="17" s="1"/>
  <c r="CW98" i="17" s="1"/>
  <c r="CX98" i="17" s="1"/>
  <c r="I54" i="17"/>
  <c r="J54" i="17" s="1"/>
  <c r="I24" i="17"/>
  <c r="J24" i="17" s="1"/>
  <c r="K24" i="17" s="1"/>
  <c r="BO24" i="17" s="1"/>
  <c r="I157" i="17"/>
  <c r="J157" i="17" s="1"/>
  <c r="Q157" i="17" s="1"/>
  <c r="BU157" i="17" s="1"/>
  <c r="I163" i="17"/>
  <c r="J163" i="17" s="1"/>
  <c r="P163" i="17" s="1"/>
  <c r="BT163" i="17" s="1"/>
  <c r="CG290" i="17"/>
  <c r="CM290" i="17" s="1"/>
  <c r="DA290" i="17" s="1"/>
  <c r="DB290" i="17" s="1"/>
  <c r="CG43" i="17"/>
  <c r="CM43" i="17" s="1"/>
  <c r="DA43" i="17" s="1"/>
  <c r="DB43" i="17" s="1"/>
  <c r="CE290" i="17"/>
  <c r="CK290" i="17" s="1"/>
  <c r="CW290" i="17" s="1"/>
  <c r="CX290" i="17" s="1"/>
  <c r="CF304" i="17"/>
  <c r="CL304" i="17" s="1"/>
  <c r="CY304" i="17" s="1"/>
  <c r="CZ304" i="17" s="1"/>
  <c r="CG304" i="17"/>
  <c r="CM304" i="17" s="1"/>
  <c r="DA304" i="17" s="1"/>
  <c r="DB304" i="17" s="1"/>
  <c r="CE43" i="17"/>
  <c r="CK43" i="17" s="1"/>
  <c r="CW43" i="17" s="1"/>
  <c r="CX43" i="17" s="1"/>
  <c r="CE93" i="17"/>
  <c r="CK93" i="17" s="1"/>
  <c r="CW93" i="17" s="1"/>
  <c r="CX93" i="17" s="1"/>
  <c r="CE304" i="17"/>
  <c r="CK304" i="17" s="1"/>
  <c r="CW304" i="17" s="1"/>
  <c r="CX304" i="17" s="1"/>
  <c r="CF290" i="17"/>
  <c r="CL290" i="17" s="1"/>
  <c r="CY290" i="17" s="1"/>
  <c r="CZ290" i="17" s="1"/>
  <c r="CF43" i="17"/>
  <c r="CL43" i="17" s="1"/>
  <c r="CY43" i="17" s="1"/>
  <c r="CZ43" i="17" s="1"/>
  <c r="CF93" i="17"/>
  <c r="CL93" i="17" s="1"/>
  <c r="CY93" i="17" s="1"/>
  <c r="CZ93" i="17" s="1"/>
  <c r="CG93" i="17"/>
  <c r="CM93" i="17" s="1"/>
  <c r="DA93" i="17" s="1"/>
  <c r="DB93" i="17" s="1"/>
  <c r="I259" i="17"/>
  <c r="J259" i="17" s="1"/>
  <c r="K259" i="17" s="1"/>
  <c r="BO259" i="17" s="1"/>
  <c r="I18" i="17"/>
  <c r="J18" i="17" s="1"/>
  <c r="I11" i="17"/>
  <c r="J11" i="17" s="1"/>
  <c r="O11" i="17" s="1"/>
  <c r="I45" i="17"/>
  <c r="J45" i="17" s="1"/>
  <c r="P45" i="17" s="1"/>
  <c r="I318" i="17"/>
  <c r="J318" i="17" s="1"/>
  <c r="L318" i="17" s="1"/>
  <c r="I208" i="17"/>
  <c r="J208" i="17" s="1"/>
  <c r="P208" i="17" s="1"/>
  <c r="BT208" i="17" s="1"/>
  <c r="I224" i="17"/>
  <c r="J224" i="17" s="1"/>
  <c r="Q224" i="17" s="1"/>
  <c r="BU224" i="17" s="1"/>
  <c r="I158" i="17"/>
  <c r="J158" i="17" s="1"/>
  <c r="L158" i="17" s="1"/>
  <c r="BP158" i="17" s="1"/>
  <c r="I78" i="17"/>
  <c r="J78" i="17" s="1"/>
  <c r="O78" i="17" s="1"/>
  <c r="I296" i="17"/>
  <c r="J296" i="17" s="1"/>
  <c r="I281" i="17"/>
  <c r="J281" i="17" s="1"/>
  <c r="L281" i="17" s="1"/>
  <c r="BP281" i="17" s="1"/>
  <c r="I146" i="17"/>
  <c r="J146" i="17" s="1"/>
  <c r="I77" i="17"/>
  <c r="J77" i="17" s="1"/>
  <c r="O77" i="17" s="1"/>
  <c r="BS77" i="17" s="1"/>
  <c r="I242" i="17"/>
  <c r="J242" i="17" s="1"/>
  <c r="O242" i="17" s="1"/>
  <c r="BS242" i="17" s="1"/>
  <c r="I56" i="17"/>
  <c r="J56" i="17" s="1"/>
  <c r="I238" i="17"/>
  <c r="J238" i="17" s="1"/>
  <c r="I39" i="17"/>
  <c r="J39" i="17" s="1"/>
  <c r="N39" i="17" s="1"/>
  <c r="BR39" i="17" s="1"/>
  <c r="I227" i="17"/>
  <c r="J227" i="17" s="1"/>
  <c r="R227" i="17" s="1"/>
  <c r="BV227" i="17" s="1"/>
  <c r="I314" i="17"/>
  <c r="J314" i="17" s="1"/>
  <c r="I97" i="17"/>
  <c r="J97" i="17" s="1"/>
  <c r="O97" i="17" s="1"/>
  <c r="BS97" i="17" s="1"/>
  <c r="I244" i="17"/>
  <c r="J244" i="17" s="1"/>
  <c r="L244" i="17" s="1"/>
  <c r="BP244" i="17" s="1"/>
  <c r="I145" i="17"/>
  <c r="J145" i="17" s="1"/>
  <c r="Q145" i="17" s="1"/>
  <c r="BU145" i="17" s="1"/>
  <c r="I105" i="17"/>
  <c r="J105" i="17" s="1"/>
  <c r="P105" i="17" s="1"/>
  <c r="BT105" i="17" s="1"/>
  <c r="I111" i="17"/>
  <c r="J111" i="17" s="1"/>
  <c r="I132" i="17"/>
  <c r="J132" i="17" s="1"/>
  <c r="I36" i="17"/>
  <c r="J36" i="17" s="1"/>
  <c r="N36" i="17" s="1"/>
  <c r="BR36" i="17" s="1"/>
  <c r="I184" i="17"/>
  <c r="J184" i="17" s="1"/>
  <c r="L184" i="17" s="1"/>
  <c r="BP184" i="17" s="1"/>
  <c r="I180" i="17"/>
  <c r="J180" i="17" s="1"/>
  <c r="I306" i="17"/>
  <c r="J306" i="17" s="1"/>
  <c r="R306" i="17" s="1"/>
  <c r="BV306" i="17" s="1"/>
  <c r="I91" i="17"/>
  <c r="J91" i="17" s="1"/>
  <c r="N91" i="17" s="1"/>
  <c r="I48" i="17"/>
  <c r="J48" i="17" s="1"/>
  <c r="P48" i="17" s="1"/>
  <c r="BT48" i="17" s="1"/>
  <c r="I9" i="17"/>
  <c r="J9" i="17" s="1"/>
  <c r="N9" i="17" s="1"/>
  <c r="I289" i="17"/>
  <c r="J289" i="17" s="1"/>
  <c r="K289" i="17" s="1"/>
  <c r="BO289" i="17" s="1"/>
  <c r="I212" i="17"/>
  <c r="J212" i="17" s="1"/>
  <c r="L212" i="17" s="1"/>
  <c r="BP212" i="17" s="1"/>
  <c r="I171" i="17"/>
  <c r="J171" i="17" s="1"/>
  <c r="O171" i="17" s="1"/>
  <c r="I19" i="17"/>
  <c r="J19" i="17" s="1"/>
  <c r="I72" i="17"/>
  <c r="J72" i="17" s="1"/>
  <c r="Q72" i="17" s="1"/>
  <c r="BU72" i="17" s="1"/>
  <c r="I206" i="17"/>
  <c r="J206" i="17" s="1"/>
  <c r="L206" i="17" s="1"/>
  <c r="BP206" i="17" s="1"/>
  <c r="I193" i="17"/>
  <c r="J193" i="17" s="1"/>
  <c r="R193" i="17" s="1"/>
  <c r="BV193" i="17" s="1"/>
  <c r="I287" i="17"/>
  <c r="J287" i="17" s="1"/>
  <c r="I33" i="17"/>
  <c r="J33" i="17" s="1"/>
  <c r="M33" i="17" s="1"/>
  <c r="BQ33" i="17" s="1"/>
  <c r="I32" i="17"/>
  <c r="J32" i="17" s="1"/>
  <c r="P32" i="17" s="1"/>
  <c r="BT32" i="17" s="1"/>
  <c r="I34" i="17"/>
  <c r="J34" i="17" s="1"/>
  <c r="Q34" i="17" s="1"/>
  <c r="BU34" i="17" s="1"/>
  <c r="I185" i="17"/>
  <c r="J185" i="17" s="1"/>
  <c r="I152" i="17"/>
  <c r="J152" i="17" s="1"/>
  <c r="N152" i="17" s="1"/>
  <c r="BR152" i="17" s="1"/>
  <c r="I69" i="17"/>
  <c r="J69" i="17" s="1"/>
  <c r="Q69" i="17" s="1"/>
  <c r="BU69" i="17" s="1"/>
  <c r="I261" i="17"/>
  <c r="J261" i="17" s="1"/>
  <c r="R261" i="17" s="1"/>
  <c r="BV261" i="17" s="1"/>
  <c r="I167" i="17"/>
  <c r="J167" i="17" s="1"/>
  <c r="I118" i="17"/>
  <c r="J118" i="17" s="1"/>
  <c r="N118" i="17" s="1"/>
  <c r="BR118" i="17" s="1"/>
  <c r="I182" i="17"/>
  <c r="J182" i="17" s="1"/>
  <c r="I172" i="17"/>
  <c r="J172" i="17" s="1"/>
  <c r="L172" i="17" s="1"/>
  <c r="I149" i="17"/>
  <c r="J149" i="17" s="1"/>
  <c r="I27" i="17"/>
  <c r="J27" i="17" s="1"/>
  <c r="K27" i="17" s="1"/>
  <c r="BO27" i="17" s="1"/>
  <c r="I207" i="17"/>
  <c r="J207" i="17" s="1"/>
  <c r="O207" i="17" s="1"/>
  <c r="BS207" i="17" s="1"/>
  <c r="I115" i="17"/>
  <c r="J115" i="17" s="1"/>
  <c r="L115" i="17" s="1"/>
  <c r="BP115" i="17" s="1"/>
  <c r="I251" i="17"/>
  <c r="J251" i="17" s="1"/>
  <c r="O251" i="17" s="1"/>
  <c r="BS251" i="17" s="1"/>
  <c r="I134" i="17"/>
  <c r="J134" i="17" s="1"/>
  <c r="R134" i="17" s="1"/>
  <c r="BV134" i="17" s="1"/>
  <c r="I300" i="17"/>
  <c r="J300" i="17" s="1"/>
  <c r="I66" i="17"/>
  <c r="J66" i="17" s="1"/>
  <c r="N66" i="17" s="1"/>
  <c r="I29" i="17"/>
  <c r="J29" i="17" s="1"/>
  <c r="R29" i="17" s="1"/>
  <c r="I13" i="17"/>
  <c r="J13" i="17" s="1"/>
  <c r="R13" i="17" s="1"/>
  <c r="BV13" i="17" s="1"/>
  <c r="I76" i="17"/>
  <c r="J76" i="17" s="1"/>
  <c r="O76" i="17" s="1"/>
  <c r="BS76" i="17" s="1"/>
  <c r="I126" i="17"/>
  <c r="J126" i="17" s="1"/>
  <c r="P126" i="17" s="1"/>
  <c r="I148" i="17"/>
  <c r="J148" i="17" s="1"/>
  <c r="I263" i="17"/>
  <c r="J263" i="17" s="1"/>
  <c r="K263" i="17" s="1"/>
  <c r="BO263" i="17" s="1"/>
  <c r="I79" i="17"/>
  <c r="J79" i="17" s="1"/>
  <c r="I71" i="17"/>
  <c r="J71" i="17" s="1"/>
  <c r="M71" i="17" s="1"/>
  <c r="I49" i="17"/>
  <c r="J49" i="17" s="1"/>
  <c r="I55" i="17"/>
  <c r="J55" i="17" s="1"/>
  <c r="Q55" i="17" s="1"/>
  <c r="BU55" i="17" s="1"/>
  <c r="I100" i="17"/>
  <c r="J100" i="17" s="1"/>
  <c r="Q100" i="17" s="1"/>
  <c r="BU100" i="17" s="1"/>
  <c r="I84" i="17"/>
  <c r="J84" i="17" s="1"/>
  <c r="K84" i="17" s="1"/>
  <c r="BO84" i="17" s="1"/>
  <c r="I133" i="17"/>
  <c r="J133" i="17" s="1"/>
  <c r="Q133" i="17" s="1"/>
  <c r="BU133" i="17" s="1"/>
  <c r="I17" i="17"/>
  <c r="J17" i="17" s="1"/>
  <c r="P17" i="17" s="1"/>
  <c r="BT17" i="17" s="1"/>
  <c r="I248" i="17"/>
  <c r="J248" i="17" s="1"/>
  <c r="I88" i="17"/>
  <c r="J88" i="17" s="1"/>
  <c r="K88" i="17" s="1"/>
  <c r="BO88" i="17" s="1"/>
  <c r="I139" i="17"/>
  <c r="J139" i="17" s="1"/>
  <c r="K139" i="17" s="1"/>
  <c r="BO139" i="17" s="1"/>
  <c r="I150" i="17"/>
  <c r="J150" i="17" s="1"/>
  <c r="P150" i="17" s="1"/>
  <c r="BT150" i="17" s="1"/>
  <c r="I164" i="17"/>
  <c r="J164" i="17" s="1"/>
  <c r="Q164" i="17" s="1"/>
  <c r="BU164" i="17" s="1"/>
  <c r="I209" i="17"/>
  <c r="J209" i="17" s="1"/>
  <c r="L209" i="17" s="1"/>
  <c r="I81" i="17"/>
  <c r="J81" i="17" s="1"/>
  <c r="N81" i="17" s="1"/>
  <c r="BR81" i="17" s="1"/>
  <c r="I288" i="17"/>
  <c r="J288" i="17" s="1"/>
  <c r="P288" i="17" s="1"/>
  <c r="BT288" i="17" s="1"/>
  <c r="I253" i="17"/>
  <c r="J253" i="17" s="1"/>
  <c r="I198" i="17"/>
  <c r="J198" i="17" s="1"/>
  <c r="M198" i="17" s="1"/>
  <c r="BQ198" i="17" s="1"/>
  <c r="I190" i="17"/>
  <c r="J190" i="17" s="1"/>
  <c r="Q190" i="17" s="1"/>
  <c r="BU190" i="17" s="1"/>
  <c r="I96" i="17"/>
  <c r="J96" i="17" s="1"/>
  <c r="Q96" i="17" s="1"/>
  <c r="BU96" i="17" s="1"/>
  <c r="I109" i="17"/>
  <c r="J109" i="17" s="1"/>
  <c r="R109" i="17" s="1"/>
  <c r="BV109" i="17" s="1"/>
  <c r="I144" i="17"/>
  <c r="J144" i="17" s="1"/>
  <c r="Q144" i="17" s="1"/>
  <c r="BU144" i="17" s="1"/>
  <c r="I94" i="17"/>
  <c r="J94" i="17" s="1"/>
  <c r="M94" i="17" s="1"/>
  <c r="BQ94" i="17" s="1"/>
  <c r="I57" i="17"/>
  <c r="J57" i="17" s="1"/>
  <c r="L57" i="17" s="1"/>
  <c r="BP57" i="17" s="1"/>
  <c r="I177" i="17"/>
  <c r="J177" i="17" s="1"/>
  <c r="I110" i="17"/>
  <c r="J110" i="17" s="1"/>
  <c r="O110" i="17" s="1"/>
  <c r="I201" i="17"/>
  <c r="J201" i="17" s="1"/>
  <c r="I61" i="17"/>
  <c r="J61" i="17" s="1"/>
  <c r="Q61" i="17" s="1"/>
  <c r="BU61" i="17" s="1"/>
  <c r="I275" i="17"/>
  <c r="J275" i="17" s="1"/>
  <c r="M275" i="17" s="1"/>
  <c r="BQ275" i="17" s="1"/>
  <c r="I256" i="17"/>
  <c r="J256" i="17" s="1"/>
  <c r="M256" i="17" s="1"/>
  <c r="BQ256" i="17" s="1"/>
  <c r="I70" i="17"/>
  <c r="J70" i="17" s="1"/>
  <c r="P70" i="17" s="1"/>
  <c r="BT70" i="17" s="1"/>
  <c r="I138" i="17"/>
  <c r="J138" i="17" s="1"/>
  <c r="M138" i="17" s="1"/>
  <c r="BQ138" i="17" s="1"/>
  <c r="I73" i="17"/>
  <c r="J73" i="17" s="1"/>
  <c r="I102" i="17"/>
  <c r="J102" i="17" s="1"/>
  <c r="R102" i="17" s="1"/>
  <c r="BV102" i="17" s="1"/>
  <c r="I60" i="17"/>
  <c r="J60" i="17" s="1"/>
  <c r="I51" i="17"/>
  <c r="J51" i="17" s="1"/>
  <c r="R51" i="17" s="1"/>
  <c r="BV51" i="17" s="1"/>
  <c r="I234" i="17"/>
  <c r="J234" i="17" s="1"/>
  <c r="N234" i="17" s="1"/>
  <c r="I195" i="17"/>
  <c r="J195" i="17" s="1"/>
  <c r="P195" i="17" s="1"/>
  <c r="BT195" i="17" s="1"/>
  <c r="I219" i="17"/>
  <c r="J219" i="17" s="1"/>
  <c r="R219" i="17" s="1"/>
  <c r="BV219" i="17" s="1"/>
  <c r="I89" i="17"/>
  <c r="J89" i="17" s="1"/>
  <c r="R89" i="17" s="1"/>
  <c r="BV89" i="17" s="1"/>
  <c r="I309" i="17"/>
  <c r="J309" i="17" s="1"/>
  <c r="I252" i="17"/>
  <c r="J252" i="17" s="1"/>
  <c r="Q252" i="17" s="1"/>
  <c r="BU252" i="17" s="1"/>
  <c r="I125" i="17"/>
  <c r="J125" i="17" s="1"/>
  <c r="N125" i="17" s="1"/>
  <c r="BR125" i="17" s="1"/>
  <c r="I161" i="17"/>
  <c r="J161" i="17" s="1"/>
  <c r="M161" i="17" s="1"/>
  <c r="BQ161" i="17" s="1"/>
  <c r="I270" i="17"/>
  <c r="J270" i="17" s="1"/>
  <c r="O270" i="17" s="1"/>
  <c r="BS270" i="17" s="1"/>
  <c r="I156" i="17"/>
  <c r="J156" i="17" s="1"/>
  <c r="N156" i="17" s="1"/>
  <c r="BR156" i="17" s="1"/>
  <c r="I160" i="17"/>
  <c r="J160" i="17" s="1"/>
  <c r="O160" i="17" s="1"/>
  <c r="I175" i="17"/>
  <c r="J175" i="17" s="1"/>
  <c r="R175" i="17" s="1"/>
  <c r="I95" i="17"/>
  <c r="J95" i="17" s="1"/>
  <c r="I68" i="17"/>
  <c r="J68" i="17" s="1"/>
  <c r="M68" i="17" s="1"/>
  <c r="BQ68" i="17" s="1"/>
  <c r="I16" i="17"/>
  <c r="J16" i="17" s="1"/>
  <c r="P16" i="17" s="1"/>
  <c r="I25" i="17"/>
  <c r="J25" i="17" s="1"/>
  <c r="P25" i="17" s="1"/>
  <c r="BT25" i="17" s="1"/>
  <c r="I203" i="17"/>
  <c r="J203" i="17" s="1"/>
  <c r="Q203" i="17" s="1"/>
  <c r="BU203" i="17" s="1"/>
  <c r="I155" i="17"/>
  <c r="J155" i="17" s="1"/>
  <c r="I268" i="17"/>
  <c r="J268" i="17" s="1"/>
  <c r="K268" i="17" s="1"/>
  <c r="I191" i="17"/>
  <c r="J191" i="17" s="1"/>
  <c r="Q191" i="17" s="1"/>
  <c r="BU191" i="17" s="1"/>
  <c r="I303" i="17"/>
  <c r="J303" i="17" s="1"/>
  <c r="I315" i="17"/>
  <c r="J315" i="17" s="1"/>
  <c r="P315" i="17" s="1"/>
  <c r="BT315" i="17" s="1"/>
  <c r="I62" i="17"/>
  <c r="J62" i="17" s="1"/>
  <c r="N62" i="17" s="1"/>
  <c r="BR62" i="17" s="1"/>
  <c r="I136" i="17"/>
  <c r="J136" i="17" s="1"/>
  <c r="I233" i="17"/>
  <c r="J233" i="17" s="1"/>
  <c r="O233" i="17" s="1"/>
  <c r="BS233" i="17" s="1"/>
  <c r="I230" i="17"/>
  <c r="J230" i="17" s="1"/>
  <c r="N230" i="17" s="1"/>
  <c r="BR230" i="17" s="1"/>
  <c r="I254" i="17"/>
  <c r="J254" i="17" s="1"/>
  <c r="R254" i="17" s="1"/>
  <c r="BV254" i="17" s="1"/>
  <c r="I197" i="17"/>
  <c r="J197" i="17" s="1"/>
  <c r="O197" i="17" s="1"/>
  <c r="BS197" i="17" s="1"/>
  <c r="I292" i="17"/>
  <c r="J292" i="17" s="1"/>
  <c r="K292" i="17" s="1"/>
  <c r="BO292" i="17" s="1"/>
  <c r="I226" i="17"/>
  <c r="J226" i="17" s="1"/>
  <c r="O226" i="17" s="1"/>
  <c r="BS226" i="17" s="1"/>
  <c r="I166" i="17"/>
  <c r="J166" i="17" s="1"/>
  <c r="O166" i="17" s="1"/>
  <c r="BS166" i="17" s="1"/>
  <c r="I316" i="17"/>
  <c r="J316" i="17" s="1"/>
  <c r="K316" i="17" s="1"/>
  <c r="BO316" i="17" s="1"/>
  <c r="I229" i="17"/>
  <c r="J229" i="17" s="1"/>
  <c r="L229" i="17" s="1"/>
  <c r="BP229" i="17" s="1"/>
  <c r="I50" i="17"/>
  <c r="J50" i="17" s="1"/>
  <c r="L50" i="17" s="1"/>
  <c r="BP50" i="17" s="1"/>
  <c r="I147" i="17"/>
  <c r="J147" i="17" s="1"/>
  <c r="I131" i="17"/>
  <c r="J131" i="17" s="1"/>
  <c r="L131" i="17" s="1"/>
  <c r="BP131" i="17" s="1"/>
  <c r="I121" i="17"/>
  <c r="J121" i="17" s="1"/>
  <c r="I220" i="17"/>
  <c r="J220" i="17" s="1"/>
  <c r="R220" i="17" s="1"/>
  <c r="BV220" i="17" s="1"/>
  <c r="I103" i="17"/>
  <c r="J103" i="17" s="1"/>
  <c r="R103" i="17" s="1"/>
  <c r="BV103" i="17" s="1"/>
  <c r="I106" i="17"/>
  <c r="J106" i="17" s="1"/>
  <c r="M106" i="17" s="1"/>
  <c r="BQ106" i="17" s="1"/>
  <c r="I169" i="17"/>
  <c r="J169" i="17" s="1"/>
  <c r="M169" i="17" s="1"/>
  <c r="BQ169" i="17" s="1"/>
  <c r="I101" i="17"/>
  <c r="J101" i="17" s="1"/>
  <c r="M101" i="17" s="1"/>
  <c r="BQ101" i="17" s="1"/>
  <c r="I141" i="17"/>
  <c r="J141" i="17" s="1"/>
  <c r="R141" i="17" s="1"/>
  <c r="BV141" i="17" s="1"/>
  <c r="I140" i="17"/>
  <c r="J140" i="17" s="1"/>
  <c r="R140" i="17" s="1"/>
  <c r="BV140" i="17" s="1"/>
  <c r="I311" i="17"/>
  <c r="J311" i="17" s="1"/>
  <c r="N311" i="17" s="1"/>
  <c r="BR311" i="17" s="1"/>
  <c r="I159" i="17"/>
  <c r="J159" i="17" s="1"/>
  <c r="N159" i="17" s="1"/>
  <c r="BR159" i="17" s="1"/>
  <c r="I187" i="17"/>
  <c r="J187" i="17" s="1"/>
  <c r="L187" i="17" s="1"/>
  <c r="BP187" i="17" s="1"/>
  <c r="I90" i="17"/>
  <c r="J90" i="17" s="1"/>
  <c r="N90" i="17" s="1"/>
  <c r="I80" i="17"/>
  <c r="J80" i="17" s="1"/>
  <c r="I317" i="17"/>
  <c r="J317" i="17" s="1"/>
  <c r="N317" i="17" s="1"/>
  <c r="BR317" i="17" s="1"/>
  <c r="I282" i="17"/>
  <c r="J282" i="17" s="1"/>
  <c r="I174" i="17"/>
  <c r="J174" i="17" s="1"/>
  <c r="O174" i="17" s="1"/>
  <c r="BS174" i="17" s="1"/>
  <c r="I269" i="17"/>
  <c r="J269" i="17" s="1"/>
  <c r="Q269" i="17" s="1"/>
  <c r="BU269" i="17" s="1"/>
  <c r="I228" i="17"/>
  <c r="J228" i="17" s="1"/>
  <c r="K228" i="17" s="1"/>
  <c r="I279" i="17"/>
  <c r="J279" i="17" s="1"/>
  <c r="N279" i="17" s="1"/>
  <c r="BR279" i="17" s="1"/>
  <c r="I10" i="17"/>
  <c r="J10" i="17" s="1"/>
  <c r="P10" i="17" s="1"/>
  <c r="I143" i="17"/>
  <c r="J143" i="17" s="1"/>
  <c r="I64" i="17"/>
  <c r="J64" i="17" s="1"/>
  <c r="Q64" i="17" s="1"/>
  <c r="BU64" i="17" s="1"/>
  <c r="I65" i="17"/>
  <c r="J65" i="17" s="1"/>
  <c r="N65" i="17" s="1"/>
  <c r="BR65" i="17" s="1"/>
  <c r="I119" i="17"/>
  <c r="J119" i="17" s="1"/>
  <c r="I104" i="17"/>
  <c r="J104" i="17" s="1"/>
  <c r="K104" i="17" s="1"/>
  <c r="BO104" i="17" s="1"/>
  <c r="I192" i="17"/>
  <c r="J192" i="17" s="1"/>
  <c r="K192" i="17" s="1"/>
  <c r="I67" i="17"/>
  <c r="J67" i="17" s="1"/>
  <c r="N67" i="17" s="1"/>
  <c r="I308" i="17"/>
  <c r="J308" i="17" s="1"/>
  <c r="L308" i="17" s="1"/>
  <c r="I30" i="17"/>
  <c r="J30" i="17" s="1"/>
  <c r="K30" i="17" s="1"/>
  <c r="BO30" i="17" s="1"/>
  <c r="I200" i="17"/>
  <c r="J200" i="17" s="1"/>
  <c r="K200" i="17" s="1"/>
  <c r="BO200" i="17" s="1"/>
  <c r="I38" i="17"/>
  <c r="J38" i="17" s="1"/>
  <c r="Q38" i="17" s="1"/>
  <c r="BU38" i="17" s="1"/>
  <c r="I28" i="17"/>
  <c r="J28" i="17" s="1"/>
  <c r="K28" i="17" s="1"/>
  <c r="BO28" i="17" s="1"/>
  <c r="I63" i="17"/>
  <c r="J63" i="17" s="1"/>
  <c r="I217" i="17"/>
  <c r="J217" i="17" s="1"/>
  <c r="R217" i="17" s="1"/>
  <c r="BV217" i="17" s="1"/>
  <c r="I302" i="17"/>
  <c r="J302" i="17" s="1"/>
  <c r="O302" i="17" s="1"/>
  <c r="BS302" i="17" s="1"/>
  <c r="I225" i="17"/>
  <c r="J225" i="17" s="1"/>
  <c r="O225" i="17" s="1"/>
  <c r="I240" i="17"/>
  <c r="J240" i="17" s="1"/>
  <c r="K240" i="17" s="1"/>
  <c r="BO240" i="17" s="1"/>
  <c r="I179" i="17"/>
  <c r="J179" i="17" s="1"/>
  <c r="I276" i="17"/>
  <c r="J276" i="17" s="1"/>
  <c r="P276" i="17" s="1"/>
  <c r="BT276" i="17" s="1"/>
  <c r="I285" i="17"/>
  <c r="J285" i="17" s="1"/>
  <c r="M285" i="17" s="1"/>
  <c r="I249" i="17"/>
  <c r="J249" i="17" s="1"/>
  <c r="Q249" i="17" s="1"/>
  <c r="BU249" i="17" s="1"/>
  <c r="I165" i="17"/>
  <c r="J165" i="17" s="1"/>
  <c r="N165" i="17" s="1"/>
  <c r="I130" i="17"/>
  <c r="J130" i="17" s="1"/>
  <c r="N130" i="17" s="1"/>
  <c r="BR130" i="17" s="1"/>
  <c r="I12" i="17"/>
  <c r="J12" i="17" s="1"/>
  <c r="I305" i="17"/>
  <c r="J305" i="17" s="1"/>
  <c r="R305" i="17" s="1"/>
  <c r="BV305" i="17" s="1"/>
  <c r="I264" i="17"/>
  <c r="J264" i="17" s="1"/>
  <c r="Q264" i="17" s="1"/>
  <c r="BU264" i="17" s="1"/>
  <c r="I222" i="17"/>
  <c r="J222" i="17" s="1"/>
  <c r="K222" i="17" s="1"/>
  <c r="I120" i="17"/>
  <c r="J120" i="17" s="1"/>
  <c r="M120" i="17" s="1"/>
  <c r="BQ120" i="17" s="1"/>
  <c r="I112" i="17"/>
  <c r="J112" i="17" s="1"/>
  <c r="Q112" i="17" s="1"/>
  <c r="BU112" i="17" s="1"/>
  <c r="I293" i="17"/>
  <c r="J293" i="17" s="1"/>
  <c r="K293" i="17" s="1"/>
  <c r="BO293" i="17" s="1"/>
  <c r="I142" i="17"/>
  <c r="J142" i="17" s="1"/>
  <c r="I41" i="17"/>
  <c r="J41" i="17" s="1"/>
  <c r="O41" i="17" s="1"/>
  <c r="BS41" i="17" s="1"/>
  <c r="I87" i="17"/>
  <c r="J87" i="17" s="1"/>
  <c r="L87" i="17" s="1"/>
  <c r="I273" i="17"/>
  <c r="J273" i="17" s="1"/>
  <c r="R273" i="17" s="1"/>
  <c r="I295" i="17"/>
  <c r="J295" i="17" s="1"/>
  <c r="N295" i="17" s="1"/>
  <c r="BR295" i="17" s="1"/>
  <c r="I15" i="17"/>
  <c r="J15" i="17" s="1"/>
  <c r="Q15" i="17" s="1"/>
  <c r="BU15" i="17" s="1"/>
  <c r="I85" i="17"/>
  <c r="J85" i="17" s="1"/>
  <c r="K85" i="17" s="1"/>
  <c r="BO85" i="17" s="1"/>
  <c r="I53" i="17"/>
  <c r="J53" i="17" s="1"/>
  <c r="M53" i="17" s="1"/>
  <c r="BQ53" i="17" s="1"/>
  <c r="I231" i="17"/>
  <c r="J231" i="17" s="1"/>
  <c r="O231" i="17" s="1"/>
  <c r="BS231" i="17" s="1"/>
  <c r="I232" i="17"/>
  <c r="J232" i="17" s="1"/>
  <c r="N232" i="17" s="1"/>
  <c r="BR232" i="17" s="1"/>
  <c r="I267" i="17"/>
  <c r="J267" i="17" s="1"/>
  <c r="M267" i="17" s="1"/>
  <c r="BQ267" i="17" s="1"/>
  <c r="I162" i="17"/>
  <c r="J162" i="17" s="1"/>
  <c r="N162" i="17" s="1"/>
  <c r="BR162" i="17" s="1"/>
  <c r="I245" i="17"/>
  <c r="J245" i="17" s="1"/>
  <c r="L245" i="17" s="1"/>
  <c r="BP245" i="17" s="1"/>
  <c r="I46" i="17"/>
  <c r="J46" i="17" s="1"/>
  <c r="P46" i="17" s="1"/>
  <c r="I283" i="17"/>
  <c r="J283" i="17" s="1"/>
  <c r="Q283" i="17" s="1"/>
  <c r="BU283" i="17" s="1"/>
  <c r="I257" i="17"/>
  <c r="J257" i="17" s="1"/>
  <c r="O257" i="17" s="1"/>
  <c r="BS257" i="17" s="1"/>
  <c r="I40" i="17"/>
  <c r="J40" i="17" s="1"/>
  <c r="M40" i="17" s="1"/>
  <c r="BQ40" i="17" s="1"/>
  <c r="I176" i="17"/>
  <c r="J176" i="17" s="1"/>
  <c r="O176" i="17" s="1"/>
  <c r="BS176" i="17" s="1"/>
  <c r="I186" i="17"/>
  <c r="J186" i="17" s="1"/>
  <c r="Q186" i="17" s="1"/>
  <c r="BU186" i="17" s="1"/>
  <c r="I196" i="17"/>
  <c r="J196" i="17" s="1"/>
  <c r="N196" i="17" s="1"/>
  <c r="BR196" i="17" s="1"/>
  <c r="I214" i="17"/>
  <c r="J214" i="17" s="1"/>
  <c r="P214" i="17" s="1"/>
  <c r="BT214" i="17" s="1"/>
  <c r="I107" i="17"/>
  <c r="J107" i="17" s="1"/>
  <c r="R107" i="17" s="1"/>
  <c r="BV107" i="17" s="1"/>
  <c r="I210" i="17"/>
  <c r="J210" i="17" s="1"/>
  <c r="I266" i="17"/>
  <c r="J266" i="17" s="1"/>
  <c r="R266" i="17" s="1"/>
  <c r="BV266" i="17" s="1"/>
  <c r="K133" i="17"/>
  <c r="BO133" i="17" s="1"/>
  <c r="I128" i="17"/>
  <c r="J128" i="17" s="1"/>
  <c r="R128" i="17" s="1"/>
  <c r="BV128" i="17" s="1"/>
  <c r="I213" i="17"/>
  <c r="J213" i="17" s="1"/>
  <c r="M213" i="17" s="1"/>
  <c r="BQ213" i="17" s="1"/>
  <c r="I215" i="17"/>
  <c r="J215" i="17" s="1"/>
  <c r="Q215" i="17" s="1"/>
  <c r="BU215" i="17" s="1"/>
  <c r="I236" i="17"/>
  <c r="J236" i="17" s="1"/>
  <c r="M236" i="17" s="1"/>
  <c r="BQ236" i="17" s="1"/>
  <c r="I26" i="17"/>
  <c r="J26" i="17" s="1"/>
  <c r="O26" i="17" s="1"/>
  <c r="BS26" i="17" s="1"/>
  <c r="I6" i="17"/>
  <c r="J6" i="17" s="1"/>
  <c r="O6" i="17" s="1"/>
  <c r="BS6" i="17" s="1"/>
  <c r="I47" i="17"/>
  <c r="J47" i="17" s="1"/>
  <c r="R47" i="17" s="1"/>
  <c r="BV47" i="17" s="1"/>
  <c r="I20" i="17"/>
  <c r="J20" i="17" s="1"/>
  <c r="N20" i="17" s="1"/>
  <c r="BR20" i="17" s="1"/>
  <c r="I59" i="17"/>
  <c r="J59" i="17" s="1"/>
  <c r="N59" i="17" s="1"/>
  <c r="BR59" i="17" s="1"/>
  <c r="I204" i="17"/>
  <c r="J204" i="17" s="1"/>
  <c r="L204" i="17" s="1"/>
  <c r="BP204" i="17" s="1"/>
  <c r="I278" i="17"/>
  <c r="J278" i="17" s="1"/>
  <c r="M278" i="17" s="1"/>
  <c r="BQ278" i="17" s="1"/>
  <c r="I194" i="17"/>
  <c r="J194" i="17" s="1"/>
  <c r="P194" i="17" s="1"/>
  <c r="BT194" i="17" s="1"/>
  <c r="I114" i="17"/>
  <c r="J114" i="17" s="1"/>
  <c r="I258" i="17"/>
  <c r="J258" i="17" s="1"/>
  <c r="O258" i="17" s="1"/>
  <c r="BS258" i="17" s="1"/>
  <c r="I189" i="17"/>
  <c r="J189" i="17" s="1"/>
  <c r="R189" i="17" s="1"/>
  <c r="BV189" i="17" s="1"/>
  <c r="I255" i="17"/>
  <c r="J255" i="17" s="1"/>
  <c r="N255" i="17" s="1"/>
  <c r="BR255" i="17" s="1"/>
  <c r="I211" i="17"/>
  <c r="J211" i="17" s="1"/>
  <c r="K211" i="17" s="1"/>
  <c r="BO211" i="17" s="1"/>
  <c r="I44" i="17"/>
  <c r="J44" i="17" s="1"/>
  <c r="P44" i="17" s="1"/>
  <c r="I205" i="17"/>
  <c r="J205" i="17" s="1"/>
  <c r="I277" i="17"/>
  <c r="J277" i="17" s="1"/>
  <c r="Q277" i="17" s="1"/>
  <c r="BU277" i="17" s="1"/>
  <c r="I129" i="17"/>
  <c r="J129" i="17" s="1"/>
  <c r="I307" i="17"/>
  <c r="J307" i="17" s="1"/>
  <c r="Q307" i="17" s="1"/>
  <c r="BU307" i="17" s="1"/>
  <c r="I52" i="17"/>
  <c r="J52" i="17" s="1"/>
  <c r="K52" i="17" s="1"/>
  <c r="I154" i="17"/>
  <c r="J154" i="17" s="1"/>
  <c r="L154" i="17" s="1"/>
  <c r="BP154" i="17" s="1"/>
  <c r="I181" i="17"/>
  <c r="J181" i="17" s="1"/>
  <c r="L181" i="17" s="1"/>
  <c r="BP181" i="17" s="1"/>
  <c r="I7" i="17"/>
  <c r="J7" i="17" s="1"/>
  <c r="P7" i="17" s="1"/>
  <c r="I235" i="17"/>
  <c r="J235" i="17" s="1"/>
  <c r="Q235" i="17" s="1"/>
  <c r="BU235" i="17" s="1"/>
  <c r="I58" i="17"/>
  <c r="J58" i="17" s="1"/>
  <c r="K58" i="17" s="1"/>
  <c r="BO58" i="17" s="1"/>
  <c r="I202" i="17"/>
  <c r="J202" i="17" s="1"/>
  <c r="I31" i="17"/>
  <c r="J31" i="17" s="1"/>
  <c r="K31" i="17" s="1"/>
  <c r="BO31" i="17" s="1"/>
  <c r="I188" i="17"/>
  <c r="J188" i="17" s="1"/>
  <c r="R188" i="17" s="1"/>
  <c r="BV188" i="17" s="1"/>
  <c r="I223" i="17"/>
  <c r="J223" i="17" s="1"/>
  <c r="L223" i="17" s="1"/>
  <c r="I310" i="17"/>
  <c r="J310" i="17" s="1"/>
  <c r="K310" i="17" s="1"/>
  <c r="BO310" i="17" s="1"/>
  <c r="I265" i="17"/>
  <c r="J265" i="17" s="1"/>
  <c r="I218" i="17"/>
  <c r="J218" i="17" s="1"/>
  <c r="N218" i="17" s="1"/>
  <c r="BR218" i="17" s="1"/>
  <c r="I123" i="17"/>
  <c r="J123" i="17" s="1"/>
  <c r="R123" i="17" s="1"/>
  <c r="BV123" i="17" s="1"/>
  <c r="I199" i="17"/>
  <c r="J199" i="17" s="1"/>
  <c r="I75" i="17"/>
  <c r="J75" i="17" s="1"/>
  <c r="P75" i="17" s="1"/>
  <c r="BT75" i="17" s="1"/>
  <c r="I183" i="17"/>
  <c r="J183" i="17" s="1"/>
  <c r="N183" i="17" s="1"/>
  <c r="I124" i="17"/>
  <c r="J124" i="17" s="1"/>
  <c r="I262" i="17"/>
  <c r="J262" i="17" s="1"/>
  <c r="R262" i="17" s="1"/>
  <c r="BV262" i="17" s="1"/>
  <c r="I35" i="17"/>
  <c r="J35" i="17" s="1"/>
  <c r="O35" i="17" s="1"/>
  <c r="I241" i="17"/>
  <c r="J241" i="17" s="1"/>
  <c r="K241" i="17" s="1"/>
  <c r="BO241" i="17" s="1"/>
  <c r="I137" i="17"/>
  <c r="J137" i="17" s="1"/>
  <c r="K137" i="17" s="1"/>
  <c r="BO137" i="17" s="1"/>
  <c r="I83" i="17"/>
  <c r="J83" i="17" s="1"/>
  <c r="I280" i="17"/>
  <c r="J280" i="17" s="1"/>
  <c r="M280" i="17" s="1"/>
  <c r="I21" i="17"/>
  <c r="J21" i="17" s="1"/>
  <c r="R48" i="17"/>
  <c r="BV48" i="17" s="1"/>
  <c r="Q48" i="17"/>
  <c r="BU48" i="17" s="1"/>
  <c r="R9" i="17"/>
  <c r="Q9" i="17"/>
  <c r="L9" i="17"/>
  <c r="O9" i="17"/>
  <c r="K9" i="17"/>
  <c r="L289" i="17"/>
  <c r="BP289" i="17" s="1"/>
  <c r="P289" i="17"/>
  <c r="BT289" i="17" s="1"/>
  <c r="M289" i="17"/>
  <c r="BQ289" i="17" s="1"/>
  <c r="Q289" i="17"/>
  <c r="BU289" i="17" s="1"/>
  <c r="I5" i="17"/>
  <c r="J5" i="17" s="1"/>
  <c r="D6" i="35" s="1"/>
  <c r="I247" i="17"/>
  <c r="J247" i="17" s="1"/>
  <c r="P247" i="17" s="1"/>
  <c r="BT247" i="17" s="1"/>
  <c r="I246" i="17"/>
  <c r="J246" i="17" s="1"/>
  <c r="K246" i="17" s="1"/>
  <c r="BO246" i="17" s="1"/>
  <c r="I113" i="17"/>
  <c r="J113" i="17" s="1"/>
  <c r="R113" i="17" s="1"/>
  <c r="BV113" i="17" s="1"/>
  <c r="I151" i="17"/>
  <c r="J151" i="17" s="1"/>
  <c r="M151" i="17" s="1"/>
  <c r="BQ151" i="17" s="1"/>
  <c r="I284" i="17"/>
  <c r="J284" i="17" s="1"/>
  <c r="Q284" i="17" s="1"/>
  <c r="BU284" i="17" s="1"/>
  <c r="I168" i="17"/>
  <c r="J168" i="17" s="1"/>
  <c r="I274" i="17"/>
  <c r="J274" i="17" s="1"/>
  <c r="M274" i="17" s="1"/>
  <c r="I99" i="17"/>
  <c r="J99" i="17" s="1"/>
  <c r="L99" i="17" s="1"/>
  <c r="I271" i="17"/>
  <c r="J271" i="17" s="1"/>
  <c r="K271" i="17" s="1"/>
  <c r="BO271" i="17" s="1"/>
  <c r="I173" i="17"/>
  <c r="J173" i="17" s="1"/>
  <c r="M173" i="17" s="1"/>
  <c r="BQ173" i="17" s="1"/>
  <c r="I298" i="17"/>
  <c r="J298" i="17" s="1"/>
  <c r="M298" i="17" s="1"/>
  <c r="BQ298" i="17" s="1"/>
  <c r="I250" i="17"/>
  <c r="J250" i="17" s="1"/>
  <c r="O250" i="17" s="1"/>
  <c r="BS250" i="17" s="1"/>
  <c r="I237" i="17"/>
  <c r="J237" i="17" s="1"/>
  <c r="N237" i="17" s="1"/>
  <c r="BR237" i="17" s="1"/>
  <c r="P144" i="17"/>
  <c r="BT144" i="17" s="1"/>
  <c r="N37" i="17"/>
  <c r="BR37" i="17" s="1"/>
  <c r="O37" i="17"/>
  <c r="BS37" i="17" s="1"/>
  <c r="M37" i="17"/>
  <c r="BQ37" i="17" s="1"/>
  <c r="Q37" i="17"/>
  <c r="BU37" i="17" s="1"/>
  <c r="P37" i="17"/>
  <c r="BT37" i="17" s="1"/>
  <c r="R37" i="17"/>
  <c r="BV37" i="17" s="1"/>
  <c r="K37" i="17"/>
  <c r="BO37" i="17" s="1"/>
  <c r="L37" i="17"/>
  <c r="BP37" i="17" s="1"/>
  <c r="O259" i="17"/>
  <c r="BS259" i="17" s="1"/>
  <c r="K288" i="17"/>
  <c r="BO288" i="17" s="1"/>
  <c r="O288" i="17"/>
  <c r="BS288" i="17" s="1"/>
  <c r="M180" i="17"/>
  <c r="BQ180" i="17" s="1"/>
  <c r="Q180" i="17"/>
  <c r="BU180" i="17" s="1"/>
  <c r="N180" i="17"/>
  <c r="BR180" i="17" s="1"/>
  <c r="R180" i="17"/>
  <c r="BV180" i="17" s="1"/>
  <c r="O180" i="17"/>
  <c r="BS180" i="17" s="1"/>
  <c r="K180" i="17"/>
  <c r="BO180" i="17" s="1"/>
  <c r="L180" i="17"/>
  <c r="BP180" i="17" s="1"/>
  <c r="P180" i="17"/>
  <c r="P253" i="17"/>
  <c r="L253" i="17"/>
  <c r="M253" i="17"/>
  <c r="Q253" i="17"/>
  <c r="N253" i="17"/>
  <c r="R253" i="17"/>
  <c r="O253" i="17"/>
  <c r="K253" i="17"/>
  <c r="Q171" i="17"/>
  <c r="BU171" i="17" s="1"/>
  <c r="M294" i="17"/>
  <c r="BQ294" i="17" s="1"/>
  <c r="Q294" i="17"/>
  <c r="BU294" i="17" s="1"/>
  <c r="R294" i="17"/>
  <c r="BV294" i="17" s="1"/>
  <c r="N294" i="17"/>
  <c r="BR294" i="17" s="1"/>
  <c r="K294" i="17"/>
  <c r="BO294" i="17" s="1"/>
  <c r="O294" i="17"/>
  <c r="L294" i="17"/>
  <c r="BP294" i="17" s="1"/>
  <c r="P294" i="17"/>
  <c r="BT294" i="17" s="1"/>
  <c r="L208" i="17"/>
  <c r="Q18" i="17"/>
  <c r="BU18" i="17" s="1"/>
  <c r="N18" i="17"/>
  <c r="BR18" i="17" s="1"/>
  <c r="K18" i="17"/>
  <c r="BO18" i="17" s="1"/>
  <c r="O18" i="17"/>
  <c r="BS18" i="17" s="1"/>
  <c r="L18" i="17"/>
  <c r="BP18" i="17" s="1"/>
  <c r="P18" i="17"/>
  <c r="BT18" i="17" s="1"/>
  <c r="M18" i="17"/>
  <c r="BQ18" i="17" s="1"/>
  <c r="R18" i="17"/>
  <c r="BV18" i="17" s="1"/>
  <c r="N190" i="17"/>
  <c r="BR190" i="17" s="1"/>
  <c r="O190" i="17"/>
  <c r="L190" i="17"/>
  <c r="BP190" i="17" s="1"/>
  <c r="M190" i="17"/>
  <c r="BQ190" i="17" s="1"/>
  <c r="M23" i="17"/>
  <c r="BQ23" i="17" s="1"/>
  <c r="R23" i="17"/>
  <c r="BV23" i="17" s="1"/>
  <c r="N23" i="17"/>
  <c r="BR23" i="17" s="1"/>
  <c r="K23" i="17"/>
  <c r="BO23" i="17" s="1"/>
  <c r="O23" i="17"/>
  <c r="BS23" i="17" s="1"/>
  <c r="P23" i="17"/>
  <c r="BT23" i="17" s="1"/>
  <c r="L23" i="17"/>
  <c r="BP23" i="17" s="1"/>
  <c r="Q23" i="17"/>
  <c r="BU23" i="17" s="1"/>
  <c r="Q24" i="17"/>
  <c r="BU24" i="17" s="1"/>
  <c r="N24" i="17"/>
  <c r="BR24" i="17" s="1"/>
  <c r="L193" i="17"/>
  <c r="BP193" i="17" s="1"/>
  <c r="P287" i="17"/>
  <c r="BT287" i="17" s="1"/>
  <c r="N287" i="17"/>
  <c r="BR287" i="17" s="1"/>
  <c r="Q287" i="17"/>
  <c r="BU287" i="17" s="1"/>
  <c r="M287" i="17"/>
  <c r="BQ287" i="17" s="1"/>
  <c r="O287" i="17"/>
  <c r="BS287" i="17" s="1"/>
  <c r="R287" i="17"/>
  <c r="BV287" i="17" s="1"/>
  <c r="K287" i="17"/>
  <c r="BO287" i="17" s="1"/>
  <c r="L287" i="17"/>
  <c r="BP287" i="17" s="1"/>
  <c r="K254" i="17"/>
  <c r="BO254" i="17" s="1"/>
  <c r="L254" i="17"/>
  <c r="BP254" i="17" s="1"/>
  <c r="M254" i="17"/>
  <c r="BQ254" i="17" s="1"/>
  <c r="Q197" i="17"/>
  <c r="BU197" i="17" s="1"/>
  <c r="O292" i="17"/>
  <c r="N292" i="17"/>
  <c r="BR292" i="17" s="1"/>
  <c r="P11" i="17"/>
  <c r="K11" i="17"/>
  <c r="Q33" i="17"/>
  <c r="N33" i="17"/>
  <c r="BR33" i="17" s="1"/>
  <c r="P33" i="17"/>
  <c r="BT33" i="17" s="1"/>
  <c r="K33" i="17"/>
  <c r="BO33" i="17" s="1"/>
  <c r="L94" i="17"/>
  <c r="BP94" i="17" s="1"/>
  <c r="N94" i="17"/>
  <c r="BR94" i="17" s="1"/>
  <c r="K169" i="17"/>
  <c r="BO169" i="17" s="1"/>
  <c r="M140" i="17"/>
  <c r="BQ140" i="17" s="1"/>
  <c r="M311" i="17"/>
  <c r="BQ311" i="17" s="1"/>
  <c r="Q19" i="17"/>
  <c r="BU19" i="17" s="1"/>
  <c r="K19" i="17"/>
  <c r="BO19" i="17" s="1"/>
  <c r="L19" i="17"/>
  <c r="BP19" i="17" s="1"/>
  <c r="O19" i="17"/>
  <c r="BS19" i="17" s="1"/>
  <c r="M19" i="17"/>
  <c r="BQ19" i="17" s="1"/>
  <c r="R19" i="17"/>
  <c r="BV19" i="17" s="1"/>
  <c r="N19" i="17"/>
  <c r="BR19" i="17" s="1"/>
  <c r="P19" i="17"/>
  <c r="BT19" i="17" s="1"/>
  <c r="N272" i="17"/>
  <c r="BR272" i="17" s="1"/>
  <c r="R272" i="17"/>
  <c r="BV272" i="17" s="1"/>
  <c r="K272" i="17"/>
  <c r="BO272" i="17" s="1"/>
  <c r="O272" i="17"/>
  <c r="L272" i="17"/>
  <c r="BP272" i="17" s="1"/>
  <c r="P272" i="17"/>
  <c r="BT272" i="17" s="1"/>
  <c r="M272" i="17"/>
  <c r="BQ272" i="17" s="1"/>
  <c r="Q272" i="17"/>
  <c r="BU272" i="17" s="1"/>
  <c r="L216" i="17"/>
  <c r="P216" i="17"/>
  <c r="BT216" i="17" s="1"/>
  <c r="M216" i="17"/>
  <c r="BQ216" i="17" s="1"/>
  <c r="Q216" i="17"/>
  <c r="BU216" i="17" s="1"/>
  <c r="N216" i="17"/>
  <c r="BR216" i="17" s="1"/>
  <c r="R216" i="17"/>
  <c r="BV216" i="17" s="1"/>
  <c r="O216" i="17"/>
  <c r="BS216" i="17" s="1"/>
  <c r="K216" i="17"/>
  <c r="BO216" i="17" s="1"/>
  <c r="R163" i="17"/>
  <c r="BV163" i="17" s="1"/>
  <c r="O317" i="17"/>
  <c r="BS317" i="17" s="1"/>
  <c r="P135" i="17"/>
  <c r="BT135" i="17" s="1"/>
  <c r="L135" i="17"/>
  <c r="BP135" i="17" s="1"/>
  <c r="M135" i="17"/>
  <c r="Q135" i="17"/>
  <c r="BU135" i="17" s="1"/>
  <c r="N135" i="17"/>
  <c r="BR135" i="17" s="1"/>
  <c r="R135" i="17"/>
  <c r="BV135" i="17" s="1"/>
  <c r="O135" i="17"/>
  <c r="BS135" i="17" s="1"/>
  <c r="K135" i="17"/>
  <c r="BO135" i="17" s="1"/>
  <c r="M261" i="17"/>
  <c r="BQ261" i="17" s="1"/>
  <c r="O261" i="17"/>
  <c r="BS261" i="17" s="1"/>
  <c r="O269" i="17"/>
  <c r="BS269" i="17" s="1"/>
  <c r="L269" i="17"/>
  <c r="BP269" i="17" s="1"/>
  <c r="O156" i="17"/>
  <c r="BS156" i="17" s="1"/>
  <c r="K156" i="17"/>
  <c r="BO156" i="17" s="1"/>
  <c r="P156" i="17"/>
  <c r="BT156" i="17" s="1"/>
  <c r="M156" i="17"/>
  <c r="BQ156" i="17" s="1"/>
  <c r="R167" i="17"/>
  <c r="BV167" i="17" s="1"/>
  <c r="N167" i="17"/>
  <c r="BR167" i="17" s="1"/>
  <c r="L167" i="17"/>
  <c r="Q167" i="17"/>
  <c r="BU167" i="17" s="1"/>
  <c r="M167" i="17"/>
  <c r="BQ167" i="17" s="1"/>
  <c r="O167" i="17"/>
  <c r="BS167" i="17" s="1"/>
  <c r="K167" i="17"/>
  <c r="BO167" i="17" s="1"/>
  <c r="P167" i="17"/>
  <c r="BT167" i="17" s="1"/>
  <c r="K57" i="17"/>
  <c r="BO57" i="17" s="1"/>
  <c r="O57" i="17"/>
  <c r="BS57" i="17" s="1"/>
  <c r="Q57" i="17"/>
  <c r="BU57" i="17" s="1"/>
  <c r="P57" i="17"/>
  <c r="BT57" i="17" s="1"/>
  <c r="Q175" i="17"/>
  <c r="BU175" i="17" s="1"/>
  <c r="N175" i="17"/>
  <c r="BR175" i="17" s="1"/>
  <c r="O175" i="17"/>
  <c r="BS175" i="17" s="1"/>
  <c r="P175" i="17"/>
  <c r="BT175" i="17" s="1"/>
  <c r="K95" i="17"/>
  <c r="P95" i="17"/>
  <c r="L95" i="17"/>
  <c r="R95" i="17"/>
  <c r="M95" i="17"/>
  <c r="O95" i="17"/>
  <c r="N95" i="17"/>
  <c r="Q95" i="17"/>
  <c r="L78" i="17"/>
  <c r="BP78" i="17" s="1"/>
  <c r="M78" i="17"/>
  <c r="BQ78" i="17" s="1"/>
  <c r="P65" i="17"/>
  <c r="BT65" i="17" s="1"/>
  <c r="M65" i="17"/>
  <c r="BQ65" i="17" s="1"/>
  <c r="Q65" i="17"/>
  <c r="BU65" i="17" s="1"/>
  <c r="L65" i="17"/>
  <c r="BP65" i="17" s="1"/>
  <c r="Q104" i="17"/>
  <c r="BU104" i="17" s="1"/>
  <c r="O104" i="17"/>
  <c r="BS104" i="17" s="1"/>
  <c r="M182" i="17"/>
  <c r="BQ182" i="17" s="1"/>
  <c r="Q182" i="17"/>
  <c r="BU182" i="17" s="1"/>
  <c r="R182" i="17"/>
  <c r="BV182" i="17" s="1"/>
  <c r="N182" i="17"/>
  <c r="BR182" i="17" s="1"/>
  <c r="K182" i="17"/>
  <c r="BO182" i="17" s="1"/>
  <c r="O182" i="17"/>
  <c r="L182" i="17"/>
  <c r="BP182" i="17" s="1"/>
  <c r="P182" i="17"/>
  <c r="BT182" i="17" s="1"/>
  <c r="P291" i="17"/>
  <c r="BT291" i="17" s="1"/>
  <c r="L291" i="17"/>
  <c r="Q291" i="17"/>
  <c r="BU291" i="17" s="1"/>
  <c r="M291" i="17"/>
  <c r="BQ291" i="17" s="1"/>
  <c r="R291" i="17"/>
  <c r="BV291" i="17" s="1"/>
  <c r="N291" i="17"/>
  <c r="BR291" i="17" s="1"/>
  <c r="O291" i="17"/>
  <c r="BS291" i="17" s="1"/>
  <c r="K291" i="17"/>
  <c r="BO291" i="17" s="1"/>
  <c r="R313" i="17"/>
  <c r="BV313" i="17" s="1"/>
  <c r="N313" i="17"/>
  <c r="BR313" i="17" s="1"/>
  <c r="K313" i="17"/>
  <c r="BO313" i="17" s="1"/>
  <c r="O313" i="17"/>
  <c r="BS313" i="17" s="1"/>
  <c r="L313" i="17"/>
  <c r="BP313" i="17" s="1"/>
  <c r="P313" i="17"/>
  <c r="BT313" i="17" s="1"/>
  <c r="M313" i="17"/>
  <c r="Q313" i="17"/>
  <c r="BU313" i="17" s="1"/>
  <c r="Q42" i="17"/>
  <c r="BU42" i="17" s="1"/>
  <c r="M42" i="17"/>
  <c r="BQ42" i="17" s="1"/>
  <c r="R42" i="17"/>
  <c r="BV42" i="17" s="1"/>
  <c r="N42" i="17"/>
  <c r="BR42" i="17" s="1"/>
  <c r="O42" i="17"/>
  <c r="BS42" i="17" s="1"/>
  <c r="K42" i="17"/>
  <c r="BO42" i="17" s="1"/>
  <c r="P42" i="17"/>
  <c r="BT42" i="17" s="1"/>
  <c r="L42" i="17"/>
  <c r="N38" i="17"/>
  <c r="BR38" i="17" s="1"/>
  <c r="L38" i="17"/>
  <c r="BP38" i="17" s="1"/>
  <c r="M22" i="17"/>
  <c r="BQ22" i="17" s="1"/>
  <c r="R22" i="17"/>
  <c r="BV22" i="17" s="1"/>
  <c r="N22" i="17"/>
  <c r="O22" i="17"/>
  <c r="BS22" i="17" s="1"/>
  <c r="L22" i="17"/>
  <c r="BP22" i="17" s="1"/>
  <c r="P22" i="17"/>
  <c r="BT22" i="17" s="1"/>
  <c r="K22" i="17"/>
  <c r="BO22" i="17" s="1"/>
  <c r="Q22" i="17"/>
  <c r="BU22" i="17" s="1"/>
  <c r="M149" i="17"/>
  <c r="P149" i="17"/>
  <c r="BT149" i="17" s="1"/>
  <c r="R149" i="17"/>
  <c r="BV149" i="17" s="1"/>
  <c r="N149" i="17"/>
  <c r="BR149" i="17" s="1"/>
  <c r="K149" i="17"/>
  <c r="BO149" i="17" s="1"/>
  <c r="O149" i="17"/>
  <c r="BS149" i="17" s="1"/>
  <c r="L149" i="17"/>
  <c r="BP149" i="17" s="1"/>
  <c r="Q149" i="17"/>
  <c r="BU149" i="17" s="1"/>
  <c r="K256" i="17"/>
  <c r="BO256" i="17" s="1"/>
  <c r="P256" i="17"/>
  <c r="BT256" i="17" s="1"/>
  <c r="L256" i="17"/>
  <c r="BP256" i="17" s="1"/>
  <c r="Q256" i="17"/>
  <c r="BU256" i="17" s="1"/>
  <c r="Q92" i="17"/>
  <c r="BU92" i="17" s="1"/>
  <c r="L92" i="17"/>
  <c r="BP92" i="17" s="1"/>
  <c r="N92" i="17"/>
  <c r="BR92" i="17" s="1"/>
  <c r="R92" i="17"/>
  <c r="BV92" i="17" s="1"/>
  <c r="O92" i="17"/>
  <c r="BS92" i="17" s="1"/>
  <c r="K92" i="17"/>
  <c r="BO92" i="17" s="1"/>
  <c r="P92" i="17"/>
  <c r="BT92" i="17" s="1"/>
  <c r="M92" i="17"/>
  <c r="O70" i="17"/>
  <c r="BS70" i="17" s="1"/>
  <c r="R70" i="17"/>
  <c r="BV70" i="17" s="1"/>
  <c r="R240" i="17"/>
  <c r="BV240" i="17" s="1"/>
  <c r="N240" i="17"/>
  <c r="BR240" i="17" s="1"/>
  <c r="M300" i="17"/>
  <c r="BQ300" i="17" s="1"/>
  <c r="Q300" i="17"/>
  <c r="BU300" i="17" s="1"/>
  <c r="N300" i="17"/>
  <c r="BR300" i="17" s="1"/>
  <c r="R300" i="17"/>
  <c r="BV300" i="17" s="1"/>
  <c r="O300" i="17"/>
  <c r="BS300" i="17" s="1"/>
  <c r="K300" i="17"/>
  <c r="P300" i="17"/>
  <c r="BT300" i="17" s="1"/>
  <c r="L300" i="17"/>
  <c r="BP300" i="17" s="1"/>
  <c r="P138" i="17"/>
  <c r="BT138" i="17" s="1"/>
  <c r="Q138" i="17"/>
  <c r="BU138" i="17" s="1"/>
  <c r="R138" i="17"/>
  <c r="BV138" i="17" s="1"/>
  <c r="N138" i="17"/>
  <c r="BR138" i="17" s="1"/>
  <c r="R73" i="17"/>
  <c r="BV73" i="17" s="1"/>
  <c r="O73" i="17"/>
  <c r="BS73" i="17" s="1"/>
  <c r="K73" i="17"/>
  <c r="P73" i="17"/>
  <c r="BT73" i="17" s="1"/>
  <c r="L73" i="17"/>
  <c r="BP73" i="17" s="1"/>
  <c r="M73" i="17"/>
  <c r="BQ73" i="17" s="1"/>
  <c r="N73" i="17"/>
  <c r="BR73" i="17" s="1"/>
  <c r="Q73" i="17"/>
  <c r="BU73" i="17" s="1"/>
  <c r="L285" i="17"/>
  <c r="Q285" i="17"/>
  <c r="R285" i="17"/>
  <c r="O285" i="17"/>
  <c r="Q60" i="17"/>
  <c r="BU60" i="17" s="1"/>
  <c r="N60" i="17"/>
  <c r="BR60" i="17" s="1"/>
  <c r="R60" i="17"/>
  <c r="O60" i="17"/>
  <c r="BS60" i="17" s="1"/>
  <c r="K60" i="17"/>
  <c r="BO60" i="17" s="1"/>
  <c r="P60" i="17"/>
  <c r="BT60" i="17" s="1"/>
  <c r="L60" i="17"/>
  <c r="BP60" i="17" s="1"/>
  <c r="M60" i="17"/>
  <c r="BQ60" i="17" s="1"/>
  <c r="P249" i="17"/>
  <c r="BT249" i="17" s="1"/>
  <c r="M178" i="17"/>
  <c r="BQ178" i="17" s="1"/>
  <c r="Q178" i="17"/>
  <c r="BU178" i="17" s="1"/>
  <c r="N178" i="17"/>
  <c r="BR178" i="17" s="1"/>
  <c r="R178" i="17"/>
  <c r="BV178" i="17" s="1"/>
  <c r="O178" i="17"/>
  <c r="BS178" i="17" s="1"/>
  <c r="K178" i="17"/>
  <c r="BO178" i="17" s="1"/>
  <c r="P178" i="17"/>
  <c r="BT178" i="17" s="1"/>
  <c r="L178" i="17"/>
  <c r="BP178" i="17" s="1"/>
  <c r="P108" i="17"/>
  <c r="BT108" i="17" s="1"/>
  <c r="Q108" i="17"/>
  <c r="BU108" i="17" s="1"/>
  <c r="N108" i="17"/>
  <c r="BR108" i="17" s="1"/>
  <c r="O108" i="17"/>
  <c r="BS108" i="17" s="1"/>
  <c r="K108" i="17"/>
  <c r="BO108" i="17" s="1"/>
  <c r="L108" i="17"/>
  <c r="M108" i="17"/>
  <c r="BQ108" i="17" s="1"/>
  <c r="R108" i="17"/>
  <c r="BV108" i="17" s="1"/>
  <c r="P82" i="17"/>
  <c r="BT82" i="17" s="1"/>
  <c r="K82" i="17"/>
  <c r="BO82" i="17" s="1"/>
  <c r="M82" i="17"/>
  <c r="BQ82" i="17" s="1"/>
  <c r="L82" i="17"/>
  <c r="BP82" i="17" s="1"/>
  <c r="O82" i="17"/>
  <c r="BS82" i="17" s="1"/>
  <c r="Q82" i="17"/>
  <c r="BU82" i="17" s="1"/>
  <c r="R82" i="17"/>
  <c r="BV82" i="17" s="1"/>
  <c r="N82" i="17"/>
  <c r="BR82" i="17" s="1"/>
  <c r="O296" i="17"/>
  <c r="BS296" i="17" s="1"/>
  <c r="K296" i="17"/>
  <c r="BO296" i="17" s="1"/>
  <c r="P296" i="17"/>
  <c r="BT296" i="17" s="1"/>
  <c r="L296" i="17"/>
  <c r="BP296" i="17" s="1"/>
  <c r="Q296" i="17"/>
  <c r="BU296" i="17" s="1"/>
  <c r="M296" i="17"/>
  <c r="BQ296" i="17" s="1"/>
  <c r="R296" i="17"/>
  <c r="BV296" i="17" s="1"/>
  <c r="N296" i="17"/>
  <c r="K76" i="17"/>
  <c r="BO76" i="17" s="1"/>
  <c r="K299" i="17"/>
  <c r="BO299" i="17" s="1"/>
  <c r="O299" i="17"/>
  <c r="BS299" i="17" s="1"/>
  <c r="P299" i="17"/>
  <c r="L299" i="17"/>
  <c r="BP299" i="17" s="1"/>
  <c r="Q299" i="17"/>
  <c r="BU299" i="17" s="1"/>
  <c r="M299" i="17"/>
  <c r="BQ299" i="17" s="1"/>
  <c r="R299" i="17"/>
  <c r="BV299" i="17" s="1"/>
  <c r="N299" i="17"/>
  <c r="BR299" i="17" s="1"/>
  <c r="R260" i="17"/>
  <c r="BV260" i="17" s="1"/>
  <c r="N260" i="17"/>
  <c r="BR260" i="17" s="1"/>
  <c r="O260" i="17"/>
  <c r="BS260" i="17" s="1"/>
  <c r="K260" i="17"/>
  <c r="BO260" i="17" s="1"/>
  <c r="P260" i="17"/>
  <c r="BT260" i="17" s="1"/>
  <c r="L260" i="17"/>
  <c r="BP260" i="17" s="1"/>
  <c r="Q260" i="17"/>
  <c r="BU260" i="17" s="1"/>
  <c r="M260" i="17"/>
  <c r="BQ260" i="17" s="1"/>
  <c r="K148" i="17"/>
  <c r="BO148" i="17" s="1"/>
  <c r="N148" i="17"/>
  <c r="BR148" i="17" s="1"/>
  <c r="P148" i="17"/>
  <c r="L148" i="17"/>
  <c r="BP148" i="17" s="1"/>
  <c r="Q148" i="17"/>
  <c r="BU148" i="17" s="1"/>
  <c r="M148" i="17"/>
  <c r="BQ148" i="17" s="1"/>
  <c r="R148" i="17"/>
  <c r="BV148" i="17" s="1"/>
  <c r="O148" i="17"/>
  <c r="BS148" i="17" s="1"/>
  <c r="O79" i="17"/>
  <c r="BS79" i="17" s="1"/>
  <c r="P79" i="17"/>
  <c r="BT79" i="17" s="1"/>
  <c r="K79" i="17"/>
  <c r="BO79" i="17" s="1"/>
  <c r="Q79" i="17"/>
  <c r="BU79" i="17" s="1"/>
  <c r="L79" i="17"/>
  <c r="BP79" i="17" s="1"/>
  <c r="N79" i="17"/>
  <c r="BR79" i="17" s="1"/>
  <c r="M79" i="17"/>
  <c r="BQ79" i="17" s="1"/>
  <c r="R79" i="17"/>
  <c r="BV79" i="17" s="1"/>
  <c r="N305" i="17"/>
  <c r="BR305" i="17" s="1"/>
  <c r="Q305" i="17"/>
  <c r="BU305" i="17" s="1"/>
  <c r="K305" i="17"/>
  <c r="O305" i="17"/>
  <c r="BS305" i="17" s="1"/>
  <c r="L195" i="17"/>
  <c r="BP195" i="17" s="1"/>
  <c r="R195" i="17"/>
  <c r="BV195" i="17" s="1"/>
  <c r="O195" i="17"/>
  <c r="BS195" i="17" s="1"/>
  <c r="K195" i="17"/>
  <c r="BO195" i="17" s="1"/>
  <c r="N170" i="17"/>
  <c r="BR170" i="17" s="1"/>
  <c r="Q170" i="17"/>
  <c r="BU170" i="17" s="1"/>
  <c r="K170" i="17"/>
  <c r="BO170" i="17" s="1"/>
  <c r="O170" i="17"/>
  <c r="BS170" i="17" s="1"/>
  <c r="L170" i="17"/>
  <c r="BP170" i="17" s="1"/>
  <c r="P170" i="17"/>
  <c r="BT170" i="17" s="1"/>
  <c r="M170" i="17"/>
  <c r="BQ170" i="17" s="1"/>
  <c r="R170" i="17"/>
  <c r="BV170" i="17" s="1"/>
  <c r="O49" i="17"/>
  <c r="BS49" i="17" s="1"/>
  <c r="R49" i="17"/>
  <c r="BV49" i="17" s="1"/>
  <c r="L49" i="17"/>
  <c r="M49" i="17"/>
  <c r="BQ49" i="17" s="1"/>
  <c r="K49" i="17"/>
  <c r="BO49" i="17" s="1"/>
  <c r="P49" i="17"/>
  <c r="BT49" i="17" s="1"/>
  <c r="Q49" i="17"/>
  <c r="BU49" i="17" s="1"/>
  <c r="N49" i="17"/>
  <c r="BR49" i="17" s="1"/>
  <c r="N219" i="17"/>
  <c r="BR219" i="17" s="1"/>
  <c r="L219" i="17"/>
  <c r="Q89" i="17"/>
  <c r="BU89" i="17" s="1"/>
  <c r="M89" i="17"/>
  <c r="BQ89" i="17" s="1"/>
  <c r="P89" i="17"/>
  <c r="L89" i="17"/>
  <c r="BP89" i="17" s="1"/>
  <c r="O89" i="17"/>
  <c r="BS89" i="17" s="1"/>
  <c r="R120" i="17"/>
  <c r="BV120" i="17" s="1"/>
  <c r="N120" i="17"/>
  <c r="BR120" i="17" s="1"/>
  <c r="P120" i="17"/>
  <c r="BT120" i="17" s="1"/>
  <c r="Q120" i="17"/>
  <c r="Q87" i="17"/>
  <c r="BU87" i="17" s="1"/>
  <c r="N87" i="17"/>
  <c r="BR87" i="17" s="1"/>
  <c r="Q86" i="17"/>
  <c r="BU86" i="17" s="1"/>
  <c r="M86" i="17"/>
  <c r="R86" i="17"/>
  <c r="BV86" i="17" s="1"/>
  <c r="N86" i="17"/>
  <c r="BR86" i="17" s="1"/>
  <c r="K86" i="17"/>
  <c r="BO86" i="17" s="1"/>
  <c r="P86" i="17"/>
  <c r="BT86" i="17" s="1"/>
  <c r="L86" i="17"/>
  <c r="BP86" i="17" s="1"/>
  <c r="O86" i="17"/>
  <c r="BS86" i="17" s="1"/>
  <c r="R15" i="17"/>
  <c r="BV15" i="17" s="1"/>
  <c r="K15" i="17"/>
  <c r="BO15" i="17" s="1"/>
  <c r="M15" i="17"/>
  <c r="BQ15" i="17" s="1"/>
  <c r="P15" i="17"/>
  <c r="BT15" i="17" s="1"/>
  <c r="L267" i="17"/>
  <c r="P267" i="17"/>
  <c r="BT267" i="17" s="1"/>
  <c r="Q221" i="17"/>
  <c r="BU221" i="17" s="1"/>
  <c r="M221" i="17"/>
  <c r="BQ221" i="17" s="1"/>
  <c r="N221" i="17"/>
  <c r="BR221" i="17" s="1"/>
  <c r="R221" i="17"/>
  <c r="BV221" i="17" s="1"/>
  <c r="O221" i="17"/>
  <c r="BS221" i="17" s="1"/>
  <c r="K221" i="17"/>
  <c r="BO221" i="17" s="1"/>
  <c r="P221" i="17"/>
  <c r="BT221" i="17" s="1"/>
  <c r="L221" i="17"/>
  <c r="BP221" i="17" s="1"/>
  <c r="R117" i="17"/>
  <c r="BV117" i="17" s="1"/>
  <c r="N117" i="17"/>
  <c r="BR117" i="17" s="1"/>
  <c r="K117" i="17"/>
  <c r="O117" i="17"/>
  <c r="BS117" i="17" s="1"/>
  <c r="L117" i="17"/>
  <c r="BP117" i="17" s="1"/>
  <c r="P117" i="17"/>
  <c r="BT117" i="17" s="1"/>
  <c r="M117" i="17"/>
  <c r="BQ117" i="17" s="1"/>
  <c r="Q117" i="17"/>
  <c r="BU117" i="17" s="1"/>
  <c r="K177" i="17"/>
  <c r="BO177" i="17" s="1"/>
  <c r="O177" i="17"/>
  <c r="BS177" i="17" s="1"/>
  <c r="L177" i="17"/>
  <c r="P177" i="17"/>
  <c r="BT177" i="17" s="1"/>
  <c r="M177" i="17"/>
  <c r="BQ177" i="17" s="1"/>
  <c r="Q177" i="17"/>
  <c r="BU177" i="17" s="1"/>
  <c r="N177" i="17"/>
  <c r="BR177" i="17" s="1"/>
  <c r="R177" i="17"/>
  <c r="BV177" i="17" s="1"/>
  <c r="K301" i="17"/>
  <c r="BO301" i="17" s="1"/>
  <c r="O301" i="17"/>
  <c r="L301" i="17"/>
  <c r="BP301" i="17" s="1"/>
  <c r="P301" i="17"/>
  <c r="BT301" i="17" s="1"/>
  <c r="M301" i="17"/>
  <c r="BQ301" i="17" s="1"/>
  <c r="Q301" i="17"/>
  <c r="BU301" i="17" s="1"/>
  <c r="N301" i="17"/>
  <c r="BR301" i="17" s="1"/>
  <c r="R301" i="17"/>
  <c r="BV301" i="17" s="1"/>
  <c r="P245" i="17"/>
  <c r="BT245" i="17" s="1"/>
  <c r="P281" i="17"/>
  <c r="Q281" i="17"/>
  <c r="BU281" i="17" s="1"/>
  <c r="R281" i="17"/>
  <c r="BV281" i="17" s="1"/>
  <c r="N281" i="17"/>
  <c r="BR281" i="17" s="1"/>
  <c r="K14" i="17"/>
  <c r="BO14" i="17" s="1"/>
  <c r="L14" i="17"/>
  <c r="BP14" i="17" s="1"/>
  <c r="M14" i="17"/>
  <c r="BQ14" i="17" s="1"/>
  <c r="N14" i="17"/>
  <c r="BR14" i="17" s="1"/>
  <c r="R14" i="17"/>
  <c r="BV14" i="17" s="1"/>
  <c r="O14" i="17"/>
  <c r="BS14" i="17" s="1"/>
  <c r="P14" i="17"/>
  <c r="Q14" i="17"/>
  <c r="BU14" i="17" s="1"/>
  <c r="M286" i="17"/>
  <c r="BQ286" i="17" s="1"/>
  <c r="K286" i="17"/>
  <c r="BO286" i="17" s="1"/>
  <c r="P286" i="17"/>
  <c r="BT286" i="17" s="1"/>
  <c r="Q286" i="17"/>
  <c r="BU286" i="17" s="1"/>
  <c r="N286" i="17"/>
  <c r="R286" i="17"/>
  <c r="BV286" i="17" s="1"/>
  <c r="O286" i="17"/>
  <c r="BS286" i="17" s="1"/>
  <c r="L286" i="17"/>
  <c r="BP286" i="17" s="1"/>
  <c r="L186" i="17"/>
  <c r="BP186" i="17" s="1"/>
  <c r="P186" i="17"/>
  <c r="BT186" i="17" s="1"/>
  <c r="M186" i="17"/>
  <c r="BQ186" i="17" s="1"/>
  <c r="K186" i="17"/>
  <c r="BO186" i="17" s="1"/>
  <c r="Q107" i="17"/>
  <c r="BU107" i="17" s="1"/>
  <c r="K26" i="17"/>
  <c r="BO26" i="17" s="1"/>
  <c r="L26" i="17"/>
  <c r="BP26" i="17" s="1"/>
  <c r="M26" i="17"/>
  <c r="BQ26" i="17" s="1"/>
  <c r="N26" i="17"/>
  <c r="BR26" i="17" s="1"/>
  <c r="Q26" i="17"/>
  <c r="R26" i="17"/>
  <c r="BV26" i="17" s="1"/>
  <c r="P26" i="17"/>
  <c r="BT26" i="17" s="1"/>
  <c r="K157" i="17"/>
  <c r="BO157" i="17" s="1"/>
  <c r="M157" i="17"/>
  <c r="BQ157" i="17" s="1"/>
  <c r="R157" i="17"/>
  <c r="BV157" i="17" s="1"/>
  <c r="O157" i="17"/>
  <c r="L157" i="17"/>
  <c r="BP157" i="17" s="1"/>
  <c r="P157" i="17"/>
  <c r="BT157" i="17" s="1"/>
  <c r="L146" i="17"/>
  <c r="BP146" i="17" s="1"/>
  <c r="P146" i="17"/>
  <c r="BT146" i="17" s="1"/>
  <c r="N146" i="17"/>
  <c r="BR146" i="17" s="1"/>
  <c r="K146" i="17"/>
  <c r="BO146" i="17" s="1"/>
  <c r="O146" i="17"/>
  <c r="Q146" i="17"/>
  <c r="BU146" i="17" s="1"/>
  <c r="M146" i="17"/>
  <c r="BQ146" i="17" s="1"/>
  <c r="R146" i="17"/>
  <c r="BV146" i="17" s="1"/>
  <c r="L312" i="17"/>
  <c r="BP312" i="17" s="1"/>
  <c r="P312" i="17"/>
  <c r="BT312" i="17" s="1"/>
  <c r="M312" i="17"/>
  <c r="BQ312" i="17" s="1"/>
  <c r="Q312" i="17"/>
  <c r="BU312" i="17" s="1"/>
  <c r="N312" i="17"/>
  <c r="BR312" i="17" s="1"/>
  <c r="R312" i="17"/>
  <c r="BV312" i="17" s="1"/>
  <c r="O312" i="17"/>
  <c r="BS312" i="17" s="1"/>
  <c r="K312" i="17"/>
  <c r="BO312" i="17" s="1"/>
  <c r="N45" i="17"/>
  <c r="M243" i="17"/>
  <c r="BQ243" i="17" s="1"/>
  <c r="Q243" i="17"/>
  <c r="BU243" i="17" s="1"/>
  <c r="N243" i="17"/>
  <c r="BR243" i="17" s="1"/>
  <c r="R243" i="17"/>
  <c r="BV243" i="17" s="1"/>
  <c r="O243" i="17"/>
  <c r="BS243" i="17" s="1"/>
  <c r="K243" i="17"/>
  <c r="BO243" i="17" s="1"/>
  <c r="P243" i="17"/>
  <c r="BT243" i="17" s="1"/>
  <c r="L243" i="17"/>
  <c r="N239" i="17"/>
  <c r="BR239" i="17" s="1"/>
  <c r="R239" i="17"/>
  <c r="BV239" i="17" s="1"/>
  <c r="O239" i="17"/>
  <c r="BS239" i="17" s="1"/>
  <c r="K239" i="17"/>
  <c r="BO239" i="17" s="1"/>
  <c r="P239" i="17"/>
  <c r="L239" i="17"/>
  <c r="BP239" i="17" s="1"/>
  <c r="Q239" i="17"/>
  <c r="BU239" i="17" s="1"/>
  <c r="M239" i="17"/>
  <c r="BQ239" i="17" s="1"/>
  <c r="K201" i="17"/>
  <c r="BO201" i="17" s="1"/>
  <c r="P201" i="17"/>
  <c r="L201" i="17"/>
  <c r="BP201" i="17" s="1"/>
  <c r="R201" i="17"/>
  <c r="BV201" i="17" s="1"/>
  <c r="M201" i="17"/>
  <c r="BQ201" i="17" s="1"/>
  <c r="O201" i="17"/>
  <c r="BS201" i="17" s="1"/>
  <c r="N201" i="17"/>
  <c r="BR201" i="17" s="1"/>
  <c r="Q201" i="17"/>
  <c r="BU201" i="17" s="1"/>
  <c r="N116" i="17"/>
  <c r="BR116" i="17" s="1"/>
  <c r="R116" i="17"/>
  <c r="O116" i="17"/>
  <c r="BS116" i="17" s="1"/>
  <c r="K116" i="17"/>
  <c r="BO116" i="17" s="1"/>
  <c r="P116" i="17"/>
  <c r="BT116" i="17" s="1"/>
  <c r="L116" i="17"/>
  <c r="BP116" i="17" s="1"/>
  <c r="Q116" i="17"/>
  <c r="BU116" i="17" s="1"/>
  <c r="M116" i="17"/>
  <c r="BQ116" i="17" s="1"/>
  <c r="L248" i="17"/>
  <c r="BP248" i="17" s="1"/>
  <c r="P248" i="17"/>
  <c r="BT248" i="17" s="1"/>
  <c r="M248" i="17"/>
  <c r="BQ248" i="17" s="1"/>
  <c r="Q248" i="17"/>
  <c r="BU248" i="17" s="1"/>
  <c r="N248" i="17"/>
  <c r="BR248" i="17" s="1"/>
  <c r="R248" i="17"/>
  <c r="BV248" i="17" s="1"/>
  <c r="K248" i="17"/>
  <c r="BO248" i="17" s="1"/>
  <c r="O248" i="17"/>
  <c r="BS248" i="17" s="1"/>
  <c r="L309" i="17"/>
  <c r="P309" i="17"/>
  <c r="M309" i="17"/>
  <c r="Q309" i="17"/>
  <c r="N309" i="17"/>
  <c r="R309" i="17"/>
  <c r="O309" i="17"/>
  <c r="K309" i="17"/>
  <c r="Q139" i="17"/>
  <c r="BU139" i="17" s="1"/>
  <c r="O139" i="17"/>
  <c r="BS139" i="17" s="1"/>
  <c r="M164" i="17"/>
  <c r="BQ164" i="17" s="1"/>
  <c r="N211" i="17"/>
  <c r="BR211" i="17" s="1"/>
  <c r="N54" i="17"/>
  <c r="BR54" i="17" s="1"/>
  <c r="L54" i="17"/>
  <c r="BP54" i="17" s="1"/>
  <c r="M54" i="17"/>
  <c r="K54" i="17"/>
  <c r="BO54" i="17" s="1"/>
  <c r="P54" i="17"/>
  <c r="BT54" i="17" s="1"/>
  <c r="O54" i="17"/>
  <c r="BS54" i="17" s="1"/>
  <c r="Q54" i="17"/>
  <c r="BU54" i="17" s="1"/>
  <c r="R54" i="17"/>
  <c r="BV54" i="17" s="1"/>
  <c r="P81" i="17"/>
  <c r="BT81" i="17" s="1"/>
  <c r="R81" i="17"/>
  <c r="BV81" i="17" s="1"/>
  <c r="P307" i="17"/>
  <c r="BT307" i="17" s="1"/>
  <c r="P154" i="17"/>
  <c r="BT154" i="17" s="1"/>
  <c r="O181" i="17"/>
  <c r="BS181" i="17" s="1"/>
  <c r="K235" i="17"/>
  <c r="BO235" i="17" s="1"/>
  <c r="M235" i="17"/>
  <c r="BQ235" i="17" s="1"/>
  <c r="O202" i="17"/>
  <c r="BS202" i="17" s="1"/>
  <c r="N202" i="17"/>
  <c r="BR202" i="17" s="1"/>
  <c r="K202" i="17"/>
  <c r="BO202" i="17" s="1"/>
  <c r="P202" i="17"/>
  <c r="BT202" i="17" s="1"/>
  <c r="L202" i="17"/>
  <c r="BP202" i="17" s="1"/>
  <c r="R202" i="17"/>
  <c r="BV202" i="17" s="1"/>
  <c r="M202" i="17"/>
  <c r="BQ202" i="17" s="1"/>
  <c r="Q202" i="17"/>
  <c r="BU202" i="17" s="1"/>
  <c r="Q185" i="17"/>
  <c r="BU185" i="17" s="1"/>
  <c r="M185" i="17"/>
  <c r="BQ185" i="17" s="1"/>
  <c r="R185" i="17"/>
  <c r="BV185" i="17" s="1"/>
  <c r="N185" i="17"/>
  <c r="BR185" i="17" s="1"/>
  <c r="K185" i="17"/>
  <c r="BO185" i="17" s="1"/>
  <c r="O185" i="17"/>
  <c r="BS185" i="17" s="1"/>
  <c r="L185" i="17"/>
  <c r="BP185" i="17" s="1"/>
  <c r="P185" i="17"/>
  <c r="BT185" i="17" s="1"/>
  <c r="L153" i="17"/>
  <c r="P153" i="17"/>
  <c r="BT153" i="17" s="1"/>
  <c r="M153" i="17"/>
  <c r="BQ153" i="17" s="1"/>
  <c r="Q153" i="17"/>
  <c r="BU153" i="17" s="1"/>
  <c r="N153" i="17"/>
  <c r="BR153" i="17" s="1"/>
  <c r="K153" i="17"/>
  <c r="BO153" i="17" s="1"/>
  <c r="O153" i="17"/>
  <c r="BS153" i="17" s="1"/>
  <c r="R153" i="17"/>
  <c r="BV153" i="17" s="1"/>
  <c r="N74" i="17"/>
  <c r="BR74" i="17" s="1"/>
  <c r="K74" i="17"/>
  <c r="BO74" i="17" s="1"/>
  <c r="O74" i="17"/>
  <c r="BS74" i="17" s="1"/>
  <c r="L74" i="17"/>
  <c r="BP74" i="17" s="1"/>
  <c r="P74" i="17"/>
  <c r="BT74" i="17" s="1"/>
  <c r="M74" i="17"/>
  <c r="BQ74" i="17" s="1"/>
  <c r="R74" i="17"/>
  <c r="BV74" i="17" s="1"/>
  <c r="Q74" i="17"/>
  <c r="BU74" i="17" s="1"/>
  <c r="M56" i="17"/>
  <c r="BQ56" i="17" s="1"/>
  <c r="Q56" i="17"/>
  <c r="BU56" i="17" s="1"/>
  <c r="R56" i="17"/>
  <c r="BV56" i="17" s="1"/>
  <c r="O56" i="17"/>
  <c r="K56" i="17"/>
  <c r="BO56" i="17" s="1"/>
  <c r="P56" i="17"/>
  <c r="BT56" i="17" s="1"/>
  <c r="L56" i="17"/>
  <c r="BP56" i="17" s="1"/>
  <c r="N56" i="17"/>
  <c r="BR56" i="17" s="1"/>
  <c r="Q238" i="17"/>
  <c r="BU238" i="17" s="1"/>
  <c r="M238" i="17"/>
  <c r="BQ238" i="17" s="1"/>
  <c r="N238" i="17"/>
  <c r="BR238" i="17" s="1"/>
  <c r="R238" i="17"/>
  <c r="BV238" i="17" s="1"/>
  <c r="O238" i="17"/>
  <c r="BS238" i="17" s="1"/>
  <c r="K238" i="17"/>
  <c r="BO238" i="17" s="1"/>
  <c r="P238" i="17"/>
  <c r="L238" i="17"/>
  <c r="BP238" i="17" s="1"/>
  <c r="L227" i="17"/>
  <c r="BP227" i="17" s="1"/>
  <c r="P227" i="17"/>
  <c r="BT227" i="17" s="1"/>
  <c r="Q227" i="17"/>
  <c r="BU227" i="17" s="1"/>
  <c r="M297" i="17"/>
  <c r="Q297" i="17"/>
  <c r="N297" i="17"/>
  <c r="R297" i="17"/>
  <c r="O297" i="17"/>
  <c r="K297" i="17"/>
  <c r="P297" i="17"/>
  <c r="L297" i="17"/>
  <c r="O314" i="17"/>
  <c r="BS314" i="17" s="1"/>
  <c r="K314" i="17"/>
  <c r="BO314" i="17" s="1"/>
  <c r="P314" i="17"/>
  <c r="BT314" i="17" s="1"/>
  <c r="L314" i="17"/>
  <c r="BP314" i="17" s="1"/>
  <c r="Q314" i="17"/>
  <c r="BU314" i="17" s="1"/>
  <c r="M314" i="17"/>
  <c r="BQ314" i="17" s="1"/>
  <c r="R314" i="17"/>
  <c r="BV314" i="17" s="1"/>
  <c r="N314" i="17"/>
  <c r="BR314" i="17" s="1"/>
  <c r="O8" i="17"/>
  <c r="BS8" i="17" s="1"/>
  <c r="M8" i="17"/>
  <c r="BQ8" i="17" s="1"/>
  <c r="Q8" i="17"/>
  <c r="BU8" i="17" s="1"/>
  <c r="K8" i="17"/>
  <c r="BO8" i="17" s="1"/>
  <c r="N8" i="17"/>
  <c r="BR8" i="17" s="1"/>
  <c r="L8" i="17"/>
  <c r="BP8" i="17" s="1"/>
  <c r="P8" i="17"/>
  <c r="R8" i="17"/>
  <c r="BV8" i="17" s="1"/>
  <c r="L218" i="17"/>
  <c r="BP218" i="17" s="1"/>
  <c r="Q218" i="17"/>
  <c r="BU218" i="17" s="1"/>
  <c r="P123" i="17"/>
  <c r="BT123" i="17" s="1"/>
  <c r="P199" i="17"/>
  <c r="BT199" i="17" s="1"/>
  <c r="L199" i="17"/>
  <c r="BP199" i="17" s="1"/>
  <c r="Q199" i="17"/>
  <c r="BU199" i="17" s="1"/>
  <c r="N199" i="17"/>
  <c r="BR199" i="17" s="1"/>
  <c r="R199" i="17"/>
  <c r="BV199" i="17" s="1"/>
  <c r="M199" i="17"/>
  <c r="O199" i="17"/>
  <c r="BS199" i="17" s="1"/>
  <c r="K199" i="17"/>
  <c r="BO199" i="17" s="1"/>
  <c r="N105" i="17"/>
  <c r="BR105" i="17" s="1"/>
  <c r="K105" i="17"/>
  <c r="Q105" i="17"/>
  <c r="BU105" i="17" s="1"/>
  <c r="K111" i="17"/>
  <c r="BO111" i="17" s="1"/>
  <c r="O111" i="17"/>
  <c r="BS111" i="17" s="1"/>
  <c r="L111" i="17"/>
  <c r="BP111" i="17" s="1"/>
  <c r="Q111" i="17"/>
  <c r="BU111" i="17" s="1"/>
  <c r="P111" i="17"/>
  <c r="BT111" i="17" s="1"/>
  <c r="M111" i="17"/>
  <c r="R111" i="17"/>
  <c r="BV111" i="17" s="1"/>
  <c r="N111" i="17"/>
  <c r="BR111" i="17" s="1"/>
  <c r="M122" i="17"/>
  <c r="BQ122" i="17" s="1"/>
  <c r="Q122" i="17"/>
  <c r="BU122" i="17" s="1"/>
  <c r="N122" i="17"/>
  <c r="BR122" i="17" s="1"/>
  <c r="R122" i="17"/>
  <c r="O122" i="17"/>
  <c r="BS122" i="17" s="1"/>
  <c r="K122" i="17"/>
  <c r="BO122" i="17" s="1"/>
  <c r="P122" i="17"/>
  <c r="BT122" i="17" s="1"/>
  <c r="L122" i="17"/>
  <c r="BP122" i="17" s="1"/>
  <c r="P127" i="17"/>
  <c r="BT127" i="17" s="1"/>
  <c r="L127" i="17"/>
  <c r="BP127" i="17" s="1"/>
  <c r="Q127" i="17"/>
  <c r="BU127" i="17" s="1"/>
  <c r="M127" i="17"/>
  <c r="BQ127" i="17" s="1"/>
  <c r="R127" i="17"/>
  <c r="BV127" i="17" s="1"/>
  <c r="N127" i="17"/>
  <c r="BR127" i="17" s="1"/>
  <c r="K127" i="17"/>
  <c r="O127" i="17"/>
  <c r="BS127" i="17" s="1"/>
  <c r="O132" i="17"/>
  <c r="BS132" i="17" s="1"/>
  <c r="K132" i="17"/>
  <c r="BO132" i="17" s="1"/>
  <c r="P132" i="17"/>
  <c r="BT132" i="17" s="1"/>
  <c r="L132" i="17"/>
  <c r="BP132" i="17" s="1"/>
  <c r="Q132" i="17"/>
  <c r="BU132" i="17" s="1"/>
  <c r="M132" i="17"/>
  <c r="BQ132" i="17" s="1"/>
  <c r="R132" i="17"/>
  <c r="BV132" i="17" s="1"/>
  <c r="N132" i="17"/>
  <c r="R241" i="17"/>
  <c r="BV241" i="17" s="1"/>
  <c r="M241" i="17"/>
  <c r="BQ241" i="17" s="1"/>
  <c r="L83" i="17"/>
  <c r="BP83" i="17" s="1"/>
  <c r="Q83" i="17"/>
  <c r="BU83" i="17" s="1"/>
  <c r="O83" i="17"/>
  <c r="BS83" i="17" s="1"/>
  <c r="M83" i="17"/>
  <c r="BQ83" i="17" s="1"/>
  <c r="R83" i="17"/>
  <c r="N83" i="17"/>
  <c r="BR83" i="17" s="1"/>
  <c r="K83" i="17"/>
  <c r="BO83" i="17" s="1"/>
  <c r="P83" i="17"/>
  <c r="BT83" i="17" s="1"/>
  <c r="L280" i="17"/>
  <c r="BP280" i="17" s="1"/>
  <c r="R223" i="17" l="1"/>
  <c r="O154" i="17"/>
  <c r="BS154" i="17" s="1"/>
  <c r="Q255" i="17"/>
  <c r="BU255" i="17" s="1"/>
  <c r="L46" i="17"/>
  <c r="O267" i="17"/>
  <c r="BS267" i="17" s="1"/>
  <c r="O15" i="17"/>
  <c r="BS15" i="17" s="1"/>
  <c r="L120" i="17"/>
  <c r="BP120" i="17" s="1"/>
  <c r="K89" i="17"/>
  <c r="BO89" i="17" s="1"/>
  <c r="P285" i="17"/>
  <c r="L138" i="17"/>
  <c r="BP138" i="17" s="1"/>
  <c r="O65" i="17"/>
  <c r="BS65" i="17" s="1"/>
  <c r="R78" i="17"/>
  <c r="BV78" i="17" s="1"/>
  <c r="K175" i="17"/>
  <c r="BO175" i="17" s="1"/>
  <c r="N57" i="17"/>
  <c r="BR57" i="17" s="1"/>
  <c r="N140" i="17"/>
  <c r="BR140" i="17" s="1"/>
  <c r="L33" i="17"/>
  <c r="BP33" i="17" s="1"/>
  <c r="N288" i="17"/>
  <c r="BR288" i="17" s="1"/>
  <c r="O289" i="17"/>
  <c r="BS289" i="17" s="1"/>
  <c r="M9" i="17"/>
  <c r="R133" i="17"/>
  <c r="BV133" i="17" s="1"/>
  <c r="P277" i="17"/>
  <c r="BT277" i="17" s="1"/>
  <c r="K194" i="17"/>
  <c r="BO194" i="17" s="1"/>
  <c r="Q20" i="17"/>
  <c r="L236" i="17"/>
  <c r="BP236" i="17" s="1"/>
  <c r="K267" i="17"/>
  <c r="BO267" i="17" s="1"/>
  <c r="O87" i="17"/>
  <c r="BS87" i="17" s="1"/>
  <c r="O120" i="17"/>
  <c r="BS120" i="17" s="1"/>
  <c r="N89" i="17"/>
  <c r="BR89" i="17" s="1"/>
  <c r="N285" i="17"/>
  <c r="O138" i="17"/>
  <c r="BS138" i="17" s="1"/>
  <c r="M240" i="17"/>
  <c r="BQ240" i="17" s="1"/>
  <c r="K65" i="17"/>
  <c r="M175" i="17"/>
  <c r="BQ175" i="17" s="1"/>
  <c r="R160" i="17"/>
  <c r="BV160" i="17" s="1"/>
  <c r="R57" i="17"/>
  <c r="BV57" i="17" s="1"/>
  <c r="P174" i="17"/>
  <c r="BT174" i="17" s="1"/>
  <c r="Q141" i="17"/>
  <c r="BU141" i="17" s="1"/>
  <c r="O33" i="17"/>
  <c r="BS33" i="17" s="1"/>
  <c r="Q288" i="17"/>
  <c r="BU288" i="17" s="1"/>
  <c r="N289" i="17"/>
  <c r="BR289" i="17" s="1"/>
  <c r="P9" i="17"/>
  <c r="R58" i="17"/>
  <c r="BV58" i="17" s="1"/>
  <c r="M128" i="17"/>
  <c r="BQ128" i="17" s="1"/>
  <c r="N15" i="17"/>
  <c r="BR15" i="17" s="1"/>
  <c r="R87" i="17"/>
  <c r="BV87" i="17" s="1"/>
  <c r="K120" i="17"/>
  <c r="BO120" i="17" s="1"/>
  <c r="K285" i="17"/>
  <c r="K138" i="17"/>
  <c r="BO138" i="17" s="1"/>
  <c r="O240" i="17"/>
  <c r="BS240" i="17" s="1"/>
  <c r="R65" i="17"/>
  <c r="BV65" i="17" s="1"/>
  <c r="L175" i="17"/>
  <c r="BP175" i="17" s="1"/>
  <c r="K160" i="17"/>
  <c r="BO160" i="17" s="1"/>
  <c r="M57" i="17"/>
  <c r="P141" i="17"/>
  <c r="BT141" i="17" s="1"/>
  <c r="R33" i="17"/>
  <c r="BV33" i="17" s="1"/>
  <c r="N197" i="17"/>
  <c r="BR197" i="17" s="1"/>
  <c r="L288" i="17"/>
  <c r="BP288" i="17" s="1"/>
  <c r="R289" i="17"/>
  <c r="BV289" i="17" s="1"/>
  <c r="N137" i="17"/>
  <c r="BR137" i="17" s="1"/>
  <c r="L15" i="17"/>
  <c r="BP15" i="17" s="1"/>
  <c r="M259" i="17"/>
  <c r="BQ259" i="17" s="1"/>
  <c r="Q306" i="17"/>
  <c r="BU306" i="17" s="1"/>
  <c r="P242" i="17"/>
  <c r="BT242" i="17" s="1"/>
  <c r="O186" i="17"/>
  <c r="BS186" i="17" s="1"/>
  <c r="Q176" i="17"/>
  <c r="BU176" i="17" s="1"/>
  <c r="R267" i="17"/>
  <c r="BV267" i="17" s="1"/>
  <c r="Q232" i="17"/>
  <c r="BU232" i="17" s="1"/>
  <c r="M87" i="17"/>
  <c r="BQ87" i="17" s="1"/>
  <c r="N195" i="17"/>
  <c r="BR195" i="17" s="1"/>
  <c r="M305" i="17"/>
  <c r="BQ305" i="17" s="1"/>
  <c r="Q240" i="17"/>
  <c r="O256" i="17"/>
  <c r="BS256" i="17" s="1"/>
  <c r="R156" i="17"/>
  <c r="BV156" i="17" s="1"/>
  <c r="O50" i="17"/>
  <c r="L255" i="17"/>
  <c r="R186" i="17"/>
  <c r="BV186" i="17" s="1"/>
  <c r="CJ186" i="17" s="1"/>
  <c r="CP186" i="17" s="1"/>
  <c r="DG186" i="17" s="1"/>
  <c r="DH186" i="17" s="1"/>
  <c r="M100" i="17"/>
  <c r="BQ100" i="17" s="1"/>
  <c r="N267" i="17"/>
  <c r="BR267" i="17" s="1"/>
  <c r="L232" i="17"/>
  <c r="BP232" i="17" s="1"/>
  <c r="P87" i="17"/>
  <c r="BT87" i="17" s="1"/>
  <c r="L41" i="17"/>
  <c r="BP41" i="17" s="1"/>
  <c r="Q195" i="17"/>
  <c r="P305" i="17"/>
  <c r="BT305" i="17" s="1"/>
  <c r="L240" i="17"/>
  <c r="BP240" i="17" s="1"/>
  <c r="CE240" i="17" s="1"/>
  <c r="CK240" i="17" s="1"/>
  <c r="CW240" i="17" s="1"/>
  <c r="CX240" i="17" s="1"/>
  <c r="Q225" i="17"/>
  <c r="BU225" i="17" s="1"/>
  <c r="R256" i="17"/>
  <c r="L176" i="17"/>
  <c r="BP176" i="17" s="1"/>
  <c r="N310" i="17"/>
  <c r="BR310" i="17" s="1"/>
  <c r="R59" i="17"/>
  <c r="BV59" i="17" s="1"/>
  <c r="N186" i="17"/>
  <c r="BR186" i="17" s="1"/>
  <c r="Q267" i="17"/>
  <c r="BU267" i="17" s="1"/>
  <c r="K87" i="17"/>
  <c r="BO87" i="17" s="1"/>
  <c r="P41" i="17"/>
  <c r="BT41" i="17" s="1"/>
  <c r="M195" i="17"/>
  <c r="BQ195" i="17" s="1"/>
  <c r="L305" i="17"/>
  <c r="BP305" i="17" s="1"/>
  <c r="P240" i="17"/>
  <c r="BT240" i="17" s="1"/>
  <c r="R225" i="17"/>
  <c r="BV225" i="17" s="1"/>
  <c r="N256" i="17"/>
  <c r="BR256" i="17" s="1"/>
  <c r="P161" i="17"/>
  <c r="BT161" i="17" s="1"/>
  <c r="N262" i="17"/>
  <c r="BR262" i="17" s="1"/>
  <c r="P223" i="17"/>
  <c r="P20" i="17"/>
  <c r="BT20" i="17" s="1"/>
  <c r="K207" i="17"/>
  <c r="BO207" i="17" s="1"/>
  <c r="M193" i="17"/>
  <c r="BQ193" i="17" s="1"/>
  <c r="O29" i="17"/>
  <c r="Q188" i="17"/>
  <c r="BU188" i="17" s="1"/>
  <c r="M183" i="17"/>
  <c r="O25" i="17"/>
  <c r="BS25" i="17" s="1"/>
  <c r="R90" i="17"/>
  <c r="BV90" i="17" s="1"/>
  <c r="M141" i="17"/>
  <c r="BQ141" i="17" s="1"/>
  <c r="P254" i="17"/>
  <c r="BT254" i="17" s="1"/>
  <c r="P308" i="17"/>
  <c r="N141" i="17"/>
  <c r="BR141" i="17" s="1"/>
  <c r="R231" i="17"/>
  <c r="BV231" i="17" s="1"/>
  <c r="M152" i="17"/>
  <c r="BQ152" i="17" s="1"/>
  <c r="O244" i="17"/>
  <c r="BS244" i="17" s="1"/>
  <c r="M318" i="17"/>
  <c r="K141" i="17"/>
  <c r="BO141" i="17" s="1"/>
  <c r="O254" i="17"/>
  <c r="BS254" i="17" s="1"/>
  <c r="N30" i="17"/>
  <c r="BR30" i="17" s="1"/>
  <c r="L141" i="17"/>
  <c r="BP141" i="17" s="1"/>
  <c r="Q254" i="17"/>
  <c r="BU254" i="17" s="1"/>
  <c r="M288" i="17"/>
  <c r="BQ288" i="17" s="1"/>
  <c r="L191" i="17"/>
  <c r="AZ191" i="17" s="1"/>
  <c r="BH191" i="17" s="1"/>
  <c r="BP191" i="17" s="1"/>
  <c r="R288" i="17"/>
  <c r="BV288" i="17" s="1"/>
  <c r="P191" i="17"/>
  <c r="BT191" i="17" s="1"/>
  <c r="Q10" i="17"/>
  <c r="BU10" i="17" s="1"/>
  <c r="P244" i="17"/>
  <c r="BT244" i="17" s="1"/>
  <c r="L25" i="17"/>
  <c r="BP25" i="17" s="1"/>
  <c r="R152" i="17"/>
  <c r="BV152" i="17" s="1"/>
  <c r="N306" i="17"/>
  <c r="BR306" i="17" s="1"/>
  <c r="N318" i="17"/>
  <c r="BR318" i="17" s="1"/>
  <c r="K244" i="17"/>
  <c r="BO244" i="17" s="1"/>
  <c r="K25" i="17"/>
  <c r="BO25" i="17" s="1"/>
  <c r="O27" i="17"/>
  <c r="BS27" i="17" s="1"/>
  <c r="Q152" i="17"/>
  <c r="BU152" i="17" s="1"/>
  <c r="M306" i="17"/>
  <c r="BQ306" i="17" s="1"/>
  <c r="K318" i="17"/>
  <c r="N244" i="17"/>
  <c r="BR244" i="17" s="1"/>
  <c r="R25" i="17"/>
  <c r="BV25" i="17" s="1"/>
  <c r="CJ25" i="17" s="1"/>
  <c r="CP25" i="17" s="1"/>
  <c r="DG25" i="17" s="1"/>
  <c r="DH25" i="17" s="1"/>
  <c r="O152" i="17"/>
  <c r="BS152" i="17" s="1"/>
  <c r="P306" i="17"/>
  <c r="BT306" i="17" s="1"/>
  <c r="R318" i="17"/>
  <c r="K150" i="17"/>
  <c r="BO150" i="17" s="1"/>
  <c r="O72" i="17"/>
  <c r="R244" i="17"/>
  <c r="N25" i="17"/>
  <c r="BR25" i="17" s="1"/>
  <c r="L152" i="17"/>
  <c r="AZ152" i="17" s="1"/>
  <c r="BH152" i="17" s="1"/>
  <c r="BP152" i="17" s="1"/>
  <c r="L306" i="17"/>
  <c r="P318" i="17"/>
  <c r="BD318" i="17" s="1"/>
  <c r="BL318" i="17" s="1"/>
  <c r="N150" i="17"/>
  <c r="BR150" i="17" s="1"/>
  <c r="M244" i="17"/>
  <c r="BQ244" i="17" s="1"/>
  <c r="Q25" i="17"/>
  <c r="BU25" i="17" s="1"/>
  <c r="P152" i="17"/>
  <c r="BT152" i="17" s="1"/>
  <c r="O306" i="17"/>
  <c r="BS306" i="17" s="1"/>
  <c r="Q318" i="17"/>
  <c r="BU318" i="17" s="1"/>
  <c r="L150" i="17"/>
  <c r="BP150" i="17" s="1"/>
  <c r="M25" i="17"/>
  <c r="K152" i="17"/>
  <c r="BO152" i="17" s="1"/>
  <c r="K306" i="17"/>
  <c r="BO306" i="17" s="1"/>
  <c r="O318" i="17"/>
  <c r="R150" i="17"/>
  <c r="BV150" i="17" s="1"/>
  <c r="Q244" i="17"/>
  <c r="BU244" i="17" s="1"/>
  <c r="N6" i="17"/>
  <c r="BR6" i="17" s="1"/>
  <c r="L29" i="17"/>
  <c r="O144" i="17"/>
  <c r="BS144" i="17" s="1"/>
  <c r="CI144" i="17" s="1"/>
  <c r="CO144" i="17" s="1"/>
  <c r="DE144" i="17" s="1"/>
  <c r="DF144" i="17" s="1"/>
  <c r="Q229" i="17"/>
  <c r="BU229" i="17" s="1"/>
  <c r="P164" i="17"/>
  <c r="BT164" i="17" s="1"/>
  <c r="N157" i="17"/>
  <c r="BR157" i="17" s="1"/>
  <c r="L100" i="17"/>
  <c r="BP100" i="17" s="1"/>
  <c r="R257" i="17"/>
  <c r="BV257" i="17" s="1"/>
  <c r="K281" i="17"/>
  <c r="BO281" i="17" s="1"/>
  <c r="R293" i="17"/>
  <c r="BV293" i="17" s="1"/>
  <c r="N76" i="17"/>
  <c r="BR76" i="17" s="1"/>
  <c r="M90" i="17"/>
  <c r="BQ90" i="17" s="1"/>
  <c r="N207" i="17"/>
  <c r="O38" i="17"/>
  <c r="BS38" i="17" s="1"/>
  <c r="K308" i="17"/>
  <c r="R104" i="17"/>
  <c r="BV104" i="17" s="1"/>
  <c r="L10" i="17"/>
  <c r="BP10" i="17" s="1"/>
  <c r="P269" i="17"/>
  <c r="BT269" i="17" s="1"/>
  <c r="N11" i="17"/>
  <c r="BR11" i="17" s="1"/>
  <c r="M292" i="17"/>
  <c r="BQ292" i="17" s="1"/>
  <c r="N274" i="17"/>
  <c r="BR274" i="17" s="1"/>
  <c r="O208" i="17"/>
  <c r="BS208" i="17" s="1"/>
  <c r="N184" i="17"/>
  <c r="BR184" i="17" s="1"/>
  <c r="L34" i="17"/>
  <c r="BP34" i="17" s="1"/>
  <c r="K164" i="17"/>
  <c r="BO164" i="17" s="1"/>
  <c r="K258" i="17"/>
  <c r="BO258" i="17" s="1"/>
  <c r="L215" i="17"/>
  <c r="AZ215" i="17" s="1"/>
  <c r="BH215" i="17" s="1"/>
  <c r="BP215" i="17" s="1"/>
  <c r="P100" i="17"/>
  <c r="BT100" i="17" s="1"/>
  <c r="O281" i="17"/>
  <c r="BS281" i="17" s="1"/>
  <c r="O222" i="17"/>
  <c r="BS222" i="17" s="1"/>
  <c r="R76" i="17"/>
  <c r="BV76" i="17" s="1"/>
  <c r="Q90" i="17"/>
  <c r="BU90" i="17" s="1"/>
  <c r="R207" i="17"/>
  <c r="BV207" i="17" s="1"/>
  <c r="K38" i="17"/>
  <c r="O308" i="17"/>
  <c r="BS308" i="17" s="1"/>
  <c r="N104" i="17"/>
  <c r="BR104" i="17" s="1"/>
  <c r="O10" i="17"/>
  <c r="BS10" i="17" s="1"/>
  <c r="K269" i="17"/>
  <c r="BO269" i="17" s="1"/>
  <c r="R311" i="17"/>
  <c r="BV311" i="17" s="1"/>
  <c r="R106" i="17"/>
  <c r="BV106" i="17" s="1"/>
  <c r="L316" i="17"/>
  <c r="BP316" i="17" s="1"/>
  <c r="L11" i="17"/>
  <c r="Q292" i="17"/>
  <c r="BU292" i="17" s="1"/>
  <c r="K208" i="17"/>
  <c r="BO208" i="17" s="1"/>
  <c r="P184" i="17"/>
  <c r="BT184" i="17" s="1"/>
  <c r="M34" i="17"/>
  <c r="BQ34" i="17" s="1"/>
  <c r="Q106" i="17"/>
  <c r="BU106" i="17" s="1"/>
  <c r="P316" i="17"/>
  <c r="N208" i="17"/>
  <c r="BR208" i="17" s="1"/>
  <c r="K10" i="17"/>
  <c r="BO10" i="17" s="1"/>
  <c r="K203" i="17"/>
  <c r="BO203" i="17" s="1"/>
  <c r="Q7" i="17"/>
  <c r="R164" i="17"/>
  <c r="N266" i="17"/>
  <c r="BR266" i="17" s="1"/>
  <c r="O100" i="17"/>
  <c r="BS100" i="17" s="1"/>
  <c r="Q76" i="17"/>
  <c r="BU76" i="17" s="1"/>
  <c r="O90" i="17"/>
  <c r="BS90" i="17" s="1"/>
  <c r="M207" i="17"/>
  <c r="BQ207" i="17" s="1"/>
  <c r="P38" i="17"/>
  <c r="BT38" i="17" s="1"/>
  <c r="CH38" i="17" s="1"/>
  <c r="CN38" i="17" s="1"/>
  <c r="DC38" i="17" s="1"/>
  <c r="DD38" i="17" s="1"/>
  <c r="N308" i="17"/>
  <c r="M104" i="17"/>
  <c r="BQ104" i="17" s="1"/>
  <c r="N10" i="17"/>
  <c r="BR10" i="17" s="1"/>
  <c r="Q311" i="17"/>
  <c r="BU311" i="17" s="1"/>
  <c r="P106" i="17"/>
  <c r="BT106" i="17" s="1"/>
  <c r="O316" i="17"/>
  <c r="BS316" i="17" s="1"/>
  <c r="R11" i="17"/>
  <c r="R208" i="17"/>
  <c r="BV208" i="17" s="1"/>
  <c r="L90" i="17"/>
  <c r="BP90" i="17" s="1"/>
  <c r="K242" i="17"/>
  <c r="N164" i="17"/>
  <c r="BR164" i="17" s="1"/>
  <c r="R100" i="17"/>
  <c r="BV100" i="17" s="1"/>
  <c r="M281" i="17"/>
  <c r="BQ281" i="17" s="1"/>
  <c r="P76" i="17"/>
  <c r="BT76" i="17" s="1"/>
  <c r="P90" i="17"/>
  <c r="BT90" i="17" s="1"/>
  <c r="P207" i="17"/>
  <c r="BT207" i="17" s="1"/>
  <c r="R38" i="17"/>
  <c r="BV38" i="17" s="1"/>
  <c r="M308" i="17"/>
  <c r="L104" i="17"/>
  <c r="R10" i="17"/>
  <c r="BV10" i="17" s="1"/>
  <c r="L270" i="17"/>
  <c r="BP270" i="17" s="1"/>
  <c r="L311" i="17"/>
  <c r="BP311" i="17" s="1"/>
  <c r="CF311" i="17" s="1"/>
  <c r="CL311" i="17" s="1"/>
  <c r="CY311" i="17" s="1"/>
  <c r="CZ311" i="17" s="1"/>
  <c r="L106" i="17"/>
  <c r="BP106" i="17" s="1"/>
  <c r="M316" i="17"/>
  <c r="BQ316" i="17" s="1"/>
  <c r="M11" i="17"/>
  <c r="M208" i="17"/>
  <c r="BQ208" i="17" s="1"/>
  <c r="M76" i="17"/>
  <c r="BQ76" i="17" s="1"/>
  <c r="R308" i="17"/>
  <c r="L76" i="17"/>
  <c r="K90" i="17"/>
  <c r="BO90" i="17" s="1"/>
  <c r="CE90" i="17" s="1"/>
  <c r="CK90" i="17" s="1"/>
  <c r="CW90" i="17" s="1"/>
  <c r="CX90" i="17" s="1"/>
  <c r="N102" i="17"/>
  <c r="BR102" i="17" s="1"/>
  <c r="L207" i="17"/>
  <c r="BP207" i="17" s="1"/>
  <c r="M38" i="17"/>
  <c r="BQ38" i="17" s="1"/>
  <c r="Q308" i="17"/>
  <c r="P104" i="17"/>
  <c r="BT104" i="17" s="1"/>
  <c r="M10" i="17"/>
  <c r="BQ10" i="17" s="1"/>
  <c r="P311" i="17"/>
  <c r="BT311" i="17" s="1"/>
  <c r="O106" i="17"/>
  <c r="BS106" i="17" s="1"/>
  <c r="Q316" i="17"/>
  <c r="BU316" i="17" s="1"/>
  <c r="Q11" i="17"/>
  <c r="BU11" i="17" s="1"/>
  <c r="P198" i="17"/>
  <c r="BT198" i="17" s="1"/>
  <c r="Q208" i="17"/>
  <c r="BU208" i="17" s="1"/>
  <c r="O164" i="17"/>
  <c r="BS164" i="17" s="1"/>
  <c r="K100" i="17"/>
  <c r="BO100" i="17" s="1"/>
  <c r="Q207" i="17"/>
  <c r="BU207" i="17" s="1"/>
  <c r="M242" i="17"/>
  <c r="BQ242" i="17" s="1"/>
  <c r="L164" i="17"/>
  <c r="BP164" i="17" s="1"/>
  <c r="R214" i="17"/>
  <c r="BV214" i="17" s="1"/>
  <c r="N100" i="17"/>
  <c r="BR100" i="17" s="1"/>
  <c r="L242" i="17"/>
  <c r="BP242" i="17" s="1"/>
  <c r="O53" i="17"/>
  <c r="BS53" i="17" s="1"/>
  <c r="M269" i="17"/>
  <c r="K106" i="17"/>
  <c r="BO106" i="17" s="1"/>
  <c r="N316" i="17"/>
  <c r="BR316" i="17" s="1"/>
  <c r="L171" i="17"/>
  <c r="BP171" i="17" s="1"/>
  <c r="P72" i="17"/>
  <c r="BT72" i="17" s="1"/>
  <c r="O150" i="17"/>
  <c r="BS150" i="17" s="1"/>
  <c r="L72" i="17"/>
  <c r="BP72" i="17" s="1"/>
  <c r="D6" i="32"/>
  <c r="CG15" i="40"/>
  <c r="CM15" i="40" s="1"/>
  <c r="DA15" i="40" s="1"/>
  <c r="DB15" i="40" s="1"/>
  <c r="CI65" i="40"/>
  <c r="CO65" i="40" s="1"/>
  <c r="DE65" i="40" s="1"/>
  <c r="DF65" i="40" s="1"/>
  <c r="CI141" i="40"/>
  <c r="CO141" i="40" s="1"/>
  <c r="DE141" i="40" s="1"/>
  <c r="DF141" i="40" s="1"/>
  <c r="O141" i="17"/>
  <c r="BS141" i="17" s="1"/>
  <c r="K131" i="17"/>
  <c r="BO131" i="17" s="1"/>
  <c r="N254" i="17"/>
  <c r="BR254" i="17" s="1"/>
  <c r="Q150" i="17"/>
  <c r="BU150" i="17" s="1"/>
  <c r="P251" i="17"/>
  <c r="BT251" i="17" s="1"/>
  <c r="R72" i="17"/>
  <c r="BV72" i="17" s="1"/>
  <c r="BD23" i="40"/>
  <c r="BL23" i="40" s="1"/>
  <c r="BT23" i="40"/>
  <c r="BD53" i="40"/>
  <c r="BL53" i="40" s="1"/>
  <c r="BT53" i="40"/>
  <c r="BC18" i="40"/>
  <c r="BK18" i="40" s="1"/>
  <c r="BS18" i="40"/>
  <c r="BD14" i="40"/>
  <c r="BL14" i="40" s="1"/>
  <c r="BT14" i="40" s="1"/>
  <c r="AY78" i="40"/>
  <c r="BG78" i="40" s="1"/>
  <c r="BO78" i="40"/>
  <c r="AZ111" i="40"/>
  <c r="BH111" i="40" s="1"/>
  <c r="BP111" i="40"/>
  <c r="BT99" i="40"/>
  <c r="BD99" i="40"/>
  <c r="BL99" i="40" s="1"/>
  <c r="BP79" i="40"/>
  <c r="AZ79" i="40"/>
  <c r="BH79" i="40" s="1"/>
  <c r="AZ135" i="40"/>
  <c r="BH135" i="40" s="1"/>
  <c r="BP135" i="40"/>
  <c r="BF129" i="40"/>
  <c r="BN129" i="40" s="1"/>
  <c r="BV129" i="40"/>
  <c r="BC166" i="40"/>
  <c r="BK166" i="40" s="1"/>
  <c r="BS166" i="40"/>
  <c r="BD209" i="40"/>
  <c r="BL209" i="40" s="1"/>
  <c r="BT209" i="40"/>
  <c r="BE180" i="40"/>
  <c r="BM180" i="40" s="1"/>
  <c r="BU180" i="40"/>
  <c r="BA182" i="40"/>
  <c r="BI182" i="40" s="1"/>
  <c r="BQ182" i="40"/>
  <c r="BE176" i="40"/>
  <c r="BM176" i="40" s="1"/>
  <c r="BU176" i="40"/>
  <c r="BD208" i="40"/>
  <c r="BL208" i="40" s="1"/>
  <c r="BT208" i="40"/>
  <c r="AY163" i="40"/>
  <c r="BG163" i="40" s="1"/>
  <c r="BO163" i="40"/>
  <c r="BS150" i="40"/>
  <c r="BC150" i="40"/>
  <c r="BK150" i="40" s="1"/>
  <c r="AY259" i="40"/>
  <c r="BG259" i="40" s="1"/>
  <c r="BO259" i="40"/>
  <c r="BE238" i="40"/>
  <c r="BM238" i="40" s="1"/>
  <c r="BU238" i="40"/>
  <c r="AY218" i="40"/>
  <c r="BG218" i="40" s="1"/>
  <c r="BO218" i="40"/>
  <c r="BF217" i="40"/>
  <c r="BN217" i="40" s="1"/>
  <c r="BV217" i="40"/>
  <c r="BF254" i="40"/>
  <c r="BN254" i="40" s="1"/>
  <c r="BV254" i="40"/>
  <c r="BB276" i="40"/>
  <c r="BJ276" i="40" s="1"/>
  <c r="BR276" i="40"/>
  <c r="BS10" i="40"/>
  <c r="BC10" i="40"/>
  <c r="BK10" i="40" s="1"/>
  <c r="BR292" i="40"/>
  <c r="BB292" i="40"/>
  <c r="BJ292" i="40" s="1"/>
  <c r="BE295" i="40"/>
  <c r="BM295" i="40" s="1"/>
  <c r="BU295" i="40"/>
  <c r="BV189" i="40"/>
  <c r="BF189" i="40"/>
  <c r="BN189" i="40" s="1"/>
  <c r="BO114" i="40"/>
  <c r="AY114" i="40"/>
  <c r="BG114" i="40" s="1"/>
  <c r="BO137" i="40"/>
  <c r="AY137" i="40"/>
  <c r="BG137" i="40" s="1"/>
  <c r="AZ165" i="40"/>
  <c r="BH165" i="40" s="1"/>
  <c r="BP165" i="40"/>
  <c r="BO13" i="40"/>
  <c r="AY13" i="40"/>
  <c r="BG13" i="40" s="1"/>
  <c r="BT22" i="40"/>
  <c r="BD22" i="40"/>
  <c r="BL22" i="40" s="1"/>
  <c r="BO74" i="40"/>
  <c r="AY74" i="40"/>
  <c r="BG74" i="40" s="1"/>
  <c r="BD96" i="40"/>
  <c r="BL96" i="40" s="1"/>
  <c r="BT96" i="40" s="1"/>
  <c r="BD94" i="40"/>
  <c r="BL94" i="40" s="1"/>
  <c r="BT94" i="40"/>
  <c r="BF145" i="40"/>
  <c r="BN145" i="40" s="1"/>
  <c r="BV145" i="40"/>
  <c r="AY132" i="40"/>
  <c r="BG132" i="40" s="1"/>
  <c r="BO132" i="40"/>
  <c r="BV88" i="40"/>
  <c r="BF88" i="40"/>
  <c r="BN88" i="40" s="1"/>
  <c r="BA89" i="40"/>
  <c r="BI89" i="40" s="1"/>
  <c r="BQ89" i="40"/>
  <c r="BF140" i="40"/>
  <c r="BN140" i="40" s="1"/>
  <c r="BV140" i="40"/>
  <c r="BP133" i="40"/>
  <c r="AZ133" i="40"/>
  <c r="BH133" i="40" s="1"/>
  <c r="BF84" i="40"/>
  <c r="BN84" i="40" s="1"/>
  <c r="BV84" i="40"/>
  <c r="BV159" i="40"/>
  <c r="BF159" i="40"/>
  <c r="BN159" i="40" s="1"/>
  <c r="AZ210" i="40"/>
  <c r="BH210" i="40" s="1"/>
  <c r="BP210" i="40"/>
  <c r="AZ178" i="40"/>
  <c r="BH178" i="40" s="1"/>
  <c r="BP178" i="40"/>
  <c r="BC160" i="40"/>
  <c r="BK160" i="40" s="1"/>
  <c r="BS160" i="40" s="1"/>
  <c r="BV191" i="40"/>
  <c r="BF191" i="40"/>
  <c r="BN191" i="40" s="1"/>
  <c r="BF153" i="40"/>
  <c r="BN153" i="40" s="1"/>
  <c r="BV153" i="40"/>
  <c r="BT175" i="40"/>
  <c r="BD175" i="40"/>
  <c r="BL175" i="40" s="1"/>
  <c r="BB267" i="40"/>
  <c r="BJ267" i="40" s="1"/>
  <c r="BR267" i="40"/>
  <c r="AY266" i="40"/>
  <c r="BG266" i="40" s="1"/>
  <c r="BO266" i="40"/>
  <c r="BD244" i="40"/>
  <c r="BL244" i="40" s="1"/>
  <c r="BT244" i="40"/>
  <c r="BB235" i="40"/>
  <c r="BJ235" i="40" s="1"/>
  <c r="BR235" i="40"/>
  <c r="BD285" i="40"/>
  <c r="BL285" i="40" s="1"/>
  <c r="BT285" i="40"/>
  <c r="BR252" i="40"/>
  <c r="BB252" i="40"/>
  <c r="BJ252" i="40" s="1"/>
  <c r="BU253" i="40"/>
  <c r="BE253" i="40"/>
  <c r="BM253" i="40" s="1"/>
  <c r="AY262" i="40"/>
  <c r="BG262" i="40" s="1"/>
  <c r="BO262" i="40"/>
  <c r="BB313" i="40"/>
  <c r="BJ313" i="40" s="1"/>
  <c r="BR313" i="40"/>
  <c r="BE152" i="40"/>
  <c r="BM152" i="40" s="1"/>
  <c r="BU152" i="40"/>
  <c r="BB311" i="40"/>
  <c r="BJ311" i="40" s="1"/>
  <c r="BR311" i="40"/>
  <c r="BO236" i="40"/>
  <c r="AY236" i="40"/>
  <c r="BG236" i="40" s="1"/>
  <c r="BD229" i="40"/>
  <c r="BL229" i="40" s="1"/>
  <c r="BT229" i="40"/>
  <c r="AY233" i="40"/>
  <c r="BG233" i="40" s="1"/>
  <c r="BO233" i="40" s="1"/>
  <c r="BB314" i="40"/>
  <c r="BJ314" i="40" s="1"/>
  <c r="BR314" i="40"/>
  <c r="BB8" i="40"/>
  <c r="BJ8" i="40" s="1"/>
  <c r="BR8" i="40"/>
  <c r="BP77" i="40"/>
  <c r="AZ77" i="40"/>
  <c r="BH77" i="40" s="1"/>
  <c r="BC47" i="40"/>
  <c r="BK47" i="40" s="1"/>
  <c r="BS47" i="40"/>
  <c r="BB44" i="40"/>
  <c r="BJ44" i="40" s="1"/>
  <c r="BR44" i="40"/>
  <c r="BO86" i="40"/>
  <c r="AY86" i="40"/>
  <c r="BG86" i="40" s="1"/>
  <c r="AY134" i="40"/>
  <c r="BG134" i="40" s="1"/>
  <c r="BO134" i="40"/>
  <c r="AZ148" i="40"/>
  <c r="BH148" i="40" s="1"/>
  <c r="BP148" i="40"/>
  <c r="BA100" i="40"/>
  <c r="BI100" i="40" s="1"/>
  <c r="BQ100" i="40"/>
  <c r="BE130" i="40"/>
  <c r="BM130" i="40" s="1"/>
  <c r="BU130" i="40"/>
  <c r="BP81" i="40"/>
  <c r="AZ81" i="40"/>
  <c r="BH81" i="40" s="1"/>
  <c r="BC142" i="40"/>
  <c r="BK142" i="40" s="1"/>
  <c r="BS142" i="40"/>
  <c r="BT146" i="40"/>
  <c r="BD146" i="40"/>
  <c r="BL146" i="40" s="1"/>
  <c r="BF212" i="40"/>
  <c r="BN212" i="40" s="1"/>
  <c r="BV212" i="40"/>
  <c r="BB170" i="40"/>
  <c r="BJ170" i="40" s="1"/>
  <c r="BR170" i="40"/>
  <c r="BC158" i="40"/>
  <c r="BK158" i="40" s="1"/>
  <c r="BS158" i="40"/>
  <c r="BT171" i="40"/>
  <c r="BD171" i="40"/>
  <c r="BL171" i="40" s="1"/>
  <c r="BD164" i="40"/>
  <c r="BL164" i="40" s="1"/>
  <c r="BT164" i="40"/>
  <c r="BU184" i="40"/>
  <c r="BE184" i="40"/>
  <c r="BM184" i="40" s="1"/>
  <c r="AY222" i="40"/>
  <c r="BG222" i="40" s="1"/>
  <c r="BO222" i="40" s="1"/>
  <c r="BE227" i="40"/>
  <c r="BM227" i="40" s="1"/>
  <c r="BU227" i="40"/>
  <c r="BF261" i="40"/>
  <c r="BN261" i="40" s="1"/>
  <c r="BV261" i="40"/>
  <c r="BD264" i="40"/>
  <c r="BL264" i="40" s="1"/>
  <c r="BT264" i="40"/>
  <c r="BB239" i="40"/>
  <c r="BJ239" i="40" s="1"/>
  <c r="BR239" i="40"/>
  <c r="BC291" i="40"/>
  <c r="BK291" i="40" s="1"/>
  <c r="BS291" i="40"/>
  <c r="BQ28" i="40"/>
  <c r="BA28" i="40"/>
  <c r="BI28" i="40" s="1"/>
  <c r="BB305" i="40"/>
  <c r="BJ305" i="40" s="1"/>
  <c r="BR305" i="40"/>
  <c r="BQ126" i="40"/>
  <c r="BA126" i="40"/>
  <c r="BI126" i="40" s="1"/>
  <c r="AZ120" i="40"/>
  <c r="BH120" i="40" s="1"/>
  <c r="BP120" i="40"/>
  <c r="AZ188" i="40"/>
  <c r="BH188" i="40" s="1"/>
  <c r="BP188" i="40"/>
  <c r="BU52" i="40"/>
  <c r="BE52" i="40"/>
  <c r="BM52" i="40" s="1"/>
  <c r="BD33" i="40"/>
  <c r="BL33" i="40" s="1"/>
  <c r="BT33" i="40"/>
  <c r="BC26" i="40"/>
  <c r="BK26" i="40" s="1"/>
  <c r="BS26" i="40"/>
  <c r="BB54" i="40"/>
  <c r="BJ54" i="40" s="1"/>
  <c r="BR54" i="40"/>
  <c r="BB56" i="40"/>
  <c r="BJ56" i="40" s="1"/>
  <c r="BR56" i="40"/>
  <c r="BF69" i="40"/>
  <c r="BN69" i="40" s="1"/>
  <c r="BV69" i="40"/>
  <c r="BF24" i="40"/>
  <c r="BN24" i="40" s="1"/>
  <c r="BV24" i="40"/>
  <c r="BC85" i="40"/>
  <c r="BK85" i="40" s="1"/>
  <c r="BS85" i="40"/>
  <c r="BU106" i="40"/>
  <c r="BE106" i="40"/>
  <c r="BM106" i="40" s="1"/>
  <c r="BO128" i="40"/>
  <c r="AY128" i="40"/>
  <c r="BG128" i="40" s="1"/>
  <c r="BS131" i="40"/>
  <c r="BC131" i="40"/>
  <c r="BK131" i="40" s="1"/>
  <c r="BE97" i="40"/>
  <c r="BM97" i="40" s="1"/>
  <c r="BU97" i="40"/>
  <c r="BP115" i="40"/>
  <c r="AZ115" i="40"/>
  <c r="BH115" i="40" s="1"/>
  <c r="BU149" i="40"/>
  <c r="BE149" i="40"/>
  <c r="BM149" i="40" s="1"/>
  <c r="AZ167" i="40"/>
  <c r="BH167" i="40" s="1"/>
  <c r="BP167" i="40" s="1"/>
  <c r="BD203" i="40"/>
  <c r="BL203" i="40" s="1"/>
  <c r="BT203" i="40"/>
  <c r="BP179" i="40"/>
  <c r="AZ179" i="40"/>
  <c r="BH179" i="40" s="1"/>
  <c r="AZ197" i="40"/>
  <c r="BH197" i="40" s="1"/>
  <c r="BP197" i="40"/>
  <c r="BB192" i="40"/>
  <c r="BJ192" i="40" s="1"/>
  <c r="BR192" i="40"/>
  <c r="BF157" i="40"/>
  <c r="BN157" i="40" s="1"/>
  <c r="BV157" i="40"/>
  <c r="BU248" i="40"/>
  <c r="BE248" i="40"/>
  <c r="BM248" i="40" s="1"/>
  <c r="BO251" i="40"/>
  <c r="AY251" i="40"/>
  <c r="BG251" i="40" s="1"/>
  <c r="BA237" i="40"/>
  <c r="BI237" i="40" s="1"/>
  <c r="BQ237" i="40"/>
  <c r="BC246" i="40"/>
  <c r="BK246" i="40" s="1"/>
  <c r="BS246" i="40"/>
  <c r="BT280" i="40"/>
  <c r="BD280" i="40"/>
  <c r="BL280" i="40" s="1"/>
  <c r="BV225" i="40"/>
  <c r="BF225" i="40"/>
  <c r="BN225" i="40" s="1"/>
  <c r="BF269" i="40"/>
  <c r="BN269" i="40" s="1"/>
  <c r="BV269" i="40"/>
  <c r="AY230" i="40"/>
  <c r="BG230" i="40" s="1"/>
  <c r="BO230" i="40"/>
  <c r="BD221" i="40"/>
  <c r="BL221" i="40" s="1"/>
  <c r="BT221" i="40"/>
  <c r="BD224" i="40"/>
  <c r="BL224" i="40" s="1"/>
  <c r="BT224" i="40"/>
  <c r="AZ5" i="40"/>
  <c r="BH5" i="40" s="1"/>
  <c r="BP5" i="40"/>
  <c r="BF296" i="40"/>
  <c r="BN296" i="40" s="1"/>
  <c r="BV296" i="40"/>
  <c r="BF310" i="40"/>
  <c r="BN310" i="40" s="1"/>
  <c r="BV310" i="40"/>
  <c r="BD162" i="40"/>
  <c r="BL162" i="40" s="1"/>
  <c r="BT162" i="40"/>
  <c r="BP202" i="40"/>
  <c r="AZ202" i="40"/>
  <c r="BH202" i="40" s="1"/>
  <c r="BC273" i="40"/>
  <c r="BK273" i="40" s="1"/>
  <c r="BS273" i="40"/>
  <c r="BU284" i="40"/>
  <c r="BE284" i="40"/>
  <c r="BM284" i="40" s="1"/>
  <c r="AY123" i="40"/>
  <c r="BG123" i="40" s="1"/>
  <c r="BO123" i="40"/>
  <c r="BB63" i="40"/>
  <c r="BJ63" i="40" s="1"/>
  <c r="BR63" i="40"/>
  <c r="BD223" i="40"/>
  <c r="BL223" i="40" s="1"/>
  <c r="BT223" i="40"/>
  <c r="BU29" i="40"/>
  <c r="BE29" i="40"/>
  <c r="BM29" i="40" s="1"/>
  <c r="BC20" i="40"/>
  <c r="BK20" i="40" s="1"/>
  <c r="BS20" i="40"/>
  <c r="BA6" i="40"/>
  <c r="BI6" i="40" s="1"/>
  <c r="BQ6" i="40"/>
  <c r="AZ34" i="40"/>
  <c r="BH34" i="40" s="1"/>
  <c r="BP34" i="40"/>
  <c r="BF71" i="40"/>
  <c r="BN71" i="40" s="1"/>
  <c r="BV71" i="40"/>
  <c r="CE15" i="40"/>
  <c r="CK15" i="40" s="1"/>
  <c r="CW15" i="40" s="1"/>
  <c r="CX15" i="40" s="1"/>
  <c r="BD30" i="40"/>
  <c r="BL30" i="40" s="1"/>
  <c r="BT30" i="40"/>
  <c r="BD11" i="40"/>
  <c r="BL11" i="40" s="1"/>
  <c r="BT11" i="40"/>
  <c r="BD42" i="40"/>
  <c r="BL42" i="40" s="1"/>
  <c r="BT42" i="40"/>
  <c r="BE119" i="40"/>
  <c r="BM119" i="40" s="1"/>
  <c r="BU119" i="40"/>
  <c r="BV92" i="40"/>
  <c r="BF92" i="40"/>
  <c r="BN92" i="40" s="1"/>
  <c r="BD104" i="40"/>
  <c r="BL104" i="40" s="1"/>
  <c r="BT104" i="40"/>
  <c r="BD113" i="40"/>
  <c r="BL113" i="40" s="1"/>
  <c r="BT113" i="40"/>
  <c r="BF143" i="40"/>
  <c r="BN143" i="40" s="1"/>
  <c r="BV143" i="40"/>
  <c r="BF215" i="40"/>
  <c r="BN215" i="40" s="1"/>
  <c r="BV215" i="40"/>
  <c r="AY186" i="40"/>
  <c r="BG186" i="40" s="1"/>
  <c r="BO186" i="40"/>
  <c r="AZ172" i="40"/>
  <c r="BH172" i="40" s="1"/>
  <c r="BP172" i="40" s="1"/>
  <c r="BC211" i="40"/>
  <c r="BK211" i="40" s="1"/>
  <c r="BS211" i="40"/>
  <c r="BC181" i="40"/>
  <c r="BK181" i="40" s="1"/>
  <c r="BS181" i="40"/>
  <c r="BD260" i="40"/>
  <c r="BL260" i="40" s="1"/>
  <c r="BT260" i="40"/>
  <c r="AZ257" i="40"/>
  <c r="BH257" i="40" s="1"/>
  <c r="BP257" i="40"/>
  <c r="BB271" i="40"/>
  <c r="BJ271" i="40" s="1"/>
  <c r="BR271" i="40"/>
  <c r="BV282" i="40"/>
  <c r="BF282" i="40"/>
  <c r="BN282" i="40" s="1"/>
  <c r="BA275" i="40"/>
  <c r="BI275" i="40" s="1"/>
  <c r="BQ275" i="40"/>
  <c r="BC247" i="40"/>
  <c r="BK247" i="40" s="1"/>
  <c r="BS247" i="40"/>
  <c r="BD103" i="40"/>
  <c r="BL103" i="40" s="1"/>
  <c r="BT103" i="40"/>
  <c r="AZ307" i="40"/>
  <c r="BH307" i="40" s="1"/>
  <c r="BP307" i="40"/>
  <c r="AZ226" i="40"/>
  <c r="BH226" i="40" s="1"/>
  <c r="BP226" i="40"/>
  <c r="BF268" i="40"/>
  <c r="BN268" i="40" s="1"/>
  <c r="BV268" i="40"/>
  <c r="BV80" i="40"/>
  <c r="BF80" i="40"/>
  <c r="BN80" i="40" s="1"/>
  <c r="AY25" i="40"/>
  <c r="BG25" i="40" s="1"/>
  <c r="BO25" i="40"/>
  <c r="BB75" i="40"/>
  <c r="BJ75" i="40" s="1"/>
  <c r="BR75" i="40"/>
  <c r="BV72" i="40"/>
  <c r="BF72" i="40"/>
  <c r="BN72" i="40" s="1"/>
  <c r="BE64" i="40"/>
  <c r="BM64" i="40" s="1"/>
  <c r="BU64" i="40"/>
  <c r="BT49" i="40"/>
  <c r="BD49" i="40"/>
  <c r="BL49" i="40" s="1"/>
  <c r="BD27" i="40"/>
  <c r="BL27" i="40" s="1"/>
  <c r="BT27" i="40"/>
  <c r="BV138" i="40"/>
  <c r="BF138" i="40"/>
  <c r="BN138" i="40" s="1"/>
  <c r="BD105" i="40"/>
  <c r="BL105" i="40" s="1"/>
  <c r="BT105" i="40"/>
  <c r="BB108" i="40"/>
  <c r="BJ108" i="40" s="1"/>
  <c r="BR108" i="40"/>
  <c r="AZ95" i="40"/>
  <c r="BH95" i="40" s="1"/>
  <c r="BP95" i="40"/>
  <c r="BB91" i="40"/>
  <c r="BJ91" i="40" s="1"/>
  <c r="BR91" i="40" s="1"/>
  <c r="BD139" i="40"/>
  <c r="BL139" i="40" s="1"/>
  <c r="BT139" i="40"/>
  <c r="BO121" i="40"/>
  <c r="AY121" i="40"/>
  <c r="BG121" i="40" s="1"/>
  <c r="BV147" i="40"/>
  <c r="BF147" i="40"/>
  <c r="BN147" i="40" s="1"/>
  <c r="BP193" i="40"/>
  <c r="AZ193" i="40"/>
  <c r="BH193" i="40" s="1"/>
  <c r="BQ200" i="40"/>
  <c r="BA200" i="40"/>
  <c r="BI200" i="40" s="1"/>
  <c r="BU213" i="40"/>
  <c r="BE213" i="40"/>
  <c r="BM213" i="40" s="1"/>
  <c r="BT185" i="40"/>
  <c r="BD185" i="40"/>
  <c r="BL185" i="40" s="1"/>
  <c r="BT190" i="40"/>
  <c r="BD190" i="40"/>
  <c r="BL190" i="40" s="1"/>
  <c r="BE161" i="40"/>
  <c r="BM161" i="40" s="1"/>
  <c r="BU161" i="40"/>
  <c r="AZ198" i="40"/>
  <c r="BH198" i="40" s="1"/>
  <c r="BP198" i="40"/>
  <c r="BP173" i="40"/>
  <c r="AZ173" i="40"/>
  <c r="BH173" i="40" s="1"/>
  <c r="AZ219" i="40"/>
  <c r="BH219" i="40" s="1"/>
  <c r="BP219" i="40" s="1"/>
  <c r="BF231" i="40"/>
  <c r="BN231" i="40" s="1"/>
  <c r="BV231" i="40"/>
  <c r="BA281" i="40"/>
  <c r="BI281" i="40" s="1"/>
  <c r="BQ281" i="40"/>
  <c r="BU241" i="40"/>
  <c r="BE241" i="40"/>
  <c r="BM241" i="40" s="1"/>
  <c r="BD220" i="40"/>
  <c r="BL220" i="40" s="1"/>
  <c r="BT220" i="40" s="1"/>
  <c r="BB250" i="40"/>
  <c r="BJ250" i="40" s="1"/>
  <c r="BR250" i="40"/>
  <c r="AZ272" i="40"/>
  <c r="BH272" i="40" s="1"/>
  <c r="BP272" i="40"/>
  <c r="BE240" i="40"/>
  <c r="BM240" i="40" s="1"/>
  <c r="BU240" i="40" s="1"/>
  <c r="BS298" i="40"/>
  <c r="BC298" i="40"/>
  <c r="BK298" i="40" s="1"/>
  <c r="BE318" i="40"/>
  <c r="BM318" i="40" s="1"/>
  <c r="BU318" i="40"/>
  <c r="BR206" i="40"/>
  <c r="BB206" i="40"/>
  <c r="BJ206" i="40" s="1"/>
  <c r="BC154" i="40"/>
  <c r="BK154" i="40" s="1"/>
  <c r="BS154" i="40"/>
  <c r="BF199" i="40"/>
  <c r="BN199" i="40" s="1"/>
  <c r="BV199" i="40"/>
  <c r="BC136" i="40"/>
  <c r="BK136" i="40" s="1"/>
  <c r="BS136" i="40"/>
  <c r="BF45" i="40"/>
  <c r="BN45" i="40" s="1"/>
  <c r="BV45" i="40"/>
  <c r="BT309" i="40"/>
  <c r="BD309" i="40"/>
  <c r="BL309" i="40" s="1"/>
  <c r="BT234" i="40"/>
  <c r="BD234" i="40"/>
  <c r="BL234" i="40" s="1"/>
  <c r="CJ65" i="40"/>
  <c r="CP65" i="40" s="1"/>
  <c r="DG65" i="40" s="1"/>
  <c r="DH65" i="40" s="1"/>
  <c r="BB38" i="40"/>
  <c r="BJ38" i="40" s="1"/>
  <c r="BR38" i="40"/>
  <c r="AZ12" i="40"/>
  <c r="BH12" i="40" s="1"/>
  <c r="BP12" i="40"/>
  <c r="BD76" i="40"/>
  <c r="BL76" i="40" s="1"/>
  <c r="BT76" i="40"/>
  <c r="BC51" i="40"/>
  <c r="BK51" i="40" s="1"/>
  <c r="BS51" i="40"/>
  <c r="BT66" i="40"/>
  <c r="BD66" i="40"/>
  <c r="BL66" i="40" s="1"/>
  <c r="BB16" i="40"/>
  <c r="BJ16" i="40" s="1"/>
  <c r="BR16" i="40"/>
  <c r="BT117" i="40"/>
  <c r="BD117" i="40"/>
  <c r="BL117" i="40" s="1"/>
  <c r="BD125" i="40"/>
  <c r="BL125" i="40" s="1"/>
  <c r="BT125" i="40"/>
  <c r="BB102" i="40"/>
  <c r="BJ102" i="40" s="1"/>
  <c r="BR102" i="40"/>
  <c r="AY82" i="40"/>
  <c r="BG82" i="40" s="1"/>
  <c r="BO82" i="40"/>
  <c r="BA118" i="40"/>
  <c r="BI118" i="40" s="1"/>
  <c r="BQ118" i="40"/>
  <c r="BS168" i="40"/>
  <c r="BC168" i="40"/>
  <c r="BK168" i="40" s="1"/>
  <c r="BU183" i="40"/>
  <c r="BE183" i="40"/>
  <c r="BM183" i="40" s="1"/>
  <c r="BE196" i="40"/>
  <c r="BM196" i="40" s="1"/>
  <c r="BU196" i="40" s="1"/>
  <c r="BE270" i="40"/>
  <c r="BM270" i="40" s="1"/>
  <c r="BU270" i="40"/>
  <c r="BA278" i="40"/>
  <c r="BI278" i="40" s="1"/>
  <c r="BQ278" i="40"/>
  <c r="BD228" i="40"/>
  <c r="BL228" i="40" s="1"/>
  <c r="BT228" i="40"/>
  <c r="BE249" i="40"/>
  <c r="BM249" i="40" s="1"/>
  <c r="BU249" i="40"/>
  <c r="BD274" i="40"/>
  <c r="BL274" i="40" s="1"/>
  <c r="BT274" i="40"/>
  <c r="BA232" i="40"/>
  <c r="BI232" i="40" s="1"/>
  <c r="BQ232" i="40"/>
  <c r="BA255" i="40"/>
  <c r="BI255" i="40" s="1"/>
  <c r="BQ255" i="40"/>
  <c r="BA293" i="40"/>
  <c r="BI293" i="40" s="1"/>
  <c r="BQ293" i="40"/>
  <c r="AZ289" i="40"/>
  <c r="BH289" i="40" s="1"/>
  <c r="BP289" i="40"/>
  <c r="BS316" i="40"/>
  <c r="BC316" i="40"/>
  <c r="BK316" i="40" s="1"/>
  <c r="AZ194" i="40"/>
  <c r="BH194" i="40" s="1"/>
  <c r="BP194" i="40" s="1"/>
  <c r="BT174" i="40"/>
  <c r="BD174" i="40"/>
  <c r="BL174" i="40" s="1"/>
  <c r="AZ315" i="40"/>
  <c r="BH315" i="40" s="1"/>
  <c r="BP315" i="40"/>
  <c r="BB83" i="40"/>
  <c r="BJ83" i="40" s="1"/>
  <c r="BR83" i="40"/>
  <c r="BU41" i="40"/>
  <c r="BE41" i="40"/>
  <c r="BM41" i="40" s="1"/>
  <c r="CJ141" i="40"/>
  <c r="CP141" i="40" s="1"/>
  <c r="DG141" i="40" s="1"/>
  <c r="DH141" i="40" s="1"/>
  <c r="BS9" i="40"/>
  <c r="BC9" i="40"/>
  <c r="BK9" i="40" s="1"/>
  <c r="BV303" i="40"/>
  <c r="BF303" i="40"/>
  <c r="BN303" i="40" s="1"/>
  <c r="BB46" i="40"/>
  <c r="BJ46" i="40" s="1"/>
  <c r="BR46" i="40"/>
  <c r="BT32" i="40"/>
  <c r="BD32" i="40"/>
  <c r="BL32" i="40" s="1"/>
  <c r="BP73" i="40"/>
  <c r="AZ73" i="40"/>
  <c r="BH73" i="40" s="1"/>
  <c r="BA61" i="40"/>
  <c r="BI61" i="40" s="1"/>
  <c r="BQ61" i="40" s="1"/>
  <c r="BV37" i="40"/>
  <c r="BF37" i="40"/>
  <c r="BN37" i="40" s="1"/>
  <c r="BO60" i="40"/>
  <c r="AY60" i="40"/>
  <c r="BG60" i="40" s="1"/>
  <c r="BB57" i="40"/>
  <c r="BJ57" i="40" s="1"/>
  <c r="BR57" i="40"/>
  <c r="BT70" i="40"/>
  <c r="BD70" i="40"/>
  <c r="BL70" i="40" s="1"/>
  <c r="BA144" i="40"/>
  <c r="BI144" i="40" s="1"/>
  <c r="BQ144" i="40"/>
  <c r="AY107" i="40"/>
  <c r="BG107" i="40" s="1"/>
  <c r="BO107" i="40"/>
  <c r="BB122" i="40"/>
  <c r="BJ122" i="40" s="1"/>
  <c r="BR122" i="40"/>
  <c r="BE87" i="40"/>
  <c r="BM87" i="40" s="1"/>
  <c r="BU87" i="40"/>
  <c r="BF110" i="40"/>
  <c r="BN110" i="40" s="1"/>
  <c r="BV110" i="40"/>
  <c r="AZ109" i="40"/>
  <c r="BH109" i="40" s="1"/>
  <c r="BP109" i="40" s="1"/>
  <c r="BA124" i="40"/>
  <c r="BI124" i="40" s="1"/>
  <c r="BQ124" i="40"/>
  <c r="BD214" i="40"/>
  <c r="BL214" i="40" s="1"/>
  <c r="BT214" i="40"/>
  <c r="BC195" i="40"/>
  <c r="BK195" i="40" s="1"/>
  <c r="BS195" i="40"/>
  <c r="AZ151" i="40"/>
  <c r="BH151" i="40" s="1"/>
  <c r="BP151" i="40"/>
  <c r="BF201" i="40"/>
  <c r="BN201" i="40" s="1"/>
  <c r="BV201" i="40"/>
  <c r="BB156" i="40"/>
  <c r="BJ156" i="40" s="1"/>
  <c r="BR156" i="40"/>
  <c r="BU177" i="40"/>
  <c r="BE177" i="40"/>
  <c r="BM177" i="40" s="1"/>
  <c r="BR169" i="40"/>
  <c r="BB169" i="40"/>
  <c r="BJ169" i="40" s="1"/>
  <c r="BF279" i="40"/>
  <c r="BN279" i="40" s="1"/>
  <c r="BV279" i="40"/>
  <c r="BC242" i="40"/>
  <c r="BK242" i="40" s="1"/>
  <c r="BS242" i="40"/>
  <c r="BD265" i="40"/>
  <c r="BL265" i="40" s="1"/>
  <c r="BT265" i="40"/>
  <c r="BD283" i="40"/>
  <c r="BL283" i="40" s="1"/>
  <c r="BT283" i="40"/>
  <c r="AZ277" i="40"/>
  <c r="BH277" i="40" s="1"/>
  <c r="BP277" i="40"/>
  <c r="BF258" i="40"/>
  <c r="BN258" i="40" s="1"/>
  <c r="BV258" i="40"/>
  <c r="BV31" i="40"/>
  <c r="BF31" i="40"/>
  <c r="BN31" i="40" s="1"/>
  <c r="BF288" i="40"/>
  <c r="BN288" i="40" s="1"/>
  <c r="BV288" i="40"/>
  <c r="BR308" i="40"/>
  <c r="BB308" i="40"/>
  <c r="BJ308" i="40" s="1"/>
  <c r="BC302" i="40"/>
  <c r="BK302" i="40" s="1"/>
  <c r="BS302" i="40"/>
  <c r="BO39" i="40"/>
  <c r="AY39" i="40"/>
  <c r="BG39" i="40" s="1"/>
  <c r="BT59" i="40"/>
  <c r="BD59" i="40"/>
  <c r="BL59" i="40" s="1"/>
  <c r="AZ112" i="40"/>
  <c r="BH112" i="40" s="1"/>
  <c r="BP112" i="40" s="1"/>
  <c r="BF245" i="40"/>
  <c r="BN245" i="40" s="1"/>
  <c r="BV245" i="40"/>
  <c r="BB155" i="40"/>
  <c r="BJ155" i="40" s="1"/>
  <c r="BR155" i="40"/>
  <c r="BP187" i="40"/>
  <c r="AZ187" i="40"/>
  <c r="BH187" i="40" s="1"/>
  <c r="BO35" i="40"/>
  <c r="AY35" i="40"/>
  <c r="BG35" i="40" s="1"/>
  <c r="BT7" i="40"/>
  <c r="BD7" i="40"/>
  <c r="BL7" i="40" s="1"/>
  <c r="BU67" i="40"/>
  <c r="BE67" i="40"/>
  <c r="BM67" i="40" s="1"/>
  <c r="L174" i="17"/>
  <c r="BP174" i="17" s="1"/>
  <c r="N131" i="17"/>
  <c r="BR131" i="17" s="1"/>
  <c r="M150" i="17"/>
  <c r="BQ150" i="17" s="1"/>
  <c r="CF150" i="17" s="1"/>
  <c r="CL150" i="17" s="1"/>
  <c r="CY150" i="17" s="1"/>
  <c r="CZ150" i="17" s="1"/>
  <c r="Q251" i="17"/>
  <c r="BU251" i="17" s="1"/>
  <c r="N72" i="17"/>
  <c r="BR72" i="17" s="1"/>
  <c r="BB23" i="40"/>
  <c r="BJ23" i="40" s="1"/>
  <c r="BR23" i="40"/>
  <c r="BB53" i="40"/>
  <c r="BJ53" i="40" s="1"/>
  <c r="BR53" i="40"/>
  <c r="BU18" i="40"/>
  <c r="BE18" i="40"/>
  <c r="BM18" i="40" s="1"/>
  <c r="BB14" i="40"/>
  <c r="BJ14" i="40" s="1"/>
  <c r="BR14" i="40"/>
  <c r="BU78" i="40"/>
  <c r="BE78" i="40"/>
  <c r="BM78" i="40" s="1"/>
  <c r="BU99" i="40"/>
  <c r="BE99" i="40"/>
  <c r="BM99" i="40" s="1"/>
  <c r="BB79" i="40"/>
  <c r="BJ79" i="40" s="1"/>
  <c r="BR79" i="40"/>
  <c r="AY129" i="40"/>
  <c r="BG129" i="40" s="1"/>
  <c r="BO129" i="40"/>
  <c r="BA166" i="40"/>
  <c r="BI166" i="40" s="1"/>
  <c r="BQ166" i="40"/>
  <c r="BF205" i="40"/>
  <c r="BN205" i="40" s="1"/>
  <c r="BV205" i="40"/>
  <c r="BC209" i="40"/>
  <c r="BK209" i="40" s="1"/>
  <c r="BS209" i="40"/>
  <c r="BQ180" i="40"/>
  <c r="BA180" i="40"/>
  <c r="BI180" i="40" s="1"/>
  <c r="BB182" i="40"/>
  <c r="BJ182" i="40" s="1"/>
  <c r="BR182" i="40"/>
  <c r="BC176" i="40"/>
  <c r="BK176" i="40" s="1"/>
  <c r="BS176" i="40"/>
  <c r="AY208" i="40"/>
  <c r="BG208" i="40" s="1"/>
  <c r="BO208" i="40"/>
  <c r="BC163" i="40"/>
  <c r="BK163" i="40" s="1"/>
  <c r="BS163" i="40"/>
  <c r="BF150" i="40"/>
  <c r="BN150" i="40" s="1"/>
  <c r="BV150" i="40"/>
  <c r="BB259" i="40"/>
  <c r="BJ259" i="40" s="1"/>
  <c r="BR259" i="40"/>
  <c r="BP238" i="40"/>
  <c r="AZ238" i="40"/>
  <c r="BH238" i="40" s="1"/>
  <c r="BA218" i="40"/>
  <c r="BI218" i="40" s="1"/>
  <c r="BQ218" i="40"/>
  <c r="BS217" i="40"/>
  <c r="BC217" i="40"/>
  <c r="BK217" i="40" s="1"/>
  <c r="BE254" i="40"/>
  <c r="BM254" i="40" s="1"/>
  <c r="BU254" i="40"/>
  <c r="BS276" i="40"/>
  <c r="BC276" i="40"/>
  <c r="BK276" i="40" s="1"/>
  <c r="BA10" i="40"/>
  <c r="BI10" i="40" s="1"/>
  <c r="BQ10" i="40"/>
  <c r="BA292" i="40"/>
  <c r="BI292" i="40" s="1"/>
  <c r="BQ292" i="40"/>
  <c r="BD295" i="40"/>
  <c r="BL295" i="40" s="1"/>
  <c r="BT295" i="40"/>
  <c r="BA189" i="40"/>
  <c r="BI189" i="40" s="1"/>
  <c r="BQ189" i="40"/>
  <c r="BF114" i="40"/>
  <c r="BN114" i="40" s="1"/>
  <c r="BV114" i="40"/>
  <c r="BT137" i="40"/>
  <c r="BD137" i="40"/>
  <c r="BL137" i="40" s="1"/>
  <c r="BU40" i="40"/>
  <c r="BE40" i="40"/>
  <c r="BM40" i="40" s="1"/>
  <c r="BF165" i="40"/>
  <c r="BN165" i="40" s="1"/>
  <c r="BV165" i="40"/>
  <c r="BR13" i="40"/>
  <c r="BB13" i="40"/>
  <c r="BJ13" i="40" s="1"/>
  <c r="BA22" i="40"/>
  <c r="BI22" i="40" s="1"/>
  <c r="BQ22" i="40"/>
  <c r="BE74" i="40"/>
  <c r="BM74" i="40" s="1"/>
  <c r="BU74" i="40"/>
  <c r="BB96" i="40"/>
  <c r="BJ96" i="40" s="1"/>
  <c r="BR96" i="40"/>
  <c r="BP94" i="40"/>
  <c r="AZ94" i="40"/>
  <c r="BH94" i="40" s="1"/>
  <c r="BB145" i="40"/>
  <c r="BJ145" i="40" s="1"/>
  <c r="BR145" i="40"/>
  <c r="BP132" i="40"/>
  <c r="AZ132" i="40"/>
  <c r="BH132" i="40" s="1"/>
  <c r="BF101" i="40"/>
  <c r="BN101" i="40" s="1"/>
  <c r="BV101" i="40"/>
  <c r="AZ89" i="40"/>
  <c r="BH89" i="40" s="1"/>
  <c r="BP89" i="40"/>
  <c r="AZ140" i="40"/>
  <c r="BH140" i="40" s="1"/>
  <c r="BP140" i="40"/>
  <c r="BS133" i="40"/>
  <c r="BC133" i="40"/>
  <c r="BK133" i="40" s="1"/>
  <c r="BE84" i="40"/>
  <c r="BM84" i="40" s="1"/>
  <c r="BU84" i="40"/>
  <c r="AZ159" i="40"/>
  <c r="BH159" i="40" s="1"/>
  <c r="BP159" i="40"/>
  <c r="BC210" i="40"/>
  <c r="BK210" i="40" s="1"/>
  <c r="BS210" i="40"/>
  <c r="BU178" i="40"/>
  <c r="BE178" i="40"/>
  <c r="BM178" i="40" s="1"/>
  <c r="BU160" i="40"/>
  <c r="BE160" i="40"/>
  <c r="BM160" i="40" s="1"/>
  <c r="AY191" i="40"/>
  <c r="BG191" i="40" s="1"/>
  <c r="BO191" i="40"/>
  <c r="BA153" i="40"/>
  <c r="BI153" i="40" s="1"/>
  <c r="BQ153" i="40"/>
  <c r="BQ175" i="40"/>
  <c r="BA175" i="40"/>
  <c r="BI175" i="40" s="1"/>
  <c r="BV267" i="40"/>
  <c r="BF267" i="40"/>
  <c r="BN267" i="40" s="1"/>
  <c r="BB266" i="40"/>
  <c r="BJ266" i="40" s="1"/>
  <c r="BR266" i="40"/>
  <c r="BE235" i="40"/>
  <c r="BM235" i="40" s="1"/>
  <c r="BU235" i="40"/>
  <c r="BC285" i="40"/>
  <c r="BK285" i="40" s="1"/>
  <c r="BS285" i="40"/>
  <c r="BC252" i="40"/>
  <c r="BK252" i="40" s="1"/>
  <c r="BS252" i="40"/>
  <c r="BF253" i="40"/>
  <c r="BN253" i="40" s="1"/>
  <c r="BV253" i="40"/>
  <c r="BU256" i="40"/>
  <c r="BE256" i="40"/>
  <c r="BM256" i="40" s="1"/>
  <c r="BA262" i="40"/>
  <c r="BI262" i="40" s="1"/>
  <c r="BQ262" i="40" s="1"/>
  <c r="BC313" i="40"/>
  <c r="BK313" i="40" s="1"/>
  <c r="BS313" i="40"/>
  <c r="AY152" i="40"/>
  <c r="BG152" i="40" s="1"/>
  <c r="BO152" i="40"/>
  <c r="BA311" i="40"/>
  <c r="BI311" i="40" s="1"/>
  <c r="BQ311" i="40"/>
  <c r="BF236" i="40"/>
  <c r="BN236" i="40" s="1"/>
  <c r="BV236" i="40"/>
  <c r="BB229" i="40"/>
  <c r="BJ229" i="40" s="1"/>
  <c r="BR229" i="40"/>
  <c r="BA233" i="40"/>
  <c r="BI233" i="40" s="1"/>
  <c r="BQ233" i="40"/>
  <c r="BA314" i="40"/>
  <c r="BI314" i="40" s="1"/>
  <c r="BQ314" i="40"/>
  <c r="BC8" i="40"/>
  <c r="BK8" i="40" s="1"/>
  <c r="BS8" i="40"/>
  <c r="BD77" i="40"/>
  <c r="BL77" i="40" s="1"/>
  <c r="BT77" i="40"/>
  <c r="BD47" i="40"/>
  <c r="BL47" i="40" s="1"/>
  <c r="BT47" i="40" s="1"/>
  <c r="BD44" i="40"/>
  <c r="BL44" i="40" s="1"/>
  <c r="BT44" i="40" s="1"/>
  <c r="BV86" i="40"/>
  <c r="BF86" i="40"/>
  <c r="BN86" i="40" s="1"/>
  <c r="BD134" i="40"/>
  <c r="BL134" i="40" s="1"/>
  <c r="BT134" i="40"/>
  <c r="BA148" i="40"/>
  <c r="BI148" i="40" s="1"/>
  <c r="BQ148" i="40"/>
  <c r="BC100" i="40"/>
  <c r="BK100" i="40" s="1"/>
  <c r="BS100" i="40"/>
  <c r="BV130" i="40"/>
  <c r="BF130" i="40"/>
  <c r="BN130" i="40" s="1"/>
  <c r="BD81" i="40"/>
  <c r="BL81" i="40" s="1"/>
  <c r="BT81" i="40"/>
  <c r="BT142" i="40"/>
  <c r="BD142" i="40"/>
  <c r="BL142" i="40" s="1"/>
  <c r="AZ146" i="40"/>
  <c r="BH146" i="40" s="1"/>
  <c r="BP146" i="40"/>
  <c r="AY212" i="40"/>
  <c r="BG212" i="40" s="1"/>
  <c r="BO212" i="40"/>
  <c r="AZ170" i="40"/>
  <c r="BH170" i="40" s="1"/>
  <c r="BP170" i="40"/>
  <c r="BO158" i="40"/>
  <c r="AY158" i="40"/>
  <c r="BG158" i="40" s="1"/>
  <c r="BR171" i="40"/>
  <c r="BB171" i="40"/>
  <c r="BJ171" i="40" s="1"/>
  <c r="BU164" i="40"/>
  <c r="BE164" i="40"/>
  <c r="BM164" i="40" s="1"/>
  <c r="AY184" i="40"/>
  <c r="BG184" i="40" s="1"/>
  <c r="BO184" i="40"/>
  <c r="BC222" i="40"/>
  <c r="BK222" i="40" s="1"/>
  <c r="BS222" i="40"/>
  <c r="BB227" i="40"/>
  <c r="BJ227" i="40" s="1"/>
  <c r="BR227" i="40"/>
  <c r="BC261" i="40"/>
  <c r="BK261" i="40" s="1"/>
  <c r="BS261" i="40"/>
  <c r="AY264" i="40"/>
  <c r="BG264" i="40" s="1"/>
  <c r="BO264" i="40"/>
  <c r="BA239" i="40"/>
  <c r="BI239" i="40" s="1"/>
  <c r="BQ239" i="40"/>
  <c r="AZ291" i="40"/>
  <c r="BH291" i="40" s="1"/>
  <c r="BP291" i="40" s="1"/>
  <c r="BC28" i="40"/>
  <c r="BK28" i="40" s="1"/>
  <c r="BS28" i="40"/>
  <c r="AZ305" i="40"/>
  <c r="BH305" i="40" s="1"/>
  <c r="BP305" i="40"/>
  <c r="BB126" i="40"/>
  <c r="BJ126" i="40" s="1"/>
  <c r="BR126" i="40"/>
  <c r="BC120" i="40"/>
  <c r="BK120" i="40" s="1"/>
  <c r="BS120" i="40"/>
  <c r="BB188" i="40"/>
  <c r="BJ188" i="40" s="1"/>
  <c r="BR188" i="40"/>
  <c r="BV52" i="40"/>
  <c r="BF52" i="40"/>
  <c r="BN52" i="40" s="1"/>
  <c r="BV33" i="40"/>
  <c r="BF33" i="40"/>
  <c r="BN33" i="40" s="1"/>
  <c r="AY26" i="40"/>
  <c r="BG26" i="40" s="1"/>
  <c r="BO26" i="40"/>
  <c r="BA54" i="40"/>
  <c r="BI54" i="40" s="1"/>
  <c r="BQ54" i="40" s="1"/>
  <c r="BA56" i="40"/>
  <c r="BI56" i="40" s="1"/>
  <c r="BQ56" i="40"/>
  <c r="BD69" i="40"/>
  <c r="BL69" i="40" s="1"/>
  <c r="BT69" i="40"/>
  <c r="BR24" i="40"/>
  <c r="BB24" i="40"/>
  <c r="BJ24" i="40" s="1"/>
  <c r="AZ85" i="40"/>
  <c r="BH85" i="40" s="1"/>
  <c r="BP85" i="40"/>
  <c r="BO106" i="40"/>
  <c r="AY106" i="40"/>
  <c r="BG106" i="40" s="1"/>
  <c r="BP128" i="40"/>
  <c r="AZ128" i="40"/>
  <c r="BH128" i="40" s="1"/>
  <c r="BU131" i="40"/>
  <c r="BE131" i="40"/>
  <c r="BM131" i="40" s="1"/>
  <c r="BS97" i="40"/>
  <c r="BC97" i="40"/>
  <c r="BK97" i="40" s="1"/>
  <c r="BB115" i="40"/>
  <c r="BJ115" i="40" s="1"/>
  <c r="BR115" i="40"/>
  <c r="AZ149" i="40"/>
  <c r="BH149" i="40" s="1"/>
  <c r="BP149" i="40"/>
  <c r="BE167" i="40"/>
  <c r="BM167" i="40" s="1"/>
  <c r="BU167" i="40"/>
  <c r="BR203" i="40"/>
  <c r="BB203" i="40"/>
  <c r="BJ203" i="40" s="1"/>
  <c r="BB179" i="40"/>
  <c r="BJ179" i="40" s="1"/>
  <c r="BR179" i="40"/>
  <c r="BD197" i="40"/>
  <c r="BL197" i="40" s="1"/>
  <c r="BT197" i="40"/>
  <c r="BS192" i="40"/>
  <c r="BC192" i="40"/>
  <c r="BK192" i="40" s="1"/>
  <c r="BT157" i="40"/>
  <c r="BD157" i="40"/>
  <c r="BL157" i="40" s="1"/>
  <c r="BS248" i="40"/>
  <c r="BC248" i="40"/>
  <c r="BK248" i="40" s="1"/>
  <c r="BU251" i="40"/>
  <c r="BE251" i="40"/>
  <c r="BM251" i="40" s="1"/>
  <c r="AZ237" i="40"/>
  <c r="BH237" i="40" s="1"/>
  <c r="BP237" i="40"/>
  <c r="BF246" i="40"/>
  <c r="BN246" i="40" s="1"/>
  <c r="BV246" i="40"/>
  <c r="BV280" i="40"/>
  <c r="BF280" i="40"/>
  <c r="BN280" i="40" s="1"/>
  <c r="BC225" i="40"/>
  <c r="BK225" i="40" s="1"/>
  <c r="BS225" i="40" s="1"/>
  <c r="BB269" i="40"/>
  <c r="BJ269" i="40" s="1"/>
  <c r="BR269" i="40"/>
  <c r="BA230" i="40"/>
  <c r="BI230" i="40" s="1"/>
  <c r="BQ230" i="40"/>
  <c r="BE221" i="40"/>
  <c r="BM221" i="40" s="1"/>
  <c r="BU221" i="40"/>
  <c r="BA224" i="40"/>
  <c r="BI224" i="40" s="1"/>
  <c r="BQ224" i="40"/>
  <c r="BD5" i="40"/>
  <c r="BL5" i="40" s="1"/>
  <c r="BT5" i="40"/>
  <c r="BC296" i="40"/>
  <c r="BK296" i="40" s="1"/>
  <c r="BS296" i="40"/>
  <c r="BE310" i="40"/>
  <c r="BM310" i="40" s="1"/>
  <c r="BU310" i="40"/>
  <c r="BC162" i="40"/>
  <c r="BK162" i="40" s="1"/>
  <c r="BS162" i="40"/>
  <c r="BO202" i="40"/>
  <c r="AY202" i="40"/>
  <c r="BG202" i="40" s="1"/>
  <c r="BA273" i="40"/>
  <c r="BI273" i="40" s="1"/>
  <c r="BQ273" i="40"/>
  <c r="BQ284" i="40"/>
  <c r="BA284" i="40"/>
  <c r="BI284" i="40" s="1"/>
  <c r="BD123" i="40"/>
  <c r="BL123" i="40" s="1"/>
  <c r="BT123" i="40"/>
  <c r="BC63" i="40"/>
  <c r="BK63" i="40" s="1"/>
  <c r="BS63" i="40"/>
  <c r="BA223" i="40"/>
  <c r="BI223" i="40" s="1"/>
  <c r="BQ223" i="40"/>
  <c r="BD29" i="40"/>
  <c r="BL29" i="40" s="1"/>
  <c r="BT29" i="40"/>
  <c r="AY20" i="40"/>
  <c r="BG20" i="40" s="1"/>
  <c r="BO20" i="40"/>
  <c r="BU6" i="40"/>
  <c r="BE6" i="40"/>
  <c r="BM6" i="40" s="1"/>
  <c r="BF34" i="40"/>
  <c r="BN34" i="40" s="1"/>
  <c r="BV34" i="40"/>
  <c r="BC71" i="40"/>
  <c r="BK71" i="40" s="1"/>
  <c r="BS71" i="40"/>
  <c r="CF15" i="40"/>
  <c r="CL15" i="40" s="1"/>
  <c r="CY15" i="40" s="1"/>
  <c r="CZ15" i="40" s="1"/>
  <c r="BC30" i="40"/>
  <c r="BK30" i="40" s="1"/>
  <c r="BS30" i="40"/>
  <c r="BP11" i="40"/>
  <c r="AZ11" i="40"/>
  <c r="BH11" i="40" s="1"/>
  <c r="BF42" i="40"/>
  <c r="BN42" i="40" s="1"/>
  <c r="BV42" i="40"/>
  <c r="BT119" i="40"/>
  <c r="BD119" i="40"/>
  <c r="BL119" i="40" s="1"/>
  <c r="BE92" i="40"/>
  <c r="BM92" i="40" s="1"/>
  <c r="BU92" i="40"/>
  <c r="BC104" i="40"/>
  <c r="BK104" i="40" s="1"/>
  <c r="BS104" i="40"/>
  <c r="BF113" i="40"/>
  <c r="BN113" i="40" s="1"/>
  <c r="BV113" i="40"/>
  <c r="BD116" i="40"/>
  <c r="BL116" i="40" s="1"/>
  <c r="BT116" i="40"/>
  <c r="AY143" i="40"/>
  <c r="BG143" i="40" s="1"/>
  <c r="BO143" i="40"/>
  <c r="BD215" i="40"/>
  <c r="BL215" i="40" s="1"/>
  <c r="BT215" i="40"/>
  <c r="BP186" i="40"/>
  <c r="AZ186" i="40"/>
  <c r="BH186" i="40" s="1"/>
  <c r="BC172" i="40"/>
  <c r="BK172" i="40" s="1"/>
  <c r="BS172" i="40"/>
  <c r="BD211" i="40"/>
  <c r="BL211" i="40" s="1"/>
  <c r="BT211" i="40"/>
  <c r="BT181" i="40"/>
  <c r="BD181" i="40"/>
  <c r="BL181" i="40" s="1"/>
  <c r="BF260" i="40"/>
  <c r="BN260" i="40" s="1"/>
  <c r="BV260" i="40"/>
  <c r="BE257" i="40"/>
  <c r="BM257" i="40" s="1"/>
  <c r="BU257" i="40" s="1"/>
  <c r="BO271" i="40"/>
  <c r="AY271" i="40"/>
  <c r="BG271" i="40" s="1"/>
  <c r="BS282" i="40"/>
  <c r="BC282" i="40"/>
  <c r="BK282" i="40" s="1"/>
  <c r="AY275" i="40"/>
  <c r="BG275" i="40" s="1"/>
  <c r="BO275" i="40"/>
  <c r="AZ247" i="40"/>
  <c r="BH247" i="40" s="1"/>
  <c r="BP247" i="40"/>
  <c r="BE103" i="40"/>
  <c r="BM103" i="40" s="1"/>
  <c r="BU103" i="40"/>
  <c r="AY307" i="40"/>
  <c r="BG307" i="40" s="1"/>
  <c r="BO307" i="40"/>
  <c r="BC226" i="40"/>
  <c r="BK226" i="40" s="1"/>
  <c r="BS226" i="40"/>
  <c r="BA268" i="40"/>
  <c r="BI268" i="40" s="1"/>
  <c r="BQ268" i="40"/>
  <c r="BT80" i="40"/>
  <c r="BD80" i="40"/>
  <c r="BL80" i="40" s="1"/>
  <c r="BC25" i="40"/>
  <c r="BK25" i="40" s="1"/>
  <c r="BS25" i="40"/>
  <c r="BF75" i="40"/>
  <c r="BN75" i="40" s="1"/>
  <c r="BV75" i="40"/>
  <c r="BD72" i="40"/>
  <c r="BL72" i="40" s="1"/>
  <c r="BT72" i="40"/>
  <c r="BB64" i="40"/>
  <c r="BJ64" i="40" s="1"/>
  <c r="BR64" i="40"/>
  <c r="BB48" i="40"/>
  <c r="BJ48" i="40" s="1"/>
  <c r="BR48" i="40"/>
  <c r="BA49" i="40"/>
  <c r="BI49" i="40" s="1"/>
  <c r="BQ49" i="40"/>
  <c r="BO27" i="40"/>
  <c r="AY27" i="40"/>
  <c r="BG27" i="40" s="1"/>
  <c r="AY138" i="40"/>
  <c r="BG138" i="40" s="1"/>
  <c r="BO138" i="40"/>
  <c r="BF105" i="40"/>
  <c r="BN105" i="40" s="1"/>
  <c r="BV105" i="40"/>
  <c r="AZ108" i="40"/>
  <c r="BH108" i="40" s="1"/>
  <c r="BP108" i="40" s="1"/>
  <c r="BT95" i="40"/>
  <c r="BD95" i="40"/>
  <c r="BL95" i="40" s="1"/>
  <c r="BF91" i="40"/>
  <c r="BN91" i="40" s="1"/>
  <c r="BV91" i="40"/>
  <c r="AZ139" i="40"/>
  <c r="BH139" i="40" s="1"/>
  <c r="BP139" i="40"/>
  <c r="AZ121" i="40"/>
  <c r="BH121" i="40" s="1"/>
  <c r="BP121" i="40"/>
  <c r="AZ147" i="40"/>
  <c r="BH147" i="40" s="1"/>
  <c r="BP147" i="40"/>
  <c r="BB193" i="40"/>
  <c r="BJ193" i="40" s="1"/>
  <c r="BR193" i="40"/>
  <c r="BT200" i="40"/>
  <c r="BD200" i="40"/>
  <c r="BL200" i="40" s="1"/>
  <c r="BF213" i="40"/>
  <c r="BN213" i="40" s="1"/>
  <c r="BV213" i="40"/>
  <c r="BU185" i="40"/>
  <c r="BE185" i="40"/>
  <c r="BM185" i="40" s="1"/>
  <c r="BR190" i="40"/>
  <c r="CH190" i="40" s="1"/>
  <c r="CN190" i="40" s="1"/>
  <c r="DC190" i="40" s="1"/>
  <c r="DD190" i="40" s="1"/>
  <c r="BB190" i="40"/>
  <c r="BJ190" i="40" s="1"/>
  <c r="AY161" i="40"/>
  <c r="BG161" i="40" s="1"/>
  <c r="BO161" i="40"/>
  <c r="BQ198" i="40"/>
  <c r="CG198" i="40" s="1"/>
  <c r="CM198" i="40" s="1"/>
  <c r="DA198" i="40" s="1"/>
  <c r="DB198" i="40" s="1"/>
  <c r="BA198" i="40"/>
  <c r="BI198" i="40" s="1"/>
  <c r="BQ173" i="40"/>
  <c r="BA173" i="40"/>
  <c r="BI173" i="40" s="1"/>
  <c r="BB219" i="40"/>
  <c r="BJ219" i="40" s="1"/>
  <c r="BR219" i="40"/>
  <c r="BE231" i="40"/>
  <c r="BM231" i="40" s="1"/>
  <c r="BU231" i="40"/>
  <c r="BD281" i="40"/>
  <c r="BL281" i="40" s="1"/>
  <c r="BT281" i="40" s="1"/>
  <c r="AZ241" i="40"/>
  <c r="BH241" i="40" s="1"/>
  <c r="BP241" i="40"/>
  <c r="BO220" i="40"/>
  <c r="AY220" i="40"/>
  <c r="BG220" i="40" s="1"/>
  <c r="BP250" i="40"/>
  <c r="AZ250" i="40"/>
  <c r="BH250" i="40" s="1"/>
  <c r="BF272" i="40"/>
  <c r="BN272" i="40" s="1"/>
  <c r="BV272" i="40"/>
  <c r="BD240" i="40"/>
  <c r="BL240" i="40" s="1"/>
  <c r="BT240" i="40"/>
  <c r="BE298" i="40"/>
  <c r="BM298" i="40" s="1"/>
  <c r="BU298" i="40"/>
  <c r="BC318" i="40"/>
  <c r="BK318" i="40" s="1"/>
  <c r="BS318" i="40"/>
  <c r="BO206" i="40"/>
  <c r="AY206" i="40"/>
  <c r="BG206" i="40" s="1"/>
  <c r="BV154" i="40"/>
  <c r="BF154" i="40"/>
  <c r="BN154" i="40" s="1"/>
  <c r="BD199" i="40"/>
  <c r="BL199" i="40" s="1"/>
  <c r="BT199" i="40"/>
  <c r="BU136" i="40"/>
  <c r="BE136" i="40"/>
  <c r="BM136" i="40" s="1"/>
  <c r="BC45" i="40"/>
  <c r="BK45" i="40" s="1"/>
  <c r="BS45" i="40"/>
  <c r="BF309" i="40"/>
  <c r="BN309" i="40" s="1"/>
  <c r="BV309" i="40"/>
  <c r="BO234" i="40"/>
  <c r="AY234" i="40"/>
  <c r="BG234" i="40" s="1"/>
  <c r="AZ65" i="40"/>
  <c r="BH65" i="40" s="1"/>
  <c r="BP65" i="40"/>
  <c r="BC38" i="40"/>
  <c r="BK38" i="40" s="1"/>
  <c r="BS38" i="40"/>
  <c r="BR12" i="40"/>
  <c r="BB12" i="40"/>
  <c r="BJ12" i="40" s="1"/>
  <c r="BV76" i="40"/>
  <c r="BF76" i="40"/>
  <c r="BN76" i="40" s="1"/>
  <c r="AY51" i="40"/>
  <c r="BG51" i="40" s="1"/>
  <c r="BO51" i="40"/>
  <c r="BU68" i="40"/>
  <c r="BE68" i="40"/>
  <c r="BM68" i="40" s="1"/>
  <c r="BS66" i="40"/>
  <c r="BC66" i="40"/>
  <c r="BK66" i="40" s="1"/>
  <c r="BV16" i="40"/>
  <c r="BF16" i="40"/>
  <c r="BN16" i="40" s="1"/>
  <c r="BU117" i="40"/>
  <c r="BE117" i="40"/>
  <c r="BM117" i="40" s="1"/>
  <c r="BA125" i="40"/>
  <c r="BI125" i="40" s="1"/>
  <c r="BQ125" i="40"/>
  <c r="BF102" i="40"/>
  <c r="BN102" i="40" s="1"/>
  <c r="BV102" i="40"/>
  <c r="BD82" i="40"/>
  <c r="BL82" i="40" s="1"/>
  <c r="BT82" i="40"/>
  <c r="BV118" i="40"/>
  <c r="BF118" i="40"/>
  <c r="BN118" i="40" s="1"/>
  <c r="BT168" i="40"/>
  <c r="BD168" i="40"/>
  <c r="BL168" i="40" s="1"/>
  <c r="BD183" i="40"/>
  <c r="BL183" i="40" s="1"/>
  <c r="BT183" i="40"/>
  <c r="BD196" i="40"/>
  <c r="BL196" i="40" s="1"/>
  <c r="BT196" i="40"/>
  <c r="BC270" i="40"/>
  <c r="BK270" i="40" s="1"/>
  <c r="BS270" i="40"/>
  <c r="BF278" i="40"/>
  <c r="BN278" i="40" s="1"/>
  <c r="BV278" i="40"/>
  <c r="BB228" i="40"/>
  <c r="BJ228" i="40" s="1"/>
  <c r="BR228" i="40"/>
  <c r="AY249" i="40"/>
  <c r="BG249" i="40" s="1"/>
  <c r="BO249" i="40"/>
  <c r="BB274" i="40"/>
  <c r="BJ274" i="40" s="1"/>
  <c r="BR274" i="40"/>
  <c r="BR232" i="40"/>
  <c r="BB232" i="40"/>
  <c r="BJ232" i="40" s="1"/>
  <c r="AY255" i="40"/>
  <c r="BG255" i="40" s="1"/>
  <c r="BO255" i="40"/>
  <c r="BE293" i="40"/>
  <c r="BM293" i="40" s="1"/>
  <c r="BU293" i="40"/>
  <c r="BD289" i="40"/>
  <c r="BL289" i="40" s="1"/>
  <c r="BT289" i="40"/>
  <c r="AY316" i="40"/>
  <c r="BG316" i="40" s="1"/>
  <c r="BO316" i="40"/>
  <c r="BT194" i="40"/>
  <c r="BD194" i="40"/>
  <c r="BL194" i="40" s="1"/>
  <c r="AZ174" i="40"/>
  <c r="BH174" i="40" s="1"/>
  <c r="BP174" i="40"/>
  <c r="BE315" i="40"/>
  <c r="BM315" i="40" s="1"/>
  <c r="BU315" i="40"/>
  <c r="BF83" i="40"/>
  <c r="BN83" i="40" s="1"/>
  <c r="BV83" i="40" s="1"/>
  <c r="BD41" i="40"/>
  <c r="BL41" i="40" s="1"/>
  <c r="BT41" i="40"/>
  <c r="BV9" i="40"/>
  <c r="BF9" i="40"/>
  <c r="BN9" i="40" s="1"/>
  <c r="BO303" i="40"/>
  <c r="AY303" i="40"/>
  <c r="BG303" i="40" s="1"/>
  <c r="BA46" i="40"/>
  <c r="BI46" i="40" s="1"/>
  <c r="BQ46" i="40"/>
  <c r="AZ32" i="40"/>
  <c r="BH32" i="40" s="1"/>
  <c r="BP32" i="40"/>
  <c r="BF73" i="40"/>
  <c r="BN73" i="40" s="1"/>
  <c r="BV73" i="40"/>
  <c r="AY61" i="40"/>
  <c r="BG61" i="40" s="1"/>
  <c r="BO61" i="40"/>
  <c r="BD37" i="40"/>
  <c r="BL37" i="40" s="1"/>
  <c r="BT37" i="40"/>
  <c r="BB60" i="40"/>
  <c r="BJ60" i="40" s="1"/>
  <c r="BR60" i="40"/>
  <c r="BA57" i="40"/>
  <c r="BI57" i="40" s="1"/>
  <c r="BQ57" i="40" s="1"/>
  <c r="AY70" i="40"/>
  <c r="BG70" i="40" s="1"/>
  <c r="BO70" i="40"/>
  <c r="BD144" i="40"/>
  <c r="BL144" i="40" s="1"/>
  <c r="BT144" i="40"/>
  <c r="BP107" i="40"/>
  <c r="AZ107" i="40"/>
  <c r="BH107" i="40" s="1"/>
  <c r="BS122" i="40"/>
  <c r="BC122" i="40"/>
  <c r="BK122" i="40" s="1"/>
  <c r="BF87" i="40"/>
  <c r="BN87" i="40" s="1"/>
  <c r="BV87" i="40"/>
  <c r="BB110" i="40"/>
  <c r="BJ110" i="40" s="1"/>
  <c r="BR110" i="40"/>
  <c r="BT109" i="40"/>
  <c r="BD109" i="40"/>
  <c r="BL109" i="40" s="1"/>
  <c r="BD124" i="40"/>
  <c r="BL124" i="40" s="1"/>
  <c r="BT124" i="40"/>
  <c r="AY214" i="40"/>
  <c r="BG214" i="40" s="1"/>
  <c r="BO214" i="40"/>
  <c r="BR204" i="40"/>
  <c r="BB204" i="40"/>
  <c r="BJ204" i="40" s="1"/>
  <c r="BF195" i="40"/>
  <c r="BN195" i="40" s="1"/>
  <c r="BV195" i="40"/>
  <c r="BB151" i="40"/>
  <c r="BJ151" i="40" s="1"/>
  <c r="BR151" i="40"/>
  <c r="BS201" i="40"/>
  <c r="BC201" i="40"/>
  <c r="BK201" i="40" s="1"/>
  <c r="BT156" i="40"/>
  <c r="BD156" i="40"/>
  <c r="BL156" i="40" s="1"/>
  <c r="AY177" i="40"/>
  <c r="BG177" i="40" s="1"/>
  <c r="BO177" i="40"/>
  <c r="BF169" i="40"/>
  <c r="BN169" i="40" s="1"/>
  <c r="BV169" i="40" s="1"/>
  <c r="BS279" i="40"/>
  <c r="BC279" i="40"/>
  <c r="BK279" i="40" s="1"/>
  <c r="BE242" i="40"/>
  <c r="BM242" i="40" s="1"/>
  <c r="BU242" i="40"/>
  <c r="BB265" i="40"/>
  <c r="BJ265" i="40" s="1"/>
  <c r="BR265" i="40"/>
  <c r="AY283" i="40"/>
  <c r="BG283" i="40" s="1"/>
  <c r="BO283" i="40"/>
  <c r="BE277" i="40"/>
  <c r="BM277" i="40" s="1"/>
  <c r="BU277" i="40"/>
  <c r="BE258" i="40"/>
  <c r="BM258" i="40" s="1"/>
  <c r="BU258" i="40"/>
  <c r="BO31" i="40"/>
  <c r="AY31" i="40"/>
  <c r="BG31" i="40" s="1"/>
  <c r="BC288" i="40"/>
  <c r="BK288" i="40" s="1"/>
  <c r="BS288" i="40"/>
  <c r="BO308" i="40"/>
  <c r="AY308" i="40"/>
  <c r="BG308" i="40" s="1"/>
  <c r="AZ302" i="40"/>
  <c r="BH302" i="40" s="1"/>
  <c r="BP302" i="40"/>
  <c r="BU39" i="40"/>
  <c r="BE39" i="40"/>
  <c r="BM39" i="40" s="1"/>
  <c r="AY59" i="40"/>
  <c r="BG59" i="40" s="1"/>
  <c r="BO59" i="40"/>
  <c r="BF112" i="40"/>
  <c r="BN112" i="40" s="1"/>
  <c r="BV112" i="40"/>
  <c r="BT245" i="40"/>
  <c r="BD245" i="40"/>
  <c r="BL245" i="40" s="1"/>
  <c r="AY155" i="40"/>
  <c r="BG155" i="40" s="1"/>
  <c r="BO155" i="40"/>
  <c r="BC187" i="40"/>
  <c r="BK187" i="40" s="1"/>
  <c r="BS187" i="40"/>
  <c r="BC35" i="40"/>
  <c r="BK35" i="40" s="1"/>
  <c r="BS35" i="40"/>
  <c r="BS7" i="40"/>
  <c r="BC7" i="40"/>
  <c r="BK7" i="40" s="1"/>
  <c r="BB58" i="40"/>
  <c r="BJ58" i="40" s="1"/>
  <c r="BR58" i="40"/>
  <c r="AZ67" i="40"/>
  <c r="BH67" i="40" s="1"/>
  <c r="BP67" i="40"/>
  <c r="BU23" i="40"/>
  <c r="BE23" i="40"/>
  <c r="BM23" i="40" s="1"/>
  <c r="BC53" i="40"/>
  <c r="BK53" i="40" s="1"/>
  <c r="BS53" i="40"/>
  <c r="BF18" i="40"/>
  <c r="BN18" i="40" s="1"/>
  <c r="BV18" i="40"/>
  <c r="AZ14" i="40"/>
  <c r="BH14" i="40" s="1"/>
  <c r="BP14" i="40"/>
  <c r="BF78" i="40"/>
  <c r="BN78" i="40" s="1"/>
  <c r="BV78" i="40"/>
  <c r="BB111" i="40"/>
  <c r="BJ111" i="40" s="1"/>
  <c r="BR111" i="40"/>
  <c r="BO99" i="40"/>
  <c r="AY99" i="40"/>
  <c r="BG99" i="40" s="1"/>
  <c r="BD79" i="40"/>
  <c r="BL79" i="40" s="1"/>
  <c r="BT79" i="40"/>
  <c r="BT135" i="40"/>
  <c r="BD135" i="40"/>
  <c r="BL135" i="40" s="1"/>
  <c r="AZ129" i="40"/>
  <c r="BH129" i="40" s="1"/>
  <c r="BP129" i="40"/>
  <c r="BB166" i="40"/>
  <c r="BJ166" i="40" s="1"/>
  <c r="BR166" i="40"/>
  <c r="BB205" i="40"/>
  <c r="BJ205" i="40" s="1"/>
  <c r="BR205" i="40"/>
  <c r="BF209" i="40"/>
  <c r="BN209" i="40" s="1"/>
  <c r="BV209" i="40"/>
  <c r="BB180" i="40"/>
  <c r="BJ180" i="40" s="1"/>
  <c r="BR180" i="40"/>
  <c r="BD182" i="40"/>
  <c r="BL182" i="40" s="1"/>
  <c r="BT182" i="40"/>
  <c r="BO176" i="40"/>
  <c r="AY176" i="40"/>
  <c r="BG176" i="40" s="1"/>
  <c r="BC208" i="40"/>
  <c r="BK208" i="40" s="1"/>
  <c r="BS208" i="40"/>
  <c r="BE163" i="40"/>
  <c r="BM163" i="40" s="1"/>
  <c r="BU163" i="40"/>
  <c r="BO150" i="40"/>
  <c r="AY150" i="40"/>
  <c r="BG150" i="40" s="1"/>
  <c r="BC259" i="40"/>
  <c r="BK259" i="40" s="1"/>
  <c r="BS259" i="40"/>
  <c r="BQ238" i="40"/>
  <c r="BA238" i="40"/>
  <c r="BI238" i="40" s="1"/>
  <c r="AZ218" i="40"/>
  <c r="BH218" i="40" s="1"/>
  <c r="BP218" i="40"/>
  <c r="BT217" i="40"/>
  <c r="BD217" i="40"/>
  <c r="BL217" i="40" s="1"/>
  <c r="BO254" i="40"/>
  <c r="AY254" i="40"/>
  <c r="BG254" i="40" s="1"/>
  <c r="BE276" i="40"/>
  <c r="BM276" i="40" s="1"/>
  <c r="BU276" i="40"/>
  <c r="BB10" i="40"/>
  <c r="BJ10" i="40" s="1"/>
  <c r="BR10" i="40"/>
  <c r="CH10" i="40" s="1"/>
  <c r="CN10" i="40" s="1"/>
  <c r="DC10" i="40" s="1"/>
  <c r="DD10" i="40" s="1"/>
  <c r="AY295" i="40"/>
  <c r="BG295" i="40" s="1"/>
  <c r="BO295" i="40"/>
  <c r="BO189" i="40"/>
  <c r="AY189" i="40"/>
  <c r="BG189" i="40" s="1"/>
  <c r="BQ114" i="40"/>
  <c r="BA114" i="40"/>
  <c r="BI114" i="40" s="1"/>
  <c r="AZ137" i="40"/>
  <c r="BH137" i="40" s="1"/>
  <c r="BP137" i="40"/>
  <c r="BD40" i="40"/>
  <c r="BL40" i="40" s="1"/>
  <c r="BT40" i="40"/>
  <c r="BD165" i="40"/>
  <c r="BL165" i="40" s="1"/>
  <c r="BT165" i="40"/>
  <c r="BT13" i="40"/>
  <c r="BD13" i="40"/>
  <c r="BL13" i="40" s="1"/>
  <c r="AZ22" i="40"/>
  <c r="BH22" i="40" s="1"/>
  <c r="BP22" i="40"/>
  <c r="BF74" i="40"/>
  <c r="BN74" i="40" s="1"/>
  <c r="BV74" i="40"/>
  <c r="AZ96" i="40"/>
  <c r="BH96" i="40" s="1"/>
  <c r="BP96" i="40"/>
  <c r="BB94" i="40"/>
  <c r="BJ94" i="40" s="1"/>
  <c r="BR94" i="40"/>
  <c r="BT145" i="40"/>
  <c r="BD145" i="40"/>
  <c r="BL145" i="40" s="1"/>
  <c r="BQ132" i="40"/>
  <c r="BA132" i="40"/>
  <c r="BI132" i="40" s="1"/>
  <c r="BP101" i="40"/>
  <c r="AZ101" i="40"/>
  <c r="BH101" i="40" s="1"/>
  <c r="BE88" i="40"/>
  <c r="BM88" i="40" s="1"/>
  <c r="BU88" i="40"/>
  <c r="BE89" i="40"/>
  <c r="BM89" i="40" s="1"/>
  <c r="BU89" i="40"/>
  <c r="BC140" i="40"/>
  <c r="BK140" i="40" s="1"/>
  <c r="BS140" i="40"/>
  <c r="BU133" i="40"/>
  <c r="BE133" i="40"/>
  <c r="BM133" i="40" s="1"/>
  <c r="BO84" i="40"/>
  <c r="AY84" i="40"/>
  <c r="BG84" i="40" s="1"/>
  <c r="BD159" i="40"/>
  <c r="BL159" i="40" s="1"/>
  <c r="BT159" i="40"/>
  <c r="AY210" i="40"/>
  <c r="BG210" i="40" s="1"/>
  <c r="BO210" i="40"/>
  <c r="BT178" i="40"/>
  <c r="BD178" i="40"/>
  <c r="BL178" i="40" s="1"/>
  <c r="BB160" i="40"/>
  <c r="BJ160" i="40" s="1"/>
  <c r="BR160" i="40"/>
  <c r="AZ191" i="40"/>
  <c r="BH191" i="40" s="1"/>
  <c r="BP191" i="40" s="1"/>
  <c r="BB153" i="40"/>
  <c r="BJ153" i="40" s="1"/>
  <c r="BR153" i="40"/>
  <c r="AY175" i="40"/>
  <c r="BG175" i="40" s="1"/>
  <c r="BO175" i="40"/>
  <c r="BQ267" i="40"/>
  <c r="CF267" i="40" s="1"/>
  <c r="CL267" i="40" s="1"/>
  <c r="CY267" i="40" s="1"/>
  <c r="CZ267" i="40" s="1"/>
  <c r="BA267" i="40"/>
  <c r="BI267" i="40" s="1"/>
  <c r="AZ266" i="40"/>
  <c r="BH266" i="40" s="1"/>
  <c r="BP266" i="40"/>
  <c r="BA244" i="40"/>
  <c r="BI244" i="40" s="1"/>
  <c r="BQ244" i="40"/>
  <c r="BV235" i="40"/>
  <c r="BF235" i="40"/>
  <c r="BN235" i="40" s="1"/>
  <c r="BU285" i="40"/>
  <c r="BE285" i="40"/>
  <c r="BM285" i="40" s="1"/>
  <c r="BT252" i="40"/>
  <c r="BD252" i="40"/>
  <c r="BL252" i="40" s="1"/>
  <c r="BR253" i="40"/>
  <c r="BB253" i="40"/>
  <c r="BJ253" i="40" s="1"/>
  <c r="BQ256" i="40"/>
  <c r="BA256" i="40"/>
  <c r="BI256" i="40" s="1"/>
  <c r="BF262" i="40"/>
  <c r="BN262" i="40" s="1"/>
  <c r="BV262" i="40"/>
  <c r="BF313" i="40"/>
  <c r="BN313" i="40" s="1"/>
  <c r="BV313" i="40"/>
  <c r="BB152" i="40"/>
  <c r="BJ152" i="40" s="1"/>
  <c r="BR152" i="40"/>
  <c r="AZ311" i="40"/>
  <c r="BH311" i="40" s="1"/>
  <c r="BP311" i="40"/>
  <c r="AZ236" i="40"/>
  <c r="BH236" i="40" s="1"/>
  <c r="BP236" i="40"/>
  <c r="BF229" i="40"/>
  <c r="BN229" i="40" s="1"/>
  <c r="BV229" i="40"/>
  <c r="BR233" i="40"/>
  <c r="BB233" i="40"/>
  <c r="BJ233" i="40" s="1"/>
  <c r="BU314" i="40"/>
  <c r="BE314" i="40"/>
  <c r="BM314" i="40" s="1"/>
  <c r="AY8" i="40"/>
  <c r="BG8" i="40" s="1"/>
  <c r="BO8" i="40"/>
  <c r="BC77" i="40"/>
  <c r="BK77" i="40" s="1"/>
  <c r="BS77" i="40"/>
  <c r="BA47" i="40"/>
  <c r="BI47" i="40" s="1"/>
  <c r="BQ47" i="40"/>
  <c r="BO44" i="40"/>
  <c r="AY44" i="40"/>
  <c r="BG44" i="40" s="1"/>
  <c r="BE86" i="40"/>
  <c r="BM86" i="40" s="1"/>
  <c r="BU86" i="40"/>
  <c r="BP134" i="40"/>
  <c r="AZ134" i="40"/>
  <c r="BH134" i="40" s="1"/>
  <c r="BR148" i="40"/>
  <c r="BB148" i="40"/>
  <c r="BJ148" i="40" s="1"/>
  <c r="AZ100" i="40"/>
  <c r="BH100" i="40" s="1"/>
  <c r="BP100" i="40"/>
  <c r="AY130" i="40"/>
  <c r="BG130" i="40" s="1"/>
  <c r="BO130" i="40"/>
  <c r="BB81" i="40"/>
  <c r="BJ81" i="40" s="1"/>
  <c r="BR81" i="40"/>
  <c r="BF142" i="40"/>
  <c r="BN142" i="40" s="1"/>
  <c r="BV142" i="40"/>
  <c r="BB146" i="40"/>
  <c r="BJ146" i="40" s="1"/>
  <c r="BR146" i="40"/>
  <c r="BC212" i="40"/>
  <c r="BK212" i="40" s="1"/>
  <c r="BS212" i="40"/>
  <c r="BV170" i="40"/>
  <c r="BF170" i="40"/>
  <c r="BN170" i="40" s="1"/>
  <c r="BE158" i="40"/>
  <c r="BM158" i="40" s="1"/>
  <c r="BU158" i="40"/>
  <c r="BC171" i="40"/>
  <c r="BK171" i="40" s="1"/>
  <c r="BS171" i="40" s="1"/>
  <c r="BC164" i="40"/>
  <c r="BK164" i="40" s="1"/>
  <c r="BS164" i="40"/>
  <c r="BD184" i="40"/>
  <c r="BL184" i="40" s="1"/>
  <c r="BT184" i="40"/>
  <c r="BQ222" i="40"/>
  <c r="BA222" i="40"/>
  <c r="BI222" i="40" s="1"/>
  <c r="AZ227" i="40"/>
  <c r="BH227" i="40" s="1"/>
  <c r="BP227" i="40"/>
  <c r="AY261" i="40"/>
  <c r="BG261" i="40" s="1"/>
  <c r="BO261" i="40"/>
  <c r="BB264" i="40"/>
  <c r="BJ264" i="40" s="1"/>
  <c r="BR264" i="40"/>
  <c r="BU239" i="40"/>
  <c r="BE239" i="40"/>
  <c r="BM239" i="40" s="1"/>
  <c r="BO291" i="40"/>
  <c r="AY291" i="40"/>
  <c r="BG291" i="40" s="1"/>
  <c r="AY28" i="40"/>
  <c r="BG28" i="40" s="1"/>
  <c r="BO28" i="40"/>
  <c r="BF305" i="40"/>
  <c r="BN305" i="40" s="1"/>
  <c r="BV305" i="40"/>
  <c r="BC126" i="40"/>
  <c r="BK126" i="40" s="1"/>
  <c r="BS126" i="40"/>
  <c r="BT120" i="40"/>
  <c r="BD120" i="40"/>
  <c r="BL120" i="40" s="1"/>
  <c r="BC188" i="40"/>
  <c r="BK188" i="40" s="1"/>
  <c r="BS188" i="40" s="1"/>
  <c r="AZ52" i="40"/>
  <c r="BH52" i="40" s="1"/>
  <c r="BP52" i="40"/>
  <c r="CJ33" i="40"/>
  <c r="CP33" i="40" s="1"/>
  <c r="DG33" i="40" s="1"/>
  <c r="DH33" i="40" s="1"/>
  <c r="BV26" i="40"/>
  <c r="BF26" i="40"/>
  <c r="BN26" i="40" s="1"/>
  <c r="BD54" i="40"/>
  <c r="BL54" i="40" s="1"/>
  <c r="BT54" i="40"/>
  <c r="BO56" i="40"/>
  <c r="AY56" i="40"/>
  <c r="BG56" i="40" s="1"/>
  <c r="BC69" i="40"/>
  <c r="BK69" i="40" s="1"/>
  <c r="BS69" i="40" s="1"/>
  <c r="BA24" i="40"/>
  <c r="BI24" i="40" s="1"/>
  <c r="BQ24" i="40"/>
  <c r="BE85" i="40"/>
  <c r="BM85" i="40" s="1"/>
  <c r="BU85" i="40"/>
  <c r="AZ106" i="40"/>
  <c r="BH106" i="40" s="1"/>
  <c r="BP106" i="40"/>
  <c r="BD128" i="40"/>
  <c r="BL128" i="40" s="1"/>
  <c r="BT128" i="40"/>
  <c r="BV131" i="40"/>
  <c r="BF131" i="40"/>
  <c r="BN131" i="40" s="1"/>
  <c r="BF97" i="40"/>
  <c r="BN97" i="40" s="1"/>
  <c r="BV97" i="40"/>
  <c r="BO115" i="40"/>
  <c r="AY115" i="40"/>
  <c r="BG115" i="40" s="1"/>
  <c r="BF149" i="40"/>
  <c r="BN149" i="40" s="1"/>
  <c r="BV149" i="40"/>
  <c r="BC167" i="40"/>
  <c r="BK167" i="40" s="1"/>
  <c r="BS167" i="40"/>
  <c r="AZ203" i="40"/>
  <c r="BH203" i="40" s="1"/>
  <c r="BP203" i="40"/>
  <c r="BC179" i="40"/>
  <c r="BK179" i="40" s="1"/>
  <c r="BS179" i="40"/>
  <c r="BA197" i="40"/>
  <c r="BI197" i="40" s="1"/>
  <c r="BQ197" i="40"/>
  <c r="BV192" i="40"/>
  <c r="BF192" i="40"/>
  <c r="BN192" i="40" s="1"/>
  <c r="BA157" i="40"/>
  <c r="BI157" i="40" s="1"/>
  <c r="BQ157" i="40"/>
  <c r="BD248" i="40"/>
  <c r="BL248" i="40" s="1"/>
  <c r="BT248" i="40"/>
  <c r="BA251" i="40"/>
  <c r="BI251" i="40" s="1"/>
  <c r="BQ251" i="40"/>
  <c r="BD237" i="40"/>
  <c r="BL237" i="40" s="1"/>
  <c r="BT237" i="40"/>
  <c r="BO246" i="40"/>
  <c r="AY246" i="40"/>
  <c r="BG246" i="40" s="1"/>
  <c r="BS280" i="40"/>
  <c r="BC280" i="40"/>
  <c r="BK280" i="40" s="1"/>
  <c r="BB225" i="40"/>
  <c r="BJ225" i="40" s="1"/>
  <c r="BR225" i="40"/>
  <c r="AY269" i="40"/>
  <c r="BG269" i="40" s="1"/>
  <c r="BO269" i="40"/>
  <c r="BD230" i="40"/>
  <c r="BL230" i="40" s="1"/>
  <c r="BT230" i="40"/>
  <c r="BF221" i="40"/>
  <c r="BN221" i="40" s="1"/>
  <c r="BV221" i="40"/>
  <c r="BB224" i="40"/>
  <c r="BJ224" i="40" s="1"/>
  <c r="BR224" i="40"/>
  <c r="BV5" i="40"/>
  <c r="BF5" i="40"/>
  <c r="BN5" i="40" s="1"/>
  <c r="BO296" i="40"/>
  <c r="AY296" i="40"/>
  <c r="BG296" i="40" s="1"/>
  <c r="BC310" i="40"/>
  <c r="BK310" i="40" s="1"/>
  <c r="BS310" i="40"/>
  <c r="AZ162" i="40"/>
  <c r="BH162" i="40" s="1"/>
  <c r="BP162" i="40"/>
  <c r="BD202" i="40"/>
  <c r="BL202" i="40" s="1"/>
  <c r="BT202" i="40"/>
  <c r="BT273" i="40"/>
  <c r="BD273" i="40"/>
  <c r="BL273" i="40" s="1"/>
  <c r="BT284" i="40"/>
  <c r="BD284" i="40"/>
  <c r="BL284" i="40" s="1"/>
  <c r="BP123" i="40"/>
  <c r="AZ123" i="40"/>
  <c r="BH123" i="40" s="1"/>
  <c r="BT63" i="40"/>
  <c r="BD63" i="40"/>
  <c r="BL63" i="40" s="1"/>
  <c r="BE223" i="40"/>
  <c r="BM223" i="40" s="1"/>
  <c r="BU223" i="40"/>
  <c r="BB29" i="40"/>
  <c r="BJ29" i="40" s="1"/>
  <c r="BR29" i="40"/>
  <c r="BT20" i="40"/>
  <c r="BD20" i="40"/>
  <c r="BL20" i="40" s="1"/>
  <c r="BB6" i="40"/>
  <c r="BJ6" i="40" s="1"/>
  <c r="BR6" i="40"/>
  <c r="AY34" i="40"/>
  <c r="BG34" i="40" s="1"/>
  <c r="BO34" i="40"/>
  <c r="AZ71" i="40"/>
  <c r="BH71" i="40" s="1"/>
  <c r="BP71" i="40"/>
  <c r="BB30" i="40"/>
  <c r="BJ30" i="40" s="1"/>
  <c r="BR30" i="40"/>
  <c r="BE11" i="40"/>
  <c r="BM11" i="40" s="1"/>
  <c r="BU11" i="40"/>
  <c r="BB42" i="40"/>
  <c r="BJ42" i="40" s="1"/>
  <c r="BR42" i="40"/>
  <c r="BP119" i="40"/>
  <c r="AZ119" i="40"/>
  <c r="BH119" i="40" s="1"/>
  <c r="BB92" i="40"/>
  <c r="BJ92" i="40" s="1"/>
  <c r="BR92" i="40"/>
  <c r="BE104" i="40"/>
  <c r="BM104" i="40" s="1"/>
  <c r="BU104" i="40"/>
  <c r="AZ113" i="40"/>
  <c r="BH113" i="40" s="1"/>
  <c r="BP113" i="40"/>
  <c r="AZ116" i="40"/>
  <c r="BH116" i="40" s="1"/>
  <c r="BP116" i="40"/>
  <c r="BB143" i="40"/>
  <c r="BJ143" i="40" s="1"/>
  <c r="BR143" i="40"/>
  <c r="BU215" i="40"/>
  <c r="BE215" i="40"/>
  <c r="BM215" i="40" s="1"/>
  <c r="BB186" i="40"/>
  <c r="BJ186" i="40" s="1"/>
  <c r="BR186" i="40"/>
  <c r="BV172" i="40"/>
  <c r="BF172" i="40"/>
  <c r="BN172" i="40" s="1"/>
  <c r="BR211" i="40"/>
  <c r="BB211" i="40"/>
  <c r="BJ211" i="40" s="1"/>
  <c r="BA181" i="40"/>
  <c r="BI181" i="40" s="1"/>
  <c r="BQ181" i="40"/>
  <c r="BE260" i="40"/>
  <c r="BM260" i="40" s="1"/>
  <c r="BU260" i="40"/>
  <c r="BA257" i="40"/>
  <c r="BI257" i="40" s="1"/>
  <c r="BQ257" i="40"/>
  <c r="BC271" i="40"/>
  <c r="BK271" i="40" s="1"/>
  <c r="BS271" i="40"/>
  <c r="BO282" i="40"/>
  <c r="AY282" i="40"/>
  <c r="BG282" i="40" s="1"/>
  <c r="AZ275" i="40"/>
  <c r="BH275" i="40" s="1"/>
  <c r="BP275" i="40"/>
  <c r="BF247" i="40"/>
  <c r="BN247" i="40" s="1"/>
  <c r="BV247" i="40"/>
  <c r="AZ103" i="40"/>
  <c r="BH103" i="40" s="1"/>
  <c r="BP103" i="40"/>
  <c r="BT307" i="40"/>
  <c r="BD307" i="40"/>
  <c r="BL307" i="40" s="1"/>
  <c r="AY226" i="40"/>
  <c r="BG226" i="40" s="1"/>
  <c r="BO226" i="40"/>
  <c r="AY268" i="40"/>
  <c r="BG268" i="40" s="1"/>
  <c r="BO268" i="40"/>
  <c r="BO80" i="40"/>
  <c r="AY80" i="40"/>
  <c r="BG80" i="40" s="1"/>
  <c r="BD25" i="40"/>
  <c r="BL25" i="40" s="1"/>
  <c r="BT25" i="40"/>
  <c r="BC75" i="40"/>
  <c r="BK75" i="40" s="1"/>
  <c r="BS75" i="40"/>
  <c r="AY72" i="40"/>
  <c r="BG72" i="40" s="1"/>
  <c r="BO72" i="40"/>
  <c r="BA64" i="40"/>
  <c r="BI64" i="40" s="1"/>
  <c r="BQ64" i="40"/>
  <c r="BA48" i="40"/>
  <c r="BI48" i="40" s="1"/>
  <c r="BQ48" i="40"/>
  <c r="AZ49" i="40"/>
  <c r="BH49" i="40" s="1"/>
  <c r="BP49" i="40" s="1"/>
  <c r="BV27" i="40"/>
  <c r="BF27" i="40"/>
  <c r="BN27" i="40" s="1"/>
  <c r="BR138" i="40"/>
  <c r="BB138" i="40"/>
  <c r="BJ138" i="40" s="1"/>
  <c r="BQ105" i="40"/>
  <c r="BA105" i="40"/>
  <c r="BI105" i="40" s="1"/>
  <c r="BF108" i="40"/>
  <c r="BN108" i="40" s="1"/>
  <c r="BV108" i="40"/>
  <c r="BR95" i="40"/>
  <c r="BB95" i="40"/>
  <c r="BJ95" i="40" s="1"/>
  <c r="BC91" i="40"/>
  <c r="BK91" i="40" s="1"/>
  <c r="BS91" i="40"/>
  <c r="BA139" i="40"/>
  <c r="BI139" i="40" s="1"/>
  <c r="BQ139" i="40"/>
  <c r="BU121" i="40"/>
  <c r="BE121" i="40"/>
  <c r="BM121" i="40" s="1"/>
  <c r="BC147" i="40"/>
  <c r="BK147" i="40" s="1"/>
  <c r="BS147" i="40"/>
  <c r="BC193" i="40"/>
  <c r="BK193" i="40" s="1"/>
  <c r="BS193" i="40"/>
  <c r="BP200" i="40"/>
  <c r="AZ200" i="40"/>
  <c r="BH200" i="40" s="1"/>
  <c r="BS213" i="40"/>
  <c r="BC213" i="40"/>
  <c r="BK213" i="40" s="1"/>
  <c r="BF185" i="40"/>
  <c r="BN185" i="40" s="1"/>
  <c r="BV185" i="40"/>
  <c r="BC161" i="40"/>
  <c r="BK161" i="40" s="1"/>
  <c r="BS161" i="40" s="1"/>
  <c r="BO198" i="40"/>
  <c r="AY198" i="40"/>
  <c r="BG198" i="40" s="1"/>
  <c r="BB173" i="40"/>
  <c r="BJ173" i="40" s="1"/>
  <c r="BR173" i="40"/>
  <c r="BA219" i="40"/>
  <c r="BI219" i="40" s="1"/>
  <c r="BQ219" i="40"/>
  <c r="AZ231" i="40"/>
  <c r="BH231" i="40" s="1"/>
  <c r="BP231" i="40"/>
  <c r="AZ281" i="40"/>
  <c r="BH281" i="40" s="1"/>
  <c r="BP281" i="40"/>
  <c r="BA241" i="40"/>
  <c r="BI241" i="40" s="1"/>
  <c r="BQ241" i="40"/>
  <c r="BA220" i="40"/>
  <c r="BI220" i="40" s="1"/>
  <c r="BQ220" i="40"/>
  <c r="BT250" i="40"/>
  <c r="BD250" i="40"/>
  <c r="BL250" i="40" s="1"/>
  <c r="BE272" i="40"/>
  <c r="BM272" i="40" s="1"/>
  <c r="BU272" i="40"/>
  <c r="AY240" i="40"/>
  <c r="BG240" i="40" s="1"/>
  <c r="BO240" i="40"/>
  <c r="AY298" i="40"/>
  <c r="BG298" i="40" s="1"/>
  <c r="BO298" i="40"/>
  <c r="BF318" i="40"/>
  <c r="BN318" i="40" s="1"/>
  <c r="BV318" i="40"/>
  <c r="BV206" i="40"/>
  <c r="BF206" i="40"/>
  <c r="BN206" i="40" s="1"/>
  <c r="AY199" i="40"/>
  <c r="BG199" i="40" s="1"/>
  <c r="BO199" i="40"/>
  <c r="BV136" i="40"/>
  <c r="BF136" i="40"/>
  <c r="BN136" i="40" s="1"/>
  <c r="AY45" i="40"/>
  <c r="BG45" i="40" s="1"/>
  <c r="BO45" i="40"/>
  <c r="BC309" i="40"/>
  <c r="BK309" i="40" s="1"/>
  <c r="BS309" i="40"/>
  <c r="BE234" i="40"/>
  <c r="BM234" i="40" s="1"/>
  <c r="BU234" i="40"/>
  <c r="CH65" i="40"/>
  <c r="CN65" i="40" s="1"/>
  <c r="DC65" i="40" s="1"/>
  <c r="DD65" i="40" s="1"/>
  <c r="BT38" i="40"/>
  <c r="BD38" i="40"/>
  <c r="BL38" i="40" s="1"/>
  <c r="BT12" i="40"/>
  <c r="BD12" i="40"/>
  <c r="BL12" i="40" s="1"/>
  <c r="AY76" i="40"/>
  <c r="BG76" i="40" s="1"/>
  <c r="BO76" i="40"/>
  <c r="BF51" i="40"/>
  <c r="BN51" i="40" s="1"/>
  <c r="BV51" i="40"/>
  <c r="AY68" i="40"/>
  <c r="BG68" i="40" s="1"/>
  <c r="BO68" i="40"/>
  <c r="BU66" i="40"/>
  <c r="BE66" i="40"/>
  <c r="BM66" i="40" s="1"/>
  <c r="AZ16" i="40"/>
  <c r="BH16" i="40" s="1"/>
  <c r="BP16" i="40"/>
  <c r="BP117" i="40"/>
  <c r="AZ117" i="40"/>
  <c r="BH117" i="40" s="1"/>
  <c r="BR125" i="40"/>
  <c r="BB125" i="40"/>
  <c r="BJ125" i="40" s="1"/>
  <c r="BD102" i="40"/>
  <c r="BL102" i="40" s="1"/>
  <c r="BT102" i="40"/>
  <c r="BE82" i="40"/>
  <c r="BM82" i="40" s="1"/>
  <c r="BU82" i="40"/>
  <c r="BE118" i="40"/>
  <c r="BM118" i="40" s="1"/>
  <c r="BU118" i="40"/>
  <c r="BF168" i="40"/>
  <c r="BN168" i="40" s="1"/>
  <c r="BV168" i="40"/>
  <c r="BO183" i="40"/>
  <c r="AY183" i="40"/>
  <c r="BG183" i="40" s="1"/>
  <c r="BP196" i="40"/>
  <c r="AZ196" i="40"/>
  <c r="BH196" i="40" s="1"/>
  <c r="BF270" i="40"/>
  <c r="BN270" i="40" s="1"/>
  <c r="BV270" i="40"/>
  <c r="BD278" i="40"/>
  <c r="BL278" i="40" s="1"/>
  <c r="BT278" i="40"/>
  <c r="BE228" i="40"/>
  <c r="BM228" i="40" s="1"/>
  <c r="BU228" i="40"/>
  <c r="BF249" i="40"/>
  <c r="BN249" i="40" s="1"/>
  <c r="BV249" i="40"/>
  <c r="BU274" i="40"/>
  <c r="BE274" i="40"/>
  <c r="BM274" i="40" s="1"/>
  <c r="BT232" i="40"/>
  <c r="BD232" i="40"/>
  <c r="BL232" i="40" s="1"/>
  <c r="BF255" i="40"/>
  <c r="BN255" i="40" s="1"/>
  <c r="BV255" i="40"/>
  <c r="BC293" i="40"/>
  <c r="BK293" i="40" s="1"/>
  <c r="BS293" i="40"/>
  <c r="BB289" i="40"/>
  <c r="BJ289" i="40" s="1"/>
  <c r="BR289" i="40"/>
  <c r="BD316" i="40"/>
  <c r="BL316" i="40" s="1"/>
  <c r="BT316" i="40"/>
  <c r="BA194" i="40"/>
  <c r="BI194" i="40" s="1"/>
  <c r="BQ194" i="40"/>
  <c r="BR174" i="40"/>
  <c r="BB174" i="40"/>
  <c r="BJ174" i="40" s="1"/>
  <c r="BT315" i="40"/>
  <c r="BD315" i="40"/>
  <c r="BL315" i="40" s="1"/>
  <c r="AZ83" i="40"/>
  <c r="BH83" i="40" s="1"/>
  <c r="BP83" i="40"/>
  <c r="BA41" i="40"/>
  <c r="BI41" i="40" s="1"/>
  <c r="BQ41" i="40"/>
  <c r="BD9" i="40"/>
  <c r="BL9" i="40" s="1"/>
  <c r="BT9" i="40"/>
  <c r="BP303" i="40"/>
  <c r="AZ303" i="40"/>
  <c r="BH303" i="40" s="1"/>
  <c r="BU46" i="40"/>
  <c r="BE46" i="40"/>
  <c r="BM46" i="40" s="1"/>
  <c r="BC32" i="40"/>
  <c r="BK32" i="40" s="1"/>
  <c r="BS32" i="40"/>
  <c r="BD73" i="40"/>
  <c r="BL73" i="40" s="1"/>
  <c r="BT73" i="40"/>
  <c r="BF61" i="40"/>
  <c r="BN61" i="40" s="1"/>
  <c r="BV61" i="40"/>
  <c r="AY37" i="40"/>
  <c r="BG37" i="40" s="1"/>
  <c r="BO37" i="40"/>
  <c r="BA60" i="40"/>
  <c r="BI60" i="40" s="1"/>
  <c r="BQ60" i="40"/>
  <c r="AZ57" i="40"/>
  <c r="BH57" i="40" s="1"/>
  <c r="BP57" i="40"/>
  <c r="BF70" i="40"/>
  <c r="BN70" i="40" s="1"/>
  <c r="BV70" i="40"/>
  <c r="AZ144" i="40"/>
  <c r="BH144" i="40" s="1"/>
  <c r="BP144" i="40"/>
  <c r="BQ107" i="40"/>
  <c r="BA107" i="40"/>
  <c r="BI107" i="40" s="1"/>
  <c r="BU122" i="40"/>
  <c r="BE122" i="40"/>
  <c r="BM122" i="40" s="1"/>
  <c r="BC87" i="40"/>
  <c r="BK87" i="40" s="1"/>
  <c r="BS87" i="40"/>
  <c r="BQ110" i="40"/>
  <c r="CG110" i="40" s="1"/>
  <c r="CM110" i="40" s="1"/>
  <c r="DA110" i="40" s="1"/>
  <c r="DB110" i="40" s="1"/>
  <c r="BA110" i="40"/>
  <c r="BI110" i="40" s="1"/>
  <c r="BF109" i="40"/>
  <c r="BN109" i="40" s="1"/>
  <c r="BV109" i="40"/>
  <c r="BR124" i="40"/>
  <c r="BB124" i="40"/>
  <c r="BJ124" i="40" s="1"/>
  <c r="BS214" i="40"/>
  <c r="BC214" i="40"/>
  <c r="BK214" i="40" s="1"/>
  <c r="AZ204" i="40"/>
  <c r="BH204" i="40" s="1"/>
  <c r="BP204" i="40"/>
  <c r="BA195" i="40"/>
  <c r="BI195" i="40" s="1"/>
  <c r="BQ195" i="40"/>
  <c r="BT151" i="40"/>
  <c r="BD151" i="40"/>
  <c r="BL151" i="40" s="1"/>
  <c r="BR201" i="40"/>
  <c r="BB201" i="40"/>
  <c r="BJ201" i="40" s="1"/>
  <c r="BA156" i="40"/>
  <c r="BI156" i="40" s="1"/>
  <c r="BQ156" i="40"/>
  <c r="BD177" i="40"/>
  <c r="BL177" i="40" s="1"/>
  <c r="BT177" i="40"/>
  <c r="BP169" i="40"/>
  <c r="AZ169" i="40"/>
  <c r="BH169" i="40" s="1"/>
  <c r="BB279" i="40"/>
  <c r="BJ279" i="40" s="1"/>
  <c r="BR279" i="40"/>
  <c r="BB242" i="40"/>
  <c r="BJ242" i="40" s="1"/>
  <c r="BR242" i="40"/>
  <c r="BF265" i="40"/>
  <c r="BN265" i="40" s="1"/>
  <c r="BV265" i="40"/>
  <c r="BV283" i="40"/>
  <c r="BF283" i="40"/>
  <c r="BN283" i="40" s="1"/>
  <c r="BA277" i="40"/>
  <c r="BI277" i="40" s="1"/>
  <c r="BQ277" i="40"/>
  <c r="BD258" i="40"/>
  <c r="BL258" i="40" s="1"/>
  <c r="BT258" i="40"/>
  <c r="BD31" i="40"/>
  <c r="BL31" i="40" s="1"/>
  <c r="BT31" i="40"/>
  <c r="BO288" i="40"/>
  <c r="AY288" i="40"/>
  <c r="BG288" i="40" s="1"/>
  <c r="BV308" i="40"/>
  <c r="BF308" i="40"/>
  <c r="BN308" i="40" s="1"/>
  <c r="BD302" i="40"/>
  <c r="BL302" i="40" s="1"/>
  <c r="BT302" i="40" s="1"/>
  <c r="BD39" i="40"/>
  <c r="BL39" i="40" s="1"/>
  <c r="BT39" i="40" s="1"/>
  <c r="BF59" i="40"/>
  <c r="BN59" i="40" s="1"/>
  <c r="BV59" i="40"/>
  <c r="BD112" i="40"/>
  <c r="BL112" i="40" s="1"/>
  <c r="BT112" i="40"/>
  <c r="BB245" i="40"/>
  <c r="BJ245" i="40" s="1"/>
  <c r="BR245" i="40"/>
  <c r="BC155" i="40"/>
  <c r="BK155" i="40" s="1"/>
  <c r="BS155" i="40"/>
  <c r="BD187" i="40"/>
  <c r="BL187" i="40" s="1"/>
  <c r="BT187" i="40"/>
  <c r="BV35" i="40"/>
  <c r="BF35" i="40"/>
  <c r="BN35" i="40" s="1"/>
  <c r="BP7" i="40"/>
  <c r="AZ7" i="40"/>
  <c r="BH7" i="40" s="1"/>
  <c r="BA58" i="40"/>
  <c r="BI58" i="40" s="1"/>
  <c r="BQ58" i="40"/>
  <c r="CG58" i="40" s="1"/>
  <c r="CM58" i="40" s="1"/>
  <c r="DA58" i="40" s="1"/>
  <c r="DB58" i="40" s="1"/>
  <c r="AY67" i="40"/>
  <c r="BG67" i="40" s="1"/>
  <c r="BO67" i="40"/>
  <c r="BP23" i="40"/>
  <c r="AZ23" i="40"/>
  <c r="BH23" i="40" s="1"/>
  <c r="AY53" i="40"/>
  <c r="BG53" i="40" s="1"/>
  <c r="BO53" i="40"/>
  <c r="AY18" i="40"/>
  <c r="BG18" i="40" s="1"/>
  <c r="BO18" i="40"/>
  <c r="AY14" i="40"/>
  <c r="BG14" i="40" s="1"/>
  <c r="BO14" i="40"/>
  <c r="BA78" i="40"/>
  <c r="BI78" i="40" s="1"/>
  <c r="BQ78" i="40"/>
  <c r="BT111" i="40"/>
  <c r="BD111" i="40"/>
  <c r="BL111" i="40" s="1"/>
  <c r="BB99" i="40"/>
  <c r="BJ99" i="40" s="1"/>
  <c r="BR99" i="40"/>
  <c r="BC79" i="40"/>
  <c r="BK79" i="40" s="1"/>
  <c r="BS79" i="40"/>
  <c r="BB135" i="40"/>
  <c r="BJ135" i="40" s="1"/>
  <c r="BR135" i="40"/>
  <c r="BC129" i="40"/>
  <c r="BK129" i="40" s="1"/>
  <c r="BS129" i="40"/>
  <c r="AY166" i="40"/>
  <c r="BG166" i="40" s="1"/>
  <c r="BO166" i="40"/>
  <c r="AZ205" i="40"/>
  <c r="BH205" i="40" s="1"/>
  <c r="BP205" i="40"/>
  <c r="AY209" i="40"/>
  <c r="BG209" i="40" s="1"/>
  <c r="BO209" i="40"/>
  <c r="BC180" i="40"/>
  <c r="BK180" i="40" s="1"/>
  <c r="BS180" i="40"/>
  <c r="BC182" i="40"/>
  <c r="BK182" i="40" s="1"/>
  <c r="BS182" i="40" s="1"/>
  <c r="BA208" i="40"/>
  <c r="BI208" i="40" s="1"/>
  <c r="BQ208" i="40"/>
  <c r="AZ163" i="40"/>
  <c r="BH163" i="40" s="1"/>
  <c r="BP163" i="40"/>
  <c r="BQ150" i="40"/>
  <c r="BA150" i="40"/>
  <c r="BI150" i="40" s="1"/>
  <c r="AZ259" i="40"/>
  <c r="BH259" i="40" s="1"/>
  <c r="BP259" i="40"/>
  <c r="BB238" i="40"/>
  <c r="BJ238" i="40" s="1"/>
  <c r="BR238" i="40"/>
  <c r="BD218" i="40"/>
  <c r="BL218" i="40" s="1"/>
  <c r="BT218" i="40"/>
  <c r="BE217" i="40"/>
  <c r="BM217" i="40" s="1"/>
  <c r="BU217" i="40" s="1"/>
  <c r="BQ254" i="40"/>
  <c r="BA254" i="40"/>
  <c r="BI254" i="40" s="1"/>
  <c r="AZ276" i="40"/>
  <c r="BH276" i="40" s="1"/>
  <c r="BP276" i="40"/>
  <c r="AY10" i="40"/>
  <c r="BG10" i="40" s="1"/>
  <c r="BO10" i="40"/>
  <c r="BE292" i="40"/>
  <c r="BM292" i="40" s="1"/>
  <c r="BU292" i="40"/>
  <c r="BC295" i="40"/>
  <c r="BK295" i="40" s="1"/>
  <c r="BS295" i="40"/>
  <c r="CI295" i="40" s="1"/>
  <c r="CO295" i="40" s="1"/>
  <c r="DE295" i="40" s="1"/>
  <c r="DF295" i="40" s="1"/>
  <c r="AZ189" i="40"/>
  <c r="BH189" i="40" s="1"/>
  <c r="BP189" i="40"/>
  <c r="BS114" i="40"/>
  <c r="BC114" i="40"/>
  <c r="BK114" i="40" s="1"/>
  <c r="BQ137" i="40"/>
  <c r="BA137" i="40"/>
  <c r="BI137" i="40" s="1"/>
  <c r="BC40" i="40"/>
  <c r="BK40" i="40" s="1"/>
  <c r="BS40" i="40"/>
  <c r="CI40" i="40" s="1"/>
  <c r="CO40" i="40" s="1"/>
  <c r="DE40" i="40" s="1"/>
  <c r="DF40" i="40" s="1"/>
  <c r="BB165" i="40"/>
  <c r="BJ165" i="40" s="1"/>
  <c r="BR165" i="40"/>
  <c r="BU13" i="40"/>
  <c r="BE13" i="40"/>
  <c r="BM13" i="40" s="1"/>
  <c r="BV22" i="40"/>
  <c r="BF22" i="40"/>
  <c r="BN22" i="40" s="1"/>
  <c r="BC74" i="40"/>
  <c r="BK74" i="40" s="1"/>
  <c r="BS74" i="40"/>
  <c r="BU96" i="40"/>
  <c r="BE96" i="40"/>
  <c r="BM96" i="40" s="1"/>
  <c r="BC94" i="40"/>
  <c r="BK94" i="40" s="1"/>
  <c r="BS94" i="40"/>
  <c r="BA145" i="40"/>
  <c r="BI145" i="40" s="1"/>
  <c r="BQ145" i="40"/>
  <c r="BQ101" i="40"/>
  <c r="BA101" i="40"/>
  <c r="BI101" i="40" s="1"/>
  <c r="BS88" i="40"/>
  <c r="BC88" i="40"/>
  <c r="BK88" i="40" s="1"/>
  <c r="BD89" i="40"/>
  <c r="BL89" i="40" s="1"/>
  <c r="BT89" i="40" s="1"/>
  <c r="BE140" i="40"/>
  <c r="BM140" i="40" s="1"/>
  <c r="BU140" i="40"/>
  <c r="BV133" i="40"/>
  <c r="BF133" i="40"/>
  <c r="BN133" i="40" s="1"/>
  <c r="BB84" i="40"/>
  <c r="BJ84" i="40" s="1"/>
  <c r="BR84" i="40"/>
  <c r="BE159" i="40"/>
  <c r="BM159" i="40" s="1"/>
  <c r="BU159" i="40"/>
  <c r="BQ210" i="40"/>
  <c r="BA210" i="40"/>
  <c r="BI210" i="40" s="1"/>
  <c r="BB178" i="40"/>
  <c r="BJ178" i="40" s="1"/>
  <c r="BR178" i="40"/>
  <c r="BO160" i="40"/>
  <c r="AY160" i="40"/>
  <c r="BG160" i="40" s="1"/>
  <c r="BQ191" i="40"/>
  <c r="BA191" i="40"/>
  <c r="BI191" i="40" s="1"/>
  <c r="BT153" i="40"/>
  <c r="BD153" i="40"/>
  <c r="BL153" i="40" s="1"/>
  <c r="BB175" i="40"/>
  <c r="BJ175" i="40" s="1"/>
  <c r="BR175" i="40"/>
  <c r="BE267" i="40"/>
  <c r="BM267" i="40" s="1"/>
  <c r="BU267" i="40"/>
  <c r="BD266" i="40"/>
  <c r="BL266" i="40" s="1"/>
  <c r="BT266" i="40"/>
  <c r="BB244" i="40"/>
  <c r="BJ244" i="40" s="1"/>
  <c r="BR244" i="40"/>
  <c r="BP235" i="40"/>
  <c r="AZ235" i="40"/>
  <c r="BH235" i="40" s="1"/>
  <c r="BB285" i="40"/>
  <c r="BJ285" i="40" s="1"/>
  <c r="BR285" i="40"/>
  <c r="CH285" i="40" s="1"/>
  <c r="CN285" i="40" s="1"/>
  <c r="DC285" i="40" s="1"/>
  <c r="DD285" i="40" s="1"/>
  <c r="BF252" i="40"/>
  <c r="BN252" i="40" s="1"/>
  <c r="BV252" i="40"/>
  <c r="BC253" i="40"/>
  <c r="BK253" i="40" s="1"/>
  <c r="BS253" i="40"/>
  <c r="BB256" i="40"/>
  <c r="BJ256" i="40" s="1"/>
  <c r="BR256" i="40"/>
  <c r="BR262" i="40"/>
  <c r="BB262" i="40"/>
  <c r="BJ262" i="40" s="1"/>
  <c r="BE313" i="40"/>
  <c r="BM313" i="40" s="1"/>
  <c r="BU313" i="40"/>
  <c r="BA152" i="40"/>
  <c r="BI152" i="40" s="1"/>
  <c r="BQ152" i="40"/>
  <c r="CF152" i="40" s="1"/>
  <c r="CL152" i="40" s="1"/>
  <c r="CY152" i="40" s="1"/>
  <c r="CZ152" i="40" s="1"/>
  <c r="BV311" i="40"/>
  <c r="BF311" i="40"/>
  <c r="BN311" i="40" s="1"/>
  <c r="BA236" i="40"/>
  <c r="BI236" i="40" s="1"/>
  <c r="BQ236" i="40"/>
  <c r="AZ229" i="40"/>
  <c r="BH229" i="40" s="1"/>
  <c r="BP229" i="40"/>
  <c r="BD233" i="40"/>
  <c r="BL233" i="40" s="1"/>
  <c r="BT233" i="40"/>
  <c r="BV314" i="40"/>
  <c r="BF314" i="40"/>
  <c r="BN314" i="40" s="1"/>
  <c r="BA8" i="40"/>
  <c r="BI8" i="40" s="1"/>
  <c r="BQ8" i="40"/>
  <c r="CG8" i="40" s="1"/>
  <c r="CM8" i="40" s="1"/>
  <c r="DA8" i="40" s="1"/>
  <c r="DB8" i="40" s="1"/>
  <c r="BA77" i="40"/>
  <c r="BI77" i="40" s="1"/>
  <c r="BQ77" i="40"/>
  <c r="AY47" i="40"/>
  <c r="BG47" i="40" s="1"/>
  <c r="BO47" i="40"/>
  <c r="BQ44" i="40"/>
  <c r="BA44" i="40"/>
  <c r="BI44" i="40" s="1"/>
  <c r="BA134" i="40"/>
  <c r="BI134" i="40" s="1"/>
  <c r="BQ134" i="40"/>
  <c r="BD148" i="40"/>
  <c r="BL148" i="40" s="1"/>
  <c r="BT148" i="40" s="1"/>
  <c r="BU100" i="40"/>
  <c r="BE100" i="40"/>
  <c r="BM100" i="40" s="1"/>
  <c r="BP130" i="40"/>
  <c r="AZ130" i="40"/>
  <c r="BH130" i="40" s="1"/>
  <c r="BE81" i="40"/>
  <c r="BM81" i="40" s="1"/>
  <c r="BU81" i="40"/>
  <c r="AZ142" i="40"/>
  <c r="BH142" i="40" s="1"/>
  <c r="BP142" i="40"/>
  <c r="BO146" i="40"/>
  <c r="AY146" i="40"/>
  <c r="BG146" i="40" s="1"/>
  <c r="AZ212" i="40"/>
  <c r="BH212" i="40" s="1"/>
  <c r="BP212" i="40"/>
  <c r="BC170" i="40"/>
  <c r="BK170" i="40" s="1"/>
  <c r="BS170" i="40"/>
  <c r="BV158" i="40"/>
  <c r="BF158" i="40"/>
  <c r="BN158" i="40" s="1"/>
  <c r="BP171" i="40"/>
  <c r="AZ171" i="40"/>
  <c r="BH171" i="40" s="1"/>
  <c r="BB164" i="40"/>
  <c r="BJ164" i="40" s="1"/>
  <c r="BR164" i="40"/>
  <c r="AZ184" i="40"/>
  <c r="BH184" i="40" s="1"/>
  <c r="BP184" i="40"/>
  <c r="BB222" i="40"/>
  <c r="BJ222" i="40" s="1"/>
  <c r="BR222" i="40"/>
  <c r="BA227" i="40"/>
  <c r="BI227" i="40" s="1"/>
  <c r="BQ227" i="40"/>
  <c r="AZ261" i="40"/>
  <c r="BH261" i="40" s="1"/>
  <c r="BP261" i="40"/>
  <c r="AZ264" i="40"/>
  <c r="BH264" i="40" s="1"/>
  <c r="BP264" i="40"/>
  <c r="BP239" i="40"/>
  <c r="AZ239" i="40"/>
  <c r="BH239" i="40" s="1"/>
  <c r="BE291" i="40"/>
  <c r="BM291" i="40" s="1"/>
  <c r="BU291" i="40"/>
  <c r="BF28" i="40"/>
  <c r="BN28" i="40" s="1"/>
  <c r="BV28" i="40"/>
  <c r="BA305" i="40"/>
  <c r="BI305" i="40" s="1"/>
  <c r="BQ305" i="40"/>
  <c r="BQ120" i="40"/>
  <c r="BA120" i="40"/>
  <c r="BI120" i="40" s="1"/>
  <c r="BV188" i="40"/>
  <c r="BF188" i="40"/>
  <c r="BN188" i="40" s="1"/>
  <c r="BO52" i="40"/>
  <c r="AY52" i="40"/>
  <c r="BG52" i="40" s="1"/>
  <c r="BB33" i="40"/>
  <c r="BJ33" i="40" s="1"/>
  <c r="BR33" i="40"/>
  <c r="BA26" i="40"/>
  <c r="BI26" i="40" s="1"/>
  <c r="BQ26" i="40"/>
  <c r="BE54" i="40"/>
  <c r="BM54" i="40" s="1"/>
  <c r="BU54" i="40"/>
  <c r="BD56" i="40"/>
  <c r="BL56" i="40" s="1"/>
  <c r="BT56" i="40"/>
  <c r="BB69" i="40"/>
  <c r="BJ69" i="40" s="1"/>
  <c r="BR69" i="40"/>
  <c r="AZ24" i="40"/>
  <c r="BH24" i="40" s="1"/>
  <c r="BP24" i="40"/>
  <c r="BD85" i="40"/>
  <c r="BL85" i="40" s="1"/>
  <c r="BT85" i="40"/>
  <c r="BB106" i="40"/>
  <c r="BJ106" i="40" s="1"/>
  <c r="BR106" i="40"/>
  <c r="BQ128" i="40"/>
  <c r="BA128" i="40"/>
  <c r="BI128" i="40" s="1"/>
  <c r="AY131" i="40"/>
  <c r="BG131" i="40" s="1"/>
  <c r="BO131" i="40"/>
  <c r="BA97" i="40"/>
  <c r="BI97" i="40" s="1"/>
  <c r="BQ97" i="40"/>
  <c r="BF115" i="40"/>
  <c r="BN115" i="40" s="1"/>
  <c r="BV115" i="40"/>
  <c r="BB149" i="40"/>
  <c r="BJ149" i="40" s="1"/>
  <c r="BR149" i="40"/>
  <c r="BA167" i="40"/>
  <c r="BI167" i="40" s="1"/>
  <c r="BQ167" i="40"/>
  <c r="BQ203" i="40"/>
  <c r="BA203" i="40"/>
  <c r="BI203" i="40" s="1"/>
  <c r="BD179" i="40"/>
  <c r="BL179" i="40" s="1"/>
  <c r="BT179" i="40" s="1"/>
  <c r="BC197" i="40"/>
  <c r="BK197" i="40" s="1"/>
  <c r="BS197" i="40"/>
  <c r="BD192" i="40"/>
  <c r="BL192" i="40" s="1"/>
  <c r="BT192" i="40"/>
  <c r="BB157" i="40"/>
  <c r="BJ157" i="40" s="1"/>
  <c r="BR157" i="40"/>
  <c r="BB248" i="40"/>
  <c r="BJ248" i="40" s="1"/>
  <c r="BR248" i="40"/>
  <c r="BR251" i="40"/>
  <c r="BB251" i="40"/>
  <c r="BJ251" i="40" s="1"/>
  <c r="BB237" i="40"/>
  <c r="BJ237" i="40" s="1"/>
  <c r="BR237" i="40"/>
  <c r="BD246" i="40"/>
  <c r="BL246" i="40" s="1"/>
  <c r="BT246" i="40"/>
  <c r="BR280" i="40"/>
  <c r="BB280" i="40"/>
  <c r="BJ280" i="40" s="1"/>
  <c r="BE225" i="40"/>
  <c r="BM225" i="40" s="1"/>
  <c r="BU225" i="40"/>
  <c r="BC269" i="40"/>
  <c r="BK269" i="40" s="1"/>
  <c r="BS269" i="40"/>
  <c r="CG269" i="40" s="1"/>
  <c r="CM269" i="40" s="1"/>
  <c r="DA269" i="40" s="1"/>
  <c r="DB269" i="40" s="1"/>
  <c r="BE230" i="40"/>
  <c r="BM230" i="40" s="1"/>
  <c r="BU230" i="40"/>
  <c r="BB221" i="40"/>
  <c r="BJ221" i="40" s="1"/>
  <c r="BR221" i="40"/>
  <c r="AZ224" i="40"/>
  <c r="BH224" i="40" s="1"/>
  <c r="BP224" i="40"/>
  <c r="BB5" i="40"/>
  <c r="BJ5" i="40" s="1"/>
  <c r="BR5" i="40"/>
  <c r="CH5" i="40" s="1"/>
  <c r="CN5" i="40" s="1"/>
  <c r="DC5" i="40" s="1"/>
  <c r="DD5" i="40" s="1"/>
  <c r="BP296" i="40"/>
  <c r="AZ296" i="40"/>
  <c r="BH296" i="40" s="1"/>
  <c r="AZ310" i="40"/>
  <c r="BH310" i="40" s="1"/>
  <c r="BP310" i="40"/>
  <c r="BE162" i="40"/>
  <c r="BM162" i="40" s="1"/>
  <c r="BU162" i="40"/>
  <c r="BA202" i="40"/>
  <c r="BI202" i="40" s="1"/>
  <c r="BQ202" i="40"/>
  <c r="AY273" i="40"/>
  <c r="BG273" i="40" s="1"/>
  <c r="BO273" i="40"/>
  <c r="BC284" i="40"/>
  <c r="BK284" i="40" s="1"/>
  <c r="BS284" i="40"/>
  <c r="BA123" i="40"/>
  <c r="BI123" i="40" s="1"/>
  <c r="BQ123" i="40"/>
  <c r="BC223" i="40"/>
  <c r="BK223" i="40" s="1"/>
  <c r="BS223" i="40"/>
  <c r="CI223" i="40" s="1"/>
  <c r="CO223" i="40" s="1"/>
  <c r="DE223" i="40" s="1"/>
  <c r="DF223" i="40" s="1"/>
  <c r="AY29" i="40"/>
  <c r="BG29" i="40" s="1"/>
  <c r="BO29" i="40"/>
  <c r="AZ20" i="40"/>
  <c r="BH20" i="40" s="1"/>
  <c r="BP20" i="40"/>
  <c r="BC6" i="40"/>
  <c r="BK6" i="40" s="1"/>
  <c r="BS6" i="40"/>
  <c r="BA34" i="40"/>
  <c r="BI34" i="40" s="1"/>
  <c r="BQ34" i="40"/>
  <c r="BB71" i="40"/>
  <c r="BJ71" i="40" s="1"/>
  <c r="BR71" i="40"/>
  <c r="BE30" i="40"/>
  <c r="BM30" i="40" s="1"/>
  <c r="BU30" i="40"/>
  <c r="AY42" i="40"/>
  <c r="BG42" i="40" s="1"/>
  <c r="BO42" i="40"/>
  <c r="BB119" i="40"/>
  <c r="BJ119" i="40" s="1"/>
  <c r="BR119" i="40"/>
  <c r="AZ92" i="40"/>
  <c r="BH92" i="40" s="1"/>
  <c r="BP92" i="40"/>
  <c r="AY104" i="40"/>
  <c r="BG104" i="40" s="1"/>
  <c r="BO104" i="40"/>
  <c r="BB116" i="40"/>
  <c r="BJ116" i="40" s="1"/>
  <c r="BR116" i="40"/>
  <c r="BA143" i="40"/>
  <c r="BI143" i="40" s="1"/>
  <c r="BQ143" i="40"/>
  <c r="BC215" i="40"/>
  <c r="BK215" i="40" s="1"/>
  <c r="BS215" i="40"/>
  <c r="BT186" i="40"/>
  <c r="BD186" i="40"/>
  <c r="BL186" i="40" s="1"/>
  <c r="AY172" i="40"/>
  <c r="BG172" i="40" s="1"/>
  <c r="BO172" i="40"/>
  <c r="BU211" i="40"/>
  <c r="BE211" i="40"/>
  <c r="BM211" i="40" s="1"/>
  <c r="BV181" i="40"/>
  <c r="BF181" i="40"/>
  <c r="BN181" i="40" s="1"/>
  <c r="BS260" i="40"/>
  <c r="BC260" i="40"/>
  <c r="BK260" i="40" s="1"/>
  <c r="AY257" i="40"/>
  <c r="BG257" i="40" s="1"/>
  <c r="BO257" i="40"/>
  <c r="BF271" i="40"/>
  <c r="BN271" i="40" s="1"/>
  <c r="BV271" i="40"/>
  <c r="BB282" i="40"/>
  <c r="BJ282" i="40" s="1"/>
  <c r="BR282" i="40"/>
  <c r="BE275" i="40"/>
  <c r="BM275" i="40" s="1"/>
  <c r="BU275" i="40"/>
  <c r="BO247" i="40"/>
  <c r="AY247" i="40"/>
  <c r="BG247" i="40" s="1"/>
  <c r="BA103" i="40"/>
  <c r="BI103" i="40" s="1"/>
  <c r="BQ103" i="40"/>
  <c r="BB307" i="40"/>
  <c r="BJ307" i="40" s="1"/>
  <c r="BR307" i="40"/>
  <c r="BA226" i="40"/>
  <c r="BI226" i="40" s="1"/>
  <c r="BQ226" i="40"/>
  <c r="BD268" i="40"/>
  <c r="BL268" i="40" s="1"/>
  <c r="BT268" i="40"/>
  <c r="BU80" i="40"/>
  <c r="BE80" i="40"/>
  <c r="BM80" i="40" s="1"/>
  <c r="BR25" i="40"/>
  <c r="BB25" i="40"/>
  <c r="BJ25" i="40" s="1"/>
  <c r="AZ75" i="40"/>
  <c r="BH75" i="40" s="1"/>
  <c r="BP75" i="40"/>
  <c r="BU72" i="40"/>
  <c r="BE72" i="40"/>
  <c r="BM72" i="40" s="1"/>
  <c r="BD64" i="40"/>
  <c r="BL64" i="40" s="1"/>
  <c r="BT64" i="40"/>
  <c r="CJ64" i="40" s="1"/>
  <c r="CP64" i="40" s="1"/>
  <c r="DG64" i="40" s="1"/>
  <c r="DH64" i="40" s="1"/>
  <c r="BE48" i="40"/>
  <c r="BM48" i="40" s="1"/>
  <c r="BU48" i="40"/>
  <c r="BB49" i="40"/>
  <c r="BJ49" i="40" s="1"/>
  <c r="BR49" i="40"/>
  <c r="BU27" i="40"/>
  <c r="BE27" i="40"/>
  <c r="BM27" i="40" s="1"/>
  <c r="BD138" i="40"/>
  <c r="BL138" i="40" s="1"/>
  <c r="BT138" i="40"/>
  <c r="BE105" i="40"/>
  <c r="BM105" i="40" s="1"/>
  <c r="BU105" i="40"/>
  <c r="BD108" i="40"/>
  <c r="BL108" i="40" s="1"/>
  <c r="BT108" i="40"/>
  <c r="BC95" i="40"/>
  <c r="BK95" i="40" s="1"/>
  <c r="BS95" i="40"/>
  <c r="AZ91" i="40"/>
  <c r="BH91" i="40" s="1"/>
  <c r="BP91" i="40"/>
  <c r="BB139" i="40"/>
  <c r="BJ139" i="40" s="1"/>
  <c r="BR139" i="40" s="1"/>
  <c r="BB121" i="40"/>
  <c r="BJ121" i="40" s="1"/>
  <c r="BR121" i="40"/>
  <c r="BB147" i="40"/>
  <c r="BJ147" i="40" s="1"/>
  <c r="BR147" i="40"/>
  <c r="BT193" i="40"/>
  <c r="BD193" i="40"/>
  <c r="BL193" i="40" s="1"/>
  <c r="BB200" i="40"/>
  <c r="BJ200" i="40" s="1"/>
  <c r="BR200" i="40"/>
  <c r="BB213" i="40"/>
  <c r="BJ213" i="40" s="1"/>
  <c r="BR213" i="40"/>
  <c r="BO185" i="40"/>
  <c r="AY185" i="40"/>
  <c r="BG185" i="40" s="1"/>
  <c r="AY190" i="40"/>
  <c r="BG190" i="40" s="1"/>
  <c r="BO190" i="40"/>
  <c r="AZ161" i="40"/>
  <c r="BH161" i="40" s="1"/>
  <c r="BP161" i="40"/>
  <c r="CH198" i="40"/>
  <c r="CN198" i="40" s="1"/>
  <c r="DC198" i="40" s="1"/>
  <c r="DD198" i="40" s="1"/>
  <c r="BC219" i="40"/>
  <c r="BK219" i="40" s="1"/>
  <c r="BS219" i="40"/>
  <c r="BT231" i="40"/>
  <c r="BD231" i="40"/>
  <c r="BL231" i="40" s="1"/>
  <c r="BC281" i="40"/>
  <c r="BK281" i="40" s="1"/>
  <c r="BS281" i="40"/>
  <c r="BD241" i="40"/>
  <c r="BL241" i="40" s="1"/>
  <c r="BT241" i="40"/>
  <c r="BC220" i="40"/>
  <c r="BK220" i="40" s="1"/>
  <c r="BS220" i="40"/>
  <c r="BC250" i="40"/>
  <c r="BK250" i="40" s="1"/>
  <c r="BS250" i="40"/>
  <c r="AY272" i="40"/>
  <c r="BG272" i="40" s="1"/>
  <c r="BO272" i="40"/>
  <c r="AZ240" i="40"/>
  <c r="BH240" i="40" s="1"/>
  <c r="BP240" i="40"/>
  <c r="BD298" i="40"/>
  <c r="BL298" i="40" s="1"/>
  <c r="BT298" i="40"/>
  <c r="BT318" i="40"/>
  <c r="BD318" i="40"/>
  <c r="BL318" i="40" s="1"/>
  <c r="BQ206" i="40"/>
  <c r="BA206" i="40"/>
  <c r="BI206" i="40" s="1"/>
  <c r="BA154" i="40"/>
  <c r="BI154" i="40" s="1"/>
  <c r="BQ154" i="40"/>
  <c r="CG154" i="40" s="1"/>
  <c r="CM154" i="40" s="1"/>
  <c r="DA154" i="40" s="1"/>
  <c r="DB154" i="40" s="1"/>
  <c r="AZ199" i="40"/>
  <c r="BH199" i="40" s="1"/>
  <c r="BP199" i="40"/>
  <c r="AY136" i="40"/>
  <c r="BG136" i="40" s="1"/>
  <c r="BO136" i="40"/>
  <c r="AZ45" i="40"/>
  <c r="BH45" i="40" s="1"/>
  <c r="BP45" i="40"/>
  <c r="BA309" i="40"/>
  <c r="BI309" i="40" s="1"/>
  <c r="BQ309" i="40"/>
  <c r="BV234" i="40"/>
  <c r="BF234" i="40"/>
  <c r="BN234" i="40" s="1"/>
  <c r="AY38" i="40"/>
  <c r="BG38" i="40" s="1"/>
  <c r="BO38" i="40" s="1"/>
  <c r="BQ12" i="40"/>
  <c r="BA12" i="40"/>
  <c r="BI12" i="40" s="1"/>
  <c r="BU76" i="40"/>
  <c r="BE76" i="40"/>
  <c r="BM76" i="40" s="1"/>
  <c r="BE51" i="40"/>
  <c r="BM51" i="40" s="1"/>
  <c r="BU51" i="40"/>
  <c r="BB68" i="40"/>
  <c r="BJ68" i="40" s="1"/>
  <c r="BR68" i="40"/>
  <c r="BP66" i="40"/>
  <c r="AZ66" i="40"/>
  <c r="BH66" i="40" s="1"/>
  <c r="BU16" i="40"/>
  <c r="BE16" i="40"/>
  <c r="BM16" i="40" s="1"/>
  <c r="BA117" i="40"/>
  <c r="BI117" i="40" s="1"/>
  <c r="BQ117" i="40"/>
  <c r="BA102" i="40"/>
  <c r="BI102" i="40" s="1"/>
  <c r="BQ102" i="40"/>
  <c r="BV82" i="40"/>
  <c r="BF82" i="40"/>
  <c r="BN82" i="40" s="1"/>
  <c r="AZ118" i="40"/>
  <c r="BH118" i="40" s="1"/>
  <c r="BP118" i="40"/>
  <c r="BA168" i="40"/>
  <c r="BI168" i="40" s="1"/>
  <c r="BQ168" i="40"/>
  <c r="BB183" i="40"/>
  <c r="BJ183" i="40" s="1"/>
  <c r="BR183" i="40"/>
  <c r="BB196" i="40"/>
  <c r="BJ196" i="40" s="1"/>
  <c r="BR196" i="40"/>
  <c r="BT270" i="40"/>
  <c r="BD270" i="40"/>
  <c r="BL270" i="40" s="1"/>
  <c r="BB278" i="40"/>
  <c r="BJ278" i="40" s="1"/>
  <c r="BR278" i="40"/>
  <c r="BP228" i="40"/>
  <c r="AZ228" i="40"/>
  <c r="BH228" i="40" s="1"/>
  <c r="BA249" i="40"/>
  <c r="BI249" i="40" s="1"/>
  <c r="BQ249" i="40"/>
  <c r="BF274" i="40"/>
  <c r="BN274" i="40" s="1"/>
  <c r="BV274" i="40"/>
  <c r="BC232" i="40"/>
  <c r="BK232" i="40" s="1"/>
  <c r="BS232" i="40"/>
  <c r="BB255" i="40"/>
  <c r="BJ255" i="40" s="1"/>
  <c r="BR255" i="40"/>
  <c r="BD293" i="40"/>
  <c r="BL293" i="40" s="1"/>
  <c r="BT293" i="40"/>
  <c r="BF289" i="40"/>
  <c r="BN289" i="40" s="1"/>
  <c r="BV289" i="40"/>
  <c r="BE316" i="40"/>
  <c r="BM316" i="40" s="1"/>
  <c r="BU316" i="40"/>
  <c r="BS194" i="40"/>
  <c r="BC194" i="40"/>
  <c r="BK194" i="40" s="1"/>
  <c r="BC174" i="40"/>
  <c r="BK174" i="40" s="1"/>
  <c r="BS174" i="40"/>
  <c r="AY315" i="40"/>
  <c r="BG315" i="40" s="1"/>
  <c r="BO315" i="40"/>
  <c r="CE315" i="40" s="1"/>
  <c r="CK315" i="40" s="1"/>
  <c r="CW315" i="40" s="1"/>
  <c r="CX315" i="40" s="1"/>
  <c r="BA83" i="40"/>
  <c r="BI83" i="40" s="1"/>
  <c r="BQ83" i="40"/>
  <c r="AZ41" i="40"/>
  <c r="BH41" i="40" s="1"/>
  <c r="BP41" i="40"/>
  <c r="CH141" i="40"/>
  <c r="CN141" i="40" s="1"/>
  <c r="DC141" i="40" s="1"/>
  <c r="DD141" i="40" s="1"/>
  <c r="BR9" i="40"/>
  <c r="CH9" i="40" s="1"/>
  <c r="CN9" i="40" s="1"/>
  <c r="DC9" i="40" s="1"/>
  <c r="DD9" i="40" s="1"/>
  <c r="BB9" i="40"/>
  <c r="BJ9" i="40" s="1"/>
  <c r="BA303" i="40"/>
  <c r="BI303" i="40" s="1"/>
  <c r="BQ303" i="40"/>
  <c r="BD46" i="40"/>
  <c r="BL46" i="40" s="1"/>
  <c r="BT46" i="40"/>
  <c r="AY32" i="40"/>
  <c r="BG32" i="40" s="1"/>
  <c r="BO32" i="40"/>
  <c r="BC73" i="40"/>
  <c r="BK73" i="40" s="1"/>
  <c r="BS73" i="40"/>
  <c r="BE61" i="40"/>
  <c r="BM61" i="40" s="1"/>
  <c r="BU61" i="40"/>
  <c r="BE37" i="40"/>
  <c r="BM37" i="40" s="1"/>
  <c r="BU37" i="40"/>
  <c r="BD60" i="40"/>
  <c r="BL60" i="40" s="1"/>
  <c r="BT60" i="40"/>
  <c r="BC57" i="40"/>
  <c r="BK57" i="40" s="1"/>
  <c r="BS57" i="40"/>
  <c r="BE70" i="40"/>
  <c r="BM70" i="40" s="1"/>
  <c r="BU70" i="40" s="1"/>
  <c r="BB144" i="40"/>
  <c r="BJ144" i="40" s="1"/>
  <c r="BR144" i="40" s="1"/>
  <c r="BB107" i="40"/>
  <c r="BJ107" i="40" s="1"/>
  <c r="BR107" i="40"/>
  <c r="BD122" i="40"/>
  <c r="BL122" i="40" s="1"/>
  <c r="BT122" i="40"/>
  <c r="BU109" i="40"/>
  <c r="BE109" i="40"/>
  <c r="BM109" i="40" s="1"/>
  <c r="BC124" i="40"/>
  <c r="BK124" i="40" s="1"/>
  <c r="BS124" i="40"/>
  <c r="BF214" i="40"/>
  <c r="BN214" i="40" s="1"/>
  <c r="BV214" i="40"/>
  <c r="BV204" i="40"/>
  <c r="BF204" i="40"/>
  <c r="BN204" i="40" s="1"/>
  <c r="BE195" i="40"/>
  <c r="BM195" i="40" s="1"/>
  <c r="BU195" i="40" s="1"/>
  <c r="BC151" i="40"/>
  <c r="BK151" i="40" s="1"/>
  <c r="BS151" i="40"/>
  <c r="BE201" i="40"/>
  <c r="BM201" i="40" s="1"/>
  <c r="BU201" i="40"/>
  <c r="BS156" i="40"/>
  <c r="BC156" i="40"/>
  <c r="BK156" i="40" s="1"/>
  <c r="BT169" i="40"/>
  <c r="BD169" i="40"/>
  <c r="BL169" i="40" s="1"/>
  <c r="AZ279" i="40"/>
  <c r="BH279" i="40" s="1"/>
  <c r="BP279" i="40"/>
  <c r="BD242" i="40"/>
  <c r="BL242" i="40" s="1"/>
  <c r="BT242" i="40"/>
  <c r="AY265" i="40"/>
  <c r="BG265" i="40" s="1"/>
  <c r="BO265" i="40"/>
  <c r="BP283" i="40"/>
  <c r="AZ283" i="40"/>
  <c r="BH283" i="40" s="1"/>
  <c r="BF277" i="40"/>
  <c r="BN277" i="40" s="1"/>
  <c r="BV277" i="40"/>
  <c r="BR258" i="40"/>
  <c r="BB258" i="40"/>
  <c r="BJ258" i="40" s="1"/>
  <c r="BC31" i="40"/>
  <c r="BK31" i="40" s="1"/>
  <c r="BS31" i="40" s="1"/>
  <c r="BB288" i="40"/>
  <c r="BJ288" i="40" s="1"/>
  <c r="BR288" i="40"/>
  <c r="BP308" i="40"/>
  <c r="AZ308" i="40"/>
  <c r="BH308" i="40" s="1"/>
  <c r="AY302" i="40"/>
  <c r="BG302" i="40" s="1"/>
  <c r="BO302" i="40"/>
  <c r="BC39" i="40"/>
  <c r="BK39" i="40" s="1"/>
  <c r="BS39" i="40"/>
  <c r="BE59" i="40"/>
  <c r="BM59" i="40" s="1"/>
  <c r="BU59" i="40"/>
  <c r="BE112" i="40"/>
  <c r="BM112" i="40" s="1"/>
  <c r="BU112" i="40"/>
  <c r="BE245" i="40"/>
  <c r="BM245" i="40" s="1"/>
  <c r="BU245" i="40"/>
  <c r="BD155" i="40"/>
  <c r="BL155" i="40" s="1"/>
  <c r="BT155" i="40"/>
  <c r="BE187" i="40"/>
  <c r="BM187" i="40" s="1"/>
  <c r="BU187" i="40"/>
  <c r="BU35" i="40"/>
  <c r="BE35" i="40"/>
  <c r="BM35" i="40" s="1"/>
  <c r="BB7" i="40"/>
  <c r="BJ7" i="40" s="1"/>
  <c r="BR7" i="40"/>
  <c r="BF58" i="40"/>
  <c r="BN58" i="40" s="1"/>
  <c r="BV58" i="40"/>
  <c r="BC67" i="40"/>
  <c r="BK67" i="40" s="1"/>
  <c r="BS67" i="40"/>
  <c r="BC23" i="40"/>
  <c r="BK23" i="40" s="1"/>
  <c r="BS23" i="40"/>
  <c r="BV53" i="40"/>
  <c r="BF53" i="40"/>
  <c r="BN53" i="40" s="1"/>
  <c r="BA18" i="40"/>
  <c r="BI18" i="40" s="1"/>
  <c r="BQ18" i="40"/>
  <c r="BQ14" i="40"/>
  <c r="BA14" i="40"/>
  <c r="BI14" i="40" s="1"/>
  <c r="BB78" i="40"/>
  <c r="BJ78" i="40" s="1"/>
  <c r="BR78" i="40"/>
  <c r="BU111" i="40"/>
  <c r="BE111" i="40"/>
  <c r="BM111" i="40" s="1"/>
  <c r="BC99" i="40"/>
  <c r="BK99" i="40" s="1"/>
  <c r="BS99" i="40"/>
  <c r="BA79" i="40"/>
  <c r="BI79" i="40" s="1"/>
  <c r="BQ79" i="40"/>
  <c r="BV135" i="40"/>
  <c r="BF135" i="40"/>
  <c r="BN135" i="40" s="1"/>
  <c r="BE129" i="40"/>
  <c r="BM129" i="40" s="1"/>
  <c r="BU129" i="40"/>
  <c r="BD166" i="40"/>
  <c r="BL166" i="40" s="1"/>
  <c r="BT166" i="40" s="1"/>
  <c r="BU205" i="40"/>
  <c r="BE205" i="40"/>
  <c r="BM205" i="40" s="1"/>
  <c r="BV180" i="40"/>
  <c r="BF180" i="40"/>
  <c r="BN180" i="40" s="1"/>
  <c r="BV182" i="40"/>
  <c r="BF182" i="40"/>
  <c r="BN182" i="40" s="1"/>
  <c r="AZ176" i="40"/>
  <c r="BH176" i="40" s="1"/>
  <c r="BP176" i="40"/>
  <c r="BF208" i="40"/>
  <c r="BN208" i="40" s="1"/>
  <c r="BV208" i="40"/>
  <c r="BF163" i="40"/>
  <c r="BN163" i="40" s="1"/>
  <c r="BV163" i="40"/>
  <c r="BE150" i="40"/>
  <c r="BM150" i="40" s="1"/>
  <c r="BU150" i="40"/>
  <c r="BE259" i="40"/>
  <c r="BM259" i="40" s="1"/>
  <c r="BU259" i="40"/>
  <c r="BC238" i="40"/>
  <c r="BK238" i="40" s="1"/>
  <c r="BS238" i="40"/>
  <c r="BE218" i="40"/>
  <c r="BM218" i="40" s="1"/>
  <c r="BU218" i="40"/>
  <c r="BR217" i="40"/>
  <c r="BB217" i="40"/>
  <c r="BJ217" i="40" s="1"/>
  <c r="BC254" i="40"/>
  <c r="BK254" i="40" s="1"/>
  <c r="BS254" i="40"/>
  <c r="BU10" i="40"/>
  <c r="BE10" i="40"/>
  <c r="BM10" i="40" s="1"/>
  <c r="AY292" i="40"/>
  <c r="BG292" i="40" s="1"/>
  <c r="BO292" i="40"/>
  <c r="BF295" i="40"/>
  <c r="BN295" i="40" s="1"/>
  <c r="BV295" i="40"/>
  <c r="BT189" i="40"/>
  <c r="BD189" i="40"/>
  <c r="BL189" i="40" s="1"/>
  <c r="BU114" i="40"/>
  <c r="BE114" i="40"/>
  <c r="BM114" i="40" s="1"/>
  <c r="BR137" i="40"/>
  <c r="BB137" i="40"/>
  <c r="BJ137" i="40" s="1"/>
  <c r="BA40" i="40"/>
  <c r="BI40" i="40" s="1"/>
  <c r="BQ40" i="40"/>
  <c r="BE165" i="40"/>
  <c r="BM165" i="40" s="1"/>
  <c r="BU165" i="40"/>
  <c r="BP13" i="40"/>
  <c r="AZ13" i="40"/>
  <c r="BH13" i="40" s="1"/>
  <c r="AY22" i="40"/>
  <c r="BG22" i="40" s="1"/>
  <c r="BO22" i="40"/>
  <c r="BQ74" i="40"/>
  <c r="BA74" i="40"/>
  <c r="BI74" i="40" s="1"/>
  <c r="BQ96" i="40"/>
  <c r="BA96" i="40"/>
  <c r="BI96" i="40" s="1"/>
  <c r="BE94" i="40"/>
  <c r="BM94" i="40" s="1"/>
  <c r="BU94" i="40"/>
  <c r="BC145" i="40"/>
  <c r="BK145" i="40" s="1"/>
  <c r="BS145" i="40"/>
  <c r="BD132" i="40"/>
  <c r="BL132" i="40" s="1"/>
  <c r="BT132" i="40"/>
  <c r="BB101" i="40"/>
  <c r="BJ101" i="40" s="1"/>
  <c r="BR101" i="40"/>
  <c r="BA88" i="40"/>
  <c r="BI88" i="40" s="1"/>
  <c r="BQ88" i="40"/>
  <c r="BC89" i="40"/>
  <c r="BK89" i="40" s="1"/>
  <c r="BS89" i="40"/>
  <c r="BA140" i="40"/>
  <c r="BI140" i="40" s="1"/>
  <c r="BQ140" i="40"/>
  <c r="AY133" i="40"/>
  <c r="BG133" i="40" s="1"/>
  <c r="BO133" i="40"/>
  <c r="BC84" i="40"/>
  <c r="BK84" i="40" s="1"/>
  <c r="BS84" i="40"/>
  <c r="BC159" i="40"/>
  <c r="BK159" i="40" s="1"/>
  <c r="BS159" i="40" s="1"/>
  <c r="BU210" i="40"/>
  <c r="BE210" i="40"/>
  <c r="BM210" i="40" s="1"/>
  <c r="BC178" i="40"/>
  <c r="BK178" i="40" s="1"/>
  <c r="BS178" i="40"/>
  <c r="CI178" i="40" s="1"/>
  <c r="CO178" i="40" s="1"/>
  <c r="DE178" i="40" s="1"/>
  <c r="DF178" i="40" s="1"/>
  <c r="BP160" i="40"/>
  <c r="AZ160" i="40"/>
  <c r="BH160" i="40" s="1"/>
  <c r="BB191" i="40"/>
  <c r="BJ191" i="40" s="1"/>
  <c r="BR191" i="40"/>
  <c r="AY153" i="40"/>
  <c r="BG153" i="40" s="1"/>
  <c r="BO153" i="40"/>
  <c r="BP175" i="40"/>
  <c r="AZ175" i="40"/>
  <c r="BH175" i="40" s="1"/>
  <c r="AY267" i="40"/>
  <c r="BG267" i="40" s="1"/>
  <c r="BO267" i="40"/>
  <c r="AZ244" i="40"/>
  <c r="BH244" i="40" s="1"/>
  <c r="BP244" i="40"/>
  <c r="BA235" i="40"/>
  <c r="BI235" i="40" s="1"/>
  <c r="BQ235" i="40"/>
  <c r="AY285" i="40"/>
  <c r="BG285" i="40" s="1"/>
  <c r="BO285" i="40"/>
  <c r="BE252" i="40"/>
  <c r="BM252" i="40" s="1"/>
  <c r="BU252" i="40"/>
  <c r="AZ253" i="40"/>
  <c r="BH253" i="40" s="1"/>
  <c r="BP253" i="40"/>
  <c r="BP256" i="40"/>
  <c r="AZ256" i="40"/>
  <c r="BH256" i="40" s="1"/>
  <c r="AZ262" i="40"/>
  <c r="BH262" i="40" s="1"/>
  <c r="BP262" i="40"/>
  <c r="BD313" i="40"/>
  <c r="BL313" i="40" s="1"/>
  <c r="BT313" i="40"/>
  <c r="BC152" i="40"/>
  <c r="BK152" i="40" s="1"/>
  <c r="BS152" i="40"/>
  <c r="BD311" i="40"/>
  <c r="BL311" i="40" s="1"/>
  <c r="BT311" i="40"/>
  <c r="BT236" i="40"/>
  <c r="BD236" i="40"/>
  <c r="BL236" i="40" s="1"/>
  <c r="BC229" i="40"/>
  <c r="BK229" i="40" s="1"/>
  <c r="BS229" i="40"/>
  <c r="BV233" i="40"/>
  <c r="BF233" i="40"/>
  <c r="BN233" i="40" s="1"/>
  <c r="BD314" i="40"/>
  <c r="BL314" i="40" s="1"/>
  <c r="BT314" i="40"/>
  <c r="CJ314" i="40" s="1"/>
  <c r="CP314" i="40" s="1"/>
  <c r="DG314" i="40" s="1"/>
  <c r="DH314" i="40" s="1"/>
  <c r="AZ8" i="40"/>
  <c r="BH8" i="40" s="1"/>
  <c r="BP8" i="40"/>
  <c r="BU77" i="40"/>
  <c r="BE77" i="40"/>
  <c r="BM77" i="40" s="1"/>
  <c r="BF47" i="40"/>
  <c r="BN47" i="40" s="1"/>
  <c r="BV47" i="40"/>
  <c r="BS44" i="40"/>
  <c r="BC44" i="40"/>
  <c r="BK44" i="40" s="1"/>
  <c r="BP86" i="40"/>
  <c r="AZ86" i="40"/>
  <c r="BH86" i="40" s="1"/>
  <c r="BB134" i="40"/>
  <c r="BJ134" i="40" s="1"/>
  <c r="BR134" i="40"/>
  <c r="BS148" i="40"/>
  <c r="BC148" i="40"/>
  <c r="BK148" i="40" s="1"/>
  <c r="AY100" i="40"/>
  <c r="BG100" i="40" s="1"/>
  <c r="BO100" i="40"/>
  <c r="CE100" i="40" s="1"/>
  <c r="CK100" i="40" s="1"/>
  <c r="CW100" i="40" s="1"/>
  <c r="CX100" i="40" s="1"/>
  <c r="BA130" i="40"/>
  <c r="BI130" i="40" s="1"/>
  <c r="BQ130" i="40" s="1"/>
  <c r="BO81" i="40"/>
  <c r="AY81" i="40"/>
  <c r="BG81" i="40" s="1"/>
  <c r="AY142" i="40"/>
  <c r="BG142" i="40" s="1"/>
  <c r="BO142" i="40"/>
  <c r="BA146" i="40"/>
  <c r="BI146" i="40" s="1"/>
  <c r="BQ146" i="40"/>
  <c r="CG146" i="40" s="1"/>
  <c r="CM146" i="40" s="1"/>
  <c r="DA146" i="40" s="1"/>
  <c r="DB146" i="40" s="1"/>
  <c r="BD212" i="40"/>
  <c r="BL212" i="40" s="1"/>
  <c r="BT212" i="40"/>
  <c r="BA170" i="40"/>
  <c r="BI170" i="40" s="1"/>
  <c r="BQ170" i="40"/>
  <c r="BR158" i="40"/>
  <c r="BB158" i="40"/>
  <c r="BJ158" i="40" s="1"/>
  <c r="BU171" i="40"/>
  <c r="BE171" i="40"/>
  <c r="BM171" i="40" s="1"/>
  <c r="BR184" i="40"/>
  <c r="CH184" i="40" s="1"/>
  <c r="CN184" i="40" s="1"/>
  <c r="DC184" i="40" s="1"/>
  <c r="DD184" i="40" s="1"/>
  <c r="BB184" i="40"/>
  <c r="BJ184" i="40" s="1"/>
  <c r="BF222" i="40"/>
  <c r="BN222" i="40" s="1"/>
  <c r="BV222" i="40"/>
  <c r="BD227" i="40"/>
  <c r="BL227" i="40" s="1"/>
  <c r="BT227" i="40"/>
  <c r="BA261" i="40"/>
  <c r="BI261" i="40" s="1"/>
  <c r="BQ261" i="40"/>
  <c r="BU264" i="40"/>
  <c r="BE264" i="40"/>
  <c r="BM264" i="40" s="1"/>
  <c r="BS239" i="40"/>
  <c r="BC239" i="40"/>
  <c r="BK239" i="40" s="1"/>
  <c r="BF291" i="40"/>
  <c r="BN291" i="40" s="1"/>
  <c r="BV291" i="40"/>
  <c r="AZ28" i="40"/>
  <c r="BH28" i="40" s="1"/>
  <c r="BP28" i="40"/>
  <c r="BD305" i="40"/>
  <c r="BL305" i="40" s="1"/>
  <c r="BT305" i="40"/>
  <c r="BV126" i="40"/>
  <c r="BF126" i="40"/>
  <c r="BN126" i="40" s="1"/>
  <c r="BR120" i="40"/>
  <c r="BB120" i="40"/>
  <c r="BJ120" i="40" s="1"/>
  <c r="BD188" i="40"/>
  <c r="BL188" i="40" s="1"/>
  <c r="BT188" i="40"/>
  <c r="BB52" i="40"/>
  <c r="BJ52" i="40" s="1"/>
  <c r="BR52" i="40"/>
  <c r="BC33" i="40"/>
  <c r="BK33" i="40" s="1"/>
  <c r="BS33" i="40"/>
  <c r="BV54" i="40"/>
  <c r="BF54" i="40"/>
  <c r="BN54" i="40" s="1"/>
  <c r="BV56" i="40"/>
  <c r="BF56" i="40"/>
  <c r="BN56" i="40" s="1"/>
  <c r="BA69" i="40"/>
  <c r="BI69" i="40" s="1"/>
  <c r="BQ69" i="40"/>
  <c r="BC24" i="40"/>
  <c r="BK24" i="40" s="1"/>
  <c r="BS24" i="40"/>
  <c r="BA85" i="40"/>
  <c r="BI85" i="40" s="1"/>
  <c r="BQ85" i="40"/>
  <c r="BF106" i="40"/>
  <c r="BN106" i="40" s="1"/>
  <c r="BV106" i="40"/>
  <c r="BR128" i="40"/>
  <c r="BB128" i="40"/>
  <c r="BJ128" i="40" s="1"/>
  <c r="BT131" i="40"/>
  <c r="CJ131" i="40" s="1"/>
  <c r="CP131" i="40" s="1"/>
  <c r="DG131" i="40" s="1"/>
  <c r="DH131" i="40" s="1"/>
  <c r="BD131" i="40"/>
  <c r="BL131" i="40" s="1"/>
  <c r="AY97" i="40"/>
  <c r="BG97" i="40" s="1"/>
  <c r="BO97" i="40"/>
  <c r="BT115" i="40"/>
  <c r="BD115" i="40"/>
  <c r="BL115" i="40" s="1"/>
  <c r="BC149" i="40"/>
  <c r="BK149" i="40" s="1"/>
  <c r="BS149" i="40"/>
  <c r="BF167" i="40"/>
  <c r="BN167" i="40" s="1"/>
  <c r="BV167" i="40"/>
  <c r="BC203" i="40"/>
  <c r="BK203" i="40" s="1"/>
  <c r="BS203" i="40"/>
  <c r="BU179" i="40"/>
  <c r="BE179" i="40"/>
  <c r="BM179" i="40" s="1"/>
  <c r="BB197" i="40"/>
  <c r="BJ197" i="40" s="1"/>
  <c r="BR197" i="40"/>
  <c r="AZ192" i="40"/>
  <c r="BH192" i="40" s="1"/>
  <c r="BP192" i="40"/>
  <c r="AY157" i="40"/>
  <c r="BG157" i="40" s="1"/>
  <c r="BO157" i="40"/>
  <c r="AZ248" i="40"/>
  <c r="BH248" i="40" s="1"/>
  <c r="BP248" i="40"/>
  <c r="BS251" i="40"/>
  <c r="BC251" i="40"/>
  <c r="BK251" i="40" s="1"/>
  <c r="BV237" i="40"/>
  <c r="BF237" i="40"/>
  <c r="BN237" i="40" s="1"/>
  <c r="BB246" i="40"/>
  <c r="BJ246" i="40" s="1"/>
  <c r="BR246" i="40"/>
  <c r="BA280" i="40"/>
  <c r="BI280" i="40" s="1"/>
  <c r="BQ280" i="40" s="1"/>
  <c r="BD225" i="40"/>
  <c r="BL225" i="40" s="1"/>
  <c r="BT225" i="40"/>
  <c r="AZ269" i="40"/>
  <c r="BH269" i="40" s="1"/>
  <c r="BP269" i="40"/>
  <c r="CF269" i="40" s="1"/>
  <c r="CL269" i="40" s="1"/>
  <c r="CY269" i="40" s="1"/>
  <c r="CZ269" i="40" s="1"/>
  <c r="BS230" i="40"/>
  <c r="BC230" i="40"/>
  <c r="BK230" i="40" s="1"/>
  <c r="BA221" i="40"/>
  <c r="BI221" i="40" s="1"/>
  <c r="BQ221" i="40"/>
  <c r="BC224" i="40"/>
  <c r="BK224" i="40" s="1"/>
  <c r="BS224" i="40"/>
  <c r="BD296" i="40"/>
  <c r="BL296" i="40" s="1"/>
  <c r="BT296" i="40"/>
  <c r="BA310" i="40"/>
  <c r="BI310" i="40" s="1"/>
  <c r="BQ310" i="40"/>
  <c r="BB162" i="40"/>
  <c r="BJ162" i="40" s="1"/>
  <c r="BR162" i="40"/>
  <c r="BR202" i="40"/>
  <c r="BB202" i="40"/>
  <c r="BJ202" i="40" s="1"/>
  <c r="BR273" i="40"/>
  <c r="BB273" i="40"/>
  <c r="BJ273" i="40" s="1"/>
  <c r="BF284" i="40"/>
  <c r="BN284" i="40" s="1"/>
  <c r="BV284" i="40"/>
  <c r="BB123" i="40"/>
  <c r="BJ123" i="40" s="1"/>
  <c r="BR123" i="40"/>
  <c r="BV223" i="40"/>
  <c r="BF223" i="40"/>
  <c r="BN223" i="40" s="1"/>
  <c r="BV29" i="40"/>
  <c r="BF29" i="40"/>
  <c r="BN29" i="40" s="1"/>
  <c r="BR20" i="40"/>
  <c r="BB20" i="40"/>
  <c r="BJ20" i="40" s="1"/>
  <c r="BD6" i="40"/>
  <c r="BL6" i="40" s="1"/>
  <c r="BT6" i="40"/>
  <c r="BB34" i="40"/>
  <c r="BJ34" i="40" s="1"/>
  <c r="BR34" i="40"/>
  <c r="BD71" i="40"/>
  <c r="BL71" i="40" s="1"/>
  <c r="BT71" i="40"/>
  <c r="CI15" i="40"/>
  <c r="CO15" i="40" s="1"/>
  <c r="DE15" i="40" s="1"/>
  <c r="DF15" i="40" s="1"/>
  <c r="BF30" i="40"/>
  <c r="BN30" i="40" s="1"/>
  <c r="BV30" i="40"/>
  <c r="BF11" i="40"/>
  <c r="BN11" i="40" s="1"/>
  <c r="BV11" i="40"/>
  <c r="BA42" i="40"/>
  <c r="BI42" i="40" s="1"/>
  <c r="BQ42" i="40"/>
  <c r="BF119" i="40"/>
  <c r="BN119" i="40" s="1"/>
  <c r="BV119" i="40"/>
  <c r="BD92" i="40"/>
  <c r="BL92" i="40" s="1"/>
  <c r="BT92" i="40"/>
  <c r="AZ104" i="40"/>
  <c r="BH104" i="40" s="1"/>
  <c r="BP104" i="40" s="1"/>
  <c r="BB113" i="40"/>
  <c r="BJ113" i="40" s="1"/>
  <c r="BR113" i="40"/>
  <c r="BA116" i="40"/>
  <c r="BI116" i="40" s="1"/>
  <c r="BQ116" i="40"/>
  <c r="BD143" i="40"/>
  <c r="BL143" i="40" s="1"/>
  <c r="BT143" i="40"/>
  <c r="BB215" i="40"/>
  <c r="BJ215" i="40" s="1"/>
  <c r="BR215" i="40"/>
  <c r="BV186" i="40"/>
  <c r="BF186" i="40"/>
  <c r="BN186" i="40" s="1"/>
  <c r="BD172" i="40"/>
  <c r="BL172" i="40" s="1"/>
  <c r="BT172" i="40"/>
  <c r="BO211" i="40"/>
  <c r="AY211" i="40"/>
  <c r="BG211" i="40" s="1"/>
  <c r="AZ181" i="40"/>
  <c r="BH181" i="40" s="1"/>
  <c r="BP181" i="40"/>
  <c r="AY260" i="40"/>
  <c r="BG260" i="40" s="1"/>
  <c r="BO260" i="40"/>
  <c r="BB257" i="40"/>
  <c r="BJ257" i="40" s="1"/>
  <c r="BR257" i="40"/>
  <c r="BU271" i="40"/>
  <c r="BE271" i="40"/>
  <c r="BM271" i="40" s="1"/>
  <c r="BT282" i="40"/>
  <c r="BD282" i="40"/>
  <c r="BL282" i="40" s="1"/>
  <c r="BB275" i="40"/>
  <c r="BJ275" i="40" s="1"/>
  <c r="BR275" i="40"/>
  <c r="BD247" i="40"/>
  <c r="BL247" i="40" s="1"/>
  <c r="BT247" i="40"/>
  <c r="BF103" i="40"/>
  <c r="BN103" i="40" s="1"/>
  <c r="BV103" i="40"/>
  <c r="BC307" i="40"/>
  <c r="BK307" i="40" s="1"/>
  <c r="BS307" i="40"/>
  <c r="BF226" i="40"/>
  <c r="BN226" i="40" s="1"/>
  <c r="BV226" i="40"/>
  <c r="BB268" i="40"/>
  <c r="BJ268" i="40" s="1"/>
  <c r="BR268" i="40"/>
  <c r="BQ80" i="40"/>
  <c r="BA80" i="40"/>
  <c r="BI80" i="40" s="1"/>
  <c r="BA75" i="40"/>
  <c r="BI75" i="40" s="1"/>
  <c r="BQ75" i="40"/>
  <c r="BP72" i="40"/>
  <c r="AZ72" i="40"/>
  <c r="BH72" i="40" s="1"/>
  <c r="BO64" i="40"/>
  <c r="AY64" i="40"/>
  <c r="BG64" i="40" s="1"/>
  <c r="BD48" i="40"/>
  <c r="BL48" i="40" s="1"/>
  <c r="BT48" i="40"/>
  <c r="BC49" i="40"/>
  <c r="BK49" i="40" s="1"/>
  <c r="BS49" i="40"/>
  <c r="BC27" i="40"/>
  <c r="BK27" i="40" s="1"/>
  <c r="BS27" i="40"/>
  <c r="BC138" i="40"/>
  <c r="BK138" i="40" s="1"/>
  <c r="BS138" i="40"/>
  <c r="BO108" i="40"/>
  <c r="AY108" i="40"/>
  <c r="BG108" i="40" s="1"/>
  <c r="BF95" i="40"/>
  <c r="BN95" i="40" s="1"/>
  <c r="BV95" i="40"/>
  <c r="BD91" i="40"/>
  <c r="BL91" i="40" s="1"/>
  <c r="BT91" i="40"/>
  <c r="BS139" i="40"/>
  <c r="BC139" i="40"/>
  <c r="BK139" i="40" s="1"/>
  <c r="BT121" i="40"/>
  <c r="BD121" i="40"/>
  <c r="BL121" i="40" s="1"/>
  <c r="AY147" i="40"/>
  <c r="BG147" i="40" s="1"/>
  <c r="BO147" i="40"/>
  <c r="BU193" i="40"/>
  <c r="BE193" i="40"/>
  <c r="BM193" i="40" s="1"/>
  <c r="BC200" i="40"/>
  <c r="BK200" i="40" s="1"/>
  <c r="BS200" i="40"/>
  <c r="BD213" i="40"/>
  <c r="BL213" i="40" s="1"/>
  <c r="BT213" i="40"/>
  <c r="BP185" i="40"/>
  <c r="AZ185" i="40"/>
  <c r="BH185" i="40" s="1"/>
  <c r="AZ190" i="40"/>
  <c r="BH190" i="40" s="1"/>
  <c r="BP190" i="40"/>
  <c r="BF161" i="40"/>
  <c r="BN161" i="40" s="1"/>
  <c r="BV161" i="40"/>
  <c r="BF173" i="40"/>
  <c r="BN173" i="40" s="1"/>
  <c r="BV173" i="40"/>
  <c r="BD219" i="40"/>
  <c r="BL219" i="40" s="1"/>
  <c r="BT219" i="40"/>
  <c r="BB231" i="40"/>
  <c r="BJ231" i="40" s="1"/>
  <c r="BR231" i="40"/>
  <c r="BE281" i="40"/>
  <c r="BM281" i="40" s="1"/>
  <c r="BU281" i="40"/>
  <c r="BB241" i="40"/>
  <c r="BJ241" i="40" s="1"/>
  <c r="BR241" i="40"/>
  <c r="BR220" i="40"/>
  <c r="BB220" i="40"/>
  <c r="BJ220" i="40" s="1"/>
  <c r="BV250" i="40"/>
  <c r="BF250" i="40"/>
  <c r="BN250" i="40" s="1"/>
  <c r="BB272" i="40"/>
  <c r="BJ272" i="40" s="1"/>
  <c r="BR272" i="40"/>
  <c r="BA240" i="40"/>
  <c r="BI240" i="40" s="1"/>
  <c r="BQ240" i="40"/>
  <c r="BQ298" i="40"/>
  <c r="BA298" i="40"/>
  <c r="BI298" i="40" s="1"/>
  <c r="AZ318" i="40"/>
  <c r="BH318" i="40" s="1"/>
  <c r="BP318" i="40"/>
  <c r="BP206" i="40"/>
  <c r="AZ206" i="40"/>
  <c r="BH206" i="40" s="1"/>
  <c r="BT154" i="40"/>
  <c r="BD154" i="40"/>
  <c r="BL154" i="40" s="1"/>
  <c r="AZ136" i="40"/>
  <c r="BH136" i="40" s="1"/>
  <c r="BP136" i="40"/>
  <c r="BA45" i="40"/>
  <c r="BI45" i="40" s="1"/>
  <c r="BQ45" i="40"/>
  <c r="AZ309" i="40"/>
  <c r="BH309" i="40" s="1"/>
  <c r="BP309" i="40"/>
  <c r="BA234" i="40"/>
  <c r="BI234" i="40" s="1"/>
  <c r="BQ234" i="40"/>
  <c r="BA65" i="40"/>
  <c r="BI65" i="40" s="1"/>
  <c r="BQ65" i="40"/>
  <c r="CG65" i="40" s="1"/>
  <c r="CM65" i="40" s="1"/>
  <c r="DA65" i="40" s="1"/>
  <c r="DB65" i="40" s="1"/>
  <c r="BA38" i="40"/>
  <c r="BI38" i="40" s="1"/>
  <c r="BQ38" i="40"/>
  <c r="BS12" i="40"/>
  <c r="BC12" i="40"/>
  <c r="BK12" i="40" s="1"/>
  <c r="AZ51" i="40"/>
  <c r="BH51" i="40" s="1"/>
  <c r="BP51" i="40"/>
  <c r="BQ68" i="40"/>
  <c r="BA68" i="40"/>
  <c r="BI68" i="40" s="1"/>
  <c r="BA66" i="40"/>
  <c r="BI66" i="40" s="1"/>
  <c r="BQ66" i="40"/>
  <c r="BD16" i="40"/>
  <c r="BL16" i="40" s="1"/>
  <c r="BT16" i="40"/>
  <c r="BB117" i="40"/>
  <c r="BJ117" i="40" s="1"/>
  <c r="BR117" i="40"/>
  <c r="BO125" i="40"/>
  <c r="AY125" i="40"/>
  <c r="BG125" i="40" s="1"/>
  <c r="BP102" i="40"/>
  <c r="AZ102" i="40"/>
  <c r="BH102" i="40" s="1"/>
  <c r="BC82" i="40"/>
  <c r="BK82" i="40" s="1"/>
  <c r="BS82" i="40"/>
  <c r="BT118" i="40"/>
  <c r="BD118" i="40"/>
  <c r="BL118" i="40" s="1"/>
  <c r="BE168" i="40"/>
  <c r="BM168" i="40" s="1"/>
  <c r="BU168" i="40"/>
  <c r="BS183" i="40"/>
  <c r="BC183" i="40"/>
  <c r="BK183" i="40" s="1"/>
  <c r="BS196" i="40"/>
  <c r="BC196" i="40"/>
  <c r="BK196" i="40" s="1"/>
  <c r="AY270" i="40"/>
  <c r="BG270" i="40" s="1"/>
  <c r="BO270" i="40"/>
  <c r="BS278" i="40"/>
  <c r="BC278" i="40"/>
  <c r="BK278" i="40" s="1"/>
  <c r="BS228" i="40"/>
  <c r="BC228" i="40"/>
  <c r="BK228" i="40" s="1"/>
  <c r="AZ249" i="40"/>
  <c r="BH249" i="40" s="1"/>
  <c r="BP249" i="40" s="1"/>
  <c r="BP274" i="40"/>
  <c r="AZ274" i="40"/>
  <c r="BH274" i="40" s="1"/>
  <c r="AY232" i="40"/>
  <c r="BG232" i="40" s="1"/>
  <c r="BO232" i="40"/>
  <c r="BC255" i="40"/>
  <c r="BK255" i="40" s="1"/>
  <c r="BS255" i="40"/>
  <c r="BR293" i="40"/>
  <c r="BB293" i="40"/>
  <c r="BJ293" i="40" s="1"/>
  <c r="BQ289" i="40"/>
  <c r="BA289" i="40"/>
  <c r="BI289" i="40" s="1"/>
  <c r="BA316" i="40"/>
  <c r="BI316" i="40" s="1"/>
  <c r="BQ316" i="40"/>
  <c r="BV194" i="40"/>
  <c r="BF194" i="40"/>
  <c r="BN194" i="40" s="1"/>
  <c r="BF174" i="40"/>
  <c r="BN174" i="40" s="1"/>
  <c r="BV174" i="40"/>
  <c r="BF315" i="40"/>
  <c r="BN315" i="40" s="1"/>
  <c r="BV315" i="40"/>
  <c r="BE83" i="40"/>
  <c r="BM83" i="40" s="1"/>
  <c r="BU83" i="40"/>
  <c r="AY41" i="40"/>
  <c r="BG41" i="40" s="1"/>
  <c r="BO41" i="40"/>
  <c r="BP9" i="40"/>
  <c r="AZ9" i="40"/>
  <c r="BH9" i="40" s="1"/>
  <c r="BR303" i="40"/>
  <c r="BB303" i="40"/>
  <c r="BJ303" i="40" s="1"/>
  <c r="BV46" i="40"/>
  <c r="BF46" i="40"/>
  <c r="BN46" i="40" s="1"/>
  <c r="BU32" i="40"/>
  <c r="BE32" i="40"/>
  <c r="BM32" i="40" s="1"/>
  <c r="BB73" i="40"/>
  <c r="BJ73" i="40" s="1"/>
  <c r="BR73" i="40"/>
  <c r="AZ61" i="40"/>
  <c r="BH61" i="40" s="1"/>
  <c r="BP61" i="40"/>
  <c r="BB37" i="40"/>
  <c r="BJ37" i="40" s="1"/>
  <c r="BR37" i="40"/>
  <c r="AZ60" i="40"/>
  <c r="BH60" i="40" s="1"/>
  <c r="BP60" i="40"/>
  <c r="BD57" i="40"/>
  <c r="BL57" i="40" s="1"/>
  <c r="BT57" i="40"/>
  <c r="BP70" i="40"/>
  <c r="AZ70" i="40"/>
  <c r="BH70" i="40" s="1"/>
  <c r="BC144" i="40"/>
  <c r="BK144" i="40" s="1"/>
  <c r="BS144" i="40"/>
  <c r="BF107" i="40"/>
  <c r="BN107" i="40" s="1"/>
  <c r="BV107" i="40"/>
  <c r="BP122" i="40"/>
  <c r="AZ122" i="40"/>
  <c r="BH122" i="40" s="1"/>
  <c r="BB87" i="40"/>
  <c r="BJ87" i="40" s="1"/>
  <c r="BR87" i="40"/>
  <c r="BP110" i="40"/>
  <c r="AZ110" i="40"/>
  <c r="BH110" i="40" s="1"/>
  <c r="BQ109" i="40"/>
  <c r="BA109" i="40"/>
  <c r="BI109" i="40" s="1"/>
  <c r="BV124" i="40"/>
  <c r="BF124" i="40"/>
  <c r="BN124" i="40" s="1"/>
  <c r="BB214" i="40"/>
  <c r="BJ214" i="40" s="1"/>
  <c r="BR214" i="40"/>
  <c r="BT204" i="40"/>
  <c r="BD204" i="40"/>
  <c r="BL204" i="40" s="1"/>
  <c r="BB195" i="40"/>
  <c r="BJ195" i="40" s="1"/>
  <c r="BR195" i="40"/>
  <c r="AY151" i="40"/>
  <c r="BG151" i="40" s="1"/>
  <c r="BO151" i="40"/>
  <c r="BD201" i="40"/>
  <c r="BL201" i="40" s="1"/>
  <c r="BT201" i="40" s="1"/>
  <c r="BV156" i="40"/>
  <c r="BF156" i="40"/>
  <c r="BN156" i="40" s="1"/>
  <c r="BB177" i="40"/>
  <c r="BJ177" i="40" s="1"/>
  <c r="BR177" i="40"/>
  <c r="BA169" i="40"/>
  <c r="BI169" i="40" s="1"/>
  <c r="BQ169" i="40"/>
  <c r="BE279" i="40"/>
  <c r="BM279" i="40" s="1"/>
  <c r="BU279" i="40"/>
  <c r="BF242" i="40"/>
  <c r="BN242" i="40" s="1"/>
  <c r="BV242" i="40"/>
  <c r="BC265" i="40"/>
  <c r="BK265" i="40" s="1"/>
  <c r="BS265" i="40" s="1"/>
  <c r="BC283" i="40"/>
  <c r="BK283" i="40" s="1"/>
  <c r="BS283" i="40"/>
  <c r="BB277" i="40"/>
  <c r="BJ277" i="40" s="1"/>
  <c r="BR277" i="40"/>
  <c r="AZ258" i="40"/>
  <c r="BH258" i="40" s="1"/>
  <c r="BP258" i="40"/>
  <c r="BA31" i="40"/>
  <c r="BI31" i="40" s="1"/>
  <c r="BQ31" i="40"/>
  <c r="BU288" i="40"/>
  <c r="BE288" i="40"/>
  <c r="BM288" i="40" s="1"/>
  <c r="BD308" i="40"/>
  <c r="BL308" i="40" s="1"/>
  <c r="BT308" i="40"/>
  <c r="BU302" i="40"/>
  <c r="BE302" i="40"/>
  <c r="BM302" i="40" s="1"/>
  <c r="BV39" i="40"/>
  <c r="BF39" i="40"/>
  <c r="BN39" i="40" s="1"/>
  <c r="AZ59" i="40"/>
  <c r="BH59" i="40" s="1"/>
  <c r="BP59" i="40" s="1"/>
  <c r="BB112" i="40"/>
  <c r="BJ112" i="40" s="1"/>
  <c r="BR112" i="40"/>
  <c r="BC245" i="40"/>
  <c r="BK245" i="40" s="1"/>
  <c r="BS245" i="40"/>
  <c r="AZ155" i="40"/>
  <c r="BH155" i="40" s="1"/>
  <c r="BP155" i="40"/>
  <c r="BV187" i="40"/>
  <c r="BF187" i="40"/>
  <c r="BN187" i="40" s="1"/>
  <c r="BB35" i="40"/>
  <c r="BJ35" i="40" s="1"/>
  <c r="BR35" i="40"/>
  <c r="BU7" i="40"/>
  <c r="BE7" i="40"/>
  <c r="BM7" i="40" s="1"/>
  <c r="BD58" i="40"/>
  <c r="BL58" i="40" s="1"/>
  <c r="BT58" i="40"/>
  <c r="BA23" i="40"/>
  <c r="BI23" i="40" s="1"/>
  <c r="BQ23" i="40"/>
  <c r="BE53" i="40"/>
  <c r="BM53" i="40" s="1"/>
  <c r="BU53" i="40"/>
  <c r="AZ18" i="40"/>
  <c r="BH18" i="40" s="1"/>
  <c r="BP18" i="40"/>
  <c r="BS14" i="40"/>
  <c r="BC14" i="40"/>
  <c r="BK14" i="40" s="1"/>
  <c r="BC111" i="40"/>
  <c r="BK111" i="40" s="1"/>
  <c r="BS111" i="40"/>
  <c r="AZ99" i="40"/>
  <c r="BH99" i="40" s="1"/>
  <c r="BP99" i="40"/>
  <c r="BU79" i="40"/>
  <c r="BE79" i="40"/>
  <c r="BM79" i="40" s="1"/>
  <c r="BC135" i="40"/>
  <c r="BK135" i="40" s="1"/>
  <c r="BS135" i="40"/>
  <c r="BA129" i="40"/>
  <c r="BI129" i="40" s="1"/>
  <c r="BQ129" i="40"/>
  <c r="BU166" i="40"/>
  <c r="BE166" i="40"/>
  <c r="BM166" i="40" s="1"/>
  <c r="BO205" i="40"/>
  <c r="AY205" i="40"/>
  <c r="BG205" i="40" s="1"/>
  <c r="BQ209" i="40"/>
  <c r="BA209" i="40"/>
  <c r="BI209" i="40" s="1"/>
  <c r="AZ180" i="40"/>
  <c r="BH180" i="40" s="1"/>
  <c r="BP180" i="40"/>
  <c r="BO182" i="40"/>
  <c r="AY182" i="40"/>
  <c r="BG182" i="40" s="1"/>
  <c r="BR176" i="40"/>
  <c r="CH176" i="40" s="1"/>
  <c r="CN176" i="40" s="1"/>
  <c r="DC176" i="40" s="1"/>
  <c r="DD176" i="40" s="1"/>
  <c r="BB176" i="40"/>
  <c r="BJ176" i="40" s="1"/>
  <c r="BB208" i="40"/>
  <c r="BJ208" i="40" s="1"/>
  <c r="BR208" i="40"/>
  <c r="CH208" i="40" s="1"/>
  <c r="CN208" i="40" s="1"/>
  <c r="DC208" i="40" s="1"/>
  <c r="DD208" i="40" s="1"/>
  <c r="BA163" i="40"/>
  <c r="BI163" i="40" s="1"/>
  <c r="BQ163" i="40"/>
  <c r="BR150" i="40"/>
  <c r="BB150" i="40"/>
  <c r="BJ150" i="40" s="1"/>
  <c r="AY238" i="40"/>
  <c r="BG238" i="40" s="1"/>
  <c r="BO238" i="40"/>
  <c r="BB218" i="40"/>
  <c r="BJ218" i="40" s="1"/>
  <c r="BR218" i="40"/>
  <c r="AZ217" i="40"/>
  <c r="BH217" i="40" s="1"/>
  <c r="BP217" i="40"/>
  <c r="BB254" i="40"/>
  <c r="BJ254" i="40" s="1"/>
  <c r="BR254" i="40"/>
  <c r="AY276" i="40"/>
  <c r="BG276" i="40" s="1"/>
  <c r="BO276" i="40"/>
  <c r="AZ10" i="40"/>
  <c r="BH10" i="40" s="1"/>
  <c r="BP10" i="40"/>
  <c r="BD292" i="40"/>
  <c r="BL292" i="40" s="1"/>
  <c r="BT292" i="40"/>
  <c r="BA295" i="40"/>
  <c r="BI295" i="40" s="1"/>
  <c r="BQ295" i="40"/>
  <c r="BC189" i="40"/>
  <c r="BK189" i="40" s="1"/>
  <c r="BS189" i="40"/>
  <c r="BR114" i="40"/>
  <c r="BB114" i="40"/>
  <c r="BJ114" i="40" s="1"/>
  <c r="BS137" i="40"/>
  <c r="BC137" i="40"/>
  <c r="BK137" i="40" s="1"/>
  <c r="AZ40" i="40"/>
  <c r="BH40" i="40" s="1"/>
  <c r="BP40" i="40"/>
  <c r="BC165" i="40"/>
  <c r="BK165" i="40" s="1"/>
  <c r="BS165" i="40"/>
  <c r="BC13" i="40"/>
  <c r="BK13" i="40" s="1"/>
  <c r="BS13" i="40"/>
  <c r="BB22" i="40"/>
  <c r="BJ22" i="40" s="1"/>
  <c r="BR22" i="40" s="1"/>
  <c r="AZ74" i="40"/>
  <c r="BH74" i="40" s="1"/>
  <c r="BP74" i="40"/>
  <c r="BS96" i="40"/>
  <c r="BC96" i="40"/>
  <c r="BK96" i="40" s="1"/>
  <c r="BO94" i="40"/>
  <c r="AY94" i="40"/>
  <c r="BG94" i="40" s="1"/>
  <c r="BU145" i="40"/>
  <c r="BE145" i="40"/>
  <c r="BM145" i="40" s="1"/>
  <c r="BS132" i="40"/>
  <c r="BC132" i="40"/>
  <c r="BK132" i="40" s="1"/>
  <c r="BC101" i="40"/>
  <c r="BK101" i="40" s="1"/>
  <c r="BS101" i="40"/>
  <c r="BB88" i="40"/>
  <c r="BJ88" i="40" s="1"/>
  <c r="BR88" i="40"/>
  <c r="BB89" i="40"/>
  <c r="BJ89" i="40" s="1"/>
  <c r="BR89" i="40"/>
  <c r="AY140" i="40"/>
  <c r="BG140" i="40" s="1"/>
  <c r="BO140" i="40"/>
  <c r="BA133" i="40"/>
  <c r="BI133" i="40" s="1"/>
  <c r="BQ133" i="40"/>
  <c r="AZ84" i="40"/>
  <c r="BH84" i="40" s="1"/>
  <c r="BP84" i="40"/>
  <c r="BA159" i="40"/>
  <c r="BI159" i="40" s="1"/>
  <c r="BQ159" i="40"/>
  <c r="BD210" i="40"/>
  <c r="BL210" i="40" s="1"/>
  <c r="BT210" i="40" s="1"/>
  <c r="BV178" i="40"/>
  <c r="BF178" i="40"/>
  <c r="BN178" i="40" s="1"/>
  <c r="BF160" i="40"/>
  <c r="BN160" i="40" s="1"/>
  <c r="BV160" i="40"/>
  <c r="BC191" i="40"/>
  <c r="BK191" i="40" s="1"/>
  <c r="BS191" i="40"/>
  <c r="BC153" i="40"/>
  <c r="BK153" i="40" s="1"/>
  <c r="BS153" i="40"/>
  <c r="BE175" i="40"/>
  <c r="BM175" i="40" s="1"/>
  <c r="BU175" i="40"/>
  <c r="CJ175" i="40" s="1"/>
  <c r="CP175" i="40" s="1"/>
  <c r="DG175" i="40" s="1"/>
  <c r="DH175" i="40" s="1"/>
  <c r="BC267" i="40"/>
  <c r="BK267" i="40" s="1"/>
  <c r="BS267" i="40"/>
  <c r="BU266" i="40"/>
  <c r="BE266" i="40"/>
  <c r="BM266" i="40" s="1"/>
  <c r="BC244" i="40"/>
  <c r="BK244" i="40" s="1"/>
  <c r="BS244" i="40"/>
  <c r="BO235" i="40"/>
  <c r="AY235" i="40"/>
  <c r="BG235" i="40" s="1"/>
  <c r="AZ285" i="40"/>
  <c r="BH285" i="40" s="1"/>
  <c r="BP285" i="40"/>
  <c r="BO252" i="40"/>
  <c r="AY252" i="40"/>
  <c r="BG252" i="40" s="1"/>
  <c r="AY253" i="40"/>
  <c r="BG253" i="40" s="1"/>
  <c r="BO253" i="40"/>
  <c r="BC256" i="40"/>
  <c r="BK256" i="40" s="1"/>
  <c r="BS256" i="40"/>
  <c r="BC262" i="40"/>
  <c r="BK262" i="40" s="1"/>
  <c r="BS262" i="40"/>
  <c r="AZ313" i="40"/>
  <c r="BH313" i="40" s="1"/>
  <c r="BP313" i="40"/>
  <c r="CF313" i="40" s="1"/>
  <c r="CL313" i="40" s="1"/>
  <c r="CY313" i="40" s="1"/>
  <c r="CZ313" i="40" s="1"/>
  <c r="BV152" i="40"/>
  <c r="BF152" i="40"/>
  <c r="BN152" i="40" s="1"/>
  <c r="AY311" i="40"/>
  <c r="BG311" i="40" s="1"/>
  <c r="BO311" i="40"/>
  <c r="BU229" i="40"/>
  <c r="BE229" i="40"/>
  <c r="BM229" i="40" s="1"/>
  <c r="BS233" i="40"/>
  <c r="BC233" i="40"/>
  <c r="BK233" i="40" s="1"/>
  <c r="BP314" i="40"/>
  <c r="AZ314" i="40"/>
  <c r="BH314" i="40" s="1"/>
  <c r="BO77" i="40"/>
  <c r="AY77" i="40"/>
  <c r="BG77" i="40" s="1"/>
  <c r="BE47" i="40"/>
  <c r="BM47" i="40" s="1"/>
  <c r="BU47" i="40"/>
  <c r="BU44" i="40"/>
  <c r="BE44" i="40"/>
  <c r="BM44" i="40" s="1"/>
  <c r="BC86" i="40"/>
  <c r="BK86" i="40" s="1"/>
  <c r="BS86" i="40"/>
  <c r="BS134" i="40"/>
  <c r="BC134" i="40"/>
  <c r="BK134" i="40" s="1"/>
  <c r="AY148" i="40"/>
  <c r="BG148" i="40" s="1"/>
  <c r="BO148" i="40"/>
  <c r="BB100" i="40"/>
  <c r="BJ100" i="40" s="1"/>
  <c r="BR100" i="40"/>
  <c r="BR130" i="40"/>
  <c r="BB130" i="40"/>
  <c r="BJ130" i="40" s="1"/>
  <c r="BC81" i="40"/>
  <c r="BK81" i="40" s="1"/>
  <c r="BS81" i="40"/>
  <c r="BU142" i="40"/>
  <c r="BE142" i="40"/>
  <c r="BM142" i="40" s="1"/>
  <c r="BE212" i="40"/>
  <c r="BM212" i="40" s="1"/>
  <c r="BU212" i="40"/>
  <c r="BO170" i="40"/>
  <c r="AY170" i="40"/>
  <c r="BG170" i="40" s="1"/>
  <c r="BQ158" i="40"/>
  <c r="BA158" i="40"/>
  <c r="BI158" i="40" s="1"/>
  <c r="AY171" i="40"/>
  <c r="BG171" i="40" s="1"/>
  <c r="BO171" i="40"/>
  <c r="BO164" i="40"/>
  <c r="AY164" i="40"/>
  <c r="BG164" i="40" s="1"/>
  <c r="BA184" i="40"/>
  <c r="BI184" i="40" s="1"/>
  <c r="BQ184" i="40"/>
  <c r="BE222" i="40"/>
  <c r="BM222" i="40" s="1"/>
  <c r="BU222" i="40"/>
  <c r="BF227" i="40"/>
  <c r="BN227" i="40" s="1"/>
  <c r="BV227" i="40"/>
  <c r="BT261" i="40"/>
  <c r="BD261" i="40"/>
  <c r="BL261" i="40" s="1"/>
  <c r="BC264" i="40"/>
  <c r="BK264" i="40" s="1"/>
  <c r="BS264" i="40"/>
  <c r="BO239" i="40"/>
  <c r="AY239" i="40"/>
  <c r="BG239" i="40" s="1"/>
  <c r="BD291" i="40"/>
  <c r="BL291" i="40" s="1"/>
  <c r="BT291" i="40"/>
  <c r="BB28" i="40"/>
  <c r="BJ28" i="40" s="1"/>
  <c r="BR28" i="40"/>
  <c r="BC305" i="40"/>
  <c r="BK305" i="40" s="1"/>
  <c r="BS305" i="40"/>
  <c r="BO126" i="40"/>
  <c r="AY126" i="40"/>
  <c r="BG126" i="40" s="1"/>
  <c r="BO120" i="40"/>
  <c r="AY120" i="40"/>
  <c r="BG120" i="40" s="1"/>
  <c r="AY188" i="40"/>
  <c r="BG188" i="40" s="1"/>
  <c r="BO188" i="40"/>
  <c r="BA52" i="40"/>
  <c r="BI52" i="40" s="1"/>
  <c r="BQ52" i="40"/>
  <c r="BQ33" i="40"/>
  <c r="BA33" i="40"/>
  <c r="BI33" i="40" s="1"/>
  <c r="BB26" i="40"/>
  <c r="BJ26" i="40" s="1"/>
  <c r="BR26" i="40"/>
  <c r="AZ54" i="40"/>
  <c r="BH54" i="40" s="1"/>
  <c r="BP54" i="40"/>
  <c r="BC56" i="40"/>
  <c r="BK56" i="40" s="1"/>
  <c r="BS56" i="40" s="1"/>
  <c r="AY69" i="40"/>
  <c r="BG69" i="40" s="1"/>
  <c r="BO69" i="40"/>
  <c r="BO24" i="40"/>
  <c r="AY24" i="40"/>
  <c r="BG24" i="40" s="1"/>
  <c r="BB85" i="40"/>
  <c r="BJ85" i="40" s="1"/>
  <c r="BR85" i="40"/>
  <c r="CH85" i="40" s="1"/>
  <c r="CN85" i="40" s="1"/>
  <c r="DC85" i="40" s="1"/>
  <c r="DD85" i="40" s="1"/>
  <c r="BA106" i="40"/>
  <c r="BI106" i="40" s="1"/>
  <c r="BQ106" i="40"/>
  <c r="BC128" i="40"/>
  <c r="BK128" i="40" s="1"/>
  <c r="BS128" i="40"/>
  <c r="AZ131" i="40"/>
  <c r="BH131" i="40" s="1"/>
  <c r="BP131" i="40"/>
  <c r="AZ97" i="40"/>
  <c r="BH97" i="40" s="1"/>
  <c r="BP97" i="40"/>
  <c r="BA149" i="40"/>
  <c r="BI149" i="40" s="1"/>
  <c r="BQ149" i="40" s="1"/>
  <c r="AY167" i="40"/>
  <c r="BG167" i="40" s="1"/>
  <c r="BO167" i="40"/>
  <c r="BU203" i="40"/>
  <c r="BE203" i="40"/>
  <c r="BM203" i="40" s="1"/>
  <c r="BO179" i="40"/>
  <c r="AY179" i="40"/>
  <c r="BG179" i="40" s="1"/>
  <c r="BU197" i="40"/>
  <c r="BE197" i="40"/>
  <c r="BM197" i="40" s="1"/>
  <c r="BU192" i="40"/>
  <c r="BE192" i="40"/>
  <c r="BM192" i="40" s="1"/>
  <c r="BC157" i="40"/>
  <c r="BK157" i="40" s="1"/>
  <c r="BS157" i="40" s="1"/>
  <c r="BQ248" i="40"/>
  <c r="BA248" i="40"/>
  <c r="BI248" i="40" s="1"/>
  <c r="BV251" i="40"/>
  <c r="BF251" i="40"/>
  <c r="BN251" i="40" s="1"/>
  <c r="BU246" i="40"/>
  <c r="BE246" i="40"/>
  <c r="BM246" i="40" s="1"/>
  <c r="BP280" i="40"/>
  <c r="AZ280" i="40"/>
  <c r="BH280" i="40" s="1"/>
  <c r="BO225" i="40"/>
  <c r="AY225" i="40"/>
  <c r="BG225" i="40" s="1"/>
  <c r="BF230" i="40"/>
  <c r="BN230" i="40" s="1"/>
  <c r="BV230" i="40"/>
  <c r="BP221" i="40"/>
  <c r="AZ221" i="40"/>
  <c r="BH221" i="40" s="1"/>
  <c r="AY224" i="40"/>
  <c r="BG224" i="40" s="1"/>
  <c r="BO224" i="40"/>
  <c r="D20" i="39"/>
  <c r="F20" i="39" s="1"/>
  <c r="J20" i="39" s="1"/>
  <c r="D19" i="39"/>
  <c r="D15" i="39"/>
  <c r="D16" i="39"/>
  <c r="F16" i="39" s="1"/>
  <c r="J16" i="39" s="1"/>
  <c r="D17" i="39"/>
  <c r="F17" i="39" s="1"/>
  <c r="J17" i="39" s="1"/>
  <c r="D13" i="39"/>
  <c r="F13" i="39" s="1"/>
  <c r="J13" i="39" s="1"/>
  <c r="D12" i="39"/>
  <c r="F12" i="39" s="1"/>
  <c r="J12" i="39" s="1"/>
  <c r="D14" i="39"/>
  <c r="D18" i="39"/>
  <c r="BR310" i="40"/>
  <c r="BB310" i="40"/>
  <c r="BJ310" i="40" s="1"/>
  <c r="AY162" i="40"/>
  <c r="BG162" i="40" s="1"/>
  <c r="BO162" i="40"/>
  <c r="BS202" i="40"/>
  <c r="BC202" i="40"/>
  <c r="BK202" i="40" s="1"/>
  <c r="AZ273" i="40"/>
  <c r="BH273" i="40" s="1"/>
  <c r="BP273" i="40"/>
  <c r="AY284" i="40"/>
  <c r="BG284" i="40" s="1"/>
  <c r="BO284" i="40"/>
  <c r="BC123" i="40"/>
  <c r="BK123" i="40" s="1"/>
  <c r="BS123" i="40"/>
  <c r="BF63" i="40"/>
  <c r="BN63" i="40" s="1"/>
  <c r="BV63" i="40"/>
  <c r="BB223" i="40"/>
  <c r="BJ223" i="40" s="1"/>
  <c r="BR223" i="40"/>
  <c r="CH223" i="40" s="1"/>
  <c r="CN223" i="40" s="1"/>
  <c r="DC223" i="40" s="1"/>
  <c r="DD223" i="40" s="1"/>
  <c r="BQ29" i="40"/>
  <c r="BA29" i="40"/>
  <c r="BI29" i="40" s="1"/>
  <c r="BV20" i="40"/>
  <c r="BF20" i="40"/>
  <c r="BN20" i="40" s="1"/>
  <c r="AZ6" i="40"/>
  <c r="BH6" i="40" s="1"/>
  <c r="BP6" i="40" s="1"/>
  <c r="BD34" i="40"/>
  <c r="BL34" i="40" s="1"/>
  <c r="BT34" i="40"/>
  <c r="BA71" i="40"/>
  <c r="BI71" i="40" s="1"/>
  <c r="BQ71" i="40" s="1"/>
  <c r="CH15" i="40"/>
  <c r="CN15" i="40" s="1"/>
  <c r="DC15" i="40" s="1"/>
  <c r="DD15" i="40" s="1"/>
  <c r="AZ30" i="40"/>
  <c r="BH30" i="40" s="1"/>
  <c r="BP30" i="40"/>
  <c r="BS11" i="40"/>
  <c r="BC11" i="40"/>
  <c r="BK11" i="40" s="1"/>
  <c r="BU42" i="40"/>
  <c r="BE42" i="40"/>
  <c r="BM42" i="40" s="1"/>
  <c r="BC119" i="40"/>
  <c r="BK119" i="40" s="1"/>
  <c r="BS119" i="40" s="1"/>
  <c r="BC92" i="40"/>
  <c r="BK92" i="40" s="1"/>
  <c r="BS92" i="40"/>
  <c r="BB104" i="40"/>
  <c r="BJ104" i="40" s="1"/>
  <c r="BR104" i="40"/>
  <c r="BC113" i="40"/>
  <c r="BK113" i="40" s="1"/>
  <c r="BS113" i="40"/>
  <c r="BC116" i="40"/>
  <c r="BK116" i="40" s="1"/>
  <c r="BS116" i="40"/>
  <c r="BC143" i="40"/>
  <c r="BK143" i="40" s="1"/>
  <c r="BS143" i="40"/>
  <c r="BO215" i="40"/>
  <c r="AY215" i="40"/>
  <c r="BG215" i="40" s="1"/>
  <c r="BA186" i="40"/>
  <c r="BI186" i="40" s="1"/>
  <c r="BQ186" i="40"/>
  <c r="BR172" i="40"/>
  <c r="BB172" i="40"/>
  <c r="BJ172" i="40" s="1"/>
  <c r="BF211" i="40"/>
  <c r="BN211" i="40" s="1"/>
  <c r="BV211" i="40"/>
  <c r="BB181" i="40"/>
  <c r="BJ181" i="40" s="1"/>
  <c r="BR181" i="40"/>
  <c r="CH181" i="40" s="1"/>
  <c r="CN181" i="40" s="1"/>
  <c r="DC181" i="40" s="1"/>
  <c r="DD181" i="40" s="1"/>
  <c r="AZ260" i="40"/>
  <c r="BH260" i="40" s="1"/>
  <c r="BP260" i="40"/>
  <c r="BC257" i="40"/>
  <c r="BK257" i="40" s="1"/>
  <c r="BS257" i="40"/>
  <c r="BD271" i="40"/>
  <c r="BL271" i="40" s="1"/>
  <c r="BT271" i="40"/>
  <c r="BA282" i="40"/>
  <c r="BI282" i="40" s="1"/>
  <c r="BQ282" i="40"/>
  <c r="BF275" i="40"/>
  <c r="BN275" i="40" s="1"/>
  <c r="BV275" i="40"/>
  <c r="BA247" i="40"/>
  <c r="BI247" i="40" s="1"/>
  <c r="BQ247" i="40"/>
  <c r="BR103" i="40"/>
  <c r="BB103" i="40"/>
  <c r="BJ103" i="40" s="1"/>
  <c r="BE307" i="40"/>
  <c r="BM307" i="40" s="1"/>
  <c r="BU307" i="40"/>
  <c r="BU226" i="40"/>
  <c r="BE226" i="40"/>
  <c r="BM226" i="40" s="1"/>
  <c r="AZ268" i="40"/>
  <c r="BH268" i="40" s="1"/>
  <c r="BP268" i="40"/>
  <c r="BC80" i="40"/>
  <c r="BK80" i="40" s="1"/>
  <c r="BS80" i="40"/>
  <c r="BE25" i="40"/>
  <c r="BM25" i="40" s="1"/>
  <c r="BU25" i="40"/>
  <c r="BT75" i="40"/>
  <c r="BD75" i="40"/>
  <c r="BL75" i="40" s="1"/>
  <c r="BS64" i="40"/>
  <c r="CI64" i="40" s="1"/>
  <c r="CO64" i="40" s="1"/>
  <c r="DE64" i="40" s="1"/>
  <c r="DF64" i="40" s="1"/>
  <c r="BC64" i="40"/>
  <c r="BK64" i="40" s="1"/>
  <c r="BV48" i="40"/>
  <c r="BF48" i="40"/>
  <c r="BN48" i="40" s="1"/>
  <c r="AY49" i="40"/>
  <c r="BG49" i="40" s="1"/>
  <c r="BO49" i="40"/>
  <c r="BB27" i="40"/>
  <c r="BJ27" i="40" s="1"/>
  <c r="BR27" i="40"/>
  <c r="BE138" i="40"/>
  <c r="BM138" i="40" s="1"/>
  <c r="BU138" i="40"/>
  <c r="AZ105" i="40"/>
  <c r="BH105" i="40" s="1"/>
  <c r="BP105" i="40"/>
  <c r="BA108" i="40"/>
  <c r="BI108" i="40" s="1"/>
  <c r="BQ108" i="40"/>
  <c r="BA95" i="40"/>
  <c r="BI95" i="40" s="1"/>
  <c r="BQ95" i="40"/>
  <c r="BA91" i="40"/>
  <c r="BI91" i="40" s="1"/>
  <c r="BQ91" i="40"/>
  <c r="BE139" i="40"/>
  <c r="BM139" i="40" s="1"/>
  <c r="BU139" i="40"/>
  <c r="BA121" i="40"/>
  <c r="BI121" i="40" s="1"/>
  <c r="BQ121" i="40"/>
  <c r="BQ147" i="40"/>
  <c r="CG147" i="40" s="1"/>
  <c r="CM147" i="40" s="1"/>
  <c r="DA147" i="40" s="1"/>
  <c r="DB147" i="40" s="1"/>
  <c r="BA147" i="40"/>
  <c r="BI147" i="40" s="1"/>
  <c r="BV193" i="40"/>
  <c r="BF193" i="40"/>
  <c r="BN193" i="40" s="1"/>
  <c r="BE200" i="40"/>
  <c r="BM200" i="40" s="1"/>
  <c r="BU200" i="40" s="1"/>
  <c r="BO213" i="40"/>
  <c r="AY213" i="40"/>
  <c r="BG213" i="40" s="1"/>
  <c r="BC185" i="40"/>
  <c r="BK185" i="40" s="1"/>
  <c r="BS185" i="40"/>
  <c r="BQ190" i="40"/>
  <c r="BA190" i="40"/>
  <c r="BI190" i="40" s="1"/>
  <c r="BA161" i="40"/>
  <c r="BI161" i="40" s="1"/>
  <c r="BQ161" i="40"/>
  <c r="BE198" i="40"/>
  <c r="BM198" i="40" s="1"/>
  <c r="BU198" i="40"/>
  <c r="CI198" i="40" s="1"/>
  <c r="CO198" i="40" s="1"/>
  <c r="DE198" i="40" s="1"/>
  <c r="DF198" i="40" s="1"/>
  <c r="AY173" i="40"/>
  <c r="BG173" i="40" s="1"/>
  <c r="BO173" i="40"/>
  <c r="AY219" i="40"/>
  <c r="BG219" i="40" s="1"/>
  <c r="BO219" i="40"/>
  <c r="BC231" i="40"/>
  <c r="BK231" i="40" s="1"/>
  <c r="BS231" i="40"/>
  <c r="CI231" i="40" s="1"/>
  <c r="CO231" i="40" s="1"/>
  <c r="DE231" i="40" s="1"/>
  <c r="DF231" i="40" s="1"/>
  <c r="BB281" i="40"/>
  <c r="BJ281" i="40" s="1"/>
  <c r="BR281" i="40"/>
  <c r="BS241" i="40"/>
  <c r="BC241" i="40"/>
  <c r="BK241" i="40" s="1"/>
  <c r="BF220" i="40"/>
  <c r="BN220" i="40" s="1"/>
  <c r="BV220" i="40"/>
  <c r="BE250" i="40"/>
  <c r="BM250" i="40" s="1"/>
  <c r="BU250" i="40"/>
  <c r="BD272" i="40"/>
  <c r="BL272" i="40" s="1"/>
  <c r="BT272" i="40"/>
  <c r="BC240" i="40"/>
  <c r="BK240" i="40" s="1"/>
  <c r="BS240" i="40"/>
  <c r="BV298" i="40"/>
  <c r="BF298" i="40"/>
  <c r="BN298" i="40" s="1"/>
  <c r="BB318" i="40"/>
  <c r="BJ318" i="40" s="1"/>
  <c r="BR318" i="40"/>
  <c r="CH318" i="40" s="1"/>
  <c r="CN318" i="40" s="1"/>
  <c r="DC318" i="40" s="1"/>
  <c r="DD318" i="40" s="1"/>
  <c r="BU206" i="40"/>
  <c r="BE206" i="40"/>
  <c r="BM206" i="40" s="1"/>
  <c r="BE154" i="40"/>
  <c r="BM154" i="40" s="1"/>
  <c r="BU154" i="40"/>
  <c r="BR199" i="40"/>
  <c r="BB199" i="40"/>
  <c r="BJ199" i="40" s="1"/>
  <c r="BT136" i="40"/>
  <c r="BD136" i="40"/>
  <c r="BL136" i="40" s="1"/>
  <c r="BE45" i="40"/>
  <c r="BM45" i="40" s="1"/>
  <c r="BU45" i="40"/>
  <c r="BE309" i="40"/>
  <c r="BM309" i="40" s="1"/>
  <c r="BU309" i="40"/>
  <c r="BP234" i="40"/>
  <c r="AZ234" i="40"/>
  <c r="BH234" i="40" s="1"/>
  <c r="AY65" i="40"/>
  <c r="BG65" i="40" s="1"/>
  <c r="BO65" i="40" s="1"/>
  <c r="AZ38" i="40"/>
  <c r="BH38" i="40" s="1"/>
  <c r="BP38" i="40"/>
  <c r="AY12" i="40"/>
  <c r="BG12" i="40" s="1"/>
  <c r="BO12" i="40"/>
  <c r="BC76" i="40"/>
  <c r="BK76" i="40" s="1"/>
  <c r="BS76" i="40"/>
  <c r="CI76" i="40" s="1"/>
  <c r="CO76" i="40" s="1"/>
  <c r="DE76" i="40" s="1"/>
  <c r="DF76" i="40" s="1"/>
  <c r="BA51" i="40"/>
  <c r="BI51" i="40" s="1"/>
  <c r="BQ51" i="40"/>
  <c r="AZ68" i="40"/>
  <c r="BH68" i="40" s="1"/>
  <c r="BP68" i="40"/>
  <c r="BB66" i="40"/>
  <c r="BJ66" i="40" s="1"/>
  <c r="BR66" i="40" s="1"/>
  <c r="BC16" i="40"/>
  <c r="BK16" i="40" s="1"/>
  <c r="BS16" i="40"/>
  <c r="BS117" i="40"/>
  <c r="BC117" i="40"/>
  <c r="BK117" i="40" s="1"/>
  <c r="AZ125" i="40"/>
  <c r="BH125" i="40" s="1"/>
  <c r="BP125" i="40"/>
  <c r="CF125" i="40" s="1"/>
  <c r="CL125" i="40" s="1"/>
  <c r="CY125" i="40" s="1"/>
  <c r="CZ125" i="40" s="1"/>
  <c r="BS102" i="40"/>
  <c r="BC102" i="40"/>
  <c r="BK102" i="40" s="1"/>
  <c r="BP82" i="40"/>
  <c r="AZ82" i="40"/>
  <c r="BH82" i="40" s="1"/>
  <c r="BB118" i="40"/>
  <c r="BJ118" i="40" s="1"/>
  <c r="BR118" i="40"/>
  <c r="BR168" i="40"/>
  <c r="BB168" i="40"/>
  <c r="BJ168" i="40" s="1"/>
  <c r="BF183" i="40"/>
  <c r="BN183" i="40" s="1"/>
  <c r="BV183" i="40"/>
  <c r="BQ196" i="40"/>
  <c r="BA196" i="40"/>
  <c r="BI196" i="40" s="1"/>
  <c r="BB270" i="40"/>
  <c r="BJ270" i="40" s="1"/>
  <c r="BR270" i="40"/>
  <c r="CH270" i="40" s="1"/>
  <c r="CN270" i="40" s="1"/>
  <c r="DC270" i="40" s="1"/>
  <c r="DD270" i="40" s="1"/>
  <c r="BU278" i="40"/>
  <c r="BE278" i="40"/>
  <c r="BM278" i="40" s="1"/>
  <c r="AY228" i="40"/>
  <c r="BG228" i="40" s="1"/>
  <c r="BO228" i="40" s="1"/>
  <c r="BD249" i="40"/>
  <c r="BL249" i="40" s="1"/>
  <c r="BT249" i="40"/>
  <c r="AY274" i="40"/>
  <c r="BG274" i="40" s="1"/>
  <c r="BO274" i="40"/>
  <c r="BP232" i="40"/>
  <c r="AZ232" i="40"/>
  <c r="BH232" i="40" s="1"/>
  <c r="AZ255" i="40"/>
  <c r="BH255" i="40" s="1"/>
  <c r="BP255" i="40" s="1"/>
  <c r="AZ293" i="40"/>
  <c r="BH293" i="40" s="1"/>
  <c r="BP293" i="40"/>
  <c r="BC289" i="40"/>
  <c r="BK289" i="40" s="1"/>
  <c r="BS289" i="40"/>
  <c r="BF316" i="40"/>
  <c r="BN316" i="40" s="1"/>
  <c r="BV316" i="40"/>
  <c r="BO194" i="40"/>
  <c r="AY194" i="40"/>
  <c r="BG194" i="40" s="1"/>
  <c r="AY174" i="40"/>
  <c r="BG174" i="40" s="1"/>
  <c r="BO174" i="40"/>
  <c r="BC315" i="40"/>
  <c r="BK315" i="40" s="1"/>
  <c r="BS315" i="40"/>
  <c r="BT83" i="40"/>
  <c r="BD83" i="40"/>
  <c r="BL83" i="40" s="1"/>
  <c r="BC41" i="40"/>
  <c r="BK41" i="40" s="1"/>
  <c r="BS41" i="40"/>
  <c r="BU9" i="40"/>
  <c r="BE9" i="40"/>
  <c r="BM9" i="40" s="1"/>
  <c r="BT303" i="40"/>
  <c r="BD303" i="40"/>
  <c r="BL303" i="40" s="1"/>
  <c r="BO46" i="40"/>
  <c r="AY46" i="40"/>
  <c r="BG46" i="40" s="1"/>
  <c r="BF32" i="40"/>
  <c r="BN32" i="40" s="1"/>
  <c r="BV32" i="40" s="1"/>
  <c r="BU73" i="40"/>
  <c r="BE73" i="40"/>
  <c r="BM73" i="40" s="1"/>
  <c r="BD61" i="40"/>
  <c r="BL61" i="40" s="1"/>
  <c r="BT61" i="40"/>
  <c r="BC37" i="40"/>
  <c r="BK37" i="40" s="1"/>
  <c r="BS37" i="40"/>
  <c r="BE60" i="40"/>
  <c r="BM60" i="40" s="1"/>
  <c r="BU60" i="40"/>
  <c r="AY57" i="40"/>
  <c r="BG57" i="40" s="1"/>
  <c r="BO57" i="40"/>
  <c r="BA70" i="40"/>
  <c r="BI70" i="40" s="1"/>
  <c r="BQ70" i="40"/>
  <c r="BF144" i="40"/>
  <c r="BN144" i="40" s="1"/>
  <c r="BV144" i="40"/>
  <c r="BC107" i="40"/>
  <c r="BK107" i="40" s="1"/>
  <c r="BS107" i="40"/>
  <c r="BA122" i="40"/>
  <c r="BI122" i="40" s="1"/>
  <c r="BQ122" i="40"/>
  <c r="BD87" i="40"/>
  <c r="BL87" i="40" s="1"/>
  <c r="BT87" i="40"/>
  <c r="BD110" i="40"/>
  <c r="BL110" i="40" s="1"/>
  <c r="BT110" i="40"/>
  <c r="BB109" i="40"/>
  <c r="BJ109" i="40" s="1"/>
  <c r="BR109" i="40"/>
  <c r="AY124" i="40"/>
  <c r="BG124" i="40" s="1"/>
  <c r="BO124" i="40"/>
  <c r="AZ214" i="40"/>
  <c r="BH214" i="40" s="1"/>
  <c r="BP214" i="40"/>
  <c r="BQ204" i="40"/>
  <c r="BA204" i="40"/>
  <c r="BI204" i="40" s="1"/>
  <c r="BO195" i="40"/>
  <c r="AY195" i="40"/>
  <c r="BG195" i="40" s="1"/>
  <c r="BF151" i="40"/>
  <c r="BN151" i="40" s="1"/>
  <c r="BV151" i="40" s="1"/>
  <c r="BO201" i="40"/>
  <c r="AY201" i="40"/>
  <c r="BG201" i="40" s="1"/>
  <c r="AY156" i="40"/>
  <c r="BG156" i="40" s="1"/>
  <c r="BO156" i="40"/>
  <c r="BS177" i="40"/>
  <c r="BC177" i="40"/>
  <c r="BK177" i="40" s="1"/>
  <c r="BO169" i="40"/>
  <c r="AY169" i="40"/>
  <c r="BG169" i="40" s="1"/>
  <c r="BD279" i="40"/>
  <c r="BL279" i="40" s="1"/>
  <c r="BT279" i="40"/>
  <c r="AZ242" i="40"/>
  <c r="BH242" i="40" s="1"/>
  <c r="BP242" i="40"/>
  <c r="BQ265" i="40"/>
  <c r="BA265" i="40"/>
  <c r="BI265" i="40" s="1"/>
  <c r="BB283" i="40"/>
  <c r="BJ283" i="40" s="1"/>
  <c r="BR283" i="40"/>
  <c r="AY277" i="40"/>
  <c r="BG277" i="40" s="1"/>
  <c r="BO277" i="40"/>
  <c r="BA258" i="40"/>
  <c r="BI258" i="40" s="1"/>
  <c r="BQ258" i="40"/>
  <c r="BU31" i="40"/>
  <c r="BE31" i="40"/>
  <c r="BM31" i="40" s="1"/>
  <c r="BD288" i="40"/>
  <c r="BL288" i="40" s="1"/>
  <c r="BT288" i="40"/>
  <c r="BC308" i="40"/>
  <c r="BK308" i="40" s="1"/>
  <c r="BS308" i="40"/>
  <c r="BA302" i="40"/>
  <c r="BI302" i="40" s="1"/>
  <c r="BQ302" i="40"/>
  <c r="BB39" i="40"/>
  <c r="BJ39" i="40" s="1"/>
  <c r="BR39" i="40"/>
  <c r="BB59" i="40"/>
  <c r="BJ59" i="40" s="1"/>
  <c r="BR59" i="40"/>
  <c r="BO112" i="40"/>
  <c r="AY112" i="40"/>
  <c r="BG112" i="40" s="1"/>
  <c r="BA245" i="40"/>
  <c r="BI245" i="40" s="1"/>
  <c r="BQ245" i="40"/>
  <c r="BF155" i="40"/>
  <c r="BN155" i="40" s="1"/>
  <c r="BV155" i="40"/>
  <c r="BO187" i="40"/>
  <c r="AY187" i="40"/>
  <c r="BG187" i="40" s="1"/>
  <c r="BD35" i="40"/>
  <c r="BL35" i="40" s="1"/>
  <c r="BT35" i="40"/>
  <c r="BO7" i="40"/>
  <c r="AY7" i="40"/>
  <c r="BG7" i="40" s="1"/>
  <c r="AZ58" i="40"/>
  <c r="BH58" i="40" s="1"/>
  <c r="BP58" i="40"/>
  <c r="CF58" i="40" s="1"/>
  <c r="CL58" i="40" s="1"/>
  <c r="CY58" i="40" s="1"/>
  <c r="CZ58" i="40" s="1"/>
  <c r="BF67" i="40"/>
  <c r="BN67" i="40" s="1"/>
  <c r="BV67" i="40"/>
  <c r="BF23" i="40"/>
  <c r="BN23" i="40" s="1"/>
  <c r="BV23" i="40"/>
  <c r="AZ53" i="40"/>
  <c r="BH53" i="40" s="1"/>
  <c r="BP53" i="40"/>
  <c r="BB18" i="40"/>
  <c r="BJ18" i="40" s="1"/>
  <c r="BR18" i="40"/>
  <c r="BV14" i="40"/>
  <c r="BF14" i="40"/>
  <c r="BN14" i="40" s="1"/>
  <c r="BP78" i="40"/>
  <c r="AZ78" i="40"/>
  <c r="BH78" i="40" s="1"/>
  <c r="BV111" i="40"/>
  <c r="BF111" i="40"/>
  <c r="BN111" i="40" s="1"/>
  <c r="BQ99" i="40"/>
  <c r="BA99" i="40"/>
  <c r="BI99" i="40" s="1"/>
  <c r="AY79" i="40"/>
  <c r="BG79" i="40" s="1"/>
  <c r="BO79" i="40"/>
  <c r="BU135" i="40"/>
  <c r="BE135" i="40"/>
  <c r="BM135" i="40" s="1"/>
  <c r="BB129" i="40"/>
  <c r="BJ129" i="40" s="1"/>
  <c r="BR129" i="40"/>
  <c r="AZ166" i="40"/>
  <c r="BH166" i="40" s="1"/>
  <c r="BP166" i="40"/>
  <c r="CF166" i="40" s="1"/>
  <c r="CL166" i="40" s="1"/>
  <c r="CY166" i="40" s="1"/>
  <c r="CZ166" i="40" s="1"/>
  <c r="BA205" i="40"/>
  <c r="BI205" i="40" s="1"/>
  <c r="BQ205" i="40"/>
  <c r="BU209" i="40"/>
  <c r="BE209" i="40"/>
  <c r="BM209" i="40" s="1"/>
  <c r="BO180" i="40"/>
  <c r="AY180" i="40"/>
  <c r="BG180" i="40" s="1"/>
  <c r="BU182" i="40"/>
  <c r="BE182" i="40"/>
  <c r="BM182" i="40" s="1"/>
  <c r="BV176" i="40"/>
  <c r="CJ176" i="40" s="1"/>
  <c r="CP176" i="40" s="1"/>
  <c r="DG176" i="40" s="1"/>
  <c r="DH176" i="40" s="1"/>
  <c r="BF176" i="40"/>
  <c r="BN176" i="40" s="1"/>
  <c r="BU208" i="40"/>
  <c r="BE208" i="40"/>
  <c r="BM208" i="40" s="1"/>
  <c r="BD163" i="40"/>
  <c r="BL163" i="40" s="1"/>
  <c r="BT163" i="40"/>
  <c r="AZ150" i="40"/>
  <c r="BH150" i="40" s="1"/>
  <c r="BP150" i="40"/>
  <c r="BV259" i="40"/>
  <c r="BF259" i="40"/>
  <c r="BN259" i="40" s="1"/>
  <c r="BV238" i="40"/>
  <c r="BF238" i="40"/>
  <c r="BN238" i="40" s="1"/>
  <c r="BC218" i="40"/>
  <c r="BK218" i="40" s="1"/>
  <c r="BS218" i="40"/>
  <c r="BO217" i="40"/>
  <c r="AY217" i="40"/>
  <c r="BG217" i="40" s="1"/>
  <c r="BP254" i="40"/>
  <c r="AZ254" i="40"/>
  <c r="BH254" i="40" s="1"/>
  <c r="BQ276" i="40"/>
  <c r="BA276" i="40"/>
  <c r="BI276" i="40" s="1"/>
  <c r="BV10" i="40"/>
  <c r="CJ10" i="40" s="1"/>
  <c r="CP10" i="40" s="1"/>
  <c r="DG10" i="40" s="1"/>
  <c r="DH10" i="40" s="1"/>
  <c r="BF10" i="40"/>
  <c r="BN10" i="40" s="1"/>
  <c r="AZ292" i="40"/>
  <c r="BH292" i="40" s="1"/>
  <c r="BP292" i="40"/>
  <c r="AZ295" i="40"/>
  <c r="BH295" i="40" s="1"/>
  <c r="BP295" i="40"/>
  <c r="BR189" i="40"/>
  <c r="BB189" i="40"/>
  <c r="BJ189" i="40" s="1"/>
  <c r="BF40" i="40"/>
  <c r="BN40" i="40" s="1"/>
  <c r="BV40" i="40"/>
  <c r="AY165" i="40"/>
  <c r="BG165" i="40" s="1"/>
  <c r="BO165" i="40"/>
  <c r="BQ13" i="40"/>
  <c r="BA13" i="40"/>
  <c r="BI13" i="40" s="1"/>
  <c r="BU22" i="40"/>
  <c r="BE22" i="40"/>
  <c r="BM22" i="40" s="1"/>
  <c r="BR74" i="40"/>
  <c r="BB74" i="40"/>
  <c r="BJ74" i="40" s="1"/>
  <c r="AY96" i="40"/>
  <c r="BG96" i="40" s="1"/>
  <c r="BO96" i="40"/>
  <c r="BQ94" i="40"/>
  <c r="BA94" i="40"/>
  <c r="BI94" i="40" s="1"/>
  <c r="BP145" i="40"/>
  <c r="AZ145" i="40"/>
  <c r="BH145" i="40" s="1"/>
  <c r="BE132" i="40"/>
  <c r="BM132" i="40" s="1"/>
  <c r="BU132" i="40"/>
  <c r="BE101" i="40"/>
  <c r="BM101" i="40" s="1"/>
  <c r="BU101" i="40"/>
  <c r="BP88" i="40"/>
  <c r="AZ88" i="40"/>
  <c r="BH88" i="40" s="1"/>
  <c r="AY89" i="40"/>
  <c r="BG89" i="40" s="1"/>
  <c r="BO89" i="40"/>
  <c r="BT140" i="40"/>
  <c r="CJ140" i="40" s="1"/>
  <c r="CP140" i="40" s="1"/>
  <c r="DG140" i="40" s="1"/>
  <c r="DH140" i="40" s="1"/>
  <c r="BD140" i="40"/>
  <c r="BL140" i="40" s="1"/>
  <c r="BB133" i="40"/>
  <c r="BJ133" i="40" s="1"/>
  <c r="BR133" i="40"/>
  <c r="BA84" i="40"/>
  <c r="BI84" i="40" s="1"/>
  <c r="BQ84" i="40"/>
  <c r="BB159" i="40"/>
  <c r="BJ159" i="40" s="1"/>
  <c r="BR159" i="40"/>
  <c r="BR210" i="40"/>
  <c r="BB210" i="40"/>
  <c r="BJ210" i="40" s="1"/>
  <c r="BQ178" i="40"/>
  <c r="BA178" i="40"/>
  <c r="BI178" i="40" s="1"/>
  <c r="BQ160" i="40"/>
  <c r="BA160" i="40"/>
  <c r="BI160" i="40" s="1"/>
  <c r="BU191" i="40"/>
  <c r="BE191" i="40"/>
  <c r="BM191" i="40" s="1"/>
  <c r="BE153" i="40"/>
  <c r="BM153" i="40" s="1"/>
  <c r="BU153" i="40"/>
  <c r="BC175" i="40"/>
  <c r="BK175" i="40" s="1"/>
  <c r="BS175" i="40"/>
  <c r="BF266" i="40"/>
  <c r="BN266" i="40" s="1"/>
  <c r="BV266" i="40"/>
  <c r="BO244" i="40"/>
  <c r="AY244" i="40"/>
  <c r="BG244" i="40" s="1"/>
  <c r="BS235" i="40"/>
  <c r="CI235" i="40" s="1"/>
  <c r="CO235" i="40" s="1"/>
  <c r="DE235" i="40" s="1"/>
  <c r="DF235" i="40" s="1"/>
  <c r="BC235" i="40"/>
  <c r="BK235" i="40" s="1"/>
  <c r="BA285" i="40"/>
  <c r="BI285" i="40" s="1"/>
  <c r="BQ285" i="40"/>
  <c r="AZ252" i="40"/>
  <c r="BH252" i="40" s="1"/>
  <c r="BP252" i="40"/>
  <c r="BD253" i="40"/>
  <c r="BL253" i="40" s="1"/>
  <c r="BT253" i="40"/>
  <c r="BO256" i="40"/>
  <c r="AY256" i="40"/>
  <c r="BG256" i="40" s="1"/>
  <c r="BU262" i="40"/>
  <c r="BE262" i="40"/>
  <c r="BM262" i="40" s="1"/>
  <c r="CG313" i="40"/>
  <c r="CM313" i="40" s="1"/>
  <c r="DA313" i="40" s="1"/>
  <c r="DB313" i="40" s="1"/>
  <c r="BU311" i="40"/>
  <c r="BE311" i="40"/>
  <c r="BM311" i="40" s="1"/>
  <c r="BC236" i="40"/>
  <c r="BK236" i="40" s="1"/>
  <c r="BS236" i="40"/>
  <c r="AY229" i="40"/>
  <c r="BG229" i="40" s="1"/>
  <c r="BO229" i="40"/>
  <c r="BE233" i="40"/>
  <c r="BM233" i="40" s="1"/>
  <c r="BU233" i="40"/>
  <c r="BC314" i="40"/>
  <c r="BK314" i="40" s="1"/>
  <c r="BS314" i="40"/>
  <c r="CI314" i="40" s="1"/>
  <c r="CO314" i="40" s="1"/>
  <c r="DE314" i="40" s="1"/>
  <c r="DF314" i="40" s="1"/>
  <c r="BV8" i="40"/>
  <c r="BF8" i="40"/>
  <c r="BN8" i="40" s="1"/>
  <c r="BB77" i="40"/>
  <c r="BJ77" i="40" s="1"/>
  <c r="BR77" i="40" s="1"/>
  <c r="AZ47" i="40"/>
  <c r="BH47" i="40" s="1"/>
  <c r="BP47" i="40"/>
  <c r="BP44" i="40"/>
  <c r="AZ44" i="40"/>
  <c r="BH44" i="40" s="1"/>
  <c r="BB86" i="40"/>
  <c r="BJ86" i="40" s="1"/>
  <c r="BR86" i="40"/>
  <c r="BU134" i="40"/>
  <c r="BE134" i="40"/>
  <c r="BM134" i="40" s="1"/>
  <c r="BE148" i="40"/>
  <c r="BM148" i="40" s="1"/>
  <c r="BU148" i="40"/>
  <c r="BD100" i="40"/>
  <c r="BL100" i="40" s="1"/>
  <c r="BT100" i="40"/>
  <c r="BC130" i="40"/>
  <c r="BK130" i="40" s="1"/>
  <c r="BS130" i="40"/>
  <c r="BA81" i="40"/>
  <c r="BI81" i="40" s="1"/>
  <c r="BQ81" i="40"/>
  <c r="BQ142" i="40"/>
  <c r="BA142" i="40"/>
  <c r="BI142" i="40" s="1"/>
  <c r="BE146" i="40"/>
  <c r="BM146" i="40" s="1"/>
  <c r="BU146" i="40"/>
  <c r="BA212" i="40"/>
  <c r="BI212" i="40" s="1"/>
  <c r="BQ212" i="40"/>
  <c r="BU170" i="40"/>
  <c r="BE170" i="40"/>
  <c r="BM170" i="40" s="1"/>
  <c r="AZ158" i="40"/>
  <c r="BH158" i="40" s="1"/>
  <c r="BP158" i="40"/>
  <c r="BA171" i="40"/>
  <c r="BI171" i="40" s="1"/>
  <c r="BQ171" i="40"/>
  <c r="BA164" i="40"/>
  <c r="BI164" i="40" s="1"/>
  <c r="BQ164" i="40"/>
  <c r="AZ222" i="40"/>
  <c r="BH222" i="40" s="1"/>
  <c r="BP222" i="40"/>
  <c r="BO227" i="40"/>
  <c r="AY227" i="40"/>
  <c r="BG227" i="40" s="1"/>
  <c r="BB261" i="40"/>
  <c r="BJ261" i="40" s="1"/>
  <c r="BR261" i="40" s="1"/>
  <c r="BA264" i="40"/>
  <c r="BI264" i="40" s="1"/>
  <c r="BQ264" i="40"/>
  <c r="BV239" i="40"/>
  <c r="BF239" i="40"/>
  <c r="BN239" i="40" s="1"/>
  <c r="BB291" i="40"/>
  <c r="BJ291" i="40" s="1"/>
  <c r="BR291" i="40"/>
  <c r="BE28" i="40"/>
  <c r="BM28" i="40" s="1"/>
  <c r="BU28" i="40"/>
  <c r="AY305" i="40"/>
  <c r="BG305" i="40" s="1"/>
  <c r="BO305" i="40" s="1"/>
  <c r="BE126" i="40"/>
  <c r="BM126" i="40" s="1"/>
  <c r="BU126" i="40"/>
  <c r="CJ126" i="40" s="1"/>
  <c r="CP126" i="40" s="1"/>
  <c r="DG126" i="40" s="1"/>
  <c r="DH126" i="40" s="1"/>
  <c r="BU188" i="40"/>
  <c r="BE188" i="40"/>
  <c r="BM188" i="40" s="1"/>
  <c r="BD52" i="40"/>
  <c r="BL52" i="40" s="1"/>
  <c r="BT52" i="40"/>
  <c r="AZ33" i="40"/>
  <c r="BH33" i="40" s="1"/>
  <c r="BP33" i="40"/>
  <c r="AZ26" i="40"/>
  <c r="BH26" i="40" s="1"/>
  <c r="BP26" i="40"/>
  <c r="BC54" i="40"/>
  <c r="BK54" i="40" s="1"/>
  <c r="BS54" i="40"/>
  <c r="BE56" i="40"/>
  <c r="BM56" i="40" s="1"/>
  <c r="BU56" i="40"/>
  <c r="BU69" i="40"/>
  <c r="BE69" i="40"/>
  <c r="BM69" i="40" s="1"/>
  <c r="BE24" i="40"/>
  <c r="BM24" i="40" s="1"/>
  <c r="BU24" i="40"/>
  <c r="BO85" i="40"/>
  <c r="AY85" i="40"/>
  <c r="BG85" i="40" s="1"/>
  <c r="BS106" i="40"/>
  <c r="BC106" i="40"/>
  <c r="BK106" i="40" s="1"/>
  <c r="BU128" i="40"/>
  <c r="BE128" i="40"/>
  <c r="BM128" i="40" s="1"/>
  <c r="BA131" i="40"/>
  <c r="BI131" i="40" s="1"/>
  <c r="BQ131" i="40"/>
  <c r="BR97" i="40"/>
  <c r="BB97" i="40"/>
  <c r="BJ97" i="40" s="1"/>
  <c r="BS115" i="40"/>
  <c r="BC115" i="40"/>
  <c r="BK115" i="40" s="1"/>
  <c r="AY149" i="40"/>
  <c r="BG149" i="40" s="1"/>
  <c r="BO149" i="40"/>
  <c r="BB167" i="40"/>
  <c r="BJ167" i="40" s="1"/>
  <c r="BR167" i="40"/>
  <c r="AY203" i="40"/>
  <c r="BG203" i="40" s="1"/>
  <c r="BO203" i="40"/>
  <c r="CE203" i="40" s="1"/>
  <c r="CK203" i="40" s="1"/>
  <c r="CW203" i="40" s="1"/>
  <c r="CX203" i="40" s="1"/>
  <c r="BQ179" i="40"/>
  <c r="BA179" i="40"/>
  <c r="BI179" i="40" s="1"/>
  <c r="AY197" i="40"/>
  <c r="BG197" i="40" s="1"/>
  <c r="BO197" i="40"/>
  <c r="AY192" i="40"/>
  <c r="BG192" i="40" s="1"/>
  <c r="BO192" i="40"/>
  <c r="BU157" i="40"/>
  <c r="BE157" i="40"/>
  <c r="BM157" i="40" s="1"/>
  <c r="AY248" i="40"/>
  <c r="BG248" i="40" s="1"/>
  <c r="BO248" i="40"/>
  <c r="BD251" i="40"/>
  <c r="BL251" i="40" s="1"/>
  <c r="BT251" i="40"/>
  <c r="BC237" i="40"/>
  <c r="BK237" i="40" s="1"/>
  <c r="BS237" i="40"/>
  <c r="BA246" i="40"/>
  <c r="BI246" i="40" s="1"/>
  <c r="BQ246" i="40"/>
  <c r="CG246" i="40" s="1"/>
  <c r="CM246" i="40" s="1"/>
  <c r="DA246" i="40" s="1"/>
  <c r="DB246" i="40" s="1"/>
  <c r="BO280" i="40"/>
  <c r="AY280" i="40"/>
  <c r="BG280" i="40" s="1"/>
  <c r="AZ225" i="40"/>
  <c r="BH225" i="40" s="1"/>
  <c r="BP225" i="40"/>
  <c r="BE269" i="40"/>
  <c r="BM269" i="40" s="1"/>
  <c r="BU269" i="40"/>
  <c r="BP230" i="40"/>
  <c r="AZ230" i="40"/>
  <c r="BH230" i="40" s="1"/>
  <c r="BO221" i="40"/>
  <c r="AY221" i="40"/>
  <c r="BG221" i="40" s="1"/>
  <c r="BF224" i="40"/>
  <c r="BN224" i="40" s="1"/>
  <c r="BV224" i="40"/>
  <c r="BU5" i="40"/>
  <c r="CI5" i="40" s="1"/>
  <c r="CO5" i="40" s="1"/>
  <c r="DE5" i="40" s="1"/>
  <c r="DF5" i="40" s="1"/>
  <c r="BE5" i="40"/>
  <c r="BM5" i="40" s="1"/>
  <c r="BE296" i="40"/>
  <c r="BM296" i="40" s="1"/>
  <c r="BU296" i="40"/>
  <c r="AY310" i="40"/>
  <c r="BG310" i="40" s="1"/>
  <c r="BO310" i="40"/>
  <c r="BV162" i="40"/>
  <c r="BF162" i="40"/>
  <c r="BN162" i="40" s="1"/>
  <c r="BU202" i="40"/>
  <c r="BE202" i="40"/>
  <c r="BM202" i="40" s="1"/>
  <c r="BU273" i="40"/>
  <c r="BE273" i="40"/>
  <c r="BM273" i="40" s="1"/>
  <c r="AZ284" i="40"/>
  <c r="BH284" i="40" s="1"/>
  <c r="BP284" i="40"/>
  <c r="BE123" i="40"/>
  <c r="BM123" i="40" s="1"/>
  <c r="BU123" i="40" s="1"/>
  <c r="BE63" i="40"/>
  <c r="BM63" i="40" s="1"/>
  <c r="BU63" i="40"/>
  <c r="BP223" i="40"/>
  <c r="AZ223" i="40"/>
  <c r="BH223" i="40" s="1"/>
  <c r="BC29" i="40"/>
  <c r="BK29" i="40" s="1"/>
  <c r="BS29" i="40"/>
  <c r="BA20" i="40"/>
  <c r="BI20" i="40" s="1"/>
  <c r="BQ20" i="40"/>
  <c r="AY6" i="40"/>
  <c r="BG6" i="40" s="1"/>
  <c r="BO6" i="40"/>
  <c r="BC34" i="40"/>
  <c r="BK34" i="40" s="1"/>
  <c r="BS34" i="40"/>
  <c r="BE71" i="40"/>
  <c r="BM71" i="40" s="1"/>
  <c r="BU71" i="40"/>
  <c r="AY30" i="40"/>
  <c r="BG30" i="40" s="1"/>
  <c r="BO30" i="40"/>
  <c r="BB11" i="40"/>
  <c r="BJ11" i="40" s="1"/>
  <c r="BR11" i="40"/>
  <c r="BC42" i="40"/>
  <c r="BK42" i="40" s="1"/>
  <c r="BS42" i="40"/>
  <c r="AY119" i="40"/>
  <c r="BG119" i="40" s="1"/>
  <c r="BO119" i="40"/>
  <c r="AY92" i="40"/>
  <c r="BG92" i="40" s="1"/>
  <c r="BO92" i="40"/>
  <c r="BF104" i="40"/>
  <c r="BN104" i="40" s="1"/>
  <c r="BV104" i="40"/>
  <c r="BE113" i="40"/>
  <c r="BM113" i="40" s="1"/>
  <c r="BU113" i="40"/>
  <c r="BE116" i="40"/>
  <c r="BM116" i="40" s="1"/>
  <c r="BU116" i="40"/>
  <c r="AZ143" i="40"/>
  <c r="BH143" i="40" s="1"/>
  <c r="BP143" i="40"/>
  <c r="BA215" i="40"/>
  <c r="BI215" i="40" s="1"/>
  <c r="BQ215" i="40"/>
  <c r="BC186" i="40"/>
  <c r="BK186" i="40" s="1"/>
  <c r="BS186" i="40"/>
  <c r="BU172" i="40"/>
  <c r="BE172" i="40"/>
  <c r="BM172" i="40" s="1"/>
  <c r="BA211" i="40"/>
  <c r="BI211" i="40" s="1"/>
  <c r="BQ211" i="40"/>
  <c r="BU181" i="40"/>
  <c r="BE181" i="40"/>
  <c r="BM181" i="40" s="1"/>
  <c r="BA260" i="40"/>
  <c r="BI260" i="40" s="1"/>
  <c r="BQ260" i="40"/>
  <c r="BT257" i="40"/>
  <c r="BD257" i="40"/>
  <c r="BL257" i="40" s="1"/>
  <c r="BA271" i="40"/>
  <c r="BI271" i="40" s="1"/>
  <c r="BQ271" i="40"/>
  <c r="BC275" i="40"/>
  <c r="BK275" i="40" s="1"/>
  <c r="BS275" i="40" s="1"/>
  <c r="BB247" i="40"/>
  <c r="BJ247" i="40" s="1"/>
  <c r="BR247" i="40"/>
  <c r="BS103" i="40"/>
  <c r="CI103" i="40" s="1"/>
  <c r="CO103" i="40" s="1"/>
  <c r="DE103" i="40" s="1"/>
  <c r="DF103" i="40" s="1"/>
  <c r="BC103" i="40"/>
  <c r="BK103" i="40" s="1"/>
  <c r="BF307" i="40"/>
  <c r="BN307" i="40" s="1"/>
  <c r="BV307" i="40"/>
  <c r="BD226" i="40"/>
  <c r="BL226" i="40" s="1"/>
  <c r="BT226" i="40" s="1"/>
  <c r="BC268" i="40"/>
  <c r="BK268" i="40" s="1"/>
  <c r="BS268" i="40"/>
  <c r="AZ80" i="40"/>
  <c r="BH80" i="40" s="1"/>
  <c r="BP80" i="40"/>
  <c r="BP25" i="40"/>
  <c r="CF25" i="40" s="1"/>
  <c r="CL25" i="40" s="1"/>
  <c r="CY25" i="40" s="1"/>
  <c r="CZ25" i="40" s="1"/>
  <c r="AZ25" i="40"/>
  <c r="BH25" i="40" s="1"/>
  <c r="BE75" i="40"/>
  <c r="BM75" i="40" s="1"/>
  <c r="BU75" i="40"/>
  <c r="BA72" i="40"/>
  <c r="BI72" i="40" s="1"/>
  <c r="BQ72" i="40"/>
  <c r="BO48" i="40"/>
  <c r="AY48" i="40"/>
  <c r="BG48" i="40" s="1"/>
  <c r="BF49" i="40"/>
  <c r="BN49" i="40" s="1"/>
  <c r="BV49" i="40"/>
  <c r="BA27" i="40"/>
  <c r="BI27" i="40" s="1"/>
  <c r="BQ27" i="40"/>
  <c r="AZ138" i="40"/>
  <c r="BH138" i="40" s="1"/>
  <c r="BP138" i="40"/>
  <c r="BB105" i="40"/>
  <c r="BJ105" i="40" s="1"/>
  <c r="BR105" i="40"/>
  <c r="BC108" i="40"/>
  <c r="BK108" i="40" s="1"/>
  <c r="BS108" i="40"/>
  <c r="BE95" i="40"/>
  <c r="BM95" i="40" s="1"/>
  <c r="BU95" i="40"/>
  <c r="BE91" i="40"/>
  <c r="BM91" i="40" s="1"/>
  <c r="BU91" i="40"/>
  <c r="BV139" i="40"/>
  <c r="BF139" i="40"/>
  <c r="BN139" i="40" s="1"/>
  <c r="BC121" i="40"/>
  <c r="BK121" i="40" s="1"/>
  <c r="BS121" i="40" s="1"/>
  <c r="BU147" i="40"/>
  <c r="BE147" i="40"/>
  <c r="BM147" i="40" s="1"/>
  <c r="AY193" i="40"/>
  <c r="BG193" i="40" s="1"/>
  <c r="BO193" i="40" s="1"/>
  <c r="BV200" i="40"/>
  <c r="BF200" i="40"/>
  <c r="BN200" i="40" s="1"/>
  <c r="BA213" i="40"/>
  <c r="BI213" i="40" s="1"/>
  <c r="BQ213" i="40"/>
  <c r="BB185" i="40"/>
  <c r="BJ185" i="40" s="1"/>
  <c r="BR185" i="40"/>
  <c r="BF190" i="40"/>
  <c r="BN190" i="40" s="1"/>
  <c r="BV190" i="40"/>
  <c r="BD161" i="40"/>
  <c r="BL161" i="40" s="1"/>
  <c r="BT161" i="40"/>
  <c r="CJ161" i="40" s="1"/>
  <c r="CP161" i="40" s="1"/>
  <c r="DG161" i="40" s="1"/>
  <c r="DH161" i="40" s="1"/>
  <c r="BS173" i="40"/>
  <c r="BC173" i="40"/>
  <c r="BK173" i="40" s="1"/>
  <c r="BF219" i="40"/>
  <c r="BN219" i="40" s="1"/>
  <c r="BV219" i="40"/>
  <c r="BA231" i="40"/>
  <c r="BI231" i="40" s="1"/>
  <c r="BQ231" i="40"/>
  <c r="AY281" i="40"/>
  <c r="BG281" i="40" s="1"/>
  <c r="BO281" i="40"/>
  <c r="AY241" i="40"/>
  <c r="BG241" i="40" s="1"/>
  <c r="BO241" i="40"/>
  <c r="BE220" i="40"/>
  <c r="BM220" i="40" s="1"/>
  <c r="BU220" i="40"/>
  <c r="BA250" i="40"/>
  <c r="BI250" i="40" s="1"/>
  <c r="BQ250" i="40"/>
  <c r="BC272" i="40"/>
  <c r="BK272" i="40" s="1"/>
  <c r="BS272" i="40" s="1"/>
  <c r="BR240" i="40"/>
  <c r="BB240" i="40"/>
  <c r="BJ240" i="40" s="1"/>
  <c r="AZ298" i="40"/>
  <c r="BH298" i="40" s="1"/>
  <c r="BP298" i="40"/>
  <c r="AY318" i="40"/>
  <c r="BG318" i="40" s="1"/>
  <c r="BO318" i="40"/>
  <c r="BO154" i="40"/>
  <c r="AY154" i="40"/>
  <c r="BG154" i="40" s="1"/>
  <c r="BS199" i="40"/>
  <c r="BC199" i="40"/>
  <c r="BK199" i="40" s="1"/>
  <c r="BA136" i="40"/>
  <c r="BI136" i="40" s="1"/>
  <c r="BQ136" i="40" s="1"/>
  <c r="BB45" i="40"/>
  <c r="BJ45" i="40" s="1"/>
  <c r="BR45" i="40"/>
  <c r="AY309" i="40"/>
  <c r="BG309" i="40" s="1"/>
  <c r="BO309" i="40"/>
  <c r="BS234" i="40"/>
  <c r="BC234" i="40"/>
  <c r="BK234" i="40" s="1"/>
  <c r="BF38" i="40"/>
  <c r="BN38" i="40" s="1"/>
  <c r="BV38" i="40"/>
  <c r="BV12" i="40"/>
  <c r="BF12" i="40"/>
  <c r="BN12" i="40" s="1"/>
  <c r="BQ76" i="40"/>
  <c r="BA76" i="40"/>
  <c r="BI76" i="40" s="1"/>
  <c r="BT51" i="40"/>
  <c r="BD51" i="40"/>
  <c r="BL51" i="40" s="1"/>
  <c r="BS68" i="40"/>
  <c r="CI68" i="40" s="1"/>
  <c r="CO68" i="40" s="1"/>
  <c r="DE68" i="40" s="1"/>
  <c r="DF68" i="40" s="1"/>
  <c r="BC68" i="40"/>
  <c r="BK68" i="40" s="1"/>
  <c r="BF66" i="40"/>
  <c r="BN66" i="40" s="1"/>
  <c r="BV66" i="40"/>
  <c r="BA16" i="40"/>
  <c r="BI16" i="40" s="1"/>
  <c r="BQ16" i="40"/>
  <c r="AY117" i="40"/>
  <c r="BG117" i="40" s="1"/>
  <c r="BO117" i="40" s="1"/>
  <c r="BC125" i="40"/>
  <c r="BK125" i="40" s="1"/>
  <c r="BS125" i="40"/>
  <c r="BU102" i="40"/>
  <c r="BE102" i="40"/>
  <c r="BM102" i="40" s="1"/>
  <c r="BQ82" i="40"/>
  <c r="BA82" i="40"/>
  <c r="BI82" i="40" s="1"/>
  <c r="BC118" i="40"/>
  <c r="BK118" i="40" s="1"/>
  <c r="BS118" i="40"/>
  <c r="AY168" i="40"/>
  <c r="BG168" i="40" s="1"/>
  <c r="BO168" i="40"/>
  <c r="AZ183" i="40"/>
  <c r="BH183" i="40" s="1"/>
  <c r="BP183" i="40"/>
  <c r="AY196" i="40"/>
  <c r="BG196" i="40" s="1"/>
  <c r="BO196" i="40"/>
  <c r="AZ270" i="40"/>
  <c r="BH270" i="40" s="1"/>
  <c r="BP270" i="40"/>
  <c r="BO278" i="40"/>
  <c r="AY278" i="40"/>
  <c r="BG278" i="40" s="1"/>
  <c r="BF228" i="40"/>
  <c r="BN228" i="40" s="1"/>
  <c r="BV228" i="40"/>
  <c r="BB249" i="40"/>
  <c r="BJ249" i="40" s="1"/>
  <c r="BR249" i="40"/>
  <c r="BA274" i="40"/>
  <c r="BI274" i="40" s="1"/>
  <c r="BQ274" i="40" s="1"/>
  <c r="BU232" i="40"/>
  <c r="BE232" i="40"/>
  <c r="BM232" i="40" s="1"/>
  <c r="BE255" i="40"/>
  <c r="BM255" i="40" s="1"/>
  <c r="BU255" i="40"/>
  <c r="AY293" i="40"/>
  <c r="BG293" i="40" s="1"/>
  <c r="BO293" i="40"/>
  <c r="AY289" i="40"/>
  <c r="BG289" i="40" s="1"/>
  <c r="BO289" i="40"/>
  <c r="AZ316" i="40"/>
  <c r="BH316" i="40" s="1"/>
  <c r="BP316" i="40"/>
  <c r="BR194" i="40"/>
  <c r="BB194" i="40"/>
  <c r="BJ194" i="40" s="1"/>
  <c r="BA174" i="40"/>
  <c r="BI174" i="40" s="1"/>
  <c r="BQ174" i="40"/>
  <c r="BB315" i="40"/>
  <c r="BJ315" i="40" s="1"/>
  <c r="BR315" i="40"/>
  <c r="BC83" i="40"/>
  <c r="BK83" i="40" s="1"/>
  <c r="BS83" i="40"/>
  <c r="BF41" i="40"/>
  <c r="BN41" i="40" s="1"/>
  <c r="BV41" i="40" s="1"/>
  <c r="AY9" i="40"/>
  <c r="BG9" i="40" s="1"/>
  <c r="BO9" i="40"/>
  <c r="BC303" i="40"/>
  <c r="BK303" i="40" s="1"/>
  <c r="BS303" i="40"/>
  <c r="AZ46" i="40"/>
  <c r="BH46" i="40" s="1"/>
  <c r="BP46" i="40"/>
  <c r="BA32" i="40"/>
  <c r="BI32" i="40" s="1"/>
  <c r="BQ32" i="40"/>
  <c r="AY73" i="40"/>
  <c r="BG73" i="40" s="1"/>
  <c r="BO73" i="40" s="1"/>
  <c r="BB61" i="40"/>
  <c r="BJ61" i="40" s="1"/>
  <c r="BR61" i="40"/>
  <c r="BA37" i="40"/>
  <c r="BI37" i="40" s="1"/>
  <c r="BQ37" i="40"/>
  <c r="BF57" i="40"/>
  <c r="BN57" i="40" s="1"/>
  <c r="BV57" i="40"/>
  <c r="BC70" i="40"/>
  <c r="BK70" i="40" s="1"/>
  <c r="BS70" i="40"/>
  <c r="BE144" i="40"/>
  <c r="BM144" i="40" s="1"/>
  <c r="BU144" i="40"/>
  <c r="BA87" i="40"/>
  <c r="BI87" i="40" s="1"/>
  <c r="BQ87" i="40"/>
  <c r="BE110" i="40"/>
  <c r="BM110" i="40" s="1"/>
  <c r="BU110" i="40"/>
  <c r="BC109" i="40"/>
  <c r="BK109" i="40" s="1"/>
  <c r="BS109" i="40"/>
  <c r="BP124" i="40"/>
  <c r="AZ124" i="40"/>
  <c r="BH124" i="40" s="1"/>
  <c r="BE214" i="40"/>
  <c r="BM214" i="40" s="1"/>
  <c r="BU214" i="40"/>
  <c r="BO204" i="40"/>
  <c r="AY204" i="40"/>
  <c r="BG204" i="40" s="1"/>
  <c r="AZ195" i="40"/>
  <c r="BH195" i="40" s="1"/>
  <c r="BP195" i="40"/>
  <c r="BU151" i="40"/>
  <c r="BE151" i="40"/>
  <c r="BM151" i="40" s="1"/>
  <c r="AZ201" i="40"/>
  <c r="BH201" i="40" s="1"/>
  <c r="BP201" i="40"/>
  <c r="BU156" i="40"/>
  <c r="BE156" i="40"/>
  <c r="BM156" i="40" s="1"/>
  <c r="BV177" i="40"/>
  <c r="BF177" i="40"/>
  <c r="BN177" i="40" s="1"/>
  <c r="BU169" i="40"/>
  <c r="BE169" i="40"/>
  <c r="BM169" i="40" s="1"/>
  <c r="BA279" i="40"/>
  <c r="BI279" i="40" s="1"/>
  <c r="BQ279" i="40"/>
  <c r="BQ242" i="40"/>
  <c r="CG242" i="40" s="1"/>
  <c r="CM242" i="40" s="1"/>
  <c r="DA242" i="40" s="1"/>
  <c r="DB242" i="40" s="1"/>
  <c r="BA242" i="40"/>
  <c r="BI242" i="40" s="1"/>
  <c r="BP265" i="40"/>
  <c r="AZ265" i="40"/>
  <c r="BH265" i="40" s="1"/>
  <c r="BQ283" i="40"/>
  <c r="BA283" i="40"/>
  <c r="BI283" i="40" s="1"/>
  <c r="BC277" i="40"/>
  <c r="BK277" i="40" s="1"/>
  <c r="BS277" i="40"/>
  <c r="BO258" i="40"/>
  <c r="AY258" i="40"/>
  <c r="BG258" i="40" s="1"/>
  <c r="BB31" i="40"/>
  <c r="BJ31" i="40" s="1"/>
  <c r="BR31" i="40"/>
  <c r="AZ288" i="40"/>
  <c r="BH288" i="40" s="1"/>
  <c r="BP288" i="40"/>
  <c r="BQ308" i="40"/>
  <c r="BA308" i="40"/>
  <c r="BI308" i="40" s="1"/>
  <c r="BB302" i="40"/>
  <c r="BJ302" i="40" s="1"/>
  <c r="BR302" i="40"/>
  <c r="BP39" i="40"/>
  <c r="AZ39" i="40"/>
  <c r="BH39" i="40" s="1"/>
  <c r="BC59" i="40"/>
  <c r="BK59" i="40" s="1"/>
  <c r="BS59" i="40"/>
  <c r="BA112" i="40"/>
  <c r="BI112" i="40" s="1"/>
  <c r="BQ112" i="40"/>
  <c r="AZ245" i="40"/>
  <c r="BH245" i="40" s="1"/>
  <c r="BP245" i="40"/>
  <c r="BA155" i="40"/>
  <c r="BI155" i="40" s="1"/>
  <c r="BQ155" i="40"/>
  <c r="CG155" i="40" s="1"/>
  <c r="CM155" i="40" s="1"/>
  <c r="DA155" i="40" s="1"/>
  <c r="DB155" i="40" s="1"/>
  <c r="BR187" i="40"/>
  <c r="BB187" i="40"/>
  <c r="BJ187" i="40" s="1"/>
  <c r="BA35" i="40"/>
  <c r="BI35" i="40" s="1"/>
  <c r="BQ35" i="40"/>
  <c r="BF7" i="40"/>
  <c r="BN7" i="40" s="1"/>
  <c r="BV7" i="40"/>
  <c r="BO58" i="40"/>
  <c r="AY58" i="40"/>
  <c r="BG58" i="40" s="1"/>
  <c r="BD67" i="40"/>
  <c r="BL67" i="40" s="1"/>
  <c r="BT67" i="40"/>
  <c r="AY23" i="40"/>
  <c r="BG23" i="40" s="1"/>
  <c r="BO23" i="40"/>
  <c r="BA53" i="40"/>
  <c r="BI53" i="40" s="1"/>
  <c r="BQ53" i="40"/>
  <c r="BT18" i="40"/>
  <c r="BD18" i="40"/>
  <c r="BL18" i="40" s="1"/>
  <c r="BE14" i="40"/>
  <c r="BM14" i="40" s="1"/>
  <c r="BU14" i="40"/>
  <c r="BT78" i="40"/>
  <c r="CJ78" i="40" s="1"/>
  <c r="CP78" i="40" s="1"/>
  <c r="DG78" i="40" s="1"/>
  <c r="DH78" i="40" s="1"/>
  <c r="BD78" i="40"/>
  <c r="BL78" i="40" s="1"/>
  <c r="AY111" i="40"/>
  <c r="BG111" i="40" s="1"/>
  <c r="BO111" i="40"/>
  <c r="CE111" i="40" s="1"/>
  <c r="CK111" i="40" s="1"/>
  <c r="CW111" i="40" s="1"/>
  <c r="CX111" i="40" s="1"/>
  <c r="BF99" i="40"/>
  <c r="BN99" i="40" s="1"/>
  <c r="BV99" i="40"/>
  <c r="BF79" i="40"/>
  <c r="BN79" i="40" s="1"/>
  <c r="BV79" i="40"/>
  <c r="BO135" i="40"/>
  <c r="CE135" i="40" s="1"/>
  <c r="CK135" i="40" s="1"/>
  <c r="CW135" i="40" s="1"/>
  <c r="CX135" i="40" s="1"/>
  <c r="AY135" i="40"/>
  <c r="BG135" i="40" s="1"/>
  <c r="BD129" i="40"/>
  <c r="BL129" i="40" s="1"/>
  <c r="BT129" i="40"/>
  <c r="CJ129" i="40" s="1"/>
  <c r="CP129" i="40" s="1"/>
  <c r="DG129" i="40" s="1"/>
  <c r="DH129" i="40" s="1"/>
  <c r="BV166" i="40"/>
  <c r="BF166" i="40"/>
  <c r="BN166" i="40" s="1"/>
  <c r="BD205" i="40"/>
  <c r="BL205" i="40" s="1"/>
  <c r="BT205" i="40"/>
  <c r="BR209" i="40"/>
  <c r="BB209" i="40"/>
  <c r="BJ209" i="40" s="1"/>
  <c r="AZ182" i="40"/>
  <c r="BH182" i="40" s="1"/>
  <c r="BP182" i="40"/>
  <c r="CF182" i="40" s="1"/>
  <c r="CL182" i="40" s="1"/>
  <c r="CY182" i="40" s="1"/>
  <c r="CZ182" i="40" s="1"/>
  <c r="BA176" i="40"/>
  <c r="BI176" i="40" s="1"/>
  <c r="BQ176" i="40"/>
  <c r="AZ208" i="40"/>
  <c r="BH208" i="40" s="1"/>
  <c r="BP208" i="40" s="1"/>
  <c r="BB163" i="40"/>
  <c r="BJ163" i="40" s="1"/>
  <c r="BR163" i="40"/>
  <c r="BD150" i="40"/>
  <c r="BL150" i="40" s="1"/>
  <c r="BT150" i="40"/>
  <c r="BA259" i="40"/>
  <c r="BI259" i="40" s="1"/>
  <c r="BQ259" i="40"/>
  <c r="BD238" i="40"/>
  <c r="BL238" i="40" s="1"/>
  <c r="BT238" i="40" s="1"/>
  <c r="BF218" i="40"/>
  <c r="BN218" i="40" s="1"/>
  <c r="BV218" i="40" s="1"/>
  <c r="BA217" i="40"/>
  <c r="BI217" i="40" s="1"/>
  <c r="BQ217" i="40"/>
  <c r="CG217" i="40" s="1"/>
  <c r="CM217" i="40" s="1"/>
  <c r="DA217" i="40" s="1"/>
  <c r="DB217" i="40" s="1"/>
  <c r="BD254" i="40"/>
  <c r="BL254" i="40" s="1"/>
  <c r="BT254" i="40"/>
  <c r="CJ254" i="40" s="1"/>
  <c r="CP254" i="40" s="1"/>
  <c r="DG254" i="40" s="1"/>
  <c r="DH254" i="40" s="1"/>
  <c r="BT276" i="40"/>
  <c r="CJ276" i="40" s="1"/>
  <c r="CP276" i="40" s="1"/>
  <c r="DG276" i="40" s="1"/>
  <c r="DH276" i="40" s="1"/>
  <c r="BD276" i="40"/>
  <c r="BL276" i="40" s="1"/>
  <c r="BF292" i="40"/>
  <c r="BN292" i="40" s="1"/>
  <c r="BV292" i="40"/>
  <c r="BB295" i="40"/>
  <c r="BJ295" i="40" s="1"/>
  <c r="BR295" i="40"/>
  <c r="BU189" i="40"/>
  <c r="BE189" i="40"/>
  <c r="BM189" i="40" s="1"/>
  <c r="BT114" i="40"/>
  <c r="BD114" i="40"/>
  <c r="BL114" i="40" s="1"/>
  <c r="BV137" i="40"/>
  <c r="BF137" i="40"/>
  <c r="BN137" i="40" s="1"/>
  <c r="AY40" i="40"/>
  <c r="BG40" i="40" s="1"/>
  <c r="BO40" i="40"/>
  <c r="BA165" i="40"/>
  <c r="BI165" i="40" s="1"/>
  <c r="BQ165" i="40"/>
  <c r="BV13" i="40"/>
  <c r="BF13" i="40"/>
  <c r="BN13" i="40" s="1"/>
  <c r="BC22" i="40"/>
  <c r="BK22" i="40" s="1"/>
  <c r="BS22" i="40"/>
  <c r="BT74" i="40"/>
  <c r="BD74" i="40"/>
  <c r="BL74" i="40" s="1"/>
  <c r="BF96" i="40"/>
  <c r="BN96" i="40" s="1"/>
  <c r="BV96" i="40"/>
  <c r="BF94" i="40"/>
  <c r="BN94" i="40" s="1"/>
  <c r="BV94" i="40"/>
  <c r="AY145" i="40"/>
  <c r="BG145" i="40" s="1"/>
  <c r="BO145" i="40"/>
  <c r="BF132" i="40"/>
  <c r="BN132" i="40" s="1"/>
  <c r="BV132" i="40"/>
  <c r="BD101" i="40"/>
  <c r="BL101" i="40" s="1"/>
  <c r="BT101" i="40"/>
  <c r="AY88" i="40"/>
  <c r="BG88" i="40" s="1"/>
  <c r="BO88" i="40"/>
  <c r="BF89" i="40"/>
  <c r="BN89" i="40" s="1"/>
  <c r="BV89" i="40"/>
  <c r="BB140" i="40"/>
  <c r="BJ140" i="40" s="1"/>
  <c r="BR140" i="40"/>
  <c r="BD133" i="40"/>
  <c r="BL133" i="40" s="1"/>
  <c r="BT133" i="40"/>
  <c r="CJ133" i="40" s="1"/>
  <c r="CP133" i="40" s="1"/>
  <c r="DG133" i="40" s="1"/>
  <c r="DH133" i="40" s="1"/>
  <c r="BD84" i="40"/>
  <c r="BL84" i="40" s="1"/>
  <c r="BT84" i="40"/>
  <c r="AY159" i="40"/>
  <c r="BG159" i="40" s="1"/>
  <c r="BO159" i="40"/>
  <c r="BF210" i="40"/>
  <c r="BN210" i="40" s="1"/>
  <c r="BV210" i="40"/>
  <c r="BO178" i="40"/>
  <c r="AY178" i="40"/>
  <c r="BG178" i="40" s="1"/>
  <c r="BD160" i="40"/>
  <c r="BL160" i="40" s="1"/>
  <c r="BT160" i="40"/>
  <c r="CJ160" i="40" s="1"/>
  <c r="CP160" i="40" s="1"/>
  <c r="DG160" i="40" s="1"/>
  <c r="DH160" i="40" s="1"/>
  <c r="BT191" i="40"/>
  <c r="BD191" i="40"/>
  <c r="BL191" i="40" s="1"/>
  <c r="AZ153" i="40"/>
  <c r="BH153" i="40" s="1"/>
  <c r="BP153" i="40" s="1"/>
  <c r="CF153" i="40" s="1"/>
  <c r="CL153" i="40" s="1"/>
  <c r="CY153" i="40" s="1"/>
  <c r="CZ153" i="40" s="1"/>
  <c r="BT267" i="40"/>
  <c r="BD267" i="40"/>
  <c r="BL267" i="40" s="1"/>
  <c r="BA266" i="40"/>
  <c r="BI266" i="40" s="1"/>
  <c r="BQ266" i="40"/>
  <c r="BU244" i="40"/>
  <c r="BE244" i="40"/>
  <c r="BM244" i="40" s="1"/>
  <c r="CJ235" i="40"/>
  <c r="CP235" i="40" s="1"/>
  <c r="DG235" i="40" s="1"/>
  <c r="DH235" i="40" s="1"/>
  <c r="BF285" i="40"/>
  <c r="BN285" i="40" s="1"/>
  <c r="BV285" i="40"/>
  <c r="BQ252" i="40"/>
  <c r="BA252" i="40"/>
  <c r="BI252" i="40" s="1"/>
  <c r="BA253" i="40"/>
  <c r="BI253" i="40" s="1"/>
  <c r="BQ253" i="40"/>
  <c r="BD256" i="40"/>
  <c r="BL256" i="40" s="1"/>
  <c r="BT256" i="40"/>
  <c r="CJ256" i="40" s="1"/>
  <c r="CP256" i="40" s="1"/>
  <c r="DG256" i="40" s="1"/>
  <c r="DH256" i="40" s="1"/>
  <c r="BD262" i="40"/>
  <c r="BL262" i="40" s="1"/>
  <c r="BT262" i="40"/>
  <c r="AY313" i="40"/>
  <c r="BG313" i="40" s="1"/>
  <c r="BO313" i="40"/>
  <c r="BT152" i="40"/>
  <c r="CJ152" i="40" s="1"/>
  <c r="CP152" i="40" s="1"/>
  <c r="DG152" i="40" s="1"/>
  <c r="DH152" i="40" s="1"/>
  <c r="BD152" i="40"/>
  <c r="BL152" i="40" s="1"/>
  <c r="BC311" i="40"/>
  <c r="BK311" i="40" s="1"/>
  <c r="BS311" i="40"/>
  <c r="BU236" i="40"/>
  <c r="BE236" i="40"/>
  <c r="BM236" i="40" s="1"/>
  <c r="BA229" i="40"/>
  <c r="BI229" i="40" s="1"/>
  <c r="BQ229" i="40"/>
  <c r="AZ233" i="40"/>
  <c r="BH233" i="40" s="1"/>
  <c r="BP233" i="40"/>
  <c r="BO314" i="40"/>
  <c r="AY314" i="40"/>
  <c r="BG314" i="40" s="1"/>
  <c r="BU8" i="40"/>
  <c r="BE8" i="40"/>
  <c r="BM8" i="40" s="1"/>
  <c r="BF77" i="40"/>
  <c r="BN77" i="40" s="1"/>
  <c r="BV77" i="40"/>
  <c r="BB47" i="40"/>
  <c r="BJ47" i="40" s="1"/>
  <c r="BR47" i="40"/>
  <c r="BV44" i="40"/>
  <c r="BF44" i="40"/>
  <c r="BN44" i="40" s="1"/>
  <c r="BT86" i="40"/>
  <c r="BD86" i="40"/>
  <c r="BL86" i="40" s="1"/>
  <c r="BV134" i="40"/>
  <c r="BF134" i="40"/>
  <c r="BN134" i="40" s="1"/>
  <c r="BV148" i="40"/>
  <c r="BF148" i="40"/>
  <c r="BN148" i="40" s="1"/>
  <c r="BF100" i="40"/>
  <c r="BN100" i="40" s="1"/>
  <c r="BV100" i="40"/>
  <c r="BD130" i="40"/>
  <c r="BL130" i="40" s="1"/>
  <c r="BT130" i="40"/>
  <c r="BF81" i="40"/>
  <c r="BN81" i="40" s="1"/>
  <c r="BV81" i="40"/>
  <c r="BB142" i="40"/>
  <c r="BJ142" i="40" s="1"/>
  <c r="BR142" i="40"/>
  <c r="BF146" i="40"/>
  <c r="BN146" i="40" s="1"/>
  <c r="BV146" i="40"/>
  <c r="BB212" i="40"/>
  <c r="BJ212" i="40" s="1"/>
  <c r="BR212" i="40" s="1"/>
  <c r="BT170" i="40"/>
  <c r="BD170" i="40"/>
  <c r="BL170" i="40" s="1"/>
  <c r="BD158" i="40"/>
  <c r="BL158" i="40" s="1"/>
  <c r="BT158" i="40"/>
  <c r="CJ158" i="40" s="1"/>
  <c r="CP158" i="40" s="1"/>
  <c r="DG158" i="40" s="1"/>
  <c r="DH158" i="40" s="1"/>
  <c r="BF171" i="40"/>
  <c r="BN171" i="40" s="1"/>
  <c r="BV171" i="40"/>
  <c r="AZ164" i="40"/>
  <c r="BH164" i="40" s="1"/>
  <c r="BP164" i="40"/>
  <c r="BF184" i="40"/>
  <c r="BN184" i="40" s="1"/>
  <c r="BV184" i="40"/>
  <c r="BD222" i="40"/>
  <c r="BL222" i="40" s="1"/>
  <c r="BT222" i="40"/>
  <c r="BC227" i="40"/>
  <c r="BK227" i="40" s="1"/>
  <c r="BS227" i="40" s="1"/>
  <c r="CI227" i="40" s="1"/>
  <c r="CO227" i="40" s="1"/>
  <c r="DE227" i="40" s="1"/>
  <c r="DF227" i="40" s="1"/>
  <c r="BU261" i="40"/>
  <c r="BE261" i="40"/>
  <c r="BM261" i="40" s="1"/>
  <c r="BF264" i="40"/>
  <c r="BN264" i="40" s="1"/>
  <c r="BV264" i="40"/>
  <c r="BD239" i="40"/>
  <c r="BL239" i="40" s="1"/>
  <c r="BT239" i="40" s="1"/>
  <c r="BA291" i="40"/>
  <c r="BI291" i="40" s="1"/>
  <c r="BQ291" i="40"/>
  <c r="BD28" i="40"/>
  <c r="BL28" i="40" s="1"/>
  <c r="BT28" i="40" s="1"/>
  <c r="BU305" i="40"/>
  <c r="BE305" i="40"/>
  <c r="BM305" i="40" s="1"/>
  <c r="AZ126" i="40"/>
  <c r="BH126" i="40" s="1"/>
  <c r="BP126" i="40"/>
  <c r="BV120" i="40"/>
  <c r="BF120" i="40"/>
  <c r="BN120" i="40" s="1"/>
  <c r="BQ188" i="40"/>
  <c r="BA188" i="40"/>
  <c r="BI188" i="40" s="1"/>
  <c r="BS52" i="40"/>
  <c r="BC52" i="40"/>
  <c r="BK52" i="40" s="1"/>
  <c r="BO33" i="40"/>
  <c r="AY33" i="40"/>
  <c r="BG33" i="40" s="1"/>
  <c r="BD26" i="40"/>
  <c r="BL26" i="40" s="1"/>
  <c r="BT26" i="40"/>
  <c r="BO54" i="40"/>
  <c r="AY54" i="40"/>
  <c r="BG54" i="40" s="1"/>
  <c r="BP56" i="40"/>
  <c r="AZ56" i="40"/>
  <c r="BH56" i="40" s="1"/>
  <c r="BP69" i="40"/>
  <c r="AZ69" i="40"/>
  <c r="BH69" i="40" s="1"/>
  <c r="BD24" i="40"/>
  <c r="BL24" i="40" s="1"/>
  <c r="BT24" i="40"/>
  <c r="BF85" i="40"/>
  <c r="BN85" i="40" s="1"/>
  <c r="BV85" i="40"/>
  <c r="BD106" i="40"/>
  <c r="BL106" i="40" s="1"/>
  <c r="BT106" i="40"/>
  <c r="BF128" i="40"/>
  <c r="BN128" i="40" s="1"/>
  <c r="BV128" i="40"/>
  <c r="BB131" i="40"/>
  <c r="BJ131" i="40" s="1"/>
  <c r="BR131" i="40"/>
  <c r="BT97" i="40"/>
  <c r="BD97" i="40"/>
  <c r="BL97" i="40" s="1"/>
  <c r="BA115" i="40"/>
  <c r="BI115" i="40" s="1"/>
  <c r="BQ115" i="40"/>
  <c r="BD149" i="40"/>
  <c r="BL149" i="40" s="1"/>
  <c r="BT149" i="40"/>
  <c r="BD167" i="40"/>
  <c r="BL167" i="40" s="1"/>
  <c r="BT167" i="40"/>
  <c r="BV203" i="40"/>
  <c r="BF203" i="40"/>
  <c r="BN203" i="40" s="1"/>
  <c r="BV179" i="40"/>
  <c r="BF179" i="40"/>
  <c r="BN179" i="40" s="1"/>
  <c r="BV197" i="40"/>
  <c r="BF197" i="40"/>
  <c r="BN197" i="40" s="1"/>
  <c r="BQ192" i="40"/>
  <c r="BA192" i="40"/>
  <c r="BI192" i="40" s="1"/>
  <c r="AZ157" i="40"/>
  <c r="BH157" i="40" s="1"/>
  <c r="BP157" i="40"/>
  <c r="CF157" i="40" s="1"/>
  <c r="CL157" i="40" s="1"/>
  <c r="CY157" i="40" s="1"/>
  <c r="CZ157" i="40" s="1"/>
  <c r="BF248" i="40"/>
  <c r="BN248" i="40" s="1"/>
  <c r="BV248" i="40"/>
  <c r="AZ251" i="40"/>
  <c r="BH251" i="40" s="1"/>
  <c r="BP251" i="40"/>
  <c r="BU237" i="40"/>
  <c r="BE237" i="40"/>
  <c r="BM237" i="40" s="1"/>
  <c r="BE280" i="40"/>
  <c r="BM280" i="40" s="1"/>
  <c r="BU280" i="40"/>
  <c r="BQ225" i="40"/>
  <c r="BA225" i="40"/>
  <c r="BI225" i="40" s="1"/>
  <c r="BT269" i="40"/>
  <c r="BD269" i="40"/>
  <c r="BL269" i="40" s="1"/>
  <c r="BB230" i="40"/>
  <c r="BJ230" i="40" s="1"/>
  <c r="BR230" i="40"/>
  <c r="BC221" i="40"/>
  <c r="BK221" i="40" s="1"/>
  <c r="BS221" i="40"/>
  <c r="BE224" i="40"/>
  <c r="BM224" i="40" s="1"/>
  <c r="BU224" i="40"/>
  <c r="BO5" i="40"/>
  <c r="AY5" i="40"/>
  <c r="BG5" i="40" s="1"/>
  <c r="BQ5" i="40"/>
  <c r="CG5" i="40" s="1"/>
  <c r="CM5" i="40" s="1"/>
  <c r="DA5" i="40" s="1"/>
  <c r="DB5" i="40" s="1"/>
  <c r="BA5" i="40"/>
  <c r="BI5" i="40" s="1"/>
  <c r="BA296" i="40"/>
  <c r="BI296" i="40" s="1"/>
  <c r="BQ296" i="40"/>
  <c r="BT310" i="40"/>
  <c r="BD310" i="40"/>
  <c r="BL310" i="40" s="1"/>
  <c r="BA162" i="40"/>
  <c r="BI162" i="40" s="1"/>
  <c r="BQ162" i="40" s="1"/>
  <c r="BF202" i="40"/>
  <c r="BN202" i="40" s="1"/>
  <c r="BV202" i="40"/>
  <c r="BF273" i="40"/>
  <c r="BN273" i="40" s="1"/>
  <c r="BV273" i="40" s="1"/>
  <c r="BB284" i="40"/>
  <c r="BJ284" i="40" s="1"/>
  <c r="BR284" i="40"/>
  <c r="BV123" i="40"/>
  <c r="BF123" i="40"/>
  <c r="BN123" i="40" s="1"/>
  <c r="AY223" i="40"/>
  <c r="BG223" i="40" s="1"/>
  <c r="BO223" i="40"/>
  <c r="BP29" i="40"/>
  <c r="AZ29" i="40"/>
  <c r="BH29" i="40" s="1"/>
  <c r="BV6" i="40"/>
  <c r="BF6" i="40"/>
  <c r="BN6" i="40" s="1"/>
  <c r="BE34" i="40"/>
  <c r="BM34" i="40" s="1"/>
  <c r="BU34" i="40"/>
  <c r="AY71" i="40"/>
  <c r="BG71" i="40" s="1"/>
  <c r="BO71" i="40"/>
  <c r="CJ15" i="40"/>
  <c r="CP15" i="40" s="1"/>
  <c r="DG15" i="40" s="1"/>
  <c r="DH15" i="40" s="1"/>
  <c r="BA30" i="40"/>
  <c r="BI30" i="40" s="1"/>
  <c r="BQ30" i="40"/>
  <c r="BQ11" i="40"/>
  <c r="CE11" i="40" s="1"/>
  <c r="CK11" i="40" s="1"/>
  <c r="CW11" i="40" s="1"/>
  <c r="CX11" i="40" s="1"/>
  <c r="BA11" i="40"/>
  <c r="BI11" i="40" s="1"/>
  <c r="AZ42" i="40"/>
  <c r="BH42" i="40" s="1"/>
  <c r="BP42" i="40" s="1"/>
  <c r="BA119" i="40"/>
  <c r="BI119" i="40" s="1"/>
  <c r="BQ119" i="40"/>
  <c r="BA92" i="40"/>
  <c r="BI92" i="40" s="1"/>
  <c r="BQ92" i="40" s="1"/>
  <c r="BQ104" i="40"/>
  <c r="BA104" i="40"/>
  <c r="BI104" i="40" s="1"/>
  <c r="BO113" i="40"/>
  <c r="AY113" i="40"/>
  <c r="BG113" i="40" s="1"/>
  <c r="BO116" i="40"/>
  <c r="CE116" i="40" s="1"/>
  <c r="CK116" i="40" s="1"/>
  <c r="CW116" i="40" s="1"/>
  <c r="CX116" i="40" s="1"/>
  <c r="AY116" i="40"/>
  <c r="BG116" i="40" s="1"/>
  <c r="BU186" i="40"/>
  <c r="BE186" i="40"/>
  <c r="BM186" i="40" s="1"/>
  <c r="BQ172" i="40"/>
  <c r="BA172" i="40"/>
  <c r="BI172" i="40" s="1"/>
  <c r="AZ211" i="40"/>
  <c r="BH211" i="40" s="1"/>
  <c r="BP211" i="40" s="1"/>
  <c r="AY181" i="40"/>
  <c r="BG181" i="40" s="1"/>
  <c r="BO181" i="40"/>
  <c r="BB260" i="40"/>
  <c r="BJ260" i="40" s="1"/>
  <c r="BR260" i="40"/>
  <c r="BF257" i="40"/>
  <c r="BN257" i="40" s="1"/>
  <c r="BV257" i="40"/>
  <c r="BP282" i="40"/>
  <c r="AZ282" i="40"/>
  <c r="BH282" i="40" s="1"/>
  <c r="BD275" i="40"/>
  <c r="BL275" i="40" s="1"/>
  <c r="BT275" i="40"/>
  <c r="BE247" i="40"/>
  <c r="BM247" i="40" s="1"/>
  <c r="BU247" i="40"/>
  <c r="BO103" i="40"/>
  <c r="AY103" i="40"/>
  <c r="BG103" i="40" s="1"/>
  <c r="BA307" i="40"/>
  <c r="BI307" i="40" s="1"/>
  <c r="BQ307" i="40"/>
  <c r="BB226" i="40"/>
  <c r="BJ226" i="40" s="1"/>
  <c r="BR226" i="40"/>
  <c r="BU268" i="40"/>
  <c r="BE268" i="40"/>
  <c r="BM268" i="40" s="1"/>
  <c r="BB80" i="40"/>
  <c r="BJ80" i="40" s="1"/>
  <c r="BR80" i="40"/>
  <c r="BV25" i="40"/>
  <c r="BF25" i="40"/>
  <c r="BN25" i="40" s="1"/>
  <c r="AY75" i="40"/>
  <c r="BG75" i="40" s="1"/>
  <c r="BO75" i="40"/>
  <c r="BR72" i="40"/>
  <c r="BB72" i="40"/>
  <c r="BJ72" i="40" s="1"/>
  <c r="BP64" i="40"/>
  <c r="AZ64" i="40"/>
  <c r="BH64" i="40" s="1"/>
  <c r="AZ48" i="40"/>
  <c r="BH48" i="40" s="1"/>
  <c r="BP48" i="40"/>
  <c r="BE49" i="40"/>
  <c r="BM49" i="40" s="1"/>
  <c r="BU49" i="40"/>
  <c r="AZ27" i="40"/>
  <c r="BH27" i="40" s="1"/>
  <c r="BP27" i="40"/>
  <c r="BA138" i="40"/>
  <c r="BI138" i="40" s="1"/>
  <c r="BQ138" i="40"/>
  <c r="BC105" i="40"/>
  <c r="BK105" i="40" s="1"/>
  <c r="BS105" i="40"/>
  <c r="CI105" i="40" s="1"/>
  <c r="CO105" i="40" s="1"/>
  <c r="DE105" i="40" s="1"/>
  <c r="DF105" i="40" s="1"/>
  <c r="BE108" i="40"/>
  <c r="BM108" i="40" s="1"/>
  <c r="BU108" i="40"/>
  <c r="BO95" i="40"/>
  <c r="AY95" i="40"/>
  <c r="BG95" i="40" s="1"/>
  <c r="AY91" i="40"/>
  <c r="BG91" i="40" s="1"/>
  <c r="BO91" i="40"/>
  <c r="AY139" i="40"/>
  <c r="BG139" i="40" s="1"/>
  <c r="BO139" i="40"/>
  <c r="CE139" i="40" s="1"/>
  <c r="CK139" i="40" s="1"/>
  <c r="CW139" i="40" s="1"/>
  <c r="CX139" i="40" s="1"/>
  <c r="BV121" i="40"/>
  <c r="BF121" i="40"/>
  <c r="BN121" i="40" s="1"/>
  <c r="BD147" i="40"/>
  <c r="BL147" i="40" s="1"/>
  <c r="BT147" i="40"/>
  <c r="BA193" i="40"/>
  <c r="BI193" i="40" s="1"/>
  <c r="BQ193" i="40"/>
  <c r="AY200" i="40"/>
  <c r="BG200" i="40" s="1"/>
  <c r="BO200" i="40"/>
  <c r="BP213" i="40"/>
  <c r="AZ213" i="40"/>
  <c r="BH213" i="40" s="1"/>
  <c r="BA185" i="40"/>
  <c r="BI185" i="40" s="1"/>
  <c r="BQ185" i="40"/>
  <c r="BE190" i="40"/>
  <c r="BM190" i="40" s="1"/>
  <c r="BU190" i="40"/>
  <c r="BB161" i="40"/>
  <c r="BJ161" i="40" s="1"/>
  <c r="BR161" i="40"/>
  <c r="BF198" i="40"/>
  <c r="BN198" i="40" s="1"/>
  <c r="BV198" i="40" s="1"/>
  <c r="BE173" i="40"/>
  <c r="BM173" i="40" s="1"/>
  <c r="BU173" i="40"/>
  <c r="BE219" i="40"/>
  <c r="BM219" i="40" s="1"/>
  <c r="BU219" i="40"/>
  <c r="AY231" i="40"/>
  <c r="BG231" i="40" s="1"/>
  <c r="BO231" i="40"/>
  <c r="BF281" i="40"/>
  <c r="BN281" i="40" s="1"/>
  <c r="BV281" i="40"/>
  <c r="BV241" i="40"/>
  <c r="BF241" i="40"/>
  <c r="BN241" i="40" s="1"/>
  <c r="AZ220" i="40"/>
  <c r="BH220" i="40" s="1"/>
  <c r="BP220" i="40"/>
  <c r="CF220" i="40" s="1"/>
  <c r="CL220" i="40" s="1"/>
  <c r="CY220" i="40" s="1"/>
  <c r="CZ220" i="40" s="1"/>
  <c r="BO250" i="40"/>
  <c r="AY250" i="40"/>
  <c r="BG250" i="40" s="1"/>
  <c r="BQ272" i="40"/>
  <c r="BA272" i="40"/>
  <c r="BI272" i="40" s="1"/>
  <c r="BF240" i="40"/>
  <c r="BN240" i="40" s="1"/>
  <c r="BV240" i="40"/>
  <c r="BB298" i="40"/>
  <c r="BJ298" i="40" s="1"/>
  <c r="BR298" i="40"/>
  <c r="BQ318" i="40"/>
  <c r="BA318" i="40"/>
  <c r="BI318" i="40" s="1"/>
  <c r="BS206" i="40"/>
  <c r="CI206" i="40" s="1"/>
  <c r="CO206" i="40" s="1"/>
  <c r="DE206" i="40" s="1"/>
  <c r="DF206" i="40" s="1"/>
  <c r="BC206" i="40"/>
  <c r="BK206" i="40" s="1"/>
  <c r="AZ154" i="40"/>
  <c r="BH154" i="40" s="1"/>
  <c r="BP154" i="40"/>
  <c r="BU199" i="40"/>
  <c r="BE199" i="40"/>
  <c r="BM199" i="40" s="1"/>
  <c r="BB136" i="40"/>
  <c r="BJ136" i="40" s="1"/>
  <c r="BR136" i="40"/>
  <c r="BT45" i="40"/>
  <c r="BD45" i="40"/>
  <c r="BL45" i="40" s="1"/>
  <c r="BB309" i="40"/>
  <c r="BJ309" i="40" s="1"/>
  <c r="BR309" i="40"/>
  <c r="BR234" i="40"/>
  <c r="BB234" i="40"/>
  <c r="BJ234" i="40" s="1"/>
  <c r="BE38" i="40"/>
  <c r="BM38" i="40" s="1"/>
  <c r="BU38" i="40"/>
  <c r="CI38" i="40" s="1"/>
  <c r="CO38" i="40" s="1"/>
  <c r="DE38" i="40" s="1"/>
  <c r="DF38" i="40" s="1"/>
  <c r="BE12" i="40"/>
  <c r="BM12" i="40" s="1"/>
  <c r="BU12" i="40"/>
  <c r="BB76" i="40"/>
  <c r="BJ76" i="40" s="1"/>
  <c r="BR76" i="40"/>
  <c r="BB51" i="40"/>
  <c r="BJ51" i="40" s="1"/>
  <c r="BR51" i="40" s="1"/>
  <c r="BV68" i="40"/>
  <c r="BF68" i="40"/>
  <c r="BN68" i="40" s="1"/>
  <c r="AY66" i="40"/>
  <c r="BG66" i="40" s="1"/>
  <c r="BO66" i="40"/>
  <c r="AY16" i="40"/>
  <c r="BG16" i="40" s="1"/>
  <c r="BO16" i="40"/>
  <c r="BV117" i="40"/>
  <c r="BF117" i="40"/>
  <c r="BN117" i="40" s="1"/>
  <c r="BU125" i="40"/>
  <c r="BE125" i="40"/>
  <c r="BM125" i="40" s="1"/>
  <c r="AY102" i="40"/>
  <c r="BG102" i="40" s="1"/>
  <c r="BO102" i="40"/>
  <c r="BR82" i="40"/>
  <c r="BB82" i="40"/>
  <c r="BJ82" i="40" s="1"/>
  <c r="BO118" i="40"/>
  <c r="CE118" i="40" s="1"/>
  <c r="CK118" i="40" s="1"/>
  <c r="CW118" i="40" s="1"/>
  <c r="CX118" i="40" s="1"/>
  <c r="AY118" i="40"/>
  <c r="BG118" i="40" s="1"/>
  <c r="AZ168" i="40"/>
  <c r="BH168" i="40" s="1"/>
  <c r="BP168" i="40"/>
  <c r="BQ183" i="40"/>
  <c r="BA183" i="40"/>
  <c r="BI183" i="40" s="1"/>
  <c r="BV196" i="40"/>
  <c r="BF196" i="40"/>
  <c r="BN196" i="40" s="1"/>
  <c r="BA270" i="40"/>
  <c r="BI270" i="40" s="1"/>
  <c r="BQ270" i="40"/>
  <c r="AZ278" i="40"/>
  <c r="BH278" i="40" s="1"/>
  <c r="BP278" i="40"/>
  <c r="BA228" i="40"/>
  <c r="BI228" i="40" s="1"/>
  <c r="BQ228" i="40"/>
  <c r="BS249" i="40"/>
  <c r="BC249" i="40"/>
  <c r="BK249" i="40" s="1"/>
  <c r="BS274" i="40"/>
  <c r="BC274" i="40"/>
  <c r="BK274" i="40" s="1"/>
  <c r="BV232" i="40"/>
  <c r="BF232" i="40"/>
  <c r="BN232" i="40" s="1"/>
  <c r="BD255" i="40"/>
  <c r="BL255" i="40" s="1"/>
  <c r="BT255" i="40"/>
  <c r="BV293" i="40"/>
  <c r="BF293" i="40"/>
  <c r="BN293" i="40" s="1"/>
  <c r="BU289" i="40"/>
  <c r="BE289" i="40"/>
  <c r="BM289" i="40" s="1"/>
  <c r="BB316" i="40"/>
  <c r="BJ316" i="40" s="1"/>
  <c r="BR316" i="40"/>
  <c r="CH316" i="40" s="1"/>
  <c r="CN316" i="40" s="1"/>
  <c r="DC316" i="40" s="1"/>
  <c r="DD316" i="40" s="1"/>
  <c r="BU194" i="40"/>
  <c r="BE194" i="40"/>
  <c r="BM194" i="40" s="1"/>
  <c r="BE174" i="40"/>
  <c r="BM174" i="40" s="1"/>
  <c r="BU174" i="40"/>
  <c r="AY83" i="40"/>
  <c r="BG83" i="40" s="1"/>
  <c r="BO83" i="40"/>
  <c r="BR41" i="40"/>
  <c r="BB41" i="40"/>
  <c r="BJ41" i="40" s="1"/>
  <c r="BQ9" i="40"/>
  <c r="BA9" i="40"/>
  <c r="BI9" i="40" s="1"/>
  <c r="BE303" i="40"/>
  <c r="BM303" i="40" s="1"/>
  <c r="BU303" i="40"/>
  <c r="BC46" i="40"/>
  <c r="BK46" i="40" s="1"/>
  <c r="BS46" i="40"/>
  <c r="BR32" i="40"/>
  <c r="BB32" i="40"/>
  <c r="BJ32" i="40" s="1"/>
  <c r="BA73" i="40"/>
  <c r="BI73" i="40" s="1"/>
  <c r="BQ73" i="40"/>
  <c r="BC61" i="40"/>
  <c r="BK61" i="40" s="1"/>
  <c r="BS61" i="40"/>
  <c r="AZ37" i="40"/>
  <c r="BH37" i="40" s="1"/>
  <c r="BP37" i="40"/>
  <c r="BC60" i="40"/>
  <c r="BK60" i="40" s="1"/>
  <c r="BS60" i="40"/>
  <c r="BE57" i="40"/>
  <c r="BM57" i="40" s="1"/>
  <c r="BU57" i="40"/>
  <c r="BB70" i="40"/>
  <c r="BJ70" i="40" s="1"/>
  <c r="BR70" i="40"/>
  <c r="AY144" i="40"/>
  <c r="BG144" i="40" s="1"/>
  <c r="BO144" i="40"/>
  <c r="CE144" i="40" s="1"/>
  <c r="CK144" i="40" s="1"/>
  <c r="CW144" i="40" s="1"/>
  <c r="CX144" i="40" s="1"/>
  <c r="BE107" i="40"/>
  <c r="BM107" i="40" s="1"/>
  <c r="BU107" i="40"/>
  <c r="BO122" i="40"/>
  <c r="AY122" i="40"/>
  <c r="BG122" i="40" s="1"/>
  <c r="BO87" i="40"/>
  <c r="AY87" i="40"/>
  <c r="BG87" i="40" s="1"/>
  <c r="AY110" i="40"/>
  <c r="BG110" i="40" s="1"/>
  <c r="BO110" i="40"/>
  <c r="AY109" i="40"/>
  <c r="BG109" i="40" s="1"/>
  <c r="BO109" i="40"/>
  <c r="BE124" i="40"/>
  <c r="BM124" i="40" s="1"/>
  <c r="BU124" i="40"/>
  <c r="BA214" i="40"/>
  <c r="BI214" i="40" s="1"/>
  <c r="BQ214" i="40"/>
  <c r="BS204" i="40"/>
  <c r="BC204" i="40"/>
  <c r="BK204" i="40" s="1"/>
  <c r="BD195" i="40"/>
  <c r="BL195" i="40" s="1"/>
  <c r="BT195" i="40"/>
  <c r="BA151" i="40"/>
  <c r="BI151" i="40" s="1"/>
  <c r="BQ151" i="40"/>
  <c r="BQ201" i="40"/>
  <c r="BA201" i="40"/>
  <c r="BI201" i="40" s="1"/>
  <c r="AZ156" i="40"/>
  <c r="BH156" i="40" s="1"/>
  <c r="BP156" i="40" s="1"/>
  <c r="CF156" i="40" s="1"/>
  <c r="CL156" i="40" s="1"/>
  <c r="CY156" i="40" s="1"/>
  <c r="CZ156" i="40" s="1"/>
  <c r="BQ177" i="40"/>
  <c r="BA177" i="40"/>
  <c r="BI177" i="40" s="1"/>
  <c r="BC169" i="40"/>
  <c r="BK169" i="40" s="1"/>
  <c r="BS169" i="40"/>
  <c r="AY279" i="40"/>
  <c r="BG279" i="40" s="1"/>
  <c r="BO279" i="40"/>
  <c r="BE265" i="40"/>
  <c r="BM265" i="40" s="1"/>
  <c r="BU265" i="40"/>
  <c r="BE283" i="40"/>
  <c r="BM283" i="40" s="1"/>
  <c r="BU283" i="40"/>
  <c r="BD277" i="40"/>
  <c r="BL277" i="40" s="1"/>
  <c r="BT277" i="40"/>
  <c r="BC258" i="40"/>
  <c r="BK258" i="40" s="1"/>
  <c r="BS258" i="40"/>
  <c r="AZ31" i="40"/>
  <c r="BH31" i="40" s="1"/>
  <c r="BP31" i="40"/>
  <c r="BQ288" i="40"/>
  <c r="BA288" i="40"/>
  <c r="BI288" i="40" s="1"/>
  <c r="BU308" i="40"/>
  <c r="BE308" i="40"/>
  <c r="BM308" i="40" s="1"/>
  <c r="BF302" i="40"/>
  <c r="BN302" i="40" s="1"/>
  <c r="BV302" i="40"/>
  <c r="BA39" i="40"/>
  <c r="BI39" i="40" s="1"/>
  <c r="BQ39" i="40"/>
  <c r="BA59" i="40"/>
  <c r="BI59" i="40" s="1"/>
  <c r="BQ59" i="40"/>
  <c r="BS112" i="40"/>
  <c r="CI112" i="40" s="1"/>
  <c r="CO112" i="40" s="1"/>
  <c r="DE112" i="40" s="1"/>
  <c r="DF112" i="40" s="1"/>
  <c r="BC112" i="40"/>
  <c r="BK112" i="40" s="1"/>
  <c r="AY245" i="40"/>
  <c r="BG245" i="40" s="1"/>
  <c r="BO245" i="40"/>
  <c r="BU155" i="40"/>
  <c r="BE155" i="40"/>
  <c r="BM155" i="40" s="1"/>
  <c r="BA187" i="40"/>
  <c r="BI187" i="40" s="1"/>
  <c r="BQ187" i="40" s="1"/>
  <c r="BP35" i="40"/>
  <c r="AZ35" i="40"/>
  <c r="BH35" i="40" s="1"/>
  <c r="BA7" i="40"/>
  <c r="BI7" i="40" s="1"/>
  <c r="BQ7" i="40"/>
  <c r="BU58" i="40"/>
  <c r="BE58" i="40"/>
  <c r="BM58" i="40" s="1"/>
  <c r="BA67" i="40"/>
  <c r="BI67" i="40" s="1"/>
  <c r="BQ67" i="40"/>
  <c r="BQ11" i="17"/>
  <c r="BS11" i="17"/>
  <c r="BP11" i="17"/>
  <c r="BT11" i="17"/>
  <c r="BV11" i="17"/>
  <c r="CI141" i="17"/>
  <c r="CO141" i="17" s="1"/>
  <c r="DE141" i="17" s="1"/>
  <c r="DF141" i="17" s="1"/>
  <c r="CH141" i="17"/>
  <c r="CN141" i="17" s="1"/>
  <c r="DC141" i="17" s="1"/>
  <c r="DD141" i="17" s="1"/>
  <c r="CJ141" i="17"/>
  <c r="CP141" i="17" s="1"/>
  <c r="DG141" i="17" s="1"/>
  <c r="DH141" i="17" s="1"/>
  <c r="O137" i="17"/>
  <c r="BS137" i="17" s="1"/>
  <c r="L123" i="17"/>
  <c r="BP123" i="17" s="1"/>
  <c r="O58" i="17"/>
  <c r="L277" i="17"/>
  <c r="BP277" i="17" s="1"/>
  <c r="O194" i="17"/>
  <c r="BS194" i="17" s="1"/>
  <c r="L45" i="17"/>
  <c r="AZ45" i="17" s="1"/>
  <c r="BH45" i="17" s="1"/>
  <c r="P236" i="17"/>
  <c r="BT236" i="17" s="1"/>
  <c r="L17" i="17"/>
  <c r="BP17" i="17" s="1"/>
  <c r="N107" i="17"/>
  <c r="BR107" i="17" s="1"/>
  <c r="K46" i="17"/>
  <c r="AY46" i="17" s="1"/>
  <c r="BG46" i="17" s="1"/>
  <c r="Q110" i="17"/>
  <c r="BU110" i="17" s="1"/>
  <c r="L249" i="17"/>
  <c r="AZ249" i="17" s="1"/>
  <c r="BH249" i="17" s="1"/>
  <c r="BP249" i="17" s="1"/>
  <c r="P102" i="17"/>
  <c r="BT102" i="17" s="1"/>
  <c r="N27" i="17"/>
  <c r="BR27" i="17" s="1"/>
  <c r="O30" i="17"/>
  <c r="BS30" i="17" s="1"/>
  <c r="R118" i="17"/>
  <c r="BV118" i="17" s="1"/>
  <c r="L163" i="17"/>
  <c r="BP163" i="17" s="1"/>
  <c r="P169" i="17"/>
  <c r="BT169" i="17" s="1"/>
  <c r="K229" i="17"/>
  <c r="BO229" i="17" s="1"/>
  <c r="R137" i="17"/>
  <c r="BV137" i="17" s="1"/>
  <c r="O123" i="17"/>
  <c r="BS123" i="17" s="1"/>
  <c r="L97" i="17"/>
  <c r="BP97" i="17" s="1"/>
  <c r="Q58" i="17"/>
  <c r="BU58" i="17" s="1"/>
  <c r="K277" i="17"/>
  <c r="BO277" i="17" s="1"/>
  <c r="N194" i="17"/>
  <c r="BR194" i="17" s="1"/>
  <c r="O236" i="17"/>
  <c r="BS236" i="17" s="1"/>
  <c r="M107" i="17"/>
  <c r="BQ107" i="17" s="1"/>
  <c r="O46" i="17"/>
  <c r="BS46" i="17" s="1"/>
  <c r="O249" i="17"/>
  <c r="BS249" i="17" s="1"/>
  <c r="CI249" i="17" s="1"/>
  <c r="CO249" i="17" s="1"/>
  <c r="DE249" i="17" s="1"/>
  <c r="DF249" i="17" s="1"/>
  <c r="O134" i="17"/>
  <c r="BS134" i="17" s="1"/>
  <c r="R30" i="17"/>
  <c r="BV30" i="17" s="1"/>
  <c r="O163" i="17"/>
  <c r="BS163" i="17" s="1"/>
  <c r="N169" i="17"/>
  <c r="BR169" i="17" s="1"/>
  <c r="Q123" i="17"/>
  <c r="BE123" i="17" s="1"/>
  <c r="BM123" i="17" s="1"/>
  <c r="BU123" i="17" s="1"/>
  <c r="CJ123" i="17" s="1"/>
  <c r="CP123" i="17" s="1"/>
  <c r="DG123" i="17" s="1"/>
  <c r="DH123" i="17" s="1"/>
  <c r="P97" i="17"/>
  <c r="BT97" i="17" s="1"/>
  <c r="M58" i="17"/>
  <c r="BQ58" i="17" s="1"/>
  <c r="O277" i="17"/>
  <c r="BS277" i="17" s="1"/>
  <c r="CI277" i="17" s="1"/>
  <c r="CO277" i="17" s="1"/>
  <c r="DE277" i="17" s="1"/>
  <c r="DF277" i="17" s="1"/>
  <c r="L252" i="17"/>
  <c r="BP252" i="17" s="1"/>
  <c r="R194" i="17"/>
  <c r="BV194" i="17" s="1"/>
  <c r="K236" i="17"/>
  <c r="BO236" i="17" s="1"/>
  <c r="CE236" i="17" s="1"/>
  <c r="CK236" i="17" s="1"/>
  <c r="CW236" i="17" s="1"/>
  <c r="CX236" i="17" s="1"/>
  <c r="P107" i="17"/>
  <c r="R46" i="17"/>
  <c r="BV46" i="17" s="1"/>
  <c r="K249" i="17"/>
  <c r="BO249" i="17" s="1"/>
  <c r="L134" i="17"/>
  <c r="BP134" i="17" s="1"/>
  <c r="M30" i="17"/>
  <c r="BQ30" i="17" s="1"/>
  <c r="K163" i="17"/>
  <c r="BO163" i="17" s="1"/>
  <c r="R169" i="17"/>
  <c r="Q137" i="17"/>
  <c r="M123" i="17"/>
  <c r="BQ123" i="17" s="1"/>
  <c r="N58" i="17"/>
  <c r="BR58" i="17" s="1"/>
  <c r="R277" i="17"/>
  <c r="BV277" i="17" s="1"/>
  <c r="CJ277" i="17" s="1"/>
  <c r="CP277" i="17" s="1"/>
  <c r="DG277" i="17" s="1"/>
  <c r="DH277" i="17" s="1"/>
  <c r="K252" i="17"/>
  <c r="BO252" i="17" s="1"/>
  <c r="M194" i="17"/>
  <c r="BQ194" i="17" s="1"/>
  <c r="N236" i="17"/>
  <c r="L107" i="17"/>
  <c r="BP107" i="17" s="1"/>
  <c r="N46" i="17"/>
  <c r="BB46" i="17" s="1"/>
  <c r="BJ46" i="17" s="1"/>
  <c r="N249" i="17"/>
  <c r="BR249" i="17" s="1"/>
  <c r="Q30" i="17"/>
  <c r="BU30" i="17" s="1"/>
  <c r="N163" i="17"/>
  <c r="BR163" i="17" s="1"/>
  <c r="O13" i="17"/>
  <c r="BS13" i="17" s="1"/>
  <c r="M137" i="17"/>
  <c r="BQ137" i="17" s="1"/>
  <c r="N97" i="17"/>
  <c r="BR97" i="17" s="1"/>
  <c r="L137" i="17"/>
  <c r="BP137" i="17" s="1"/>
  <c r="L58" i="17"/>
  <c r="BP58" i="17" s="1"/>
  <c r="N277" i="17"/>
  <c r="BR277" i="17" s="1"/>
  <c r="Q194" i="17"/>
  <c r="BU194" i="17" s="1"/>
  <c r="R236" i="17"/>
  <c r="BV236" i="17" s="1"/>
  <c r="K107" i="17"/>
  <c r="BO107" i="17" s="1"/>
  <c r="Q46" i="17"/>
  <c r="BE46" i="17" s="1"/>
  <c r="BM46" i="17" s="1"/>
  <c r="R249" i="17"/>
  <c r="BV249" i="17" s="1"/>
  <c r="CJ249" i="17" s="1"/>
  <c r="CP249" i="17" s="1"/>
  <c r="DG249" i="17" s="1"/>
  <c r="DH249" i="17" s="1"/>
  <c r="L30" i="17"/>
  <c r="BP30" i="17" s="1"/>
  <c r="Q163" i="17"/>
  <c r="BU163" i="17" s="1"/>
  <c r="CJ163" i="17" s="1"/>
  <c r="CP163" i="17" s="1"/>
  <c r="DG163" i="17" s="1"/>
  <c r="DH163" i="17" s="1"/>
  <c r="K123" i="17"/>
  <c r="BO123" i="17" s="1"/>
  <c r="Q97" i="17"/>
  <c r="BU97" i="17" s="1"/>
  <c r="P137" i="17"/>
  <c r="BT137" i="17" s="1"/>
  <c r="N123" i="17"/>
  <c r="BR123" i="17" s="1"/>
  <c r="P58" i="17"/>
  <c r="BT58" i="17" s="1"/>
  <c r="M277" i="17"/>
  <c r="BQ277" i="17" s="1"/>
  <c r="L194" i="17"/>
  <c r="Q45" i="17"/>
  <c r="BE45" i="17" s="1"/>
  <c r="BM45" i="17" s="1"/>
  <c r="Q236" i="17"/>
  <c r="BU236" i="17" s="1"/>
  <c r="O107" i="17"/>
  <c r="BS107" i="17" s="1"/>
  <c r="M46" i="17"/>
  <c r="BA46" i="17" s="1"/>
  <c r="BI46" i="17" s="1"/>
  <c r="R85" i="17"/>
  <c r="BV85" i="17" s="1"/>
  <c r="P55" i="17"/>
  <c r="BT55" i="17" s="1"/>
  <c r="M263" i="17"/>
  <c r="BQ263" i="17" s="1"/>
  <c r="M249" i="17"/>
  <c r="BQ249" i="17" s="1"/>
  <c r="P30" i="17"/>
  <c r="BT30" i="17" s="1"/>
  <c r="M163" i="17"/>
  <c r="BQ163" i="17" s="1"/>
  <c r="M45" i="17"/>
  <c r="BQ45" i="17" s="1"/>
  <c r="M17" i="17"/>
  <c r="BQ17" i="17" s="1"/>
  <c r="M110" i="17"/>
  <c r="BQ110" i="17" s="1"/>
  <c r="K55" i="17"/>
  <c r="BO55" i="17" s="1"/>
  <c r="O263" i="17"/>
  <c r="BS263" i="17" s="1"/>
  <c r="P118" i="17"/>
  <c r="BT118" i="17" s="1"/>
  <c r="M229" i="17"/>
  <c r="BQ229" i="17" s="1"/>
  <c r="L233" i="17"/>
  <c r="BP233" i="17" s="1"/>
  <c r="CJ152" i="17"/>
  <c r="CP152" i="17" s="1"/>
  <c r="DG152" i="17" s="1"/>
  <c r="DH152" i="17" s="1"/>
  <c r="CJ19" i="17"/>
  <c r="CP19" i="17" s="1"/>
  <c r="DG19" i="17" s="1"/>
  <c r="DH19" i="17" s="1"/>
  <c r="CJ132" i="17"/>
  <c r="CP132" i="17" s="1"/>
  <c r="DG132" i="17" s="1"/>
  <c r="DH132" i="17" s="1"/>
  <c r="CJ153" i="17"/>
  <c r="CP153" i="17" s="1"/>
  <c r="DG153" i="17" s="1"/>
  <c r="DH153" i="17" s="1"/>
  <c r="CJ157" i="17"/>
  <c r="CP157" i="17" s="1"/>
  <c r="DG157" i="17" s="1"/>
  <c r="DH157" i="17" s="1"/>
  <c r="CJ305" i="17"/>
  <c r="CP305" i="17" s="1"/>
  <c r="DG305" i="17" s="1"/>
  <c r="DH305" i="17" s="1"/>
  <c r="CJ182" i="17"/>
  <c r="CP182" i="17" s="1"/>
  <c r="DG182" i="17" s="1"/>
  <c r="DH182" i="17" s="1"/>
  <c r="CJ294" i="17"/>
  <c r="CP294" i="17" s="1"/>
  <c r="DG294" i="17" s="1"/>
  <c r="DH294" i="17" s="1"/>
  <c r="L144" i="17"/>
  <c r="BP144" i="17" s="1"/>
  <c r="CJ227" i="17"/>
  <c r="CP227" i="17" s="1"/>
  <c r="DG227" i="17" s="1"/>
  <c r="DH227" i="17" s="1"/>
  <c r="CJ185" i="17"/>
  <c r="CP185" i="17" s="1"/>
  <c r="DG185" i="17" s="1"/>
  <c r="DH185" i="17" s="1"/>
  <c r="K144" i="17"/>
  <c r="BO144" i="17" s="1"/>
  <c r="CJ296" i="17"/>
  <c r="CP296" i="17" s="1"/>
  <c r="DG296" i="17" s="1"/>
  <c r="DH296" i="17" s="1"/>
  <c r="CJ311" i="17"/>
  <c r="CP311" i="17" s="1"/>
  <c r="DG311" i="17" s="1"/>
  <c r="DH311" i="17" s="1"/>
  <c r="CH82" i="17"/>
  <c r="CN82" i="17" s="1"/>
  <c r="DC82" i="17" s="1"/>
  <c r="DD82" i="17" s="1"/>
  <c r="CI175" i="17"/>
  <c r="CO175" i="17" s="1"/>
  <c r="DE175" i="17" s="1"/>
  <c r="DF175" i="17" s="1"/>
  <c r="CH288" i="17"/>
  <c r="CN288" i="17" s="1"/>
  <c r="DC288" i="17" s="1"/>
  <c r="DD288" i="17" s="1"/>
  <c r="CJ202" i="17"/>
  <c r="CP202" i="17" s="1"/>
  <c r="DG202" i="17" s="1"/>
  <c r="DH202" i="17" s="1"/>
  <c r="CJ312" i="17"/>
  <c r="CP312" i="17" s="1"/>
  <c r="DG312" i="17" s="1"/>
  <c r="DH312" i="17" s="1"/>
  <c r="CJ146" i="17"/>
  <c r="CP146" i="17" s="1"/>
  <c r="DG146" i="17" s="1"/>
  <c r="DH146" i="17" s="1"/>
  <c r="CJ15" i="17"/>
  <c r="CP15" i="17" s="1"/>
  <c r="DG15" i="17" s="1"/>
  <c r="DH15" i="17" s="1"/>
  <c r="CJ86" i="17"/>
  <c r="CP86" i="17" s="1"/>
  <c r="DG86" i="17" s="1"/>
  <c r="DH86" i="17" s="1"/>
  <c r="CJ87" i="17"/>
  <c r="CP87" i="17" s="1"/>
  <c r="DG87" i="17" s="1"/>
  <c r="DH87" i="17" s="1"/>
  <c r="CJ49" i="17"/>
  <c r="CP49" i="17" s="1"/>
  <c r="DG49" i="17" s="1"/>
  <c r="DH49" i="17" s="1"/>
  <c r="CJ170" i="17"/>
  <c r="CP170" i="17" s="1"/>
  <c r="DG170" i="17" s="1"/>
  <c r="DH170" i="17" s="1"/>
  <c r="CJ90" i="17"/>
  <c r="CP90" i="17" s="1"/>
  <c r="DG90" i="17" s="1"/>
  <c r="DH90" i="17" s="1"/>
  <c r="CJ138" i="17"/>
  <c r="CP138" i="17" s="1"/>
  <c r="DG138" i="17" s="1"/>
  <c r="DH138" i="17" s="1"/>
  <c r="CJ149" i="17"/>
  <c r="CP149" i="17" s="1"/>
  <c r="DG149" i="17" s="1"/>
  <c r="DH149" i="17" s="1"/>
  <c r="CJ106" i="17"/>
  <c r="CP106" i="17" s="1"/>
  <c r="DG106" i="17" s="1"/>
  <c r="DH106" i="17" s="1"/>
  <c r="CJ111" i="17"/>
  <c r="CP111" i="17" s="1"/>
  <c r="DG111" i="17" s="1"/>
  <c r="DH111" i="17" s="1"/>
  <c r="CJ199" i="17"/>
  <c r="CP199" i="17" s="1"/>
  <c r="DG199" i="17" s="1"/>
  <c r="DH199" i="17" s="1"/>
  <c r="CJ56" i="17"/>
  <c r="CP56" i="17" s="1"/>
  <c r="DG56" i="17" s="1"/>
  <c r="DH56" i="17" s="1"/>
  <c r="CJ54" i="17"/>
  <c r="CP54" i="17" s="1"/>
  <c r="DG54" i="17" s="1"/>
  <c r="DH54" i="17" s="1"/>
  <c r="CJ178" i="17"/>
  <c r="CP178" i="17" s="1"/>
  <c r="DG178" i="17" s="1"/>
  <c r="DH178" i="17" s="1"/>
  <c r="CJ92" i="17"/>
  <c r="CP92" i="17" s="1"/>
  <c r="DG92" i="17" s="1"/>
  <c r="DH92" i="17" s="1"/>
  <c r="CJ291" i="17"/>
  <c r="CP291" i="17" s="1"/>
  <c r="DG291" i="17" s="1"/>
  <c r="DH291" i="17" s="1"/>
  <c r="CJ65" i="17"/>
  <c r="CP65" i="17" s="1"/>
  <c r="DG65" i="17" s="1"/>
  <c r="DH65" i="17" s="1"/>
  <c r="CJ57" i="17"/>
  <c r="CP57" i="17" s="1"/>
  <c r="DG57" i="17" s="1"/>
  <c r="DH57" i="17" s="1"/>
  <c r="CJ167" i="17"/>
  <c r="CP167" i="17" s="1"/>
  <c r="DG167" i="17" s="1"/>
  <c r="DH167" i="17" s="1"/>
  <c r="CJ289" i="17"/>
  <c r="CP289" i="17" s="1"/>
  <c r="DG289" i="17" s="1"/>
  <c r="DH289" i="17" s="1"/>
  <c r="CJ286" i="17"/>
  <c r="CP286" i="17" s="1"/>
  <c r="DG286" i="17" s="1"/>
  <c r="DH286" i="17" s="1"/>
  <c r="CJ221" i="17"/>
  <c r="CP221" i="17" s="1"/>
  <c r="DG221" i="17" s="1"/>
  <c r="DH221" i="17" s="1"/>
  <c r="CJ260" i="17"/>
  <c r="CP260" i="17" s="1"/>
  <c r="DG260" i="17" s="1"/>
  <c r="DH260" i="17" s="1"/>
  <c r="CJ300" i="17"/>
  <c r="CP300" i="17" s="1"/>
  <c r="DG300" i="17" s="1"/>
  <c r="DH300" i="17" s="1"/>
  <c r="CJ42" i="17"/>
  <c r="CP42" i="17" s="1"/>
  <c r="DG42" i="17" s="1"/>
  <c r="DH42" i="17" s="1"/>
  <c r="CJ104" i="17"/>
  <c r="CP104" i="17" s="1"/>
  <c r="DG104" i="17" s="1"/>
  <c r="DH104" i="17" s="1"/>
  <c r="CJ272" i="17"/>
  <c r="CP272" i="17" s="1"/>
  <c r="DG272" i="17" s="1"/>
  <c r="DH272" i="17" s="1"/>
  <c r="CJ254" i="17"/>
  <c r="CP254" i="17" s="1"/>
  <c r="DG254" i="17" s="1"/>
  <c r="DH254" i="17" s="1"/>
  <c r="CJ18" i="17"/>
  <c r="CP18" i="17" s="1"/>
  <c r="DG18" i="17" s="1"/>
  <c r="CJ150" i="17"/>
  <c r="CP150" i="17" s="1"/>
  <c r="DG150" i="17" s="1"/>
  <c r="DH150" i="17" s="1"/>
  <c r="CJ127" i="17"/>
  <c r="CP127" i="17" s="1"/>
  <c r="DG127" i="17" s="1"/>
  <c r="DH127" i="17" s="1"/>
  <c r="CJ248" i="17"/>
  <c r="CP248" i="17" s="1"/>
  <c r="DG248" i="17" s="1"/>
  <c r="DH248" i="17" s="1"/>
  <c r="CJ117" i="17"/>
  <c r="CP117" i="17" s="1"/>
  <c r="DG117" i="17" s="1"/>
  <c r="DH117" i="17" s="1"/>
  <c r="CJ79" i="17"/>
  <c r="CP79" i="17" s="1"/>
  <c r="DG79" i="17" s="1"/>
  <c r="DH79" i="17" s="1"/>
  <c r="CJ22" i="17"/>
  <c r="CP22" i="17" s="1"/>
  <c r="DG22" i="17" s="1"/>
  <c r="DH22" i="17" s="1"/>
  <c r="CJ313" i="17"/>
  <c r="CP313" i="17" s="1"/>
  <c r="DG313" i="17" s="1"/>
  <c r="DH313" i="17" s="1"/>
  <c r="CJ37" i="17"/>
  <c r="CP37" i="17" s="1"/>
  <c r="DG37" i="17" s="1"/>
  <c r="DH37" i="17" s="1"/>
  <c r="CJ314" i="17"/>
  <c r="CP314" i="17" s="1"/>
  <c r="DG314" i="17" s="1"/>
  <c r="DH314" i="17" s="1"/>
  <c r="CJ301" i="17"/>
  <c r="CP301" i="17" s="1"/>
  <c r="DG301" i="17" s="1"/>
  <c r="DH301" i="17" s="1"/>
  <c r="CJ177" i="17"/>
  <c r="CP177" i="17" s="1"/>
  <c r="DG177" i="17" s="1"/>
  <c r="DH177" i="17" s="1"/>
  <c r="CJ267" i="17"/>
  <c r="CP267" i="17" s="1"/>
  <c r="DG267" i="17" s="1"/>
  <c r="DH267" i="17" s="1"/>
  <c r="CJ73" i="17"/>
  <c r="CP73" i="17" s="1"/>
  <c r="DG73" i="17" s="1"/>
  <c r="DH73" i="17" s="1"/>
  <c r="CJ48" i="17"/>
  <c r="CP48" i="17" s="1"/>
  <c r="DG48" i="17" s="1"/>
  <c r="DH48" i="17" s="1"/>
  <c r="CJ74" i="17"/>
  <c r="CP74" i="17" s="1"/>
  <c r="DG74" i="17" s="1"/>
  <c r="DH74" i="17" s="1"/>
  <c r="CJ243" i="17"/>
  <c r="CP243" i="17" s="1"/>
  <c r="DG243" i="17" s="1"/>
  <c r="DH243" i="17" s="1"/>
  <c r="CJ100" i="17"/>
  <c r="CP100" i="17" s="1"/>
  <c r="DG100" i="17" s="1"/>
  <c r="DH100" i="17" s="1"/>
  <c r="CJ82" i="17"/>
  <c r="CP82" i="17" s="1"/>
  <c r="DG82" i="17" s="1"/>
  <c r="DH82" i="17" s="1"/>
  <c r="CJ108" i="17"/>
  <c r="CP108" i="17" s="1"/>
  <c r="DG108" i="17" s="1"/>
  <c r="DH108" i="17" s="1"/>
  <c r="CJ135" i="17"/>
  <c r="CP135" i="17" s="1"/>
  <c r="DG135" i="17" s="1"/>
  <c r="DH135" i="17" s="1"/>
  <c r="CJ216" i="17"/>
  <c r="CP216" i="17" s="1"/>
  <c r="DG216" i="17" s="1"/>
  <c r="DH216" i="17" s="1"/>
  <c r="CJ287" i="17"/>
  <c r="CP287" i="17" s="1"/>
  <c r="DG287" i="17" s="1"/>
  <c r="DH287" i="17" s="1"/>
  <c r="CJ23" i="17"/>
  <c r="CP23" i="17" s="1"/>
  <c r="DG23" i="17" s="1"/>
  <c r="DH23" i="17" s="1"/>
  <c r="CJ288" i="17"/>
  <c r="CP288" i="17" s="1"/>
  <c r="DG288" i="17" s="1"/>
  <c r="DH288" i="17" s="1"/>
  <c r="CI150" i="17"/>
  <c r="CO150" i="17" s="1"/>
  <c r="DE150" i="17" s="1"/>
  <c r="DF150" i="17" s="1"/>
  <c r="CH291" i="17"/>
  <c r="CN291" i="17" s="1"/>
  <c r="DC291" i="17" s="1"/>
  <c r="DD291" i="17" s="1"/>
  <c r="CH65" i="17"/>
  <c r="CN65" i="17" s="1"/>
  <c r="DC65" i="17" s="1"/>
  <c r="DD65" i="17" s="1"/>
  <c r="CI42" i="17"/>
  <c r="CO42" i="17" s="1"/>
  <c r="DE42" i="17" s="1"/>
  <c r="DF42" i="17" s="1"/>
  <c r="CH152" i="17"/>
  <c r="CN152" i="17" s="1"/>
  <c r="DC152" i="17" s="1"/>
  <c r="DD152" i="17" s="1"/>
  <c r="CH33" i="17"/>
  <c r="CN33" i="17" s="1"/>
  <c r="DC33" i="17" s="1"/>
  <c r="DD33" i="17" s="1"/>
  <c r="CI254" i="17"/>
  <c r="CO254" i="17" s="1"/>
  <c r="DE254" i="17" s="1"/>
  <c r="DF254" i="17" s="1"/>
  <c r="K72" i="17"/>
  <c r="BO72" i="17" s="1"/>
  <c r="M72" i="17"/>
  <c r="BQ72" i="17" s="1"/>
  <c r="CI132" i="17"/>
  <c r="CO132" i="17" s="1"/>
  <c r="DE132" i="17" s="1"/>
  <c r="DF132" i="17" s="1"/>
  <c r="CI164" i="17"/>
  <c r="CO164" i="17" s="1"/>
  <c r="DE164" i="17" s="1"/>
  <c r="DF164" i="17" s="1"/>
  <c r="CI108" i="17"/>
  <c r="CO108" i="17" s="1"/>
  <c r="DE108" i="17" s="1"/>
  <c r="DF108" i="17" s="1"/>
  <c r="CI60" i="17"/>
  <c r="CO60" i="17" s="1"/>
  <c r="DE60" i="17" s="1"/>
  <c r="DF60" i="17" s="1"/>
  <c r="CH138" i="17"/>
  <c r="CN138" i="17" s="1"/>
  <c r="DC138" i="17" s="1"/>
  <c r="DD138" i="17" s="1"/>
  <c r="CI149" i="17"/>
  <c r="CO149" i="17" s="1"/>
  <c r="DE149" i="17" s="1"/>
  <c r="DF149" i="17" s="1"/>
  <c r="CI57" i="17"/>
  <c r="CO57" i="17" s="1"/>
  <c r="DE57" i="17" s="1"/>
  <c r="DF57" i="17" s="1"/>
  <c r="CH216" i="17"/>
  <c r="CN216" i="17" s="1"/>
  <c r="DC216" i="17" s="1"/>
  <c r="DD216" i="17" s="1"/>
  <c r="CI208" i="17"/>
  <c r="CO208" i="17" s="1"/>
  <c r="DE208" i="17" s="1"/>
  <c r="DF208" i="17" s="1"/>
  <c r="CI221" i="17"/>
  <c r="CO221" i="17" s="1"/>
  <c r="DE221" i="17" s="1"/>
  <c r="DF221" i="17" s="1"/>
  <c r="CI111" i="17"/>
  <c r="CO111" i="17" s="1"/>
  <c r="DE111" i="17" s="1"/>
  <c r="DF111" i="17" s="1"/>
  <c r="CI260" i="17"/>
  <c r="CO260" i="17" s="1"/>
  <c r="DE260" i="17" s="1"/>
  <c r="DF260" i="17" s="1"/>
  <c r="CH92" i="17"/>
  <c r="CN92" i="17" s="1"/>
  <c r="DC92" i="17" s="1"/>
  <c r="DD92" i="17" s="1"/>
  <c r="CI256" i="17"/>
  <c r="CO256" i="17" s="1"/>
  <c r="DE256" i="17" s="1"/>
  <c r="DF256" i="17" s="1"/>
  <c r="CH122" i="17"/>
  <c r="CN122" i="17" s="1"/>
  <c r="DC122" i="17" s="1"/>
  <c r="DD122" i="17" s="1"/>
  <c r="CH202" i="17"/>
  <c r="CN202" i="17" s="1"/>
  <c r="DC202" i="17" s="1"/>
  <c r="DD202" i="17" s="1"/>
  <c r="CH26" i="17"/>
  <c r="CN26" i="17" s="1"/>
  <c r="DC26" i="17" s="1"/>
  <c r="DD26" i="17" s="1"/>
  <c r="CH86" i="17"/>
  <c r="CN86" i="17" s="1"/>
  <c r="DC86" i="17" s="1"/>
  <c r="DD86" i="17" s="1"/>
  <c r="CI138" i="17"/>
  <c r="CO138" i="17" s="1"/>
  <c r="DE138" i="17" s="1"/>
  <c r="DF138" i="17" s="1"/>
  <c r="CH240" i="17"/>
  <c r="CN240" i="17" s="1"/>
  <c r="DC240" i="17" s="1"/>
  <c r="DD240" i="17" s="1"/>
  <c r="CH175" i="17"/>
  <c r="CN175" i="17" s="1"/>
  <c r="DC175" i="17" s="1"/>
  <c r="DD175" i="17" s="1"/>
  <c r="CI269" i="17"/>
  <c r="CO269" i="17" s="1"/>
  <c r="DE269" i="17" s="1"/>
  <c r="DF269" i="17" s="1"/>
  <c r="CI216" i="17"/>
  <c r="CO216" i="17" s="1"/>
  <c r="DE216" i="17" s="1"/>
  <c r="DF216" i="17" s="1"/>
  <c r="CH19" i="17"/>
  <c r="CN19" i="17" s="1"/>
  <c r="DC19" i="17" s="1"/>
  <c r="DD19" i="17" s="1"/>
  <c r="CH23" i="17"/>
  <c r="CN23" i="17" s="1"/>
  <c r="DC23" i="17" s="1"/>
  <c r="DD23" i="17" s="1"/>
  <c r="CH54" i="17"/>
  <c r="CN54" i="17" s="1"/>
  <c r="DC54" i="17" s="1"/>
  <c r="DD54" i="17" s="1"/>
  <c r="CH116" i="17"/>
  <c r="CN116" i="17" s="1"/>
  <c r="DC116" i="17" s="1"/>
  <c r="DD116" i="17" s="1"/>
  <c r="CH312" i="17"/>
  <c r="CN312" i="17" s="1"/>
  <c r="DC312" i="17" s="1"/>
  <c r="DD312" i="17" s="1"/>
  <c r="CI186" i="17"/>
  <c r="CO186" i="17" s="1"/>
  <c r="DE186" i="17" s="1"/>
  <c r="DF186" i="17" s="1"/>
  <c r="CI15" i="17"/>
  <c r="CO15" i="17" s="1"/>
  <c r="DE15" i="17" s="1"/>
  <c r="DF15" i="17" s="1"/>
  <c r="CH87" i="17"/>
  <c r="CN87" i="17" s="1"/>
  <c r="DC87" i="17" s="1"/>
  <c r="DD87" i="17" s="1"/>
  <c r="CI49" i="17"/>
  <c r="CO49" i="17" s="1"/>
  <c r="DE49" i="17" s="1"/>
  <c r="DF49" i="17" s="1"/>
  <c r="CI300" i="17"/>
  <c r="CO300" i="17" s="1"/>
  <c r="DE300" i="17" s="1"/>
  <c r="DF300" i="17" s="1"/>
  <c r="CI104" i="17"/>
  <c r="CO104" i="17" s="1"/>
  <c r="DE104" i="17" s="1"/>
  <c r="DF104" i="17" s="1"/>
  <c r="CI19" i="17"/>
  <c r="CO19" i="17" s="1"/>
  <c r="DE19" i="17" s="1"/>
  <c r="DF19" i="17" s="1"/>
  <c r="CI18" i="17"/>
  <c r="CO18" i="17" s="1"/>
  <c r="DE18" i="17" s="1"/>
  <c r="DF18" i="17" s="1"/>
  <c r="CH287" i="17"/>
  <c r="CN287" i="17" s="1"/>
  <c r="DC287" i="17" s="1"/>
  <c r="DD287" i="17" s="1"/>
  <c r="CH83" i="17"/>
  <c r="CN83" i="17" s="1"/>
  <c r="DC83" i="17" s="1"/>
  <c r="DD83" i="17" s="1"/>
  <c r="CH314" i="17"/>
  <c r="CN314" i="17" s="1"/>
  <c r="DC314" i="17" s="1"/>
  <c r="DD314" i="17" s="1"/>
  <c r="CI152" i="17"/>
  <c r="CO152" i="17" s="1"/>
  <c r="DE152" i="17" s="1"/>
  <c r="DF152" i="17" s="1"/>
  <c r="CH127" i="17"/>
  <c r="CN127" i="17" s="1"/>
  <c r="DC127" i="17" s="1"/>
  <c r="DD127" i="17" s="1"/>
  <c r="CH153" i="17"/>
  <c r="CN153" i="17" s="1"/>
  <c r="DC153" i="17" s="1"/>
  <c r="DD153" i="17" s="1"/>
  <c r="CH186" i="17"/>
  <c r="CN186" i="17" s="1"/>
  <c r="DC186" i="17" s="1"/>
  <c r="DD186" i="17" s="1"/>
  <c r="CI286" i="17"/>
  <c r="CO286" i="17" s="1"/>
  <c r="DE286" i="17" s="1"/>
  <c r="DF286" i="17" s="1"/>
  <c r="CH221" i="17"/>
  <c r="CN221" i="17" s="1"/>
  <c r="DC221" i="17" s="1"/>
  <c r="DD221" i="17" s="1"/>
  <c r="CH15" i="17"/>
  <c r="CN15" i="17" s="1"/>
  <c r="DC15" i="17" s="1"/>
  <c r="DD15" i="17" s="1"/>
  <c r="CI296" i="17"/>
  <c r="CO296" i="17" s="1"/>
  <c r="DE296" i="17" s="1"/>
  <c r="DF296" i="17" s="1"/>
  <c r="CH300" i="17"/>
  <c r="CN300" i="17" s="1"/>
  <c r="DC300" i="17" s="1"/>
  <c r="DD300" i="17" s="1"/>
  <c r="CH256" i="17"/>
  <c r="CN256" i="17" s="1"/>
  <c r="DC256" i="17" s="1"/>
  <c r="DD256" i="17" s="1"/>
  <c r="CH104" i="17"/>
  <c r="CN104" i="17" s="1"/>
  <c r="DC104" i="17" s="1"/>
  <c r="DD104" i="17" s="1"/>
  <c r="CH167" i="17"/>
  <c r="CN167" i="17" s="1"/>
  <c r="DC167" i="17" s="1"/>
  <c r="DD167" i="17" s="1"/>
  <c r="CH18" i="17"/>
  <c r="CN18" i="17" s="1"/>
  <c r="DC18" i="17" s="1"/>
  <c r="DD18" i="17" s="1"/>
  <c r="CH289" i="17"/>
  <c r="CN289" i="17" s="1"/>
  <c r="DC289" i="17" s="1"/>
  <c r="DD289" i="17" s="1"/>
  <c r="CI251" i="17"/>
  <c r="CO251" i="17" s="1"/>
  <c r="DE251" i="17" s="1"/>
  <c r="DF251" i="17" s="1"/>
  <c r="CI127" i="17"/>
  <c r="CO127" i="17" s="1"/>
  <c r="DE127" i="17" s="1"/>
  <c r="DF127" i="17" s="1"/>
  <c r="CI83" i="17"/>
  <c r="CO83" i="17" s="1"/>
  <c r="DE83" i="17" s="1"/>
  <c r="DF83" i="17" s="1"/>
  <c r="CI122" i="17"/>
  <c r="CO122" i="17" s="1"/>
  <c r="DE122" i="17" s="1"/>
  <c r="DF122" i="17" s="1"/>
  <c r="CI314" i="17"/>
  <c r="CO314" i="17" s="1"/>
  <c r="DE314" i="17" s="1"/>
  <c r="DF314" i="17" s="1"/>
  <c r="CH185" i="17"/>
  <c r="CN185" i="17" s="1"/>
  <c r="DC185" i="17" s="1"/>
  <c r="DD185" i="17" s="1"/>
  <c r="CI54" i="17"/>
  <c r="CO54" i="17" s="1"/>
  <c r="DE54" i="17" s="1"/>
  <c r="DF54" i="17" s="1"/>
  <c r="CI177" i="17"/>
  <c r="CO177" i="17" s="1"/>
  <c r="DE177" i="17" s="1"/>
  <c r="DF177" i="17" s="1"/>
  <c r="CH117" i="17"/>
  <c r="CN117" i="17" s="1"/>
  <c r="DC117" i="17" s="1"/>
  <c r="DD117" i="17" s="1"/>
  <c r="CI267" i="17"/>
  <c r="CO267" i="17" s="1"/>
  <c r="DE267" i="17" s="1"/>
  <c r="DF267" i="17" s="1"/>
  <c r="CH79" i="17"/>
  <c r="CN79" i="17" s="1"/>
  <c r="DC79" i="17" s="1"/>
  <c r="DD79" i="17" s="1"/>
  <c r="CI73" i="17"/>
  <c r="CO73" i="17" s="1"/>
  <c r="DE73" i="17" s="1"/>
  <c r="DF73" i="17" s="1"/>
  <c r="CH313" i="17"/>
  <c r="CN313" i="17" s="1"/>
  <c r="DC313" i="17" s="1"/>
  <c r="DD313" i="17" s="1"/>
  <c r="CI23" i="17"/>
  <c r="CO23" i="17" s="1"/>
  <c r="DE23" i="17" s="1"/>
  <c r="DF23" i="17" s="1"/>
  <c r="CI37" i="17"/>
  <c r="CO37" i="17" s="1"/>
  <c r="DE37" i="17" s="1"/>
  <c r="DF37" i="17" s="1"/>
  <c r="CH150" i="17"/>
  <c r="CN150" i="17" s="1"/>
  <c r="DC150" i="17" s="1"/>
  <c r="DD150" i="17" s="1"/>
  <c r="CI74" i="17"/>
  <c r="CO74" i="17" s="1"/>
  <c r="DE74" i="17" s="1"/>
  <c r="DF74" i="17" s="1"/>
  <c r="CH248" i="17"/>
  <c r="CN248" i="17" s="1"/>
  <c r="DC248" i="17" s="1"/>
  <c r="DD248" i="17" s="1"/>
  <c r="CI243" i="17"/>
  <c r="CO243" i="17" s="1"/>
  <c r="DE243" i="17" s="1"/>
  <c r="DF243" i="17" s="1"/>
  <c r="CI100" i="17"/>
  <c r="CO100" i="17" s="1"/>
  <c r="DE100" i="17" s="1"/>
  <c r="DF100" i="17" s="1"/>
  <c r="CH120" i="17"/>
  <c r="CN120" i="17" s="1"/>
  <c r="DC120" i="17" s="1"/>
  <c r="DD120" i="17" s="1"/>
  <c r="CH195" i="17"/>
  <c r="CN195" i="17" s="1"/>
  <c r="DC195" i="17" s="1"/>
  <c r="DD195" i="17" s="1"/>
  <c r="CI135" i="17"/>
  <c r="CO135" i="17" s="1"/>
  <c r="DE135" i="17" s="1"/>
  <c r="DF135" i="17" s="1"/>
  <c r="CH37" i="17"/>
  <c r="CN37" i="17" s="1"/>
  <c r="DC37" i="17" s="1"/>
  <c r="DD37" i="17" s="1"/>
  <c r="CH156" i="17"/>
  <c r="CN156" i="17" s="1"/>
  <c r="DC156" i="17" s="1"/>
  <c r="DD156" i="17" s="1"/>
  <c r="CI170" i="17"/>
  <c r="CO170" i="17" s="1"/>
  <c r="DE170" i="17" s="1"/>
  <c r="DF170" i="17" s="1"/>
  <c r="CI199" i="17"/>
  <c r="CO199" i="17" s="1"/>
  <c r="DE199" i="17" s="1"/>
  <c r="DF199" i="17" s="1"/>
  <c r="CH74" i="17"/>
  <c r="CN74" i="17" s="1"/>
  <c r="DC74" i="17" s="1"/>
  <c r="DD74" i="17" s="1"/>
  <c r="CI202" i="17"/>
  <c r="CO202" i="17" s="1"/>
  <c r="DE202" i="17" s="1"/>
  <c r="DF202" i="17" s="1"/>
  <c r="CI116" i="17"/>
  <c r="CO116" i="17" s="1"/>
  <c r="DE116" i="17" s="1"/>
  <c r="DF116" i="17" s="1"/>
  <c r="CH243" i="17"/>
  <c r="CN243" i="17" s="1"/>
  <c r="DC243" i="17" s="1"/>
  <c r="DD243" i="17" s="1"/>
  <c r="CI312" i="17"/>
  <c r="CO312" i="17" s="1"/>
  <c r="DE312" i="17" s="1"/>
  <c r="DF312" i="17" s="1"/>
  <c r="CH100" i="17"/>
  <c r="CN100" i="17" s="1"/>
  <c r="DC100" i="17" s="1"/>
  <c r="DD100" i="17" s="1"/>
  <c r="CH177" i="17"/>
  <c r="CN177" i="17" s="1"/>
  <c r="DC177" i="17" s="1"/>
  <c r="DD177" i="17" s="1"/>
  <c r="CH267" i="17"/>
  <c r="CN267" i="17" s="1"/>
  <c r="DC267" i="17" s="1"/>
  <c r="DD267" i="17" s="1"/>
  <c r="CI87" i="17"/>
  <c r="CO87" i="17" s="1"/>
  <c r="DE87" i="17" s="1"/>
  <c r="DF87" i="17" s="1"/>
  <c r="CI82" i="17"/>
  <c r="CO82" i="17" s="1"/>
  <c r="DE82" i="17" s="1"/>
  <c r="DF82" i="17" s="1"/>
  <c r="CI178" i="17"/>
  <c r="CO178" i="17" s="1"/>
  <c r="DE178" i="17" s="1"/>
  <c r="DF178" i="17" s="1"/>
  <c r="CH73" i="17"/>
  <c r="CN73" i="17" s="1"/>
  <c r="DC73" i="17" s="1"/>
  <c r="DD73" i="17" s="1"/>
  <c r="CI92" i="17"/>
  <c r="CO92" i="17" s="1"/>
  <c r="DE92" i="17" s="1"/>
  <c r="DF92" i="17" s="1"/>
  <c r="CI291" i="17"/>
  <c r="CO291" i="17" s="1"/>
  <c r="DE291" i="17" s="1"/>
  <c r="DF291" i="17" s="1"/>
  <c r="CI65" i="17"/>
  <c r="CO65" i="17" s="1"/>
  <c r="DE65" i="17" s="1"/>
  <c r="DF65" i="17" s="1"/>
  <c r="CI167" i="17"/>
  <c r="CO167" i="17" s="1"/>
  <c r="DE167" i="17" s="1"/>
  <c r="DF167" i="17" s="1"/>
  <c r="CH135" i="17"/>
  <c r="CN135" i="17" s="1"/>
  <c r="DC135" i="17" s="1"/>
  <c r="DD135" i="17" s="1"/>
  <c r="CI287" i="17"/>
  <c r="CO287" i="17" s="1"/>
  <c r="DE287" i="17" s="1"/>
  <c r="DF287" i="17" s="1"/>
  <c r="CI288" i="17"/>
  <c r="CO288" i="17" s="1"/>
  <c r="DE288" i="17" s="1"/>
  <c r="DF288" i="17" s="1"/>
  <c r="CI153" i="17"/>
  <c r="CO153" i="17" s="1"/>
  <c r="DE153" i="17" s="1"/>
  <c r="DF153" i="17" s="1"/>
  <c r="CH170" i="17"/>
  <c r="CN170" i="17" s="1"/>
  <c r="DC170" i="17" s="1"/>
  <c r="DD170" i="17" s="1"/>
  <c r="CH305" i="17"/>
  <c r="CN305" i="17" s="1"/>
  <c r="DC305" i="17" s="1"/>
  <c r="DD305" i="17" s="1"/>
  <c r="CI79" i="17"/>
  <c r="CO79" i="17" s="1"/>
  <c r="DE79" i="17" s="1"/>
  <c r="DF79" i="17" s="1"/>
  <c r="CH108" i="17"/>
  <c r="CN108" i="17" s="1"/>
  <c r="DC108" i="17" s="1"/>
  <c r="DD108" i="17" s="1"/>
  <c r="CH178" i="17"/>
  <c r="CN178" i="17" s="1"/>
  <c r="DC178" i="17" s="1"/>
  <c r="DD178" i="17" s="1"/>
  <c r="CH111" i="17"/>
  <c r="CN111" i="17" s="1"/>
  <c r="DC111" i="17" s="1"/>
  <c r="DD111" i="17" s="1"/>
  <c r="CH199" i="17"/>
  <c r="CN199" i="17" s="1"/>
  <c r="DC199" i="17" s="1"/>
  <c r="DD199" i="17" s="1"/>
  <c r="CI185" i="17"/>
  <c r="CO185" i="17" s="1"/>
  <c r="DE185" i="17" s="1"/>
  <c r="DF185" i="17" s="1"/>
  <c r="CH164" i="17"/>
  <c r="CN164" i="17" s="1"/>
  <c r="DC164" i="17" s="1"/>
  <c r="DD164" i="17" s="1"/>
  <c r="CI248" i="17"/>
  <c r="CO248" i="17" s="1"/>
  <c r="DE248" i="17" s="1"/>
  <c r="DF248" i="17" s="1"/>
  <c r="CI117" i="17"/>
  <c r="CO117" i="17" s="1"/>
  <c r="DE117" i="17" s="1"/>
  <c r="DF117" i="17" s="1"/>
  <c r="CI86" i="17"/>
  <c r="CO86" i="17" s="1"/>
  <c r="DE86" i="17" s="1"/>
  <c r="DF86" i="17" s="1"/>
  <c r="CH49" i="17"/>
  <c r="CN49" i="17" s="1"/>
  <c r="DC49" i="17" s="1"/>
  <c r="DD49" i="17" s="1"/>
  <c r="CI305" i="17"/>
  <c r="CO305" i="17" s="1"/>
  <c r="DE305" i="17" s="1"/>
  <c r="DF305" i="17" s="1"/>
  <c r="CH260" i="17"/>
  <c r="CN260" i="17" s="1"/>
  <c r="DC260" i="17" s="1"/>
  <c r="DD260" i="17" s="1"/>
  <c r="CH60" i="17"/>
  <c r="CN60" i="17" s="1"/>
  <c r="DC60" i="17" s="1"/>
  <c r="DD60" i="17" s="1"/>
  <c r="CH149" i="17"/>
  <c r="CN149" i="17" s="1"/>
  <c r="DC149" i="17" s="1"/>
  <c r="DD149" i="17" s="1"/>
  <c r="CI22" i="17"/>
  <c r="CO22" i="17" s="1"/>
  <c r="DE22" i="17" s="1"/>
  <c r="DF22" i="17" s="1"/>
  <c r="CH42" i="17"/>
  <c r="CN42" i="17" s="1"/>
  <c r="DC42" i="17" s="1"/>
  <c r="DD42" i="17" s="1"/>
  <c r="CI313" i="17"/>
  <c r="CO313" i="17" s="1"/>
  <c r="DE313" i="17" s="1"/>
  <c r="DF313" i="17" s="1"/>
  <c r="CH57" i="17"/>
  <c r="CN57" i="17" s="1"/>
  <c r="DC57" i="17" s="1"/>
  <c r="DD57" i="17" s="1"/>
  <c r="CH254" i="17"/>
  <c r="CN254" i="17" s="1"/>
  <c r="DC254" i="17" s="1"/>
  <c r="DD254" i="17" s="1"/>
  <c r="CI289" i="17"/>
  <c r="CO289" i="17" s="1"/>
  <c r="DE289" i="17" s="1"/>
  <c r="DF289" i="17" s="1"/>
  <c r="P13" i="17"/>
  <c r="BT13" i="17" s="1"/>
  <c r="R198" i="17"/>
  <c r="BF198" i="17" s="1"/>
  <c r="BN198" i="17" s="1"/>
  <c r="BV198" i="17" s="1"/>
  <c r="F14" i="39"/>
  <c r="L14" i="39" s="1"/>
  <c r="F15" i="39"/>
  <c r="J15" i="39" s="1"/>
  <c r="F19" i="39"/>
  <c r="J19" i="39" s="1"/>
  <c r="F18" i="39"/>
  <c r="J18" i="39" s="1"/>
  <c r="M268" i="17"/>
  <c r="BA268" i="17" s="1"/>
  <c r="BI268" i="17" s="1"/>
  <c r="N241" i="17"/>
  <c r="BR241" i="17" s="1"/>
  <c r="O105" i="17"/>
  <c r="BS105" i="17" s="1"/>
  <c r="K97" i="17"/>
  <c r="BO97" i="17" s="1"/>
  <c r="M218" i="17"/>
  <c r="BQ218" i="17" s="1"/>
  <c r="K223" i="17"/>
  <c r="AY223" i="17" s="1"/>
  <c r="BG223" i="17" s="1"/>
  <c r="M227" i="17"/>
  <c r="BQ227" i="17" s="1"/>
  <c r="N242" i="17"/>
  <c r="BR242" i="17" s="1"/>
  <c r="CH242" i="17" s="1"/>
  <c r="CN242" i="17" s="1"/>
  <c r="DC242" i="17" s="1"/>
  <c r="DD242" i="17" s="1"/>
  <c r="L235" i="17"/>
  <c r="BP235" i="17" s="1"/>
  <c r="CE235" i="17" s="1"/>
  <c r="CK235" i="17" s="1"/>
  <c r="CW235" i="17" s="1"/>
  <c r="CX235" i="17" s="1"/>
  <c r="K154" i="17"/>
  <c r="BO154" i="17" s="1"/>
  <c r="O81" i="17"/>
  <c r="BS81" i="17" s="1"/>
  <c r="M255" i="17"/>
  <c r="BQ255" i="17" s="1"/>
  <c r="R139" i="17"/>
  <c r="BV139" i="17" s="1"/>
  <c r="P252" i="17"/>
  <c r="BT252" i="17" s="1"/>
  <c r="O45" i="17"/>
  <c r="BC45" i="17" s="1"/>
  <c r="BK45" i="17" s="1"/>
  <c r="R20" i="17"/>
  <c r="BV20" i="17" s="1"/>
  <c r="O17" i="17"/>
  <c r="BS17" i="17" s="1"/>
  <c r="M214" i="17"/>
  <c r="BQ214" i="17" s="1"/>
  <c r="M176" i="17"/>
  <c r="BQ176" i="17" s="1"/>
  <c r="L110" i="17"/>
  <c r="BP110" i="17" s="1"/>
  <c r="M232" i="17"/>
  <c r="BQ232" i="17" s="1"/>
  <c r="CF232" i="17" s="1"/>
  <c r="CL232" i="17" s="1"/>
  <c r="CY232" i="17" s="1"/>
  <c r="CZ232" i="17" s="1"/>
  <c r="L55" i="17"/>
  <c r="BP55" i="17" s="1"/>
  <c r="R41" i="17"/>
  <c r="Q219" i="17"/>
  <c r="BU219" i="17" s="1"/>
  <c r="N263" i="17"/>
  <c r="BR263" i="17" s="1"/>
  <c r="Q102" i="17"/>
  <c r="BU102" i="17" s="1"/>
  <c r="L276" i="17"/>
  <c r="BP276" i="17" s="1"/>
  <c r="P134" i="17"/>
  <c r="BT134" i="17" s="1"/>
  <c r="K70" i="17"/>
  <c r="BO70" i="17" s="1"/>
  <c r="N225" i="17"/>
  <c r="BR225" i="17" s="1"/>
  <c r="M27" i="17"/>
  <c r="BQ27" i="17" s="1"/>
  <c r="N78" i="17"/>
  <c r="BR78" i="17" s="1"/>
  <c r="CF78" i="17" s="1"/>
  <c r="CL78" i="17" s="1"/>
  <c r="CY78" i="17" s="1"/>
  <c r="CZ78" i="17" s="1"/>
  <c r="Q160" i="17"/>
  <c r="BU160" i="17" s="1"/>
  <c r="M118" i="17"/>
  <c r="BQ118" i="17" s="1"/>
  <c r="R174" i="17"/>
  <c r="BV174" i="17" s="1"/>
  <c r="P261" i="17"/>
  <c r="BT261" i="17" s="1"/>
  <c r="O140" i="17"/>
  <c r="BS140" i="17" s="1"/>
  <c r="CG140" i="17" s="1"/>
  <c r="CM140" i="17" s="1"/>
  <c r="DA140" i="17" s="1"/>
  <c r="DB140" i="17" s="1"/>
  <c r="L169" i="17"/>
  <c r="BP169" i="17" s="1"/>
  <c r="P94" i="17"/>
  <c r="BT94" i="17" s="1"/>
  <c r="O131" i="17"/>
  <c r="BS131" i="17" s="1"/>
  <c r="R229" i="17"/>
  <c r="BV229" i="17" s="1"/>
  <c r="M197" i="17"/>
  <c r="BQ197" i="17" s="1"/>
  <c r="M233" i="17"/>
  <c r="BQ233" i="17" s="1"/>
  <c r="Q193" i="17"/>
  <c r="BU193" i="17" s="1"/>
  <c r="R24" i="17"/>
  <c r="BV24" i="17" s="1"/>
  <c r="K198" i="17"/>
  <c r="BO198" i="17" s="1"/>
  <c r="M171" i="17"/>
  <c r="BQ171" i="17" s="1"/>
  <c r="K184" i="17"/>
  <c r="BO184" i="17" s="1"/>
  <c r="L268" i="17"/>
  <c r="BP268" i="17" s="1"/>
  <c r="N259" i="17"/>
  <c r="BR259" i="17" s="1"/>
  <c r="CG259" i="17" s="1"/>
  <c r="CM259" i="17" s="1"/>
  <c r="DA259" i="17" s="1"/>
  <c r="DB259" i="17" s="1"/>
  <c r="O48" i="17"/>
  <c r="P34" i="17"/>
  <c r="BT34" i="17" s="1"/>
  <c r="N13" i="17"/>
  <c r="BR13" i="17" s="1"/>
  <c r="Q241" i="17"/>
  <c r="BU241" i="17" s="1"/>
  <c r="R105" i="17"/>
  <c r="BV105" i="17" s="1"/>
  <c r="CJ105" i="17" s="1"/>
  <c r="CP105" i="17" s="1"/>
  <c r="DG105" i="17" s="1"/>
  <c r="DH105" i="17" s="1"/>
  <c r="R97" i="17"/>
  <c r="BV97" i="17" s="1"/>
  <c r="P218" i="17"/>
  <c r="BT218" i="17" s="1"/>
  <c r="O223" i="17"/>
  <c r="BS223" i="17" s="1"/>
  <c r="O227" i="17"/>
  <c r="R242" i="17"/>
  <c r="BV242" i="17" s="1"/>
  <c r="P235" i="17"/>
  <c r="BD235" i="17" s="1"/>
  <c r="BL235" i="17" s="1"/>
  <c r="BT235" i="17" s="1"/>
  <c r="N154" i="17"/>
  <c r="M81" i="17"/>
  <c r="BQ81" i="17" s="1"/>
  <c r="P255" i="17"/>
  <c r="BT255" i="17" s="1"/>
  <c r="N139" i="17"/>
  <c r="O252" i="17"/>
  <c r="BS252" i="17" s="1"/>
  <c r="K45" i="17"/>
  <c r="BO45" i="17" s="1"/>
  <c r="M20" i="17"/>
  <c r="BQ20" i="17" s="1"/>
  <c r="M215" i="17"/>
  <c r="BQ215" i="17" s="1"/>
  <c r="K17" i="17"/>
  <c r="BO17" i="17" s="1"/>
  <c r="P176" i="17"/>
  <c r="BD176" i="17" s="1"/>
  <c r="BL176" i="17" s="1"/>
  <c r="BT176" i="17" s="1"/>
  <c r="N110" i="17"/>
  <c r="BR110" i="17" s="1"/>
  <c r="P232" i="17"/>
  <c r="BT232" i="17" s="1"/>
  <c r="O55" i="17"/>
  <c r="BS55" i="17" s="1"/>
  <c r="Q41" i="17"/>
  <c r="BU41" i="17" s="1"/>
  <c r="CI41" i="17" s="1"/>
  <c r="CO41" i="17" s="1"/>
  <c r="DE41" i="17" s="1"/>
  <c r="DF41" i="17" s="1"/>
  <c r="M219" i="17"/>
  <c r="BQ219" i="17" s="1"/>
  <c r="R263" i="17"/>
  <c r="BV263" i="17" s="1"/>
  <c r="M102" i="17"/>
  <c r="BQ102" i="17" s="1"/>
  <c r="K134" i="17"/>
  <c r="BO134" i="17" s="1"/>
  <c r="N70" i="17"/>
  <c r="BR70" i="17" s="1"/>
  <c r="CH70" i="17" s="1"/>
  <c r="CN70" i="17" s="1"/>
  <c r="DC70" i="17" s="1"/>
  <c r="DD70" i="17" s="1"/>
  <c r="M225" i="17"/>
  <c r="BQ225" i="17" s="1"/>
  <c r="P27" i="17"/>
  <c r="BT27" i="17" s="1"/>
  <c r="L200" i="17"/>
  <c r="BP200" i="17" s="1"/>
  <c r="Q78" i="17"/>
  <c r="BU78" i="17" s="1"/>
  <c r="N160" i="17"/>
  <c r="BR160" i="17" s="1"/>
  <c r="Q118" i="17"/>
  <c r="BU118" i="17" s="1"/>
  <c r="M174" i="17"/>
  <c r="BQ174" i="17" s="1"/>
  <c r="N261" i="17"/>
  <c r="L140" i="17"/>
  <c r="BP140" i="17" s="1"/>
  <c r="CF140" i="17" s="1"/>
  <c r="CL140" i="17" s="1"/>
  <c r="CY140" i="17" s="1"/>
  <c r="CZ140" i="17" s="1"/>
  <c r="K94" i="17"/>
  <c r="BO94" i="17" s="1"/>
  <c r="CE94" i="17" s="1"/>
  <c r="CK94" i="17" s="1"/>
  <c r="CW94" i="17" s="1"/>
  <c r="CX94" i="17" s="1"/>
  <c r="R131" i="17"/>
  <c r="BV131" i="17" s="1"/>
  <c r="P229" i="17"/>
  <c r="BT229" i="17" s="1"/>
  <c r="R197" i="17"/>
  <c r="BV197" i="17" s="1"/>
  <c r="Q233" i="17"/>
  <c r="BU233" i="17" s="1"/>
  <c r="P193" i="17"/>
  <c r="BT193" i="17" s="1"/>
  <c r="M24" i="17"/>
  <c r="BQ24" i="17" s="1"/>
  <c r="K113" i="17"/>
  <c r="BO113" i="17" s="1"/>
  <c r="O198" i="17"/>
  <c r="BS198" i="17" s="1"/>
  <c r="P171" i="17"/>
  <c r="BT171" i="17" s="1"/>
  <c r="O184" i="17"/>
  <c r="BC184" i="17" s="1"/>
  <c r="BK184" i="17" s="1"/>
  <c r="BS184" i="17" s="1"/>
  <c r="R259" i="17"/>
  <c r="BV259" i="17" s="1"/>
  <c r="K48" i="17"/>
  <c r="BO48" i="17" s="1"/>
  <c r="K34" i="17"/>
  <c r="BO34" i="17" s="1"/>
  <c r="CE34" i="17" s="1"/>
  <c r="CK34" i="17" s="1"/>
  <c r="CW34" i="17" s="1"/>
  <c r="CX34" i="17" s="1"/>
  <c r="L13" i="17"/>
  <c r="BP13" i="17" s="1"/>
  <c r="P241" i="17"/>
  <c r="BT241" i="17" s="1"/>
  <c r="M105" i="17"/>
  <c r="BQ105" i="17" s="1"/>
  <c r="M97" i="17"/>
  <c r="BQ97" i="17" s="1"/>
  <c r="O218" i="17"/>
  <c r="BS218" i="17" s="1"/>
  <c r="N223" i="17"/>
  <c r="BR223" i="17" s="1"/>
  <c r="N227" i="17"/>
  <c r="BR227" i="17" s="1"/>
  <c r="Q242" i="17"/>
  <c r="BU242" i="17" s="1"/>
  <c r="CI242" i="17" s="1"/>
  <c r="CO242" i="17" s="1"/>
  <c r="DE242" i="17" s="1"/>
  <c r="DF242" i="17" s="1"/>
  <c r="O235" i="17"/>
  <c r="BS235" i="17" s="1"/>
  <c r="R154" i="17"/>
  <c r="BV154" i="17" s="1"/>
  <c r="L81" i="17"/>
  <c r="BP81" i="17" s="1"/>
  <c r="K255" i="17"/>
  <c r="BO255" i="17" s="1"/>
  <c r="M139" i="17"/>
  <c r="BQ139" i="17" s="1"/>
  <c r="N252" i="17"/>
  <c r="BR252" i="17" s="1"/>
  <c r="R45" i="17"/>
  <c r="BF45" i="17" s="1"/>
  <c r="BN45" i="17" s="1"/>
  <c r="O20" i="17"/>
  <c r="BS20" i="17" s="1"/>
  <c r="R215" i="17"/>
  <c r="BV215" i="17" s="1"/>
  <c r="R17" i="17"/>
  <c r="BV17" i="17" s="1"/>
  <c r="N176" i="17"/>
  <c r="BR176" i="17" s="1"/>
  <c r="K110" i="17"/>
  <c r="BO110" i="17" s="1"/>
  <c r="K232" i="17"/>
  <c r="BO232" i="17" s="1"/>
  <c r="N55" i="17"/>
  <c r="BR55" i="17" s="1"/>
  <c r="M41" i="17"/>
  <c r="BQ41" i="17" s="1"/>
  <c r="P219" i="17"/>
  <c r="BT219" i="17" s="1"/>
  <c r="Q263" i="17"/>
  <c r="L102" i="17"/>
  <c r="BP102" i="17" s="1"/>
  <c r="Q134" i="17"/>
  <c r="BU134" i="17" s="1"/>
  <c r="M70" i="17"/>
  <c r="BQ70" i="17" s="1"/>
  <c r="L225" i="17"/>
  <c r="BP225" i="17" s="1"/>
  <c r="R27" i="17"/>
  <c r="BV27" i="17" s="1"/>
  <c r="P78" i="17"/>
  <c r="BT78" i="17" s="1"/>
  <c r="M160" i="17"/>
  <c r="BQ160" i="17" s="1"/>
  <c r="L118" i="17"/>
  <c r="BP118" i="17" s="1"/>
  <c r="Q174" i="17"/>
  <c r="BU174" i="17" s="1"/>
  <c r="CI174" i="17" s="1"/>
  <c r="CO174" i="17" s="1"/>
  <c r="DE174" i="17" s="1"/>
  <c r="DF174" i="17" s="1"/>
  <c r="L261" i="17"/>
  <c r="BP261" i="17" s="1"/>
  <c r="K140" i="17"/>
  <c r="BO140" i="17" s="1"/>
  <c r="K101" i="17"/>
  <c r="AY101" i="17" s="1"/>
  <c r="BG101" i="17" s="1"/>
  <c r="BO101" i="17" s="1"/>
  <c r="R94" i="17"/>
  <c r="BV94" i="17" s="1"/>
  <c r="Q131" i="17"/>
  <c r="BU131" i="17" s="1"/>
  <c r="L197" i="17"/>
  <c r="BP197" i="17" s="1"/>
  <c r="O193" i="17"/>
  <c r="BS193" i="17" s="1"/>
  <c r="P24" i="17"/>
  <c r="BT24" i="17" s="1"/>
  <c r="P298" i="17"/>
  <c r="BT298" i="17" s="1"/>
  <c r="N198" i="17"/>
  <c r="BR198" i="17" s="1"/>
  <c r="K171" i="17"/>
  <c r="BO171" i="17" s="1"/>
  <c r="R184" i="17"/>
  <c r="BV184" i="17" s="1"/>
  <c r="Q259" i="17"/>
  <c r="BU259" i="17" s="1"/>
  <c r="N48" i="17"/>
  <c r="BR48" i="17" s="1"/>
  <c r="O34" i="17"/>
  <c r="BS34" i="17" s="1"/>
  <c r="K13" i="17"/>
  <c r="BO13" i="17" s="1"/>
  <c r="R55" i="17"/>
  <c r="BF55" i="17" s="1"/>
  <c r="BN55" i="17" s="1"/>
  <c r="BV55" i="17" s="1"/>
  <c r="N41" i="17"/>
  <c r="BR41" i="17" s="1"/>
  <c r="P160" i="17"/>
  <c r="BT160" i="17" s="1"/>
  <c r="O118" i="17"/>
  <c r="BS118" i="17" s="1"/>
  <c r="N174" i="17"/>
  <c r="BR174" i="17" s="1"/>
  <c r="K261" i="17"/>
  <c r="BO261" i="17" s="1"/>
  <c r="Q140" i="17"/>
  <c r="BU140" i="17" s="1"/>
  <c r="O94" i="17"/>
  <c r="BS94" i="17" s="1"/>
  <c r="CG94" i="17" s="1"/>
  <c r="CM94" i="17" s="1"/>
  <c r="DA94" i="17" s="1"/>
  <c r="DB94" i="17" s="1"/>
  <c r="M131" i="17"/>
  <c r="BQ131" i="17" s="1"/>
  <c r="P197" i="17"/>
  <c r="BT197" i="17" s="1"/>
  <c r="K193" i="17"/>
  <c r="AY193" i="17" s="1"/>
  <c r="BG193" i="17" s="1"/>
  <c r="BO193" i="17" s="1"/>
  <c r="O24" i="17"/>
  <c r="BS24" i="17" s="1"/>
  <c r="L198" i="17"/>
  <c r="BP198" i="17" s="1"/>
  <c r="N171" i="17"/>
  <c r="BR171" i="17" s="1"/>
  <c r="M184" i="17"/>
  <c r="BQ184" i="17" s="1"/>
  <c r="CE184" i="17" s="1"/>
  <c r="CK184" i="17" s="1"/>
  <c r="CW184" i="17" s="1"/>
  <c r="CX184" i="17" s="1"/>
  <c r="R268" i="17"/>
  <c r="BV268" i="17" s="1"/>
  <c r="L259" i="17"/>
  <c r="BP259" i="17" s="1"/>
  <c r="CF259" i="17" s="1"/>
  <c r="CL259" i="17" s="1"/>
  <c r="CY259" i="17" s="1"/>
  <c r="CZ259" i="17" s="1"/>
  <c r="L48" i="17"/>
  <c r="BP48" i="17" s="1"/>
  <c r="R34" i="17"/>
  <c r="BV34" i="17" s="1"/>
  <c r="M13" i="17"/>
  <c r="BQ13" i="17" s="1"/>
  <c r="L241" i="17"/>
  <c r="BP241" i="17" s="1"/>
  <c r="CE241" i="17" s="1"/>
  <c r="CK241" i="17" s="1"/>
  <c r="CW241" i="17" s="1"/>
  <c r="CX241" i="17" s="1"/>
  <c r="R235" i="17"/>
  <c r="BV235" i="17" s="1"/>
  <c r="M154" i="17"/>
  <c r="BQ154" i="17" s="1"/>
  <c r="L139" i="17"/>
  <c r="BP139" i="17" s="1"/>
  <c r="R278" i="17"/>
  <c r="BV278" i="17" s="1"/>
  <c r="L20" i="17"/>
  <c r="BP20" i="17" s="1"/>
  <c r="N17" i="17"/>
  <c r="BB17" i="17" s="1"/>
  <c r="BJ17" i="17" s="1"/>
  <c r="BR17" i="17" s="1"/>
  <c r="R176" i="17"/>
  <c r="BV176" i="17" s="1"/>
  <c r="R110" i="17"/>
  <c r="BV110" i="17" s="1"/>
  <c r="O232" i="17"/>
  <c r="BS232" i="17" s="1"/>
  <c r="K219" i="17"/>
  <c r="BO219" i="17" s="1"/>
  <c r="M134" i="17"/>
  <c r="BQ134" i="17" s="1"/>
  <c r="L105" i="17"/>
  <c r="BP105" i="17" s="1"/>
  <c r="Q223" i="17"/>
  <c r="BU223" i="17" s="1"/>
  <c r="N235" i="17"/>
  <c r="BR235" i="17" s="1"/>
  <c r="Q154" i="17"/>
  <c r="BU154" i="17" s="1"/>
  <c r="K176" i="17"/>
  <c r="BO176" i="17" s="1"/>
  <c r="R232" i="17"/>
  <c r="BV232" i="17" s="1"/>
  <c r="R295" i="17"/>
  <c r="BV295" i="17" s="1"/>
  <c r="M55" i="17"/>
  <c r="BQ55" i="17" s="1"/>
  <c r="K41" i="17"/>
  <c r="BO41" i="17" s="1"/>
  <c r="O219" i="17"/>
  <c r="BS219" i="17" s="1"/>
  <c r="P263" i="17"/>
  <c r="BT263" i="17" s="1"/>
  <c r="K102" i="17"/>
  <c r="BO102" i="17" s="1"/>
  <c r="N134" i="17"/>
  <c r="BR134" i="17" s="1"/>
  <c r="L70" i="17"/>
  <c r="BP70" i="17" s="1"/>
  <c r="K225" i="17"/>
  <c r="BO225" i="17" s="1"/>
  <c r="Q27" i="17"/>
  <c r="BU27" i="17" s="1"/>
  <c r="K78" i="17"/>
  <c r="BO78" i="17" s="1"/>
  <c r="CE78" i="17" s="1"/>
  <c r="CK78" i="17" s="1"/>
  <c r="CW78" i="17" s="1"/>
  <c r="CX78" i="17" s="1"/>
  <c r="L160" i="17"/>
  <c r="BP160" i="17" s="1"/>
  <c r="K118" i="17"/>
  <c r="BO118" i="17" s="1"/>
  <c r="K174" i="17"/>
  <c r="BO174" i="17" s="1"/>
  <c r="Q261" i="17"/>
  <c r="BU261" i="17" s="1"/>
  <c r="P140" i="17"/>
  <c r="BT140" i="17" s="1"/>
  <c r="Q94" i="17"/>
  <c r="BU94" i="17" s="1"/>
  <c r="P131" i="17"/>
  <c r="BT131" i="17" s="1"/>
  <c r="K197" i="17"/>
  <c r="BO197" i="17" s="1"/>
  <c r="N193" i="17"/>
  <c r="BR193" i="17" s="1"/>
  <c r="CF193" i="17" s="1"/>
  <c r="CL193" i="17" s="1"/>
  <c r="CY193" i="17" s="1"/>
  <c r="CZ193" i="17" s="1"/>
  <c r="L24" i="17"/>
  <c r="BP24" i="17" s="1"/>
  <c r="Q198" i="17"/>
  <c r="BU198" i="17" s="1"/>
  <c r="R171" i="17"/>
  <c r="BV171" i="17" s="1"/>
  <c r="Q184" i="17"/>
  <c r="BU184" i="17" s="1"/>
  <c r="N268" i="17"/>
  <c r="BR268" i="17" s="1"/>
  <c r="P259" i="17"/>
  <c r="BD259" i="17" s="1"/>
  <c r="BL259" i="17" s="1"/>
  <c r="BT259" i="17" s="1"/>
  <c r="M48" i="17"/>
  <c r="BQ48" i="17" s="1"/>
  <c r="N34" i="17"/>
  <c r="BR34" i="17" s="1"/>
  <c r="CF34" i="17" s="1"/>
  <c r="CL34" i="17" s="1"/>
  <c r="CY34" i="17" s="1"/>
  <c r="CZ34" i="17" s="1"/>
  <c r="Q13" i="17"/>
  <c r="BU13" i="17" s="1"/>
  <c r="K218" i="17"/>
  <c r="BO218" i="17" s="1"/>
  <c r="M223" i="17"/>
  <c r="BA223" i="17" s="1"/>
  <c r="BI223" i="17" s="1"/>
  <c r="Q81" i="17"/>
  <c r="BU81" i="17" s="1"/>
  <c r="CJ81" i="17" s="1"/>
  <c r="CP81" i="17" s="1"/>
  <c r="DG81" i="17" s="1"/>
  <c r="DH81" i="17" s="1"/>
  <c r="O255" i="17"/>
  <c r="BS255" i="17" s="1"/>
  <c r="R252" i="17"/>
  <c r="BV252" i="17" s="1"/>
  <c r="L263" i="17"/>
  <c r="BP263" i="17" s="1"/>
  <c r="O102" i="17"/>
  <c r="BS102" i="17" s="1"/>
  <c r="Q70" i="17"/>
  <c r="BE70" i="17" s="1"/>
  <c r="BM70" i="17" s="1"/>
  <c r="BU70" i="17" s="1"/>
  <c r="CI70" i="17" s="1"/>
  <c r="CO70" i="17" s="1"/>
  <c r="DE70" i="17" s="1"/>
  <c r="DF70" i="17" s="1"/>
  <c r="P225" i="17"/>
  <c r="BT225" i="17" s="1"/>
  <c r="CJ225" i="17" s="1"/>
  <c r="CP225" i="17" s="1"/>
  <c r="DG225" i="17" s="1"/>
  <c r="DH225" i="17" s="1"/>
  <c r="L27" i="17"/>
  <c r="BP27" i="17" s="1"/>
  <c r="O241" i="17"/>
  <c r="BS241" i="17" s="1"/>
  <c r="R218" i="17"/>
  <c r="BF218" i="17" s="1"/>
  <c r="BN218" i="17" s="1"/>
  <c r="BV218" i="17" s="1"/>
  <c r="K227" i="17"/>
  <c r="BO227" i="17" s="1"/>
  <c r="K81" i="17"/>
  <c r="BO81" i="17" s="1"/>
  <c r="R255" i="17"/>
  <c r="BV255" i="17" s="1"/>
  <c r="P139" i="17"/>
  <c r="BT139" i="17" s="1"/>
  <c r="M252" i="17"/>
  <c r="BQ252" i="17" s="1"/>
  <c r="Q278" i="17"/>
  <c r="BU278" i="17" s="1"/>
  <c r="K20" i="17"/>
  <c r="BO20" i="17" s="1"/>
  <c r="Q17" i="17"/>
  <c r="BU17" i="17" s="1"/>
  <c r="P110" i="17"/>
  <c r="BT110" i="17" s="1"/>
  <c r="O278" i="17"/>
  <c r="BS278" i="17" s="1"/>
  <c r="L214" i="17"/>
  <c r="BP214" i="17" s="1"/>
  <c r="Q268" i="17"/>
  <c r="BU268" i="17" s="1"/>
  <c r="O268" i="17"/>
  <c r="BS268" i="17" s="1"/>
  <c r="CE19" i="17"/>
  <c r="CK19" i="17" s="1"/>
  <c r="CW19" i="17" s="1"/>
  <c r="CX19" i="17" s="1"/>
  <c r="AY309" i="17"/>
  <c r="BG309" i="17" s="1"/>
  <c r="BO309" i="17"/>
  <c r="AZ46" i="17"/>
  <c r="BH46" i="17" s="1"/>
  <c r="BP46" i="17"/>
  <c r="BA285" i="17"/>
  <c r="BI285" i="17" s="1"/>
  <c r="BQ285" i="17"/>
  <c r="AZ308" i="17"/>
  <c r="BH308" i="17" s="1"/>
  <c r="BP308" i="17"/>
  <c r="BC95" i="17"/>
  <c r="BK95" i="17" s="1"/>
  <c r="BS95" i="17"/>
  <c r="BF253" i="17"/>
  <c r="BN253" i="17" s="1"/>
  <c r="BV253" i="17"/>
  <c r="AY9" i="17"/>
  <c r="BG9" i="17" s="1"/>
  <c r="BO9" i="17"/>
  <c r="BB183" i="17"/>
  <c r="BJ183" i="17" s="1"/>
  <c r="BR183" i="17"/>
  <c r="AY52" i="17"/>
  <c r="BG52" i="17" s="1"/>
  <c r="BO52" i="17"/>
  <c r="BC29" i="17"/>
  <c r="BK29" i="17" s="1"/>
  <c r="BS29" i="17"/>
  <c r="BE285" i="17"/>
  <c r="BM285" i="17" s="1"/>
  <c r="BU285" i="17"/>
  <c r="BD308" i="17"/>
  <c r="BL308" i="17" s="1"/>
  <c r="BT308" i="17"/>
  <c r="BA95" i="17"/>
  <c r="BI95" i="17" s="1"/>
  <c r="BQ95" i="17"/>
  <c r="BB253" i="17"/>
  <c r="BJ253" i="17" s="1"/>
  <c r="BR253" i="17"/>
  <c r="BC318" i="17"/>
  <c r="BK318" i="17" s="1"/>
  <c r="BS318" i="17"/>
  <c r="BC9" i="17"/>
  <c r="BK9" i="17" s="1"/>
  <c r="BS9" i="17"/>
  <c r="BB165" i="17"/>
  <c r="BJ165" i="17" s="1"/>
  <c r="BR165" i="17"/>
  <c r="BB234" i="17"/>
  <c r="BJ234" i="17" s="1"/>
  <c r="BR234" i="17"/>
  <c r="AY297" i="17"/>
  <c r="BG297" i="17" s="1"/>
  <c r="BO297" i="17"/>
  <c r="AZ223" i="17"/>
  <c r="BH223" i="17" s="1"/>
  <c r="BP223" i="17"/>
  <c r="BE7" i="17"/>
  <c r="BM7" i="17" s="1"/>
  <c r="BU7" i="17"/>
  <c r="BF309" i="17"/>
  <c r="BN309" i="17" s="1"/>
  <c r="BV309" i="17"/>
  <c r="BD45" i="17"/>
  <c r="BL45" i="17" s="1"/>
  <c r="BT45" i="17"/>
  <c r="AZ285" i="17"/>
  <c r="BH285" i="17" s="1"/>
  <c r="BP285" i="17"/>
  <c r="AY308" i="17"/>
  <c r="BG308" i="17" s="1"/>
  <c r="BO308" i="17"/>
  <c r="BF95" i="17"/>
  <c r="BN95" i="17" s="1"/>
  <c r="BV95" i="17"/>
  <c r="BD316" i="17"/>
  <c r="BL316" i="17" s="1"/>
  <c r="BT316" i="17"/>
  <c r="BE253" i="17"/>
  <c r="BM253" i="17" s="1"/>
  <c r="BU253" i="17"/>
  <c r="AZ318" i="17"/>
  <c r="BH318" i="17" s="1"/>
  <c r="BP318" i="17"/>
  <c r="BA9" i="17"/>
  <c r="BI9" i="17" s="1"/>
  <c r="BQ9" i="17"/>
  <c r="BD223" i="17"/>
  <c r="BL223" i="17" s="1"/>
  <c r="BT223" i="17"/>
  <c r="BB309" i="17"/>
  <c r="BJ309" i="17" s="1"/>
  <c r="BR309" i="17"/>
  <c r="BD285" i="17"/>
  <c r="BL285" i="17" s="1"/>
  <c r="BT285" i="17"/>
  <c r="BC308" i="17"/>
  <c r="BK308" i="17" s="1"/>
  <c r="AZ95" i="17"/>
  <c r="BH95" i="17" s="1"/>
  <c r="BP95" i="17"/>
  <c r="BA253" i="17"/>
  <c r="BI253" i="17" s="1"/>
  <c r="BQ253" i="17"/>
  <c r="BQ268" i="17"/>
  <c r="BB318" i="17"/>
  <c r="BJ318" i="17" s="1"/>
  <c r="BD9" i="17"/>
  <c r="BL9" i="17" s="1"/>
  <c r="BT9" i="17"/>
  <c r="BD16" i="17"/>
  <c r="BL16" i="17" s="1"/>
  <c r="BT16" i="17"/>
  <c r="AZ297" i="17"/>
  <c r="BH297" i="17" s="1"/>
  <c r="BP297" i="17"/>
  <c r="BD297" i="17"/>
  <c r="BL297" i="17" s="1"/>
  <c r="BT297" i="17"/>
  <c r="BC297" i="17"/>
  <c r="BK297" i="17" s="1"/>
  <c r="BS297" i="17"/>
  <c r="BF297" i="17"/>
  <c r="BN297" i="17" s="1"/>
  <c r="BV297" i="17"/>
  <c r="BE309" i="17"/>
  <c r="BM309" i="17" s="1"/>
  <c r="BU309" i="17"/>
  <c r="BB285" i="17"/>
  <c r="BJ285" i="17" s="1"/>
  <c r="BR285" i="17"/>
  <c r="BF308" i="17"/>
  <c r="BN308" i="17" s="1"/>
  <c r="BV308" i="17"/>
  <c r="BD95" i="17"/>
  <c r="BL95" i="17" s="1"/>
  <c r="BT95" i="17"/>
  <c r="AZ253" i="17"/>
  <c r="BH253" i="17" s="1"/>
  <c r="BP253" i="17"/>
  <c r="BA318" i="17"/>
  <c r="BI318" i="17" s="1"/>
  <c r="BQ318" i="17"/>
  <c r="BB9" i="17"/>
  <c r="BJ9" i="17" s="1"/>
  <c r="BR9" i="17"/>
  <c r="BC309" i="17"/>
  <c r="BK309" i="17" s="1"/>
  <c r="BS309" i="17"/>
  <c r="BB297" i="17"/>
  <c r="BJ297" i="17" s="1"/>
  <c r="BR297" i="17"/>
  <c r="BA309" i="17"/>
  <c r="BI309" i="17" s="1"/>
  <c r="BQ309" i="17"/>
  <c r="AY285" i="17"/>
  <c r="BG285" i="17" s="1"/>
  <c r="BO285" i="17"/>
  <c r="BB308" i="17"/>
  <c r="BJ308" i="17" s="1"/>
  <c r="BR308" i="17"/>
  <c r="AY95" i="17"/>
  <c r="BG95" i="17" s="1"/>
  <c r="BO95" i="17"/>
  <c r="CG19" i="17"/>
  <c r="CM19" i="17" s="1"/>
  <c r="DA19" i="17" s="1"/>
  <c r="DB19" i="17" s="1"/>
  <c r="BD253" i="17"/>
  <c r="BL253" i="17" s="1"/>
  <c r="BT253" i="17"/>
  <c r="AY318" i="17"/>
  <c r="BG318" i="17" s="1"/>
  <c r="BO318" i="17"/>
  <c r="AZ9" i="17"/>
  <c r="BH9" i="17" s="1"/>
  <c r="BP9" i="17"/>
  <c r="BC35" i="17"/>
  <c r="BK35" i="17" s="1"/>
  <c r="BS35" i="17"/>
  <c r="BD7" i="17"/>
  <c r="BL7" i="17" s="1"/>
  <c r="BT7" i="17"/>
  <c r="AY192" i="17"/>
  <c r="BG192" i="17" s="1"/>
  <c r="BO192" i="17"/>
  <c r="BA183" i="17"/>
  <c r="BI183" i="17" s="1"/>
  <c r="BQ183" i="17"/>
  <c r="BE297" i="17"/>
  <c r="BM297" i="17" s="1"/>
  <c r="BU297" i="17"/>
  <c r="BF223" i="17"/>
  <c r="BN223" i="17" s="1"/>
  <c r="BV223" i="17"/>
  <c r="BD309" i="17"/>
  <c r="BL309" i="17" s="1"/>
  <c r="BT309" i="17"/>
  <c r="BB45" i="17"/>
  <c r="BJ45" i="17" s="1"/>
  <c r="BR45" i="17"/>
  <c r="BD46" i="17"/>
  <c r="BL46" i="17" s="1"/>
  <c r="BT46" i="17"/>
  <c r="BC285" i="17"/>
  <c r="BK285" i="17" s="1"/>
  <c r="BS285" i="17"/>
  <c r="BA308" i="17"/>
  <c r="BI308" i="17" s="1"/>
  <c r="BQ308" i="17"/>
  <c r="BE95" i="17"/>
  <c r="BM95" i="17" s="1"/>
  <c r="BU95" i="17"/>
  <c r="AY253" i="17"/>
  <c r="BG253" i="17" s="1"/>
  <c r="BO253" i="17"/>
  <c r="BF318" i="17"/>
  <c r="BN318" i="17" s="1"/>
  <c r="BV318" i="17"/>
  <c r="BE9" i="17"/>
  <c r="BM9" i="17" s="1"/>
  <c r="BU9" i="17"/>
  <c r="BF29" i="17"/>
  <c r="BN29" i="17" s="1"/>
  <c r="BV29" i="17"/>
  <c r="BA297" i="17"/>
  <c r="BI297" i="17" s="1"/>
  <c r="BQ297" i="17"/>
  <c r="AZ309" i="17"/>
  <c r="BH309" i="17" s="1"/>
  <c r="BP309" i="17"/>
  <c r="BF285" i="17"/>
  <c r="BN285" i="17" s="1"/>
  <c r="BV285" i="17"/>
  <c r="BE308" i="17"/>
  <c r="BM308" i="17" s="1"/>
  <c r="BU308" i="17"/>
  <c r="BB95" i="17"/>
  <c r="BJ95" i="17" s="1"/>
  <c r="BR95" i="17"/>
  <c r="CF19" i="17"/>
  <c r="CL19" i="17" s="1"/>
  <c r="CY19" i="17" s="1"/>
  <c r="CZ19" i="17" s="1"/>
  <c r="BC253" i="17"/>
  <c r="BK253" i="17" s="1"/>
  <c r="BS253" i="17"/>
  <c r="AZ99" i="17"/>
  <c r="BH99" i="17" s="1"/>
  <c r="BP99" i="17"/>
  <c r="BF9" i="17"/>
  <c r="BN9" i="17" s="1"/>
  <c r="BV9" i="17"/>
  <c r="AZ29" i="17"/>
  <c r="BH29" i="17" s="1"/>
  <c r="BP29" i="17"/>
  <c r="AY268" i="17"/>
  <c r="BG268" i="17" s="1"/>
  <c r="BO268" i="17"/>
  <c r="CG289" i="17"/>
  <c r="CM289" i="17" s="1"/>
  <c r="DA289" i="17" s="1"/>
  <c r="DB289" i="17" s="1"/>
  <c r="N203" i="17"/>
  <c r="BR203" i="17" s="1"/>
  <c r="L307" i="17"/>
  <c r="BP307" i="17" s="1"/>
  <c r="N258" i="17"/>
  <c r="BR258" i="17" s="1"/>
  <c r="M6" i="17"/>
  <c r="BA6" i="17" s="1"/>
  <c r="BI6" i="17" s="1"/>
  <c r="Q266" i="17"/>
  <c r="BU266" i="17" s="1"/>
  <c r="N257" i="17"/>
  <c r="BR257" i="17" s="1"/>
  <c r="P53" i="17"/>
  <c r="BT53" i="17" s="1"/>
  <c r="N293" i="17"/>
  <c r="BR293" i="17" s="1"/>
  <c r="P200" i="17"/>
  <c r="BT200" i="17" s="1"/>
  <c r="R270" i="17"/>
  <c r="BV270" i="17" s="1"/>
  <c r="R317" i="17"/>
  <c r="BV317" i="17" s="1"/>
  <c r="P101" i="17"/>
  <c r="BT101" i="17" s="1"/>
  <c r="R230" i="17"/>
  <c r="BV230" i="17" s="1"/>
  <c r="M203" i="17"/>
  <c r="BQ203" i="17" s="1"/>
  <c r="O307" i="17"/>
  <c r="BS307" i="17" s="1"/>
  <c r="CI307" i="17" s="1"/>
  <c r="CO307" i="17" s="1"/>
  <c r="DE307" i="17" s="1"/>
  <c r="DF307" i="17" s="1"/>
  <c r="R258" i="17"/>
  <c r="BV258" i="17" s="1"/>
  <c r="R6" i="17"/>
  <c r="BV6" i="17" s="1"/>
  <c r="M266" i="17"/>
  <c r="BQ266" i="17" s="1"/>
  <c r="Q257" i="17"/>
  <c r="BE257" i="17" s="1"/>
  <c r="BM257" i="17" s="1"/>
  <c r="L53" i="17"/>
  <c r="BP53" i="17" s="1"/>
  <c r="Q293" i="17"/>
  <c r="BU293" i="17" s="1"/>
  <c r="N64" i="17"/>
  <c r="BR64" i="17" s="1"/>
  <c r="N270" i="17"/>
  <c r="BR270" i="17" s="1"/>
  <c r="K317" i="17"/>
  <c r="BO317" i="17" s="1"/>
  <c r="O101" i="17"/>
  <c r="BS101" i="17" s="1"/>
  <c r="L230" i="17"/>
  <c r="BP230" i="17" s="1"/>
  <c r="O75" i="17"/>
  <c r="BS75" i="17" s="1"/>
  <c r="P203" i="17"/>
  <c r="BT203" i="17" s="1"/>
  <c r="K307" i="17"/>
  <c r="BO307" i="17" s="1"/>
  <c r="M258" i="17"/>
  <c r="BQ258" i="17" s="1"/>
  <c r="P6" i="17"/>
  <c r="BT6" i="17" s="1"/>
  <c r="L266" i="17"/>
  <c r="BP266" i="17" s="1"/>
  <c r="M257" i="17"/>
  <c r="BQ257" i="17" s="1"/>
  <c r="Q53" i="17"/>
  <c r="BU53" i="17" s="1"/>
  <c r="M293" i="17"/>
  <c r="BQ293" i="17" s="1"/>
  <c r="Q71" i="17"/>
  <c r="BU71" i="17" s="1"/>
  <c r="M64" i="17"/>
  <c r="BQ64" i="17" s="1"/>
  <c r="P270" i="17"/>
  <c r="BT270" i="17" s="1"/>
  <c r="O203" i="17"/>
  <c r="BS203" i="17" s="1"/>
  <c r="N307" i="17"/>
  <c r="BR307" i="17" s="1"/>
  <c r="Q258" i="17"/>
  <c r="BU258" i="17" s="1"/>
  <c r="L6" i="17"/>
  <c r="P266" i="17"/>
  <c r="BT266" i="17" s="1"/>
  <c r="P257" i="17"/>
  <c r="BT257" i="17" s="1"/>
  <c r="K53" i="17"/>
  <c r="P293" i="17"/>
  <c r="BT293" i="17" s="1"/>
  <c r="P64" i="17"/>
  <c r="BT64" i="17" s="1"/>
  <c r="M270" i="17"/>
  <c r="R203" i="17"/>
  <c r="BV203" i="17" s="1"/>
  <c r="R307" i="17"/>
  <c r="BV307" i="17" s="1"/>
  <c r="CJ307" i="17" s="1"/>
  <c r="CP307" i="17" s="1"/>
  <c r="DG307" i="17" s="1"/>
  <c r="DH307" i="17" s="1"/>
  <c r="P258" i="17"/>
  <c r="BT258" i="17" s="1"/>
  <c r="K6" i="17"/>
  <c r="BO6" i="17" s="1"/>
  <c r="K266" i="17"/>
  <c r="BO266" i="17" s="1"/>
  <c r="L257" i="17"/>
  <c r="BP257" i="17" s="1"/>
  <c r="R53" i="17"/>
  <c r="BV53" i="17" s="1"/>
  <c r="L293" i="17"/>
  <c r="BP293" i="17" s="1"/>
  <c r="N200" i="17"/>
  <c r="BR200" i="17" s="1"/>
  <c r="L64" i="17"/>
  <c r="BP64" i="17" s="1"/>
  <c r="Q270" i="17"/>
  <c r="BU270" i="17" s="1"/>
  <c r="R31" i="17"/>
  <c r="BV31" i="17" s="1"/>
  <c r="L203" i="17"/>
  <c r="BP203" i="17" s="1"/>
  <c r="M307" i="17"/>
  <c r="BQ307" i="17" s="1"/>
  <c r="L258" i="17"/>
  <c r="BP258" i="17" s="1"/>
  <c r="Q6" i="17"/>
  <c r="BU6" i="17" s="1"/>
  <c r="O266" i="17"/>
  <c r="BC266" i="17" s="1"/>
  <c r="BK266" i="17" s="1"/>
  <c r="K257" i="17"/>
  <c r="BO257" i="17" s="1"/>
  <c r="N53" i="17"/>
  <c r="BR53" i="17" s="1"/>
  <c r="CG53" i="17" s="1"/>
  <c r="CM53" i="17" s="1"/>
  <c r="DA53" i="17" s="1"/>
  <c r="DB53" i="17" s="1"/>
  <c r="O293" i="17"/>
  <c r="BC293" i="17" s="1"/>
  <c r="BK293" i="17" s="1"/>
  <c r="M200" i="17"/>
  <c r="K270" i="17"/>
  <c r="BO270" i="17" s="1"/>
  <c r="R50" i="17"/>
  <c r="BV50" i="17" s="1"/>
  <c r="L66" i="17"/>
  <c r="BP66" i="17" s="1"/>
  <c r="R200" i="17"/>
  <c r="BV200" i="17" s="1"/>
  <c r="M50" i="17"/>
  <c r="BQ50" i="17" s="1"/>
  <c r="CE132" i="17"/>
  <c r="CK132" i="17" s="1"/>
  <c r="CW132" i="17" s="1"/>
  <c r="CX132" i="17" s="1"/>
  <c r="CF190" i="17"/>
  <c r="CL190" i="17" s="1"/>
  <c r="CY190" i="17" s="1"/>
  <c r="CZ190" i="17" s="1"/>
  <c r="CG120" i="17"/>
  <c r="CM120" i="17" s="1"/>
  <c r="DA120" i="17" s="1"/>
  <c r="DB120" i="17" s="1"/>
  <c r="CE296" i="17"/>
  <c r="CK296" i="17" s="1"/>
  <c r="CW296" i="17" s="1"/>
  <c r="CX296" i="17" s="1"/>
  <c r="CF127" i="17"/>
  <c r="CL127" i="17" s="1"/>
  <c r="CY127" i="17" s="1"/>
  <c r="CZ127" i="17" s="1"/>
  <c r="CF8" i="17"/>
  <c r="CL8" i="17" s="1"/>
  <c r="CY8" i="17" s="1"/>
  <c r="CZ8" i="17" s="1"/>
  <c r="CG314" i="17"/>
  <c r="CM314" i="17" s="1"/>
  <c r="DA314" i="17" s="1"/>
  <c r="DB314" i="17" s="1"/>
  <c r="CF238" i="17"/>
  <c r="CL238" i="17" s="1"/>
  <c r="CY238" i="17" s="1"/>
  <c r="CZ238" i="17" s="1"/>
  <c r="CE116" i="17"/>
  <c r="CK116" i="17" s="1"/>
  <c r="CW116" i="17" s="1"/>
  <c r="CX116" i="17" s="1"/>
  <c r="CE239" i="17"/>
  <c r="CK239" i="17" s="1"/>
  <c r="CW239" i="17" s="1"/>
  <c r="CX239" i="17" s="1"/>
  <c r="CE146" i="17"/>
  <c r="CK146" i="17" s="1"/>
  <c r="CW146" i="17" s="1"/>
  <c r="CX146" i="17" s="1"/>
  <c r="L278" i="17"/>
  <c r="BP278" i="17" s="1"/>
  <c r="P215" i="17"/>
  <c r="BT215" i="17" s="1"/>
  <c r="O214" i="17"/>
  <c r="BS214" i="17" s="1"/>
  <c r="CE100" i="17"/>
  <c r="CK100" i="17" s="1"/>
  <c r="CW100" i="17" s="1"/>
  <c r="CX100" i="17" s="1"/>
  <c r="CG281" i="17"/>
  <c r="CM281" i="17" s="1"/>
  <c r="DA281" i="17" s="1"/>
  <c r="DB281" i="17" s="1"/>
  <c r="K245" i="17"/>
  <c r="BO245" i="17" s="1"/>
  <c r="CG117" i="17"/>
  <c r="CM117" i="17" s="1"/>
  <c r="DA117" i="17" s="1"/>
  <c r="DB117" i="17" s="1"/>
  <c r="Q295" i="17"/>
  <c r="BU295" i="17" s="1"/>
  <c r="R222" i="17"/>
  <c r="BV222" i="17" s="1"/>
  <c r="CE195" i="17"/>
  <c r="CK195" i="17" s="1"/>
  <c r="CW195" i="17" s="1"/>
  <c r="CX195" i="17" s="1"/>
  <c r="CE82" i="17"/>
  <c r="CK82" i="17" s="1"/>
  <c r="CW82" i="17" s="1"/>
  <c r="CX82" i="17" s="1"/>
  <c r="O276" i="17"/>
  <c r="BS276" i="17" s="1"/>
  <c r="CG291" i="17"/>
  <c r="CM291" i="17" s="1"/>
  <c r="DA291" i="17" s="1"/>
  <c r="DB291" i="17" s="1"/>
  <c r="CG65" i="17"/>
  <c r="CM65" i="17" s="1"/>
  <c r="DA65" i="17" s="1"/>
  <c r="DB65" i="17" s="1"/>
  <c r="CE287" i="17"/>
  <c r="CK287" i="17" s="1"/>
  <c r="CW287" i="17" s="1"/>
  <c r="CX287" i="17" s="1"/>
  <c r="L298" i="17"/>
  <c r="BP298" i="17" s="1"/>
  <c r="Q113" i="17"/>
  <c r="BU113" i="17" s="1"/>
  <c r="CG180" i="17"/>
  <c r="CM180" i="17" s="1"/>
  <c r="DA180" i="17" s="1"/>
  <c r="DB180" i="17" s="1"/>
  <c r="CG202" i="17"/>
  <c r="CM202" i="17" s="1"/>
  <c r="DA202" i="17" s="1"/>
  <c r="DB202" i="17" s="1"/>
  <c r="P278" i="17"/>
  <c r="BT278" i="17" s="1"/>
  <c r="K215" i="17"/>
  <c r="BO215" i="17" s="1"/>
  <c r="K214" i="17"/>
  <c r="BO214" i="17" s="1"/>
  <c r="O245" i="17"/>
  <c r="BS245" i="17" s="1"/>
  <c r="M295" i="17"/>
  <c r="BQ295" i="17" s="1"/>
  <c r="N222" i="17"/>
  <c r="BR222" i="17" s="1"/>
  <c r="Q234" i="17"/>
  <c r="K276" i="17"/>
  <c r="BO276" i="17" s="1"/>
  <c r="K298" i="17"/>
  <c r="BO298" i="17" s="1"/>
  <c r="K278" i="17"/>
  <c r="BO278" i="17" s="1"/>
  <c r="O215" i="17"/>
  <c r="BS215" i="17" s="1"/>
  <c r="N214" i="17"/>
  <c r="R245" i="17"/>
  <c r="BV245" i="17" s="1"/>
  <c r="P295" i="17"/>
  <c r="BT295" i="17" s="1"/>
  <c r="Q222" i="17"/>
  <c r="BU222" i="17" s="1"/>
  <c r="R276" i="17"/>
  <c r="BF276" i="17" s="1"/>
  <c r="BN276" i="17" s="1"/>
  <c r="O115" i="17"/>
  <c r="BS115" i="17" s="1"/>
  <c r="N245" i="17"/>
  <c r="BR245" i="17" s="1"/>
  <c r="L295" i="17"/>
  <c r="BP295" i="17" s="1"/>
  <c r="M222" i="17"/>
  <c r="BQ222" i="17" s="1"/>
  <c r="CG108" i="17"/>
  <c r="CM108" i="17" s="1"/>
  <c r="DA108" i="17" s="1"/>
  <c r="DB108" i="17" s="1"/>
  <c r="N276" i="17"/>
  <c r="BR276" i="17" s="1"/>
  <c r="Q172" i="17"/>
  <c r="BU172" i="17" s="1"/>
  <c r="N158" i="17"/>
  <c r="BR158" i="17" s="1"/>
  <c r="CE122" i="17"/>
  <c r="CK122" i="17" s="1"/>
  <c r="CW122" i="17" s="1"/>
  <c r="CX122" i="17" s="1"/>
  <c r="CF74" i="17"/>
  <c r="CL74" i="17" s="1"/>
  <c r="CY74" i="17" s="1"/>
  <c r="CZ74" i="17" s="1"/>
  <c r="CF164" i="17"/>
  <c r="CL164" i="17" s="1"/>
  <c r="CY164" i="17" s="1"/>
  <c r="CZ164" i="17" s="1"/>
  <c r="N278" i="17"/>
  <c r="BR278" i="17" s="1"/>
  <c r="CE26" i="17"/>
  <c r="CK26" i="17" s="1"/>
  <c r="CW26" i="17" s="1"/>
  <c r="CX26" i="17" s="1"/>
  <c r="N215" i="17"/>
  <c r="BB215" i="17" s="1"/>
  <c r="BJ215" i="17" s="1"/>
  <c r="Q214" i="17"/>
  <c r="BU214" i="17" s="1"/>
  <c r="CF14" i="17"/>
  <c r="CL14" i="17" s="1"/>
  <c r="CY14" i="17" s="1"/>
  <c r="Q245" i="17"/>
  <c r="BU245" i="17" s="1"/>
  <c r="O295" i="17"/>
  <c r="BS295" i="17" s="1"/>
  <c r="P222" i="17"/>
  <c r="BT222" i="17" s="1"/>
  <c r="Q276" i="17"/>
  <c r="BU276" i="17" s="1"/>
  <c r="CE22" i="17"/>
  <c r="CK22" i="17" s="1"/>
  <c r="CW22" i="17" s="1"/>
  <c r="CX22" i="17" s="1"/>
  <c r="M109" i="17"/>
  <c r="BQ109" i="17" s="1"/>
  <c r="CF18" i="17"/>
  <c r="CL18" i="17" s="1"/>
  <c r="CY18" i="17" s="1"/>
  <c r="CZ18" i="17" s="1"/>
  <c r="CG153" i="17"/>
  <c r="CM153" i="17" s="1"/>
  <c r="DA153" i="17" s="1"/>
  <c r="DB153" i="17" s="1"/>
  <c r="CE202" i="17"/>
  <c r="CK202" i="17" s="1"/>
  <c r="CW202" i="17" s="1"/>
  <c r="CX202" i="17" s="1"/>
  <c r="M245" i="17"/>
  <c r="BQ245" i="17" s="1"/>
  <c r="K295" i="17"/>
  <c r="BO295" i="17" s="1"/>
  <c r="L222" i="17"/>
  <c r="M276" i="17"/>
  <c r="BA276" i="17" s="1"/>
  <c r="BI276" i="17" s="1"/>
  <c r="CG201" i="17"/>
  <c r="CM201" i="17" s="1"/>
  <c r="DA201" i="17" s="1"/>
  <c r="DB201" i="17" s="1"/>
  <c r="CF195" i="17"/>
  <c r="CL195" i="17" s="1"/>
  <c r="CY195" i="17" s="1"/>
  <c r="CZ195" i="17" s="1"/>
  <c r="CF305" i="17"/>
  <c r="CL305" i="17" s="1"/>
  <c r="CY305" i="17" s="1"/>
  <c r="CZ305" i="17" s="1"/>
  <c r="CG82" i="17"/>
  <c r="CM82" i="17" s="1"/>
  <c r="DA82" i="17" s="1"/>
  <c r="DB82" i="17" s="1"/>
  <c r="CF38" i="17"/>
  <c r="CL38" i="17" s="1"/>
  <c r="CY38" i="17" s="1"/>
  <c r="CZ38" i="17" s="1"/>
  <c r="CE182" i="17"/>
  <c r="CK182" i="17" s="1"/>
  <c r="CW182" i="17" s="1"/>
  <c r="CX182" i="17" s="1"/>
  <c r="CF175" i="17"/>
  <c r="CL175" i="17" s="1"/>
  <c r="CY175" i="17" s="1"/>
  <c r="CZ175" i="17" s="1"/>
  <c r="CF94" i="17"/>
  <c r="CL94" i="17" s="1"/>
  <c r="CY94" i="17" s="1"/>
  <c r="CZ94" i="17" s="1"/>
  <c r="CE37" i="17"/>
  <c r="CK37" i="17" s="1"/>
  <c r="CW37" i="17" s="1"/>
  <c r="CX37" i="17" s="1"/>
  <c r="CE83" i="17"/>
  <c r="CK83" i="17" s="1"/>
  <c r="CW83" i="17" s="1"/>
  <c r="CX83" i="17" s="1"/>
  <c r="CF248" i="17"/>
  <c r="CL248" i="17" s="1"/>
  <c r="CY248" i="17" s="1"/>
  <c r="CZ248" i="17" s="1"/>
  <c r="CE201" i="17"/>
  <c r="CK201" i="17" s="1"/>
  <c r="CW201" i="17" s="1"/>
  <c r="CX201" i="17" s="1"/>
  <c r="CG243" i="17"/>
  <c r="CM243" i="17" s="1"/>
  <c r="DA243" i="17" s="1"/>
  <c r="DB243" i="17" s="1"/>
  <c r="CF312" i="17"/>
  <c r="CL312" i="17" s="1"/>
  <c r="CY312" i="17" s="1"/>
  <c r="CZ312" i="17" s="1"/>
  <c r="CF146" i="17"/>
  <c r="CL146" i="17" s="1"/>
  <c r="CY146" i="17" s="1"/>
  <c r="CZ146" i="17" s="1"/>
  <c r="CE157" i="17"/>
  <c r="CK157" i="17" s="1"/>
  <c r="CW157" i="17" s="1"/>
  <c r="CX157" i="17" s="1"/>
  <c r="CF26" i="17"/>
  <c r="CL26" i="17" s="1"/>
  <c r="CY26" i="17" s="1"/>
  <c r="CZ26" i="17" s="1"/>
  <c r="CG186" i="17"/>
  <c r="CM186" i="17" s="1"/>
  <c r="DA186" i="17" s="1"/>
  <c r="DB186" i="17" s="1"/>
  <c r="CG15" i="17"/>
  <c r="CM15" i="17" s="1"/>
  <c r="DA15" i="17" s="1"/>
  <c r="DB15" i="17" s="1"/>
  <c r="CE89" i="17"/>
  <c r="CK89" i="17" s="1"/>
  <c r="CW89" i="17" s="1"/>
  <c r="CX89" i="17" s="1"/>
  <c r="CF170" i="17"/>
  <c r="CL170" i="17" s="1"/>
  <c r="CY170" i="17" s="1"/>
  <c r="CZ170" i="17" s="1"/>
  <c r="CE138" i="17"/>
  <c r="CK138" i="17" s="1"/>
  <c r="CW138" i="17" s="1"/>
  <c r="CX138" i="17" s="1"/>
  <c r="CG287" i="17"/>
  <c r="CM287" i="17" s="1"/>
  <c r="DA287" i="17" s="1"/>
  <c r="DB287" i="17" s="1"/>
  <c r="CG306" i="17"/>
  <c r="CM306" i="17" s="1"/>
  <c r="DA306" i="17" s="1"/>
  <c r="DB306" i="17" s="1"/>
  <c r="CF288" i="17"/>
  <c r="CL288" i="17" s="1"/>
  <c r="CY288" i="17" s="1"/>
  <c r="CZ288" i="17" s="1"/>
  <c r="CG116" i="17"/>
  <c r="CM116" i="17" s="1"/>
  <c r="DA116" i="17" s="1"/>
  <c r="DB116" i="17" s="1"/>
  <c r="CG239" i="17"/>
  <c r="CM239" i="17" s="1"/>
  <c r="DA239" i="17" s="1"/>
  <c r="DB239" i="17" s="1"/>
  <c r="CE312" i="17"/>
  <c r="CK312" i="17" s="1"/>
  <c r="CW312" i="17" s="1"/>
  <c r="CX312" i="17" s="1"/>
  <c r="CE286" i="17"/>
  <c r="CK286" i="17" s="1"/>
  <c r="CW286" i="17" s="1"/>
  <c r="CX286" i="17" s="1"/>
  <c r="CF15" i="17"/>
  <c r="CL15" i="17" s="1"/>
  <c r="CY15" i="17" s="1"/>
  <c r="CZ15" i="17" s="1"/>
  <c r="CE178" i="17"/>
  <c r="CK178" i="17" s="1"/>
  <c r="CW178" i="17" s="1"/>
  <c r="CX178" i="17" s="1"/>
  <c r="CF256" i="17"/>
  <c r="CL256" i="17" s="1"/>
  <c r="CY256" i="17" s="1"/>
  <c r="CZ256" i="17" s="1"/>
  <c r="CG156" i="17"/>
  <c r="CM156" i="17" s="1"/>
  <c r="DA156" i="17" s="1"/>
  <c r="DB156" i="17" s="1"/>
  <c r="CG83" i="17"/>
  <c r="CM83" i="17" s="1"/>
  <c r="DA83" i="17" s="1"/>
  <c r="DB83" i="17" s="1"/>
  <c r="CF221" i="17"/>
  <c r="CL221" i="17" s="1"/>
  <c r="CY221" i="17" s="1"/>
  <c r="CZ221" i="17" s="1"/>
  <c r="CG87" i="17"/>
  <c r="CM87" i="17" s="1"/>
  <c r="DA87" i="17" s="1"/>
  <c r="DB87" i="17" s="1"/>
  <c r="CE79" i="17"/>
  <c r="CK79" i="17" s="1"/>
  <c r="CW79" i="17" s="1"/>
  <c r="CX79" i="17" s="1"/>
  <c r="CF272" i="17"/>
  <c r="CL272" i="17" s="1"/>
  <c r="CY272" i="17" s="1"/>
  <c r="CZ272" i="17" s="1"/>
  <c r="CF33" i="17"/>
  <c r="CL33" i="17" s="1"/>
  <c r="CY33" i="17" s="1"/>
  <c r="CZ33" i="17" s="1"/>
  <c r="CE254" i="17"/>
  <c r="CK254" i="17" s="1"/>
  <c r="CW254" i="17" s="1"/>
  <c r="CX254" i="17" s="1"/>
  <c r="CF287" i="17"/>
  <c r="CL287" i="17" s="1"/>
  <c r="CY287" i="17" s="1"/>
  <c r="CZ287" i="17" s="1"/>
  <c r="CE23" i="17"/>
  <c r="CK23" i="17" s="1"/>
  <c r="CW23" i="17" s="1"/>
  <c r="CX23" i="17" s="1"/>
  <c r="CG122" i="17"/>
  <c r="CM122" i="17" s="1"/>
  <c r="DA122" i="17" s="1"/>
  <c r="DB122" i="17" s="1"/>
  <c r="CG244" i="17"/>
  <c r="CM244" i="17" s="1"/>
  <c r="DA244" i="17" s="1"/>
  <c r="DB244" i="17" s="1"/>
  <c r="CF56" i="17"/>
  <c r="CL56" i="17" s="1"/>
  <c r="CY56" i="17" s="1"/>
  <c r="CZ56" i="17" s="1"/>
  <c r="CF185" i="17"/>
  <c r="CL185" i="17" s="1"/>
  <c r="CY185" i="17" s="1"/>
  <c r="CZ185" i="17" s="1"/>
  <c r="CG248" i="17"/>
  <c r="CM248" i="17" s="1"/>
  <c r="DA248" i="17" s="1"/>
  <c r="DB248" i="17" s="1"/>
  <c r="CF201" i="17"/>
  <c r="CL201" i="17" s="1"/>
  <c r="CY201" i="17" s="1"/>
  <c r="CZ201" i="17" s="1"/>
  <c r="CG312" i="17"/>
  <c r="CM312" i="17" s="1"/>
  <c r="DA312" i="17" s="1"/>
  <c r="DB312" i="17" s="1"/>
  <c r="CE221" i="17"/>
  <c r="CK221" i="17" s="1"/>
  <c r="CW221" i="17" s="1"/>
  <c r="CX221" i="17" s="1"/>
  <c r="CF89" i="17"/>
  <c r="CL89" i="17" s="1"/>
  <c r="CY89" i="17" s="1"/>
  <c r="CZ89" i="17" s="1"/>
  <c r="CG170" i="17"/>
  <c r="CM170" i="17" s="1"/>
  <c r="DA170" i="17" s="1"/>
  <c r="DB170" i="17" s="1"/>
  <c r="CE148" i="17"/>
  <c r="CK148" i="17" s="1"/>
  <c r="CW148" i="17" s="1"/>
  <c r="CX148" i="17" s="1"/>
  <c r="CE299" i="17"/>
  <c r="CK299" i="17" s="1"/>
  <c r="CW299" i="17" s="1"/>
  <c r="CX299" i="17" s="1"/>
  <c r="CG178" i="17"/>
  <c r="CM178" i="17" s="1"/>
  <c r="DA178" i="17" s="1"/>
  <c r="DB178" i="17" s="1"/>
  <c r="CF138" i="17"/>
  <c r="CL138" i="17" s="1"/>
  <c r="CY138" i="17" s="1"/>
  <c r="CZ138" i="17" s="1"/>
  <c r="CG300" i="17"/>
  <c r="CM300" i="17" s="1"/>
  <c r="DA300" i="17" s="1"/>
  <c r="DB300" i="17" s="1"/>
  <c r="CG42" i="17"/>
  <c r="CM42" i="17" s="1"/>
  <c r="DA42" i="17" s="1"/>
  <c r="DB42" i="17" s="1"/>
  <c r="CG104" i="17"/>
  <c r="CM104" i="17" s="1"/>
  <c r="DA104" i="17" s="1"/>
  <c r="DB104" i="17" s="1"/>
  <c r="CG167" i="17"/>
  <c r="CM167" i="17" s="1"/>
  <c r="DA167" i="17" s="1"/>
  <c r="DB167" i="17" s="1"/>
  <c r="CG216" i="17"/>
  <c r="CM216" i="17" s="1"/>
  <c r="DA216" i="17" s="1"/>
  <c r="DB216" i="17" s="1"/>
  <c r="CE272" i="17"/>
  <c r="CK272" i="17" s="1"/>
  <c r="CW272" i="17" s="1"/>
  <c r="CX272" i="17" s="1"/>
  <c r="CF37" i="17"/>
  <c r="CL37" i="17" s="1"/>
  <c r="CY37" i="17" s="1"/>
  <c r="CZ37" i="17" s="1"/>
  <c r="CF289" i="17"/>
  <c r="CL289" i="17" s="1"/>
  <c r="CY289" i="17" s="1"/>
  <c r="CZ289" i="17" s="1"/>
  <c r="CF83" i="17"/>
  <c r="CL83" i="17" s="1"/>
  <c r="CY83" i="17" s="1"/>
  <c r="CZ83" i="17" s="1"/>
  <c r="CF122" i="17"/>
  <c r="CL122" i="17" s="1"/>
  <c r="CY122" i="17" s="1"/>
  <c r="CZ122" i="17" s="1"/>
  <c r="CE8" i="17"/>
  <c r="CK8" i="17" s="1"/>
  <c r="CW8" i="17" s="1"/>
  <c r="CX8" i="17" s="1"/>
  <c r="CF314" i="17"/>
  <c r="CL314" i="17" s="1"/>
  <c r="CY314" i="17" s="1"/>
  <c r="CZ314" i="17" s="1"/>
  <c r="CE238" i="17"/>
  <c r="CK238" i="17" s="1"/>
  <c r="CW238" i="17" s="1"/>
  <c r="CX238" i="17" s="1"/>
  <c r="CG74" i="17"/>
  <c r="CM74" i="17" s="1"/>
  <c r="DA74" i="17" s="1"/>
  <c r="DB74" i="17" s="1"/>
  <c r="CG26" i="17"/>
  <c r="CM26" i="17" s="1"/>
  <c r="DA26" i="17" s="1"/>
  <c r="DB26" i="17" s="1"/>
  <c r="CF281" i="17"/>
  <c r="CL281" i="17" s="1"/>
  <c r="CY281" i="17" s="1"/>
  <c r="CZ281" i="17" s="1"/>
  <c r="CG177" i="17"/>
  <c r="CM177" i="17" s="1"/>
  <c r="DA177" i="17" s="1"/>
  <c r="DB177" i="17" s="1"/>
  <c r="CF117" i="17"/>
  <c r="CL117" i="17" s="1"/>
  <c r="CY117" i="17" s="1"/>
  <c r="CZ117" i="17" s="1"/>
  <c r="CG267" i="17"/>
  <c r="CM267" i="17" s="1"/>
  <c r="DA267" i="17" s="1"/>
  <c r="DB267" i="17" s="1"/>
  <c r="CG260" i="17"/>
  <c r="CM260" i="17" s="1"/>
  <c r="DA260" i="17" s="1"/>
  <c r="DB260" i="17" s="1"/>
  <c r="CF178" i="17"/>
  <c r="CL178" i="17" s="1"/>
  <c r="CY178" i="17" s="1"/>
  <c r="CZ178" i="17" s="1"/>
  <c r="CG60" i="17"/>
  <c r="CM60" i="17" s="1"/>
  <c r="DA60" i="17" s="1"/>
  <c r="DB60" i="17" s="1"/>
  <c r="CF300" i="17"/>
  <c r="CL300" i="17" s="1"/>
  <c r="CY300" i="17" s="1"/>
  <c r="CZ300" i="17" s="1"/>
  <c r="CG240" i="17"/>
  <c r="CM240" i="17" s="1"/>
  <c r="DA240" i="17" s="1"/>
  <c r="DB240" i="17" s="1"/>
  <c r="CG256" i="17"/>
  <c r="CM256" i="17" s="1"/>
  <c r="DA256" i="17" s="1"/>
  <c r="DB256" i="17" s="1"/>
  <c r="CF65" i="17"/>
  <c r="CL65" i="17" s="1"/>
  <c r="CY65" i="17" s="1"/>
  <c r="CZ65" i="17" s="1"/>
  <c r="CG152" i="17"/>
  <c r="CM152" i="17" s="1"/>
  <c r="DA152" i="17" s="1"/>
  <c r="DB152" i="17" s="1"/>
  <c r="CG23" i="17"/>
  <c r="CM23" i="17" s="1"/>
  <c r="DA23" i="17" s="1"/>
  <c r="DB23" i="17" s="1"/>
  <c r="CG18" i="17"/>
  <c r="CM18" i="17" s="1"/>
  <c r="DA18" i="17" s="1"/>
  <c r="DB18" i="17" s="1"/>
  <c r="CF294" i="17"/>
  <c r="CL294" i="17" s="1"/>
  <c r="CY294" i="17" s="1"/>
  <c r="CZ294" i="17" s="1"/>
  <c r="CF180" i="17"/>
  <c r="CL180" i="17" s="1"/>
  <c r="CY180" i="17" s="1"/>
  <c r="CZ180" i="17" s="1"/>
  <c r="CE289" i="17"/>
  <c r="CK289" i="17" s="1"/>
  <c r="CW289" i="17" s="1"/>
  <c r="CX289" i="17" s="1"/>
  <c r="CF244" i="17"/>
  <c r="CL244" i="17" s="1"/>
  <c r="CY244" i="17" s="1"/>
  <c r="CZ244" i="17" s="1"/>
  <c r="CE56" i="17"/>
  <c r="CK56" i="17" s="1"/>
  <c r="CW56" i="17" s="1"/>
  <c r="CX56" i="17" s="1"/>
  <c r="CE185" i="17"/>
  <c r="CK185" i="17" s="1"/>
  <c r="CW185" i="17" s="1"/>
  <c r="CX185" i="17" s="1"/>
  <c r="CF202" i="17"/>
  <c r="CL202" i="17" s="1"/>
  <c r="CY202" i="17" s="1"/>
  <c r="CZ202" i="17" s="1"/>
  <c r="CG14" i="17"/>
  <c r="CM14" i="17" s="1"/>
  <c r="DA14" i="17" s="1"/>
  <c r="DB14" i="17" s="1"/>
  <c r="CF301" i="17"/>
  <c r="CL301" i="17" s="1"/>
  <c r="CY301" i="17" s="1"/>
  <c r="CZ301" i="17" s="1"/>
  <c r="CF120" i="17"/>
  <c r="CL120" i="17" s="1"/>
  <c r="CY120" i="17" s="1"/>
  <c r="CZ120" i="17" s="1"/>
  <c r="CG79" i="17"/>
  <c r="CM79" i="17" s="1"/>
  <c r="DA79" i="17" s="1"/>
  <c r="DB79" i="17" s="1"/>
  <c r="CF60" i="17"/>
  <c r="CL60" i="17" s="1"/>
  <c r="CY60" i="17" s="1"/>
  <c r="CZ60" i="17" s="1"/>
  <c r="CG254" i="17"/>
  <c r="CM254" i="17" s="1"/>
  <c r="DA254" i="17" s="1"/>
  <c r="DB254" i="17" s="1"/>
  <c r="CE180" i="17"/>
  <c r="CK180" i="17" s="1"/>
  <c r="CW180" i="17" s="1"/>
  <c r="CX180" i="17" s="1"/>
  <c r="CG8" i="17"/>
  <c r="CM8" i="17" s="1"/>
  <c r="DA8" i="17" s="1"/>
  <c r="DB8" i="17" s="1"/>
  <c r="CE314" i="17"/>
  <c r="CK314" i="17" s="1"/>
  <c r="CW314" i="17" s="1"/>
  <c r="CX314" i="17" s="1"/>
  <c r="CG49" i="17"/>
  <c r="CM49" i="17" s="1"/>
  <c r="DA49" i="17" s="1"/>
  <c r="DB49" i="17" s="1"/>
  <c r="CG148" i="17"/>
  <c r="CM148" i="17" s="1"/>
  <c r="DA148" i="17" s="1"/>
  <c r="DB148" i="17" s="1"/>
  <c r="CF260" i="17"/>
  <c r="CL260" i="17" s="1"/>
  <c r="CY260" i="17" s="1"/>
  <c r="CZ260" i="17" s="1"/>
  <c r="CG299" i="17"/>
  <c r="CM299" i="17" s="1"/>
  <c r="DA299" i="17" s="1"/>
  <c r="DB299" i="17" s="1"/>
  <c r="CG73" i="17"/>
  <c r="CM73" i="17" s="1"/>
  <c r="DA73" i="17" s="1"/>
  <c r="DB73" i="17" s="1"/>
  <c r="CF240" i="17"/>
  <c r="CL240" i="17" s="1"/>
  <c r="CY240" i="17" s="1"/>
  <c r="CZ240" i="17" s="1"/>
  <c r="CG10" i="17"/>
  <c r="CM10" i="17" s="1"/>
  <c r="DA10" i="17" s="1"/>
  <c r="DB10" i="17" s="1"/>
  <c r="CG33" i="17"/>
  <c r="CM33" i="17" s="1"/>
  <c r="DA33" i="17" s="1"/>
  <c r="DB33" i="17" s="1"/>
  <c r="CF23" i="17"/>
  <c r="CL23" i="17" s="1"/>
  <c r="CY23" i="17" s="1"/>
  <c r="CZ23" i="17" s="1"/>
  <c r="CE294" i="17"/>
  <c r="CK294" i="17" s="1"/>
  <c r="CW294" i="17" s="1"/>
  <c r="CX294" i="17" s="1"/>
  <c r="CE248" i="17"/>
  <c r="CK248" i="17" s="1"/>
  <c r="CW248" i="17" s="1"/>
  <c r="CX248" i="17" s="1"/>
  <c r="CF157" i="17"/>
  <c r="CL157" i="17" s="1"/>
  <c r="CY157" i="17" s="1"/>
  <c r="CZ157" i="17" s="1"/>
  <c r="CF186" i="17"/>
  <c r="CL186" i="17" s="1"/>
  <c r="CY186" i="17" s="1"/>
  <c r="CZ186" i="17" s="1"/>
  <c r="CG100" i="17"/>
  <c r="CM100" i="17" s="1"/>
  <c r="DA100" i="17" s="1"/>
  <c r="DB100" i="17" s="1"/>
  <c r="CE14" i="17"/>
  <c r="CK14" i="17" s="1"/>
  <c r="CW14" i="17" s="1"/>
  <c r="CX14" i="17" s="1"/>
  <c r="CE301" i="17"/>
  <c r="CK301" i="17" s="1"/>
  <c r="CW301" i="17" s="1"/>
  <c r="CX301" i="17" s="1"/>
  <c r="CG221" i="17"/>
  <c r="CM221" i="17" s="1"/>
  <c r="DA221" i="17" s="1"/>
  <c r="DB221" i="17" s="1"/>
  <c r="CE15" i="17"/>
  <c r="CK15" i="17" s="1"/>
  <c r="CW15" i="17" s="1"/>
  <c r="CX15" i="17" s="1"/>
  <c r="CE120" i="17"/>
  <c r="CK120" i="17" s="1"/>
  <c r="CW120" i="17" s="1"/>
  <c r="CX120" i="17" s="1"/>
  <c r="CE170" i="17"/>
  <c r="CK170" i="17" s="1"/>
  <c r="CW170" i="17" s="1"/>
  <c r="CX170" i="17" s="1"/>
  <c r="CG195" i="17"/>
  <c r="CM195" i="17" s="1"/>
  <c r="DA195" i="17" s="1"/>
  <c r="DB195" i="17" s="1"/>
  <c r="CG305" i="17"/>
  <c r="CM305" i="17" s="1"/>
  <c r="DA305" i="17" s="1"/>
  <c r="DB305" i="17" s="1"/>
  <c r="CF79" i="17"/>
  <c r="CL79" i="17" s="1"/>
  <c r="CY79" i="17" s="1"/>
  <c r="CZ79" i="17" s="1"/>
  <c r="CE60" i="17"/>
  <c r="CK60" i="17" s="1"/>
  <c r="CW60" i="17" s="1"/>
  <c r="CX60" i="17" s="1"/>
  <c r="CF73" i="17"/>
  <c r="CL73" i="17" s="1"/>
  <c r="CY73" i="17" s="1"/>
  <c r="CZ73" i="17" s="1"/>
  <c r="CG38" i="17"/>
  <c r="CM38" i="17" s="1"/>
  <c r="DA38" i="17" s="1"/>
  <c r="DB38" i="17" s="1"/>
  <c r="CF182" i="17"/>
  <c r="CL182" i="17" s="1"/>
  <c r="CY182" i="17" s="1"/>
  <c r="CZ182" i="17" s="1"/>
  <c r="CE175" i="17"/>
  <c r="CK175" i="17" s="1"/>
  <c r="CW175" i="17" s="1"/>
  <c r="CX175" i="17" s="1"/>
  <c r="CE33" i="17"/>
  <c r="CK33" i="17" s="1"/>
  <c r="CW33" i="17" s="1"/>
  <c r="CX33" i="17" s="1"/>
  <c r="CF254" i="17"/>
  <c r="CL254" i="17" s="1"/>
  <c r="CY254" i="17" s="1"/>
  <c r="CZ254" i="17" s="1"/>
  <c r="CE288" i="17"/>
  <c r="CK288" i="17" s="1"/>
  <c r="CW288" i="17" s="1"/>
  <c r="CX288" i="17" s="1"/>
  <c r="CG127" i="17"/>
  <c r="CM127" i="17" s="1"/>
  <c r="DA127" i="17" s="1"/>
  <c r="DB127" i="17" s="1"/>
  <c r="CE244" i="17"/>
  <c r="CK244" i="17" s="1"/>
  <c r="CW244" i="17" s="1"/>
  <c r="CX244" i="17" s="1"/>
  <c r="CG238" i="17"/>
  <c r="CM238" i="17" s="1"/>
  <c r="DA238" i="17" s="1"/>
  <c r="DB238" i="17" s="1"/>
  <c r="CE74" i="17"/>
  <c r="CK74" i="17" s="1"/>
  <c r="CW74" i="17" s="1"/>
  <c r="CG185" i="17"/>
  <c r="CM185" i="17" s="1"/>
  <c r="DA185" i="17" s="1"/>
  <c r="DB185" i="17" s="1"/>
  <c r="CG164" i="17"/>
  <c r="CM164" i="17" s="1"/>
  <c r="DA164" i="17" s="1"/>
  <c r="DB164" i="17" s="1"/>
  <c r="CF116" i="17"/>
  <c r="CL116" i="17" s="1"/>
  <c r="CY116" i="17" s="1"/>
  <c r="CZ116" i="17" s="1"/>
  <c r="CF239" i="17"/>
  <c r="CL239" i="17" s="1"/>
  <c r="CY239" i="17" s="1"/>
  <c r="CZ239" i="17" s="1"/>
  <c r="CE186" i="17"/>
  <c r="CK186" i="17" s="1"/>
  <c r="CW186" i="17" s="1"/>
  <c r="CX186" i="17" s="1"/>
  <c r="CF100" i="17"/>
  <c r="CL100" i="17" s="1"/>
  <c r="CY100" i="17" s="1"/>
  <c r="CZ100" i="17" s="1"/>
  <c r="CG89" i="17"/>
  <c r="CM89" i="17" s="1"/>
  <c r="DA89" i="17" s="1"/>
  <c r="DB89" i="17" s="1"/>
  <c r="CF148" i="17"/>
  <c r="CL148" i="17" s="1"/>
  <c r="CY148" i="17" s="1"/>
  <c r="CZ148" i="17" s="1"/>
  <c r="CE260" i="17"/>
  <c r="CK260" i="17" s="1"/>
  <c r="CW260" i="17" s="1"/>
  <c r="CX260" i="17" s="1"/>
  <c r="CF299" i="17"/>
  <c r="CL299" i="17" s="1"/>
  <c r="CY299" i="17" s="1"/>
  <c r="CZ299" i="17" s="1"/>
  <c r="CF82" i="17"/>
  <c r="CL82" i="17" s="1"/>
  <c r="CY82" i="17" s="1"/>
  <c r="CZ82" i="17" s="1"/>
  <c r="CG138" i="17"/>
  <c r="CM138" i="17" s="1"/>
  <c r="DA138" i="17" s="1"/>
  <c r="DB138" i="17" s="1"/>
  <c r="CE256" i="17"/>
  <c r="CK256" i="17" s="1"/>
  <c r="CW256" i="17" s="1"/>
  <c r="CX256" i="17" s="1"/>
  <c r="CG175" i="17"/>
  <c r="CM175" i="17" s="1"/>
  <c r="DA175" i="17" s="1"/>
  <c r="DB175" i="17" s="1"/>
  <c r="CE106" i="17"/>
  <c r="CK106" i="17" s="1"/>
  <c r="CW106" i="17" s="1"/>
  <c r="CX106" i="17" s="1"/>
  <c r="CE18" i="17"/>
  <c r="CK18" i="17" s="1"/>
  <c r="CW18" i="17" s="1"/>
  <c r="CX18" i="17" s="1"/>
  <c r="CG288" i="17"/>
  <c r="CM288" i="17" s="1"/>
  <c r="DA288" i="17" s="1"/>
  <c r="DB288" i="17" s="1"/>
  <c r="CG37" i="17"/>
  <c r="CM37" i="17" s="1"/>
  <c r="DA37" i="17" s="1"/>
  <c r="DB37" i="17" s="1"/>
  <c r="K213" i="17"/>
  <c r="BO213" i="17" s="1"/>
  <c r="K35" i="17"/>
  <c r="M196" i="17"/>
  <c r="BQ196" i="17" s="1"/>
  <c r="P28" i="17"/>
  <c r="BD28" i="17" s="1"/>
  <c r="BL28" i="17" s="1"/>
  <c r="O44" i="17"/>
  <c r="BS44" i="17" s="1"/>
  <c r="L162" i="17"/>
  <c r="BP162" i="17" s="1"/>
  <c r="O204" i="17"/>
  <c r="BS204" i="17" s="1"/>
  <c r="Q273" i="17"/>
  <c r="BU273" i="17" s="1"/>
  <c r="P264" i="17"/>
  <c r="BT264" i="17" s="1"/>
  <c r="Q36" i="17"/>
  <c r="BU36" i="17" s="1"/>
  <c r="L35" i="17"/>
  <c r="Q77" i="17"/>
  <c r="BU77" i="17" s="1"/>
  <c r="L7" i="17"/>
  <c r="K44" i="17"/>
  <c r="BO44" i="17" s="1"/>
  <c r="K204" i="17"/>
  <c r="BO204" i="17" s="1"/>
  <c r="O213" i="17"/>
  <c r="BS213" i="17" s="1"/>
  <c r="Q196" i="17"/>
  <c r="BE196" i="17" s="1"/>
  <c r="BM196" i="17" s="1"/>
  <c r="Q162" i="17"/>
  <c r="BU162" i="17" s="1"/>
  <c r="M273" i="17"/>
  <c r="BQ273" i="17" s="1"/>
  <c r="L264" i="17"/>
  <c r="BP264" i="17" s="1"/>
  <c r="N28" i="17"/>
  <c r="BR28" i="17" s="1"/>
  <c r="O32" i="17"/>
  <c r="BS32" i="17" s="1"/>
  <c r="N7" i="17"/>
  <c r="N44" i="17"/>
  <c r="BR44" i="17" s="1"/>
  <c r="N204" i="17"/>
  <c r="BR204" i="17" s="1"/>
  <c r="R213" i="17"/>
  <c r="BV213" i="17" s="1"/>
  <c r="P196" i="17"/>
  <c r="BT196" i="17" s="1"/>
  <c r="P162" i="17"/>
  <c r="BT162" i="17" s="1"/>
  <c r="L273" i="17"/>
  <c r="BP273" i="17" s="1"/>
  <c r="K264" i="17"/>
  <c r="BO264" i="17" s="1"/>
  <c r="L28" i="17"/>
  <c r="BP28" i="17" s="1"/>
  <c r="P96" i="17"/>
  <c r="BD96" i="17" s="1"/>
  <c r="BL96" i="17" s="1"/>
  <c r="R35" i="17"/>
  <c r="R7" i="17"/>
  <c r="R44" i="17"/>
  <c r="BV44" i="17" s="1"/>
  <c r="K209" i="17"/>
  <c r="BO209" i="17" s="1"/>
  <c r="R204" i="17"/>
  <c r="BV204" i="17" s="1"/>
  <c r="L196" i="17"/>
  <c r="BP196" i="17" s="1"/>
  <c r="K162" i="17"/>
  <c r="BO162" i="17" s="1"/>
  <c r="P273" i="17"/>
  <c r="BT273" i="17" s="1"/>
  <c r="O264" i="17"/>
  <c r="BS264" i="17" s="1"/>
  <c r="CI264" i="17" s="1"/>
  <c r="CO264" i="17" s="1"/>
  <c r="DE264" i="17" s="1"/>
  <c r="DF264" i="17" s="1"/>
  <c r="O28" i="17"/>
  <c r="BS28" i="17" s="1"/>
  <c r="N35" i="17"/>
  <c r="M35" i="17"/>
  <c r="K145" i="17"/>
  <c r="BO145" i="17" s="1"/>
  <c r="M7" i="17"/>
  <c r="M44" i="17"/>
  <c r="BQ44" i="17" s="1"/>
  <c r="K196" i="17"/>
  <c r="BO196" i="17" s="1"/>
  <c r="O162" i="17"/>
  <c r="BS162" i="17" s="1"/>
  <c r="K273" i="17"/>
  <c r="BO273" i="17" s="1"/>
  <c r="R264" i="17"/>
  <c r="BV264" i="17" s="1"/>
  <c r="M28" i="17"/>
  <c r="BQ28" i="17" s="1"/>
  <c r="O68" i="17"/>
  <c r="BS68" i="17" s="1"/>
  <c r="O7" i="17"/>
  <c r="Q44" i="17"/>
  <c r="BU44" i="17" s="1"/>
  <c r="M204" i="17"/>
  <c r="BQ204" i="17" s="1"/>
  <c r="Q213" i="17"/>
  <c r="BU213" i="17" s="1"/>
  <c r="O196" i="17"/>
  <c r="BS196" i="17" s="1"/>
  <c r="M162" i="17"/>
  <c r="BA162" i="17" s="1"/>
  <c r="BI162" i="17" s="1"/>
  <c r="O273" i="17"/>
  <c r="BS273" i="17" s="1"/>
  <c r="N264" i="17"/>
  <c r="BR264" i="17" s="1"/>
  <c r="R28" i="17"/>
  <c r="BV28" i="17" s="1"/>
  <c r="Q35" i="17"/>
  <c r="P35" i="17"/>
  <c r="K7" i="17"/>
  <c r="L44" i="17"/>
  <c r="BP44" i="17" s="1"/>
  <c r="Q204" i="17"/>
  <c r="P213" i="17"/>
  <c r="BT213" i="17" s="1"/>
  <c r="R196" i="17"/>
  <c r="BV196" i="17" s="1"/>
  <c r="R162" i="17"/>
  <c r="BV162" i="17" s="1"/>
  <c r="N273" i="17"/>
  <c r="BR273" i="17" s="1"/>
  <c r="M264" i="17"/>
  <c r="BQ264" i="17" s="1"/>
  <c r="Q28" i="17"/>
  <c r="BU28" i="17" s="1"/>
  <c r="P204" i="17"/>
  <c r="BT204" i="17" s="1"/>
  <c r="L213" i="17"/>
  <c r="BP213" i="17" s="1"/>
  <c r="O200" i="17"/>
  <c r="BS200" i="17" s="1"/>
  <c r="K64" i="17"/>
  <c r="BO64" i="17" s="1"/>
  <c r="Q156" i="17"/>
  <c r="BU156" i="17" s="1"/>
  <c r="CJ156" i="17" s="1"/>
  <c r="CP156" i="17" s="1"/>
  <c r="DG156" i="17" s="1"/>
  <c r="DH156" i="17" s="1"/>
  <c r="Q317" i="17"/>
  <c r="BU317" i="17" s="1"/>
  <c r="N101" i="17"/>
  <c r="BB101" i="17" s="1"/>
  <c r="BJ101" i="17" s="1"/>
  <c r="Q169" i="17"/>
  <c r="BU169" i="17" s="1"/>
  <c r="N50" i="17"/>
  <c r="BB50" i="17" s="1"/>
  <c r="BJ50" i="17" s="1"/>
  <c r="N229" i="17"/>
  <c r="Q230" i="17"/>
  <c r="BU230" i="17" s="1"/>
  <c r="R233" i="17"/>
  <c r="BV233" i="17" s="1"/>
  <c r="M133" i="17"/>
  <c r="BQ133" i="17" s="1"/>
  <c r="N251" i="17"/>
  <c r="BR251" i="17" s="1"/>
  <c r="CH251" i="17" s="1"/>
  <c r="CN251" i="17" s="1"/>
  <c r="DC251" i="17" s="1"/>
  <c r="DD251" i="17" s="1"/>
  <c r="N29" i="17"/>
  <c r="Q200" i="17"/>
  <c r="O64" i="17"/>
  <c r="BS64" i="17" s="1"/>
  <c r="L156" i="17"/>
  <c r="AZ156" i="17" s="1"/>
  <c r="BH156" i="17" s="1"/>
  <c r="M317" i="17"/>
  <c r="R101" i="17"/>
  <c r="BV101" i="17" s="1"/>
  <c r="O169" i="17"/>
  <c r="Q50" i="17"/>
  <c r="BU50" i="17" s="1"/>
  <c r="O229" i="17"/>
  <c r="BS229" i="17" s="1"/>
  <c r="M230" i="17"/>
  <c r="BQ230" i="17" s="1"/>
  <c r="N233" i="17"/>
  <c r="Q151" i="17"/>
  <c r="BU151" i="17" s="1"/>
  <c r="L251" i="17"/>
  <c r="BP251" i="17" s="1"/>
  <c r="K29" i="17"/>
  <c r="L317" i="17"/>
  <c r="BP317" i="17" s="1"/>
  <c r="L101" i="17"/>
  <c r="BP101" i="17" s="1"/>
  <c r="K50" i="17"/>
  <c r="K230" i="17"/>
  <c r="M250" i="17"/>
  <c r="BQ250" i="17" s="1"/>
  <c r="O151" i="17"/>
  <c r="BS151" i="17" s="1"/>
  <c r="P133" i="17"/>
  <c r="BT133" i="17" s="1"/>
  <c r="CJ133" i="17" s="1"/>
  <c r="CP133" i="17" s="1"/>
  <c r="DG133" i="17" s="1"/>
  <c r="DH133" i="17" s="1"/>
  <c r="M251" i="17"/>
  <c r="BQ251" i="17" s="1"/>
  <c r="Q29" i="17"/>
  <c r="R64" i="17"/>
  <c r="BF64" i="17" s="1"/>
  <c r="BN64" i="17" s="1"/>
  <c r="P317" i="17"/>
  <c r="BT317" i="17" s="1"/>
  <c r="Q101" i="17"/>
  <c r="BU101" i="17" s="1"/>
  <c r="P50" i="17"/>
  <c r="BT50" i="17" s="1"/>
  <c r="O230" i="17"/>
  <c r="BS230" i="17" s="1"/>
  <c r="L250" i="17"/>
  <c r="BP250" i="17" s="1"/>
  <c r="L133" i="17"/>
  <c r="BP133" i="17" s="1"/>
  <c r="R251" i="17"/>
  <c r="BV251" i="17" s="1"/>
  <c r="CJ251" i="17" s="1"/>
  <c r="CP251" i="17" s="1"/>
  <c r="DG251" i="17" s="1"/>
  <c r="DH251" i="17" s="1"/>
  <c r="M29" i="17"/>
  <c r="O133" i="17"/>
  <c r="BS133" i="17" s="1"/>
  <c r="K251" i="17"/>
  <c r="BO251" i="17" s="1"/>
  <c r="P29" i="17"/>
  <c r="P230" i="17"/>
  <c r="BT230" i="17" s="1"/>
  <c r="P233" i="17"/>
  <c r="BT233" i="17" s="1"/>
  <c r="N133" i="17"/>
  <c r="BR133" i="17" s="1"/>
  <c r="BE20" i="17"/>
  <c r="BM20" i="17" s="1"/>
  <c r="BU20" i="17" s="1"/>
  <c r="BD107" i="17"/>
  <c r="BL107" i="17" s="1"/>
  <c r="BT107" i="17" s="1"/>
  <c r="CJ107" i="17" s="1"/>
  <c r="CP107" i="17" s="1"/>
  <c r="DG107" i="17" s="1"/>
  <c r="DH107" i="17" s="1"/>
  <c r="BB67" i="17"/>
  <c r="BJ67" i="17" s="1"/>
  <c r="BR67" i="17" s="1"/>
  <c r="BD126" i="17"/>
  <c r="BL126" i="17" s="1"/>
  <c r="BT126" i="17" s="1"/>
  <c r="BB66" i="17"/>
  <c r="BJ66" i="17" s="1"/>
  <c r="BR66" i="17" s="1"/>
  <c r="BF83" i="17"/>
  <c r="BN83" i="17" s="1"/>
  <c r="BV83" i="17" s="1"/>
  <c r="CJ83" i="17" s="1"/>
  <c r="CP83" i="17" s="1"/>
  <c r="DG83" i="17" s="1"/>
  <c r="DH83" i="17" s="1"/>
  <c r="BD148" i="17"/>
  <c r="BL148" i="17" s="1"/>
  <c r="BT148" i="17" s="1"/>
  <c r="CJ148" i="17" s="1"/>
  <c r="CP148" i="17" s="1"/>
  <c r="DG148" i="17" s="1"/>
  <c r="DH148" i="17" s="1"/>
  <c r="BD299" i="17"/>
  <c r="BL299" i="17" s="1"/>
  <c r="BT299" i="17" s="1"/>
  <c r="CJ299" i="17" s="1"/>
  <c r="CP299" i="17" s="1"/>
  <c r="DG299" i="17" s="1"/>
  <c r="DH299" i="17" s="1"/>
  <c r="BF60" i="17"/>
  <c r="BN60" i="17" s="1"/>
  <c r="BV60" i="17" s="1"/>
  <c r="CJ60" i="17" s="1"/>
  <c r="CP60" i="17" s="1"/>
  <c r="DG60" i="17" s="1"/>
  <c r="DH60" i="17" s="1"/>
  <c r="BD180" i="17"/>
  <c r="BL180" i="17" s="1"/>
  <c r="BT180" i="17" s="1"/>
  <c r="CJ180" i="17" s="1"/>
  <c r="CP180" i="17" s="1"/>
  <c r="DG180" i="17" s="1"/>
  <c r="DH180" i="17" s="1"/>
  <c r="BF256" i="17"/>
  <c r="BN256" i="17" s="1"/>
  <c r="BV256" i="17" s="1"/>
  <c r="CJ256" i="17" s="1"/>
  <c r="CP256" i="17" s="1"/>
  <c r="DG256" i="17" s="1"/>
  <c r="DH256" i="17" s="1"/>
  <c r="BB22" i="17"/>
  <c r="BJ22" i="17" s="1"/>
  <c r="BR22" i="17" s="1"/>
  <c r="CH22" i="17" s="1"/>
  <c r="CN22" i="17" s="1"/>
  <c r="DC22" i="17" s="1"/>
  <c r="DD22" i="17" s="1"/>
  <c r="AY65" i="17"/>
  <c r="BG65" i="17" s="1"/>
  <c r="BO65" i="17" s="1"/>
  <c r="BC272" i="17"/>
  <c r="BK272" i="17" s="1"/>
  <c r="BS272" i="17" s="1"/>
  <c r="CI272" i="17" s="1"/>
  <c r="CO272" i="17" s="1"/>
  <c r="DE272" i="17" s="1"/>
  <c r="DF272" i="17" s="1"/>
  <c r="CE141" i="17"/>
  <c r="CK141" i="17" s="1"/>
  <c r="CW141" i="17" s="1"/>
  <c r="CX141" i="17" s="1"/>
  <c r="BE72" i="17"/>
  <c r="BM72" i="17" s="1"/>
  <c r="BE120" i="17"/>
  <c r="BM120" i="17" s="1"/>
  <c r="BU120" i="17" s="1"/>
  <c r="CI120" i="17" s="1"/>
  <c r="CO120" i="17" s="1"/>
  <c r="DE120" i="17" s="1"/>
  <c r="DF120" i="17" s="1"/>
  <c r="AY38" i="17"/>
  <c r="BG38" i="17" s="1"/>
  <c r="BO38" i="17" s="1"/>
  <c r="BC78" i="17"/>
  <c r="BK78" i="17" s="1"/>
  <c r="BS78" i="17" s="1"/>
  <c r="CG141" i="17"/>
  <c r="CM141" i="17" s="1"/>
  <c r="DA141" i="17" s="1"/>
  <c r="DB141" i="17" s="1"/>
  <c r="BC292" i="17"/>
  <c r="BK292" i="17" s="1"/>
  <c r="BS292" i="17" s="1"/>
  <c r="BC294" i="17"/>
  <c r="BK294" i="17" s="1"/>
  <c r="BS294" i="17" s="1"/>
  <c r="CI294" i="17" s="1"/>
  <c r="CO294" i="17" s="1"/>
  <c r="DE294" i="17" s="1"/>
  <c r="DF294" i="17" s="1"/>
  <c r="BE289" i="17"/>
  <c r="BM289" i="17" s="1"/>
  <c r="BD239" i="17"/>
  <c r="BL239" i="17" s="1"/>
  <c r="BT239" i="17" s="1"/>
  <c r="CJ239" i="17" s="1"/>
  <c r="CP239" i="17" s="1"/>
  <c r="DG239" i="17" s="1"/>
  <c r="DH239" i="17" s="1"/>
  <c r="BC146" i="17"/>
  <c r="BK146" i="17" s="1"/>
  <c r="BS146" i="17" s="1"/>
  <c r="CI146" i="17" s="1"/>
  <c r="CO146" i="17" s="1"/>
  <c r="DE146" i="17" s="1"/>
  <c r="DF146" i="17" s="1"/>
  <c r="BF41" i="17"/>
  <c r="BN41" i="17" s="1"/>
  <c r="BV41" i="17" s="1"/>
  <c r="BF175" i="17"/>
  <c r="BN175" i="17" s="1"/>
  <c r="BV175" i="17" s="1"/>
  <c r="CJ175" i="17" s="1"/>
  <c r="CP175" i="17" s="1"/>
  <c r="DG175" i="17" s="1"/>
  <c r="DH175" i="17" s="1"/>
  <c r="BC160" i="17"/>
  <c r="BK160" i="17" s="1"/>
  <c r="BS160" i="17" s="1"/>
  <c r="BE150" i="17"/>
  <c r="BM150" i="17" s="1"/>
  <c r="BD238" i="17"/>
  <c r="BL238" i="17" s="1"/>
  <c r="BT238" i="17" s="1"/>
  <c r="CJ238" i="17" s="1"/>
  <c r="CP238" i="17" s="1"/>
  <c r="DG238" i="17" s="1"/>
  <c r="DH238" i="17" s="1"/>
  <c r="BE152" i="17"/>
  <c r="BM152" i="17" s="1"/>
  <c r="BC190" i="17"/>
  <c r="BK190" i="17" s="1"/>
  <c r="BS190" i="17" s="1"/>
  <c r="BC171" i="17"/>
  <c r="BK171" i="17" s="1"/>
  <c r="BS171" i="17" s="1"/>
  <c r="BE137" i="17"/>
  <c r="BM137" i="17" s="1"/>
  <c r="BU137" i="17" s="1"/>
  <c r="BC301" i="17"/>
  <c r="BK301" i="17" s="1"/>
  <c r="BS301" i="17" s="1"/>
  <c r="CI301" i="17" s="1"/>
  <c r="CO301" i="17" s="1"/>
  <c r="DE301" i="17" s="1"/>
  <c r="DF301" i="17" s="1"/>
  <c r="AY117" i="17"/>
  <c r="BG117" i="17" s="1"/>
  <c r="BO117" i="17" s="1"/>
  <c r="BE195" i="17"/>
  <c r="BM195" i="17" s="1"/>
  <c r="BU195" i="17" s="1"/>
  <c r="CI195" i="17" s="1"/>
  <c r="CO195" i="17" s="1"/>
  <c r="DE195" i="17" s="1"/>
  <c r="DF195" i="17" s="1"/>
  <c r="BB90" i="17"/>
  <c r="BJ90" i="17" s="1"/>
  <c r="BR90" i="17" s="1"/>
  <c r="BF57" i="17"/>
  <c r="BN57" i="17" s="1"/>
  <c r="CF141" i="17"/>
  <c r="CL141" i="17" s="1"/>
  <c r="CY141" i="17" s="1"/>
  <c r="CZ141" i="17" s="1"/>
  <c r="BF169" i="17"/>
  <c r="BN169" i="17" s="1"/>
  <c r="BV169" i="17" s="1"/>
  <c r="BE33" i="17"/>
  <c r="BM33" i="17" s="1"/>
  <c r="BU33" i="17" s="1"/>
  <c r="CJ33" i="17" s="1"/>
  <c r="CP33" i="17" s="1"/>
  <c r="DG33" i="17" s="1"/>
  <c r="DH33" i="17" s="1"/>
  <c r="BE34" i="17"/>
  <c r="BM34" i="17" s="1"/>
  <c r="BE251" i="17"/>
  <c r="BM251" i="17" s="1"/>
  <c r="BE133" i="17"/>
  <c r="BM133" i="17" s="1"/>
  <c r="BF164" i="17"/>
  <c r="BN164" i="17" s="1"/>
  <c r="BV164" i="17" s="1"/>
  <c r="CJ164" i="17" s="1"/>
  <c r="CP164" i="17" s="1"/>
  <c r="DG164" i="17" s="1"/>
  <c r="DH164" i="17" s="1"/>
  <c r="BE48" i="17"/>
  <c r="BM48" i="17" s="1"/>
  <c r="P67" i="17"/>
  <c r="BT67" i="17" s="1"/>
  <c r="N16" i="17"/>
  <c r="N213" i="17"/>
  <c r="BR213" i="17" s="1"/>
  <c r="Q130" i="17"/>
  <c r="BU130" i="17" s="1"/>
  <c r="O298" i="17"/>
  <c r="BS298" i="17" s="1"/>
  <c r="R302" i="17"/>
  <c r="BV302" i="17" s="1"/>
  <c r="Q279" i="17"/>
  <c r="BU279" i="17" s="1"/>
  <c r="K40" i="17"/>
  <c r="BO40" i="17" s="1"/>
  <c r="N298" i="17"/>
  <c r="BR298" i="17" s="1"/>
  <c r="P275" i="17"/>
  <c r="BT275" i="17" s="1"/>
  <c r="K99" i="17"/>
  <c r="Q99" i="17"/>
  <c r="L126" i="17"/>
  <c r="BP126" i="17" s="1"/>
  <c r="L84" i="17"/>
  <c r="BP84" i="17" s="1"/>
  <c r="R280" i="17"/>
  <c r="BV280" i="17" s="1"/>
  <c r="Q280" i="17"/>
  <c r="BU280" i="17" s="1"/>
  <c r="P280" i="17"/>
  <c r="BT280" i="17" s="1"/>
  <c r="M36" i="17"/>
  <c r="BA36" i="17" s="1"/>
  <c r="BI36" i="17" s="1"/>
  <c r="K75" i="17"/>
  <c r="BO75" i="17" s="1"/>
  <c r="O145" i="17"/>
  <c r="BS145" i="17" s="1"/>
  <c r="O31" i="17"/>
  <c r="N77" i="17"/>
  <c r="M125" i="17"/>
  <c r="BQ125" i="17" s="1"/>
  <c r="O47" i="17"/>
  <c r="BS47" i="17" s="1"/>
  <c r="P220" i="17"/>
  <c r="BD220" i="17" s="1"/>
  <c r="BL220" i="17" s="1"/>
  <c r="O280" i="17"/>
  <c r="BS280" i="17" s="1"/>
  <c r="L36" i="17"/>
  <c r="BP36" i="17" s="1"/>
  <c r="R75" i="17"/>
  <c r="BV75" i="17" s="1"/>
  <c r="N145" i="17"/>
  <c r="BR145" i="17" s="1"/>
  <c r="N31" i="17"/>
  <c r="BR31" i="17" s="1"/>
  <c r="P77" i="17"/>
  <c r="BT77" i="17" s="1"/>
  <c r="P112" i="17"/>
  <c r="BT112" i="17" s="1"/>
  <c r="M217" i="17"/>
  <c r="BQ217" i="17" s="1"/>
  <c r="P69" i="17"/>
  <c r="BT69" i="17" s="1"/>
  <c r="L39" i="17"/>
  <c r="BP39" i="17" s="1"/>
  <c r="K280" i="17"/>
  <c r="BO280" i="17" s="1"/>
  <c r="N75" i="17"/>
  <c r="BR75" i="17" s="1"/>
  <c r="Q31" i="17"/>
  <c r="BU31" i="17" s="1"/>
  <c r="O206" i="17"/>
  <c r="BS206" i="17" s="1"/>
  <c r="P189" i="17"/>
  <c r="BT189" i="17" s="1"/>
  <c r="L283" i="17"/>
  <c r="BP283" i="17" s="1"/>
  <c r="P228" i="17"/>
  <c r="BT228" i="17" s="1"/>
  <c r="M159" i="17"/>
  <c r="BQ159" i="17" s="1"/>
  <c r="Q75" i="17"/>
  <c r="BU75" i="17" s="1"/>
  <c r="CJ75" i="17" s="1"/>
  <c r="CP75" i="17" s="1"/>
  <c r="DG75" i="17" s="1"/>
  <c r="DH75" i="17" s="1"/>
  <c r="M31" i="17"/>
  <c r="BQ31" i="17" s="1"/>
  <c r="K206" i="17"/>
  <c r="BO206" i="17" s="1"/>
  <c r="L61" i="17"/>
  <c r="BP61" i="17" s="1"/>
  <c r="N280" i="17"/>
  <c r="BR280" i="17" s="1"/>
  <c r="M75" i="17"/>
  <c r="BQ75" i="17" s="1"/>
  <c r="M145" i="17"/>
  <c r="BQ145" i="17" s="1"/>
  <c r="L31" i="17"/>
  <c r="BP31" i="17" s="1"/>
  <c r="L77" i="17"/>
  <c r="BP77" i="17" s="1"/>
  <c r="L88" i="17"/>
  <c r="BP88" i="17" s="1"/>
  <c r="P91" i="17"/>
  <c r="BT91" i="17" s="1"/>
  <c r="R212" i="17"/>
  <c r="BV212" i="17" s="1"/>
  <c r="L75" i="17"/>
  <c r="BP75" i="17" s="1"/>
  <c r="P145" i="17"/>
  <c r="BT145" i="17" s="1"/>
  <c r="P31" i="17"/>
  <c r="BT31" i="17" s="1"/>
  <c r="K77" i="17"/>
  <c r="BO77" i="17" s="1"/>
  <c r="R52" i="17"/>
  <c r="K315" i="17"/>
  <c r="BO315" i="17" s="1"/>
  <c r="M224" i="17"/>
  <c r="BQ224" i="17" s="1"/>
  <c r="R165" i="17"/>
  <c r="O36" i="17"/>
  <c r="BS36" i="17" s="1"/>
  <c r="R36" i="17"/>
  <c r="BV36" i="17" s="1"/>
  <c r="L145" i="17"/>
  <c r="BP145" i="17" s="1"/>
  <c r="R77" i="17"/>
  <c r="BV77" i="17" s="1"/>
  <c r="P224" i="17"/>
  <c r="BT224" i="17" s="1"/>
  <c r="O51" i="17"/>
  <c r="BS51" i="17" s="1"/>
  <c r="R192" i="17"/>
  <c r="M226" i="17"/>
  <c r="BQ226" i="17" s="1"/>
  <c r="R183" i="17"/>
  <c r="M188" i="17"/>
  <c r="BQ188" i="17" s="1"/>
  <c r="N52" i="17"/>
  <c r="Q125" i="17"/>
  <c r="BU125" i="17" s="1"/>
  <c r="O209" i="17"/>
  <c r="BS209" i="17" s="1"/>
  <c r="L189" i="17"/>
  <c r="BP189" i="17" s="1"/>
  <c r="P61" i="17"/>
  <c r="BT61" i="17" s="1"/>
  <c r="P88" i="17"/>
  <c r="L315" i="17"/>
  <c r="BP315" i="17" s="1"/>
  <c r="P47" i="17"/>
  <c r="P283" i="17"/>
  <c r="BT283" i="17" s="1"/>
  <c r="R91" i="17"/>
  <c r="BV91" i="17" s="1"/>
  <c r="N85" i="17"/>
  <c r="BR85" i="17" s="1"/>
  <c r="L112" i="17"/>
  <c r="Q165" i="17"/>
  <c r="K51" i="17"/>
  <c r="BO51" i="17" s="1"/>
  <c r="N217" i="17"/>
  <c r="BR217" i="17" s="1"/>
  <c r="O192" i="17"/>
  <c r="P68" i="17"/>
  <c r="R228" i="17"/>
  <c r="BV228" i="17" s="1"/>
  <c r="M69" i="17"/>
  <c r="BQ69" i="17" s="1"/>
  <c r="R159" i="17"/>
  <c r="BV159" i="17" s="1"/>
  <c r="K32" i="17"/>
  <c r="BO32" i="17" s="1"/>
  <c r="N220" i="17"/>
  <c r="BR220" i="17" s="1"/>
  <c r="N226" i="17"/>
  <c r="BR226" i="17" s="1"/>
  <c r="R96" i="17"/>
  <c r="BV96" i="17" s="1"/>
  <c r="P212" i="17"/>
  <c r="BT212" i="17" s="1"/>
  <c r="K39" i="17"/>
  <c r="BO39" i="17" s="1"/>
  <c r="P36" i="17"/>
  <c r="BT36" i="17" s="1"/>
  <c r="Q183" i="17"/>
  <c r="R145" i="17"/>
  <c r="BV145" i="17" s="1"/>
  <c r="L188" i="17"/>
  <c r="BP188" i="17" s="1"/>
  <c r="M77" i="17"/>
  <c r="BQ77" i="17" s="1"/>
  <c r="N206" i="17"/>
  <c r="BR206" i="17" s="1"/>
  <c r="M52" i="17"/>
  <c r="P125" i="17"/>
  <c r="BT125" i="17" s="1"/>
  <c r="N209" i="17"/>
  <c r="BR209" i="17" s="1"/>
  <c r="N189" i="17"/>
  <c r="BR189" i="17" s="1"/>
  <c r="O61" i="17"/>
  <c r="BS61" i="17" s="1"/>
  <c r="CI61" i="17" s="1"/>
  <c r="CO61" i="17" s="1"/>
  <c r="DE61" i="17" s="1"/>
  <c r="DF61" i="17" s="1"/>
  <c r="O88" i="17"/>
  <c r="BS88" i="17" s="1"/>
  <c r="O315" i="17"/>
  <c r="BS315" i="17" s="1"/>
  <c r="N47" i="17"/>
  <c r="BR47" i="17" s="1"/>
  <c r="O283" i="17"/>
  <c r="BS283" i="17" s="1"/>
  <c r="CI283" i="17" s="1"/>
  <c r="CO283" i="17" s="1"/>
  <c r="DE283" i="17" s="1"/>
  <c r="DF283" i="17" s="1"/>
  <c r="M91" i="17"/>
  <c r="BQ91" i="17" s="1"/>
  <c r="L224" i="17"/>
  <c r="BP224" i="17" s="1"/>
  <c r="M85" i="17"/>
  <c r="BQ85" i="17" s="1"/>
  <c r="O112" i="17"/>
  <c r="BS112" i="17" s="1"/>
  <c r="M165" i="17"/>
  <c r="M51" i="17"/>
  <c r="BQ51" i="17" s="1"/>
  <c r="Q217" i="17"/>
  <c r="N192" i="17"/>
  <c r="R68" i="17"/>
  <c r="BV68" i="17" s="1"/>
  <c r="Q228" i="17"/>
  <c r="BU228" i="17" s="1"/>
  <c r="L69" i="17"/>
  <c r="BP69" i="17" s="1"/>
  <c r="Q159" i="17"/>
  <c r="BU159" i="17" s="1"/>
  <c r="R32" i="17"/>
  <c r="N106" i="17"/>
  <c r="BR106" i="17" s="1"/>
  <c r="M103" i="17"/>
  <c r="BQ103" i="17" s="1"/>
  <c r="L220" i="17"/>
  <c r="BP220" i="17" s="1"/>
  <c r="R316" i="17"/>
  <c r="BV316" i="17" s="1"/>
  <c r="L226" i="17"/>
  <c r="BP226" i="17" s="1"/>
  <c r="M96" i="17"/>
  <c r="BQ96" i="17" s="1"/>
  <c r="O274" i="17"/>
  <c r="BS274" i="17" s="1"/>
  <c r="N212" i="17"/>
  <c r="P268" i="17"/>
  <c r="R144" i="17"/>
  <c r="BV144" i="17" s="1"/>
  <c r="CJ144" i="17" s="1"/>
  <c r="CP144" i="17" s="1"/>
  <c r="DG144" i="17" s="1"/>
  <c r="DH144" i="17" s="1"/>
  <c r="Q39" i="17"/>
  <c r="BU39" i="17" s="1"/>
  <c r="P188" i="17"/>
  <c r="BT188" i="17" s="1"/>
  <c r="CJ188" i="17" s="1"/>
  <c r="CP188" i="17" s="1"/>
  <c r="DG188" i="17" s="1"/>
  <c r="DH188" i="17" s="1"/>
  <c r="R206" i="17"/>
  <c r="BV206" i="17" s="1"/>
  <c r="Q52" i="17"/>
  <c r="L125" i="17"/>
  <c r="BP125" i="17" s="1"/>
  <c r="R209" i="17"/>
  <c r="BV209" i="17" s="1"/>
  <c r="Q189" i="17"/>
  <c r="BU189" i="17" s="1"/>
  <c r="K61" i="17"/>
  <c r="BO61" i="17" s="1"/>
  <c r="R88" i="17"/>
  <c r="BV88" i="17" s="1"/>
  <c r="R315" i="17"/>
  <c r="BV315" i="17" s="1"/>
  <c r="M47" i="17"/>
  <c r="BQ47" i="17" s="1"/>
  <c r="K283" i="17"/>
  <c r="BO283" i="17" s="1"/>
  <c r="Q91" i="17"/>
  <c r="BU91" i="17" s="1"/>
  <c r="O224" i="17"/>
  <c r="BS224" i="17" s="1"/>
  <c r="Q85" i="17"/>
  <c r="BU85" i="17" s="1"/>
  <c r="K112" i="17"/>
  <c r="BO112" i="17" s="1"/>
  <c r="P165" i="17"/>
  <c r="N51" i="17"/>
  <c r="L217" i="17"/>
  <c r="BP217" i="17" s="1"/>
  <c r="M192" i="17"/>
  <c r="N68" i="17"/>
  <c r="BB68" i="17" s="1"/>
  <c r="BJ68" i="17" s="1"/>
  <c r="L228" i="17"/>
  <c r="BP228" i="17" s="1"/>
  <c r="K69" i="17"/>
  <c r="BO69" i="17" s="1"/>
  <c r="O159" i="17"/>
  <c r="N32" i="17"/>
  <c r="BR32" i="17" s="1"/>
  <c r="O220" i="17"/>
  <c r="BS220" i="17" s="1"/>
  <c r="K226" i="17"/>
  <c r="BO226" i="17" s="1"/>
  <c r="O96" i="17"/>
  <c r="BS96" i="17" s="1"/>
  <c r="M212" i="17"/>
  <c r="BQ212" i="17" s="1"/>
  <c r="R39" i="17"/>
  <c r="BV39" i="17" s="1"/>
  <c r="K36" i="17"/>
  <c r="BO36" i="17" s="1"/>
  <c r="L183" i="17"/>
  <c r="K188" i="17"/>
  <c r="BO188" i="17" s="1"/>
  <c r="Q206" i="17"/>
  <c r="BU206" i="17" s="1"/>
  <c r="P52" i="17"/>
  <c r="K125" i="17"/>
  <c r="BO125" i="17" s="1"/>
  <c r="M209" i="17"/>
  <c r="BQ209" i="17" s="1"/>
  <c r="M189" i="17"/>
  <c r="BQ189" i="17" s="1"/>
  <c r="N61" i="17"/>
  <c r="BR61" i="17" s="1"/>
  <c r="N88" i="17"/>
  <c r="BR88" i="17" s="1"/>
  <c r="N315" i="17"/>
  <c r="BR315" i="17" s="1"/>
  <c r="Q47" i="17"/>
  <c r="BU47" i="17" s="1"/>
  <c r="N283" i="17"/>
  <c r="BR283" i="17" s="1"/>
  <c r="L91" i="17"/>
  <c r="BP91" i="17" s="1"/>
  <c r="K224" i="17"/>
  <c r="BO224" i="17" s="1"/>
  <c r="O85" i="17"/>
  <c r="N112" i="17"/>
  <c r="BR112" i="17" s="1"/>
  <c r="L165" i="17"/>
  <c r="Q51" i="17"/>
  <c r="BU51" i="17" s="1"/>
  <c r="P217" i="17"/>
  <c r="BT217" i="17" s="1"/>
  <c r="Q192" i="17"/>
  <c r="L68" i="17"/>
  <c r="BP68" i="17" s="1"/>
  <c r="O228" i="17"/>
  <c r="BS228" i="17" s="1"/>
  <c r="O69" i="17"/>
  <c r="L159" i="17"/>
  <c r="BP159" i="17" s="1"/>
  <c r="M32" i="17"/>
  <c r="BQ32" i="17" s="1"/>
  <c r="K220" i="17"/>
  <c r="BO220" i="17" s="1"/>
  <c r="R226" i="17"/>
  <c r="BV226" i="17" s="1"/>
  <c r="K96" i="17"/>
  <c r="BO96" i="17" s="1"/>
  <c r="O212" i="17"/>
  <c r="BS212" i="17" s="1"/>
  <c r="P39" i="17"/>
  <c r="P183" i="17"/>
  <c r="O183" i="17"/>
  <c r="O188" i="17"/>
  <c r="M206" i="17"/>
  <c r="BQ206" i="17" s="1"/>
  <c r="L52" i="17"/>
  <c r="O125" i="17"/>
  <c r="BS125" i="17" s="1"/>
  <c r="Q209" i="17"/>
  <c r="BU209" i="17" s="1"/>
  <c r="O189" i="17"/>
  <c r="BS189" i="17" s="1"/>
  <c r="R61" i="17"/>
  <c r="BV61" i="17" s="1"/>
  <c r="Q88" i="17"/>
  <c r="BU88" i="17" s="1"/>
  <c r="Q315" i="17"/>
  <c r="BU315" i="17" s="1"/>
  <c r="L47" i="17"/>
  <c r="BP47" i="17" s="1"/>
  <c r="R283" i="17"/>
  <c r="BV283" i="17" s="1"/>
  <c r="O91" i="17"/>
  <c r="BS91" i="17" s="1"/>
  <c r="R224" i="17"/>
  <c r="BV224" i="17" s="1"/>
  <c r="L85" i="17"/>
  <c r="R112" i="17"/>
  <c r="BV112" i="17" s="1"/>
  <c r="O165" i="17"/>
  <c r="L51" i="17"/>
  <c r="BP51" i="17" s="1"/>
  <c r="K217" i="17"/>
  <c r="BO217" i="17" s="1"/>
  <c r="L192" i="17"/>
  <c r="K68" i="17"/>
  <c r="BO68" i="17" s="1"/>
  <c r="N228" i="17"/>
  <c r="BR228" i="17" s="1"/>
  <c r="R69" i="17"/>
  <c r="BV69" i="17" s="1"/>
  <c r="P159" i="17"/>
  <c r="BT159" i="17" s="1"/>
  <c r="Q32" i="17"/>
  <c r="BU32" i="17" s="1"/>
  <c r="M220" i="17"/>
  <c r="BQ220" i="17" s="1"/>
  <c r="P226" i="17"/>
  <c r="BD226" i="17" s="1"/>
  <c r="BL226" i="17" s="1"/>
  <c r="Q62" i="17"/>
  <c r="BU62" i="17" s="1"/>
  <c r="N96" i="17"/>
  <c r="BR96" i="17" s="1"/>
  <c r="K212" i="17"/>
  <c r="BO212" i="17" s="1"/>
  <c r="O191" i="17"/>
  <c r="BS191" i="17" s="1"/>
  <c r="CI191" i="17" s="1"/>
  <c r="CO191" i="17" s="1"/>
  <c r="DE191" i="17" s="1"/>
  <c r="DF191" i="17" s="1"/>
  <c r="O39" i="17"/>
  <c r="BS39" i="17" s="1"/>
  <c r="K183" i="17"/>
  <c r="N188" i="17"/>
  <c r="BR188" i="17" s="1"/>
  <c r="P206" i="17"/>
  <c r="O52" i="17"/>
  <c r="R125" i="17"/>
  <c r="P209" i="17"/>
  <c r="BT209" i="17" s="1"/>
  <c r="K189" i="17"/>
  <c r="BO189" i="17" s="1"/>
  <c r="M61" i="17"/>
  <c r="M88" i="17"/>
  <c r="BQ88" i="17" s="1"/>
  <c r="M315" i="17"/>
  <c r="BA315" i="17" s="1"/>
  <c r="BI315" i="17" s="1"/>
  <c r="K47" i="17"/>
  <c r="BO47" i="17" s="1"/>
  <c r="M283" i="17"/>
  <c r="BQ283" i="17" s="1"/>
  <c r="K91" i="17"/>
  <c r="BO91" i="17" s="1"/>
  <c r="N224" i="17"/>
  <c r="BR224" i="17" s="1"/>
  <c r="P85" i="17"/>
  <c r="M112" i="17"/>
  <c r="BQ112" i="17" s="1"/>
  <c r="K165" i="17"/>
  <c r="P51" i="17"/>
  <c r="BT51" i="17" s="1"/>
  <c r="O217" i="17"/>
  <c r="BS217" i="17" s="1"/>
  <c r="P192" i="17"/>
  <c r="Q68" i="17"/>
  <c r="BU68" i="17" s="1"/>
  <c r="M228" i="17"/>
  <c r="BQ228" i="17" s="1"/>
  <c r="N69" i="17"/>
  <c r="BR69" i="17" s="1"/>
  <c r="K159" i="17"/>
  <c r="BO159" i="17" s="1"/>
  <c r="L32" i="17"/>
  <c r="BP32" i="17" s="1"/>
  <c r="Q220" i="17"/>
  <c r="BU220" i="17" s="1"/>
  <c r="Q226" i="17"/>
  <c r="BU226" i="17" s="1"/>
  <c r="Q237" i="17"/>
  <c r="BU237" i="17" s="1"/>
  <c r="L96" i="17"/>
  <c r="BP96" i="17" s="1"/>
  <c r="N99" i="17"/>
  <c r="Q212" i="17"/>
  <c r="BU212" i="17" s="1"/>
  <c r="M39" i="17"/>
  <c r="BQ39" i="17" s="1"/>
  <c r="R292" i="17"/>
  <c r="BV292" i="17" s="1"/>
  <c r="R237" i="17"/>
  <c r="BV237" i="17" s="1"/>
  <c r="L274" i="17"/>
  <c r="BP274" i="17" s="1"/>
  <c r="P190" i="17"/>
  <c r="BT190" i="17" s="1"/>
  <c r="N269" i="17"/>
  <c r="BR269" i="17" s="1"/>
  <c r="CH269" i="17" s="1"/>
  <c r="CN269" i="17" s="1"/>
  <c r="DC269" i="17" s="1"/>
  <c r="DD269" i="17" s="1"/>
  <c r="K311" i="17"/>
  <c r="L292" i="17"/>
  <c r="BP292" i="17" s="1"/>
  <c r="K233" i="17"/>
  <c r="K250" i="17"/>
  <c r="BO250" i="17" s="1"/>
  <c r="L151" i="17"/>
  <c r="BP151" i="17" s="1"/>
  <c r="K190" i="17"/>
  <c r="R191" i="17"/>
  <c r="BV191" i="17" s="1"/>
  <c r="CJ191" i="17" s="1"/>
  <c r="CP191" i="17" s="1"/>
  <c r="DG191" i="17" s="1"/>
  <c r="DH191" i="17" s="1"/>
  <c r="R269" i="17"/>
  <c r="BV269" i="17" s="1"/>
  <c r="CJ269" i="17" s="1"/>
  <c r="CP269" i="17" s="1"/>
  <c r="DG269" i="17" s="1"/>
  <c r="DH269" i="17" s="1"/>
  <c r="O187" i="17"/>
  <c r="BS187" i="17" s="1"/>
  <c r="O311" i="17"/>
  <c r="P292" i="17"/>
  <c r="BT292" i="17" s="1"/>
  <c r="Q250" i="17"/>
  <c r="BU250" i="17" s="1"/>
  <c r="K151" i="17"/>
  <c r="R190" i="17"/>
  <c r="BV190" i="17" s="1"/>
  <c r="R166" i="17"/>
  <c r="BV166" i="17" s="1"/>
  <c r="R250" i="17"/>
  <c r="BV250" i="17" s="1"/>
  <c r="N231" i="17"/>
  <c r="BR231" i="17" s="1"/>
  <c r="L71" i="17"/>
  <c r="BP71" i="17" s="1"/>
  <c r="M234" i="17"/>
  <c r="M130" i="17"/>
  <c r="N302" i="17"/>
  <c r="BR302" i="17" s="1"/>
  <c r="K115" i="17"/>
  <c r="BO115" i="17" s="1"/>
  <c r="L275" i="17"/>
  <c r="BP275" i="17" s="1"/>
  <c r="K172" i="17"/>
  <c r="BO172" i="17" s="1"/>
  <c r="Q109" i="17"/>
  <c r="BU109" i="17" s="1"/>
  <c r="M67" i="17"/>
  <c r="BQ67" i="17" s="1"/>
  <c r="O16" i="17"/>
  <c r="M279" i="17"/>
  <c r="BQ279" i="17" s="1"/>
  <c r="Q158" i="17"/>
  <c r="BU158" i="17" s="1"/>
  <c r="K187" i="17"/>
  <c r="BO187" i="17" s="1"/>
  <c r="Q103" i="17"/>
  <c r="BU103" i="17" s="1"/>
  <c r="N166" i="17"/>
  <c r="BR166" i="17" s="1"/>
  <c r="M62" i="17"/>
  <c r="BQ62" i="17" s="1"/>
  <c r="R84" i="17"/>
  <c r="BV84" i="17" s="1"/>
  <c r="K126" i="17"/>
  <c r="BO126" i="17" s="1"/>
  <c r="R310" i="17"/>
  <c r="BV310" i="17" s="1"/>
  <c r="M59" i="17"/>
  <c r="BQ59" i="17" s="1"/>
  <c r="Q128" i="17"/>
  <c r="BU128" i="17" s="1"/>
  <c r="P40" i="17"/>
  <c r="BT40" i="17" s="1"/>
  <c r="K66" i="17"/>
  <c r="BO66" i="17" s="1"/>
  <c r="Q262" i="17"/>
  <c r="BU262" i="17" s="1"/>
  <c r="M310" i="17"/>
  <c r="BQ310" i="17" s="1"/>
  <c r="R181" i="17"/>
  <c r="BV181" i="17" s="1"/>
  <c r="O161" i="17"/>
  <c r="M211" i="17"/>
  <c r="BQ211" i="17" s="1"/>
  <c r="Q59" i="17"/>
  <c r="BU59" i="17" s="1"/>
  <c r="L128" i="17"/>
  <c r="BP128" i="17" s="1"/>
  <c r="L40" i="17"/>
  <c r="BP40" i="17" s="1"/>
  <c r="R66" i="17"/>
  <c r="BV66" i="17" s="1"/>
  <c r="M231" i="17"/>
  <c r="BQ231" i="17" s="1"/>
  <c r="P71" i="17"/>
  <c r="BT71" i="17" s="1"/>
  <c r="P234" i="17"/>
  <c r="P130" i="17"/>
  <c r="BT130" i="17" s="1"/>
  <c r="Q302" i="17"/>
  <c r="BU302" i="17" s="1"/>
  <c r="N115" i="17"/>
  <c r="BR115" i="17" s="1"/>
  <c r="O275" i="17"/>
  <c r="BC275" i="17" s="1"/>
  <c r="BK275" i="17" s="1"/>
  <c r="O172" i="17"/>
  <c r="BS172" i="17" s="1"/>
  <c r="L109" i="17"/>
  <c r="O67" i="17"/>
  <c r="BS67" i="17" s="1"/>
  <c r="M16" i="17"/>
  <c r="O279" i="17"/>
  <c r="BS279" i="17" s="1"/>
  <c r="K158" i="17"/>
  <c r="BO158" i="17" s="1"/>
  <c r="N187" i="17"/>
  <c r="BR187" i="17" s="1"/>
  <c r="L103" i="17"/>
  <c r="BP103" i="17" s="1"/>
  <c r="Q166" i="17"/>
  <c r="BU166" i="17" s="1"/>
  <c r="P62" i="17"/>
  <c r="BT62" i="17" s="1"/>
  <c r="M271" i="17"/>
  <c r="BQ271" i="17" s="1"/>
  <c r="K191" i="17"/>
  <c r="BO191" i="17" s="1"/>
  <c r="M144" i="17"/>
  <c r="BQ144" i="17" s="1"/>
  <c r="N84" i="17"/>
  <c r="BR84" i="17" s="1"/>
  <c r="O126" i="17"/>
  <c r="BS126" i="17" s="1"/>
  <c r="Q211" i="17"/>
  <c r="BU211" i="17" s="1"/>
  <c r="P59" i="17"/>
  <c r="BT59" i="17" s="1"/>
  <c r="P128" i="17"/>
  <c r="BT128" i="17" s="1"/>
  <c r="N40" i="17"/>
  <c r="P66" i="17"/>
  <c r="BT66" i="17" s="1"/>
  <c r="Q231" i="17"/>
  <c r="BU231" i="17" s="1"/>
  <c r="K71" i="17"/>
  <c r="BO71" i="17" s="1"/>
  <c r="L234" i="17"/>
  <c r="L130" i="17"/>
  <c r="BP130" i="17" s="1"/>
  <c r="M302" i="17"/>
  <c r="BQ302" i="17" s="1"/>
  <c r="R115" i="17"/>
  <c r="BV115" i="17" s="1"/>
  <c r="K275" i="17"/>
  <c r="BO275" i="17" s="1"/>
  <c r="R172" i="17"/>
  <c r="BV172" i="17" s="1"/>
  <c r="K109" i="17"/>
  <c r="BO109" i="17" s="1"/>
  <c r="L67" i="17"/>
  <c r="BP67" i="17" s="1"/>
  <c r="K16" i="17"/>
  <c r="K279" i="17"/>
  <c r="BO279" i="17" s="1"/>
  <c r="O158" i="17"/>
  <c r="BS158" i="17" s="1"/>
  <c r="R187" i="17"/>
  <c r="BV187" i="17" s="1"/>
  <c r="P103" i="17"/>
  <c r="BT103" i="17" s="1"/>
  <c r="M166" i="17"/>
  <c r="BQ166" i="17" s="1"/>
  <c r="K62" i="17"/>
  <c r="BO62" i="17" s="1"/>
  <c r="L271" i="17"/>
  <c r="AZ271" i="17" s="1"/>
  <c r="BH271" i="17" s="1"/>
  <c r="Q84" i="17"/>
  <c r="BU84" i="17" s="1"/>
  <c r="R126" i="17"/>
  <c r="BV126" i="17" s="1"/>
  <c r="N181" i="17"/>
  <c r="BR181" i="17" s="1"/>
  <c r="K161" i="17"/>
  <c r="BO161" i="17" s="1"/>
  <c r="P262" i="17"/>
  <c r="BT262" i="17" s="1"/>
  <c r="P310" i="17"/>
  <c r="BT310" i="17" s="1"/>
  <c r="Q181" i="17"/>
  <c r="BU181" i="17" s="1"/>
  <c r="Q161" i="17"/>
  <c r="BU161" i="17" s="1"/>
  <c r="P211" i="17"/>
  <c r="BT211" i="17" s="1"/>
  <c r="L59" i="17"/>
  <c r="O128" i="17"/>
  <c r="BS128" i="17" s="1"/>
  <c r="R40" i="17"/>
  <c r="BV40" i="17" s="1"/>
  <c r="Q66" i="17"/>
  <c r="BU66" i="17" s="1"/>
  <c r="L231" i="17"/>
  <c r="BP231" i="17" s="1"/>
  <c r="R71" i="17"/>
  <c r="BV71" i="17" s="1"/>
  <c r="K234" i="17"/>
  <c r="K130" i="17"/>
  <c r="BO130" i="17" s="1"/>
  <c r="P302" i="17"/>
  <c r="Q115" i="17"/>
  <c r="R275" i="17"/>
  <c r="BV275" i="17" s="1"/>
  <c r="P172" i="17"/>
  <c r="BT172" i="17" s="1"/>
  <c r="P109" i="17"/>
  <c r="BT109" i="17" s="1"/>
  <c r="K67" i="17"/>
  <c r="BO67" i="17" s="1"/>
  <c r="L16" i="17"/>
  <c r="R279" i="17"/>
  <c r="BV279" i="17" s="1"/>
  <c r="R158" i="17"/>
  <c r="BV158" i="17" s="1"/>
  <c r="M187" i="17"/>
  <c r="O103" i="17"/>
  <c r="BS103" i="17" s="1"/>
  <c r="K166" i="17"/>
  <c r="BO166" i="17" s="1"/>
  <c r="O62" i="17"/>
  <c r="BS62" i="17" s="1"/>
  <c r="R271" i="17"/>
  <c r="BV271" i="17" s="1"/>
  <c r="M84" i="17"/>
  <c r="BQ84" i="17" s="1"/>
  <c r="N126" i="17"/>
  <c r="BR126" i="17" s="1"/>
  <c r="L161" i="17"/>
  <c r="BP161" i="17" s="1"/>
  <c r="Q310" i="17"/>
  <c r="BU310" i="17" s="1"/>
  <c r="K262" i="17"/>
  <c r="BO262" i="17" s="1"/>
  <c r="L310" i="17"/>
  <c r="BP310" i="17" s="1"/>
  <c r="M181" i="17"/>
  <c r="BQ181" i="17" s="1"/>
  <c r="N161" i="17"/>
  <c r="BR161" i="17" s="1"/>
  <c r="L211" i="17"/>
  <c r="AZ211" i="17" s="1"/>
  <c r="BH211" i="17" s="1"/>
  <c r="O59" i="17"/>
  <c r="BS59" i="17" s="1"/>
  <c r="K128" i="17"/>
  <c r="BO128" i="17" s="1"/>
  <c r="Q40" i="17"/>
  <c r="BU40" i="17" s="1"/>
  <c r="O66" i="17"/>
  <c r="BS66" i="17" s="1"/>
  <c r="P231" i="17"/>
  <c r="BT231" i="17" s="1"/>
  <c r="O71" i="17"/>
  <c r="BS71" i="17" s="1"/>
  <c r="O234" i="17"/>
  <c r="O130" i="17"/>
  <c r="BS130" i="17" s="1"/>
  <c r="L302" i="17"/>
  <c r="BP302" i="17" s="1"/>
  <c r="M115" i="17"/>
  <c r="BQ115" i="17" s="1"/>
  <c r="N275" i="17"/>
  <c r="BR275" i="17" s="1"/>
  <c r="N172" i="17"/>
  <c r="BR172" i="17" s="1"/>
  <c r="N109" i="17"/>
  <c r="BR109" i="17" s="1"/>
  <c r="R67" i="17"/>
  <c r="BV67" i="17" s="1"/>
  <c r="R16" i="17"/>
  <c r="L279" i="17"/>
  <c r="BP279" i="17" s="1"/>
  <c r="M158" i="17"/>
  <c r="BQ158" i="17" s="1"/>
  <c r="Q187" i="17"/>
  <c r="BU187" i="17" s="1"/>
  <c r="K103" i="17"/>
  <c r="BO103" i="17" s="1"/>
  <c r="P166" i="17"/>
  <c r="L62" i="17"/>
  <c r="BP62" i="17" s="1"/>
  <c r="L237" i="17"/>
  <c r="BP237" i="17" s="1"/>
  <c r="N271" i="17"/>
  <c r="BR271" i="17" s="1"/>
  <c r="P284" i="17"/>
  <c r="BT284" i="17" s="1"/>
  <c r="N247" i="17"/>
  <c r="BR247" i="17" s="1"/>
  <c r="N191" i="17"/>
  <c r="BR191" i="17" s="1"/>
  <c r="O84" i="17"/>
  <c r="BS84" i="17" s="1"/>
  <c r="Q126" i="17"/>
  <c r="BU126" i="17" s="1"/>
  <c r="K181" i="17"/>
  <c r="BO181" i="17" s="1"/>
  <c r="R211" i="17"/>
  <c r="BV211" i="17" s="1"/>
  <c r="M262" i="17"/>
  <c r="O262" i="17"/>
  <c r="BS262" i="17" s="1"/>
  <c r="O310" i="17"/>
  <c r="BS310" i="17" s="1"/>
  <c r="P181" i="17"/>
  <c r="BT181" i="17" s="1"/>
  <c r="R161" i="17"/>
  <c r="BV161" i="17" s="1"/>
  <c r="O211" i="17"/>
  <c r="BS211" i="17" s="1"/>
  <c r="K59" i="17"/>
  <c r="BO59" i="17" s="1"/>
  <c r="N128" i="17"/>
  <c r="BR128" i="17" s="1"/>
  <c r="O40" i="17"/>
  <c r="BS40" i="17" s="1"/>
  <c r="M66" i="17"/>
  <c r="BQ66" i="17" s="1"/>
  <c r="K231" i="17"/>
  <c r="BO231" i="17" s="1"/>
  <c r="N71" i="17"/>
  <c r="BR71" i="17" s="1"/>
  <c r="R234" i="17"/>
  <c r="R130" i="17"/>
  <c r="BV130" i="17" s="1"/>
  <c r="K302" i="17"/>
  <c r="BO302" i="17" s="1"/>
  <c r="P115" i="17"/>
  <c r="BT115" i="17" s="1"/>
  <c r="Q275" i="17"/>
  <c r="BU275" i="17" s="1"/>
  <c r="M172" i="17"/>
  <c r="BQ172" i="17" s="1"/>
  <c r="O109" i="17"/>
  <c r="BS109" i="17" s="1"/>
  <c r="Q67" i="17"/>
  <c r="BU67" i="17" s="1"/>
  <c r="Q16" i="17"/>
  <c r="P279" i="17"/>
  <c r="BT279" i="17" s="1"/>
  <c r="P158" i="17"/>
  <c r="BT158" i="17" s="1"/>
  <c r="P187" i="17"/>
  <c r="BT187" i="17" s="1"/>
  <c r="N103" i="17"/>
  <c r="BR103" i="17" s="1"/>
  <c r="L166" i="17"/>
  <c r="BP166" i="17" s="1"/>
  <c r="R62" i="17"/>
  <c r="BV62" i="17" s="1"/>
  <c r="M237" i="17"/>
  <c r="BQ237" i="17" s="1"/>
  <c r="O99" i="17"/>
  <c r="K284" i="17"/>
  <c r="BO284" i="17" s="1"/>
  <c r="M247" i="17"/>
  <c r="BQ247" i="17" s="1"/>
  <c r="P84" i="17"/>
  <c r="BT84" i="17" s="1"/>
  <c r="M126" i="17"/>
  <c r="BQ126" i="17" s="1"/>
  <c r="L262" i="17"/>
  <c r="BP262" i="17" s="1"/>
  <c r="Q247" i="17"/>
  <c r="BU247" i="17" s="1"/>
  <c r="R173" i="17"/>
  <c r="BV173" i="17" s="1"/>
  <c r="O247" i="17"/>
  <c r="BS247" i="17" s="1"/>
  <c r="N144" i="17"/>
  <c r="Q271" i="17"/>
  <c r="BU271" i="17" s="1"/>
  <c r="M191" i="17"/>
  <c r="BQ191" i="17" s="1"/>
  <c r="D10" i="16"/>
  <c r="O271" i="17"/>
  <c r="BS271" i="17" s="1"/>
  <c r="P99" i="17"/>
  <c r="L247" i="17"/>
  <c r="BP247" i="17" s="1"/>
  <c r="P173" i="17"/>
  <c r="R99" i="17"/>
  <c r="N113" i="17"/>
  <c r="BR113" i="17" s="1"/>
  <c r="O173" i="17"/>
  <c r="BS173" i="17" s="1"/>
  <c r="P271" i="17"/>
  <c r="BT271" i="17" s="1"/>
  <c r="M99" i="17"/>
  <c r="K247" i="17"/>
  <c r="BO247" i="17" s="1"/>
  <c r="Q173" i="17"/>
  <c r="BU173" i="17" s="1"/>
  <c r="N284" i="17"/>
  <c r="BR284" i="17" s="1"/>
  <c r="R246" i="17"/>
  <c r="BV246" i="17" s="1"/>
  <c r="R247" i="17"/>
  <c r="BV247" i="17" s="1"/>
  <c r="K173" i="17"/>
  <c r="BO173" i="17" s="1"/>
  <c r="N246" i="17"/>
  <c r="BR246" i="17" s="1"/>
  <c r="M113" i="17"/>
  <c r="R298" i="17"/>
  <c r="BV298" i="17" s="1"/>
  <c r="K274" i="17"/>
  <c r="BO274" i="17" s="1"/>
  <c r="Q246" i="17"/>
  <c r="BU246" i="17" s="1"/>
  <c r="P237" i="17"/>
  <c r="BT237" i="17" s="1"/>
  <c r="P250" i="17"/>
  <c r="BT250" i="17" s="1"/>
  <c r="N173" i="17"/>
  <c r="BR173" i="17" s="1"/>
  <c r="P274" i="17"/>
  <c r="BT274" i="17" s="1"/>
  <c r="P151" i="17"/>
  <c r="BT151" i="17" s="1"/>
  <c r="M246" i="17"/>
  <c r="BQ246" i="17" s="1"/>
  <c r="K237" i="17"/>
  <c r="N250" i="17"/>
  <c r="BR250" i="17" s="1"/>
  <c r="R274" i="17"/>
  <c r="BV274" i="17" s="1"/>
  <c r="O284" i="17"/>
  <c r="BS284" i="17" s="1"/>
  <c r="P113" i="17"/>
  <c r="BT113" i="17" s="1"/>
  <c r="P246" i="17"/>
  <c r="BT246" i="17" s="1"/>
  <c r="O237" i="17"/>
  <c r="BS237" i="17" s="1"/>
  <c r="Q298" i="17"/>
  <c r="BU298" i="17" s="1"/>
  <c r="L173" i="17"/>
  <c r="BP173" i="17" s="1"/>
  <c r="Q274" i="17"/>
  <c r="BU274" i="17" s="1"/>
  <c r="R284" i="17"/>
  <c r="BV284" i="17" s="1"/>
  <c r="L113" i="17"/>
  <c r="BP113" i="17" s="1"/>
  <c r="L246" i="17"/>
  <c r="M284" i="17"/>
  <c r="BQ284" i="17" s="1"/>
  <c r="R151" i="17"/>
  <c r="L284" i="17"/>
  <c r="BP284" i="17" s="1"/>
  <c r="N151" i="17"/>
  <c r="BR151" i="17" s="1"/>
  <c r="O113" i="17"/>
  <c r="BS113" i="17" s="1"/>
  <c r="BC65" i="17"/>
  <c r="BK65" i="17" s="1"/>
  <c r="K5" i="17"/>
  <c r="C90" i="32" s="1"/>
  <c r="BE26" i="17"/>
  <c r="BM26" i="17" s="1"/>
  <c r="BU26" i="17" s="1"/>
  <c r="CJ26" i="17" s="1"/>
  <c r="CP26" i="17" s="1"/>
  <c r="DG26" i="17" s="1"/>
  <c r="DH26" i="17" s="1"/>
  <c r="BB65" i="17"/>
  <c r="BJ65" i="17" s="1"/>
  <c r="BD198" i="17"/>
  <c r="BL198" i="17" s="1"/>
  <c r="BC198" i="17"/>
  <c r="BK198" i="17" s="1"/>
  <c r="BD65" i="17"/>
  <c r="BL65" i="17" s="1"/>
  <c r="BB198" i="17"/>
  <c r="BJ198" i="17" s="1"/>
  <c r="BC122" i="17"/>
  <c r="BK122" i="17" s="1"/>
  <c r="BC181" i="17"/>
  <c r="BK181" i="17" s="1"/>
  <c r="O246" i="17"/>
  <c r="BS246" i="17" s="1"/>
  <c r="AZ289" i="17"/>
  <c r="BH289" i="17" s="1"/>
  <c r="AY48" i="17"/>
  <c r="BG48" i="17" s="1"/>
  <c r="AY34" i="17"/>
  <c r="BG34" i="17" s="1"/>
  <c r="BB39" i="17"/>
  <c r="BJ39" i="17" s="1"/>
  <c r="BF150" i="17"/>
  <c r="BN150" i="17" s="1"/>
  <c r="K142" i="17"/>
  <c r="BO142" i="17" s="1"/>
  <c r="O142" i="17"/>
  <c r="BS142" i="17" s="1"/>
  <c r="L142" i="17"/>
  <c r="BP142" i="17" s="1"/>
  <c r="P142" i="17"/>
  <c r="BT142" i="17" s="1"/>
  <c r="M142" i="17"/>
  <c r="BQ142" i="17" s="1"/>
  <c r="Q142" i="17"/>
  <c r="BU142" i="17" s="1"/>
  <c r="N142" i="17"/>
  <c r="BR142" i="17" s="1"/>
  <c r="R142" i="17"/>
  <c r="BV142" i="17" s="1"/>
  <c r="BF72" i="17"/>
  <c r="BN72" i="17" s="1"/>
  <c r="BF122" i="17"/>
  <c r="BN122" i="17" s="1"/>
  <c r="BV122" i="17" s="1"/>
  <c r="CJ122" i="17" s="1"/>
  <c r="CP122" i="17" s="1"/>
  <c r="DG122" i="17" s="1"/>
  <c r="DH122" i="17" s="1"/>
  <c r="BB122" i="17"/>
  <c r="BJ122" i="17" s="1"/>
  <c r="AY289" i="17"/>
  <c r="BG289" i="17" s="1"/>
  <c r="BF48" i="17"/>
  <c r="BN48" i="17" s="1"/>
  <c r="BA34" i="17"/>
  <c r="BI34" i="17" s="1"/>
  <c r="O124" i="17"/>
  <c r="BS124" i="17" s="1"/>
  <c r="P124" i="17"/>
  <c r="BT124" i="17" s="1"/>
  <c r="L124" i="17"/>
  <c r="BP124" i="17" s="1"/>
  <c r="Q124" i="17"/>
  <c r="BU124" i="17" s="1"/>
  <c r="M124" i="17"/>
  <c r="BQ124" i="17" s="1"/>
  <c r="R124" i="17"/>
  <c r="BV124" i="17" s="1"/>
  <c r="N124" i="17"/>
  <c r="BR124" i="17" s="1"/>
  <c r="K124" i="17"/>
  <c r="BO124" i="17" s="1"/>
  <c r="AY150" i="17"/>
  <c r="BG150" i="17" s="1"/>
  <c r="BB48" i="17"/>
  <c r="BJ48" i="17" s="1"/>
  <c r="O21" i="17"/>
  <c r="BS21" i="17" s="1"/>
  <c r="M21" i="17"/>
  <c r="BQ21" i="17" s="1"/>
  <c r="P21" i="17"/>
  <c r="BT21" i="17" s="1"/>
  <c r="R21" i="17"/>
  <c r="BV21" i="17" s="1"/>
  <c r="Q21" i="17"/>
  <c r="BU21" i="17" s="1"/>
  <c r="N21" i="17"/>
  <c r="BR21" i="17" s="1"/>
  <c r="L21" i="17"/>
  <c r="BP21" i="17" s="1"/>
  <c r="K21" i="17"/>
  <c r="BO21" i="17" s="1"/>
  <c r="BB150" i="17"/>
  <c r="BJ150" i="17" s="1"/>
  <c r="R210" i="17"/>
  <c r="BV210" i="17" s="1"/>
  <c r="N210" i="17"/>
  <c r="BR210" i="17" s="1"/>
  <c r="K210" i="17"/>
  <c r="BO210" i="17" s="1"/>
  <c r="O210" i="17"/>
  <c r="BS210" i="17" s="1"/>
  <c r="L210" i="17"/>
  <c r="BP210" i="17" s="1"/>
  <c r="P210" i="17"/>
  <c r="Q210" i="17"/>
  <c r="BU210" i="17" s="1"/>
  <c r="M210" i="17"/>
  <c r="BQ210" i="17" s="1"/>
  <c r="M63" i="17"/>
  <c r="BQ63" i="17" s="1"/>
  <c r="Q63" i="17"/>
  <c r="BU63" i="17" s="1"/>
  <c r="L63" i="17"/>
  <c r="BP63" i="17" s="1"/>
  <c r="O63" i="17"/>
  <c r="BS63" i="17" s="1"/>
  <c r="K63" i="17"/>
  <c r="BO63" i="17" s="1"/>
  <c r="R63" i="17"/>
  <c r="BV63" i="17" s="1"/>
  <c r="N63" i="17"/>
  <c r="BR63" i="17" s="1"/>
  <c r="P63" i="17"/>
  <c r="BT63" i="17" s="1"/>
  <c r="L121" i="17"/>
  <c r="BP121" i="17" s="1"/>
  <c r="M121" i="17"/>
  <c r="BQ121" i="17" s="1"/>
  <c r="Q121" i="17"/>
  <c r="BU121" i="17" s="1"/>
  <c r="P121" i="17"/>
  <c r="BT121" i="17" s="1"/>
  <c r="N121" i="17"/>
  <c r="BR121" i="17" s="1"/>
  <c r="R121" i="17"/>
  <c r="BV121" i="17" s="1"/>
  <c r="O121" i="17"/>
  <c r="K121" i="17"/>
  <c r="BO121" i="17" s="1"/>
  <c r="N303" i="17"/>
  <c r="R303" i="17"/>
  <c r="K303" i="17"/>
  <c r="O303" i="17"/>
  <c r="L303" i="17"/>
  <c r="P303" i="17"/>
  <c r="M303" i="17"/>
  <c r="Q303" i="17"/>
  <c r="BE122" i="17"/>
  <c r="BM122" i="17" s="1"/>
  <c r="BA122" i="17"/>
  <c r="BI122" i="17" s="1"/>
  <c r="R168" i="17"/>
  <c r="BV168" i="17" s="1"/>
  <c r="L168" i="17"/>
  <c r="BP168" i="17" s="1"/>
  <c r="P168" i="17"/>
  <c r="BT168" i="17" s="1"/>
  <c r="M168" i="17"/>
  <c r="BQ168" i="17" s="1"/>
  <c r="Q168" i="17"/>
  <c r="BU168" i="17" s="1"/>
  <c r="N168" i="17"/>
  <c r="BR168" i="17" s="1"/>
  <c r="K168" i="17"/>
  <c r="BO168" i="17" s="1"/>
  <c r="O168" i="17"/>
  <c r="BS168" i="17" s="1"/>
  <c r="BA289" i="17"/>
  <c r="BI289" i="17" s="1"/>
  <c r="AZ48" i="17"/>
  <c r="BH48" i="17" s="1"/>
  <c r="BF13" i="17"/>
  <c r="BN13" i="17" s="1"/>
  <c r="P119" i="17"/>
  <c r="BT119" i="17" s="1"/>
  <c r="M119" i="17"/>
  <c r="BQ119" i="17" s="1"/>
  <c r="Q119" i="17"/>
  <c r="BU119" i="17" s="1"/>
  <c r="N119" i="17"/>
  <c r="BR119" i="17" s="1"/>
  <c r="R119" i="17"/>
  <c r="BV119" i="17" s="1"/>
  <c r="O119" i="17"/>
  <c r="K119" i="17"/>
  <c r="BO119" i="17" s="1"/>
  <c r="L119" i="17"/>
  <c r="BP119" i="17" s="1"/>
  <c r="AZ122" i="17"/>
  <c r="BH122" i="17" s="1"/>
  <c r="BC289" i="17"/>
  <c r="BK289" i="17" s="1"/>
  <c r="M129" i="17"/>
  <c r="BQ129" i="17" s="1"/>
  <c r="Q129" i="17"/>
  <c r="BU129" i="17" s="1"/>
  <c r="N129" i="17"/>
  <c r="BR129" i="17" s="1"/>
  <c r="R129" i="17"/>
  <c r="BV129" i="17" s="1"/>
  <c r="O129" i="17"/>
  <c r="BS129" i="17" s="1"/>
  <c r="K129" i="17"/>
  <c r="BO129" i="17" s="1"/>
  <c r="L129" i="17"/>
  <c r="BP129" i="17" s="1"/>
  <c r="P129" i="17"/>
  <c r="BT129" i="17" s="1"/>
  <c r="L114" i="17"/>
  <c r="P114" i="17"/>
  <c r="BT114" i="17" s="1"/>
  <c r="M114" i="17"/>
  <c r="BQ114" i="17" s="1"/>
  <c r="Q114" i="17"/>
  <c r="BU114" i="17" s="1"/>
  <c r="N114" i="17"/>
  <c r="BR114" i="17" s="1"/>
  <c r="R114" i="17"/>
  <c r="BV114" i="17" s="1"/>
  <c r="O114" i="17"/>
  <c r="BS114" i="17" s="1"/>
  <c r="K114" i="17"/>
  <c r="BO114" i="17" s="1"/>
  <c r="AY133" i="17"/>
  <c r="BG133" i="17" s="1"/>
  <c r="O282" i="17"/>
  <c r="BS282" i="17" s="1"/>
  <c r="R282" i="17"/>
  <c r="BV282" i="17" s="1"/>
  <c r="N282" i="17"/>
  <c r="BR282" i="17" s="1"/>
  <c r="M282" i="17"/>
  <c r="BQ282" i="17" s="1"/>
  <c r="L282" i="17"/>
  <c r="BP282" i="17" s="1"/>
  <c r="K282" i="17"/>
  <c r="BO282" i="17" s="1"/>
  <c r="Q282" i="17"/>
  <c r="P282" i="17"/>
  <c r="BT282" i="17" s="1"/>
  <c r="P147" i="17"/>
  <c r="BT147" i="17" s="1"/>
  <c r="M147" i="17"/>
  <c r="BQ147" i="17" s="1"/>
  <c r="Q147" i="17"/>
  <c r="BU147" i="17" s="1"/>
  <c r="L147" i="17"/>
  <c r="BP147" i="17" s="1"/>
  <c r="N147" i="17"/>
  <c r="BR147" i="17" s="1"/>
  <c r="R147" i="17"/>
  <c r="BV147" i="17" s="1"/>
  <c r="O147" i="17"/>
  <c r="BS147" i="17" s="1"/>
  <c r="K147" i="17"/>
  <c r="BO147" i="17" s="1"/>
  <c r="BD122" i="17"/>
  <c r="BL122" i="17" s="1"/>
  <c r="BF273" i="17"/>
  <c r="BN273" i="17" s="1"/>
  <c r="BV273" i="17" s="1"/>
  <c r="BB289" i="17"/>
  <c r="BJ289" i="17" s="1"/>
  <c r="BD48" i="17"/>
  <c r="BL48" i="17" s="1"/>
  <c r="BD150" i="17"/>
  <c r="BL150" i="17" s="1"/>
  <c r="BF133" i="17"/>
  <c r="BN133" i="17" s="1"/>
  <c r="Q179" i="17"/>
  <c r="BU179" i="17" s="1"/>
  <c r="R179" i="17"/>
  <c r="BV179" i="17" s="1"/>
  <c r="K179" i="17"/>
  <c r="BO179" i="17" s="1"/>
  <c r="O179" i="17"/>
  <c r="BS179" i="17" s="1"/>
  <c r="N179" i="17"/>
  <c r="BR179" i="17" s="1"/>
  <c r="L179" i="17"/>
  <c r="BP179" i="17" s="1"/>
  <c r="P179" i="17"/>
  <c r="M179" i="17"/>
  <c r="BQ179" i="17" s="1"/>
  <c r="BD251" i="17"/>
  <c r="BL251" i="17" s="1"/>
  <c r="AZ72" i="17"/>
  <c r="BH72" i="17" s="1"/>
  <c r="O155" i="17"/>
  <c r="BS155" i="17" s="1"/>
  <c r="Q155" i="17"/>
  <c r="BU155" i="17" s="1"/>
  <c r="M155" i="17"/>
  <c r="BQ155" i="17" s="1"/>
  <c r="R155" i="17"/>
  <c r="BV155" i="17" s="1"/>
  <c r="N155" i="17"/>
  <c r="BR155" i="17" s="1"/>
  <c r="K155" i="17"/>
  <c r="BO155" i="17" s="1"/>
  <c r="P155" i="17"/>
  <c r="BT155" i="17" s="1"/>
  <c r="L155" i="17"/>
  <c r="BP155" i="17" s="1"/>
  <c r="BF289" i="17"/>
  <c r="BN289" i="17" s="1"/>
  <c r="AZ34" i="17"/>
  <c r="BH34" i="17" s="1"/>
  <c r="M205" i="17"/>
  <c r="BQ205" i="17" s="1"/>
  <c r="Q205" i="17"/>
  <c r="BU205" i="17" s="1"/>
  <c r="N205" i="17"/>
  <c r="BR205" i="17" s="1"/>
  <c r="K205" i="17"/>
  <c r="BO205" i="17" s="1"/>
  <c r="O205" i="17"/>
  <c r="R205" i="17"/>
  <c r="BV205" i="17" s="1"/>
  <c r="L205" i="17"/>
  <c r="BP205" i="17" s="1"/>
  <c r="P205" i="17"/>
  <c r="BT205" i="17" s="1"/>
  <c r="AZ150" i="17"/>
  <c r="BH150" i="17" s="1"/>
  <c r="P143" i="17"/>
  <c r="BT143" i="17" s="1"/>
  <c r="R143" i="17"/>
  <c r="BV143" i="17" s="1"/>
  <c r="N143" i="17"/>
  <c r="BR143" i="17" s="1"/>
  <c r="K143" i="17"/>
  <c r="BO143" i="17" s="1"/>
  <c r="O143" i="17"/>
  <c r="BS143" i="17" s="1"/>
  <c r="L143" i="17"/>
  <c r="BP143" i="17" s="1"/>
  <c r="Q143" i="17"/>
  <c r="M143" i="17"/>
  <c r="BQ143" i="17" s="1"/>
  <c r="N80" i="17"/>
  <c r="R80" i="17"/>
  <c r="Q80" i="17"/>
  <c r="M80" i="17"/>
  <c r="K80" i="17"/>
  <c r="L80" i="17"/>
  <c r="O80" i="17"/>
  <c r="P80" i="17"/>
  <c r="BC72" i="17"/>
  <c r="BK72" i="17" s="1"/>
  <c r="BS72" i="17" s="1"/>
  <c r="AY122" i="17"/>
  <c r="BG122" i="17" s="1"/>
  <c r="AZ181" i="17"/>
  <c r="BH181" i="17" s="1"/>
  <c r="AZ158" i="17"/>
  <c r="BH158" i="17" s="1"/>
  <c r="BD289" i="17"/>
  <c r="BL289" i="17" s="1"/>
  <c r="BC48" i="17"/>
  <c r="BK48" i="17" s="1"/>
  <c r="BS48" i="17" s="1"/>
  <c r="CI48" i="17" s="1"/>
  <c r="CO48" i="17" s="1"/>
  <c r="DE48" i="17" s="1"/>
  <c r="DF48" i="17" s="1"/>
  <c r="M265" i="17"/>
  <c r="BQ265" i="17" s="1"/>
  <c r="Q265" i="17"/>
  <c r="BU265" i="17" s="1"/>
  <c r="P265" i="17"/>
  <c r="BT265" i="17" s="1"/>
  <c r="L265" i="17"/>
  <c r="BP265" i="17" s="1"/>
  <c r="N265" i="17"/>
  <c r="BR265" i="17" s="1"/>
  <c r="R265" i="17"/>
  <c r="BV265" i="17" s="1"/>
  <c r="O265" i="17"/>
  <c r="K265" i="17"/>
  <c r="BO265" i="17" s="1"/>
  <c r="BC150" i="17"/>
  <c r="BK150" i="17" s="1"/>
  <c r="AY84" i="17"/>
  <c r="BG84" i="17" s="1"/>
  <c r="N12" i="17"/>
  <c r="BR12" i="17" s="1"/>
  <c r="Q12" i="17"/>
  <c r="BU12" i="17" s="1"/>
  <c r="M12" i="17"/>
  <c r="BQ12" i="17" s="1"/>
  <c r="K12" i="17"/>
  <c r="BO12" i="17" s="1"/>
  <c r="O12" i="17"/>
  <c r="BS12" i="17" s="1"/>
  <c r="L12" i="17"/>
  <c r="BP12" i="17" s="1"/>
  <c r="R12" i="17"/>
  <c r="BV12" i="17" s="1"/>
  <c r="P12" i="17"/>
  <c r="BT12" i="17" s="1"/>
  <c r="BC251" i="17"/>
  <c r="BK251" i="17" s="1"/>
  <c r="P136" i="17"/>
  <c r="BT136" i="17" s="1"/>
  <c r="M136" i="17"/>
  <c r="Q136" i="17"/>
  <c r="BU136" i="17" s="1"/>
  <c r="R136" i="17"/>
  <c r="BV136" i="17" s="1"/>
  <c r="N136" i="17"/>
  <c r="BR136" i="17" s="1"/>
  <c r="K136" i="17"/>
  <c r="BO136" i="17" s="1"/>
  <c r="O136" i="17"/>
  <c r="BS136" i="17" s="1"/>
  <c r="L136" i="17"/>
  <c r="BP136" i="17" s="1"/>
  <c r="AZ127" i="17"/>
  <c r="BH127" i="17" s="1"/>
  <c r="AZ54" i="17"/>
  <c r="BH54" i="17" s="1"/>
  <c r="BD201" i="17"/>
  <c r="BL201" i="17" s="1"/>
  <c r="BT201" i="17" s="1"/>
  <c r="CJ201" i="17" s="1"/>
  <c r="CP201" i="17" s="1"/>
  <c r="DG201" i="17" s="1"/>
  <c r="DH201" i="17" s="1"/>
  <c r="BA157" i="17"/>
  <c r="BI157" i="17" s="1"/>
  <c r="AZ17" i="17"/>
  <c r="BH17" i="17" s="1"/>
  <c r="AZ14" i="17"/>
  <c r="BH14" i="17" s="1"/>
  <c r="BD83" i="17"/>
  <c r="BL83" i="17" s="1"/>
  <c r="BC127" i="17"/>
  <c r="BK127" i="17" s="1"/>
  <c r="BB111" i="17"/>
  <c r="BJ111" i="17" s="1"/>
  <c r="BE203" i="17"/>
  <c r="BM203" i="17" s="1"/>
  <c r="BE74" i="17"/>
  <c r="BM74" i="17" s="1"/>
  <c r="BF153" i="17"/>
  <c r="BN153" i="17" s="1"/>
  <c r="BE235" i="17"/>
  <c r="BM235" i="17" s="1"/>
  <c r="BF81" i="17"/>
  <c r="BN81" i="17" s="1"/>
  <c r="BF54" i="17"/>
  <c r="BN54" i="17" s="1"/>
  <c r="AZ164" i="17"/>
  <c r="BH164" i="17" s="1"/>
  <c r="AY255" i="17"/>
  <c r="BG255" i="17" s="1"/>
  <c r="BF189" i="17"/>
  <c r="BN189" i="17" s="1"/>
  <c r="BE61" i="17"/>
  <c r="BM61" i="17" s="1"/>
  <c r="AY88" i="17"/>
  <c r="BG88" i="17" s="1"/>
  <c r="BC248" i="17"/>
  <c r="BK248" i="17" s="1"/>
  <c r="BA116" i="17"/>
  <c r="BI116" i="17" s="1"/>
  <c r="AZ194" i="17"/>
  <c r="BH194" i="17" s="1"/>
  <c r="BP194" i="17" s="1"/>
  <c r="BE201" i="17"/>
  <c r="BM201" i="17" s="1"/>
  <c r="BA239" i="17"/>
  <c r="BI239" i="17" s="1"/>
  <c r="AZ243" i="17"/>
  <c r="BH243" i="17" s="1"/>
  <c r="BP243" i="17" s="1"/>
  <c r="AY312" i="17"/>
  <c r="BG312" i="17" s="1"/>
  <c r="BF146" i="17"/>
  <c r="BN146" i="17" s="1"/>
  <c r="BD157" i="17"/>
  <c r="BL157" i="17" s="1"/>
  <c r="BD315" i="17"/>
  <c r="BL315" i="17" s="1"/>
  <c r="BC6" i="17"/>
  <c r="BK6" i="17" s="1"/>
  <c r="BD26" i="17"/>
  <c r="BL26" i="17" s="1"/>
  <c r="BE236" i="17"/>
  <c r="BM236" i="17" s="1"/>
  <c r="BD214" i="17"/>
  <c r="BL214" i="17" s="1"/>
  <c r="AY186" i="17"/>
  <c r="BG186" i="17" s="1"/>
  <c r="AZ286" i="17"/>
  <c r="BH286" i="17" s="1"/>
  <c r="AZ100" i="17"/>
  <c r="BH100" i="17" s="1"/>
  <c r="AY257" i="17"/>
  <c r="BG257" i="17" s="1"/>
  <c r="BE14" i="17"/>
  <c r="BM14" i="17" s="1"/>
  <c r="BB281" i="17"/>
  <c r="BJ281" i="17" s="1"/>
  <c r="AZ245" i="17"/>
  <c r="BH245" i="17" s="1"/>
  <c r="BF301" i="17"/>
  <c r="BN301" i="17" s="1"/>
  <c r="BF177" i="17"/>
  <c r="BN177" i="17" s="1"/>
  <c r="BE117" i="17"/>
  <c r="BM117" i="17" s="1"/>
  <c r="AZ221" i="17"/>
  <c r="BH221" i="17" s="1"/>
  <c r="BF267" i="17"/>
  <c r="BN267" i="17" s="1"/>
  <c r="BD53" i="17"/>
  <c r="BL53" i="17" s="1"/>
  <c r="BC86" i="17"/>
  <c r="BK86" i="17" s="1"/>
  <c r="BE55" i="17"/>
  <c r="BM55" i="17" s="1"/>
  <c r="BD87" i="17"/>
  <c r="BL87" i="17" s="1"/>
  <c r="BC41" i="17"/>
  <c r="BK41" i="17" s="1"/>
  <c r="BE293" i="17"/>
  <c r="BM293" i="17" s="1"/>
  <c r="BA120" i="17"/>
  <c r="BI120" i="17" s="1"/>
  <c r="BC89" i="17"/>
  <c r="BK89" i="17" s="1"/>
  <c r="BB49" i="17"/>
  <c r="BJ49" i="17" s="1"/>
  <c r="BF170" i="17"/>
  <c r="BN170" i="17" s="1"/>
  <c r="AY195" i="17"/>
  <c r="BG195" i="17" s="1"/>
  <c r="BC305" i="17"/>
  <c r="BK305" i="17" s="1"/>
  <c r="BF79" i="17"/>
  <c r="BN79" i="17" s="1"/>
  <c r="BC148" i="17"/>
  <c r="BK148" i="17" s="1"/>
  <c r="BA260" i="17"/>
  <c r="BI260" i="17" s="1"/>
  <c r="BB299" i="17"/>
  <c r="BJ299" i="17" s="1"/>
  <c r="BB296" i="17"/>
  <c r="BJ296" i="17" s="1"/>
  <c r="BR296" i="17" s="1"/>
  <c r="CH296" i="17" s="1"/>
  <c r="CN296" i="17" s="1"/>
  <c r="DC296" i="17" s="1"/>
  <c r="DD296" i="17" s="1"/>
  <c r="BB82" i="17"/>
  <c r="BJ82" i="17" s="1"/>
  <c r="BF108" i="17"/>
  <c r="BN108" i="17" s="1"/>
  <c r="BD90" i="17"/>
  <c r="BL90" i="17" s="1"/>
  <c r="AZ178" i="17"/>
  <c r="BH178" i="17" s="1"/>
  <c r="BF51" i="17"/>
  <c r="BN51" i="17" s="1"/>
  <c r="BA60" i="17"/>
  <c r="BI60" i="17" s="1"/>
  <c r="BE73" i="17"/>
  <c r="BM73" i="17" s="1"/>
  <c r="BC138" i="17"/>
  <c r="BK138" i="17" s="1"/>
  <c r="AZ300" i="17"/>
  <c r="BH300" i="17" s="1"/>
  <c r="AY134" i="17"/>
  <c r="BG134" i="17" s="1"/>
  <c r="BA240" i="17"/>
  <c r="BI240" i="17" s="1"/>
  <c r="BA92" i="17"/>
  <c r="BI92" i="17" s="1"/>
  <c r="BQ92" i="17" s="1"/>
  <c r="BA256" i="17"/>
  <c r="BI256" i="17" s="1"/>
  <c r="BE207" i="17"/>
  <c r="BM207" i="17" s="1"/>
  <c r="BE149" i="17"/>
  <c r="BM149" i="17" s="1"/>
  <c r="BE22" i="17"/>
  <c r="BM22" i="17" s="1"/>
  <c r="AZ42" i="17"/>
  <c r="BH42" i="17" s="1"/>
  <c r="BP42" i="17" s="1"/>
  <c r="BE313" i="17"/>
  <c r="BM313" i="17" s="1"/>
  <c r="AY291" i="17"/>
  <c r="BG291" i="17" s="1"/>
  <c r="BD182" i="17"/>
  <c r="BL182" i="17" s="1"/>
  <c r="AY200" i="17"/>
  <c r="BG200" i="17" s="1"/>
  <c r="BF30" i="17"/>
  <c r="BN30" i="17" s="1"/>
  <c r="AZ104" i="17"/>
  <c r="BH104" i="17" s="1"/>
  <c r="BP104" i="17" s="1"/>
  <c r="AZ65" i="17"/>
  <c r="BH65" i="17" s="1"/>
  <c r="BA78" i="17"/>
  <c r="BI78" i="17" s="1"/>
  <c r="BE64" i="17"/>
  <c r="BM64" i="17" s="1"/>
  <c r="BA175" i="17"/>
  <c r="BI175" i="17" s="1"/>
  <c r="BE10" i="17"/>
  <c r="BM10" i="17" s="1"/>
  <c r="BF160" i="17"/>
  <c r="BN160" i="17" s="1"/>
  <c r="BD118" i="17"/>
  <c r="BL118" i="17" s="1"/>
  <c r="AY228" i="17"/>
  <c r="BG228" i="17" s="1"/>
  <c r="BO228" i="17" s="1"/>
  <c r="BD57" i="17"/>
  <c r="BL57" i="17" s="1"/>
  <c r="BD167" i="17"/>
  <c r="BL167" i="17" s="1"/>
  <c r="BB174" i="17"/>
  <c r="BJ174" i="17" s="1"/>
  <c r="AZ270" i="17"/>
  <c r="BH270" i="17" s="1"/>
  <c r="BE261" i="17"/>
  <c r="BM261" i="17" s="1"/>
  <c r="AY135" i="17"/>
  <c r="BG135" i="17" s="1"/>
  <c r="BC317" i="17"/>
  <c r="BK317" i="17" s="1"/>
  <c r="BF163" i="17"/>
  <c r="BN163" i="17" s="1"/>
  <c r="AY216" i="17"/>
  <c r="BG216" i="17" s="1"/>
  <c r="BC152" i="17"/>
  <c r="BK152" i="17" s="1"/>
  <c r="BE272" i="17"/>
  <c r="BM272" i="17" s="1"/>
  <c r="BD19" i="17"/>
  <c r="BL19" i="17" s="1"/>
  <c r="BF311" i="17"/>
  <c r="BN311" i="17" s="1"/>
  <c r="AY140" i="17"/>
  <c r="BG140" i="17" s="1"/>
  <c r="BE101" i="17"/>
  <c r="BM101" i="17" s="1"/>
  <c r="AY33" i="17"/>
  <c r="BG33" i="17" s="1"/>
  <c r="AY11" i="17"/>
  <c r="BG11" i="17" s="1"/>
  <c r="BO11" i="17" s="1"/>
  <c r="BB292" i="17"/>
  <c r="BJ292" i="17" s="1"/>
  <c r="BB197" i="17"/>
  <c r="BJ197" i="17" s="1"/>
  <c r="BB254" i="17"/>
  <c r="BJ254" i="17" s="1"/>
  <c r="BB230" i="17"/>
  <c r="BJ230" i="17" s="1"/>
  <c r="BA233" i="17"/>
  <c r="BI233" i="17" s="1"/>
  <c r="AZ287" i="17"/>
  <c r="BH287" i="17" s="1"/>
  <c r="BD24" i="17"/>
  <c r="BL24" i="17" s="1"/>
  <c r="BE306" i="17"/>
  <c r="BM306" i="17" s="1"/>
  <c r="BB274" i="17"/>
  <c r="BJ274" i="17" s="1"/>
  <c r="BE284" i="17"/>
  <c r="BM284" i="17" s="1"/>
  <c r="BA151" i="17"/>
  <c r="BI151" i="17" s="1"/>
  <c r="BE23" i="17"/>
  <c r="BM23" i="17" s="1"/>
  <c r="BE190" i="17"/>
  <c r="BM190" i="17" s="1"/>
  <c r="BF18" i="17"/>
  <c r="BN18" i="17" s="1"/>
  <c r="BD208" i="17"/>
  <c r="BL208" i="17" s="1"/>
  <c r="BD294" i="17"/>
  <c r="BL294" i="17" s="1"/>
  <c r="AZ171" i="17"/>
  <c r="BH171" i="17" s="1"/>
  <c r="BB184" i="17"/>
  <c r="BJ184" i="17" s="1"/>
  <c r="BB288" i="17"/>
  <c r="BJ288" i="17" s="1"/>
  <c r="AZ37" i="17"/>
  <c r="BH37" i="17" s="1"/>
  <c r="BE83" i="17"/>
  <c r="BM83" i="17" s="1"/>
  <c r="AZ199" i="17"/>
  <c r="BH199" i="17" s="1"/>
  <c r="BD218" i="17"/>
  <c r="BL218" i="17" s="1"/>
  <c r="BE56" i="17"/>
  <c r="BM56" i="17" s="1"/>
  <c r="BB202" i="17"/>
  <c r="BJ202" i="17" s="1"/>
  <c r="AZ154" i="17"/>
  <c r="BH154" i="17" s="1"/>
  <c r="BC44" i="17"/>
  <c r="BK44" i="17" s="1"/>
  <c r="BF116" i="17"/>
  <c r="BN116" i="17" s="1"/>
  <c r="BV116" i="17" s="1"/>
  <c r="CJ116" i="17" s="1"/>
  <c r="CP116" i="17" s="1"/>
  <c r="DG116" i="17" s="1"/>
  <c r="DH116" i="17" s="1"/>
  <c r="BF239" i="17"/>
  <c r="BN239" i="17" s="1"/>
  <c r="BB236" i="17"/>
  <c r="BJ236" i="17" s="1"/>
  <c r="BR236" i="17" s="1"/>
  <c r="BD186" i="17"/>
  <c r="BL186" i="17" s="1"/>
  <c r="AY281" i="17"/>
  <c r="BG281" i="17" s="1"/>
  <c r="AZ83" i="17"/>
  <c r="BH83" i="17" s="1"/>
  <c r="BB132" i="17"/>
  <c r="BJ132" i="17" s="1"/>
  <c r="BR132" i="17" s="1"/>
  <c r="CH132" i="17" s="1"/>
  <c r="CN132" i="17" s="1"/>
  <c r="DC132" i="17" s="1"/>
  <c r="DD132" i="17" s="1"/>
  <c r="AY199" i="17"/>
  <c r="BG199" i="17" s="1"/>
  <c r="BB314" i="17"/>
  <c r="BJ314" i="17" s="1"/>
  <c r="BE227" i="17"/>
  <c r="BM227" i="17" s="1"/>
  <c r="AZ238" i="17"/>
  <c r="BH238" i="17" s="1"/>
  <c r="BC242" i="17"/>
  <c r="BK242" i="17" s="1"/>
  <c r="BD185" i="17"/>
  <c r="BL185" i="17" s="1"/>
  <c r="BE202" i="17"/>
  <c r="BM202" i="17" s="1"/>
  <c r="BA280" i="17"/>
  <c r="BI280" i="17" s="1"/>
  <c r="BQ280" i="17" s="1"/>
  <c r="AY83" i="17"/>
  <c r="BG83" i="17" s="1"/>
  <c r="BA241" i="17"/>
  <c r="BI241" i="17" s="1"/>
  <c r="BF132" i="17"/>
  <c r="BN132" i="17" s="1"/>
  <c r="AY127" i="17"/>
  <c r="BG127" i="17" s="1"/>
  <c r="BO127" i="17" s="1"/>
  <c r="BF111" i="17"/>
  <c r="BN111" i="17" s="1"/>
  <c r="BE105" i="17"/>
  <c r="BM105" i="17" s="1"/>
  <c r="BC199" i="17"/>
  <c r="BK199" i="17" s="1"/>
  <c r="AY244" i="17"/>
  <c r="BG244" i="17" s="1"/>
  <c r="AZ97" i="17"/>
  <c r="BH97" i="17" s="1"/>
  <c r="AY218" i="17"/>
  <c r="BG218" i="17" s="1"/>
  <c r="BD8" i="17"/>
  <c r="BL8" i="17" s="1"/>
  <c r="BT8" i="17" s="1"/>
  <c r="CJ8" i="17" s="1"/>
  <c r="CP8" i="17" s="1"/>
  <c r="DG8" i="17" s="1"/>
  <c r="DH8" i="17" s="1"/>
  <c r="BF314" i="17"/>
  <c r="BN314" i="17" s="1"/>
  <c r="AZ56" i="17"/>
  <c r="BH56" i="17" s="1"/>
  <c r="AY242" i="17"/>
  <c r="BG242" i="17" s="1"/>
  <c r="BO242" i="17" s="1"/>
  <c r="BF74" i="17"/>
  <c r="BN74" i="17" s="1"/>
  <c r="BB25" i="17"/>
  <c r="BJ25" i="17" s="1"/>
  <c r="BC77" i="17"/>
  <c r="BK77" i="17" s="1"/>
  <c r="BC153" i="17"/>
  <c r="BK153" i="17" s="1"/>
  <c r="AZ185" i="17"/>
  <c r="BH185" i="17" s="1"/>
  <c r="BA202" i="17"/>
  <c r="BI202" i="17" s="1"/>
  <c r="AZ58" i="17"/>
  <c r="BH58" i="17" s="1"/>
  <c r="BA235" i="17"/>
  <c r="BI235" i="17" s="1"/>
  <c r="BB154" i="17"/>
  <c r="BJ154" i="17" s="1"/>
  <c r="BR154" i="17" s="1"/>
  <c r="CH154" i="17" s="1"/>
  <c r="CN154" i="17" s="1"/>
  <c r="DC154" i="17" s="1"/>
  <c r="DD154" i="17" s="1"/>
  <c r="BB125" i="17"/>
  <c r="BJ125" i="17" s="1"/>
  <c r="BB277" i="17"/>
  <c r="BJ277" i="17" s="1"/>
  <c r="BA44" i="17"/>
  <c r="BI44" i="17" s="1"/>
  <c r="AZ209" i="17"/>
  <c r="BH209" i="17" s="1"/>
  <c r="BP209" i="17" s="1"/>
  <c r="BE54" i="17"/>
  <c r="BM54" i="17" s="1"/>
  <c r="BE164" i="17"/>
  <c r="BM164" i="17" s="1"/>
  <c r="BC255" i="17"/>
  <c r="BK255" i="17" s="1"/>
  <c r="BF252" i="17"/>
  <c r="BN252" i="17" s="1"/>
  <c r="AY248" i="17"/>
  <c r="BG248" i="17" s="1"/>
  <c r="BE116" i="17"/>
  <c r="BM116" i="17" s="1"/>
  <c r="BD194" i="17"/>
  <c r="BL194" i="17" s="1"/>
  <c r="BB201" i="17"/>
  <c r="BJ201" i="17" s="1"/>
  <c r="BE239" i="17"/>
  <c r="BM239" i="17" s="1"/>
  <c r="BD243" i="17"/>
  <c r="BL243" i="17" s="1"/>
  <c r="BC312" i="17"/>
  <c r="BK312" i="17" s="1"/>
  <c r="BA146" i="17"/>
  <c r="BI146" i="17" s="1"/>
  <c r="AZ157" i="17"/>
  <c r="BH157" i="17" s="1"/>
  <c r="BF26" i="17"/>
  <c r="BN26" i="17" s="1"/>
  <c r="BA236" i="17"/>
  <c r="BI236" i="17" s="1"/>
  <c r="BE215" i="17"/>
  <c r="BM215" i="17" s="1"/>
  <c r="BA213" i="17"/>
  <c r="BI213" i="17" s="1"/>
  <c r="AZ107" i="17"/>
  <c r="BH107" i="17" s="1"/>
  <c r="BC186" i="17"/>
  <c r="BK186" i="17" s="1"/>
  <c r="AZ176" i="17"/>
  <c r="BH176" i="17" s="1"/>
  <c r="BC286" i="17"/>
  <c r="BK286" i="17" s="1"/>
  <c r="BD100" i="17"/>
  <c r="BL100" i="17" s="1"/>
  <c r="BC257" i="17"/>
  <c r="BK257" i="17" s="1"/>
  <c r="BD14" i="17"/>
  <c r="BL14" i="17" s="1"/>
  <c r="BT14" i="17" s="1"/>
  <c r="CJ14" i="17" s="1"/>
  <c r="CP14" i="17" s="1"/>
  <c r="DG14" i="17" s="1"/>
  <c r="DH14" i="17" s="1"/>
  <c r="BF281" i="17"/>
  <c r="BN281" i="17" s="1"/>
  <c r="AY110" i="17"/>
  <c r="BG110" i="17" s="1"/>
  <c r="BD245" i="17"/>
  <c r="BL245" i="17" s="1"/>
  <c r="BB301" i="17"/>
  <c r="BJ301" i="17" s="1"/>
  <c r="BB177" i="17"/>
  <c r="BJ177" i="17" s="1"/>
  <c r="BA117" i="17"/>
  <c r="BI117" i="17" s="1"/>
  <c r="BD221" i="17"/>
  <c r="BL221" i="17" s="1"/>
  <c r="BB267" i="17"/>
  <c r="BJ267" i="17" s="1"/>
  <c r="BC232" i="17"/>
  <c r="BK232" i="17" s="1"/>
  <c r="AZ86" i="17"/>
  <c r="BH86" i="17" s="1"/>
  <c r="AZ41" i="17"/>
  <c r="BH41" i="17" s="1"/>
  <c r="AZ89" i="17"/>
  <c r="BH89" i="17" s="1"/>
  <c r="BE49" i="17"/>
  <c r="BM49" i="17" s="1"/>
  <c r="BA170" i="17"/>
  <c r="BI170" i="17" s="1"/>
  <c r="BE264" i="17"/>
  <c r="BM264" i="17" s="1"/>
  <c r="BC195" i="17"/>
  <c r="BK195" i="17" s="1"/>
  <c r="AY305" i="17"/>
  <c r="BG305" i="17" s="1"/>
  <c r="BO305" i="17" s="1"/>
  <c r="BA79" i="17"/>
  <c r="BI79" i="17" s="1"/>
  <c r="BF148" i="17"/>
  <c r="BN148" i="17" s="1"/>
  <c r="BE260" i="17"/>
  <c r="BM260" i="17" s="1"/>
  <c r="BF299" i="17"/>
  <c r="BN299" i="17" s="1"/>
  <c r="AZ76" i="17"/>
  <c r="BH76" i="17" s="1"/>
  <c r="BP76" i="17" s="1"/>
  <c r="BF296" i="17"/>
  <c r="BN296" i="17" s="1"/>
  <c r="BF82" i="17"/>
  <c r="BN82" i="17" s="1"/>
  <c r="BA108" i="17"/>
  <c r="BI108" i="17" s="1"/>
  <c r="BD178" i="17"/>
  <c r="BL178" i="17" s="1"/>
  <c r="BD249" i="17"/>
  <c r="BL249" i="17" s="1"/>
  <c r="AZ60" i="17"/>
  <c r="BH60" i="17" s="1"/>
  <c r="BA102" i="17"/>
  <c r="BI102" i="17" s="1"/>
  <c r="BB73" i="17"/>
  <c r="BJ73" i="17" s="1"/>
  <c r="AY138" i="17"/>
  <c r="BG138" i="17" s="1"/>
  <c r="BD300" i="17"/>
  <c r="BL300" i="17" s="1"/>
  <c r="BC134" i="17"/>
  <c r="BK134" i="17" s="1"/>
  <c r="BE240" i="17"/>
  <c r="BM240" i="17" s="1"/>
  <c r="BU240" i="17" s="1"/>
  <c r="CJ240" i="17" s="1"/>
  <c r="CP240" i="17" s="1"/>
  <c r="DG240" i="17" s="1"/>
  <c r="DH240" i="17" s="1"/>
  <c r="BF70" i="17"/>
  <c r="BN70" i="17" s="1"/>
  <c r="BE225" i="17"/>
  <c r="BM225" i="17" s="1"/>
  <c r="BD92" i="17"/>
  <c r="BL92" i="17" s="1"/>
  <c r="BE256" i="17"/>
  <c r="BM256" i="17" s="1"/>
  <c r="BA207" i="17"/>
  <c r="BI207" i="17" s="1"/>
  <c r="BB27" i="17"/>
  <c r="BJ27" i="17" s="1"/>
  <c r="AZ149" i="17"/>
  <c r="BH149" i="17" s="1"/>
  <c r="AY22" i="17"/>
  <c r="BG22" i="17" s="1"/>
  <c r="BF38" i="17"/>
  <c r="BN38" i="17" s="1"/>
  <c r="BD42" i="17"/>
  <c r="BL42" i="17" s="1"/>
  <c r="BA313" i="17"/>
  <c r="BI313" i="17" s="1"/>
  <c r="BQ313" i="17" s="1"/>
  <c r="BC291" i="17"/>
  <c r="BK291" i="17" s="1"/>
  <c r="AZ182" i="17"/>
  <c r="BH182" i="17" s="1"/>
  <c r="BD104" i="17"/>
  <c r="BL104" i="17" s="1"/>
  <c r="BD78" i="17"/>
  <c r="BL78" i="17" s="1"/>
  <c r="BA68" i="17"/>
  <c r="BI68" i="17" s="1"/>
  <c r="AZ175" i="17"/>
  <c r="BH175" i="17" s="1"/>
  <c r="BA160" i="17"/>
  <c r="BI160" i="17" s="1"/>
  <c r="BE57" i="17"/>
  <c r="BM57" i="17" s="1"/>
  <c r="AY167" i="17"/>
  <c r="BG167" i="17" s="1"/>
  <c r="BF270" i="17"/>
  <c r="BN270" i="17" s="1"/>
  <c r="BF261" i="17"/>
  <c r="BN261" i="17" s="1"/>
  <c r="BC135" i="17"/>
  <c r="BK135" i="17" s="1"/>
  <c r="BC163" i="17"/>
  <c r="BK163" i="17" s="1"/>
  <c r="BC216" i="17"/>
  <c r="BK216" i="17" s="1"/>
  <c r="BA272" i="17"/>
  <c r="BI272" i="17" s="1"/>
  <c r="BB19" i="17"/>
  <c r="BJ19" i="17" s="1"/>
  <c r="BB311" i="17"/>
  <c r="BJ311" i="17" s="1"/>
  <c r="AY169" i="17"/>
  <c r="BG169" i="17" s="1"/>
  <c r="BB94" i="17"/>
  <c r="BJ94" i="17" s="1"/>
  <c r="BF106" i="17"/>
  <c r="BN106" i="17" s="1"/>
  <c r="AY103" i="17"/>
  <c r="BG103" i="17" s="1"/>
  <c r="BC131" i="17"/>
  <c r="BK131" i="17" s="1"/>
  <c r="BD33" i="17"/>
  <c r="BL33" i="17" s="1"/>
  <c r="BB11" i="17"/>
  <c r="BJ11" i="17" s="1"/>
  <c r="BA197" i="17"/>
  <c r="BI197" i="17" s="1"/>
  <c r="BF254" i="17"/>
  <c r="BN254" i="17" s="1"/>
  <c r="BF230" i="17"/>
  <c r="BN230" i="17" s="1"/>
  <c r="BE233" i="17"/>
  <c r="BM233" i="17" s="1"/>
  <c r="AY287" i="17"/>
  <c r="BG287" i="17" s="1"/>
  <c r="BC24" i="17"/>
  <c r="BK24" i="17" s="1"/>
  <c r="BB237" i="17"/>
  <c r="BJ237" i="17" s="1"/>
  <c r="BC250" i="17"/>
  <c r="BK250" i="17" s="1"/>
  <c r="BA298" i="17"/>
  <c r="BI298" i="17" s="1"/>
  <c r="BA306" i="17"/>
  <c r="BI306" i="17" s="1"/>
  <c r="BE96" i="17"/>
  <c r="BM96" i="17" s="1"/>
  <c r="AZ23" i="17"/>
  <c r="BH23" i="17" s="1"/>
  <c r="BA190" i="17"/>
  <c r="BI190" i="17" s="1"/>
  <c r="BA18" i="17"/>
  <c r="BI18" i="17" s="1"/>
  <c r="AZ208" i="17"/>
  <c r="BH208" i="17" s="1"/>
  <c r="BP208" i="17" s="1"/>
  <c r="AZ294" i="17"/>
  <c r="BH294" i="17" s="1"/>
  <c r="AZ180" i="17"/>
  <c r="BH180" i="17" s="1"/>
  <c r="BE191" i="17"/>
  <c r="BM191" i="17" s="1"/>
  <c r="BE288" i="17"/>
  <c r="BM288" i="17" s="1"/>
  <c r="BA259" i="17"/>
  <c r="BI259" i="17" s="1"/>
  <c r="AY37" i="17"/>
  <c r="BG37" i="17" s="1"/>
  <c r="BE144" i="17"/>
  <c r="BM144" i="17" s="1"/>
  <c r="BF241" i="17"/>
  <c r="BN241" i="17" s="1"/>
  <c r="AZ227" i="17"/>
  <c r="BH227" i="17" s="1"/>
  <c r="BF203" i="17"/>
  <c r="BN203" i="17" s="1"/>
  <c r="BA185" i="17"/>
  <c r="BI185" i="17" s="1"/>
  <c r="AY277" i="17"/>
  <c r="BG277" i="17" s="1"/>
  <c r="AZ26" i="17"/>
  <c r="BH26" i="17" s="1"/>
  <c r="BE266" i="17"/>
  <c r="BM266" i="17" s="1"/>
  <c r="BE176" i="17"/>
  <c r="BM176" i="17" s="1"/>
  <c r="BD127" i="17"/>
  <c r="BL127" i="17" s="1"/>
  <c r="BA97" i="17"/>
  <c r="BI97" i="17" s="1"/>
  <c r="BF8" i="17"/>
  <c r="BN8" i="17" s="1"/>
  <c r="BB56" i="17"/>
  <c r="BJ56" i="17" s="1"/>
  <c r="BB83" i="17"/>
  <c r="BJ83" i="17" s="1"/>
  <c r="AZ137" i="17"/>
  <c r="BH137" i="17" s="1"/>
  <c r="BA132" i="17"/>
  <c r="BI132" i="17" s="1"/>
  <c r="BB127" i="17"/>
  <c r="BJ127" i="17" s="1"/>
  <c r="BA111" i="17"/>
  <c r="BI111" i="17" s="1"/>
  <c r="BQ111" i="17" s="1"/>
  <c r="BD75" i="17"/>
  <c r="BL75" i="17" s="1"/>
  <c r="BA199" i="17"/>
  <c r="BI199" i="17" s="1"/>
  <c r="BQ199" i="17" s="1"/>
  <c r="BE145" i="17"/>
  <c r="BM145" i="17" s="1"/>
  <c r="BA123" i="17"/>
  <c r="BI123" i="17" s="1"/>
  <c r="BB244" i="17"/>
  <c r="BJ244" i="17" s="1"/>
  <c r="BD97" i="17"/>
  <c r="BL97" i="17" s="1"/>
  <c r="AZ8" i="17"/>
  <c r="BH8" i="17" s="1"/>
  <c r="BA314" i="17"/>
  <c r="BI314" i="17" s="1"/>
  <c r="BF227" i="17"/>
  <c r="BN227" i="17" s="1"/>
  <c r="AY31" i="17"/>
  <c r="BG31" i="17" s="1"/>
  <c r="AY238" i="17"/>
  <c r="BG238" i="17" s="1"/>
  <c r="BD56" i="17"/>
  <c r="BL56" i="17" s="1"/>
  <c r="BB242" i="17"/>
  <c r="BJ242" i="17" s="1"/>
  <c r="BA74" i="17"/>
  <c r="BI74" i="17" s="1"/>
  <c r="BE25" i="17"/>
  <c r="BM25" i="17" s="1"/>
  <c r="AY153" i="17"/>
  <c r="BG153" i="17" s="1"/>
  <c r="BC185" i="17"/>
  <c r="BK185" i="17" s="1"/>
  <c r="BF202" i="17"/>
  <c r="BN202" i="17" s="1"/>
  <c r="BC154" i="17"/>
  <c r="BK154" i="17" s="1"/>
  <c r="BF161" i="17"/>
  <c r="BN161" i="17" s="1"/>
  <c r="BB307" i="17"/>
  <c r="BJ307" i="17" s="1"/>
  <c r="BA277" i="17"/>
  <c r="BI277" i="17" s="1"/>
  <c r="BE81" i="17"/>
  <c r="BM81" i="17" s="1"/>
  <c r="BC54" i="17"/>
  <c r="BK54" i="17" s="1"/>
  <c r="BA164" i="17"/>
  <c r="BI164" i="17" s="1"/>
  <c r="BA252" i="17"/>
  <c r="BI252" i="17" s="1"/>
  <c r="BF248" i="17"/>
  <c r="BN248" i="17" s="1"/>
  <c r="AZ116" i="17"/>
  <c r="BH116" i="17" s="1"/>
  <c r="BC201" i="17"/>
  <c r="BK201" i="17" s="1"/>
  <c r="AZ239" i="17"/>
  <c r="BH239" i="17" s="1"/>
  <c r="AY243" i="17"/>
  <c r="BG243" i="17" s="1"/>
  <c r="BF312" i="17"/>
  <c r="BN312" i="17" s="1"/>
  <c r="BE146" i="17"/>
  <c r="BM146" i="17" s="1"/>
  <c r="BC157" i="17"/>
  <c r="BK157" i="17" s="1"/>
  <c r="BS157" i="17" s="1"/>
  <c r="CI157" i="17" s="1"/>
  <c r="CO157" i="17" s="1"/>
  <c r="DE157" i="17" s="1"/>
  <c r="DF157" i="17" s="1"/>
  <c r="BA278" i="17"/>
  <c r="BI278" i="17" s="1"/>
  <c r="AZ204" i="17"/>
  <c r="BH204" i="17" s="1"/>
  <c r="BD20" i="17"/>
  <c r="BL20" i="17" s="1"/>
  <c r="BD236" i="17"/>
  <c r="BL236" i="17" s="1"/>
  <c r="BD17" i="17"/>
  <c r="BL17" i="17" s="1"/>
  <c r="AY266" i="17"/>
  <c r="BG266" i="17" s="1"/>
  <c r="BF196" i="17"/>
  <c r="BN196" i="17" s="1"/>
  <c r="BF286" i="17"/>
  <c r="BN286" i="17" s="1"/>
  <c r="AY100" i="17"/>
  <c r="BG100" i="17" s="1"/>
  <c r="BF257" i="17"/>
  <c r="BN257" i="17" s="1"/>
  <c r="BC14" i="17"/>
  <c r="BK14" i="17" s="1"/>
  <c r="BA281" i="17"/>
  <c r="BI281" i="17" s="1"/>
  <c r="BF110" i="17"/>
  <c r="BN110" i="17" s="1"/>
  <c r="BE301" i="17"/>
  <c r="BM301" i="17" s="1"/>
  <c r="BB162" i="17"/>
  <c r="BJ162" i="17" s="1"/>
  <c r="BE177" i="17"/>
  <c r="BM177" i="17" s="1"/>
  <c r="BD117" i="17"/>
  <c r="BL117" i="17" s="1"/>
  <c r="AY221" i="17"/>
  <c r="BG221" i="17" s="1"/>
  <c r="BE267" i="17"/>
  <c r="BM267" i="17" s="1"/>
  <c r="BF232" i="17"/>
  <c r="BN232" i="17" s="1"/>
  <c r="BE53" i="17"/>
  <c r="BM53" i="17" s="1"/>
  <c r="BD86" i="17"/>
  <c r="BL86" i="17" s="1"/>
  <c r="AZ55" i="17"/>
  <c r="BH55" i="17" s="1"/>
  <c r="AZ87" i="17"/>
  <c r="BH87" i="17" s="1"/>
  <c r="BP87" i="17" s="1"/>
  <c r="BD120" i="17"/>
  <c r="BL120" i="17" s="1"/>
  <c r="BD89" i="17"/>
  <c r="BL89" i="17" s="1"/>
  <c r="BT89" i="17" s="1"/>
  <c r="CJ89" i="17" s="1"/>
  <c r="CP89" i="17" s="1"/>
  <c r="DG89" i="17" s="1"/>
  <c r="DH89" i="17" s="1"/>
  <c r="AZ219" i="17"/>
  <c r="BH219" i="17" s="1"/>
  <c r="BP219" i="17" s="1"/>
  <c r="BD49" i="17"/>
  <c r="BL49" i="17" s="1"/>
  <c r="BD170" i="17"/>
  <c r="BL170" i="17" s="1"/>
  <c r="AZ264" i="17"/>
  <c r="BH264" i="17" s="1"/>
  <c r="BF195" i="17"/>
  <c r="BN195" i="17" s="1"/>
  <c r="BE305" i="17"/>
  <c r="BM305" i="17" s="1"/>
  <c r="BB79" i="17"/>
  <c r="BJ79" i="17" s="1"/>
  <c r="BA263" i="17"/>
  <c r="BI263" i="17" s="1"/>
  <c r="BA148" i="17"/>
  <c r="BI148" i="17" s="1"/>
  <c r="AZ260" i="17"/>
  <c r="BH260" i="17" s="1"/>
  <c r="BA299" i="17"/>
  <c r="BI299" i="17" s="1"/>
  <c r="BC76" i="17"/>
  <c r="BK76" i="17" s="1"/>
  <c r="BA296" i="17"/>
  <c r="BI296" i="17" s="1"/>
  <c r="BE82" i="17"/>
  <c r="BM82" i="17" s="1"/>
  <c r="AZ108" i="17"/>
  <c r="BH108" i="17" s="1"/>
  <c r="BP108" i="17" s="1"/>
  <c r="AY178" i="17"/>
  <c r="BG178" i="17" s="1"/>
  <c r="BD60" i="17"/>
  <c r="BL60" i="17" s="1"/>
  <c r="BA73" i="17"/>
  <c r="BI73" i="17" s="1"/>
  <c r="BE276" i="17"/>
  <c r="BM276" i="17" s="1"/>
  <c r="BB138" i="17"/>
  <c r="BJ138" i="17" s="1"/>
  <c r="AY300" i="17"/>
  <c r="BG300" i="17" s="1"/>
  <c r="BO300" i="17" s="1"/>
  <c r="BA70" i="17"/>
  <c r="BI70" i="17" s="1"/>
  <c r="AY92" i="17"/>
  <c r="BG92" i="17" s="1"/>
  <c r="AZ256" i="17"/>
  <c r="BH256" i="17" s="1"/>
  <c r="BC149" i="17"/>
  <c r="BK149" i="17" s="1"/>
  <c r="BD22" i="17"/>
  <c r="BL22" i="17" s="1"/>
  <c r="BA38" i="17"/>
  <c r="BI38" i="17" s="1"/>
  <c r="AY42" i="17"/>
  <c r="BG42" i="17" s="1"/>
  <c r="BD313" i="17"/>
  <c r="BL313" i="17" s="1"/>
  <c r="BB291" i="17"/>
  <c r="BJ291" i="17" s="1"/>
  <c r="BC182" i="17"/>
  <c r="BK182" i="17" s="1"/>
  <c r="BS182" i="17" s="1"/>
  <c r="CI182" i="17" s="1"/>
  <c r="CO182" i="17" s="1"/>
  <c r="DE182" i="17" s="1"/>
  <c r="DF182" i="17" s="1"/>
  <c r="AY104" i="17"/>
  <c r="BG104" i="17" s="1"/>
  <c r="AZ78" i="17"/>
  <c r="BH78" i="17" s="1"/>
  <c r="BD175" i="17"/>
  <c r="BL175" i="17" s="1"/>
  <c r="BC10" i="17"/>
  <c r="BK10" i="17" s="1"/>
  <c r="AZ57" i="17"/>
  <c r="BH57" i="17" s="1"/>
  <c r="BC167" i="17"/>
  <c r="BK167" i="17" s="1"/>
  <c r="BA156" i="17"/>
  <c r="BI156" i="17" s="1"/>
  <c r="BA269" i="17"/>
  <c r="BI269" i="17" s="1"/>
  <c r="BQ269" i="17" s="1"/>
  <c r="BC174" i="17"/>
  <c r="BK174" i="17" s="1"/>
  <c r="BB270" i="17"/>
  <c r="BJ270" i="17" s="1"/>
  <c r="BC261" i="17"/>
  <c r="BK261" i="17" s="1"/>
  <c r="BF135" i="17"/>
  <c r="BN135" i="17" s="1"/>
  <c r="BB317" i="17"/>
  <c r="BJ317" i="17" s="1"/>
  <c r="AY163" i="17"/>
  <c r="BG163" i="17" s="1"/>
  <c r="BF216" i="17"/>
  <c r="BN216" i="17" s="1"/>
  <c r="BE69" i="17"/>
  <c r="BM69" i="17" s="1"/>
  <c r="BD152" i="17"/>
  <c r="BL152" i="17" s="1"/>
  <c r="BD272" i="17"/>
  <c r="BL272" i="17" s="1"/>
  <c r="BF19" i="17"/>
  <c r="BN19" i="17" s="1"/>
  <c r="BB159" i="17"/>
  <c r="BJ159" i="17" s="1"/>
  <c r="BA311" i="17"/>
  <c r="BI311" i="17" s="1"/>
  <c r="BD140" i="17"/>
  <c r="BL140" i="17" s="1"/>
  <c r="BB169" i="17"/>
  <c r="BJ169" i="17" s="1"/>
  <c r="BA32" i="17"/>
  <c r="BI32" i="17" s="1"/>
  <c r="BE106" i="17"/>
  <c r="BM106" i="17" s="1"/>
  <c r="BF131" i="17"/>
  <c r="BN131" i="17" s="1"/>
  <c r="BF50" i="17"/>
  <c r="BN50" i="17" s="1"/>
  <c r="BA229" i="17"/>
  <c r="BI229" i="17" s="1"/>
  <c r="AY316" i="17"/>
  <c r="BG316" i="17" s="1"/>
  <c r="AZ33" i="17"/>
  <c r="BH33" i="17" s="1"/>
  <c r="AZ11" i="17"/>
  <c r="BH11" i="17" s="1"/>
  <c r="BA292" i="17"/>
  <c r="BI292" i="17" s="1"/>
  <c r="BA254" i="17"/>
  <c r="BI254" i="17" s="1"/>
  <c r="AZ230" i="17"/>
  <c r="BH230" i="17" s="1"/>
  <c r="AZ233" i="17"/>
  <c r="BH233" i="17" s="1"/>
  <c r="BF287" i="17"/>
  <c r="BN287" i="17" s="1"/>
  <c r="BF96" i="17"/>
  <c r="BN96" i="17" s="1"/>
  <c r="BA274" i="17"/>
  <c r="BI274" i="17" s="1"/>
  <c r="BQ274" i="17" s="1"/>
  <c r="BD23" i="17"/>
  <c r="BL23" i="17" s="1"/>
  <c r="BD18" i="17"/>
  <c r="BL18" i="17" s="1"/>
  <c r="AZ198" i="17"/>
  <c r="BH198" i="17" s="1"/>
  <c r="BA247" i="17"/>
  <c r="BI247" i="17" s="1"/>
  <c r="BC208" i="17"/>
  <c r="BK208" i="17" s="1"/>
  <c r="BB171" i="17"/>
  <c r="BJ171" i="17" s="1"/>
  <c r="AY212" i="17"/>
  <c r="BG212" i="17" s="1"/>
  <c r="AY180" i="17"/>
  <c r="BG180" i="17" s="1"/>
  <c r="AZ288" i="17"/>
  <c r="BH288" i="17" s="1"/>
  <c r="BE259" i="17"/>
  <c r="BM259" i="17" s="1"/>
  <c r="BF37" i="17"/>
  <c r="BN37" i="17" s="1"/>
  <c r="AZ144" i="17"/>
  <c r="BH144" i="17" s="1"/>
  <c r="BE243" i="17"/>
  <c r="BM243" i="17" s="1"/>
  <c r="BB204" i="17"/>
  <c r="BJ204" i="17" s="1"/>
  <c r="BE214" i="17"/>
  <c r="BM214" i="17" s="1"/>
  <c r="AZ280" i="17"/>
  <c r="BH280" i="17" s="1"/>
  <c r="BD137" i="17"/>
  <c r="BL137" i="17" s="1"/>
  <c r="BD111" i="17"/>
  <c r="BL111" i="17" s="1"/>
  <c r="BF199" i="17"/>
  <c r="BN199" i="17" s="1"/>
  <c r="AY123" i="17"/>
  <c r="BG123" i="17" s="1"/>
  <c r="BB218" i="17"/>
  <c r="BJ218" i="17" s="1"/>
  <c r="BD227" i="17"/>
  <c r="BL227" i="17" s="1"/>
  <c r="BC238" i="17"/>
  <c r="BK238" i="17" s="1"/>
  <c r="BD74" i="17"/>
  <c r="BL74" i="17" s="1"/>
  <c r="BF77" i="17"/>
  <c r="BN77" i="17" s="1"/>
  <c r="AZ206" i="17"/>
  <c r="BH206" i="17" s="1"/>
  <c r="AZ202" i="17"/>
  <c r="BH202" i="17" s="1"/>
  <c r="AY58" i="17"/>
  <c r="BG58" i="17" s="1"/>
  <c r="BF154" i="17"/>
  <c r="BN154" i="17" s="1"/>
  <c r="BA161" i="17"/>
  <c r="BI161" i="17" s="1"/>
  <c r="BA125" i="17"/>
  <c r="BI125" i="17" s="1"/>
  <c r="BF307" i="17"/>
  <c r="BN307" i="17" s="1"/>
  <c r="BE277" i="17"/>
  <c r="BM277" i="17" s="1"/>
  <c r="AZ44" i="17"/>
  <c r="BH44" i="17" s="1"/>
  <c r="BD54" i="17"/>
  <c r="BL54" i="17" s="1"/>
  <c r="AY211" i="17"/>
  <c r="BG211" i="17" s="1"/>
  <c r="BD164" i="17"/>
  <c r="BL164" i="17" s="1"/>
  <c r="BB255" i="17"/>
  <c r="BJ255" i="17" s="1"/>
  <c r="AY139" i="17"/>
  <c r="BG139" i="17" s="1"/>
  <c r="BE252" i="17"/>
  <c r="BM252" i="17" s="1"/>
  <c r="BB189" i="17"/>
  <c r="BJ189" i="17" s="1"/>
  <c r="BB248" i="17"/>
  <c r="BJ248" i="17" s="1"/>
  <c r="BD116" i="17"/>
  <c r="BL116" i="17" s="1"/>
  <c r="AY194" i="17"/>
  <c r="BG194" i="17" s="1"/>
  <c r="BA201" i="17"/>
  <c r="BI201" i="17" s="1"/>
  <c r="BC243" i="17"/>
  <c r="BK243" i="17" s="1"/>
  <c r="BB312" i="17"/>
  <c r="BJ312" i="17" s="1"/>
  <c r="BF157" i="17"/>
  <c r="BN157" i="17" s="1"/>
  <c r="BE278" i="17"/>
  <c r="BM278" i="17" s="1"/>
  <c r="BB59" i="17"/>
  <c r="BJ59" i="17" s="1"/>
  <c r="BC20" i="17"/>
  <c r="BK20" i="17" s="1"/>
  <c r="BC26" i="17"/>
  <c r="BK26" i="17" s="1"/>
  <c r="AZ236" i="17"/>
  <c r="BH236" i="17" s="1"/>
  <c r="AZ213" i="17"/>
  <c r="BH213" i="17" s="1"/>
  <c r="BA17" i="17"/>
  <c r="BI17" i="17" s="1"/>
  <c r="BF128" i="17"/>
  <c r="BN128" i="17" s="1"/>
  <c r="BC107" i="17"/>
  <c r="BK107" i="17" s="1"/>
  <c r="BB196" i="17"/>
  <c r="BJ196" i="17" s="1"/>
  <c r="BB186" i="17"/>
  <c r="BJ186" i="17" s="1"/>
  <c r="BB286" i="17"/>
  <c r="BJ286" i="17" s="1"/>
  <c r="BR286" i="17" s="1"/>
  <c r="CH286" i="17" s="1"/>
  <c r="CN286" i="17" s="1"/>
  <c r="DC286" i="17" s="1"/>
  <c r="DD286" i="17" s="1"/>
  <c r="BC100" i="17"/>
  <c r="BK100" i="17" s="1"/>
  <c r="BA40" i="17"/>
  <c r="BI40" i="17" s="1"/>
  <c r="BF14" i="17"/>
  <c r="BN14" i="17" s="1"/>
  <c r="BE281" i="17"/>
  <c r="BM281" i="17" s="1"/>
  <c r="BC245" i="17"/>
  <c r="BK245" i="17" s="1"/>
  <c r="BA301" i="17"/>
  <c r="BI301" i="17" s="1"/>
  <c r="BA177" i="17"/>
  <c r="BI177" i="17" s="1"/>
  <c r="AZ117" i="17"/>
  <c r="BH117" i="17" s="1"/>
  <c r="BC221" i="17"/>
  <c r="BK221" i="17" s="1"/>
  <c r="BB224" i="17"/>
  <c r="BJ224" i="17" s="1"/>
  <c r="BA267" i="17"/>
  <c r="BI267" i="17" s="1"/>
  <c r="BB232" i="17"/>
  <c r="BJ232" i="17" s="1"/>
  <c r="BC231" i="17"/>
  <c r="BK231" i="17" s="1"/>
  <c r="AY53" i="17"/>
  <c r="BG53" i="17" s="1"/>
  <c r="AY85" i="17"/>
  <c r="BG85" i="17" s="1"/>
  <c r="AY86" i="17"/>
  <c r="BG86" i="17" s="1"/>
  <c r="BC55" i="17"/>
  <c r="BK55" i="17" s="1"/>
  <c r="BC87" i="17"/>
  <c r="BK87" i="17" s="1"/>
  <c r="BE41" i="17"/>
  <c r="BM41" i="17" s="1"/>
  <c r="BE112" i="17"/>
  <c r="BM112" i="17" s="1"/>
  <c r="AZ120" i="17"/>
  <c r="BH120" i="17" s="1"/>
  <c r="AY89" i="17"/>
  <c r="BG89" i="17" s="1"/>
  <c r="BA222" i="17"/>
  <c r="BI222" i="17" s="1"/>
  <c r="BD219" i="17"/>
  <c r="BL219" i="17" s="1"/>
  <c r="AY49" i="17"/>
  <c r="BG49" i="17" s="1"/>
  <c r="AZ170" i="17"/>
  <c r="BH170" i="17" s="1"/>
  <c r="BD264" i="17"/>
  <c r="BL264" i="17" s="1"/>
  <c r="BB195" i="17"/>
  <c r="BJ195" i="17" s="1"/>
  <c r="BA71" i="17"/>
  <c r="BI71" i="17" s="1"/>
  <c r="BQ71" i="17" s="1"/>
  <c r="BA305" i="17"/>
  <c r="BI305" i="17" s="1"/>
  <c r="AZ79" i="17"/>
  <c r="BH79" i="17" s="1"/>
  <c r="BE263" i="17"/>
  <c r="BM263" i="17" s="1"/>
  <c r="BU263" i="17" s="1"/>
  <c r="BE148" i="17"/>
  <c r="BM148" i="17" s="1"/>
  <c r="BD260" i="17"/>
  <c r="BL260" i="17" s="1"/>
  <c r="BE299" i="17"/>
  <c r="BM299" i="17" s="1"/>
  <c r="AY76" i="17"/>
  <c r="BG76" i="17" s="1"/>
  <c r="BE296" i="17"/>
  <c r="BM296" i="17" s="1"/>
  <c r="BC82" i="17"/>
  <c r="BK82" i="17" s="1"/>
  <c r="AY108" i="17"/>
  <c r="BG108" i="17" s="1"/>
  <c r="BB130" i="17"/>
  <c r="BJ130" i="17" s="1"/>
  <c r="BF90" i="17"/>
  <c r="BN90" i="17" s="1"/>
  <c r="BC178" i="17"/>
  <c r="BK178" i="17" s="1"/>
  <c r="AY249" i="17"/>
  <c r="BG249" i="17" s="1"/>
  <c r="BA51" i="17"/>
  <c r="BI51" i="17" s="1"/>
  <c r="AY60" i="17"/>
  <c r="BG60" i="17" s="1"/>
  <c r="AZ102" i="17"/>
  <c r="BH102" i="17" s="1"/>
  <c r="AZ73" i="17"/>
  <c r="BH73" i="17" s="1"/>
  <c r="BF138" i="17"/>
  <c r="BN138" i="17" s="1"/>
  <c r="BC300" i="17"/>
  <c r="BK300" i="17" s="1"/>
  <c r="BD240" i="17"/>
  <c r="BL240" i="17" s="1"/>
  <c r="BD225" i="17"/>
  <c r="BL225" i="17" s="1"/>
  <c r="BC302" i="17"/>
  <c r="BK302" i="17" s="1"/>
  <c r="BC92" i="17"/>
  <c r="BK92" i="17" s="1"/>
  <c r="BD256" i="17"/>
  <c r="BL256" i="17" s="1"/>
  <c r="AZ115" i="17"/>
  <c r="BH115" i="17" s="1"/>
  <c r="AZ27" i="17"/>
  <c r="BH27" i="17" s="1"/>
  <c r="AY149" i="17"/>
  <c r="BG149" i="17" s="1"/>
  <c r="AZ22" i="17"/>
  <c r="BH22" i="17" s="1"/>
  <c r="BA275" i="17"/>
  <c r="BI275" i="17" s="1"/>
  <c r="BA28" i="17"/>
  <c r="BI28" i="17" s="1"/>
  <c r="BE38" i="17"/>
  <c r="BM38" i="17" s="1"/>
  <c r="BC42" i="17"/>
  <c r="BK42" i="17" s="1"/>
  <c r="AZ313" i="17"/>
  <c r="BH313" i="17" s="1"/>
  <c r="AZ172" i="17"/>
  <c r="BH172" i="17" s="1"/>
  <c r="BP172" i="17" s="1"/>
  <c r="BF291" i="17"/>
  <c r="BN291" i="17" s="1"/>
  <c r="AY182" i="17"/>
  <c r="BG182" i="17" s="1"/>
  <c r="BF109" i="17"/>
  <c r="BN109" i="17" s="1"/>
  <c r="AZ30" i="17"/>
  <c r="BH30" i="17" s="1"/>
  <c r="BC104" i="17"/>
  <c r="BK104" i="17" s="1"/>
  <c r="AY78" i="17"/>
  <c r="BG78" i="17" s="1"/>
  <c r="BC68" i="17"/>
  <c r="BK68" i="17" s="1"/>
  <c r="BC175" i="17"/>
  <c r="BK175" i="17" s="1"/>
  <c r="AY10" i="17"/>
  <c r="BG10" i="17" s="1"/>
  <c r="AZ160" i="17"/>
  <c r="BH160" i="17" s="1"/>
  <c r="BB279" i="17"/>
  <c r="BJ279" i="17" s="1"/>
  <c r="BC57" i="17"/>
  <c r="BK57" i="17" s="1"/>
  <c r="BA167" i="17"/>
  <c r="BI167" i="17" s="1"/>
  <c r="BD156" i="17"/>
  <c r="BL156" i="17" s="1"/>
  <c r="BE269" i="17"/>
  <c r="BM269" i="17" s="1"/>
  <c r="AZ174" i="17"/>
  <c r="BH174" i="17" s="1"/>
  <c r="BD270" i="17"/>
  <c r="BL270" i="17" s="1"/>
  <c r="BB135" i="17"/>
  <c r="BJ135" i="17" s="1"/>
  <c r="BB163" i="17"/>
  <c r="BJ163" i="17" s="1"/>
  <c r="BB216" i="17"/>
  <c r="BJ216" i="17" s="1"/>
  <c r="AY152" i="17"/>
  <c r="BG152" i="17" s="1"/>
  <c r="AZ272" i="17"/>
  <c r="BH272" i="17" s="1"/>
  <c r="BA19" i="17"/>
  <c r="BI19" i="17" s="1"/>
  <c r="AZ187" i="17"/>
  <c r="BH187" i="17" s="1"/>
  <c r="BF159" i="17"/>
  <c r="BN159" i="17" s="1"/>
  <c r="BE311" i="17"/>
  <c r="BM311" i="17" s="1"/>
  <c r="BF140" i="17"/>
  <c r="BN140" i="17" s="1"/>
  <c r="BC94" i="17"/>
  <c r="BK94" i="17" s="1"/>
  <c r="BA106" i="17"/>
  <c r="BI106" i="17" s="1"/>
  <c r="BF103" i="17"/>
  <c r="BN103" i="17" s="1"/>
  <c r="BB131" i="17"/>
  <c r="BJ131" i="17" s="1"/>
  <c r="BA50" i="17"/>
  <c r="BI50" i="17" s="1"/>
  <c r="AY229" i="17"/>
  <c r="BG229" i="17" s="1"/>
  <c r="BC166" i="17"/>
  <c r="BK166" i="17" s="1"/>
  <c r="BC33" i="17"/>
  <c r="BK33" i="17" s="1"/>
  <c r="BD11" i="17"/>
  <c r="BL11" i="17" s="1"/>
  <c r="BE292" i="17"/>
  <c r="BM292" i="17" s="1"/>
  <c r="BE197" i="17"/>
  <c r="BM197" i="17" s="1"/>
  <c r="BE254" i="17"/>
  <c r="BM254" i="17" s="1"/>
  <c r="BD230" i="17"/>
  <c r="BL230" i="17" s="1"/>
  <c r="BC287" i="17"/>
  <c r="BK287" i="17" s="1"/>
  <c r="BB62" i="17"/>
  <c r="BJ62" i="17" s="1"/>
  <c r="BF193" i="17"/>
  <c r="BN193" i="17" s="1"/>
  <c r="AY24" i="17"/>
  <c r="BG24" i="17" s="1"/>
  <c r="AZ306" i="17"/>
  <c r="BH306" i="17" s="1"/>
  <c r="BP306" i="17" s="1"/>
  <c r="BE151" i="17"/>
  <c r="BM151" i="17" s="1"/>
  <c r="BC23" i="17"/>
  <c r="BK23" i="17" s="1"/>
  <c r="AZ190" i="17"/>
  <c r="BH190" i="17" s="1"/>
  <c r="AY113" i="17"/>
  <c r="BG113" i="17" s="1"/>
  <c r="AZ18" i="17"/>
  <c r="BH18" i="17" s="1"/>
  <c r="BE198" i="17"/>
  <c r="BM198" i="17" s="1"/>
  <c r="AY208" i="17"/>
  <c r="BG208" i="17" s="1"/>
  <c r="AY294" i="17"/>
  <c r="BG294" i="17" s="1"/>
  <c r="BF171" i="17"/>
  <c r="BN171" i="17" s="1"/>
  <c r="BC180" i="17"/>
  <c r="BK180" i="17" s="1"/>
  <c r="BE184" i="17"/>
  <c r="BM184" i="17" s="1"/>
  <c r="BD191" i="17"/>
  <c r="BL191" i="17" s="1"/>
  <c r="BC288" i="17"/>
  <c r="BK288" i="17" s="1"/>
  <c r="AZ259" i="17"/>
  <c r="BH259" i="17" s="1"/>
  <c r="BD37" i="17"/>
  <c r="BL37" i="17" s="1"/>
  <c r="BD144" i="17"/>
  <c r="BL144" i="17" s="1"/>
  <c r="BB137" i="17"/>
  <c r="BJ137" i="17" s="1"/>
  <c r="BC111" i="17"/>
  <c r="BK111" i="17" s="1"/>
  <c r="AZ244" i="17"/>
  <c r="BH244" i="17" s="1"/>
  <c r="BA238" i="17"/>
  <c r="BI238" i="17" s="1"/>
  <c r="BE58" i="17"/>
  <c r="BM58" i="17" s="1"/>
  <c r="BD146" i="17"/>
  <c r="BL146" i="17" s="1"/>
  <c r="AY286" i="17"/>
  <c r="BG286" i="17" s="1"/>
  <c r="BE132" i="17"/>
  <c r="BM132" i="17" s="1"/>
  <c r="BD105" i="17"/>
  <c r="BL105" i="17" s="1"/>
  <c r="BF244" i="17"/>
  <c r="BN244" i="17" s="1"/>
  <c r="BV244" i="17" s="1"/>
  <c r="CJ244" i="17" s="1"/>
  <c r="CP244" i="17" s="1"/>
  <c r="DG244" i="17" s="1"/>
  <c r="DH244" i="17" s="1"/>
  <c r="AY310" i="17"/>
  <c r="BG310" i="17" s="1"/>
  <c r="BE314" i="17"/>
  <c r="BM314" i="17" s="1"/>
  <c r="BF188" i="17"/>
  <c r="BN188" i="17" s="1"/>
  <c r="AY56" i="17"/>
  <c r="BG56" i="17" s="1"/>
  <c r="AY185" i="17"/>
  <c r="BG185" i="17" s="1"/>
  <c r="BF36" i="17"/>
  <c r="BN36" i="17" s="1"/>
  <c r="AY137" i="17"/>
  <c r="BG137" i="17" s="1"/>
  <c r="BA127" i="17"/>
  <c r="BI127" i="17" s="1"/>
  <c r="BE111" i="17"/>
  <c r="BM111" i="17" s="1"/>
  <c r="AY105" i="17"/>
  <c r="BG105" i="17" s="1"/>
  <c r="BO105" i="17" s="1"/>
  <c r="BC145" i="17"/>
  <c r="BK145" i="17" s="1"/>
  <c r="BA244" i="17"/>
  <c r="BI244" i="17" s="1"/>
  <c r="BB310" i="17"/>
  <c r="BJ310" i="17" s="1"/>
  <c r="AY8" i="17"/>
  <c r="BG8" i="17" s="1"/>
  <c r="BA188" i="17"/>
  <c r="BI188" i="17" s="1"/>
  <c r="BC56" i="17"/>
  <c r="BK56" i="17" s="1"/>
  <c r="BS56" i="17" s="1"/>
  <c r="CI56" i="17" s="1"/>
  <c r="CO56" i="17" s="1"/>
  <c r="DE56" i="17" s="1"/>
  <c r="DF56" i="17" s="1"/>
  <c r="BD25" i="17"/>
  <c r="BL25" i="17" s="1"/>
  <c r="BE153" i="17"/>
  <c r="BM153" i="17" s="1"/>
  <c r="BD202" i="17"/>
  <c r="BL202" i="17" s="1"/>
  <c r="BA154" i="17"/>
  <c r="BI154" i="17" s="1"/>
  <c r="BD161" i="17"/>
  <c r="BL161" i="17" s="1"/>
  <c r="AZ277" i="17"/>
  <c r="BH277" i="17" s="1"/>
  <c r="BD44" i="17"/>
  <c r="BL44" i="17" s="1"/>
  <c r="BT44" i="17" s="1"/>
  <c r="AY54" i="17"/>
  <c r="BG54" i="17" s="1"/>
  <c r="BE255" i="17"/>
  <c r="BM255" i="17" s="1"/>
  <c r="AZ252" i="17"/>
  <c r="BH252" i="17" s="1"/>
  <c r="BE189" i="17"/>
  <c r="BM189" i="17" s="1"/>
  <c r="BC258" i="17"/>
  <c r="BK258" i="17" s="1"/>
  <c r="BE248" i="17"/>
  <c r="BM248" i="17" s="1"/>
  <c r="AY116" i="17"/>
  <c r="BG116" i="17" s="1"/>
  <c r="BB194" i="17"/>
  <c r="BJ194" i="17" s="1"/>
  <c r="BF201" i="17"/>
  <c r="BN201" i="17" s="1"/>
  <c r="AY239" i="17"/>
  <c r="BG239" i="17" s="1"/>
  <c r="BF243" i="17"/>
  <c r="BN243" i="17" s="1"/>
  <c r="BE312" i="17"/>
  <c r="BM312" i="17" s="1"/>
  <c r="AY146" i="17"/>
  <c r="BG146" i="17" s="1"/>
  <c r="BB157" i="17"/>
  <c r="BJ157" i="17" s="1"/>
  <c r="BF59" i="17"/>
  <c r="BN59" i="17" s="1"/>
  <c r="AZ20" i="17"/>
  <c r="BH20" i="17" s="1"/>
  <c r="BD6" i="17"/>
  <c r="BL6" i="17" s="1"/>
  <c r="BB26" i="17"/>
  <c r="BJ26" i="17" s="1"/>
  <c r="BC236" i="17"/>
  <c r="BK236" i="17" s="1"/>
  <c r="AY215" i="17"/>
  <c r="BG215" i="17" s="1"/>
  <c r="BC17" i="17"/>
  <c r="BK17" i="17" s="1"/>
  <c r="BA128" i="17"/>
  <c r="BI128" i="17" s="1"/>
  <c r="BF266" i="17"/>
  <c r="BN266" i="17" s="1"/>
  <c r="BF107" i="17"/>
  <c r="BN107" i="17" s="1"/>
  <c r="BB214" i="17"/>
  <c r="BJ214" i="17" s="1"/>
  <c r="BE186" i="17"/>
  <c r="BM186" i="17" s="1"/>
  <c r="AY176" i="17"/>
  <c r="BG176" i="17" s="1"/>
  <c r="BE286" i="17"/>
  <c r="BM286" i="17" s="1"/>
  <c r="BF100" i="17"/>
  <c r="BN100" i="17" s="1"/>
  <c r="BB14" i="17"/>
  <c r="BJ14" i="17" s="1"/>
  <c r="AZ281" i="17"/>
  <c r="BH281" i="17" s="1"/>
  <c r="BC110" i="17"/>
  <c r="BK110" i="17" s="1"/>
  <c r="BS110" i="17" s="1"/>
  <c r="BF245" i="17"/>
  <c r="BN245" i="17" s="1"/>
  <c r="BD301" i="17"/>
  <c r="BL301" i="17" s="1"/>
  <c r="AZ66" i="17"/>
  <c r="BH66" i="17" s="1"/>
  <c r="BD177" i="17"/>
  <c r="BL177" i="17" s="1"/>
  <c r="BC117" i="17"/>
  <c r="BK117" i="17" s="1"/>
  <c r="BB91" i="17"/>
  <c r="BJ91" i="17" s="1"/>
  <c r="BR91" i="17" s="1"/>
  <c r="BF221" i="17"/>
  <c r="BN221" i="17" s="1"/>
  <c r="BE224" i="17"/>
  <c r="BM224" i="17" s="1"/>
  <c r="BD267" i="17"/>
  <c r="BL267" i="17" s="1"/>
  <c r="BE232" i="17"/>
  <c r="BM232" i="17" s="1"/>
  <c r="BF231" i="17"/>
  <c r="BN231" i="17" s="1"/>
  <c r="BF53" i="17"/>
  <c r="BN53" i="17" s="1"/>
  <c r="BB86" i="17"/>
  <c r="BJ86" i="17" s="1"/>
  <c r="BC295" i="17"/>
  <c r="BK295" i="17" s="1"/>
  <c r="BF87" i="17"/>
  <c r="BN87" i="17" s="1"/>
  <c r="BD41" i="17"/>
  <c r="BL41" i="17" s="1"/>
  <c r="AZ112" i="17"/>
  <c r="BH112" i="17" s="1"/>
  <c r="BC120" i="17"/>
  <c r="BK120" i="17" s="1"/>
  <c r="BB89" i="17"/>
  <c r="BJ89" i="17" s="1"/>
  <c r="AY219" i="17"/>
  <c r="BG219" i="17" s="1"/>
  <c r="BA49" i="17"/>
  <c r="BI49" i="17" s="1"/>
  <c r="BC170" i="17"/>
  <c r="BK170" i="17" s="1"/>
  <c r="AY264" i="17"/>
  <c r="BG264" i="17" s="1"/>
  <c r="BD305" i="17"/>
  <c r="BL305" i="17" s="1"/>
  <c r="BE79" i="17"/>
  <c r="BM79" i="17" s="1"/>
  <c r="AZ148" i="17"/>
  <c r="BH148" i="17" s="1"/>
  <c r="AY260" i="17"/>
  <c r="BG260" i="17" s="1"/>
  <c r="AZ299" i="17"/>
  <c r="BH299" i="17" s="1"/>
  <c r="BB76" i="17"/>
  <c r="BJ76" i="17" s="1"/>
  <c r="AZ296" i="17"/>
  <c r="BH296" i="17" s="1"/>
  <c r="AZ82" i="17"/>
  <c r="BH82" i="17" s="1"/>
  <c r="BC108" i="17"/>
  <c r="BK108" i="17" s="1"/>
  <c r="BA90" i="17"/>
  <c r="BI90" i="17" s="1"/>
  <c r="BF178" i="17"/>
  <c r="BN178" i="17" s="1"/>
  <c r="BB249" i="17"/>
  <c r="BJ249" i="17" s="1"/>
  <c r="BC60" i="17"/>
  <c r="BK60" i="17" s="1"/>
  <c r="BD73" i="17"/>
  <c r="BL73" i="17" s="1"/>
  <c r="BD276" i="17"/>
  <c r="BL276" i="17" s="1"/>
  <c r="BA138" i="17"/>
  <c r="BI138" i="17" s="1"/>
  <c r="BF300" i="17"/>
  <c r="BN300" i="17" s="1"/>
  <c r="BB134" i="17"/>
  <c r="BJ134" i="17" s="1"/>
  <c r="AY240" i="17"/>
  <c r="BG240" i="17" s="1"/>
  <c r="AZ70" i="17"/>
  <c r="BH70" i="17" s="1"/>
  <c r="BF302" i="17"/>
  <c r="BN302" i="17" s="1"/>
  <c r="BF92" i="17"/>
  <c r="BN92" i="17" s="1"/>
  <c r="AY256" i="17"/>
  <c r="BG256" i="17" s="1"/>
  <c r="AY217" i="17"/>
  <c r="BG217" i="17" s="1"/>
  <c r="BC207" i="17"/>
  <c r="BK207" i="17" s="1"/>
  <c r="BB149" i="17"/>
  <c r="BJ149" i="17" s="1"/>
  <c r="BC22" i="17"/>
  <c r="BK22" i="17" s="1"/>
  <c r="BF28" i="17"/>
  <c r="BN28" i="17" s="1"/>
  <c r="AZ38" i="17"/>
  <c r="BH38" i="17" s="1"/>
  <c r="BB42" i="17"/>
  <c r="BJ42" i="17" s="1"/>
  <c r="BC313" i="17"/>
  <c r="BK313" i="17" s="1"/>
  <c r="BE172" i="17"/>
  <c r="BM172" i="17" s="1"/>
  <c r="BA291" i="17"/>
  <c r="BI291" i="17" s="1"/>
  <c r="BB182" i="17"/>
  <c r="BJ182" i="17" s="1"/>
  <c r="BA200" i="17"/>
  <c r="BI200" i="17" s="1"/>
  <c r="BD30" i="17"/>
  <c r="BL30" i="17" s="1"/>
  <c r="BD67" i="17"/>
  <c r="BL67" i="17" s="1"/>
  <c r="BF104" i="17"/>
  <c r="BN104" i="17" s="1"/>
  <c r="BB10" i="17"/>
  <c r="BJ10" i="17" s="1"/>
  <c r="BE279" i="17"/>
  <c r="BM279" i="17" s="1"/>
  <c r="BB118" i="17"/>
  <c r="BJ118" i="17" s="1"/>
  <c r="AZ228" i="17"/>
  <c r="BH228" i="17" s="1"/>
  <c r="AY57" i="17"/>
  <c r="BG57" i="17" s="1"/>
  <c r="BE167" i="17"/>
  <c r="BM167" i="17" s="1"/>
  <c r="AY156" i="17"/>
  <c r="BG156" i="17" s="1"/>
  <c r="AZ269" i="17"/>
  <c r="BH269" i="17" s="1"/>
  <c r="BF174" i="17"/>
  <c r="BN174" i="17" s="1"/>
  <c r="BA270" i="17"/>
  <c r="BI270" i="17" s="1"/>
  <c r="BB261" i="17"/>
  <c r="BJ261" i="17" s="1"/>
  <c r="BR261" i="17" s="1"/>
  <c r="BE135" i="17"/>
  <c r="BM135" i="17" s="1"/>
  <c r="BA317" i="17"/>
  <c r="BI317" i="17" s="1"/>
  <c r="BE163" i="17"/>
  <c r="BM163" i="17" s="1"/>
  <c r="BE216" i="17"/>
  <c r="BM216" i="17" s="1"/>
  <c r="BB152" i="17"/>
  <c r="BJ152" i="17" s="1"/>
  <c r="BC19" i="17"/>
  <c r="BK19" i="17" s="1"/>
  <c r="BC187" i="17"/>
  <c r="BK187" i="17" s="1"/>
  <c r="BA140" i="17"/>
  <c r="BI140" i="17" s="1"/>
  <c r="BA101" i="17"/>
  <c r="BI101" i="17" s="1"/>
  <c r="BA169" i="17"/>
  <c r="BI169" i="17" s="1"/>
  <c r="AZ32" i="17"/>
  <c r="BH32" i="17" s="1"/>
  <c r="BD106" i="17"/>
  <c r="BL106" i="17" s="1"/>
  <c r="BF220" i="17"/>
  <c r="BN220" i="17" s="1"/>
  <c r="BE131" i="17"/>
  <c r="BM131" i="17" s="1"/>
  <c r="BC50" i="17"/>
  <c r="BK50" i="17" s="1"/>
  <c r="BS50" i="17" s="1"/>
  <c r="BE229" i="17"/>
  <c r="BM229" i="17" s="1"/>
  <c r="BA316" i="17"/>
  <c r="BI316" i="17" s="1"/>
  <c r="BF33" i="17"/>
  <c r="BN33" i="17" s="1"/>
  <c r="BC226" i="17"/>
  <c r="BK226" i="17" s="1"/>
  <c r="BF11" i="17"/>
  <c r="BN11" i="17" s="1"/>
  <c r="AZ197" i="17"/>
  <c r="BH197" i="17" s="1"/>
  <c r="AZ254" i="17"/>
  <c r="BH254" i="17" s="1"/>
  <c r="BE230" i="17"/>
  <c r="BM230" i="17" s="1"/>
  <c r="AY233" i="17"/>
  <c r="BG233" i="17" s="1"/>
  <c r="BA287" i="17"/>
  <c r="BI287" i="17" s="1"/>
  <c r="BE62" i="17"/>
  <c r="BM62" i="17" s="1"/>
  <c r="BA193" i="17"/>
  <c r="BI193" i="17" s="1"/>
  <c r="BB24" i="17"/>
  <c r="BJ24" i="17" s="1"/>
  <c r="BC298" i="17"/>
  <c r="BK298" i="17" s="1"/>
  <c r="BC306" i="17"/>
  <c r="BK306" i="17" s="1"/>
  <c r="BA96" i="17"/>
  <c r="BI96" i="17" s="1"/>
  <c r="AZ151" i="17"/>
  <c r="BH151" i="17" s="1"/>
  <c r="AY23" i="17"/>
  <c r="BG23" i="17" s="1"/>
  <c r="BB113" i="17"/>
  <c r="BJ113" i="17" s="1"/>
  <c r="BC18" i="17"/>
  <c r="BK18" i="17" s="1"/>
  <c r="BA198" i="17"/>
  <c r="BI198" i="17" s="1"/>
  <c r="BB294" i="17"/>
  <c r="BJ294" i="17" s="1"/>
  <c r="AZ212" i="17"/>
  <c r="BH212" i="17" s="1"/>
  <c r="BF180" i="17"/>
  <c r="BN180" i="17" s="1"/>
  <c r="AZ184" i="17"/>
  <c r="BH184" i="17" s="1"/>
  <c r="AY191" i="17"/>
  <c r="BG191" i="17" s="1"/>
  <c r="AY288" i="17"/>
  <c r="BG288" i="17" s="1"/>
  <c r="BE37" i="17"/>
  <c r="BM37" i="17" s="1"/>
  <c r="AY144" i="17"/>
  <c r="BG144" i="17" s="1"/>
  <c r="BF105" i="17"/>
  <c r="BN105" i="17" s="1"/>
  <c r="BF97" i="17"/>
  <c r="BN97" i="17" s="1"/>
  <c r="AY314" i="17"/>
  <c r="BG314" i="17" s="1"/>
  <c r="AY74" i="17"/>
  <c r="BG74" i="17" s="1"/>
  <c r="BF235" i="17"/>
  <c r="BN235" i="17" s="1"/>
  <c r="BD307" i="17"/>
  <c r="BL307" i="17" s="1"/>
  <c r="BA194" i="17"/>
  <c r="BI194" i="17" s="1"/>
  <c r="BD312" i="17"/>
  <c r="BL312" i="17" s="1"/>
  <c r="AY278" i="17"/>
  <c r="BG278" i="17" s="1"/>
  <c r="BE107" i="17"/>
  <c r="BM107" i="17" s="1"/>
  <c r="BE100" i="17"/>
  <c r="BM100" i="17" s="1"/>
  <c r="BF137" i="17"/>
  <c r="BN137" i="17" s="1"/>
  <c r="BC132" i="17"/>
  <c r="BK132" i="17" s="1"/>
  <c r="BB36" i="17"/>
  <c r="BJ36" i="17" s="1"/>
  <c r="AZ241" i="17"/>
  <c r="BH241" i="17" s="1"/>
  <c r="BF127" i="17"/>
  <c r="BN127" i="17" s="1"/>
  <c r="BF262" i="17"/>
  <c r="BN262" i="17" s="1"/>
  <c r="BC97" i="17"/>
  <c r="BK97" i="17" s="1"/>
  <c r="BB8" i="17"/>
  <c r="BJ8" i="17" s="1"/>
  <c r="BA203" i="17"/>
  <c r="BI203" i="17" s="1"/>
  <c r="BA25" i="17"/>
  <c r="BI25" i="17" s="1"/>
  <c r="BQ25" i="17" s="1"/>
  <c r="BB153" i="17"/>
  <c r="BJ153" i="17" s="1"/>
  <c r="BA83" i="17"/>
  <c r="BI83" i="17" s="1"/>
  <c r="BC241" i="17"/>
  <c r="BK241" i="17" s="1"/>
  <c r="AZ132" i="17"/>
  <c r="BH132" i="17" s="1"/>
  <c r="BB199" i="17"/>
  <c r="BJ199" i="17" s="1"/>
  <c r="BB97" i="17"/>
  <c r="BJ97" i="17" s="1"/>
  <c r="BE218" i="17"/>
  <c r="BM218" i="17" s="1"/>
  <c r="AZ314" i="17"/>
  <c r="BH314" i="17" s="1"/>
  <c r="BA227" i="17"/>
  <c r="BI227" i="17" s="1"/>
  <c r="BF238" i="17"/>
  <c r="BN238" i="17" s="1"/>
  <c r="AZ74" i="17"/>
  <c r="BH74" i="17" s="1"/>
  <c r="BB77" i="17"/>
  <c r="BJ77" i="17" s="1"/>
  <c r="BB185" i="17"/>
  <c r="BJ185" i="17" s="1"/>
  <c r="BC206" i="17"/>
  <c r="BK206" i="17" s="1"/>
  <c r="BC58" i="17"/>
  <c r="BK58" i="17" s="1"/>
  <c r="BS58" i="17" s="1"/>
  <c r="AY235" i="17"/>
  <c r="BG235" i="17" s="1"/>
  <c r="BB81" i="17"/>
  <c r="BJ81" i="17" s="1"/>
  <c r="BB211" i="17"/>
  <c r="BJ211" i="17" s="1"/>
  <c r="BC139" i="17"/>
  <c r="BK139" i="17" s="1"/>
  <c r="AY61" i="17"/>
  <c r="BG61" i="17" s="1"/>
  <c r="BC83" i="17"/>
  <c r="BK83" i="17" s="1"/>
  <c r="BC137" i="17"/>
  <c r="BK137" i="17" s="1"/>
  <c r="AY241" i="17"/>
  <c r="BG241" i="17" s="1"/>
  <c r="BD132" i="17"/>
  <c r="BL132" i="17" s="1"/>
  <c r="BE127" i="17"/>
  <c r="BM127" i="17" s="1"/>
  <c r="AZ262" i="17"/>
  <c r="BH262" i="17" s="1"/>
  <c r="AZ111" i="17"/>
  <c r="BH111" i="17" s="1"/>
  <c r="BC105" i="17"/>
  <c r="BK105" i="17" s="1"/>
  <c r="BE199" i="17"/>
  <c r="BM199" i="17" s="1"/>
  <c r="AY145" i="17"/>
  <c r="BG145" i="17" s="1"/>
  <c r="BF123" i="17"/>
  <c r="BN123" i="17" s="1"/>
  <c r="BE244" i="17"/>
  <c r="BM244" i="17" s="1"/>
  <c r="AY97" i="17"/>
  <c r="BG97" i="17" s="1"/>
  <c r="BF310" i="17"/>
  <c r="BN310" i="17" s="1"/>
  <c r="BE8" i="17"/>
  <c r="BM8" i="17" s="1"/>
  <c r="BD314" i="17"/>
  <c r="BL314" i="17" s="1"/>
  <c r="BC227" i="17"/>
  <c r="BK227" i="17" s="1"/>
  <c r="BS227" i="17" s="1"/>
  <c r="CI227" i="17" s="1"/>
  <c r="CO227" i="17" s="1"/>
  <c r="DE227" i="17" s="1"/>
  <c r="DF227" i="17" s="1"/>
  <c r="BE188" i="17"/>
  <c r="BM188" i="17" s="1"/>
  <c r="BB238" i="17"/>
  <c r="BJ238" i="17" s="1"/>
  <c r="BF56" i="17"/>
  <c r="BN56" i="17" s="1"/>
  <c r="BC203" i="17"/>
  <c r="BK203" i="17" s="1"/>
  <c r="BE242" i="17"/>
  <c r="BM242" i="17" s="1"/>
  <c r="BC74" i="17"/>
  <c r="BK74" i="17" s="1"/>
  <c r="AZ25" i="17"/>
  <c r="BH25" i="17" s="1"/>
  <c r="BE77" i="17"/>
  <c r="BM77" i="17" s="1"/>
  <c r="BA153" i="17"/>
  <c r="BI153" i="17" s="1"/>
  <c r="BF185" i="17"/>
  <c r="BN185" i="17" s="1"/>
  <c r="AY202" i="17"/>
  <c r="BG202" i="17" s="1"/>
  <c r="BF58" i="17"/>
  <c r="BN58" i="17" s="1"/>
  <c r="BC235" i="17"/>
  <c r="BK235" i="17" s="1"/>
  <c r="BE307" i="17"/>
  <c r="BM307" i="17" s="1"/>
  <c r="BD277" i="17"/>
  <c r="BL277" i="17" s="1"/>
  <c r="BD81" i="17"/>
  <c r="BL81" i="17" s="1"/>
  <c r="AY44" i="17"/>
  <c r="BG44" i="17" s="1"/>
  <c r="BF209" i="17"/>
  <c r="BN209" i="17" s="1"/>
  <c r="BA54" i="17"/>
  <c r="BI54" i="17" s="1"/>
  <c r="BQ54" i="17" s="1"/>
  <c r="BF211" i="17"/>
  <c r="BN211" i="17" s="1"/>
  <c r="BC164" i="17"/>
  <c r="BK164" i="17" s="1"/>
  <c r="BF139" i="17"/>
  <c r="BN139" i="17" s="1"/>
  <c r="BD252" i="17"/>
  <c r="BL252" i="17" s="1"/>
  <c r="BA189" i="17"/>
  <c r="BI189" i="17" s="1"/>
  <c r="BB61" i="17"/>
  <c r="BJ61" i="17" s="1"/>
  <c r="AY258" i="17"/>
  <c r="BG258" i="17" s="1"/>
  <c r="BA248" i="17"/>
  <c r="BI248" i="17" s="1"/>
  <c r="BC116" i="17"/>
  <c r="BK116" i="17" s="1"/>
  <c r="BF194" i="17"/>
  <c r="BN194" i="17" s="1"/>
  <c r="AZ201" i="17"/>
  <c r="BH201" i="17" s="1"/>
  <c r="BC239" i="17"/>
  <c r="BK239" i="17" s="1"/>
  <c r="BB243" i="17"/>
  <c r="BJ243" i="17" s="1"/>
  <c r="BA312" i="17"/>
  <c r="BI312" i="17" s="1"/>
  <c r="BB146" i="17"/>
  <c r="BJ146" i="17" s="1"/>
  <c r="BE157" i="17"/>
  <c r="BM157" i="17" s="1"/>
  <c r="AY20" i="17"/>
  <c r="BG20" i="17" s="1"/>
  <c r="AZ6" i="17"/>
  <c r="BH6" i="17" s="1"/>
  <c r="BA26" i="17"/>
  <c r="BI26" i="17" s="1"/>
  <c r="AY236" i="17"/>
  <c r="BG236" i="17" s="1"/>
  <c r="AY213" i="17"/>
  <c r="BG213" i="17" s="1"/>
  <c r="AY17" i="17"/>
  <c r="BG17" i="17" s="1"/>
  <c r="BB266" i="17"/>
  <c r="BJ266" i="17" s="1"/>
  <c r="BB107" i="17"/>
  <c r="BJ107" i="17" s="1"/>
  <c r="BA196" i="17"/>
  <c r="BI196" i="17" s="1"/>
  <c r="BA186" i="17"/>
  <c r="BI186" i="17" s="1"/>
  <c r="BC176" i="17"/>
  <c r="BK176" i="17" s="1"/>
  <c r="BD286" i="17"/>
  <c r="BL286" i="17" s="1"/>
  <c r="BB100" i="17"/>
  <c r="BJ100" i="17" s="1"/>
  <c r="BE283" i="17"/>
  <c r="BM283" i="17" s="1"/>
  <c r="BA14" i="17"/>
  <c r="BI14" i="17" s="1"/>
  <c r="BD281" i="17"/>
  <c r="BL281" i="17" s="1"/>
  <c r="BT281" i="17" s="1"/>
  <c r="CJ281" i="17" s="1"/>
  <c r="CP281" i="17" s="1"/>
  <c r="DG281" i="17" s="1"/>
  <c r="DH281" i="17" s="1"/>
  <c r="BE110" i="17"/>
  <c r="BM110" i="17" s="1"/>
  <c r="BB245" i="17"/>
  <c r="BJ245" i="17" s="1"/>
  <c r="AZ301" i="17"/>
  <c r="BH301" i="17" s="1"/>
  <c r="BD162" i="17"/>
  <c r="BL162" i="17" s="1"/>
  <c r="AZ177" i="17"/>
  <c r="BH177" i="17" s="1"/>
  <c r="BP177" i="17" s="1"/>
  <c r="BB221" i="17"/>
  <c r="BJ221" i="17" s="1"/>
  <c r="BA224" i="17"/>
  <c r="BI224" i="17" s="1"/>
  <c r="AZ267" i="17"/>
  <c r="BH267" i="17" s="1"/>
  <c r="BP267" i="17" s="1"/>
  <c r="BB231" i="17"/>
  <c r="BJ231" i="17" s="1"/>
  <c r="BF86" i="17"/>
  <c r="BN86" i="17" s="1"/>
  <c r="BB87" i="17"/>
  <c r="BJ87" i="17" s="1"/>
  <c r="BA41" i="17"/>
  <c r="BI41" i="17" s="1"/>
  <c r="AY293" i="17"/>
  <c r="BG293" i="17" s="1"/>
  <c r="BD112" i="17"/>
  <c r="BL112" i="17" s="1"/>
  <c r="AY120" i="17"/>
  <c r="BG120" i="17" s="1"/>
  <c r="BF89" i="17"/>
  <c r="BN89" i="17" s="1"/>
  <c r="AZ222" i="17"/>
  <c r="BH222" i="17" s="1"/>
  <c r="BC219" i="17"/>
  <c r="BK219" i="17" s="1"/>
  <c r="AZ49" i="17"/>
  <c r="BH49" i="17" s="1"/>
  <c r="BP49" i="17" s="1"/>
  <c r="AY170" i="17"/>
  <c r="BG170" i="17" s="1"/>
  <c r="BC264" i="17"/>
  <c r="BK264" i="17" s="1"/>
  <c r="BA195" i="17"/>
  <c r="BI195" i="17" s="1"/>
  <c r="AZ71" i="17"/>
  <c r="BH71" i="17" s="1"/>
  <c r="AZ305" i="17"/>
  <c r="BH305" i="17" s="1"/>
  <c r="AY79" i="17"/>
  <c r="BG79" i="17" s="1"/>
  <c r="BC260" i="17"/>
  <c r="BK260" i="17" s="1"/>
  <c r="BF76" i="17"/>
  <c r="BN76" i="17" s="1"/>
  <c r="BD296" i="17"/>
  <c r="BL296" i="17" s="1"/>
  <c r="BA82" i="17"/>
  <c r="BI82" i="17" s="1"/>
  <c r="BB108" i="17"/>
  <c r="BJ108" i="17" s="1"/>
  <c r="BA130" i="17"/>
  <c r="BI130" i="17" s="1"/>
  <c r="BE90" i="17"/>
  <c r="BM90" i="17" s="1"/>
  <c r="BB178" i="17"/>
  <c r="BJ178" i="17" s="1"/>
  <c r="BF249" i="17"/>
  <c r="BN249" i="17" s="1"/>
  <c r="AY73" i="17"/>
  <c r="BG73" i="17" s="1"/>
  <c r="BO73" i="17" s="1"/>
  <c r="AZ276" i="17"/>
  <c r="BH276" i="17" s="1"/>
  <c r="BE138" i="17"/>
  <c r="BM138" i="17" s="1"/>
  <c r="BB300" i="17"/>
  <c r="BJ300" i="17" s="1"/>
  <c r="BF134" i="17"/>
  <c r="BN134" i="17" s="1"/>
  <c r="BC240" i="17"/>
  <c r="BK240" i="17" s="1"/>
  <c r="BD70" i="17"/>
  <c r="BL70" i="17" s="1"/>
  <c r="BC225" i="17"/>
  <c r="BK225" i="17" s="1"/>
  <c r="BS225" i="17" s="1"/>
  <c r="CI225" i="17" s="1"/>
  <c r="CO225" i="17" s="1"/>
  <c r="DE225" i="17" s="1"/>
  <c r="DF225" i="17" s="1"/>
  <c r="BB92" i="17"/>
  <c r="BJ92" i="17" s="1"/>
  <c r="BC256" i="17"/>
  <c r="BK256" i="17" s="1"/>
  <c r="AY115" i="17"/>
  <c r="BG115" i="17" s="1"/>
  <c r="AY207" i="17"/>
  <c r="BG207" i="17" s="1"/>
  <c r="AY27" i="17"/>
  <c r="BG27" i="17" s="1"/>
  <c r="BF149" i="17"/>
  <c r="BN149" i="17" s="1"/>
  <c r="AZ275" i="17"/>
  <c r="BH275" i="17" s="1"/>
  <c r="BE28" i="17"/>
  <c r="BM28" i="17" s="1"/>
  <c r="BC38" i="17"/>
  <c r="BK38" i="17" s="1"/>
  <c r="BF42" i="17"/>
  <c r="BN42" i="17" s="1"/>
  <c r="AY313" i="17"/>
  <c r="BG313" i="17" s="1"/>
  <c r="BE291" i="17"/>
  <c r="BM291" i="17" s="1"/>
  <c r="BF182" i="17"/>
  <c r="BN182" i="17" s="1"/>
  <c r="BE109" i="17"/>
  <c r="BM109" i="17" s="1"/>
  <c r="AY30" i="17"/>
  <c r="BG30" i="17" s="1"/>
  <c r="BB104" i="17"/>
  <c r="BJ104" i="17" s="1"/>
  <c r="BF78" i="17"/>
  <c r="BN78" i="17" s="1"/>
  <c r="BA64" i="17"/>
  <c r="BI64" i="17" s="1"/>
  <c r="BB175" i="17"/>
  <c r="BJ175" i="17" s="1"/>
  <c r="BF10" i="17"/>
  <c r="BN10" i="17" s="1"/>
  <c r="AY160" i="17"/>
  <c r="BG160" i="17" s="1"/>
  <c r="BA279" i="17"/>
  <c r="BI279" i="17" s="1"/>
  <c r="BF118" i="17"/>
  <c r="BN118" i="17" s="1"/>
  <c r="BC228" i="17"/>
  <c r="BK228" i="17" s="1"/>
  <c r="BB57" i="17"/>
  <c r="BJ57" i="17" s="1"/>
  <c r="AZ167" i="17"/>
  <c r="BH167" i="17" s="1"/>
  <c r="BP167" i="17" s="1"/>
  <c r="BC156" i="17"/>
  <c r="BK156" i="17" s="1"/>
  <c r="BD269" i="17"/>
  <c r="BL269" i="17" s="1"/>
  <c r="BA174" i="17"/>
  <c r="BI174" i="17" s="1"/>
  <c r="BE270" i="17"/>
  <c r="BM270" i="17" s="1"/>
  <c r="BA261" i="17"/>
  <c r="BI261" i="17" s="1"/>
  <c r="BA135" i="17"/>
  <c r="BI135" i="17" s="1"/>
  <c r="BQ135" i="17" s="1"/>
  <c r="AZ317" i="17"/>
  <c r="BH317" i="17" s="1"/>
  <c r="BA163" i="17"/>
  <c r="BI163" i="17" s="1"/>
  <c r="BA216" i="17"/>
  <c r="BI216" i="17" s="1"/>
  <c r="AZ69" i="17"/>
  <c r="BH69" i="17" s="1"/>
  <c r="BF152" i="17"/>
  <c r="BN152" i="17" s="1"/>
  <c r="AY272" i="17"/>
  <c r="BG272" i="17" s="1"/>
  <c r="AZ19" i="17"/>
  <c r="BH19" i="17" s="1"/>
  <c r="BE159" i="17"/>
  <c r="BM159" i="17" s="1"/>
  <c r="BD311" i="17"/>
  <c r="BL311" i="17" s="1"/>
  <c r="BE169" i="17"/>
  <c r="BM169" i="17" s="1"/>
  <c r="BA94" i="17"/>
  <c r="BI94" i="17" s="1"/>
  <c r="BD32" i="17"/>
  <c r="BL32" i="17" s="1"/>
  <c r="AZ106" i="17"/>
  <c r="BH106" i="17" s="1"/>
  <c r="BE103" i="17"/>
  <c r="BM103" i="17" s="1"/>
  <c r="BB220" i="17"/>
  <c r="BJ220" i="17" s="1"/>
  <c r="AZ50" i="17"/>
  <c r="BH50" i="17" s="1"/>
  <c r="AZ229" i="17"/>
  <c r="BH229" i="17" s="1"/>
  <c r="BE316" i="17"/>
  <c r="BM316" i="17" s="1"/>
  <c r="BB33" i="17"/>
  <c r="BJ33" i="17" s="1"/>
  <c r="BB226" i="17"/>
  <c r="BJ226" i="17" s="1"/>
  <c r="BA11" i="17"/>
  <c r="BI11" i="17" s="1"/>
  <c r="BD292" i="17"/>
  <c r="BL292" i="17" s="1"/>
  <c r="BD197" i="17"/>
  <c r="BL197" i="17" s="1"/>
  <c r="BD254" i="17"/>
  <c r="BL254" i="17" s="1"/>
  <c r="BA230" i="17"/>
  <c r="BI230" i="17" s="1"/>
  <c r="BC233" i="17"/>
  <c r="BK233" i="17" s="1"/>
  <c r="BE287" i="17"/>
  <c r="BM287" i="17" s="1"/>
  <c r="BA62" i="17"/>
  <c r="BI62" i="17" s="1"/>
  <c r="BE237" i="17"/>
  <c r="BM237" i="17" s="1"/>
  <c r="BD250" i="17"/>
  <c r="BL250" i="17" s="1"/>
  <c r="BA173" i="17"/>
  <c r="BI173" i="17" s="1"/>
  <c r="AY306" i="17"/>
  <c r="BG306" i="17" s="1"/>
  <c r="BC96" i="17"/>
  <c r="BK96" i="17" s="1"/>
  <c r="AY271" i="17"/>
  <c r="BG271" i="17" s="1"/>
  <c r="BC284" i="17"/>
  <c r="BK284" i="17" s="1"/>
  <c r="BB23" i="17"/>
  <c r="BJ23" i="17" s="1"/>
  <c r="AY190" i="17"/>
  <c r="BG190" i="17" s="1"/>
  <c r="BF113" i="17"/>
  <c r="BN113" i="17" s="1"/>
  <c r="AY18" i="17"/>
  <c r="BG18" i="17" s="1"/>
  <c r="AY246" i="17"/>
  <c r="BG246" i="17" s="1"/>
  <c r="BD247" i="17"/>
  <c r="BL247" i="17" s="1"/>
  <c r="BF294" i="17"/>
  <c r="BN294" i="17" s="1"/>
  <c r="BE171" i="17"/>
  <c r="BM171" i="17" s="1"/>
  <c r="BD212" i="17"/>
  <c r="BL212" i="17" s="1"/>
  <c r="BB180" i="17"/>
  <c r="BJ180" i="17" s="1"/>
  <c r="BD184" i="17"/>
  <c r="BL184" i="17" s="1"/>
  <c r="BC191" i="17"/>
  <c r="BK191" i="17" s="1"/>
  <c r="BA288" i="17"/>
  <c r="BI288" i="17" s="1"/>
  <c r="AY259" i="17"/>
  <c r="BG259" i="17" s="1"/>
  <c r="BA37" i="17"/>
  <c r="BI37" i="17" s="1"/>
  <c r="BF66" i="17"/>
  <c r="BN66" i="17" s="1"/>
  <c r="BC177" i="17"/>
  <c r="BK177" i="17" s="1"/>
  <c r="BB117" i="17"/>
  <c r="BJ117" i="17" s="1"/>
  <c r="BD91" i="17"/>
  <c r="BL91" i="17" s="1"/>
  <c r="BA221" i="17"/>
  <c r="BI221" i="17" s="1"/>
  <c r="BC267" i="17"/>
  <c r="BK267" i="17" s="1"/>
  <c r="BD232" i="17"/>
  <c r="BL232" i="17" s="1"/>
  <c r="BA231" i="17"/>
  <c r="BI231" i="17" s="1"/>
  <c r="BA53" i="17"/>
  <c r="BI53" i="17" s="1"/>
  <c r="BA85" i="17"/>
  <c r="BI85" i="17" s="1"/>
  <c r="BA86" i="17"/>
  <c r="BI86" i="17" s="1"/>
  <c r="BQ86" i="17" s="1"/>
  <c r="BB295" i="17"/>
  <c r="BJ295" i="17" s="1"/>
  <c r="BE87" i="17"/>
  <c r="BM87" i="17" s="1"/>
  <c r="BB41" i="17"/>
  <c r="BJ41" i="17" s="1"/>
  <c r="BF293" i="17"/>
  <c r="BN293" i="17" s="1"/>
  <c r="BC112" i="17"/>
  <c r="BK112" i="17" s="1"/>
  <c r="BB120" i="17"/>
  <c r="BJ120" i="17" s="1"/>
  <c r="BA89" i="17"/>
  <c r="BI89" i="17" s="1"/>
  <c r="AY222" i="17"/>
  <c r="BG222" i="17" s="1"/>
  <c r="BO222" i="17" s="1"/>
  <c r="BF219" i="17"/>
  <c r="BN219" i="17" s="1"/>
  <c r="BF49" i="17"/>
  <c r="BN49" i="17" s="1"/>
  <c r="BE170" i="17"/>
  <c r="BM170" i="17" s="1"/>
  <c r="BF264" i="17"/>
  <c r="BN264" i="17" s="1"/>
  <c r="BD195" i="17"/>
  <c r="BL195" i="17" s="1"/>
  <c r="BD71" i="17"/>
  <c r="BL71" i="17" s="1"/>
  <c r="BF305" i="17"/>
  <c r="BN305" i="17" s="1"/>
  <c r="BD79" i="17"/>
  <c r="BL79" i="17" s="1"/>
  <c r="AY263" i="17"/>
  <c r="BG263" i="17" s="1"/>
  <c r="BB148" i="17"/>
  <c r="BJ148" i="17" s="1"/>
  <c r="BB260" i="17"/>
  <c r="BJ260" i="17" s="1"/>
  <c r="BC299" i="17"/>
  <c r="BK299" i="17" s="1"/>
  <c r="BA76" i="17"/>
  <c r="BI76" i="17" s="1"/>
  <c r="AY296" i="17"/>
  <c r="BG296" i="17" s="1"/>
  <c r="AY82" i="17"/>
  <c r="BG82" i="17" s="1"/>
  <c r="BE108" i="17"/>
  <c r="BM108" i="17" s="1"/>
  <c r="AZ90" i="17"/>
  <c r="BH90" i="17" s="1"/>
  <c r="BE178" i="17"/>
  <c r="BM178" i="17" s="1"/>
  <c r="BA249" i="17"/>
  <c r="BI249" i="17" s="1"/>
  <c r="BB60" i="17"/>
  <c r="BJ60" i="17" s="1"/>
  <c r="BF102" i="17"/>
  <c r="BN102" i="17" s="1"/>
  <c r="BC73" i="17"/>
  <c r="BK73" i="17" s="1"/>
  <c r="BD138" i="17"/>
  <c r="BL138" i="17" s="1"/>
  <c r="BE300" i="17"/>
  <c r="BM300" i="17" s="1"/>
  <c r="AZ134" i="17"/>
  <c r="BH134" i="17" s="1"/>
  <c r="BB240" i="17"/>
  <c r="BJ240" i="17" s="1"/>
  <c r="BC70" i="17"/>
  <c r="BK70" i="17" s="1"/>
  <c r="BF225" i="17"/>
  <c r="BN225" i="17" s="1"/>
  <c r="AZ92" i="17"/>
  <c r="BH92" i="17" s="1"/>
  <c r="BB115" i="17"/>
  <c r="BJ115" i="17" s="1"/>
  <c r="BF217" i="17"/>
  <c r="BN217" i="17" s="1"/>
  <c r="BB207" i="17"/>
  <c r="BJ207" i="17" s="1"/>
  <c r="BR207" i="17" s="1"/>
  <c r="BC27" i="17"/>
  <c r="BK27" i="17" s="1"/>
  <c r="BD149" i="17"/>
  <c r="BL149" i="17" s="1"/>
  <c r="BF22" i="17"/>
  <c r="BN22" i="17" s="1"/>
  <c r="AY28" i="17"/>
  <c r="BG28" i="17" s="1"/>
  <c r="BA42" i="17"/>
  <c r="BI42" i="17" s="1"/>
  <c r="BB313" i="17"/>
  <c r="BJ313" i="17" s="1"/>
  <c r="BC172" i="17"/>
  <c r="BK172" i="17" s="1"/>
  <c r="AZ291" i="17"/>
  <c r="BH291" i="17" s="1"/>
  <c r="BP291" i="17" s="1"/>
  <c r="BE182" i="17"/>
  <c r="BM182" i="17" s="1"/>
  <c r="AZ109" i="17"/>
  <c r="BH109" i="17" s="1"/>
  <c r="AZ200" i="17"/>
  <c r="BH200" i="17" s="1"/>
  <c r="BC30" i="17"/>
  <c r="BK30" i="17" s="1"/>
  <c r="BC67" i="17"/>
  <c r="BK67" i="17" s="1"/>
  <c r="BE104" i="17"/>
  <c r="BM104" i="17" s="1"/>
  <c r="BA65" i="17"/>
  <c r="BI65" i="17" s="1"/>
  <c r="BB78" i="17"/>
  <c r="BJ78" i="17" s="1"/>
  <c r="BD64" i="17"/>
  <c r="BL64" i="17" s="1"/>
  <c r="AZ68" i="17"/>
  <c r="BH68" i="17" s="1"/>
  <c r="BE175" i="17"/>
  <c r="BM175" i="17" s="1"/>
  <c r="BA10" i="17"/>
  <c r="BI10" i="17" s="1"/>
  <c r="BE160" i="17"/>
  <c r="BM160" i="17" s="1"/>
  <c r="BC279" i="17"/>
  <c r="BK279" i="17" s="1"/>
  <c r="BA118" i="17"/>
  <c r="BI118" i="17" s="1"/>
  <c r="BB228" i="17"/>
  <c r="BJ228" i="17" s="1"/>
  <c r="BB167" i="17"/>
  <c r="BJ167" i="17" s="1"/>
  <c r="BF156" i="17"/>
  <c r="BN156" i="17" s="1"/>
  <c r="AY269" i="17"/>
  <c r="BG269" i="17" s="1"/>
  <c r="BD174" i="17"/>
  <c r="BL174" i="17" s="1"/>
  <c r="AY270" i="17"/>
  <c r="BG270" i="17" s="1"/>
  <c r="AZ135" i="17"/>
  <c r="BH135" i="17" s="1"/>
  <c r="BD163" i="17"/>
  <c r="BL163" i="17" s="1"/>
  <c r="BD216" i="17"/>
  <c r="BL216" i="17" s="1"/>
  <c r="AY69" i="17"/>
  <c r="BG69" i="17" s="1"/>
  <c r="BA152" i="17"/>
  <c r="BI152" i="17" s="1"/>
  <c r="BF272" i="17"/>
  <c r="BN272" i="17" s="1"/>
  <c r="AY19" i="17"/>
  <c r="BG19" i="17" s="1"/>
  <c r="BB187" i="17"/>
  <c r="BJ187" i="17" s="1"/>
  <c r="AY311" i="17"/>
  <c r="BG311" i="17" s="1"/>
  <c r="AZ140" i="17"/>
  <c r="BH140" i="17" s="1"/>
  <c r="BF101" i="17"/>
  <c r="BN101" i="17" s="1"/>
  <c r="BC169" i="17"/>
  <c r="BK169" i="17" s="1"/>
  <c r="AZ94" i="17"/>
  <c r="BH94" i="17" s="1"/>
  <c r="AY32" i="17"/>
  <c r="BG32" i="17" s="1"/>
  <c r="BD131" i="17"/>
  <c r="BL131" i="17" s="1"/>
  <c r="BB229" i="17"/>
  <c r="BJ229" i="17" s="1"/>
  <c r="BE166" i="17"/>
  <c r="BM166" i="17" s="1"/>
  <c r="BA226" i="17"/>
  <c r="BI226" i="17" s="1"/>
  <c r="AY254" i="17"/>
  <c r="BG254" i="17" s="1"/>
  <c r="AY230" i="17"/>
  <c r="BG230" i="17" s="1"/>
  <c r="BF233" i="17"/>
  <c r="BN233" i="17" s="1"/>
  <c r="BB287" i="17"/>
  <c r="BJ287" i="17" s="1"/>
  <c r="BD62" i="17"/>
  <c r="BL62" i="17" s="1"/>
  <c r="BD193" i="17"/>
  <c r="BL193" i="17" s="1"/>
  <c r="BA24" i="17"/>
  <c r="BI24" i="17" s="1"/>
  <c r="BF306" i="17"/>
  <c r="BN306" i="17" s="1"/>
  <c r="AY151" i="17"/>
  <c r="BG151" i="17" s="1"/>
  <c r="BF23" i="17"/>
  <c r="BN23" i="17" s="1"/>
  <c r="BB18" i="17"/>
  <c r="BJ18" i="17" s="1"/>
  <c r="AY198" i="17"/>
  <c r="BG198" i="17" s="1"/>
  <c r="BA208" i="17"/>
  <c r="BI208" i="17" s="1"/>
  <c r="BE294" i="17"/>
  <c r="BM294" i="17" s="1"/>
  <c r="BA171" i="17"/>
  <c r="BI171" i="17" s="1"/>
  <c r="BF212" i="17"/>
  <c r="BN212" i="17" s="1"/>
  <c r="BE180" i="17"/>
  <c r="BM180" i="17" s="1"/>
  <c r="AY184" i="17"/>
  <c r="BG184" i="17" s="1"/>
  <c r="BF288" i="17"/>
  <c r="BN288" i="17" s="1"/>
  <c r="BC259" i="17"/>
  <c r="BK259" i="17" s="1"/>
  <c r="BC37" i="17"/>
  <c r="BK37" i="17" s="1"/>
  <c r="BF280" i="17"/>
  <c r="BN280" i="17" s="1"/>
  <c r="AY132" i="17"/>
  <c r="BG132" i="17" s="1"/>
  <c r="BB75" i="17"/>
  <c r="BJ75" i="17" s="1"/>
  <c r="AZ123" i="17"/>
  <c r="BH123" i="17" s="1"/>
  <c r="BA8" i="17"/>
  <c r="BI8" i="17" s="1"/>
  <c r="AZ188" i="17"/>
  <c r="BH188" i="17" s="1"/>
  <c r="AZ242" i="17"/>
  <c r="BH242" i="17" s="1"/>
  <c r="BD153" i="17"/>
  <c r="BL153" i="17" s="1"/>
  <c r="BC81" i="17"/>
  <c r="BK81" i="17" s="1"/>
  <c r="BB139" i="17"/>
  <c r="BJ139" i="17" s="1"/>
  <c r="BR139" i="17" s="1"/>
  <c r="BD248" i="17"/>
  <c r="BL248" i="17" s="1"/>
  <c r="BB20" i="17"/>
  <c r="BJ20" i="17" s="1"/>
  <c r="AY111" i="17"/>
  <c r="BG111" i="17" s="1"/>
  <c r="BB105" i="17"/>
  <c r="BJ105" i="17" s="1"/>
  <c r="BD199" i="17"/>
  <c r="BL199" i="17" s="1"/>
  <c r="BF145" i="17"/>
  <c r="BN145" i="17" s="1"/>
  <c r="BD123" i="17"/>
  <c r="BL123" i="17" s="1"/>
  <c r="BD244" i="17"/>
  <c r="BL244" i="17" s="1"/>
  <c r="BE97" i="17"/>
  <c r="BM97" i="17" s="1"/>
  <c r="AZ218" i="17"/>
  <c r="BH218" i="17" s="1"/>
  <c r="BE310" i="17"/>
  <c r="BM310" i="17" s="1"/>
  <c r="BC8" i="17"/>
  <c r="BK8" i="17" s="1"/>
  <c r="BC314" i="17"/>
  <c r="BK314" i="17" s="1"/>
  <c r="BB227" i="17"/>
  <c r="BJ227" i="17" s="1"/>
  <c r="BD188" i="17"/>
  <c r="BL188" i="17" s="1"/>
  <c r="BA31" i="17"/>
  <c r="BI31" i="17" s="1"/>
  <c r="BE238" i="17"/>
  <c r="BM238" i="17" s="1"/>
  <c r="BA56" i="17"/>
  <c r="BI56" i="17" s="1"/>
  <c r="AZ203" i="17"/>
  <c r="BH203" i="17" s="1"/>
  <c r="BD242" i="17"/>
  <c r="BL242" i="17" s="1"/>
  <c r="BB74" i="17"/>
  <c r="BJ74" i="17" s="1"/>
  <c r="BD77" i="17"/>
  <c r="BL77" i="17" s="1"/>
  <c r="AZ153" i="17"/>
  <c r="BH153" i="17" s="1"/>
  <c r="BP153" i="17" s="1"/>
  <c r="BE185" i="17"/>
  <c r="BM185" i="17" s="1"/>
  <c r="BC202" i="17"/>
  <c r="BK202" i="17" s="1"/>
  <c r="BA58" i="17"/>
  <c r="BI58" i="17" s="1"/>
  <c r="BB235" i="17"/>
  <c r="BJ235" i="17" s="1"/>
  <c r="BD154" i="17"/>
  <c r="BL154" i="17" s="1"/>
  <c r="AY161" i="17"/>
  <c r="BG161" i="17" s="1"/>
  <c r="AZ307" i="17"/>
  <c r="BH307" i="17" s="1"/>
  <c r="BA81" i="17"/>
  <c r="BI81" i="17" s="1"/>
  <c r="BE209" i="17"/>
  <c r="BM209" i="17" s="1"/>
  <c r="BB54" i="17"/>
  <c r="BJ54" i="17" s="1"/>
  <c r="BB164" i="17"/>
  <c r="BJ164" i="17" s="1"/>
  <c r="AZ255" i="17"/>
  <c r="BH255" i="17" s="1"/>
  <c r="BP255" i="17" s="1"/>
  <c r="BE139" i="17"/>
  <c r="BM139" i="17" s="1"/>
  <c r="AY252" i="17"/>
  <c r="BG252" i="17" s="1"/>
  <c r="AY189" i="17"/>
  <c r="BG189" i="17" s="1"/>
  <c r="BA61" i="17"/>
  <c r="BI61" i="17" s="1"/>
  <c r="BA88" i="17"/>
  <c r="BI88" i="17" s="1"/>
  <c r="BF258" i="17"/>
  <c r="BN258" i="17" s="1"/>
  <c r="AZ248" i="17"/>
  <c r="BH248" i="17" s="1"/>
  <c r="BB116" i="17"/>
  <c r="BJ116" i="17" s="1"/>
  <c r="BE194" i="17"/>
  <c r="BM194" i="17" s="1"/>
  <c r="AY201" i="17"/>
  <c r="BG201" i="17" s="1"/>
  <c r="BB239" i="17"/>
  <c r="BJ239" i="17" s="1"/>
  <c r="BA243" i="17"/>
  <c r="BI243" i="17" s="1"/>
  <c r="AZ312" i="17"/>
  <c r="BH312" i="17" s="1"/>
  <c r="AZ146" i="17"/>
  <c r="BH146" i="17" s="1"/>
  <c r="AY157" i="17"/>
  <c r="BG157" i="17" s="1"/>
  <c r="BF204" i="17"/>
  <c r="BN204" i="17" s="1"/>
  <c r="BD59" i="17"/>
  <c r="BL59" i="17" s="1"/>
  <c r="BF47" i="17"/>
  <c r="BN47" i="17" s="1"/>
  <c r="BE6" i="17"/>
  <c r="BM6" i="17" s="1"/>
  <c r="AY26" i="17"/>
  <c r="BG26" i="17" s="1"/>
  <c r="BF236" i="17"/>
  <c r="BN236" i="17" s="1"/>
  <c r="BB213" i="17"/>
  <c r="BJ213" i="17" s="1"/>
  <c r="BF17" i="17"/>
  <c r="BN17" i="17" s="1"/>
  <c r="BD128" i="17"/>
  <c r="BL128" i="17" s="1"/>
  <c r="BA266" i="17"/>
  <c r="BI266" i="17" s="1"/>
  <c r="BA107" i="17"/>
  <c r="BI107" i="17" s="1"/>
  <c r="AZ196" i="17"/>
  <c r="BH196" i="17" s="1"/>
  <c r="AZ186" i="17"/>
  <c r="BH186" i="17" s="1"/>
  <c r="BA176" i="17"/>
  <c r="BI176" i="17" s="1"/>
  <c r="BA286" i="17"/>
  <c r="BI286" i="17" s="1"/>
  <c r="BA100" i="17"/>
  <c r="BI100" i="17" s="1"/>
  <c r="BB40" i="17"/>
  <c r="BJ40" i="17" s="1"/>
  <c r="AZ257" i="17"/>
  <c r="BH257" i="17" s="1"/>
  <c r="AY14" i="17"/>
  <c r="BG14" i="17" s="1"/>
  <c r="BC281" i="17"/>
  <c r="BK281" i="17" s="1"/>
  <c r="BB110" i="17"/>
  <c r="BJ110" i="17" s="1"/>
  <c r="BA245" i="17"/>
  <c r="BI245" i="17" s="1"/>
  <c r="AY301" i="17"/>
  <c r="BG301" i="17" s="1"/>
  <c r="BD66" i="17"/>
  <c r="BL66" i="17" s="1"/>
  <c r="BC162" i="17"/>
  <c r="BK162" i="17" s="1"/>
  <c r="AY177" i="17"/>
  <c r="BG177" i="17" s="1"/>
  <c r="BF117" i="17"/>
  <c r="BN117" i="17" s="1"/>
  <c r="BA91" i="17"/>
  <c r="BI91" i="17" s="1"/>
  <c r="BE221" i="17"/>
  <c r="BM221" i="17" s="1"/>
  <c r="AY267" i="17"/>
  <c r="BG267" i="17" s="1"/>
  <c r="AZ232" i="17"/>
  <c r="BH232" i="17" s="1"/>
  <c r="BC53" i="17"/>
  <c r="BK53" i="17" s="1"/>
  <c r="BE85" i="17"/>
  <c r="BM85" i="17" s="1"/>
  <c r="BE86" i="17"/>
  <c r="BM86" i="17" s="1"/>
  <c r="BF295" i="17"/>
  <c r="BN295" i="17" s="1"/>
  <c r="BA55" i="17"/>
  <c r="BI55" i="17" s="1"/>
  <c r="BB293" i="17"/>
  <c r="BJ293" i="17" s="1"/>
  <c r="BF120" i="17"/>
  <c r="BN120" i="17" s="1"/>
  <c r="BE89" i="17"/>
  <c r="BM89" i="17" s="1"/>
  <c r="BC222" i="17"/>
  <c r="BK222" i="17" s="1"/>
  <c r="BB219" i="17"/>
  <c r="BJ219" i="17" s="1"/>
  <c r="BC49" i="17"/>
  <c r="BK49" i="17" s="1"/>
  <c r="BB170" i="17"/>
  <c r="BJ170" i="17" s="1"/>
  <c r="BB264" i="17"/>
  <c r="BJ264" i="17" s="1"/>
  <c r="AZ195" i="17"/>
  <c r="BH195" i="17" s="1"/>
  <c r="BB305" i="17"/>
  <c r="BJ305" i="17" s="1"/>
  <c r="BC79" i="17"/>
  <c r="BK79" i="17" s="1"/>
  <c r="BC263" i="17"/>
  <c r="BK263" i="17" s="1"/>
  <c r="AY148" i="17"/>
  <c r="BG148" i="17" s="1"/>
  <c r="BF260" i="17"/>
  <c r="BN260" i="17" s="1"/>
  <c r="AY299" i="17"/>
  <c r="BG299" i="17" s="1"/>
  <c r="BE76" i="17"/>
  <c r="BM76" i="17" s="1"/>
  <c r="BC296" i="17"/>
  <c r="BK296" i="17" s="1"/>
  <c r="BD82" i="17"/>
  <c r="BL82" i="17" s="1"/>
  <c r="BD108" i="17"/>
  <c r="BL108" i="17" s="1"/>
  <c r="BA178" i="17"/>
  <c r="BI178" i="17" s="1"/>
  <c r="BE249" i="17"/>
  <c r="BM249" i="17" s="1"/>
  <c r="BE60" i="17"/>
  <c r="BM60" i="17" s="1"/>
  <c r="BB102" i="17"/>
  <c r="BJ102" i="17" s="1"/>
  <c r="BF73" i="17"/>
  <c r="BN73" i="17" s="1"/>
  <c r="AY276" i="17"/>
  <c r="BG276" i="17" s="1"/>
  <c r="AZ138" i="17"/>
  <c r="BH138" i="17" s="1"/>
  <c r="BA300" i="17"/>
  <c r="BI300" i="17" s="1"/>
  <c r="BF240" i="17"/>
  <c r="BN240" i="17" s="1"/>
  <c r="BB225" i="17"/>
  <c r="BJ225" i="17" s="1"/>
  <c r="BA302" i="17"/>
  <c r="BI302" i="17" s="1"/>
  <c r="BE92" i="17"/>
  <c r="BM92" i="17" s="1"/>
  <c r="BB256" i="17"/>
  <c r="BJ256" i="17" s="1"/>
  <c r="BF115" i="17"/>
  <c r="BN115" i="17" s="1"/>
  <c r="BB217" i="17"/>
  <c r="BJ217" i="17" s="1"/>
  <c r="BA27" i="17"/>
  <c r="BI27" i="17" s="1"/>
  <c r="BA149" i="17"/>
  <c r="BI149" i="17" s="1"/>
  <c r="BQ149" i="17" s="1"/>
  <c r="BA22" i="17"/>
  <c r="BI22" i="17" s="1"/>
  <c r="AY275" i="17"/>
  <c r="BG275" i="17" s="1"/>
  <c r="BB28" i="17"/>
  <c r="BJ28" i="17" s="1"/>
  <c r="BB38" i="17"/>
  <c r="BJ38" i="17" s="1"/>
  <c r="BE42" i="17"/>
  <c r="BM42" i="17" s="1"/>
  <c r="BF313" i="17"/>
  <c r="BN313" i="17" s="1"/>
  <c r="BF172" i="17"/>
  <c r="BN172" i="17" s="1"/>
  <c r="BD291" i="17"/>
  <c r="BL291" i="17" s="1"/>
  <c r="BA182" i="17"/>
  <c r="BI182" i="17" s="1"/>
  <c r="AY109" i="17"/>
  <c r="BG109" i="17" s="1"/>
  <c r="BB30" i="17"/>
  <c r="BJ30" i="17" s="1"/>
  <c r="BA104" i="17"/>
  <c r="BI104" i="17" s="1"/>
  <c r="AY175" i="17"/>
  <c r="BG175" i="17" s="1"/>
  <c r="BD10" i="17"/>
  <c r="BL10" i="17" s="1"/>
  <c r="BT10" i="17" s="1"/>
  <c r="CJ10" i="17" s="1"/>
  <c r="CP10" i="17" s="1"/>
  <c r="DG10" i="17" s="1"/>
  <c r="DH10" i="17" s="1"/>
  <c r="BB160" i="17"/>
  <c r="BJ160" i="17" s="1"/>
  <c r="BE118" i="17"/>
  <c r="BM118" i="17" s="1"/>
  <c r="BA228" i="17"/>
  <c r="BI228" i="17" s="1"/>
  <c r="BA57" i="17"/>
  <c r="BI57" i="17" s="1"/>
  <c r="BQ57" i="17" s="1"/>
  <c r="BF167" i="17"/>
  <c r="BN167" i="17" s="1"/>
  <c r="BB156" i="17"/>
  <c r="BJ156" i="17" s="1"/>
  <c r="BC269" i="17"/>
  <c r="BK269" i="17" s="1"/>
  <c r="BE174" i="17"/>
  <c r="BM174" i="17" s="1"/>
  <c r="BC270" i="17"/>
  <c r="BK270" i="17" s="1"/>
  <c r="AY261" i="17"/>
  <c r="BG261" i="17" s="1"/>
  <c r="BD135" i="17"/>
  <c r="BL135" i="17" s="1"/>
  <c r="AY317" i="17"/>
  <c r="BG317" i="17" s="1"/>
  <c r="AZ163" i="17"/>
  <c r="BH163" i="17" s="1"/>
  <c r="AZ216" i="17"/>
  <c r="BH216" i="17" s="1"/>
  <c r="BP216" i="17" s="1"/>
  <c r="BB272" i="17"/>
  <c r="BJ272" i="17" s="1"/>
  <c r="BE19" i="17"/>
  <c r="BM19" i="17" s="1"/>
  <c r="BF187" i="17"/>
  <c r="BN187" i="17" s="1"/>
  <c r="AZ159" i="17"/>
  <c r="BH159" i="17" s="1"/>
  <c r="BC311" i="17"/>
  <c r="BK311" i="17" s="1"/>
  <c r="BB140" i="17"/>
  <c r="BJ140" i="17" s="1"/>
  <c r="AZ169" i="17"/>
  <c r="BH169" i="17" s="1"/>
  <c r="BD94" i="17"/>
  <c r="BL94" i="17" s="1"/>
  <c r="BC32" i="17"/>
  <c r="BK32" i="17" s="1"/>
  <c r="AY106" i="17"/>
  <c r="BG106" i="17" s="1"/>
  <c r="BD103" i="17"/>
  <c r="BL103" i="17" s="1"/>
  <c r="AZ131" i="17"/>
  <c r="BH131" i="17" s="1"/>
  <c r="BF316" i="17"/>
  <c r="BN316" i="17" s="1"/>
  <c r="BA166" i="17"/>
  <c r="BI166" i="17" s="1"/>
  <c r="BA33" i="17"/>
  <c r="BI33" i="17" s="1"/>
  <c r="BC11" i="17"/>
  <c r="BK11" i="17" s="1"/>
  <c r="AY292" i="17"/>
  <c r="BG292" i="17" s="1"/>
  <c r="BC197" i="17"/>
  <c r="BK197" i="17" s="1"/>
  <c r="BC254" i="17"/>
  <c r="BK254" i="17" s="1"/>
  <c r="BC230" i="17"/>
  <c r="BK230" i="17" s="1"/>
  <c r="BB233" i="17"/>
  <c r="BJ233" i="17" s="1"/>
  <c r="BD287" i="17"/>
  <c r="BL287" i="17" s="1"/>
  <c r="AZ193" i="17"/>
  <c r="BH193" i="17" s="1"/>
  <c r="BE24" i="17"/>
  <c r="BM24" i="17" s="1"/>
  <c r="BB250" i="17"/>
  <c r="BJ250" i="17" s="1"/>
  <c r="BF298" i="17"/>
  <c r="BN298" i="17" s="1"/>
  <c r="BC173" i="17"/>
  <c r="BK173" i="17" s="1"/>
  <c r="BB306" i="17"/>
  <c r="BJ306" i="17" s="1"/>
  <c r="BC274" i="17"/>
  <c r="BK274" i="17" s="1"/>
  <c r="BB284" i="17"/>
  <c r="BJ284" i="17" s="1"/>
  <c r="BC151" i="17"/>
  <c r="BK151" i="17" s="1"/>
  <c r="BA23" i="17"/>
  <c r="BI23" i="17" s="1"/>
  <c r="BB190" i="17"/>
  <c r="BJ190" i="17" s="1"/>
  <c r="BA113" i="17"/>
  <c r="BI113" i="17" s="1"/>
  <c r="BE18" i="17"/>
  <c r="BM18" i="17" s="1"/>
  <c r="BF246" i="17"/>
  <c r="BN246" i="17" s="1"/>
  <c r="BC247" i="17"/>
  <c r="BK247" i="17" s="1"/>
  <c r="BE208" i="17"/>
  <c r="BM208" i="17" s="1"/>
  <c r="BA294" i="17"/>
  <c r="BI294" i="17" s="1"/>
  <c r="BD171" i="17"/>
  <c r="BL171" i="17" s="1"/>
  <c r="BA180" i="17"/>
  <c r="BI180" i="17" s="1"/>
  <c r="BD288" i="17"/>
  <c r="BL288" i="17" s="1"/>
  <c r="BB37" i="17"/>
  <c r="BJ37" i="17" s="1"/>
  <c r="BF46" i="17" l="1"/>
  <c r="BN46" i="17" s="1"/>
  <c r="CH244" i="17"/>
  <c r="CN244" i="17" s="1"/>
  <c r="DC244" i="17" s="1"/>
  <c r="DD244" i="17" s="1"/>
  <c r="CI25" i="17"/>
  <c r="CO25" i="17" s="1"/>
  <c r="DE25" i="17" s="1"/>
  <c r="DF25" i="17" s="1"/>
  <c r="AY68" i="17"/>
  <c r="BG68" i="17" s="1"/>
  <c r="BB44" i="17"/>
  <c r="BJ44" i="17" s="1"/>
  <c r="BF200" i="17"/>
  <c r="BN200" i="17" s="1"/>
  <c r="AZ130" i="17"/>
  <c r="BH130" i="17" s="1"/>
  <c r="BC106" i="17"/>
  <c r="BK106" i="17" s="1"/>
  <c r="BA87" i="17"/>
  <c r="BI87" i="17" s="1"/>
  <c r="AY298" i="17"/>
  <c r="BG298" i="17" s="1"/>
  <c r="BA131" i="17"/>
  <c r="BI131" i="17" s="1"/>
  <c r="BD40" i="17"/>
  <c r="BL40" i="17" s="1"/>
  <c r="BD125" i="17"/>
  <c r="BL125" i="17" s="1"/>
  <c r="BB208" i="17"/>
  <c r="BJ208" i="17" s="1"/>
  <c r="AZ263" i="17"/>
  <c r="BH263" i="17" s="1"/>
  <c r="AY81" i="17"/>
  <c r="BG81" i="17" s="1"/>
  <c r="BE134" i="17"/>
  <c r="BM134" i="17" s="1"/>
  <c r="AY90" i="17"/>
  <c r="BG90" i="17" s="1"/>
  <c r="AY87" i="17"/>
  <c r="BG87" i="17" s="1"/>
  <c r="BF278" i="17"/>
  <c r="BN278" i="17" s="1"/>
  <c r="AY227" i="17"/>
  <c r="BG227" i="17" s="1"/>
  <c r="BD27" i="17"/>
  <c r="BL27" i="17" s="1"/>
  <c r="BF251" i="17"/>
  <c r="BN251" i="17" s="1"/>
  <c r="BE318" i="17"/>
  <c r="BM318" i="17" s="1"/>
  <c r="CI244" i="17"/>
  <c r="CO244" i="17" s="1"/>
  <c r="DE244" i="17" s="1"/>
  <c r="DF244" i="17" s="1"/>
  <c r="BB176" i="17"/>
  <c r="BJ176" i="17" s="1"/>
  <c r="BE258" i="17"/>
  <c r="BM258" i="17" s="1"/>
  <c r="AZ81" i="17"/>
  <c r="BH81" i="17" s="1"/>
  <c r="BE102" i="17"/>
  <c r="BM102" i="17" s="1"/>
  <c r="BD76" i="17"/>
  <c r="BL76" i="17" s="1"/>
  <c r="BA105" i="17"/>
  <c r="BI105" i="17" s="1"/>
  <c r="BD13" i="17"/>
  <c r="BL13" i="17" s="1"/>
  <c r="CH25" i="17"/>
  <c r="CN25" i="17" s="1"/>
  <c r="DC25" i="17" s="1"/>
  <c r="DD25" i="17" s="1"/>
  <c r="CG30" i="40"/>
  <c r="CM30" i="40" s="1"/>
  <c r="DA30" i="40" s="1"/>
  <c r="DB30" i="40" s="1"/>
  <c r="CE281" i="40"/>
  <c r="CK281" i="40" s="1"/>
  <c r="CW281" i="40" s="1"/>
  <c r="CX281" i="40" s="1"/>
  <c r="CF105" i="17"/>
  <c r="CL105" i="17" s="1"/>
  <c r="CY105" i="17" s="1"/>
  <c r="CZ105" i="17" s="1"/>
  <c r="AZ103" i="17"/>
  <c r="BH103" i="17" s="1"/>
  <c r="AZ261" i="17"/>
  <c r="BH261" i="17" s="1"/>
  <c r="BC101" i="17"/>
  <c r="BK101" i="17" s="1"/>
  <c r="BF250" i="17"/>
  <c r="BN250" i="17" s="1"/>
  <c r="AY197" i="17"/>
  <c r="BG197" i="17" s="1"/>
  <c r="BC316" i="17"/>
  <c r="BK316" i="17" s="1"/>
  <c r="BB200" i="17"/>
  <c r="BJ200" i="17" s="1"/>
  <c r="BF6" i="17"/>
  <c r="BN6" i="17" s="1"/>
  <c r="BE245" i="17"/>
  <c r="BM245" i="17" s="1"/>
  <c r="AZ235" i="17"/>
  <c r="BH235" i="17" s="1"/>
  <c r="BD241" i="17"/>
  <c r="BL241" i="17" s="1"/>
  <c r="AZ139" i="17"/>
  <c r="BH139" i="17" s="1"/>
  <c r="AZ316" i="17"/>
  <c r="BH316" i="17" s="1"/>
  <c r="BE156" i="17"/>
  <c r="BM156" i="17" s="1"/>
  <c r="BA225" i="17"/>
  <c r="BI225" i="17" s="1"/>
  <c r="BA150" i="17"/>
  <c r="BI150" i="17" s="1"/>
  <c r="CG138" i="40"/>
  <c r="CM138" i="40" s="1"/>
  <c r="DA138" i="40" s="1"/>
  <c r="DB138" i="40" s="1"/>
  <c r="BC90" i="17"/>
  <c r="BK90" i="17" s="1"/>
  <c r="BA214" i="17"/>
  <c r="BI214" i="17" s="1"/>
  <c r="BC276" i="17"/>
  <c r="BK276" i="17" s="1"/>
  <c r="BA242" i="17"/>
  <c r="BI242" i="17" s="1"/>
  <c r="BB241" i="17"/>
  <c r="BJ241" i="17" s="1"/>
  <c r="BB203" i="17"/>
  <c r="BJ203" i="17" s="1"/>
  <c r="AY164" i="17"/>
  <c r="BG164" i="17" s="1"/>
  <c r="BB262" i="17"/>
  <c r="BJ262" i="17" s="1"/>
  <c r="BF315" i="17"/>
  <c r="BN315" i="17" s="1"/>
  <c r="BC214" i="17"/>
  <c r="BK214" i="17" s="1"/>
  <c r="AZ10" i="17"/>
  <c r="BH10" i="17" s="1"/>
  <c r="BC244" i="17"/>
  <c r="BK244" i="17" s="1"/>
  <c r="BF229" i="17"/>
  <c r="BN229" i="17" s="1"/>
  <c r="BF277" i="17"/>
  <c r="BN277" i="17" s="1"/>
  <c r="AY72" i="17"/>
  <c r="BG72" i="17" s="1"/>
  <c r="BA48" i="17"/>
  <c r="BI48" i="17" s="1"/>
  <c r="BQ46" i="17"/>
  <c r="BB96" i="17"/>
  <c r="BJ96" i="17" s="1"/>
  <c r="BC278" i="17"/>
  <c r="BK278" i="17" s="1"/>
  <c r="AY247" i="17"/>
  <c r="BG247" i="17" s="1"/>
  <c r="BF91" i="17"/>
  <c r="BN91" i="17" s="1"/>
  <c r="BD278" i="17"/>
  <c r="BL278" i="17" s="1"/>
  <c r="AY75" i="17"/>
  <c r="BG75" i="17" s="1"/>
  <c r="AZ311" i="17"/>
  <c r="BH311" i="17" s="1"/>
  <c r="AZ293" i="17"/>
  <c r="BH293" i="17" s="1"/>
  <c r="BD110" i="17"/>
  <c r="BL110" i="17" s="1"/>
  <c r="BE222" i="17"/>
  <c r="BM222" i="17" s="1"/>
  <c r="AY154" i="17"/>
  <c r="BG154" i="17" s="1"/>
  <c r="BC252" i="17"/>
  <c r="BK252" i="17" s="1"/>
  <c r="AY94" i="17"/>
  <c r="BG94" i="17" s="1"/>
  <c r="BB263" i="17"/>
  <c r="BJ263" i="17" s="1"/>
  <c r="AZ36" i="17"/>
  <c r="BH36" i="17" s="1"/>
  <c r="CE77" i="40"/>
  <c r="CK77" i="40" s="1"/>
  <c r="CW77" i="40" s="1"/>
  <c r="CX77" i="40" s="1"/>
  <c r="BF207" i="17"/>
  <c r="BN207" i="17" s="1"/>
  <c r="BC115" i="17"/>
  <c r="BK115" i="17" s="1"/>
  <c r="BC25" i="17"/>
  <c r="BK25" i="17" s="1"/>
  <c r="BF186" i="17"/>
  <c r="BN186" i="17" s="1"/>
  <c r="BD200" i="17"/>
  <c r="BL200" i="17" s="1"/>
  <c r="BB259" i="17"/>
  <c r="BJ259" i="17" s="1"/>
  <c r="AY41" i="17"/>
  <c r="BG41" i="17" s="1"/>
  <c r="BF191" i="17"/>
  <c r="BN191" i="17" s="1"/>
  <c r="BB316" i="17"/>
  <c r="BJ316" i="17" s="1"/>
  <c r="BA257" i="17"/>
  <c r="BI257" i="17" s="1"/>
  <c r="BA159" i="17"/>
  <c r="BI159" i="17" s="1"/>
  <c r="BE27" i="17"/>
  <c r="BM27" i="17" s="1"/>
  <c r="AZ162" i="17"/>
  <c r="BH162" i="17" s="1"/>
  <c r="BA134" i="17"/>
  <c r="BI134" i="17" s="1"/>
  <c r="AZ258" i="17"/>
  <c r="BH258" i="17" s="1"/>
  <c r="BD298" i="17"/>
  <c r="BL298" i="17" s="1"/>
  <c r="AZ166" i="17"/>
  <c r="BH166" i="17" s="1"/>
  <c r="AZ240" i="17"/>
  <c r="BH240" i="17" s="1"/>
  <c r="AZ105" i="17"/>
  <c r="BH105" i="17" s="1"/>
  <c r="BF25" i="17"/>
  <c r="BN25" i="17" s="1"/>
  <c r="BF162" i="17"/>
  <c r="BN162" i="17" s="1"/>
  <c r="BB6" i="17"/>
  <c r="BJ6" i="17" s="1"/>
  <c r="AY13" i="17"/>
  <c r="BG13" i="17" s="1"/>
  <c r="AY45" i="17"/>
  <c r="BG45" i="17" s="1"/>
  <c r="CF154" i="40"/>
  <c r="CL154" i="40" s="1"/>
  <c r="CY154" i="40" s="1"/>
  <c r="CZ154" i="40" s="1"/>
  <c r="AZ268" i="17"/>
  <c r="BH268" i="17" s="1"/>
  <c r="BD133" i="17"/>
  <c r="BL133" i="17" s="1"/>
  <c r="CJ72" i="17"/>
  <c r="CP72" i="17" s="1"/>
  <c r="DG72" i="17" s="1"/>
  <c r="DH72" i="17" s="1"/>
  <c r="CG76" i="17"/>
  <c r="CM76" i="17" s="1"/>
  <c r="DA76" i="17" s="1"/>
  <c r="DB76" i="17" s="1"/>
  <c r="CH306" i="17"/>
  <c r="CN306" i="17" s="1"/>
  <c r="DC306" i="17" s="1"/>
  <c r="DD306" i="17" s="1"/>
  <c r="BC273" i="17"/>
  <c r="BK273" i="17" s="1"/>
  <c r="BS45" i="17"/>
  <c r="BB166" i="17"/>
  <c r="BJ166" i="17" s="1"/>
  <c r="BE36" i="17"/>
  <c r="BM36" i="17" s="1"/>
  <c r="BD204" i="17"/>
  <c r="BL204" i="17" s="1"/>
  <c r="BB283" i="17"/>
  <c r="BJ283" i="17" s="1"/>
  <c r="AZ53" i="17"/>
  <c r="BH53" i="17" s="1"/>
  <c r="BD38" i="17"/>
  <c r="BL38" i="17" s="1"/>
  <c r="CI306" i="17"/>
  <c r="CO306" i="17" s="1"/>
  <c r="DE306" i="17" s="1"/>
  <c r="DF306" i="17" s="1"/>
  <c r="BE75" i="17"/>
  <c r="BM75" i="17" s="1"/>
  <c r="BE11" i="17"/>
  <c r="BM11" i="17" s="1"/>
  <c r="AY172" i="17"/>
  <c r="BG172" i="17" s="1"/>
  <c r="BC215" i="17"/>
  <c r="BK215" i="17" s="1"/>
  <c r="AZ247" i="17"/>
  <c r="BH247" i="17" s="1"/>
  <c r="BE173" i="17"/>
  <c r="BM173" i="17" s="1"/>
  <c r="AY55" i="17"/>
  <c r="BG55" i="17" s="1"/>
  <c r="BE162" i="17"/>
  <c r="BM162" i="17" s="1"/>
  <c r="BC64" i="17"/>
  <c r="BK64" i="17" s="1"/>
  <c r="BC249" i="17"/>
  <c r="BK249" i="17" s="1"/>
  <c r="BC209" i="17"/>
  <c r="BK209" i="17" s="1"/>
  <c r="BC196" i="17"/>
  <c r="BK196" i="17" s="1"/>
  <c r="BB191" i="17"/>
  <c r="BJ191" i="17" s="1"/>
  <c r="BF206" i="17"/>
  <c r="BN206" i="17" s="1"/>
  <c r="BD306" i="17"/>
  <c r="BL306" i="17" s="1"/>
  <c r="BC28" i="17"/>
  <c r="BK28" i="17" s="1"/>
  <c r="BD229" i="17"/>
  <c r="BL229" i="17" s="1"/>
  <c r="BE187" i="17"/>
  <c r="BM187" i="17" s="1"/>
  <c r="AY64" i="17"/>
  <c r="BG64" i="17" s="1"/>
  <c r="BB275" i="17"/>
  <c r="BJ275" i="17" s="1"/>
  <c r="BA219" i="17"/>
  <c r="BI219" i="17" s="1"/>
  <c r="AY203" i="17"/>
  <c r="BG203" i="17" s="1"/>
  <c r="CJ306" i="17"/>
  <c r="CP306" i="17" s="1"/>
  <c r="DG306" i="17" s="1"/>
  <c r="DH306" i="17" s="1"/>
  <c r="AY279" i="17"/>
  <c r="BG279" i="17" s="1"/>
  <c r="BB209" i="17"/>
  <c r="BJ209" i="17" s="1"/>
  <c r="BA237" i="17"/>
  <c r="BI237" i="17" s="1"/>
  <c r="BD222" i="17"/>
  <c r="BL222" i="17" s="1"/>
  <c r="BA69" i="17"/>
  <c r="BI69" i="17" s="1"/>
  <c r="AZ207" i="17"/>
  <c r="BH207" i="17" s="1"/>
  <c r="BF173" i="17"/>
  <c r="BN173" i="17" s="1"/>
  <c r="AY245" i="17"/>
  <c r="BG245" i="17" s="1"/>
  <c r="BD50" i="17"/>
  <c r="BL50" i="17" s="1"/>
  <c r="BF269" i="17"/>
  <c r="BN269" i="17" s="1"/>
  <c r="AY283" i="17"/>
  <c r="BG283" i="17" s="1"/>
  <c r="AY128" i="17"/>
  <c r="BG128" i="17" s="1"/>
  <c r="CH142" i="40"/>
  <c r="CN142" i="40" s="1"/>
  <c r="DC142" i="40" s="1"/>
  <c r="DD142" i="40" s="1"/>
  <c r="BC125" i="17"/>
  <c r="BK125" i="17" s="1"/>
  <c r="BC144" i="17"/>
  <c r="BK144" i="17" s="1"/>
  <c r="BF214" i="17"/>
  <c r="BN214" i="17" s="1"/>
  <c r="BE130" i="17"/>
  <c r="BM130" i="17" s="1"/>
  <c r="BB85" i="17"/>
  <c r="BJ85" i="17" s="1"/>
  <c r="AY214" i="17"/>
  <c r="BG214" i="17" s="1"/>
  <c r="BA47" i="17"/>
  <c r="BI47" i="17" s="1"/>
  <c r="BE67" i="17"/>
  <c r="BM67" i="17" s="1"/>
  <c r="BF224" i="17"/>
  <c r="BN224" i="17" s="1"/>
  <c r="AZ189" i="17"/>
  <c r="BH189" i="17" s="1"/>
  <c r="BE68" i="17"/>
  <c r="BM68" i="17" s="1"/>
  <c r="AZ224" i="17"/>
  <c r="BH224" i="17" s="1"/>
  <c r="AY295" i="17"/>
  <c r="BG295" i="17" s="1"/>
  <c r="BA255" i="17"/>
  <c r="BI255" i="17" s="1"/>
  <c r="BE228" i="17"/>
  <c r="BM228" i="17" s="1"/>
  <c r="AZ295" i="17"/>
  <c r="BH295" i="17" s="1"/>
  <c r="BD207" i="17"/>
  <c r="BL207" i="17" s="1"/>
  <c r="BB71" i="17"/>
  <c r="BJ71" i="17" s="1"/>
  <c r="AZ77" i="17"/>
  <c r="BH77" i="17" s="1"/>
  <c r="BD36" i="17"/>
  <c r="BL36" i="17" s="1"/>
  <c r="AY131" i="17"/>
  <c r="BG131" i="17" s="1"/>
  <c r="BD72" i="17"/>
  <c r="BL72" i="17" s="1"/>
  <c r="BB72" i="17"/>
  <c r="BJ72" i="17" s="1"/>
  <c r="BT318" i="17"/>
  <c r="BF31" i="17"/>
  <c r="BN31" i="17" s="1"/>
  <c r="BF213" i="17"/>
  <c r="BN213" i="17" s="1"/>
  <c r="AZ226" i="17"/>
  <c r="BH226" i="17" s="1"/>
  <c r="BE211" i="17"/>
  <c r="BM211" i="17" s="1"/>
  <c r="AY25" i="17"/>
  <c r="BG25" i="17" s="1"/>
  <c r="AY96" i="17"/>
  <c r="BG96" i="17" s="1"/>
  <c r="BD224" i="17"/>
  <c r="BL224" i="17" s="1"/>
  <c r="BF208" i="17"/>
  <c r="BN208" i="17" s="1"/>
  <c r="AY66" i="17"/>
  <c r="BG66" i="17" s="1"/>
  <c r="AZ161" i="17"/>
  <c r="BH161" i="17" s="1"/>
  <c r="BF75" i="17"/>
  <c r="BN75" i="17" s="1"/>
  <c r="AY280" i="17"/>
  <c r="BG280" i="17" s="1"/>
  <c r="BE274" i="17"/>
  <c r="BM274" i="17" s="1"/>
  <c r="AY91" i="17"/>
  <c r="BG91" i="17" s="1"/>
  <c r="AZ40" i="17"/>
  <c r="BH40" i="17" s="1"/>
  <c r="BC113" i="17"/>
  <c r="BK113" i="17" s="1"/>
  <c r="BD160" i="17"/>
  <c r="BL160" i="17" s="1"/>
  <c r="AZ217" i="17"/>
  <c r="BH217" i="17" s="1"/>
  <c r="BC91" i="17"/>
  <c r="BK91" i="17" s="1"/>
  <c r="BE262" i="17"/>
  <c r="BM262" i="17" s="1"/>
  <c r="BC212" i="17"/>
  <c r="BK212" i="17" s="1"/>
  <c r="AY307" i="17"/>
  <c r="BG307" i="17" s="1"/>
  <c r="AY125" i="17"/>
  <c r="BG125" i="17" s="1"/>
  <c r="BB278" i="17"/>
  <c r="BJ278" i="17" s="1"/>
  <c r="BD233" i="17"/>
  <c r="BL233" i="17" s="1"/>
  <c r="BD293" i="17"/>
  <c r="BL293" i="17" s="1"/>
  <c r="AZ251" i="17"/>
  <c r="BH251" i="17" s="1"/>
  <c r="CJ213" i="40"/>
  <c r="CP213" i="40" s="1"/>
  <c r="DG213" i="40" s="1"/>
  <c r="DH213" i="40" s="1"/>
  <c r="CE267" i="40"/>
  <c r="CK267" i="40" s="1"/>
  <c r="CW267" i="40" s="1"/>
  <c r="CX267" i="40" s="1"/>
  <c r="CG208" i="17"/>
  <c r="CM208" i="17" s="1"/>
  <c r="DA208" i="17" s="1"/>
  <c r="DB208" i="17" s="1"/>
  <c r="BA307" i="17"/>
  <c r="BI307" i="17" s="1"/>
  <c r="BE31" i="17"/>
  <c r="BM31" i="17" s="1"/>
  <c r="AZ250" i="17"/>
  <c r="BH250" i="17" s="1"/>
  <c r="AY225" i="17"/>
  <c r="BG225" i="17" s="1"/>
  <c r="AZ13" i="17"/>
  <c r="BH13" i="17" s="1"/>
  <c r="CG276" i="40"/>
  <c r="CM276" i="40" s="1"/>
  <c r="DA276" i="40" s="1"/>
  <c r="DB276" i="40" s="1"/>
  <c r="BD169" i="17"/>
  <c r="BL169" i="17" s="1"/>
  <c r="CH230" i="40"/>
  <c r="CN230" i="40" s="1"/>
  <c r="DC230" i="40" s="1"/>
  <c r="DD230" i="40" s="1"/>
  <c r="CJ167" i="40"/>
  <c r="CP167" i="40" s="1"/>
  <c r="DG167" i="40" s="1"/>
  <c r="DH167" i="40" s="1"/>
  <c r="CJ77" i="40"/>
  <c r="CP77" i="40" s="1"/>
  <c r="DG77" i="40" s="1"/>
  <c r="DH77" i="40" s="1"/>
  <c r="BB257" i="17"/>
  <c r="BJ257" i="17" s="1"/>
  <c r="BD213" i="17"/>
  <c r="BL213" i="17" s="1"/>
  <c r="AZ118" i="17"/>
  <c r="BH118" i="17" s="1"/>
  <c r="BC200" i="17"/>
  <c r="BK200" i="17" s="1"/>
  <c r="BB70" i="17"/>
  <c r="BJ70" i="17" s="1"/>
  <c r="BE219" i="17"/>
  <c r="BM219" i="17" s="1"/>
  <c r="BA45" i="17"/>
  <c r="BI45" i="17" s="1"/>
  <c r="CF239" i="40"/>
  <c r="CL239" i="40" s="1"/>
  <c r="CY239" i="40" s="1"/>
  <c r="CZ239" i="40" s="1"/>
  <c r="AY206" i="17"/>
  <c r="BG206" i="17" s="1"/>
  <c r="BE17" i="17"/>
  <c r="BM17" i="17" s="1"/>
  <c r="BB58" i="17"/>
  <c r="BJ58" i="17" s="1"/>
  <c r="BF20" i="17"/>
  <c r="BN20" i="17" s="1"/>
  <c r="BC34" i="17"/>
  <c r="BK34" i="17" s="1"/>
  <c r="CE239" i="40"/>
  <c r="CK239" i="40" s="1"/>
  <c r="CW239" i="40" s="1"/>
  <c r="CX239" i="40" s="1"/>
  <c r="CI180" i="40"/>
  <c r="CO180" i="40" s="1"/>
  <c r="DE180" i="40" s="1"/>
  <c r="DF180" i="40" s="1"/>
  <c r="BF284" i="17"/>
  <c r="BN284" i="17" s="1"/>
  <c r="BA67" i="17"/>
  <c r="BI67" i="17" s="1"/>
  <c r="BE94" i="17"/>
  <c r="BM94" i="17" s="1"/>
  <c r="AY209" i="17"/>
  <c r="BG209" i="17" s="1"/>
  <c r="BE30" i="17"/>
  <c r="BM30" i="17" s="1"/>
  <c r="BD255" i="17"/>
  <c r="BL255" i="17" s="1"/>
  <c r="BE140" i="17"/>
  <c r="BM140" i="17" s="1"/>
  <c r="BC193" i="17"/>
  <c r="BK193" i="17" s="1"/>
  <c r="BR46" i="17"/>
  <c r="CH46" i="17" s="1"/>
  <c r="CN46" i="17" s="1"/>
  <c r="DC46" i="17" s="1"/>
  <c r="DD46" i="17" s="1"/>
  <c r="BB31" i="17"/>
  <c r="BJ31" i="17" s="1"/>
  <c r="BE212" i="17"/>
  <c r="BM212" i="17" s="1"/>
  <c r="BB64" i="17"/>
  <c r="BJ64" i="17" s="1"/>
  <c r="BF215" i="17"/>
  <c r="BN215" i="17" s="1"/>
  <c r="BA184" i="17"/>
  <c r="BI184" i="17" s="1"/>
  <c r="BA115" i="17"/>
  <c r="BI115" i="17" s="1"/>
  <c r="CJ282" i="40"/>
  <c r="CP282" i="40" s="1"/>
  <c r="DG282" i="40" s="1"/>
  <c r="DH282" i="40" s="1"/>
  <c r="CI106" i="17"/>
  <c r="CO106" i="17" s="1"/>
  <c r="DE106" i="17" s="1"/>
  <c r="DF106" i="17" s="1"/>
  <c r="CJ76" i="17"/>
  <c r="CP76" i="17" s="1"/>
  <c r="DG76" i="17" s="1"/>
  <c r="DH76" i="17" s="1"/>
  <c r="CI90" i="17"/>
  <c r="CO90" i="17" s="1"/>
  <c r="DE90" i="17" s="1"/>
  <c r="DF90" i="17" s="1"/>
  <c r="CE316" i="17"/>
  <c r="CK316" i="17" s="1"/>
  <c r="CW316" i="17" s="1"/>
  <c r="CX316" i="17" s="1"/>
  <c r="CJ207" i="17"/>
  <c r="CP207" i="17" s="1"/>
  <c r="DG207" i="17" s="1"/>
  <c r="DH207" i="17" s="1"/>
  <c r="CE164" i="17"/>
  <c r="CK164" i="17" s="1"/>
  <c r="CW164" i="17" s="1"/>
  <c r="CX164" i="17" s="1"/>
  <c r="CF10" i="17"/>
  <c r="CL10" i="17" s="1"/>
  <c r="CY10" i="17" s="1"/>
  <c r="CZ10" i="17" s="1"/>
  <c r="CE281" i="17"/>
  <c r="CK281" i="17" s="1"/>
  <c r="CW281" i="17" s="1"/>
  <c r="CX281" i="17" s="1"/>
  <c r="CF282" i="40"/>
  <c r="CL282" i="40" s="1"/>
  <c r="CY282" i="40" s="1"/>
  <c r="CZ282" i="40" s="1"/>
  <c r="CF278" i="40"/>
  <c r="CL278" i="40" s="1"/>
  <c r="CY278" i="40" s="1"/>
  <c r="CZ278" i="40" s="1"/>
  <c r="CE10" i="17"/>
  <c r="CK10" i="17" s="1"/>
  <c r="CW10" i="17" s="1"/>
  <c r="CX10" i="17" s="1"/>
  <c r="CE200" i="40"/>
  <c r="CK200" i="40" s="1"/>
  <c r="CW200" i="40" s="1"/>
  <c r="CX200" i="40" s="1"/>
  <c r="CH284" i="40"/>
  <c r="CN284" i="40" s="1"/>
  <c r="DC284" i="40" s="1"/>
  <c r="DD284" i="40" s="1"/>
  <c r="CG296" i="40"/>
  <c r="CM296" i="40" s="1"/>
  <c r="DA296" i="40" s="1"/>
  <c r="DB296" i="40" s="1"/>
  <c r="CJ84" i="40"/>
  <c r="CP84" i="40" s="1"/>
  <c r="DG84" i="40" s="1"/>
  <c r="DH84" i="40" s="1"/>
  <c r="CG259" i="40"/>
  <c r="CM259" i="40" s="1"/>
  <c r="DA259" i="40" s="1"/>
  <c r="DB259" i="40" s="1"/>
  <c r="CJ41" i="40"/>
  <c r="CP41" i="40" s="1"/>
  <c r="DG41" i="40" s="1"/>
  <c r="DH41" i="40" s="1"/>
  <c r="CH194" i="40"/>
  <c r="CN194" i="40" s="1"/>
  <c r="DC194" i="40" s="1"/>
  <c r="DD194" i="40" s="1"/>
  <c r="CE173" i="40"/>
  <c r="CK173" i="40" s="1"/>
  <c r="CW173" i="40" s="1"/>
  <c r="CX173" i="40" s="1"/>
  <c r="CI185" i="40"/>
  <c r="CO185" i="40" s="1"/>
  <c r="DE185" i="40" s="1"/>
  <c r="DF185" i="40" s="1"/>
  <c r="CJ92" i="40"/>
  <c r="CP92" i="40" s="1"/>
  <c r="DG92" i="40" s="1"/>
  <c r="DH92" i="40" s="1"/>
  <c r="CE150" i="17"/>
  <c r="CK150" i="17" s="1"/>
  <c r="CW150" i="17" s="1"/>
  <c r="CX150" i="17" s="1"/>
  <c r="CI76" i="17"/>
  <c r="CO76" i="17" s="1"/>
  <c r="DE76" i="17" s="1"/>
  <c r="DF76" i="17" s="1"/>
  <c r="CJ272" i="40"/>
  <c r="CP272" i="40" s="1"/>
  <c r="DG272" i="40" s="1"/>
  <c r="DH272" i="40" s="1"/>
  <c r="CF114" i="40"/>
  <c r="CL114" i="40" s="1"/>
  <c r="CY114" i="40" s="1"/>
  <c r="CZ114" i="40" s="1"/>
  <c r="CH20" i="40"/>
  <c r="CN20" i="40" s="1"/>
  <c r="DC20" i="40" s="1"/>
  <c r="DD20" i="40" s="1"/>
  <c r="CG104" i="40"/>
  <c r="CM104" i="40" s="1"/>
  <c r="DA104" i="40" s="1"/>
  <c r="DB104" i="40" s="1"/>
  <c r="CF46" i="40"/>
  <c r="CL46" i="40" s="1"/>
  <c r="CY46" i="40" s="1"/>
  <c r="CZ46" i="40" s="1"/>
  <c r="CI110" i="17"/>
  <c r="CO110" i="17" s="1"/>
  <c r="DE110" i="17" s="1"/>
  <c r="DF110" i="17" s="1"/>
  <c r="CG150" i="17"/>
  <c r="CM150" i="17" s="1"/>
  <c r="DA150" i="17" s="1"/>
  <c r="DB150" i="17" s="1"/>
  <c r="CH208" i="17"/>
  <c r="CN208" i="17" s="1"/>
  <c r="DC208" i="17" s="1"/>
  <c r="DD208" i="17" s="1"/>
  <c r="CH32" i="40"/>
  <c r="CN32" i="40" s="1"/>
  <c r="DC32" i="40" s="1"/>
  <c r="DD32" i="40" s="1"/>
  <c r="CH298" i="40"/>
  <c r="CN298" i="40" s="1"/>
  <c r="DC298" i="40" s="1"/>
  <c r="DD298" i="40" s="1"/>
  <c r="CF64" i="40"/>
  <c r="CL64" i="40" s="1"/>
  <c r="CY64" i="40" s="1"/>
  <c r="CZ64" i="40" s="1"/>
  <c r="CE103" i="40"/>
  <c r="CK103" i="40" s="1"/>
  <c r="CW103" i="40" s="1"/>
  <c r="CX103" i="40" s="1"/>
  <c r="CG271" i="40"/>
  <c r="CM271" i="40" s="1"/>
  <c r="DA271" i="40" s="1"/>
  <c r="DB271" i="40" s="1"/>
  <c r="CF143" i="40"/>
  <c r="CL143" i="40" s="1"/>
  <c r="CY143" i="40" s="1"/>
  <c r="CZ143" i="40" s="1"/>
  <c r="CJ206" i="40"/>
  <c r="CP206" i="40" s="1"/>
  <c r="DG206" i="40" s="1"/>
  <c r="DH206" i="40" s="1"/>
  <c r="CE105" i="40"/>
  <c r="CK105" i="40" s="1"/>
  <c r="CW105" i="40" s="1"/>
  <c r="CX105" i="40" s="1"/>
  <c r="CE238" i="40"/>
  <c r="CK238" i="40" s="1"/>
  <c r="CW238" i="40" s="1"/>
  <c r="CX238" i="40" s="1"/>
  <c r="CG229" i="40"/>
  <c r="CM229" i="40" s="1"/>
  <c r="DA229" i="40" s="1"/>
  <c r="DB229" i="40" s="1"/>
  <c r="CE110" i="40"/>
  <c r="CK110" i="40" s="1"/>
  <c r="CW110" i="40" s="1"/>
  <c r="CX110" i="40" s="1"/>
  <c r="CI46" i="40"/>
  <c r="CO46" i="40" s="1"/>
  <c r="DE46" i="40" s="1"/>
  <c r="DF46" i="40" s="1"/>
  <c r="CE83" i="40"/>
  <c r="CK83" i="40" s="1"/>
  <c r="CW83" i="40" s="1"/>
  <c r="CX83" i="40" s="1"/>
  <c r="CF251" i="40"/>
  <c r="CL251" i="40" s="1"/>
  <c r="CY251" i="40" s="1"/>
  <c r="CZ251" i="40" s="1"/>
  <c r="CJ149" i="40"/>
  <c r="CP149" i="40" s="1"/>
  <c r="DG149" i="40" s="1"/>
  <c r="DH149" i="40" s="1"/>
  <c r="CF126" i="40"/>
  <c r="CL126" i="40" s="1"/>
  <c r="CY126" i="40" s="1"/>
  <c r="CZ126" i="40" s="1"/>
  <c r="CG308" i="40"/>
  <c r="CM308" i="40" s="1"/>
  <c r="DA308" i="40" s="1"/>
  <c r="DB308" i="40" s="1"/>
  <c r="CE310" i="40"/>
  <c r="CK310" i="40" s="1"/>
  <c r="CW310" i="40" s="1"/>
  <c r="CX310" i="40" s="1"/>
  <c r="CG205" i="40"/>
  <c r="CM205" i="40" s="1"/>
  <c r="DA205" i="40" s="1"/>
  <c r="DB205" i="40" s="1"/>
  <c r="CI41" i="40"/>
  <c r="CO41" i="40" s="1"/>
  <c r="DE41" i="40" s="1"/>
  <c r="DF41" i="40" s="1"/>
  <c r="CI204" i="40"/>
  <c r="CO204" i="40" s="1"/>
  <c r="DE204" i="40" s="1"/>
  <c r="DF204" i="40" s="1"/>
  <c r="CH309" i="40"/>
  <c r="CN309" i="40" s="1"/>
  <c r="DC309" i="40" s="1"/>
  <c r="DD309" i="40" s="1"/>
  <c r="CJ173" i="40"/>
  <c r="CP173" i="40" s="1"/>
  <c r="DG173" i="40" s="1"/>
  <c r="DH173" i="40" s="1"/>
  <c r="CH212" i="40"/>
  <c r="CN212" i="40" s="1"/>
  <c r="DC212" i="40" s="1"/>
  <c r="DD212" i="40" s="1"/>
  <c r="CJ205" i="40"/>
  <c r="CP205" i="40" s="1"/>
  <c r="DG205" i="40" s="1"/>
  <c r="DH205" i="40" s="1"/>
  <c r="CE227" i="40"/>
  <c r="CK227" i="40" s="1"/>
  <c r="CW227" i="40" s="1"/>
  <c r="CX227" i="40" s="1"/>
  <c r="CG94" i="40"/>
  <c r="CM94" i="40" s="1"/>
  <c r="DA94" i="40" s="1"/>
  <c r="DB94" i="40" s="1"/>
  <c r="CG13" i="40"/>
  <c r="CM13" i="40" s="1"/>
  <c r="DA13" i="40" s="1"/>
  <c r="DB13" i="40" s="1"/>
  <c r="CH168" i="40"/>
  <c r="CN168" i="40" s="1"/>
  <c r="DC168" i="40" s="1"/>
  <c r="DD168" i="40" s="1"/>
  <c r="CI23" i="40"/>
  <c r="CO23" i="40" s="1"/>
  <c r="DE23" i="40" s="1"/>
  <c r="DF23" i="40" s="1"/>
  <c r="CG292" i="40"/>
  <c r="CM292" i="40" s="1"/>
  <c r="DA292" i="40" s="1"/>
  <c r="DB292" i="40" s="1"/>
  <c r="CE197" i="40"/>
  <c r="CK197" i="40" s="1"/>
  <c r="CW197" i="40" s="1"/>
  <c r="CX197" i="40" s="1"/>
  <c r="CH106" i="17"/>
  <c r="CN106" i="17" s="1"/>
  <c r="DC106" i="17" s="1"/>
  <c r="DD106" i="17" s="1"/>
  <c r="CF208" i="40"/>
  <c r="CL208" i="40" s="1"/>
  <c r="CY208" i="40" s="1"/>
  <c r="CZ208" i="40" s="1"/>
  <c r="CH187" i="40"/>
  <c r="CN187" i="40" s="1"/>
  <c r="DC187" i="40" s="1"/>
  <c r="DD187" i="40" s="1"/>
  <c r="CI296" i="40"/>
  <c r="CO296" i="40" s="1"/>
  <c r="DE296" i="40" s="1"/>
  <c r="DF296" i="40" s="1"/>
  <c r="CI54" i="40"/>
  <c r="CO54" i="40" s="1"/>
  <c r="DE54" i="40" s="1"/>
  <c r="DF54" i="40" s="1"/>
  <c r="CE96" i="40"/>
  <c r="CK96" i="40" s="1"/>
  <c r="CW96" i="40" s="1"/>
  <c r="CX96" i="40" s="1"/>
  <c r="CF292" i="40"/>
  <c r="CL292" i="40" s="1"/>
  <c r="CY292" i="40" s="1"/>
  <c r="CZ292" i="40" s="1"/>
  <c r="CJ316" i="40"/>
  <c r="CP316" i="40" s="1"/>
  <c r="DG316" i="40" s="1"/>
  <c r="DH316" i="40" s="1"/>
  <c r="CF232" i="40"/>
  <c r="CL232" i="40" s="1"/>
  <c r="CY232" i="40" s="1"/>
  <c r="CZ232" i="40" s="1"/>
  <c r="CF60" i="40"/>
  <c r="CL60" i="40" s="1"/>
  <c r="CY60" i="40" s="1"/>
  <c r="CZ60" i="40" s="1"/>
  <c r="CE41" i="40"/>
  <c r="CK41" i="40" s="1"/>
  <c r="CW41" i="40" s="1"/>
  <c r="CX41" i="40" s="1"/>
  <c r="CE313" i="40"/>
  <c r="CK313" i="40" s="1"/>
  <c r="CW313" i="40" s="1"/>
  <c r="CX313" i="40" s="1"/>
  <c r="CH90" i="17"/>
  <c r="CN90" i="17" s="1"/>
  <c r="DC90" i="17" s="1"/>
  <c r="DD90" i="17" s="1"/>
  <c r="CG99" i="40"/>
  <c r="CM99" i="40" s="1"/>
  <c r="DA99" i="40" s="1"/>
  <c r="DB99" i="40" s="1"/>
  <c r="CI177" i="40"/>
  <c r="CO177" i="40" s="1"/>
  <c r="DE177" i="40" s="1"/>
  <c r="DF177" i="40" s="1"/>
  <c r="CI37" i="40"/>
  <c r="CO37" i="40" s="1"/>
  <c r="DE37" i="40" s="1"/>
  <c r="DF37" i="40" s="1"/>
  <c r="CH162" i="40"/>
  <c r="CN162" i="40" s="1"/>
  <c r="DC162" i="40" s="1"/>
  <c r="DD162" i="40" s="1"/>
  <c r="CJ122" i="40"/>
  <c r="CP122" i="40" s="1"/>
  <c r="DG122" i="40" s="1"/>
  <c r="DH122" i="40" s="1"/>
  <c r="BA212" i="17"/>
  <c r="BI212" i="17" s="1"/>
  <c r="BE268" i="17"/>
  <c r="BM268" i="17" s="1"/>
  <c r="CJ198" i="40"/>
  <c r="CP198" i="40" s="1"/>
  <c r="DG198" i="40" s="1"/>
  <c r="DH198" i="40" s="1"/>
  <c r="CF6" i="40"/>
  <c r="CL6" i="40" s="1"/>
  <c r="CY6" i="40" s="1"/>
  <c r="CZ6" i="40" s="1"/>
  <c r="CJ222" i="40"/>
  <c r="CP222" i="40" s="1"/>
  <c r="DG222" i="40" s="1"/>
  <c r="DH222" i="40" s="1"/>
  <c r="CH41" i="40"/>
  <c r="CN41" i="40" s="1"/>
  <c r="DC41" i="40" s="1"/>
  <c r="DD41" i="40" s="1"/>
  <c r="CF29" i="40"/>
  <c r="CL29" i="40" s="1"/>
  <c r="CY29" i="40" s="1"/>
  <c r="CZ29" i="40" s="1"/>
  <c r="CJ259" i="40"/>
  <c r="CP259" i="40" s="1"/>
  <c r="DG259" i="40" s="1"/>
  <c r="DH259" i="40" s="1"/>
  <c r="CF273" i="40"/>
  <c r="CL273" i="40" s="1"/>
  <c r="CY273" i="40" s="1"/>
  <c r="CZ273" i="40" s="1"/>
  <c r="CJ17" i="17"/>
  <c r="CP17" i="17" s="1"/>
  <c r="DG17" i="17" s="1"/>
  <c r="DH17" i="17" s="1"/>
  <c r="CG39" i="40"/>
  <c r="CM39" i="40" s="1"/>
  <c r="DA39" i="40" s="1"/>
  <c r="DB39" i="40" s="1"/>
  <c r="CE27" i="17"/>
  <c r="CK27" i="17" s="1"/>
  <c r="CW27" i="17" s="1"/>
  <c r="CX27" i="17" s="1"/>
  <c r="CJ139" i="17"/>
  <c r="CP139" i="17" s="1"/>
  <c r="DG139" i="17" s="1"/>
  <c r="DH139" i="17" s="1"/>
  <c r="CE58" i="40"/>
  <c r="CK58" i="40" s="1"/>
  <c r="CW58" i="40" s="1"/>
  <c r="CX58" i="40" s="1"/>
  <c r="CF244" i="40"/>
  <c r="CL244" i="40" s="1"/>
  <c r="CY244" i="40" s="1"/>
  <c r="CZ244" i="40" s="1"/>
  <c r="CG187" i="40"/>
  <c r="CM187" i="40" s="1"/>
  <c r="DA187" i="40" s="1"/>
  <c r="DB187" i="40" s="1"/>
  <c r="CF8" i="40"/>
  <c r="CL8" i="40" s="1"/>
  <c r="CY8" i="40" s="1"/>
  <c r="CZ8" i="40" s="1"/>
  <c r="CH73" i="40"/>
  <c r="CN73" i="40" s="1"/>
  <c r="DC73" i="40" s="1"/>
  <c r="DD73" i="40" s="1"/>
  <c r="CH91" i="17"/>
  <c r="CN91" i="17" s="1"/>
  <c r="DC91" i="17" s="1"/>
  <c r="DD91" i="17" s="1"/>
  <c r="CG228" i="40"/>
  <c r="CM228" i="40" s="1"/>
  <c r="DA228" i="40" s="1"/>
  <c r="DB228" i="40" s="1"/>
  <c r="CE102" i="40"/>
  <c r="CK102" i="40" s="1"/>
  <c r="CW102" i="40" s="1"/>
  <c r="CX102" i="40" s="1"/>
  <c r="CE256" i="40"/>
  <c r="CK256" i="40" s="1"/>
  <c r="CW256" i="40" s="1"/>
  <c r="CX256" i="40" s="1"/>
  <c r="CE207" i="17"/>
  <c r="CK207" i="17" s="1"/>
  <c r="CW207" i="17" s="1"/>
  <c r="CX207" i="17" s="1"/>
  <c r="CI38" i="17"/>
  <c r="CO38" i="17" s="1"/>
  <c r="DE38" i="17" s="1"/>
  <c r="DF38" i="17" s="1"/>
  <c r="CF72" i="17"/>
  <c r="CL72" i="17" s="1"/>
  <c r="CY72" i="17" s="1"/>
  <c r="CZ72" i="17" s="1"/>
  <c r="CG316" i="17"/>
  <c r="CM316" i="17" s="1"/>
  <c r="DA316" i="17" s="1"/>
  <c r="DB316" i="17" s="1"/>
  <c r="CI207" i="17"/>
  <c r="CO207" i="17" s="1"/>
  <c r="DE207" i="17" s="1"/>
  <c r="DF207" i="17" s="1"/>
  <c r="CJ208" i="17"/>
  <c r="CP208" i="17" s="1"/>
  <c r="DG208" i="17" s="1"/>
  <c r="DH208" i="17" s="1"/>
  <c r="CH76" i="17"/>
  <c r="CN76" i="17" s="1"/>
  <c r="DC76" i="17" s="1"/>
  <c r="DD76" i="17" s="1"/>
  <c r="CJ38" i="17"/>
  <c r="CP38" i="17" s="1"/>
  <c r="DG38" i="17" s="1"/>
  <c r="DH38" i="17" s="1"/>
  <c r="CH207" i="17"/>
  <c r="CN207" i="17" s="1"/>
  <c r="DC207" i="17" s="1"/>
  <c r="DD207" i="17" s="1"/>
  <c r="CF316" i="17"/>
  <c r="CL316" i="17" s="1"/>
  <c r="CY316" i="17" s="1"/>
  <c r="CZ316" i="17" s="1"/>
  <c r="CG318" i="40"/>
  <c r="CM318" i="40" s="1"/>
  <c r="DA318" i="40" s="1"/>
  <c r="DB318" i="40" s="1"/>
  <c r="CG165" i="40"/>
  <c r="CM165" i="40" s="1"/>
  <c r="DA165" i="40" s="1"/>
  <c r="DB165" i="40" s="1"/>
  <c r="CG231" i="40"/>
  <c r="CM231" i="40" s="1"/>
  <c r="DA231" i="40" s="1"/>
  <c r="DB231" i="40" s="1"/>
  <c r="CI72" i="17"/>
  <c r="CO72" i="17" s="1"/>
  <c r="DE72" i="17" s="1"/>
  <c r="DF72" i="17" s="1"/>
  <c r="CJ214" i="17"/>
  <c r="CP214" i="17" s="1"/>
  <c r="DG214" i="17" s="1"/>
  <c r="DH214" i="17" s="1"/>
  <c r="CH247" i="40"/>
  <c r="CN247" i="40" s="1"/>
  <c r="DC247" i="40" s="1"/>
  <c r="DD247" i="40" s="1"/>
  <c r="CF26" i="40"/>
  <c r="CL26" i="40" s="1"/>
  <c r="CY26" i="40" s="1"/>
  <c r="CZ26" i="40" s="1"/>
  <c r="CI16" i="40"/>
  <c r="CO16" i="40" s="1"/>
  <c r="DE16" i="40" s="1"/>
  <c r="DF16" i="40" s="1"/>
  <c r="CH240" i="40"/>
  <c r="CN240" i="40" s="1"/>
  <c r="DC240" i="40" s="1"/>
  <c r="DD240" i="40" s="1"/>
  <c r="CE180" i="40"/>
  <c r="CK180" i="40" s="1"/>
  <c r="CW180" i="40" s="1"/>
  <c r="CX180" i="40" s="1"/>
  <c r="CJ87" i="40"/>
  <c r="CP87" i="40" s="1"/>
  <c r="DG87" i="40" s="1"/>
  <c r="DH87" i="40" s="1"/>
  <c r="CE12" i="40"/>
  <c r="CK12" i="40" s="1"/>
  <c r="CW12" i="40" s="1"/>
  <c r="CX12" i="40" s="1"/>
  <c r="CH131" i="40"/>
  <c r="CN131" i="40" s="1"/>
  <c r="DC131" i="40" s="1"/>
  <c r="DD131" i="40" s="1"/>
  <c r="CE244" i="40"/>
  <c r="CK244" i="40" s="1"/>
  <c r="CW244" i="40" s="1"/>
  <c r="CX244" i="40" s="1"/>
  <c r="CE89" i="40"/>
  <c r="CK89" i="40" s="1"/>
  <c r="CW89" i="40" s="1"/>
  <c r="CX89" i="40" s="1"/>
  <c r="CG192" i="40"/>
  <c r="CM192" i="40" s="1"/>
  <c r="DA192" i="40" s="1"/>
  <c r="DB192" i="40" s="1"/>
  <c r="CG252" i="40"/>
  <c r="CM252" i="40" s="1"/>
  <c r="DA252" i="40" s="1"/>
  <c r="DB252" i="40" s="1"/>
  <c r="CE23" i="40"/>
  <c r="CK23" i="40" s="1"/>
  <c r="CW23" i="40" s="1"/>
  <c r="CX23" i="40" s="1"/>
  <c r="CH260" i="40"/>
  <c r="CN260" i="40" s="1"/>
  <c r="DC260" i="40" s="1"/>
  <c r="DD260" i="40" s="1"/>
  <c r="CJ291" i="40"/>
  <c r="CP291" i="40" s="1"/>
  <c r="DG291" i="40" s="1"/>
  <c r="DH291" i="40" s="1"/>
  <c r="CI58" i="17"/>
  <c r="CO58" i="17" s="1"/>
  <c r="DE58" i="17" s="1"/>
  <c r="DF58" i="17" s="1"/>
  <c r="CG176" i="40"/>
  <c r="CM176" i="40" s="1"/>
  <c r="DA176" i="40" s="1"/>
  <c r="DB176" i="40" s="1"/>
  <c r="CH236" i="40"/>
  <c r="CN236" i="40" s="1"/>
  <c r="DC236" i="40" s="1"/>
  <c r="DD236" i="40" s="1"/>
  <c r="CE140" i="40"/>
  <c r="CK140" i="40" s="1"/>
  <c r="CW140" i="40" s="1"/>
  <c r="CX140" i="40" s="1"/>
  <c r="CG151" i="40"/>
  <c r="CM151" i="40" s="1"/>
  <c r="DA151" i="40" s="1"/>
  <c r="DB151" i="40" s="1"/>
  <c r="CG73" i="40"/>
  <c r="CM73" i="40" s="1"/>
  <c r="DA73" i="40" s="1"/>
  <c r="DB73" i="40" s="1"/>
  <c r="CH136" i="40"/>
  <c r="CN136" i="40" s="1"/>
  <c r="DC136" i="40" s="1"/>
  <c r="DD136" i="40" s="1"/>
  <c r="CF168" i="40"/>
  <c r="CL168" i="40" s="1"/>
  <c r="CY168" i="40" s="1"/>
  <c r="CZ168" i="40" s="1"/>
  <c r="CE91" i="40"/>
  <c r="CK91" i="40" s="1"/>
  <c r="CW91" i="40" s="1"/>
  <c r="CX91" i="40" s="1"/>
  <c r="CJ150" i="40"/>
  <c r="CP150" i="40" s="1"/>
  <c r="DG150" i="40" s="1"/>
  <c r="DH150" i="40" s="1"/>
  <c r="CE40" i="40"/>
  <c r="CK40" i="40" s="1"/>
  <c r="CW40" i="40" s="1"/>
  <c r="CX40" i="40" s="1"/>
  <c r="CF42" i="40"/>
  <c r="CL42" i="40" s="1"/>
  <c r="CY42" i="40" s="1"/>
  <c r="CZ42" i="40" s="1"/>
  <c r="CG115" i="40"/>
  <c r="CM115" i="40" s="1"/>
  <c r="DA115" i="40" s="1"/>
  <c r="DB115" i="40" s="1"/>
  <c r="CF40" i="40"/>
  <c r="CL40" i="40" s="1"/>
  <c r="CY40" i="40" s="1"/>
  <c r="CZ40" i="40" s="1"/>
  <c r="CJ255" i="40"/>
  <c r="CP255" i="40" s="1"/>
  <c r="DG255" i="40" s="1"/>
  <c r="DH255" i="40" s="1"/>
  <c r="CF265" i="40"/>
  <c r="CL265" i="40" s="1"/>
  <c r="CY265" i="40" s="1"/>
  <c r="CZ265" i="40" s="1"/>
  <c r="CE122" i="40"/>
  <c r="CK122" i="40" s="1"/>
  <c r="CW122" i="40" s="1"/>
  <c r="CX122" i="40" s="1"/>
  <c r="CG183" i="40"/>
  <c r="CM183" i="40" s="1"/>
  <c r="DA183" i="40" s="1"/>
  <c r="DB183" i="40" s="1"/>
  <c r="CH11" i="40"/>
  <c r="CN11" i="40" s="1"/>
  <c r="DC11" i="40" s="1"/>
  <c r="DD11" i="40" s="1"/>
  <c r="CF180" i="40"/>
  <c r="CL180" i="40" s="1"/>
  <c r="CY180" i="40" s="1"/>
  <c r="CZ180" i="40" s="1"/>
  <c r="CG280" i="40"/>
  <c r="CM280" i="40" s="1"/>
  <c r="DA280" i="40" s="1"/>
  <c r="DB280" i="40" s="1"/>
  <c r="CG79" i="40"/>
  <c r="CM79" i="40" s="1"/>
  <c r="DA79" i="40" s="1"/>
  <c r="DB79" i="40" s="1"/>
  <c r="CJ107" i="40"/>
  <c r="CP107" i="40" s="1"/>
  <c r="DG107" i="40" s="1"/>
  <c r="DH107" i="40" s="1"/>
  <c r="CG193" i="40"/>
  <c r="CM193" i="40" s="1"/>
  <c r="DA193" i="40" s="1"/>
  <c r="DB193" i="40" s="1"/>
  <c r="CH80" i="40"/>
  <c r="CN80" i="40" s="1"/>
  <c r="DC80" i="40" s="1"/>
  <c r="DD80" i="40" s="1"/>
  <c r="CJ101" i="40"/>
  <c r="CP101" i="40" s="1"/>
  <c r="DG101" i="40" s="1"/>
  <c r="DH101" i="40" s="1"/>
  <c r="CI146" i="40"/>
  <c r="CO146" i="40" s="1"/>
  <c r="DE146" i="40" s="1"/>
  <c r="DF146" i="40" s="1"/>
  <c r="CG92" i="40"/>
  <c r="CM92" i="40" s="1"/>
  <c r="DA92" i="40" s="1"/>
  <c r="DB92" i="40" s="1"/>
  <c r="CG279" i="40"/>
  <c r="CM279" i="40" s="1"/>
  <c r="DA279" i="40" s="1"/>
  <c r="DB279" i="40" s="1"/>
  <c r="CG87" i="40"/>
  <c r="CM87" i="40" s="1"/>
  <c r="DA87" i="40" s="1"/>
  <c r="DB87" i="40" s="1"/>
  <c r="CG20" i="40"/>
  <c r="CM20" i="40" s="1"/>
  <c r="DA20" i="40" s="1"/>
  <c r="DB20" i="40" s="1"/>
  <c r="CH295" i="40"/>
  <c r="CN295" i="40" s="1"/>
  <c r="DC295" i="40" s="1"/>
  <c r="DD295" i="40" s="1"/>
  <c r="CG179" i="40"/>
  <c r="CM179" i="40" s="1"/>
  <c r="DA179" i="40" s="1"/>
  <c r="DB179" i="40" s="1"/>
  <c r="CJ106" i="40"/>
  <c r="CP106" i="40" s="1"/>
  <c r="DG106" i="40" s="1"/>
  <c r="DH106" i="40" s="1"/>
  <c r="CJ218" i="40"/>
  <c r="CP218" i="40" s="1"/>
  <c r="DG218" i="40" s="1"/>
  <c r="DH218" i="40" s="1"/>
  <c r="CI258" i="40"/>
  <c r="CO258" i="40" s="1"/>
  <c r="DE258" i="40" s="1"/>
  <c r="DF258" i="40" s="1"/>
  <c r="CJ12" i="40"/>
  <c r="CP12" i="40" s="1"/>
  <c r="DG12" i="40" s="1"/>
  <c r="DH12" i="40" s="1"/>
  <c r="CI52" i="40"/>
  <c r="CO52" i="40" s="1"/>
  <c r="DE52" i="40" s="1"/>
  <c r="DF52" i="40" s="1"/>
  <c r="CJ238" i="40"/>
  <c r="CP238" i="40" s="1"/>
  <c r="DG238" i="40" s="1"/>
  <c r="DH238" i="40" s="1"/>
  <c r="CI109" i="40"/>
  <c r="CO109" i="40" s="1"/>
  <c r="DE109" i="40" s="1"/>
  <c r="DF109" i="40" s="1"/>
  <c r="CI218" i="40"/>
  <c r="CO218" i="40" s="1"/>
  <c r="DE218" i="40" s="1"/>
  <c r="DF218" i="40" s="1"/>
  <c r="CJ24" i="40"/>
  <c r="CP24" i="40" s="1"/>
  <c r="DG24" i="40" s="1"/>
  <c r="DH24" i="40" s="1"/>
  <c r="CJ35" i="40"/>
  <c r="CP35" i="40" s="1"/>
  <c r="DG35" i="40" s="1"/>
  <c r="DH35" i="40" s="1"/>
  <c r="CH76" i="40"/>
  <c r="CN76" i="40" s="1"/>
  <c r="DC76" i="40" s="1"/>
  <c r="DD76" i="40" s="1"/>
  <c r="CF88" i="40"/>
  <c r="CL88" i="40" s="1"/>
  <c r="CY88" i="40" s="1"/>
  <c r="CZ88" i="40" s="1"/>
  <c r="CI42" i="40"/>
  <c r="CO42" i="40" s="1"/>
  <c r="DE42" i="40" s="1"/>
  <c r="DF42" i="40" s="1"/>
  <c r="CF150" i="40"/>
  <c r="CL150" i="40" s="1"/>
  <c r="CY150" i="40" s="1"/>
  <c r="CZ150" i="40" s="1"/>
  <c r="CF246" i="40"/>
  <c r="CL246" i="40" s="1"/>
  <c r="CY246" i="40" s="1"/>
  <c r="CZ246" i="40" s="1"/>
  <c r="CI72" i="40"/>
  <c r="CO72" i="40" s="1"/>
  <c r="DE72" i="40" s="1"/>
  <c r="DF72" i="40" s="1"/>
  <c r="CH261" i="40"/>
  <c r="CN261" i="40" s="1"/>
  <c r="DC261" i="40" s="1"/>
  <c r="DD261" i="40" s="1"/>
  <c r="CJ266" i="40"/>
  <c r="CP266" i="40" s="1"/>
  <c r="DG266" i="40" s="1"/>
  <c r="DH266" i="40" s="1"/>
  <c r="CJ202" i="40"/>
  <c r="CP202" i="40" s="1"/>
  <c r="DG202" i="40" s="1"/>
  <c r="DH202" i="40" s="1"/>
  <c r="CJ26" i="40"/>
  <c r="CP26" i="40" s="1"/>
  <c r="DG26" i="40" s="1"/>
  <c r="DH26" i="40" s="1"/>
  <c r="CE117" i="40"/>
  <c r="CK117" i="40" s="1"/>
  <c r="CW117" i="40" s="1"/>
  <c r="CX117" i="40" s="1"/>
  <c r="CI234" i="40"/>
  <c r="CO234" i="40" s="1"/>
  <c r="DE234" i="40" s="1"/>
  <c r="DF234" i="40" s="1"/>
  <c r="CJ253" i="40"/>
  <c r="CP253" i="40" s="1"/>
  <c r="DG253" i="40" s="1"/>
  <c r="DH253" i="40" s="1"/>
  <c r="CI315" i="40"/>
  <c r="CO315" i="40" s="1"/>
  <c r="DE315" i="40" s="1"/>
  <c r="DF315" i="40" s="1"/>
  <c r="CG158" i="40"/>
  <c r="CM158" i="40" s="1"/>
  <c r="DA158" i="40" s="1"/>
  <c r="DB158" i="40" s="1"/>
  <c r="CI228" i="40"/>
  <c r="CO228" i="40" s="1"/>
  <c r="DE228" i="40" s="1"/>
  <c r="DF228" i="40" s="1"/>
  <c r="CE95" i="40"/>
  <c r="CK95" i="40" s="1"/>
  <c r="CW95" i="40" s="1"/>
  <c r="CX95" i="40" s="1"/>
  <c r="CH72" i="40"/>
  <c r="CN72" i="40" s="1"/>
  <c r="DC72" i="40" s="1"/>
  <c r="DD72" i="40" s="1"/>
  <c r="CG162" i="40"/>
  <c r="CM162" i="40" s="1"/>
  <c r="DA162" i="40" s="1"/>
  <c r="DB162" i="40" s="1"/>
  <c r="CJ130" i="40"/>
  <c r="CP130" i="40" s="1"/>
  <c r="DG130" i="40" s="1"/>
  <c r="DH130" i="40" s="1"/>
  <c r="CG250" i="40"/>
  <c r="CM250" i="40" s="1"/>
  <c r="DA250" i="40" s="1"/>
  <c r="DB250" i="40" s="1"/>
  <c r="CG214" i="40"/>
  <c r="CM214" i="40" s="1"/>
  <c r="DA214" i="40" s="1"/>
  <c r="DB214" i="40" s="1"/>
  <c r="CJ66" i="40"/>
  <c r="CP66" i="40" s="1"/>
  <c r="DG66" i="40" s="1"/>
  <c r="DH66" i="40" s="1"/>
  <c r="CI99" i="40"/>
  <c r="CO99" i="40" s="1"/>
  <c r="DE99" i="40" s="1"/>
  <c r="DF99" i="40" s="1"/>
  <c r="CG201" i="40"/>
  <c r="CM201" i="40" s="1"/>
  <c r="DA201" i="40" s="1"/>
  <c r="DB201" i="40" s="1"/>
  <c r="CH82" i="40"/>
  <c r="CN82" i="40" s="1"/>
  <c r="DC82" i="40" s="1"/>
  <c r="DD82" i="40" s="1"/>
  <c r="CE159" i="40"/>
  <c r="CK159" i="40" s="1"/>
  <c r="CW159" i="40" s="1"/>
  <c r="CX159" i="40" s="1"/>
  <c r="CF124" i="40"/>
  <c r="CL124" i="40" s="1"/>
  <c r="CY124" i="40" s="1"/>
  <c r="CZ124" i="40" s="1"/>
  <c r="CI29" i="40"/>
  <c r="CO29" i="40" s="1"/>
  <c r="DE29" i="40" s="1"/>
  <c r="DF29" i="40" s="1"/>
  <c r="CF255" i="40"/>
  <c r="CL255" i="40" s="1"/>
  <c r="CY255" i="40" s="1"/>
  <c r="CZ255" i="40" s="1"/>
  <c r="CG7" i="40"/>
  <c r="CM7" i="40" s="1"/>
  <c r="DA7" i="40" s="1"/>
  <c r="DB7" i="40" s="1"/>
  <c r="CE66" i="40"/>
  <c r="CK66" i="40" s="1"/>
  <c r="CW66" i="40" s="1"/>
  <c r="CX66" i="40" s="1"/>
  <c r="CF48" i="40"/>
  <c r="CL48" i="40" s="1"/>
  <c r="CY48" i="40" s="1"/>
  <c r="CZ48" i="40" s="1"/>
  <c r="CI221" i="40"/>
  <c r="CO221" i="40" s="1"/>
  <c r="DE221" i="40" s="1"/>
  <c r="DF221" i="40" s="1"/>
  <c r="CI121" i="40"/>
  <c r="CO121" i="40" s="1"/>
  <c r="DE121" i="40" s="1"/>
  <c r="DF121" i="40" s="1"/>
  <c r="CF222" i="40"/>
  <c r="CL222" i="40" s="1"/>
  <c r="CY222" i="40" s="1"/>
  <c r="CZ222" i="40" s="1"/>
  <c r="CH77" i="40"/>
  <c r="CN77" i="40" s="1"/>
  <c r="DC77" i="40" s="1"/>
  <c r="DD77" i="40" s="1"/>
  <c r="CE148" i="40"/>
  <c r="CK148" i="40" s="1"/>
  <c r="CW148" i="40" s="1"/>
  <c r="CX148" i="40" s="1"/>
  <c r="CJ201" i="40"/>
  <c r="CP201" i="40" s="1"/>
  <c r="DG201" i="40" s="1"/>
  <c r="DH201" i="40" s="1"/>
  <c r="CI82" i="40"/>
  <c r="CO82" i="40" s="1"/>
  <c r="DE82" i="40" s="1"/>
  <c r="DF82" i="40" s="1"/>
  <c r="CE241" i="40"/>
  <c r="CK241" i="40" s="1"/>
  <c r="CW241" i="40" s="1"/>
  <c r="CX241" i="40" s="1"/>
  <c r="CG213" i="40"/>
  <c r="CM213" i="40" s="1"/>
  <c r="DA213" i="40" s="1"/>
  <c r="DB213" i="40" s="1"/>
  <c r="CG178" i="40"/>
  <c r="CM178" i="40" s="1"/>
  <c r="DA178" i="40" s="1"/>
  <c r="DB178" i="40" s="1"/>
  <c r="CF268" i="40"/>
  <c r="CL268" i="40" s="1"/>
  <c r="CY268" i="40" s="1"/>
  <c r="CZ268" i="40" s="1"/>
  <c r="CI119" i="40"/>
  <c r="CO119" i="40" s="1"/>
  <c r="DE119" i="40" s="1"/>
  <c r="DF119" i="40" s="1"/>
  <c r="CG71" i="40"/>
  <c r="CM71" i="40" s="1"/>
  <c r="DA71" i="40" s="1"/>
  <c r="DB71" i="40" s="1"/>
  <c r="CI60" i="40"/>
  <c r="CO60" i="40" s="1"/>
  <c r="DE60" i="40" s="1"/>
  <c r="DF60" i="40" s="1"/>
  <c r="CI190" i="40"/>
  <c r="CO190" i="40" s="1"/>
  <c r="DE190" i="40" s="1"/>
  <c r="DF190" i="40" s="1"/>
  <c r="CG266" i="40"/>
  <c r="CM266" i="40" s="1"/>
  <c r="DA266" i="40" s="1"/>
  <c r="DB266" i="40" s="1"/>
  <c r="CJ7" i="40"/>
  <c r="CP7" i="40" s="1"/>
  <c r="DG7" i="40" s="1"/>
  <c r="DH7" i="40" s="1"/>
  <c r="CG190" i="40"/>
  <c r="CM190" i="40" s="1"/>
  <c r="DA190" i="40" s="1"/>
  <c r="DB190" i="40" s="1"/>
  <c r="CH27" i="40"/>
  <c r="CN27" i="40" s="1"/>
  <c r="DC27" i="40" s="1"/>
  <c r="DD27" i="40" s="1"/>
  <c r="CG248" i="40"/>
  <c r="CM248" i="40" s="1"/>
  <c r="DA248" i="40" s="1"/>
  <c r="DB248" i="40" s="1"/>
  <c r="CE24" i="40"/>
  <c r="CK24" i="40" s="1"/>
  <c r="CW24" i="40" s="1"/>
  <c r="CX24" i="40" s="1"/>
  <c r="CG163" i="17"/>
  <c r="CM163" i="17" s="1"/>
  <c r="DA163" i="17" s="1"/>
  <c r="DB163" i="17" s="1"/>
  <c r="CF107" i="17"/>
  <c r="CL107" i="17" s="1"/>
  <c r="CY107" i="17" s="1"/>
  <c r="CZ107" i="17" s="1"/>
  <c r="CI137" i="17"/>
  <c r="CO137" i="17" s="1"/>
  <c r="DE137" i="17" s="1"/>
  <c r="DF137" i="17" s="1"/>
  <c r="CG11" i="17"/>
  <c r="CM11" i="17" s="1"/>
  <c r="DA11" i="17" s="1"/>
  <c r="DB11" i="17" s="1"/>
  <c r="CI229" i="17"/>
  <c r="CO229" i="17" s="1"/>
  <c r="DE229" i="17" s="1"/>
  <c r="DF229" i="17" s="1"/>
  <c r="CF263" i="17"/>
  <c r="CL263" i="17" s="1"/>
  <c r="CY263" i="17" s="1"/>
  <c r="CZ263" i="17" s="1"/>
  <c r="CE163" i="17"/>
  <c r="CK163" i="17" s="1"/>
  <c r="CW163" i="17" s="1"/>
  <c r="CX163" i="17" s="1"/>
  <c r="CG270" i="40"/>
  <c r="CM270" i="40" s="1"/>
  <c r="DA270" i="40" s="1"/>
  <c r="DB270" i="40" s="1"/>
  <c r="CH51" i="40"/>
  <c r="CN51" i="40" s="1"/>
  <c r="DC51" i="40" s="1"/>
  <c r="DD51" i="40" s="1"/>
  <c r="CH234" i="40"/>
  <c r="CN234" i="40" s="1"/>
  <c r="DC234" i="40" s="1"/>
  <c r="DD234" i="40" s="1"/>
  <c r="CE223" i="40"/>
  <c r="CK223" i="40" s="1"/>
  <c r="CW223" i="40" s="1"/>
  <c r="CX223" i="40" s="1"/>
  <c r="CJ239" i="40"/>
  <c r="CP239" i="40" s="1"/>
  <c r="DG239" i="40" s="1"/>
  <c r="DH239" i="40" s="1"/>
  <c r="CG35" i="40"/>
  <c r="CM35" i="40" s="1"/>
  <c r="DA35" i="40" s="1"/>
  <c r="DB35" i="40" s="1"/>
  <c r="CG315" i="40"/>
  <c r="CM315" i="40" s="1"/>
  <c r="DA315" i="40" s="1"/>
  <c r="DB315" i="40" s="1"/>
  <c r="CE289" i="40"/>
  <c r="CK289" i="40" s="1"/>
  <c r="CW289" i="40" s="1"/>
  <c r="CX289" i="40" s="1"/>
  <c r="CE309" i="40"/>
  <c r="CK309" i="40" s="1"/>
  <c r="CW309" i="40" s="1"/>
  <c r="CX309" i="40" s="1"/>
  <c r="CI272" i="40"/>
  <c r="CO272" i="40" s="1"/>
  <c r="DE272" i="40" s="1"/>
  <c r="DF272" i="40" s="1"/>
  <c r="CF33" i="40"/>
  <c r="CL33" i="40" s="1"/>
  <c r="CY33" i="40" s="1"/>
  <c r="CZ33" i="40" s="1"/>
  <c r="CE305" i="40"/>
  <c r="CK305" i="40" s="1"/>
  <c r="CW305" i="40" s="1"/>
  <c r="CX305" i="40" s="1"/>
  <c r="CJ111" i="40"/>
  <c r="CP111" i="40" s="1"/>
  <c r="DG111" i="40" s="1"/>
  <c r="DH111" i="40" s="1"/>
  <c r="CJ61" i="40"/>
  <c r="CP61" i="40" s="1"/>
  <c r="DG61" i="40" s="1"/>
  <c r="DH61" i="40" s="1"/>
  <c r="CI241" i="40"/>
  <c r="CO241" i="40" s="1"/>
  <c r="DE241" i="40" s="1"/>
  <c r="DF241" i="40" s="1"/>
  <c r="CI264" i="40"/>
  <c r="CO264" i="40" s="1"/>
  <c r="DE264" i="40" s="1"/>
  <c r="DF264" i="40" s="1"/>
  <c r="CG184" i="40"/>
  <c r="CM184" i="40" s="1"/>
  <c r="DA184" i="40" s="1"/>
  <c r="DB184" i="40" s="1"/>
  <c r="CG23" i="40"/>
  <c r="CM23" i="40" s="1"/>
  <c r="DA23" i="40" s="1"/>
  <c r="DB23" i="40" s="1"/>
  <c r="CG75" i="40"/>
  <c r="CM75" i="40" s="1"/>
  <c r="DA75" i="40" s="1"/>
  <c r="DB75" i="40" s="1"/>
  <c r="CJ115" i="40"/>
  <c r="CP115" i="40" s="1"/>
  <c r="DG115" i="40" s="1"/>
  <c r="DH115" i="40" s="1"/>
  <c r="CI159" i="40"/>
  <c r="CO159" i="40" s="1"/>
  <c r="DE159" i="40" s="1"/>
  <c r="DF159" i="40" s="1"/>
  <c r="CE257" i="40"/>
  <c r="CK257" i="40" s="1"/>
  <c r="CW257" i="40" s="1"/>
  <c r="CX257" i="40" s="1"/>
  <c r="CG48" i="40"/>
  <c r="CM48" i="40" s="1"/>
  <c r="DA48" i="40" s="1"/>
  <c r="DB48" i="40" s="1"/>
  <c r="CF31" i="40"/>
  <c r="CL31" i="40" s="1"/>
  <c r="CY31" i="40" s="1"/>
  <c r="CZ31" i="40" s="1"/>
  <c r="CJ170" i="40"/>
  <c r="CP170" i="40" s="1"/>
  <c r="DG170" i="40" s="1"/>
  <c r="DH170" i="40" s="1"/>
  <c r="CJ279" i="40"/>
  <c r="CP279" i="40" s="1"/>
  <c r="DG279" i="40" s="1"/>
  <c r="DH279" i="40" s="1"/>
  <c r="CF293" i="40"/>
  <c r="CL293" i="40" s="1"/>
  <c r="CY293" i="40" s="1"/>
  <c r="CZ293" i="40" s="1"/>
  <c r="CH246" i="40"/>
  <c r="CN246" i="40" s="1"/>
  <c r="DC246" i="40" s="1"/>
  <c r="DD246" i="40" s="1"/>
  <c r="CH70" i="40"/>
  <c r="CN70" i="40" s="1"/>
  <c r="DC70" i="40" s="1"/>
  <c r="DD70" i="40" s="1"/>
  <c r="CJ79" i="40"/>
  <c r="CP79" i="40" s="1"/>
  <c r="DG79" i="40" s="1"/>
  <c r="DH79" i="40" s="1"/>
  <c r="CG84" i="40"/>
  <c r="CM84" i="40" s="1"/>
  <c r="DA84" i="40" s="1"/>
  <c r="DB84" i="40" s="1"/>
  <c r="CH189" i="40"/>
  <c r="CN189" i="40" s="1"/>
  <c r="DC189" i="40" s="1"/>
  <c r="DD189" i="40" s="1"/>
  <c r="CF78" i="40"/>
  <c r="CL78" i="40" s="1"/>
  <c r="CY78" i="40" s="1"/>
  <c r="CZ78" i="40" s="1"/>
  <c r="CF68" i="40"/>
  <c r="CL68" i="40" s="1"/>
  <c r="CY68" i="40" s="1"/>
  <c r="CZ68" i="40" s="1"/>
  <c r="CI13" i="40"/>
  <c r="CO13" i="40" s="1"/>
  <c r="DE13" i="40" s="1"/>
  <c r="DF13" i="40" s="1"/>
  <c r="CF110" i="40"/>
  <c r="CL110" i="40" s="1"/>
  <c r="CY110" i="40" s="1"/>
  <c r="CZ110" i="40" s="1"/>
  <c r="CH120" i="40"/>
  <c r="CN120" i="40" s="1"/>
  <c r="DC120" i="40" s="1"/>
  <c r="DD120" i="40" s="1"/>
  <c r="CI284" i="40"/>
  <c r="CO284" i="40" s="1"/>
  <c r="DE284" i="40" s="1"/>
  <c r="DF284" i="40" s="1"/>
  <c r="CH30" i="40"/>
  <c r="CN30" i="40" s="1"/>
  <c r="DC30" i="40" s="1"/>
  <c r="DD30" i="40" s="1"/>
  <c r="CE245" i="40"/>
  <c r="CK245" i="40" s="1"/>
  <c r="CW245" i="40" s="1"/>
  <c r="CX245" i="40" s="1"/>
  <c r="CF213" i="40"/>
  <c r="CL213" i="40" s="1"/>
  <c r="CY213" i="40" s="1"/>
  <c r="CZ213" i="40" s="1"/>
  <c r="CG283" i="40"/>
  <c r="CM283" i="40" s="1"/>
  <c r="DA283" i="40" s="1"/>
  <c r="DB283" i="40" s="1"/>
  <c r="CH291" i="40"/>
  <c r="CN291" i="40" s="1"/>
  <c r="DC291" i="40" s="1"/>
  <c r="DD291" i="40" s="1"/>
  <c r="CG285" i="40"/>
  <c r="CM285" i="40" s="1"/>
  <c r="DA285" i="40" s="1"/>
  <c r="DB285" i="40" s="1"/>
  <c r="CI266" i="40"/>
  <c r="CO266" i="40" s="1"/>
  <c r="DE266" i="40" s="1"/>
  <c r="DF266" i="40" s="1"/>
  <c r="CH88" i="40"/>
  <c r="CN88" i="40" s="1"/>
  <c r="DC88" i="40" s="1"/>
  <c r="DD88" i="40" s="1"/>
  <c r="CI230" i="40"/>
  <c r="CO230" i="40" s="1"/>
  <c r="DE230" i="40" s="1"/>
  <c r="DF230" i="40" s="1"/>
  <c r="CI260" i="40"/>
  <c r="CO260" i="40" s="1"/>
  <c r="DE260" i="40" s="1"/>
  <c r="DF260" i="40" s="1"/>
  <c r="CH280" i="40"/>
  <c r="CN280" i="40" s="1"/>
  <c r="DC280" i="40" s="1"/>
  <c r="DD280" i="40" s="1"/>
  <c r="CE198" i="40"/>
  <c r="CK198" i="40" s="1"/>
  <c r="CW198" i="40" s="1"/>
  <c r="CX198" i="40" s="1"/>
  <c r="CI160" i="17"/>
  <c r="CO160" i="17" s="1"/>
  <c r="DE160" i="17" s="1"/>
  <c r="DF160" i="17" s="1"/>
  <c r="CH163" i="40"/>
  <c r="CN163" i="40" s="1"/>
  <c r="DC163" i="40" s="1"/>
  <c r="DD163" i="40" s="1"/>
  <c r="CH236" i="17"/>
  <c r="CN236" i="17" s="1"/>
  <c r="DC236" i="17" s="1"/>
  <c r="DD236" i="17" s="1"/>
  <c r="CJ275" i="40"/>
  <c r="CP275" i="40" s="1"/>
  <c r="DG275" i="40" s="1"/>
  <c r="DH275" i="40" s="1"/>
  <c r="CJ212" i="40"/>
  <c r="CP212" i="40" s="1"/>
  <c r="DG212" i="40" s="1"/>
  <c r="DH212" i="40" s="1"/>
  <c r="CH185" i="40"/>
  <c r="CN185" i="40" s="1"/>
  <c r="DC185" i="40" s="1"/>
  <c r="DD185" i="40" s="1"/>
  <c r="CH283" i="40"/>
  <c r="CN283" i="40" s="1"/>
  <c r="DC283" i="40" s="1"/>
  <c r="DD283" i="40" s="1"/>
  <c r="CH32" i="17"/>
  <c r="CN32" i="17" s="1"/>
  <c r="DC32" i="17" s="1"/>
  <c r="DD32" i="17" s="1"/>
  <c r="CI171" i="17"/>
  <c r="CO171" i="17" s="1"/>
  <c r="DE171" i="17" s="1"/>
  <c r="DF171" i="17" s="1"/>
  <c r="CG81" i="40"/>
  <c r="CM81" i="40" s="1"/>
  <c r="DA81" i="40" s="1"/>
  <c r="DB81" i="40" s="1"/>
  <c r="CI175" i="40"/>
  <c r="CO175" i="40" s="1"/>
  <c r="DE175" i="40" s="1"/>
  <c r="DF175" i="40" s="1"/>
  <c r="CE169" i="40"/>
  <c r="CK169" i="40" s="1"/>
  <c r="CW169" i="40" s="1"/>
  <c r="CX169" i="40" s="1"/>
  <c r="CE140" i="17"/>
  <c r="CK140" i="17" s="1"/>
  <c r="CW140" i="17" s="1"/>
  <c r="CX140" i="17" s="1"/>
  <c r="CF163" i="17"/>
  <c r="CL163" i="17" s="1"/>
  <c r="CY163" i="17" s="1"/>
  <c r="CZ163" i="17" s="1"/>
  <c r="CF48" i="17"/>
  <c r="CL48" i="17" s="1"/>
  <c r="CY48" i="17" s="1"/>
  <c r="CZ48" i="17" s="1"/>
  <c r="CE160" i="17"/>
  <c r="CK160" i="17" s="1"/>
  <c r="CW160" i="17" s="1"/>
  <c r="CX160" i="17" s="1"/>
  <c r="CE134" i="17"/>
  <c r="CK134" i="17" s="1"/>
  <c r="CW134" i="17" s="1"/>
  <c r="CX134" i="17" s="1"/>
  <c r="CG81" i="17"/>
  <c r="CM81" i="17" s="1"/>
  <c r="DA81" i="17" s="1"/>
  <c r="DB81" i="17" s="1"/>
  <c r="CF30" i="17"/>
  <c r="CL30" i="17" s="1"/>
  <c r="CY30" i="17" s="1"/>
  <c r="CZ30" i="17" s="1"/>
  <c r="CG123" i="17"/>
  <c r="CM123" i="17" s="1"/>
  <c r="DA123" i="17" s="1"/>
  <c r="DB123" i="17" s="1"/>
  <c r="CF198" i="17"/>
  <c r="CL198" i="17" s="1"/>
  <c r="CY198" i="17" s="1"/>
  <c r="CZ198" i="17" s="1"/>
  <c r="CF164" i="40"/>
  <c r="CL164" i="40" s="1"/>
  <c r="CY164" i="40" s="1"/>
  <c r="CZ164" i="40" s="1"/>
  <c r="CJ8" i="40"/>
  <c r="CP8" i="40" s="1"/>
  <c r="DG8" i="40" s="1"/>
  <c r="DH8" i="40" s="1"/>
  <c r="CF235" i="17"/>
  <c r="CL235" i="17" s="1"/>
  <c r="CY235" i="17" s="1"/>
  <c r="CZ235" i="17" s="1"/>
  <c r="CH17" i="17"/>
  <c r="CN17" i="17" s="1"/>
  <c r="DC17" i="17" s="1"/>
  <c r="DD17" i="17" s="1"/>
  <c r="CE171" i="17"/>
  <c r="CK171" i="17" s="1"/>
  <c r="CW171" i="17" s="1"/>
  <c r="CX171" i="17" s="1"/>
  <c r="CE139" i="17"/>
  <c r="CK139" i="17" s="1"/>
  <c r="CW139" i="17" s="1"/>
  <c r="CX139" i="17" s="1"/>
  <c r="CG219" i="17"/>
  <c r="CM219" i="17" s="1"/>
  <c r="DA219" i="17" s="1"/>
  <c r="DB219" i="17" s="1"/>
  <c r="CF20" i="17"/>
  <c r="CL20" i="17" s="1"/>
  <c r="CY20" i="17" s="1"/>
  <c r="CZ20" i="17" s="1"/>
  <c r="CE110" i="17"/>
  <c r="CK110" i="17" s="1"/>
  <c r="CW110" i="17" s="1"/>
  <c r="CX110" i="17" s="1"/>
  <c r="CG255" i="17"/>
  <c r="CM255" i="17" s="1"/>
  <c r="DA255" i="17" s="1"/>
  <c r="DB255" i="17" s="1"/>
  <c r="CG107" i="17"/>
  <c r="CM107" i="17" s="1"/>
  <c r="DA107" i="17" s="1"/>
  <c r="DB107" i="17" s="1"/>
  <c r="CJ194" i="17"/>
  <c r="CP194" i="17" s="1"/>
  <c r="DG194" i="17" s="1"/>
  <c r="DH194" i="17" s="1"/>
  <c r="CE123" i="17"/>
  <c r="CK123" i="17" s="1"/>
  <c r="CW123" i="17" s="1"/>
  <c r="CX123" i="17" s="1"/>
  <c r="CF242" i="17"/>
  <c r="CL242" i="17" s="1"/>
  <c r="CY242" i="17" s="1"/>
  <c r="CZ242" i="17" s="1"/>
  <c r="CG70" i="17"/>
  <c r="CM70" i="17" s="1"/>
  <c r="DA70" i="17" s="1"/>
  <c r="DB70" i="17" s="1"/>
  <c r="CG131" i="17"/>
  <c r="CM131" i="17" s="1"/>
  <c r="DA131" i="17" s="1"/>
  <c r="DB131" i="17" s="1"/>
  <c r="CF176" i="17"/>
  <c r="CL176" i="17" s="1"/>
  <c r="CY176" i="17" s="1"/>
  <c r="CZ176" i="17" s="1"/>
  <c r="CG198" i="17"/>
  <c r="CM198" i="17" s="1"/>
  <c r="DA198" i="17" s="1"/>
  <c r="DB198" i="17" s="1"/>
  <c r="CE229" i="17"/>
  <c r="CK229" i="17" s="1"/>
  <c r="CW229" i="17" s="1"/>
  <c r="CX229" i="17" s="1"/>
  <c r="CF97" i="17"/>
  <c r="CL97" i="17" s="1"/>
  <c r="CY97" i="17" s="1"/>
  <c r="CZ97" i="17" s="1"/>
  <c r="CF27" i="17"/>
  <c r="CL27" i="17" s="1"/>
  <c r="CY27" i="17" s="1"/>
  <c r="CZ27" i="17" s="1"/>
  <c r="CF256" i="40"/>
  <c r="CL256" i="40" s="1"/>
  <c r="CY256" i="40" s="1"/>
  <c r="CZ256" i="40" s="1"/>
  <c r="CI61" i="40"/>
  <c r="CO61" i="40" s="1"/>
  <c r="DE61" i="40" s="1"/>
  <c r="DF61" i="40" s="1"/>
  <c r="CJ226" i="40"/>
  <c r="CP226" i="40" s="1"/>
  <c r="DG226" i="40" s="1"/>
  <c r="DH226" i="40" s="1"/>
  <c r="CG30" i="17"/>
  <c r="CM30" i="17" s="1"/>
  <c r="DA30" i="17" s="1"/>
  <c r="DB30" i="17" s="1"/>
  <c r="CJ313" i="40"/>
  <c r="CP313" i="40" s="1"/>
  <c r="DG313" i="40" s="1"/>
  <c r="DH313" i="40" s="1"/>
  <c r="CH248" i="40"/>
  <c r="CN248" i="40" s="1"/>
  <c r="DC248" i="40" s="1"/>
  <c r="DD248" i="40" s="1"/>
  <c r="CH214" i="40"/>
  <c r="CN214" i="40" s="1"/>
  <c r="DC214" i="40" s="1"/>
  <c r="DD214" i="40" s="1"/>
  <c r="CI164" i="40"/>
  <c r="CO164" i="40" s="1"/>
  <c r="DE164" i="40" s="1"/>
  <c r="DF164" i="40" s="1"/>
  <c r="CH7" i="40"/>
  <c r="CN7" i="40" s="1"/>
  <c r="DC7" i="40" s="1"/>
  <c r="DD7" i="40" s="1"/>
  <c r="CE227" i="17"/>
  <c r="CK227" i="17" s="1"/>
  <c r="CW227" i="17" s="1"/>
  <c r="CX227" i="17" s="1"/>
  <c r="CE261" i="17"/>
  <c r="CK261" i="17" s="1"/>
  <c r="CW261" i="17" s="1"/>
  <c r="CX261" i="17" s="1"/>
  <c r="CE81" i="17"/>
  <c r="CK81" i="17" s="1"/>
  <c r="CW81" i="17" s="1"/>
  <c r="CX81" i="17" s="1"/>
  <c r="CE197" i="17"/>
  <c r="CK197" i="17" s="1"/>
  <c r="CW197" i="17" s="1"/>
  <c r="CX197" i="17" s="1"/>
  <c r="CH197" i="40"/>
  <c r="CN197" i="40" s="1"/>
  <c r="DC197" i="40" s="1"/>
  <c r="DD197" i="40" s="1"/>
  <c r="CF175" i="40"/>
  <c r="CL175" i="40" s="1"/>
  <c r="CY175" i="40" s="1"/>
  <c r="CZ175" i="40" s="1"/>
  <c r="CH25" i="40"/>
  <c r="CN25" i="40" s="1"/>
  <c r="DC25" i="40" s="1"/>
  <c r="DD25" i="40" s="1"/>
  <c r="CF24" i="40"/>
  <c r="CL24" i="40" s="1"/>
  <c r="CY24" i="40" s="1"/>
  <c r="CZ24" i="40" s="1"/>
  <c r="CG95" i="40"/>
  <c r="CM95" i="40" s="1"/>
  <c r="DA95" i="40" s="1"/>
  <c r="DB95" i="40" s="1"/>
  <c r="CE224" i="40"/>
  <c r="CK224" i="40" s="1"/>
  <c r="CW224" i="40" s="1"/>
  <c r="CX224" i="40" s="1"/>
  <c r="CE174" i="17"/>
  <c r="CK174" i="17" s="1"/>
  <c r="CW174" i="17" s="1"/>
  <c r="CX174" i="17" s="1"/>
  <c r="CF160" i="17"/>
  <c r="CL160" i="17" s="1"/>
  <c r="CY160" i="17" s="1"/>
  <c r="CZ160" i="17" s="1"/>
  <c r="CJ235" i="17"/>
  <c r="CP235" i="17" s="1"/>
  <c r="DG235" i="17" s="1"/>
  <c r="DH235" i="17" s="1"/>
  <c r="CE70" i="17"/>
  <c r="CK70" i="17" s="1"/>
  <c r="CW70" i="17" s="1"/>
  <c r="CX70" i="17" s="1"/>
  <c r="CG232" i="17"/>
  <c r="CM232" i="17" s="1"/>
  <c r="DA232" i="17" s="1"/>
  <c r="DB232" i="17" s="1"/>
  <c r="CJ204" i="40"/>
  <c r="CP204" i="40" s="1"/>
  <c r="DG204" i="40" s="1"/>
  <c r="DH204" i="40" s="1"/>
  <c r="CJ20" i="17"/>
  <c r="CP20" i="17" s="1"/>
  <c r="DG20" i="17" s="1"/>
  <c r="DH20" i="17" s="1"/>
  <c r="CF171" i="17"/>
  <c r="CL171" i="17" s="1"/>
  <c r="CY171" i="17" s="1"/>
  <c r="CZ171" i="17" s="1"/>
  <c r="CG137" i="17"/>
  <c r="CM137" i="17" s="1"/>
  <c r="DA137" i="17" s="1"/>
  <c r="DB137" i="17" s="1"/>
  <c r="CG194" i="17"/>
  <c r="CM194" i="17" s="1"/>
  <c r="DA194" i="17" s="1"/>
  <c r="DB194" i="17" s="1"/>
  <c r="CE178" i="40"/>
  <c r="CK178" i="40" s="1"/>
  <c r="CW178" i="40" s="1"/>
  <c r="CX178" i="40" s="1"/>
  <c r="CG196" i="40"/>
  <c r="CM196" i="40" s="1"/>
  <c r="DA196" i="40" s="1"/>
  <c r="DB196" i="40" s="1"/>
  <c r="CH132" i="40"/>
  <c r="CN132" i="40" s="1"/>
  <c r="DC132" i="40" s="1"/>
  <c r="DD132" i="40" s="1"/>
  <c r="CE72" i="17"/>
  <c r="CK72" i="17" s="1"/>
  <c r="CW72" i="17" s="1"/>
  <c r="CX72" i="17" s="1"/>
  <c r="CF123" i="17"/>
  <c r="CL123" i="17" s="1"/>
  <c r="CY123" i="17" s="1"/>
  <c r="CZ123" i="17" s="1"/>
  <c r="CE107" i="17"/>
  <c r="CK107" i="17" s="1"/>
  <c r="CW107" i="17" s="1"/>
  <c r="CX107" i="17" s="1"/>
  <c r="CF277" i="17"/>
  <c r="CL277" i="17" s="1"/>
  <c r="CY277" i="17" s="1"/>
  <c r="CZ277" i="17" s="1"/>
  <c r="CI11" i="17"/>
  <c r="CO11" i="17" s="1"/>
  <c r="DE11" i="17" s="1"/>
  <c r="DF11" i="17" s="1"/>
  <c r="CF24" i="17"/>
  <c r="CL24" i="17" s="1"/>
  <c r="CY24" i="17" s="1"/>
  <c r="CZ24" i="17" s="1"/>
  <c r="CE13" i="17"/>
  <c r="CK13" i="17" s="1"/>
  <c r="CW13" i="17" s="1"/>
  <c r="CX13" i="17" s="1"/>
  <c r="CG218" i="17"/>
  <c r="CM218" i="17" s="1"/>
  <c r="DA218" i="17" s="1"/>
  <c r="DB218" i="17" s="1"/>
  <c r="CI184" i="17"/>
  <c r="CO184" i="17" s="1"/>
  <c r="DE184" i="17" s="1"/>
  <c r="DF184" i="17" s="1"/>
  <c r="CE277" i="40"/>
  <c r="CK277" i="40" s="1"/>
  <c r="CW277" i="40" s="1"/>
  <c r="CX277" i="40" s="1"/>
  <c r="CH104" i="40"/>
  <c r="CN104" i="40" s="1"/>
  <c r="DC104" i="40" s="1"/>
  <c r="DD104" i="40" s="1"/>
  <c r="CI11" i="40"/>
  <c r="CO11" i="40" s="1"/>
  <c r="DE11" i="40" s="1"/>
  <c r="DF11" i="40" s="1"/>
  <c r="CF221" i="40"/>
  <c r="CL221" i="40" s="1"/>
  <c r="CY221" i="40" s="1"/>
  <c r="CZ221" i="40" s="1"/>
  <c r="CF314" i="40"/>
  <c r="CL314" i="40" s="1"/>
  <c r="CY314" i="40" s="1"/>
  <c r="CZ314" i="40" s="1"/>
  <c r="CI137" i="40"/>
  <c r="CO137" i="40" s="1"/>
  <c r="DE137" i="40" s="1"/>
  <c r="DF137" i="40" s="1"/>
  <c r="BB315" i="17"/>
  <c r="BJ315" i="17" s="1"/>
  <c r="BC130" i="17"/>
  <c r="BK130" i="17" s="1"/>
  <c r="BF263" i="17"/>
  <c r="BN263" i="17" s="1"/>
  <c r="BB222" i="17"/>
  <c r="BJ222" i="17" s="1"/>
  <c r="BC229" i="17"/>
  <c r="BK229" i="17" s="1"/>
  <c r="BC277" i="17"/>
  <c r="BK277" i="17" s="1"/>
  <c r="BF85" i="17"/>
  <c r="BN85" i="17" s="1"/>
  <c r="AZ145" i="17"/>
  <c r="BH145" i="17" s="1"/>
  <c r="AZ110" i="17"/>
  <c r="BH110" i="17" s="1"/>
  <c r="AZ274" i="17"/>
  <c r="BH274" i="17" s="1"/>
  <c r="BA103" i="17"/>
  <c r="BI103" i="17" s="1"/>
  <c r="BF88" i="17"/>
  <c r="BN88" i="17" s="1"/>
  <c r="AZ298" i="17"/>
  <c r="BH298" i="17" s="1"/>
  <c r="BA172" i="17"/>
  <c r="BI172" i="17" s="1"/>
  <c r="BF27" i="17"/>
  <c r="BN27" i="17" s="1"/>
  <c r="BB47" i="17"/>
  <c r="BJ47" i="17" s="1"/>
  <c r="BF255" i="17"/>
  <c r="BN255" i="17" s="1"/>
  <c r="BF184" i="17"/>
  <c r="BN184" i="17" s="1"/>
  <c r="BB276" i="17"/>
  <c r="BJ276" i="17" s="1"/>
  <c r="BA206" i="17"/>
  <c r="BI206" i="17" s="1"/>
  <c r="BE161" i="17"/>
  <c r="BM161" i="17" s="1"/>
  <c r="AY67" i="17"/>
  <c r="BG67" i="17" s="1"/>
  <c r="BE295" i="17"/>
  <c r="BM295" i="17" s="1"/>
  <c r="BA204" i="17"/>
  <c r="BI204" i="17" s="1"/>
  <c r="BA139" i="17"/>
  <c r="BI139" i="17" s="1"/>
  <c r="BB273" i="17"/>
  <c r="BJ273" i="17" s="1"/>
  <c r="BA13" i="17"/>
  <c r="BI13" i="17" s="1"/>
  <c r="CJ113" i="17"/>
  <c r="CP113" i="17" s="1"/>
  <c r="DG113" i="17" s="1"/>
  <c r="DH113" i="17" s="1"/>
  <c r="CG13" i="17"/>
  <c r="CM13" i="17" s="1"/>
  <c r="DA13" i="17" s="1"/>
  <c r="DB13" i="17" s="1"/>
  <c r="CF218" i="17"/>
  <c r="CL218" i="17" s="1"/>
  <c r="CY218" i="17" s="1"/>
  <c r="CZ218" i="17" s="1"/>
  <c r="CE30" i="17"/>
  <c r="CK30" i="17" s="1"/>
  <c r="CW30" i="17" s="1"/>
  <c r="CX30" i="17" s="1"/>
  <c r="BB223" i="17"/>
  <c r="BJ223" i="17" s="1"/>
  <c r="CE87" i="40"/>
  <c r="CK87" i="40" s="1"/>
  <c r="CW87" i="40" s="1"/>
  <c r="CX87" i="40" s="1"/>
  <c r="CE16" i="40"/>
  <c r="CK16" i="40" s="1"/>
  <c r="CW16" i="40" s="1"/>
  <c r="CX16" i="40" s="1"/>
  <c r="CE75" i="40"/>
  <c r="CK75" i="40" s="1"/>
  <c r="CW75" i="40" s="1"/>
  <c r="CX75" i="40" s="1"/>
  <c r="CE181" i="40"/>
  <c r="CK181" i="40" s="1"/>
  <c r="CW181" i="40" s="1"/>
  <c r="CX181" i="40" s="1"/>
  <c r="CE33" i="40"/>
  <c r="CK33" i="40" s="1"/>
  <c r="CW33" i="40" s="1"/>
  <c r="CX33" i="40" s="1"/>
  <c r="CH67" i="40"/>
  <c r="CN67" i="40" s="1"/>
  <c r="DC67" i="40" s="1"/>
  <c r="DD67" i="40" s="1"/>
  <c r="CI59" i="40"/>
  <c r="CO59" i="40" s="1"/>
  <c r="DE59" i="40" s="1"/>
  <c r="DF59" i="40" s="1"/>
  <c r="CG174" i="40"/>
  <c r="CM174" i="40" s="1"/>
  <c r="DA174" i="40" s="1"/>
  <c r="DB174" i="40" s="1"/>
  <c r="CJ52" i="40"/>
  <c r="CP52" i="40" s="1"/>
  <c r="DG52" i="40" s="1"/>
  <c r="DH52" i="40" s="1"/>
  <c r="CG122" i="40"/>
  <c r="CM122" i="40" s="1"/>
  <c r="DA122" i="40" s="1"/>
  <c r="DB122" i="40" s="1"/>
  <c r="CF38" i="40"/>
  <c r="CL38" i="40" s="1"/>
  <c r="CY38" i="40" s="1"/>
  <c r="CZ38" i="40" s="1"/>
  <c r="CG149" i="40"/>
  <c r="CM149" i="40" s="1"/>
  <c r="DA149" i="40" s="1"/>
  <c r="DB149" i="40" s="1"/>
  <c r="CF10" i="40"/>
  <c r="CL10" i="40" s="1"/>
  <c r="CY10" i="40" s="1"/>
  <c r="CZ10" i="40" s="1"/>
  <c r="BD295" i="17"/>
  <c r="BL295" i="17" s="1"/>
  <c r="BD139" i="17"/>
  <c r="BL139" i="17" s="1"/>
  <c r="BE50" i="17"/>
  <c r="BM50" i="17" s="1"/>
  <c r="AZ101" i="17"/>
  <c r="BH101" i="17" s="1"/>
  <c r="BB246" i="17"/>
  <c r="BJ246" i="17" s="1"/>
  <c r="BF271" i="17"/>
  <c r="BN271" i="17" s="1"/>
  <c r="BD130" i="17"/>
  <c r="BL130" i="17" s="1"/>
  <c r="BC140" i="17"/>
  <c r="BK140" i="17" s="1"/>
  <c r="BB302" i="17"/>
  <c r="BJ302" i="17" s="1"/>
  <c r="BB53" i="17"/>
  <c r="BJ53" i="17" s="1"/>
  <c r="BE154" i="17"/>
  <c r="BM154" i="17" s="1"/>
  <c r="BC271" i="17"/>
  <c r="BK271" i="17" s="1"/>
  <c r="CH261" i="17"/>
  <c r="CN261" i="17" s="1"/>
  <c r="DC261" i="17" s="1"/>
  <c r="DD261" i="17" s="1"/>
  <c r="BA109" i="17"/>
  <c r="BI109" i="17" s="1"/>
  <c r="BD275" i="17"/>
  <c r="BL275" i="17" s="1"/>
  <c r="BF242" i="17"/>
  <c r="BN242" i="17" s="1"/>
  <c r="BE317" i="17"/>
  <c r="BM317" i="17" s="1"/>
  <c r="BF197" i="17"/>
  <c r="BN197" i="17" s="1"/>
  <c r="BD101" i="17"/>
  <c r="BL101" i="17" s="1"/>
  <c r="AY107" i="17"/>
  <c r="BG107" i="17" s="1"/>
  <c r="BC262" i="17"/>
  <c r="BK262" i="17" s="1"/>
  <c r="AY188" i="17"/>
  <c r="BG188" i="17" s="1"/>
  <c r="BF317" i="17"/>
  <c r="BN317" i="17" s="1"/>
  <c r="AZ28" i="17"/>
  <c r="BH28" i="17" s="1"/>
  <c r="AZ214" i="17"/>
  <c r="BH214" i="17" s="1"/>
  <c r="BD31" i="17"/>
  <c r="BL31" i="17" s="1"/>
  <c r="BD283" i="17"/>
  <c r="BL283" i="17" s="1"/>
  <c r="BF259" i="17"/>
  <c r="BN259" i="17" s="1"/>
  <c r="BF222" i="17"/>
  <c r="BN222" i="17" s="1"/>
  <c r="BD257" i="17"/>
  <c r="BL257" i="17" s="1"/>
  <c r="CG20" i="17"/>
  <c r="CM20" i="17" s="1"/>
  <c r="DA20" i="17" s="1"/>
  <c r="DB20" i="17" s="1"/>
  <c r="CF137" i="17"/>
  <c r="CL137" i="17" s="1"/>
  <c r="CY137" i="17" s="1"/>
  <c r="CZ137" i="17" s="1"/>
  <c r="CE214" i="17"/>
  <c r="CK214" i="17" s="1"/>
  <c r="CW214" i="17" s="1"/>
  <c r="CX214" i="17" s="1"/>
  <c r="CJ55" i="17"/>
  <c r="CP55" i="17" s="1"/>
  <c r="DG55" i="17" s="1"/>
  <c r="DH55" i="17" s="1"/>
  <c r="CG55" i="17"/>
  <c r="CM55" i="17" s="1"/>
  <c r="DA55" i="17" s="1"/>
  <c r="DB55" i="17" s="1"/>
  <c r="CG118" i="17"/>
  <c r="CM118" i="17" s="1"/>
  <c r="DA118" i="17" s="1"/>
  <c r="DB118" i="17" s="1"/>
  <c r="CI115" i="40"/>
  <c r="CO115" i="40" s="1"/>
  <c r="DE115" i="40" s="1"/>
  <c r="DF115" i="40" s="1"/>
  <c r="CE79" i="40"/>
  <c r="CK79" i="40" s="1"/>
  <c r="CW79" i="40" s="1"/>
  <c r="CX79" i="40" s="1"/>
  <c r="CJ288" i="40"/>
  <c r="CP288" i="40" s="1"/>
  <c r="DG288" i="40" s="1"/>
  <c r="DH288" i="40" s="1"/>
  <c r="CI80" i="40"/>
  <c r="CO80" i="40" s="1"/>
  <c r="DE80" i="40" s="1"/>
  <c r="DF80" i="40" s="1"/>
  <c r="CJ211" i="40"/>
  <c r="CP211" i="40" s="1"/>
  <c r="DG211" i="40" s="1"/>
  <c r="DH211" i="40" s="1"/>
  <c r="CG170" i="40"/>
  <c r="CM170" i="40" s="1"/>
  <c r="DA170" i="40" s="1"/>
  <c r="DB170" i="40" s="1"/>
  <c r="BF94" i="17"/>
  <c r="BN94" i="17" s="1"/>
  <c r="CE232" i="17"/>
  <c r="CK232" i="17" s="1"/>
  <c r="CW232" i="17" s="1"/>
  <c r="CX232" i="17" s="1"/>
  <c r="BD274" i="17"/>
  <c r="BL274" i="17" s="1"/>
  <c r="BF24" i="17"/>
  <c r="BN24" i="17" s="1"/>
  <c r="BF144" i="17"/>
  <c r="BN144" i="17" s="1"/>
  <c r="BE78" i="17"/>
  <c r="BM78" i="17" s="1"/>
  <c r="AY70" i="17"/>
  <c r="BG70" i="17" s="1"/>
  <c r="AY71" i="17"/>
  <c r="BG71" i="17" s="1"/>
  <c r="BE302" i="17"/>
  <c r="BM302" i="17" s="1"/>
  <c r="BE193" i="17"/>
  <c r="BM193" i="17" s="1"/>
  <c r="AY102" i="17"/>
  <c r="BG102" i="17" s="1"/>
  <c r="AZ47" i="17"/>
  <c r="BH47" i="17" s="1"/>
  <c r="BB88" i="17"/>
  <c r="BJ88" i="17" s="1"/>
  <c r="BC280" i="17"/>
  <c r="BK280" i="17" s="1"/>
  <c r="BB206" i="17"/>
  <c r="BJ206" i="17" s="1"/>
  <c r="BE220" i="17"/>
  <c r="BM220" i="17" s="1"/>
  <c r="BA66" i="17"/>
  <c r="BI66" i="17" s="1"/>
  <c r="BC40" i="17"/>
  <c r="BK40" i="17" s="1"/>
  <c r="BC194" i="17"/>
  <c r="BK194" i="17" s="1"/>
  <c r="BE59" i="17"/>
  <c r="BM59" i="17" s="1"/>
  <c r="AY220" i="17"/>
  <c r="BG220" i="17" s="1"/>
  <c r="AZ279" i="17"/>
  <c r="BH279" i="17" s="1"/>
  <c r="BA30" i="17"/>
  <c r="BI30" i="17" s="1"/>
  <c r="BC218" i="17"/>
  <c r="BK218" i="17" s="1"/>
  <c r="BA110" i="17"/>
  <c r="BI110" i="17" s="1"/>
  <c r="BE213" i="17"/>
  <c r="BM213" i="17" s="1"/>
  <c r="BC123" i="17"/>
  <c r="BK123" i="17" s="1"/>
  <c r="BC13" i="17"/>
  <c r="BK13" i="17" s="1"/>
  <c r="BB13" i="17"/>
  <c r="BJ13" i="17" s="1"/>
  <c r="BA72" i="17"/>
  <c r="BI72" i="17" s="1"/>
  <c r="BA133" i="17"/>
  <c r="BI133" i="17" s="1"/>
  <c r="CH249" i="17"/>
  <c r="CN249" i="17" s="1"/>
  <c r="DC249" i="17" s="1"/>
  <c r="DD249" i="17" s="1"/>
  <c r="CI169" i="40"/>
  <c r="CO169" i="40" s="1"/>
  <c r="DE169" i="40" s="1"/>
  <c r="DF169" i="40" s="1"/>
  <c r="CG9" i="40"/>
  <c r="CM9" i="40" s="1"/>
  <c r="DA9" i="40" s="1"/>
  <c r="DB9" i="40" s="1"/>
  <c r="CG307" i="40"/>
  <c r="CM307" i="40" s="1"/>
  <c r="DA307" i="40" s="1"/>
  <c r="DB307" i="40" s="1"/>
  <c r="CF211" i="40"/>
  <c r="CL211" i="40" s="1"/>
  <c r="CY211" i="40" s="1"/>
  <c r="CZ211" i="40" s="1"/>
  <c r="CF56" i="40"/>
  <c r="CL56" i="40" s="1"/>
  <c r="CY56" i="40" s="1"/>
  <c r="CZ56" i="40" s="1"/>
  <c r="CJ171" i="40"/>
  <c r="CP171" i="40" s="1"/>
  <c r="DG171" i="40" s="1"/>
  <c r="DH171" i="40" s="1"/>
  <c r="CJ191" i="40"/>
  <c r="CP191" i="40" s="1"/>
  <c r="DG191" i="40" s="1"/>
  <c r="DH191" i="40" s="1"/>
  <c r="CE65" i="40"/>
  <c r="CK65" i="40" s="1"/>
  <c r="CW65" i="40" s="1"/>
  <c r="CX65" i="40" s="1"/>
  <c r="CJ136" i="40"/>
  <c r="CP136" i="40" s="1"/>
  <c r="DG136" i="40" s="1"/>
  <c r="DH136" i="40" s="1"/>
  <c r="CI165" i="40"/>
  <c r="CO165" i="40" s="1"/>
  <c r="DE165" i="40" s="1"/>
  <c r="DF165" i="40" s="1"/>
  <c r="BB252" i="17"/>
  <c r="BJ252" i="17" s="1"/>
  <c r="AZ220" i="17"/>
  <c r="BH220" i="17" s="1"/>
  <c r="BD51" i="17"/>
  <c r="BL51" i="17" s="1"/>
  <c r="AY112" i="17"/>
  <c r="BG112" i="17" s="1"/>
  <c r="AZ283" i="17"/>
  <c r="BH283" i="17" s="1"/>
  <c r="CH139" i="17"/>
  <c r="CN139" i="17" s="1"/>
  <c r="DC139" i="17" s="1"/>
  <c r="DD139" i="17" s="1"/>
  <c r="BE51" i="17"/>
  <c r="BM51" i="17" s="1"/>
  <c r="BA232" i="17"/>
  <c r="BI232" i="17" s="1"/>
  <c r="BE128" i="17"/>
  <c r="BM128" i="17" s="1"/>
  <c r="BB123" i="17"/>
  <c r="BJ123" i="17" s="1"/>
  <c r="BC102" i="17"/>
  <c r="BK102" i="17" s="1"/>
  <c r="BE71" i="17"/>
  <c r="BM71" i="17" s="1"/>
  <c r="AY204" i="17"/>
  <c r="BG204" i="17" s="1"/>
  <c r="BA211" i="17"/>
  <c r="BI211" i="17" s="1"/>
  <c r="BD284" i="17"/>
  <c r="BL284" i="17" s="1"/>
  <c r="BE226" i="17"/>
  <c r="BM226" i="17" s="1"/>
  <c r="BD261" i="17"/>
  <c r="BL261" i="17" s="1"/>
  <c r="AY118" i="17"/>
  <c r="BG118" i="17" s="1"/>
  <c r="BF176" i="17"/>
  <c r="BN176" i="17" s="1"/>
  <c r="BD215" i="17"/>
  <c r="BL215" i="17" s="1"/>
  <c r="AZ24" i="17"/>
  <c r="BH24" i="17" s="1"/>
  <c r="BA220" i="17"/>
  <c r="BI220" i="17" s="1"/>
  <c r="BD58" i="17"/>
  <c r="BL58" i="17" s="1"/>
  <c r="BB258" i="17"/>
  <c r="BJ258" i="17" s="1"/>
  <c r="AY171" i="17"/>
  <c r="BG171" i="17" s="1"/>
  <c r="BD55" i="17"/>
  <c r="BL55" i="17" s="1"/>
  <c r="BD266" i="17"/>
  <c r="BL266" i="17" s="1"/>
  <c r="BA20" i="17"/>
  <c r="BI20" i="17" s="1"/>
  <c r="BB161" i="17"/>
  <c r="BJ161" i="17" s="1"/>
  <c r="AY232" i="17"/>
  <c r="BG232" i="17" s="1"/>
  <c r="BA215" i="17"/>
  <c r="BI215" i="17" s="1"/>
  <c r="AY6" i="17"/>
  <c r="BG6" i="17" s="1"/>
  <c r="CG34" i="17"/>
  <c r="CM34" i="17" s="1"/>
  <c r="DA34" i="17" s="1"/>
  <c r="DB34" i="17" s="1"/>
  <c r="CE24" i="17"/>
  <c r="CK24" i="17" s="1"/>
  <c r="CW24" i="17" s="1"/>
  <c r="CX24" i="17" s="1"/>
  <c r="CE277" i="17"/>
  <c r="CK277" i="17" s="1"/>
  <c r="CW277" i="17" s="1"/>
  <c r="CX277" i="17" s="1"/>
  <c r="CJ318" i="17"/>
  <c r="CP318" i="17" s="1"/>
  <c r="DG318" i="17" s="1"/>
  <c r="DH318" i="17" s="1"/>
  <c r="CE225" i="17"/>
  <c r="CK225" i="17" s="1"/>
  <c r="CW225" i="17" s="1"/>
  <c r="CX225" i="17" s="1"/>
  <c r="CE154" i="17"/>
  <c r="CK154" i="17" s="1"/>
  <c r="CW154" i="17" s="1"/>
  <c r="CX154" i="17" s="1"/>
  <c r="CF13" i="17"/>
  <c r="CL13" i="17" s="1"/>
  <c r="CY13" i="17" s="1"/>
  <c r="CZ13" i="17" s="1"/>
  <c r="CG24" i="17"/>
  <c r="CM24" i="17" s="1"/>
  <c r="DA24" i="17" s="1"/>
  <c r="DB24" i="17" s="1"/>
  <c r="CE231" i="40"/>
  <c r="CK231" i="40" s="1"/>
  <c r="CW231" i="40" s="1"/>
  <c r="CX231" i="40" s="1"/>
  <c r="CJ28" i="40"/>
  <c r="CP28" i="40" s="1"/>
  <c r="DG28" i="40" s="1"/>
  <c r="DH28" i="40" s="1"/>
  <c r="CF233" i="40"/>
  <c r="CL233" i="40" s="1"/>
  <c r="CY233" i="40" s="1"/>
  <c r="CZ233" i="40" s="1"/>
  <c r="CG253" i="40"/>
  <c r="CM253" i="40" s="1"/>
  <c r="DA253" i="40" s="1"/>
  <c r="DB253" i="40" s="1"/>
  <c r="CE120" i="40"/>
  <c r="CK120" i="40" s="1"/>
  <c r="CW120" i="40" s="1"/>
  <c r="CX120" i="40" s="1"/>
  <c r="CF206" i="40"/>
  <c r="CL206" i="40" s="1"/>
  <c r="CY206" i="40" s="1"/>
  <c r="CZ206" i="40" s="1"/>
  <c r="CH273" i="40"/>
  <c r="CN273" i="40" s="1"/>
  <c r="DC273" i="40" s="1"/>
  <c r="DD273" i="40" s="1"/>
  <c r="CG40" i="40"/>
  <c r="CM40" i="40" s="1"/>
  <c r="DA40" i="40" s="1"/>
  <c r="DB40" i="40" s="1"/>
  <c r="CH146" i="40"/>
  <c r="CN146" i="40" s="1"/>
  <c r="DC146" i="40" s="1"/>
  <c r="DD146" i="40" s="1"/>
  <c r="CF311" i="40"/>
  <c r="CL311" i="40" s="1"/>
  <c r="CY311" i="40" s="1"/>
  <c r="CZ311" i="40" s="1"/>
  <c r="CE137" i="17"/>
  <c r="CK137" i="17" s="1"/>
  <c r="CW137" i="17" s="1"/>
  <c r="CX137" i="17" s="1"/>
  <c r="BB271" i="17"/>
  <c r="BJ271" i="17" s="1"/>
  <c r="AY62" i="17"/>
  <c r="BG62" i="17" s="1"/>
  <c r="AZ67" i="17"/>
  <c r="BH67" i="17" s="1"/>
  <c r="BD134" i="17"/>
  <c r="BL134" i="17" s="1"/>
  <c r="BE231" i="17"/>
  <c r="BM231" i="17" s="1"/>
  <c r="BE113" i="17"/>
  <c r="BM113" i="17" s="1"/>
  <c r="BB298" i="17"/>
  <c r="BJ298" i="17" s="1"/>
  <c r="AY187" i="17"/>
  <c r="BG187" i="17" s="1"/>
  <c r="BA59" i="17"/>
  <c r="BI59" i="17" s="1"/>
  <c r="BD203" i="17"/>
  <c r="BL203" i="17" s="1"/>
  <c r="AY47" i="17"/>
  <c r="BG47" i="17" s="1"/>
  <c r="BD69" i="17"/>
  <c r="BL69" i="17" s="1"/>
  <c r="BC213" i="17"/>
  <c r="BK213" i="17" s="1"/>
  <c r="AZ278" i="17"/>
  <c r="BH278" i="17" s="1"/>
  <c r="BB193" i="17"/>
  <c r="BJ193" i="17" s="1"/>
  <c r="BB103" i="17"/>
  <c r="BJ103" i="17" s="1"/>
  <c r="BD228" i="17"/>
  <c r="BL228" i="17" s="1"/>
  <c r="BE44" i="17"/>
  <c r="BM44" i="17" s="1"/>
  <c r="BA145" i="17"/>
  <c r="BI145" i="17" s="1"/>
  <c r="BA295" i="17"/>
  <c r="BI295" i="17" s="1"/>
  <c r="BE315" i="17"/>
  <c r="BM315" i="17" s="1"/>
  <c r="BE13" i="17"/>
  <c r="BM13" i="17" s="1"/>
  <c r="CG193" i="17"/>
  <c r="CM193" i="17" s="1"/>
  <c r="DA193" i="17" s="1"/>
  <c r="DB193" i="17" s="1"/>
  <c r="BC46" i="17"/>
  <c r="BK46" i="17" s="1"/>
  <c r="CF35" i="40"/>
  <c r="CL35" i="40" s="1"/>
  <c r="CY35" i="40" s="1"/>
  <c r="CZ35" i="40" s="1"/>
  <c r="CE250" i="40"/>
  <c r="CK250" i="40" s="1"/>
  <c r="CW250" i="40" s="1"/>
  <c r="CX250" i="40" s="1"/>
  <c r="CJ273" i="40"/>
  <c r="CP273" i="40" s="1"/>
  <c r="DG273" i="40" s="1"/>
  <c r="DH273" i="40" s="1"/>
  <c r="CF245" i="40"/>
  <c r="CL245" i="40" s="1"/>
  <c r="CY245" i="40" s="1"/>
  <c r="CZ245" i="40" s="1"/>
  <c r="CG86" i="40"/>
  <c r="CM86" i="40" s="1"/>
  <c r="DA86" i="40" s="1"/>
  <c r="DB86" i="40" s="1"/>
  <c r="CH172" i="40"/>
  <c r="CN172" i="40" s="1"/>
  <c r="DC172" i="40" s="1"/>
  <c r="DD172" i="40" s="1"/>
  <c r="CI81" i="40"/>
  <c r="CO81" i="40" s="1"/>
  <c r="DE81" i="40" s="1"/>
  <c r="DF81" i="40" s="1"/>
  <c r="CE311" i="40"/>
  <c r="CK311" i="40" s="1"/>
  <c r="CW311" i="40" s="1"/>
  <c r="CX311" i="40" s="1"/>
  <c r="CH293" i="40"/>
  <c r="CN293" i="40" s="1"/>
  <c r="DC293" i="40" s="1"/>
  <c r="DD293" i="40" s="1"/>
  <c r="CG38" i="40"/>
  <c r="CM38" i="40" s="1"/>
  <c r="DA38" i="40" s="1"/>
  <c r="DB38" i="40" s="1"/>
  <c r="CJ258" i="40"/>
  <c r="CP258" i="40" s="1"/>
  <c r="DG258" i="40" s="1"/>
  <c r="DH258" i="40" s="1"/>
  <c r="BA144" i="17"/>
  <c r="BI144" i="17" s="1"/>
  <c r="BF190" i="17"/>
  <c r="BN190" i="17" s="1"/>
  <c r="BD317" i="17"/>
  <c r="BL317" i="17" s="1"/>
  <c r="AZ51" i="17"/>
  <c r="BH51" i="17" s="1"/>
  <c r="AY162" i="17"/>
  <c r="BG162" i="17" s="1"/>
  <c r="BC217" i="17"/>
  <c r="BK217" i="17" s="1"/>
  <c r="BD263" i="17"/>
  <c r="BL263" i="17" s="1"/>
  <c r="BB55" i="17"/>
  <c r="BJ55" i="17" s="1"/>
  <c r="BC204" i="17"/>
  <c r="BK204" i="17" s="1"/>
  <c r="BA218" i="17"/>
  <c r="BI218" i="17" s="1"/>
  <c r="BC75" i="17"/>
  <c r="BK75" i="17" s="1"/>
  <c r="CI50" i="17"/>
  <c r="CO50" i="17" s="1"/>
  <c r="DE50" i="17" s="1"/>
  <c r="DF50" i="17" s="1"/>
  <c r="CJ44" i="17"/>
  <c r="CP44" i="17" s="1"/>
  <c r="DG44" i="17" s="1"/>
  <c r="DH44" i="17" s="1"/>
  <c r="BC118" i="17"/>
  <c r="BK118" i="17" s="1"/>
  <c r="BE275" i="17"/>
  <c r="BM275" i="17" s="1"/>
  <c r="AZ225" i="17"/>
  <c r="BH225" i="17" s="1"/>
  <c r="BD102" i="17"/>
  <c r="BL102" i="17" s="1"/>
  <c r="BD258" i="17"/>
  <c r="BL258" i="17" s="1"/>
  <c r="BA137" i="17"/>
  <c r="BI137" i="17" s="1"/>
  <c r="BB32" i="17"/>
  <c r="BJ32" i="17" s="1"/>
  <c r="AY174" i="17"/>
  <c r="BG174" i="17" s="1"/>
  <c r="BD34" i="17"/>
  <c r="BL34" i="17" s="1"/>
  <c r="BB34" i="17"/>
  <c r="BJ34" i="17" s="1"/>
  <c r="BF34" i="17"/>
  <c r="BN34" i="17" s="1"/>
  <c r="CJ176" i="17"/>
  <c r="CP176" i="17" s="1"/>
  <c r="DG176" i="17" s="1"/>
  <c r="DH176" i="17" s="1"/>
  <c r="CE252" i="17"/>
  <c r="CK252" i="17" s="1"/>
  <c r="CW252" i="17" s="1"/>
  <c r="CX252" i="17" s="1"/>
  <c r="CG277" i="17"/>
  <c r="CM277" i="17" s="1"/>
  <c r="DA277" i="17" s="1"/>
  <c r="DB277" i="17" s="1"/>
  <c r="CG97" i="17"/>
  <c r="CM97" i="17" s="1"/>
  <c r="DA97" i="17" s="1"/>
  <c r="DB97" i="17" s="1"/>
  <c r="CG27" i="17"/>
  <c r="CM27" i="17" s="1"/>
  <c r="DA27" i="17" s="1"/>
  <c r="DB27" i="17" s="1"/>
  <c r="CG67" i="40"/>
  <c r="CM67" i="40" s="1"/>
  <c r="DA67" i="40" s="1"/>
  <c r="DB67" i="40" s="1"/>
  <c r="CG288" i="40"/>
  <c r="CM288" i="40" s="1"/>
  <c r="DA288" i="40" s="1"/>
  <c r="DB288" i="40" s="1"/>
  <c r="CG177" i="40"/>
  <c r="CM177" i="40" s="1"/>
  <c r="DA177" i="40" s="1"/>
  <c r="DB177" i="40" s="1"/>
  <c r="CI118" i="40"/>
  <c r="CO118" i="40" s="1"/>
  <c r="DE118" i="40" s="1"/>
  <c r="DF118" i="40" s="1"/>
  <c r="CJ51" i="40"/>
  <c r="CP51" i="40" s="1"/>
  <c r="DG51" i="40" s="1"/>
  <c r="DH51" i="40" s="1"/>
  <c r="CG264" i="40"/>
  <c r="CM264" i="40" s="1"/>
  <c r="DA264" i="40" s="1"/>
  <c r="DB264" i="40" s="1"/>
  <c r="CJ163" i="40"/>
  <c r="CP163" i="40" s="1"/>
  <c r="DG163" i="40" s="1"/>
  <c r="DH163" i="40" s="1"/>
  <c r="CG245" i="40"/>
  <c r="CM245" i="40" s="1"/>
  <c r="DA245" i="40" s="1"/>
  <c r="DB245" i="40" s="1"/>
  <c r="CI154" i="40"/>
  <c r="CO154" i="40" s="1"/>
  <c r="DE154" i="40" s="1"/>
  <c r="DF154" i="40" s="1"/>
  <c r="CF102" i="40"/>
  <c r="CL102" i="40" s="1"/>
  <c r="CY102" i="40" s="1"/>
  <c r="CZ102" i="40" s="1"/>
  <c r="CE22" i="40"/>
  <c r="CK22" i="40" s="1"/>
  <c r="CW22" i="40" s="1"/>
  <c r="CX22" i="40" s="1"/>
  <c r="CJ270" i="40"/>
  <c r="CP270" i="40" s="1"/>
  <c r="DG270" i="40" s="1"/>
  <c r="DH270" i="40" s="1"/>
  <c r="CH194" i="17"/>
  <c r="CN194" i="17" s="1"/>
  <c r="DC194" i="17" s="1"/>
  <c r="DD194" i="17" s="1"/>
  <c r="CJ11" i="17"/>
  <c r="CP11" i="17" s="1"/>
  <c r="DG11" i="17" s="1"/>
  <c r="DH11" i="17" s="1"/>
  <c r="CJ128" i="17"/>
  <c r="CP128" i="17" s="1"/>
  <c r="DG128" i="17" s="1"/>
  <c r="DH128" i="17" s="1"/>
  <c r="CF58" i="17"/>
  <c r="CL58" i="17" s="1"/>
  <c r="CY58" i="17" s="1"/>
  <c r="CZ58" i="17" s="1"/>
  <c r="CH11" i="17"/>
  <c r="CN11" i="17" s="1"/>
  <c r="DC11" i="17" s="1"/>
  <c r="DD11" i="17" s="1"/>
  <c r="CH75" i="17"/>
  <c r="CN75" i="17" s="1"/>
  <c r="DC75" i="17" s="1"/>
  <c r="DD75" i="17" s="1"/>
  <c r="CF131" i="17"/>
  <c r="CL131" i="17" s="1"/>
  <c r="CY131" i="17" s="1"/>
  <c r="CZ131" i="17" s="1"/>
  <c r="CE131" i="17"/>
  <c r="CK131" i="17" s="1"/>
  <c r="CW131" i="17" s="1"/>
  <c r="CX131" i="17" s="1"/>
  <c r="CF197" i="17"/>
  <c r="CL197" i="17" s="1"/>
  <c r="CY197" i="17" s="1"/>
  <c r="CZ197" i="17" s="1"/>
  <c r="CF118" i="17"/>
  <c r="CL118" i="17" s="1"/>
  <c r="CY118" i="17" s="1"/>
  <c r="CZ118" i="17" s="1"/>
  <c r="CF110" i="17"/>
  <c r="CL110" i="17" s="1"/>
  <c r="CY110" i="17" s="1"/>
  <c r="CZ110" i="17" s="1"/>
  <c r="CE58" i="17"/>
  <c r="CK58" i="17" s="1"/>
  <c r="CW58" i="17" s="1"/>
  <c r="CX58" i="17" s="1"/>
  <c r="CI163" i="17"/>
  <c r="CO163" i="17" s="1"/>
  <c r="DE163" i="17" s="1"/>
  <c r="DF163" i="17" s="1"/>
  <c r="CI70" i="40"/>
  <c r="CO70" i="40" s="1"/>
  <c r="DE70" i="40" s="1"/>
  <c r="DF70" i="40" s="1"/>
  <c r="CI64" i="17"/>
  <c r="CO64" i="17" s="1"/>
  <c r="DE64" i="17" s="1"/>
  <c r="DF64" i="17" s="1"/>
  <c r="CG197" i="17"/>
  <c r="CM197" i="17" s="1"/>
  <c r="DA197" i="17" s="1"/>
  <c r="DB197" i="17" s="1"/>
  <c r="BO46" i="17"/>
  <c r="CE46" i="17" s="1"/>
  <c r="CK46" i="17" s="1"/>
  <c r="CW46" i="17" s="1"/>
  <c r="CX46" i="17" s="1"/>
  <c r="CH105" i="40"/>
  <c r="CN105" i="40" s="1"/>
  <c r="DC105" i="40" s="1"/>
  <c r="DD105" i="40" s="1"/>
  <c r="CF80" i="40"/>
  <c r="CL80" i="40" s="1"/>
  <c r="CY80" i="40" s="1"/>
  <c r="CZ80" i="40" s="1"/>
  <c r="CJ200" i="40"/>
  <c r="CP200" i="40" s="1"/>
  <c r="DG200" i="40" s="1"/>
  <c r="DH200" i="40" s="1"/>
  <c r="CG263" i="17"/>
  <c r="CM263" i="17" s="1"/>
  <c r="DA263" i="17" s="1"/>
  <c r="DB263" i="17" s="1"/>
  <c r="BC283" i="17"/>
  <c r="BK283" i="17" s="1"/>
  <c r="CF81" i="17"/>
  <c r="CL81" i="17" s="1"/>
  <c r="CY81" i="17" s="1"/>
  <c r="CZ81" i="17" s="1"/>
  <c r="CJ253" i="17"/>
  <c r="CP253" i="17" s="1"/>
  <c r="DG253" i="17" s="1"/>
  <c r="DH253" i="17" s="1"/>
  <c r="BA251" i="17"/>
  <c r="BI251" i="17" s="1"/>
  <c r="BB158" i="17"/>
  <c r="BJ158" i="17" s="1"/>
  <c r="CE259" i="17"/>
  <c r="CK259" i="17" s="1"/>
  <c r="CW259" i="17" s="1"/>
  <c r="CX259" i="17" s="1"/>
  <c r="CE118" i="17"/>
  <c r="CK118" i="17" s="1"/>
  <c r="CW118" i="17" s="1"/>
  <c r="CX118" i="17" s="1"/>
  <c r="CE97" i="17"/>
  <c r="CK97" i="17" s="1"/>
  <c r="CW97" i="17" s="1"/>
  <c r="CX97" i="17" s="1"/>
  <c r="BC307" i="17"/>
  <c r="BK307" i="17" s="1"/>
  <c r="BB133" i="17"/>
  <c r="BJ133" i="17" s="1"/>
  <c r="BB84" i="17"/>
  <c r="BJ84" i="17" s="1"/>
  <c r="CG176" i="17"/>
  <c r="CM176" i="17" s="1"/>
  <c r="DA176" i="17" s="1"/>
  <c r="DB176" i="17" s="1"/>
  <c r="BU46" i="17"/>
  <c r="CJ46" i="17" s="1"/>
  <c r="CP46" i="17" s="1"/>
  <c r="DG46" i="17" s="1"/>
  <c r="DH46" i="17" s="1"/>
  <c r="CF11" i="17"/>
  <c r="CL11" i="17" s="1"/>
  <c r="CY11" i="17" s="1"/>
  <c r="CZ11" i="17" s="1"/>
  <c r="CH226" i="40"/>
  <c r="CN226" i="40" s="1"/>
  <c r="DC226" i="40" s="1"/>
  <c r="DD226" i="40" s="1"/>
  <c r="CG119" i="40"/>
  <c r="CM119" i="40" s="1"/>
  <c r="DA119" i="40" s="1"/>
  <c r="DB119" i="40" s="1"/>
  <c r="CE196" i="40"/>
  <c r="CK196" i="40" s="1"/>
  <c r="CW196" i="40" s="1"/>
  <c r="CX196" i="40" s="1"/>
  <c r="CG27" i="40"/>
  <c r="CM27" i="40" s="1"/>
  <c r="DA27" i="40" s="1"/>
  <c r="DB27" i="40" s="1"/>
  <c r="CI75" i="40"/>
  <c r="CO75" i="40" s="1"/>
  <c r="DE75" i="40" s="1"/>
  <c r="DF75" i="40" s="1"/>
  <c r="CI157" i="40"/>
  <c r="CO157" i="40" s="1"/>
  <c r="DE157" i="40" s="1"/>
  <c r="DF157" i="40" s="1"/>
  <c r="CF288" i="40"/>
  <c r="CL288" i="40" s="1"/>
  <c r="CY288" i="40" s="1"/>
  <c r="CZ288" i="40" s="1"/>
  <c r="CE119" i="40"/>
  <c r="CK119" i="40" s="1"/>
  <c r="CW119" i="40" s="1"/>
  <c r="CX119" i="40" s="1"/>
  <c r="CE280" i="40"/>
  <c r="CK280" i="40" s="1"/>
  <c r="CW280" i="40" s="1"/>
  <c r="CX280" i="40" s="1"/>
  <c r="CF59" i="40"/>
  <c r="CL59" i="40" s="1"/>
  <c r="CY59" i="40" s="1"/>
  <c r="CZ59" i="40" s="1"/>
  <c r="CJ166" i="40"/>
  <c r="CP166" i="40" s="1"/>
  <c r="DG166" i="40" s="1"/>
  <c r="DH166" i="40" s="1"/>
  <c r="CG12" i="40"/>
  <c r="CM12" i="40" s="1"/>
  <c r="DA12" i="40" s="1"/>
  <c r="DB12" i="40" s="1"/>
  <c r="CI182" i="40"/>
  <c r="CO182" i="40" s="1"/>
  <c r="DE182" i="40" s="1"/>
  <c r="DF182" i="40" s="1"/>
  <c r="CJ302" i="40"/>
  <c r="CP302" i="40" s="1"/>
  <c r="DG302" i="40" s="1"/>
  <c r="DH302" i="40" s="1"/>
  <c r="CI188" i="40"/>
  <c r="CO188" i="40" s="1"/>
  <c r="DE188" i="40" s="1"/>
  <c r="DF188" i="40" s="1"/>
  <c r="CE101" i="40"/>
  <c r="CK101" i="40" s="1"/>
  <c r="CW101" i="40" s="1"/>
  <c r="CX101" i="40" s="1"/>
  <c r="CI225" i="40"/>
  <c r="CO225" i="40" s="1"/>
  <c r="DE225" i="40" s="1"/>
  <c r="DF225" i="40" s="1"/>
  <c r="BF237" i="17"/>
  <c r="BN237" i="17" s="1"/>
  <c r="AZ266" i="17"/>
  <c r="BH266" i="17" s="1"/>
  <c r="AZ39" i="17"/>
  <c r="BH39" i="17" s="1"/>
  <c r="AZ273" i="17"/>
  <c r="BH273" i="17" s="1"/>
  <c r="CJ259" i="17"/>
  <c r="CP259" i="17" s="1"/>
  <c r="DG259" i="17" s="1"/>
  <c r="DH259" i="17" s="1"/>
  <c r="CI78" i="17"/>
  <c r="CO78" i="17" s="1"/>
  <c r="DE78" i="17" s="1"/>
  <c r="DF78" i="17" s="1"/>
  <c r="CG242" i="17"/>
  <c r="CM242" i="17" s="1"/>
  <c r="DA242" i="17" s="1"/>
  <c r="DB242" i="17" s="1"/>
  <c r="CH276" i="17"/>
  <c r="CN276" i="17" s="1"/>
  <c r="DC276" i="17" s="1"/>
  <c r="DD276" i="17" s="1"/>
  <c r="CJ215" i="17"/>
  <c r="CP215" i="17" s="1"/>
  <c r="DG215" i="17" s="1"/>
  <c r="DH215" i="17" s="1"/>
  <c r="CE263" i="17"/>
  <c r="CK263" i="17" s="1"/>
  <c r="CW263" i="17" s="1"/>
  <c r="CX263" i="17" s="1"/>
  <c r="CH123" i="17"/>
  <c r="CN123" i="17" s="1"/>
  <c r="DC123" i="17" s="1"/>
  <c r="DD123" i="17" s="1"/>
  <c r="CF271" i="40"/>
  <c r="CL271" i="40" s="1"/>
  <c r="CY271" i="40" s="1"/>
  <c r="CZ271" i="40" s="1"/>
  <c r="CE154" i="40"/>
  <c r="CK154" i="40" s="1"/>
  <c r="CW154" i="40" s="1"/>
  <c r="CX154" i="40" s="1"/>
  <c r="CI148" i="40"/>
  <c r="CO148" i="40" s="1"/>
  <c r="DE148" i="40" s="1"/>
  <c r="DF148" i="40" s="1"/>
  <c r="CF84" i="40"/>
  <c r="CL84" i="40" s="1"/>
  <c r="CY84" i="40" s="1"/>
  <c r="CZ84" i="40" s="1"/>
  <c r="CE147" i="40"/>
  <c r="CK147" i="40" s="1"/>
  <c r="CW147" i="40" s="1"/>
  <c r="CX147" i="40" s="1"/>
  <c r="CG96" i="40"/>
  <c r="CM96" i="40" s="1"/>
  <c r="DA96" i="40" s="1"/>
  <c r="DB96" i="40" s="1"/>
  <c r="CE38" i="40"/>
  <c r="CK38" i="40" s="1"/>
  <c r="CW38" i="40" s="1"/>
  <c r="CX38" i="40" s="1"/>
  <c r="CI171" i="40"/>
  <c r="CO171" i="40" s="1"/>
  <c r="DE171" i="40" s="1"/>
  <c r="DF171" i="40" s="1"/>
  <c r="BF71" i="17"/>
  <c r="BN71" i="17" s="1"/>
  <c r="BP45" i="17"/>
  <c r="CF45" i="17" s="1"/>
  <c r="CL45" i="17" s="1"/>
  <c r="CY45" i="17" s="1"/>
  <c r="CZ45" i="17" s="1"/>
  <c r="CG76" i="40"/>
  <c r="CM76" i="40" s="1"/>
  <c r="DA76" i="40" s="1"/>
  <c r="DB76" i="40" s="1"/>
  <c r="CI34" i="40"/>
  <c r="CO34" i="40" s="1"/>
  <c r="DE34" i="40" s="1"/>
  <c r="DF34" i="40" s="1"/>
  <c r="CI278" i="40"/>
  <c r="CO278" i="40" s="1"/>
  <c r="DE278" i="40" s="1"/>
  <c r="DF278" i="40" s="1"/>
  <c r="CJ179" i="40"/>
  <c r="CP179" i="40" s="1"/>
  <c r="DG179" i="40" s="1"/>
  <c r="DH179" i="40" s="1"/>
  <c r="CG145" i="40"/>
  <c r="CM145" i="40" s="1"/>
  <c r="DA145" i="40" s="1"/>
  <c r="DB145" i="40" s="1"/>
  <c r="CE199" i="40"/>
  <c r="CK199" i="40" s="1"/>
  <c r="CW199" i="40" s="1"/>
  <c r="CX199" i="40" s="1"/>
  <c r="AY77" i="17"/>
  <c r="BG77" i="17" s="1"/>
  <c r="BB188" i="17"/>
  <c r="BJ188" i="17" s="1"/>
  <c r="AZ128" i="17"/>
  <c r="BH128" i="17" s="1"/>
  <c r="AY226" i="17"/>
  <c r="BG226" i="17" s="1"/>
  <c r="CG235" i="17"/>
  <c r="CM235" i="17" s="1"/>
  <c r="DA235" i="17" s="1"/>
  <c r="DB235" i="17" s="1"/>
  <c r="BU45" i="17"/>
  <c r="CI45" i="17" s="1"/>
  <c r="CO45" i="17" s="1"/>
  <c r="DE45" i="17" s="1"/>
  <c r="DF45" i="17" s="1"/>
  <c r="CH163" i="17"/>
  <c r="CN163" i="17" s="1"/>
  <c r="DC163" i="17" s="1"/>
  <c r="DD163" i="17" s="1"/>
  <c r="CI97" i="17"/>
  <c r="CO97" i="17" s="1"/>
  <c r="DE97" i="17" s="1"/>
  <c r="DF97" i="17" s="1"/>
  <c r="CE279" i="40"/>
  <c r="CK279" i="40" s="1"/>
  <c r="CW279" i="40" s="1"/>
  <c r="CX279" i="40" s="1"/>
  <c r="CE73" i="40"/>
  <c r="CK73" i="40" s="1"/>
  <c r="CW73" i="40" s="1"/>
  <c r="CX73" i="40" s="1"/>
  <c r="CI237" i="40"/>
  <c r="CO237" i="40" s="1"/>
  <c r="DE237" i="40" s="1"/>
  <c r="DF237" i="40" s="1"/>
  <c r="CE192" i="40"/>
  <c r="CK192" i="40" s="1"/>
  <c r="CW192" i="40" s="1"/>
  <c r="CX192" i="40" s="1"/>
  <c r="CF295" i="40"/>
  <c r="CL295" i="40" s="1"/>
  <c r="CY295" i="40" s="1"/>
  <c r="CZ295" i="40" s="1"/>
  <c r="CE57" i="40"/>
  <c r="CK57" i="40" s="1"/>
  <c r="CW57" i="40" s="1"/>
  <c r="CX57" i="40" s="1"/>
  <c r="CE174" i="40"/>
  <c r="CK174" i="40" s="1"/>
  <c r="CW174" i="40" s="1"/>
  <c r="CX174" i="40" s="1"/>
  <c r="CH103" i="40"/>
  <c r="CN103" i="40" s="1"/>
  <c r="DC103" i="40" s="1"/>
  <c r="DD103" i="40" s="1"/>
  <c r="CI128" i="40"/>
  <c r="CO128" i="40" s="1"/>
  <c r="DE128" i="40" s="1"/>
  <c r="DF128" i="40" s="1"/>
  <c r="CG135" i="40"/>
  <c r="CM135" i="40" s="1"/>
  <c r="DA135" i="40" s="1"/>
  <c r="DB135" i="40" s="1"/>
  <c r="CF57" i="40"/>
  <c r="CL57" i="40" s="1"/>
  <c r="CY57" i="40" s="1"/>
  <c r="CZ57" i="40" s="1"/>
  <c r="CG54" i="40"/>
  <c r="CM54" i="40" s="1"/>
  <c r="DA54" i="40" s="1"/>
  <c r="DB54" i="40" s="1"/>
  <c r="CJ44" i="40"/>
  <c r="CP44" i="40" s="1"/>
  <c r="DG44" i="40" s="1"/>
  <c r="DH44" i="40" s="1"/>
  <c r="CH264" i="17"/>
  <c r="CN264" i="17" s="1"/>
  <c r="DC264" i="17" s="1"/>
  <c r="DD264" i="17" s="1"/>
  <c r="CE6" i="40"/>
  <c r="CK6" i="40" s="1"/>
  <c r="CW6" i="40" s="1"/>
  <c r="CX6" i="40" s="1"/>
  <c r="CG199" i="40"/>
  <c r="CM199" i="40" s="1"/>
  <c r="DA199" i="40" s="1"/>
  <c r="DB199" i="40" s="1"/>
  <c r="CI96" i="40"/>
  <c r="CO96" i="40" s="1"/>
  <c r="DE96" i="40" s="1"/>
  <c r="DF96" i="40" s="1"/>
  <c r="CF18" i="40"/>
  <c r="CL18" i="40" s="1"/>
  <c r="CY18" i="40" s="1"/>
  <c r="CZ18" i="40" s="1"/>
  <c r="CI203" i="40"/>
  <c r="CO203" i="40" s="1"/>
  <c r="DE203" i="40" s="1"/>
  <c r="DF203" i="40" s="1"/>
  <c r="CF191" i="40"/>
  <c r="CL191" i="40" s="1"/>
  <c r="CY191" i="40" s="1"/>
  <c r="CZ191" i="40" s="1"/>
  <c r="CF291" i="40"/>
  <c r="CL291" i="40" s="1"/>
  <c r="CY291" i="40" s="1"/>
  <c r="CZ291" i="40" s="1"/>
  <c r="CH91" i="40"/>
  <c r="CN91" i="40" s="1"/>
  <c r="DC91" i="40" s="1"/>
  <c r="DD91" i="40" s="1"/>
  <c r="CJ14" i="40"/>
  <c r="CP14" i="40" s="1"/>
  <c r="DG14" i="40" s="1"/>
  <c r="DH14" i="40" s="1"/>
  <c r="CF70" i="17"/>
  <c r="CL70" i="17" s="1"/>
  <c r="CY70" i="17" s="1"/>
  <c r="CZ70" i="17" s="1"/>
  <c r="CH277" i="17"/>
  <c r="CN277" i="17" s="1"/>
  <c r="DC277" i="17" s="1"/>
  <c r="DD277" i="17" s="1"/>
  <c r="CI236" i="17"/>
  <c r="CO236" i="17" s="1"/>
  <c r="DE236" i="17" s="1"/>
  <c r="DF236" i="17" s="1"/>
  <c r="CG249" i="17"/>
  <c r="CM249" i="17" s="1"/>
  <c r="DA249" i="17" s="1"/>
  <c r="DB249" i="17" s="1"/>
  <c r="CI311" i="40"/>
  <c r="CO311" i="40" s="1"/>
  <c r="DE311" i="40" s="1"/>
  <c r="DF311" i="40" s="1"/>
  <c r="CE204" i="40"/>
  <c r="CK204" i="40" s="1"/>
  <c r="CW204" i="40" s="1"/>
  <c r="CX204" i="40" s="1"/>
  <c r="CI83" i="40"/>
  <c r="CO83" i="40" s="1"/>
  <c r="DE83" i="40" s="1"/>
  <c r="DF83" i="40" s="1"/>
  <c r="CG136" i="40"/>
  <c r="CM136" i="40" s="1"/>
  <c r="DA136" i="40" s="1"/>
  <c r="DB136" i="40" s="1"/>
  <c r="CF298" i="40"/>
  <c r="CL298" i="40" s="1"/>
  <c r="CY298" i="40" s="1"/>
  <c r="CZ298" i="40" s="1"/>
  <c r="CJ251" i="40"/>
  <c r="CP251" i="40" s="1"/>
  <c r="DG251" i="40" s="1"/>
  <c r="DH251" i="40" s="1"/>
  <c r="CE149" i="40"/>
  <c r="CK149" i="40" s="1"/>
  <c r="CW149" i="40" s="1"/>
  <c r="CX149" i="40" s="1"/>
  <c r="CI153" i="40"/>
  <c r="CO153" i="40" s="1"/>
  <c r="DE153" i="40" s="1"/>
  <c r="DF153" i="40" s="1"/>
  <c r="CH137" i="40"/>
  <c r="CN137" i="40" s="1"/>
  <c r="DC137" i="40" s="1"/>
  <c r="DD137" i="40" s="1"/>
  <c r="CH139" i="40"/>
  <c r="CN139" i="40" s="1"/>
  <c r="DC139" i="40" s="1"/>
  <c r="DD139" i="40" s="1"/>
  <c r="CJ89" i="40"/>
  <c r="CP89" i="40" s="1"/>
  <c r="DG89" i="40" s="1"/>
  <c r="DH89" i="40" s="1"/>
  <c r="CF219" i="40"/>
  <c r="CL219" i="40" s="1"/>
  <c r="CY219" i="40" s="1"/>
  <c r="CZ219" i="40" s="1"/>
  <c r="CE278" i="40"/>
  <c r="CK278" i="40" s="1"/>
  <c r="CW278" i="40" s="1"/>
  <c r="CX278" i="40" s="1"/>
  <c r="CG120" i="40"/>
  <c r="CM120" i="40" s="1"/>
  <c r="DA120" i="40" s="1"/>
  <c r="DB120" i="40" s="1"/>
  <c r="CF194" i="40"/>
  <c r="CL194" i="40" s="1"/>
  <c r="CY194" i="40" s="1"/>
  <c r="CZ194" i="40" s="1"/>
  <c r="CF167" i="40"/>
  <c r="CL167" i="40" s="1"/>
  <c r="CY167" i="40" s="1"/>
  <c r="CZ167" i="40" s="1"/>
  <c r="CE233" i="40"/>
  <c r="CK233" i="40" s="1"/>
  <c r="CW233" i="40" s="1"/>
  <c r="CX233" i="40" s="1"/>
  <c r="AZ31" i="17"/>
  <c r="BH31" i="17" s="1"/>
  <c r="AZ96" i="17"/>
  <c r="BH96" i="17" s="1"/>
  <c r="BB269" i="17"/>
  <c r="BJ269" i="17" s="1"/>
  <c r="AZ133" i="17"/>
  <c r="BH133" i="17" s="1"/>
  <c r="BB251" i="17"/>
  <c r="BJ251" i="17" s="1"/>
  <c r="CF184" i="17"/>
  <c r="CL184" i="17" s="1"/>
  <c r="CY184" i="17" s="1"/>
  <c r="CZ184" i="17" s="1"/>
  <c r="BC268" i="17"/>
  <c r="BK268" i="17" s="1"/>
  <c r="BC223" i="17"/>
  <c r="BK223" i="17" s="1"/>
  <c r="CH30" i="17"/>
  <c r="CN30" i="17" s="1"/>
  <c r="DC30" i="17" s="1"/>
  <c r="DD30" i="17" s="1"/>
  <c r="CE109" i="40"/>
  <c r="CK109" i="40" s="1"/>
  <c r="CW109" i="40" s="1"/>
  <c r="CX109" i="40" s="1"/>
  <c r="CE71" i="40"/>
  <c r="CK71" i="40" s="1"/>
  <c r="CW71" i="40" s="1"/>
  <c r="CX71" i="40" s="1"/>
  <c r="CF284" i="40"/>
  <c r="CL284" i="40" s="1"/>
  <c r="CY284" i="40" s="1"/>
  <c r="CZ284" i="40" s="1"/>
  <c r="CH210" i="40"/>
  <c r="CN210" i="40" s="1"/>
  <c r="DC210" i="40" s="1"/>
  <c r="DD210" i="40" s="1"/>
  <c r="CH281" i="40"/>
  <c r="CN281" i="40" s="1"/>
  <c r="DC281" i="40" s="1"/>
  <c r="DD281" i="40" s="1"/>
  <c r="CG108" i="40"/>
  <c r="CM108" i="40" s="1"/>
  <c r="DA108" i="40" s="1"/>
  <c r="DB108" i="40" s="1"/>
  <c r="CE49" i="40"/>
  <c r="CK49" i="40" s="1"/>
  <c r="CW49" i="40" s="1"/>
  <c r="CX49" i="40" s="1"/>
  <c r="CF97" i="40"/>
  <c r="CL97" i="40" s="1"/>
  <c r="CY97" i="40" s="1"/>
  <c r="CZ97" i="40" s="1"/>
  <c r="CH113" i="40"/>
  <c r="CN113" i="40" s="1"/>
  <c r="DC113" i="40" s="1"/>
  <c r="DD113" i="40" s="1"/>
  <c r="CI31" i="40"/>
  <c r="CO31" i="40" s="1"/>
  <c r="DE31" i="40" s="1"/>
  <c r="DF31" i="40" s="1"/>
  <c r="CJ39" i="40"/>
  <c r="CP39" i="40" s="1"/>
  <c r="DG39" i="40" s="1"/>
  <c r="DH39" i="40" s="1"/>
  <c r="CG262" i="40"/>
  <c r="CM262" i="40" s="1"/>
  <c r="DA262" i="40" s="1"/>
  <c r="DB262" i="40" s="1"/>
  <c r="CE222" i="40"/>
  <c r="CK222" i="40" s="1"/>
  <c r="CW222" i="40" s="1"/>
  <c r="CX222" i="40" s="1"/>
  <c r="CI160" i="40"/>
  <c r="CO160" i="40" s="1"/>
  <c r="DE160" i="40" s="1"/>
  <c r="DF160" i="40" s="1"/>
  <c r="CI223" i="17"/>
  <c r="CO223" i="17" s="1"/>
  <c r="DE223" i="17" s="1"/>
  <c r="DF223" i="17" s="1"/>
  <c r="CE37" i="40"/>
  <c r="CK37" i="40" s="1"/>
  <c r="CW37" i="40" s="1"/>
  <c r="CX37" i="40" s="1"/>
  <c r="CF37" i="40"/>
  <c r="CL37" i="40" s="1"/>
  <c r="CY37" i="40" s="1"/>
  <c r="CZ37" i="40" s="1"/>
  <c r="CI265" i="40"/>
  <c r="CO265" i="40" s="1"/>
  <c r="DE265" i="40" s="1"/>
  <c r="DF265" i="40" s="1"/>
  <c r="CJ247" i="17"/>
  <c r="CP247" i="17" s="1"/>
  <c r="DG247" i="17" s="1"/>
  <c r="DH247" i="17" s="1"/>
  <c r="CJ278" i="17"/>
  <c r="CP278" i="17" s="1"/>
  <c r="DG278" i="17" s="1"/>
  <c r="DH278" i="17" s="1"/>
  <c r="CJ68" i="40"/>
  <c r="CP68" i="40" s="1"/>
  <c r="DG68" i="40" s="1"/>
  <c r="DH68" i="40" s="1"/>
  <c r="CI47" i="40"/>
  <c r="CO47" i="40" s="1"/>
  <c r="DE47" i="40" s="1"/>
  <c r="DF47" i="40" s="1"/>
  <c r="CJ47" i="40"/>
  <c r="CP47" i="40" s="1"/>
  <c r="DG47" i="40" s="1"/>
  <c r="DH47" i="40" s="1"/>
  <c r="CH223" i="17"/>
  <c r="CN223" i="17" s="1"/>
  <c r="DC223" i="17" s="1"/>
  <c r="DD223" i="17" s="1"/>
  <c r="BE223" i="17"/>
  <c r="BM223" i="17" s="1"/>
  <c r="CH41" i="17"/>
  <c r="CN41" i="17" s="1"/>
  <c r="DC41" i="17" s="1"/>
  <c r="DD41" i="17" s="1"/>
  <c r="CF41" i="17"/>
  <c r="CL41" i="17" s="1"/>
  <c r="CY41" i="17" s="1"/>
  <c r="CZ41" i="17" s="1"/>
  <c r="CI105" i="17"/>
  <c r="CO105" i="17" s="1"/>
  <c r="DE105" i="17" s="1"/>
  <c r="DF105" i="17" s="1"/>
  <c r="CG105" i="17"/>
  <c r="CM105" i="17" s="1"/>
  <c r="DA105" i="17" s="1"/>
  <c r="DB105" i="17" s="1"/>
  <c r="CG225" i="40"/>
  <c r="CM225" i="40" s="1"/>
  <c r="DA225" i="40" s="1"/>
  <c r="DB225" i="40" s="1"/>
  <c r="CJ220" i="40"/>
  <c r="CP220" i="40" s="1"/>
  <c r="DG220" i="40" s="1"/>
  <c r="DH220" i="40" s="1"/>
  <c r="CI275" i="40"/>
  <c r="CO275" i="40" s="1"/>
  <c r="DE275" i="40" s="1"/>
  <c r="DF275" i="40" s="1"/>
  <c r="CH167" i="40"/>
  <c r="CN167" i="40" s="1"/>
  <c r="DC167" i="40" s="1"/>
  <c r="DD167" i="40" s="1"/>
  <c r="CG131" i="40"/>
  <c r="CM131" i="40" s="1"/>
  <c r="DA131" i="40" s="1"/>
  <c r="DB131" i="40" s="1"/>
  <c r="CE229" i="40"/>
  <c r="CK229" i="40" s="1"/>
  <c r="CW229" i="40" s="1"/>
  <c r="CX229" i="40" s="1"/>
  <c r="CG160" i="40"/>
  <c r="CM160" i="40" s="1"/>
  <c r="DA160" i="40" s="1"/>
  <c r="DB160" i="40" s="1"/>
  <c r="CJ67" i="40"/>
  <c r="CP67" i="40" s="1"/>
  <c r="DG67" i="40" s="1"/>
  <c r="DH67" i="40" s="1"/>
  <c r="CH59" i="40"/>
  <c r="CN59" i="40" s="1"/>
  <c r="DC59" i="40" s="1"/>
  <c r="DD59" i="40" s="1"/>
  <c r="CJ151" i="40"/>
  <c r="CP151" i="40" s="1"/>
  <c r="DG151" i="40" s="1"/>
  <c r="DH151" i="40" s="1"/>
  <c r="CE124" i="40"/>
  <c r="CK124" i="40" s="1"/>
  <c r="CW124" i="40" s="1"/>
  <c r="CX124" i="40" s="1"/>
  <c r="CI249" i="40"/>
  <c r="CO249" i="40" s="1"/>
  <c r="DE249" i="40" s="1"/>
  <c r="DF249" i="40" s="1"/>
  <c r="CJ249" i="40"/>
  <c r="CP249" i="40" s="1"/>
  <c r="DG249" i="40" s="1"/>
  <c r="DH249" i="40" s="1"/>
  <c r="CE219" i="40"/>
  <c r="CK219" i="40" s="1"/>
  <c r="CW219" i="40" s="1"/>
  <c r="CX219" i="40" s="1"/>
  <c r="CG91" i="40"/>
  <c r="CM91" i="40" s="1"/>
  <c r="DA91" i="40" s="1"/>
  <c r="DB91" i="40" s="1"/>
  <c r="CI123" i="40"/>
  <c r="CO123" i="40" s="1"/>
  <c r="DE123" i="40" s="1"/>
  <c r="DF123" i="40" s="1"/>
  <c r="CE162" i="40"/>
  <c r="CK162" i="40" s="1"/>
  <c r="CW162" i="40" s="1"/>
  <c r="CX162" i="40" s="1"/>
  <c r="CE167" i="40"/>
  <c r="CK167" i="40" s="1"/>
  <c r="CW167" i="40" s="1"/>
  <c r="CX167" i="40" s="1"/>
  <c r="CE69" i="40"/>
  <c r="CK69" i="40" s="1"/>
  <c r="CW69" i="40" s="1"/>
  <c r="CX69" i="40" s="1"/>
  <c r="CI262" i="40"/>
  <c r="CO262" i="40" s="1"/>
  <c r="DE262" i="40" s="1"/>
  <c r="DF262" i="40" s="1"/>
  <c r="CF285" i="40"/>
  <c r="CL285" i="40" s="1"/>
  <c r="CY285" i="40" s="1"/>
  <c r="CZ285" i="40" s="1"/>
  <c r="CI267" i="40"/>
  <c r="CO267" i="40" s="1"/>
  <c r="DE267" i="40" s="1"/>
  <c r="DF267" i="40" s="1"/>
  <c r="CH218" i="40"/>
  <c r="CN218" i="40" s="1"/>
  <c r="DC218" i="40" s="1"/>
  <c r="DD218" i="40" s="1"/>
  <c r="CF70" i="40"/>
  <c r="CL70" i="40" s="1"/>
  <c r="CY70" i="40" s="1"/>
  <c r="CZ70" i="40" s="1"/>
  <c r="CH303" i="40"/>
  <c r="CN303" i="40" s="1"/>
  <c r="DC303" i="40" s="1"/>
  <c r="DD303" i="40" s="1"/>
  <c r="CG289" i="40"/>
  <c r="CM289" i="40" s="1"/>
  <c r="DA289" i="40" s="1"/>
  <c r="DB289" i="40" s="1"/>
  <c r="CF274" i="40"/>
  <c r="CL274" i="40" s="1"/>
  <c r="CY274" i="40" s="1"/>
  <c r="CZ274" i="40" s="1"/>
  <c r="CG234" i="40"/>
  <c r="CM234" i="40" s="1"/>
  <c r="DA234" i="40" s="1"/>
  <c r="DB234" i="40" s="1"/>
  <c r="CG298" i="40"/>
  <c r="CM298" i="40" s="1"/>
  <c r="DA298" i="40" s="1"/>
  <c r="DB298" i="40" s="1"/>
  <c r="CH220" i="40"/>
  <c r="CN220" i="40" s="1"/>
  <c r="DC220" i="40" s="1"/>
  <c r="DD220" i="40" s="1"/>
  <c r="CJ95" i="40"/>
  <c r="CP95" i="40" s="1"/>
  <c r="DG95" i="40" s="1"/>
  <c r="DH95" i="40" s="1"/>
  <c r="CF72" i="40"/>
  <c r="CL72" i="40" s="1"/>
  <c r="CY72" i="40" s="1"/>
  <c r="CZ72" i="40" s="1"/>
  <c r="CH275" i="40"/>
  <c r="CN275" i="40" s="1"/>
  <c r="DC275" i="40" s="1"/>
  <c r="DD275" i="40" s="1"/>
  <c r="CE260" i="40"/>
  <c r="CK260" i="40" s="1"/>
  <c r="CW260" i="40" s="1"/>
  <c r="CX260" i="40" s="1"/>
  <c r="CG42" i="40"/>
  <c r="CM42" i="40" s="1"/>
  <c r="DA42" i="40" s="1"/>
  <c r="DB42" i="40" s="1"/>
  <c r="CF192" i="40"/>
  <c r="CL192" i="40" s="1"/>
  <c r="CY192" i="40" s="1"/>
  <c r="CZ192" i="40" s="1"/>
  <c r="CG24" i="40"/>
  <c r="CM24" i="40" s="1"/>
  <c r="DA24" i="40" s="1"/>
  <c r="DB24" i="40" s="1"/>
  <c r="CI24" i="40"/>
  <c r="CO24" i="40" s="1"/>
  <c r="DE24" i="40" s="1"/>
  <c r="DF24" i="40" s="1"/>
  <c r="CG33" i="40"/>
  <c r="CM33" i="40" s="1"/>
  <c r="DA33" i="40" s="1"/>
  <c r="DB33" i="40" s="1"/>
  <c r="CI33" i="40"/>
  <c r="CO33" i="40" s="1"/>
  <c r="DE33" i="40" s="1"/>
  <c r="DF33" i="40" s="1"/>
  <c r="CH134" i="40"/>
  <c r="CN134" i="40" s="1"/>
  <c r="DC134" i="40" s="1"/>
  <c r="DD134" i="40" s="1"/>
  <c r="CI229" i="40"/>
  <c r="CO229" i="40" s="1"/>
  <c r="DE229" i="40" s="1"/>
  <c r="DF229" i="40" s="1"/>
  <c r="CF308" i="40"/>
  <c r="CL308" i="40" s="1"/>
  <c r="CY308" i="40" s="1"/>
  <c r="CZ308" i="40" s="1"/>
  <c r="CI151" i="40"/>
  <c r="CO151" i="40" s="1"/>
  <c r="DE151" i="40" s="1"/>
  <c r="DF151" i="40" s="1"/>
  <c r="CI124" i="40"/>
  <c r="CO124" i="40" s="1"/>
  <c r="DE124" i="40" s="1"/>
  <c r="DF124" i="40" s="1"/>
  <c r="CH107" i="40"/>
  <c r="CN107" i="40" s="1"/>
  <c r="DC107" i="40" s="1"/>
  <c r="DD107" i="40" s="1"/>
  <c r="CJ60" i="40"/>
  <c r="CP60" i="40" s="1"/>
  <c r="DG60" i="40" s="1"/>
  <c r="DH60" i="40" s="1"/>
  <c r="CE32" i="40"/>
  <c r="CK32" i="40" s="1"/>
  <c r="CW32" i="40" s="1"/>
  <c r="CX32" i="40" s="1"/>
  <c r="CG206" i="40"/>
  <c r="CM206" i="40" s="1"/>
  <c r="DA206" i="40" s="1"/>
  <c r="DB206" i="40" s="1"/>
  <c r="CF92" i="40"/>
  <c r="CL92" i="40" s="1"/>
  <c r="CY92" i="40" s="1"/>
  <c r="CZ92" i="40" s="1"/>
  <c r="CE52" i="40"/>
  <c r="CK52" i="40" s="1"/>
  <c r="CW52" i="40" s="1"/>
  <c r="CX52" i="40" s="1"/>
  <c r="CF261" i="40"/>
  <c r="CL261" i="40" s="1"/>
  <c r="CY261" i="40" s="1"/>
  <c r="CZ261" i="40" s="1"/>
  <c r="CG164" i="40"/>
  <c r="CM164" i="40" s="1"/>
  <c r="DA164" i="40" s="1"/>
  <c r="DB164" i="40" s="1"/>
  <c r="CH164" i="40"/>
  <c r="CN164" i="40" s="1"/>
  <c r="DC164" i="40" s="1"/>
  <c r="DD164" i="40" s="1"/>
  <c r="CF212" i="40"/>
  <c r="CL212" i="40" s="1"/>
  <c r="CY212" i="40" s="1"/>
  <c r="CZ212" i="40" s="1"/>
  <c r="CH262" i="40"/>
  <c r="CN262" i="40" s="1"/>
  <c r="DC262" i="40" s="1"/>
  <c r="DD262" i="40" s="1"/>
  <c r="CE160" i="40"/>
  <c r="CK160" i="40" s="1"/>
  <c r="CW160" i="40" s="1"/>
  <c r="CX160" i="40" s="1"/>
  <c r="CH165" i="40"/>
  <c r="CN165" i="40" s="1"/>
  <c r="DC165" i="40" s="1"/>
  <c r="DD165" i="40" s="1"/>
  <c r="CF189" i="40"/>
  <c r="CL189" i="40" s="1"/>
  <c r="CY189" i="40" s="1"/>
  <c r="CZ189" i="40" s="1"/>
  <c r="CF276" i="40"/>
  <c r="CL276" i="40" s="1"/>
  <c r="CY276" i="40" s="1"/>
  <c r="CZ276" i="40" s="1"/>
  <c r="CH238" i="40"/>
  <c r="CN238" i="40" s="1"/>
  <c r="DC238" i="40" s="1"/>
  <c r="DD238" i="40" s="1"/>
  <c r="CG208" i="40"/>
  <c r="CM208" i="40" s="1"/>
  <c r="DA208" i="40" s="1"/>
  <c r="DB208" i="40" s="1"/>
  <c r="CF23" i="40"/>
  <c r="CL23" i="40" s="1"/>
  <c r="CY23" i="40" s="1"/>
  <c r="CZ23" i="40" s="1"/>
  <c r="CH201" i="40"/>
  <c r="CN201" i="40" s="1"/>
  <c r="DC201" i="40" s="1"/>
  <c r="DD201" i="40" s="1"/>
  <c r="CI214" i="40"/>
  <c r="CO214" i="40" s="1"/>
  <c r="DE214" i="40" s="1"/>
  <c r="DF214" i="40" s="1"/>
  <c r="CF303" i="40"/>
  <c r="CL303" i="40" s="1"/>
  <c r="CY303" i="40" s="1"/>
  <c r="CZ303" i="40" s="1"/>
  <c r="CJ315" i="40"/>
  <c r="CP315" i="40" s="1"/>
  <c r="DG315" i="40" s="1"/>
  <c r="DH315" i="40" s="1"/>
  <c r="CF117" i="40"/>
  <c r="CL117" i="40" s="1"/>
  <c r="CY117" i="40" s="1"/>
  <c r="CZ117" i="40" s="1"/>
  <c r="CI147" i="40"/>
  <c r="CO147" i="40" s="1"/>
  <c r="DE147" i="40" s="1"/>
  <c r="DF147" i="40" s="1"/>
  <c r="CE72" i="40"/>
  <c r="CK72" i="40" s="1"/>
  <c r="CW72" i="40" s="1"/>
  <c r="CX72" i="40" s="1"/>
  <c r="CE268" i="40"/>
  <c r="CK268" i="40" s="1"/>
  <c r="CW268" i="40" s="1"/>
  <c r="CX268" i="40" s="1"/>
  <c r="CG257" i="40"/>
  <c r="CM257" i="40" s="1"/>
  <c r="DA257" i="40" s="1"/>
  <c r="DB257" i="40" s="1"/>
  <c r="CF116" i="40"/>
  <c r="CL116" i="40" s="1"/>
  <c r="CY116" i="40" s="1"/>
  <c r="CZ116" i="40" s="1"/>
  <c r="CF71" i="40"/>
  <c r="CL71" i="40" s="1"/>
  <c r="CY71" i="40" s="1"/>
  <c r="CZ71" i="40" s="1"/>
  <c r="CH29" i="40"/>
  <c r="CN29" i="40" s="1"/>
  <c r="DC29" i="40" s="1"/>
  <c r="DD29" i="40" s="1"/>
  <c r="CI310" i="40"/>
  <c r="CO310" i="40" s="1"/>
  <c r="DE310" i="40" s="1"/>
  <c r="DF310" i="40" s="1"/>
  <c r="CJ248" i="40"/>
  <c r="CP248" i="40" s="1"/>
  <c r="DG248" i="40" s="1"/>
  <c r="DH248" i="40" s="1"/>
  <c r="CI179" i="40"/>
  <c r="CO179" i="40" s="1"/>
  <c r="DE179" i="40" s="1"/>
  <c r="DF179" i="40" s="1"/>
  <c r="CF106" i="40"/>
  <c r="CL106" i="40" s="1"/>
  <c r="CY106" i="40" s="1"/>
  <c r="CZ106" i="40" s="1"/>
  <c r="CF134" i="40"/>
  <c r="CL134" i="40" s="1"/>
  <c r="CY134" i="40" s="1"/>
  <c r="CZ134" i="40" s="1"/>
  <c r="CJ252" i="40"/>
  <c r="CP252" i="40" s="1"/>
  <c r="DG252" i="40" s="1"/>
  <c r="DH252" i="40" s="1"/>
  <c r="CH180" i="40"/>
  <c r="CN180" i="40" s="1"/>
  <c r="DC180" i="40" s="1"/>
  <c r="DD180" i="40" s="1"/>
  <c r="CF129" i="40"/>
  <c r="CL129" i="40" s="1"/>
  <c r="CY129" i="40" s="1"/>
  <c r="CZ129" i="40" s="1"/>
  <c r="CH111" i="40"/>
  <c r="CN111" i="40" s="1"/>
  <c r="DC111" i="40" s="1"/>
  <c r="DD111" i="40" s="1"/>
  <c r="CI53" i="40"/>
  <c r="CO53" i="40" s="1"/>
  <c r="DE53" i="40" s="1"/>
  <c r="DF53" i="40" s="1"/>
  <c r="CJ242" i="40"/>
  <c r="CP242" i="40" s="1"/>
  <c r="DG242" i="40" s="1"/>
  <c r="DH242" i="40" s="1"/>
  <c r="CH110" i="40"/>
  <c r="CN110" i="40" s="1"/>
  <c r="DC110" i="40" s="1"/>
  <c r="DD110" i="40" s="1"/>
  <c r="CJ144" i="40"/>
  <c r="CP144" i="40" s="1"/>
  <c r="DG144" i="40" s="1"/>
  <c r="DH144" i="40" s="1"/>
  <c r="CJ37" i="40"/>
  <c r="CP37" i="40" s="1"/>
  <c r="DG37" i="40" s="1"/>
  <c r="DH37" i="40" s="1"/>
  <c r="CG46" i="40"/>
  <c r="CM46" i="40" s="1"/>
  <c r="DA46" i="40" s="1"/>
  <c r="DB46" i="40" s="1"/>
  <c r="CE316" i="40"/>
  <c r="CK316" i="40" s="1"/>
  <c r="CW316" i="40" s="1"/>
  <c r="CX316" i="40" s="1"/>
  <c r="CG125" i="40"/>
  <c r="CM125" i="40" s="1"/>
  <c r="DA125" i="40" s="1"/>
  <c r="DB125" i="40" s="1"/>
  <c r="CI45" i="40"/>
  <c r="CO45" i="40" s="1"/>
  <c r="DE45" i="40" s="1"/>
  <c r="DF45" i="40" s="1"/>
  <c r="CJ281" i="40"/>
  <c r="CP281" i="40" s="1"/>
  <c r="DG281" i="40" s="1"/>
  <c r="DH281" i="40" s="1"/>
  <c r="CF121" i="40"/>
  <c r="CL121" i="40" s="1"/>
  <c r="CY121" i="40" s="1"/>
  <c r="CZ121" i="40" s="1"/>
  <c r="CE108" i="40"/>
  <c r="CK108" i="40" s="1"/>
  <c r="CW108" i="40" s="1"/>
  <c r="CX108" i="40" s="1"/>
  <c r="CF108" i="40"/>
  <c r="CL108" i="40" s="1"/>
  <c r="CY108" i="40" s="1"/>
  <c r="CZ108" i="40" s="1"/>
  <c r="CG49" i="40"/>
  <c r="CM49" i="40" s="1"/>
  <c r="DA49" i="40" s="1"/>
  <c r="DB49" i="40" s="1"/>
  <c r="CI226" i="40"/>
  <c r="CO226" i="40" s="1"/>
  <c r="DE226" i="40" s="1"/>
  <c r="DF226" i="40" s="1"/>
  <c r="CE275" i="40"/>
  <c r="CK275" i="40" s="1"/>
  <c r="CW275" i="40" s="1"/>
  <c r="CX275" i="40" s="1"/>
  <c r="CJ260" i="40"/>
  <c r="CP260" i="40" s="1"/>
  <c r="DG260" i="40" s="1"/>
  <c r="DH260" i="40" s="1"/>
  <c r="CG284" i="40"/>
  <c r="CM284" i="40" s="1"/>
  <c r="DA284" i="40" s="1"/>
  <c r="DB284" i="40" s="1"/>
  <c r="CI248" i="40"/>
  <c r="CO248" i="40" s="1"/>
  <c r="DE248" i="40" s="1"/>
  <c r="DF248" i="40" s="1"/>
  <c r="CE106" i="40"/>
  <c r="CK106" i="40" s="1"/>
  <c r="CW106" i="40" s="1"/>
  <c r="CX106" i="40" s="1"/>
  <c r="CH96" i="40"/>
  <c r="CN96" i="40" s="1"/>
  <c r="DC96" i="40" s="1"/>
  <c r="DD96" i="40" s="1"/>
  <c r="CG189" i="40"/>
  <c r="CM189" i="40" s="1"/>
  <c r="DA189" i="40" s="1"/>
  <c r="DB189" i="40" s="1"/>
  <c r="CE208" i="40"/>
  <c r="CK208" i="40" s="1"/>
  <c r="CW208" i="40" s="1"/>
  <c r="CX208" i="40" s="1"/>
  <c r="CI209" i="40"/>
  <c r="CO209" i="40" s="1"/>
  <c r="DE209" i="40" s="1"/>
  <c r="DF209" i="40" s="1"/>
  <c r="CH14" i="40"/>
  <c r="CN14" i="40" s="1"/>
  <c r="DC14" i="40" s="1"/>
  <c r="DD14" i="40" s="1"/>
  <c r="CI302" i="40"/>
  <c r="CO302" i="40" s="1"/>
  <c r="DE302" i="40" s="1"/>
  <c r="DF302" i="40" s="1"/>
  <c r="CI242" i="40"/>
  <c r="CO242" i="40" s="1"/>
  <c r="DE242" i="40" s="1"/>
  <c r="DF242" i="40" s="1"/>
  <c r="CH156" i="40"/>
  <c r="CN156" i="40" s="1"/>
  <c r="DC156" i="40" s="1"/>
  <c r="DD156" i="40" s="1"/>
  <c r="CJ214" i="40"/>
  <c r="CP214" i="40" s="1"/>
  <c r="DG214" i="40" s="1"/>
  <c r="DH214" i="40" s="1"/>
  <c r="CG61" i="40"/>
  <c r="CM61" i="40" s="1"/>
  <c r="DA61" i="40" s="1"/>
  <c r="DB61" i="40" s="1"/>
  <c r="CI168" i="40"/>
  <c r="CO168" i="40" s="1"/>
  <c r="DE168" i="40" s="1"/>
  <c r="DF168" i="40" s="1"/>
  <c r="CI51" i="40"/>
  <c r="CO51" i="40" s="1"/>
  <c r="DE51" i="40" s="1"/>
  <c r="DF51" i="40" s="1"/>
  <c r="CG200" i="40"/>
  <c r="CM200" i="40" s="1"/>
  <c r="DA200" i="40" s="1"/>
  <c r="DB200" i="40" s="1"/>
  <c r="CJ103" i="40"/>
  <c r="CP103" i="40" s="1"/>
  <c r="DG103" i="40" s="1"/>
  <c r="DH103" i="40" s="1"/>
  <c r="CH271" i="40"/>
  <c r="CN271" i="40" s="1"/>
  <c r="DC271" i="40" s="1"/>
  <c r="DD271" i="40" s="1"/>
  <c r="CI211" i="40"/>
  <c r="CO211" i="40" s="1"/>
  <c r="DE211" i="40" s="1"/>
  <c r="DF211" i="40" s="1"/>
  <c r="CJ143" i="40"/>
  <c r="CP143" i="40" s="1"/>
  <c r="DG143" i="40" s="1"/>
  <c r="DH143" i="40" s="1"/>
  <c r="CJ119" i="40"/>
  <c r="CP119" i="40" s="1"/>
  <c r="DG119" i="40" s="1"/>
  <c r="DH119" i="40" s="1"/>
  <c r="CE251" i="40"/>
  <c r="CK251" i="40" s="1"/>
  <c r="CW251" i="40" s="1"/>
  <c r="CX251" i="40" s="1"/>
  <c r="CE128" i="40"/>
  <c r="CK128" i="40" s="1"/>
  <c r="CW128" i="40" s="1"/>
  <c r="CX128" i="40" s="1"/>
  <c r="CG126" i="40"/>
  <c r="CM126" i="40" s="1"/>
  <c r="DA126" i="40" s="1"/>
  <c r="DB126" i="40" s="1"/>
  <c r="CH252" i="40"/>
  <c r="CN252" i="40" s="1"/>
  <c r="DC252" i="40" s="1"/>
  <c r="DD252" i="40" s="1"/>
  <c r="CJ94" i="40"/>
  <c r="CP94" i="40" s="1"/>
  <c r="DG94" i="40" s="1"/>
  <c r="DH94" i="40" s="1"/>
  <c r="CE114" i="40"/>
  <c r="CK114" i="40" s="1"/>
  <c r="CW114" i="40" s="1"/>
  <c r="CX114" i="40" s="1"/>
  <c r="CI10" i="40"/>
  <c r="CO10" i="40" s="1"/>
  <c r="DE10" i="40" s="1"/>
  <c r="DF10" i="40" s="1"/>
  <c r="CF135" i="40"/>
  <c r="CL135" i="40" s="1"/>
  <c r="CY135" i="40" s="1"/>
  <c r="CZ135" i="40" s="1"/>
  <c r="CE78" i="40"/>
  <c r="CK78" i="40" s="1"/>
  <c r="CW78" i="40" s="1"/>
  <c r="CX78" i="40" s="1"/>
  <c r="CJ23" i="40"/>
  <c r="CP23" i="40" s="1"/>
  <c r="DG23" i="40" s="1"/>
  <c r="DH23" i="40" s="1"/>
  <c r="CI55" i="17"/>
  <c r="CO55" i="17" s="1"/>
  <c r="DE55" i="17" s="1"/>
  <c r="DF55" i="17" s="1"/>
  <c r="CJ102" i="17"/>
  <c r="CP102" i="17" s="1"/>
  <c r="DG102" i="17" s="1"/>
  <c r="DH102" i="17" s="1"/>
  <c r="CH61" i="40"/>
  <c r="CN61" i="40" s="1"/>
  <c r="DC61" i="40" s="1"/>
  <c r="DD61" i="40" s="1"/>
  <c r="CI303" i="40"/>
  <c r="CO303" i="40" s="1"/>
  <c r="DE303" i="40" s="1"/>
  <c r="DF303" i="40" s="1"/>
  <c r="CF315" i="40"/>
  <c r="CL315" i="40" s="1"/>
  <c r="CY315" i="40" s="1"/>
  <c r="CZ315" i="40" s="1"/>
  <c r="CH315" i="40"/>
  <c r="CN315" i="40" s="1"/>
  <c r="DC315" i="40" s="1"/>
  <c r="DD315" i="40" s="1"/>
  <c r="CG274" i="40"/>
  <c r="CM274" i="40" s="1"/>
  <c r="DA274" i="40" s="1"/>
  <c r="DB274" i="40" s="1"/>
  <c r="CF270" i="40"/>
  <c r="CL270" i="40" s="1"/>
  <c r="CY270" i="40" s="1"/>
  <c r="CZ270" i="40" s="1"/>
  <c r="CH133" i="40"/>
  <c r="CN133" i="40" s="1"/>
  <c r="DC133" i="40" s="1"/>
  <c r="DD133" i="40" s="1"/>
  <c r="CE165" i="40"/>
  <c r="CK165" i="40" s="1"/>
  <c r="CW165" i="40" s="1"/>
  <c r="CX165" i="40" s="1"/>
  <c r="CE187" i="40"/>
  <c r="CK187" i="40" s="1"/>
  <c r="CW187" i="40" s="1"/>
  <c r="CX187" i="40" s="1"/>
  <c r="CF82" i="40"/>
  <c r="CL82" i="40" s="1"/>
  <c r="CY82" i="40" s="1"/>
  <c r="CZ82" i="40" s="1"/>
  <c r="CF234" i="40"/>
  <c r="CL234" i="40" s="1"/>
  <c r="CY234" i="40" s="1"/>
  <c r="CZ234" i="40" s="1"/>
  <c r="CH199" i="40"/>
  <c r="CN199" i="40" s="1"/>
  <c r="DC199" i="40" s="1"/>
  <c r="DD199" i="40" s="1"/>
  <c r="CG247" i="40"/>
  <c r="CM247" i="40" s="1"/>
  <c r="DA247" i="40" s="1"/>
  <c r="DB247" i="40" s="1"/>
  <c r="CI257" i="40"/>
  <c r="CO257" i="40" s="1"/>
  <c r="DE257" i="40" s="1"/>
  <c r="DF257" i="40" s="1"/>
  <c r="CI116" i="40"/>
  <c r="CO116" i="40" s="1"/>
  <c r="DE116" i="40" s="1"/>
  <c r="DF116" i="40" s="1"/>
  <c r="CE126" i="40"/>
  <c r="CK126" i="40" s="1"/>
  <c r="CW126" i="40" s="1"/>
  <c r="CX126" i="40" s="1"/>
  <c r="CE94" i="40"/>
  <c r="CK94" i="40" s="1"/>
  <c r="CW94" i="40" s="1"/>
  <c r="CX94" i="40" s="1"/>
  <c r="CH114" i="40"/>
  <c r="CN114" i="40" s="1"/>
  <c r="DC114" i="40" s="1"/>
  <c r="DD114" i="40" s="1"/>
  <c r="CI135" i="40"/>
  <c r="CO135" i="40" s="1"/>
  <c r="DE135" i="40" s="1"/>
  <c r="DF135" i="40" s="1"/>
  <c r="CI78" i="40"/>
  <c r="CO78" i="40" s="1"/>
  <c r="DE78" i="40" s="1"/>
  <c r="DF78" i="40" s="1"/>
  <c r="CI283" i="40"/>
  <c r="CO283" i="40" s="1"/>
  <c r="DE283" i="40" s="1"/>
  <c r="DF283" i="40" s="1"/>
  <c r="CG169" i="40"/>
  <c r="CM169" i="40" s="1"/>
  <c r="DA169" i="40" s="1"/>
  <c r="DB169" i="40" s="1"/>
  <c r="CE151" i="40"/>
  <c r="CK151" i="40" s="1"/>
  <c r="CW151" i="40" s="1"/>
  <c r="CX151" i="40" s="1"/>
  <c r="CJ57" i="40"/>
  <c r="CP57" i="40" s="1"/>
  <c r="DG57" i="40" s="1"/>
  <c r="DH57" i="40" s="1"/>
  <c r="CF249" i="40"/>
  <c r="CL249" i="40" s="1"/>
  <c r="CY249" i="40" s="1"/>
  <c r="CZ249" i="40" s="1"/>
  <c r="CF76" i="40"/>
  <c r="CL76" i="40" s="1"/>
  <c r="CY76" i="40" s="1"/>
  <c r="CZ76" i="40" s="1"/>
  <c r="CH241" i="40"/>
  <c r="CN241" i="40" s="1"/>
  <c r="DC241" i="40" s="1"/>
  <c r="DD241" i="40" s="1"/>
  <c r="CF185" i="40"/>
  <c r="CL185" i="40" s="1"/>
  <c r="CY185" i="40" s="1"/>
  <c r="CZ185" i="40" s="1"/>
  <c r="CI49" i="40"/>
  <c r="CO49" i="40" s="1"/>
  <c r="DE49" i="40" s="1"/>
  <c r="DF49" i="40" s="1"/>
  <c r="CH34" i="40"/>
  <c r="CN34" i="40" s="1"/>
  <c r="DC34" i="40" s="1"/>
  <c r="DD34" i="40" s="1"/>
  <c r="CI239" i="40"/>
  <c r="CO239" i="40" s="1"/>
  <c r="DE239" i="40" s="1"/>
  <c r="DF239" i="40" s="1"/>
  <c r="CE81" i="40"/>
  <c r="CK81" i="40" s="1"/>
  <c r="CW81" i="40" s="1"/>
  <c r="CX81" i="40" s="1"/>
  <c r="CI84" i="40"/>
  <c r="CO84" i="40" s="1"/>
  <c r="DE84" i="40" s="1"/>
  <c r="DF84" i="40" s="1"/>
  <c r="CG88" i="40"/>
  <c r="CM88" i="40" s="1"/>
  <c r="DA88" i="40" s="1"/>
  <c r="DB88" i="40" s="1"/>
  <c r="CI238" i="40"/>
  <c r="CO238" i="40" s="1"/>
  <c r="DE238" i="40" s="1"/>
  <c r="DF238" i="40" s="1"/>
  <c r="CI67" i="40"/>
  <c r="CO67" i="40" s="1"/>
  <c r="DE67" i="40" s="1"/>
  <c r="DF67" i="40" s="1"/>
  <c r="CH288" i="40"/>
  <c r="CN288" i="40" s="1"/>
  <c r="DC288" i="40" s="1"/>
  <c r="DD288" i="40" s="1"/>
  <c r="CF41" i="40"/>
  <c r="CL41" i="40" s="1"/>
  <c r="CY41" i="40" s="1"/>
  <c r="CZ41" i="40" s="1"/>
  <c r="CH255" i="40"/>
  <c r="CN255" i="40" s="1"/>
  <c r="DC255" i="40" s="1"/>
  <c r="DD255" i="40" s="1"/>
  <c r="CH183" i="40"/>
  <c r="CN183" i="40" s="1"/>
  <c r="DC183" i="40" s="1"/>
  <c r="DD183" i="40" s="1"/>
  <c r="CG102" i="40"/>
  <c r="CM102" i="40" s="1"/>
  <c r="DA102" i="40" s="1"/>
  <c r="DB102" i="40" s="1"/>
  <c r="CG68" i="40"/>
  <c r="CM68" i="40" s="1"/>
  <c r="DA68" i="40" s="1"/>
  <c r="DB68" i="40" s="1"/>
  <c r="CH68" i="40"/>
  <c r="CN68" i="40" s="1"/>
  <c r="DC68" i="40" s="1"/>
  <c r="DD68" i="40" s="1"/>
  <c r="CE136" i="40"/>
  <c r="CK136" i="40" s="1"/>
  <c r="CW136" i="40" s="1"/>
  <c r="CX136" i="40" s="1"/>
  <c r="CI250" i="40"/>
  <c r="CO250" i="40" s="1"/>
  <c r="DE250" i="40" s="1"/>
  <c r="DF250" i="40" s="1"/>
  <c r="CE190" i="40"/>
  <c r="CK190" i="40" s="1"/>
  <c r="CW190" i="40" s="1"/>
  <c r="CX190" i="40" s="1"/>
  <c r="CF91" i="40"/>
  <c r="CL91" i="40" s="1"/>
  <c r="CY91" i="40" s="1"/>
  <c r="CZ91" i="40" s="1"/>
  <c r="CI138" i="40"/>
  <c r="CO138" i="40" s="1"/>
  <c r="DE138" i="40" s="1"/>
  <c r="DF138" i="40" s="1"/>
  <c r="CJ138" i="40"/>
  <c r="CP138" i="40" s="1"/>
  <c r="DG138" i="40" s="1"/>
  <c r="DH138" i="40" s="1"/>
  <c r="CG103" i="40"/>
  <c r="CM103" i="40" s="1"/>
  <c r="DA103" i="40" s="1"/>
  <c r="DB103" i="40" s="1"/>
  <c r="CJ271" i="40"/>
  <c r="CP271" i="40" s="1"/>
  <c r="DG271" i="40" s="1"/>
  <c r="DH271" i="40" s="1"/>
  <c r="CG143" i="40"/>
  <c r="CM143" i="40" s="1"/>
  <c r="DA143" i="40" s="1"/>
  <c r="DB143" i="40" s="1"/>
  <c r="CH71" i="40"/>
  <c r="CN71" i="40" s="1"/>
  <c r="DC71" i="40" s="1"/>
  <c r="DD71" i="40" s="1"/>
  <c r="CE29" i="40"/>
  <c r="CK29" i="40" s="1"/>
  <c r="CW29" i="40" s="1"/>
  <c r="CX29" i="40" s="1"/>
  <c r="CE273" i="40"/>
  <c r="CK273" i="40" s="1"/>
  <c r="CW273" i="40" s="1"/>
  <c r="CX273" i="40" s="1"/>
  <c r="CJ246" i="40"/>
  <c r="CP246" i="40" s="1"/>
  <c r="DG246" i="40" s="1"/>
  <c r="DH246" i="40" s="1"/>
  <c r="CH157" i="40"/>
  <c r="CN157" i="40" s="1"/>
  <c r="DC157" i="40" s="1"/>
  <c r="DD157" i="40" s="1"/>
  <c r="CG97" i="40"/>
  <c r="CM97" i="40" s="1"/>
  <c r="DA97" i="40" s="1"/>
  <c r="DB97" i="40" s="1"/>
  <c r="CJ85" i="40"/>
  <c r="CP85" i="40" s="1"/>
  <c r="DG85" i="40" s="1"/>
  <c r="DH85" i="40" s="1"/>
  <c r="CF130" i="40"/>
  <c r="CL130" i="40" s="1"/>
  <c r="CY130" i="40" s="1"/>
  <c r="CZ130" i="40" s="1"/>
  <c r="CH256" i="40"/>
  <c r="CN256" i="40" s="1"/>
  <c r="DC256" i="40" s="1"/>
  <c r="DD256" i="40" s="1"/>
  <c r="CH175" i="40"/>
  <c r="CN175" i="40" s="1"/>
  <c r="DC175" i="40" s="1"/>
  <c r="DD175" i="40" s="1"/>
  <c r="CH178" i="40"/>
  <c r="CN178" i="40" s="1"/>
  <c r="DC178" i="40" s="1"/>
  <c r="DD178" i="40" s="1"/>
  <c r="CF205" i="40"/>
  <c r="CL205" i="40" s="1"/>
  <c r="CY205" i="40" s="1"/>
  <c r="CZ205" i="40" s="1"/>
  <c r="CI79" i="40"/>
  <c r="CO79" i="40" s="1"/>
  <c r="DE79" i="40" s="1"/>
  <c r="DF79" i="40" s="1"/>
  <c r="CE14" i="40"/>
  <c r="CK14" i="40" s="1"/>
  <c r="CW14" i="40" s="1"/>
  <c r="CX14" i="40" s="1"/>
  <c r="CE67" i="40"/>
  <c r="CK67" i="40" s="1"/>
  <c r="CW67" i="40" s="1"/>
  <c r="CX67" i="40" s="1"/>
  <c r="CJ187" i="40"/>
  <c r="CP187" i="40" s="1"/>
  <c r="DG187" i="40" s="1"/>
  <c r="DH187" i="40" s="1"/>
  <c r="CJ73" i="40"/>
  <c r="CP73" i="40" s="1"/>
  <c r="DG73" i="40" s="1"/>
  <c r="DH73" i="40" s="1"/>
  <c r="CJ9" i="40"/>
  <c r="CP9" i="40" s="1"/>
  <c r="DG9" i="40" s="1"/>
  <c r="DH9" i="40" s="1"/>
  <c r="CI293" i="40"/>
  <c r="CO293" i="40" s="1"/>
  <c r="DE293" i="40" s="1"/>
  <c r="DF293" i="40" s="1"/>
  <c r="CF16" i="40"/>
  <c r="CL16" i="40" s="1"/>
  <c r="CY16" i="40" s="1"/>
  <c r="CZ16" i="40" s="1"/>
  <c r="CE76" i="40"/>
  <c r="CK76" i="40" s="1"/>
  <c r="CW76" i="40" s="1"/>
  <c r="CX76" i="40" s="1"/>
  <c r="CE240" i="40"/>
  <c r="CK240" i="40" s="1"/>
  <c r="CW240" i="40" s="1"/>
  <c r="CX240" i="40" s="1"/>
  <c r="CG241" i="40"/>
  <c r="CM241" i="40" s="1"/>
  <c r="DA241" i="40" s="1"/>
  <c r="DB241" i="40" s="1"/>
  <c r="CH173" i="40"/>
  <c r="CN173" i="40" s="1"/>
  <c r="DC173" i="40" s="1"/>
  <c r="DD173" i="40" s="1"/>
  <c r="CH95" i="40"/>
  <c r="CN95" i="40" s="1"/>
  <c r="DC95" i="40" s="1"/>
  <c r="DD95" i="40" s="1"/>
  <c r="CJ284" i="40"/>
  <c r="CP284" i="40" s="1"/>
  <c r="DG284" i="40" s="1"/>
  <c r="DH284" i="40" s="1"/>
  <c r="CI280" i="40"/>
  <c r="CO280" i="40" s="1"/>
  <c r="DE280" i="40" s="1"/>
  <c r="DF280" i="40" s="1"/>
  <c r="CE115" i="40"/>
  <c r="CK115" i="40" s="1"/>
  <c r="CW115" i="40" s="1"/>
  <c r="CX115" i="40" s="1"/>
  <c r="CE56" i="40"/>
  <c r="CK56" i="40" s="1"/>
  <c r="CW56" i="40" s="1"/>
  <c r="CX56" i="40" s="1"/>
  <c r="CE28" i="40"/>
  <c r="CK28" i="40" s="1"/>
  <c r="CW28" i="40" s="1"/>
  <c r="CX28" i="40" s="1"/>
  <c r="CE261" i="40"/>
  <c r="CK261" i="40" s="1"/>
  <c r="CW261" i="40" s="1"/>
  <c r="CX261" i="40" s="1"/>
  <c r="CI212" i="40"/>
  <c r="CO212" i="40" s="1"/>
  <c r="DE212" i="40" s="1"/>
  <c r="DF212" i="40" s="1"/>
  <c r="CE130" i="40"/>
  <c r="CK130" i="40" s="1"/>
  <c r="CW130" i="40" s="1"/>
  <c r="CX130" i="40" s="1"/>
  <c r="CJ86" i="40"/>
  <c r="CP86" i="40" s="1"/>
  <c r="DG86" i="40" s="1"/>
  <c r="DH86" i="40" s="1"/>
  <c r="CE8" i="40"/>
  <c r="CK8" i="40" s="1"/>
  <c r="CW8" i="40" s="1"/>
  <c r="CX8" i="40" s="1"/>
  <c r="CF236" i="40"/>
  <c r="CL236" i="40" s="1"/>
  <c r="CY236" i="40" s="1"/>
  <c r="CZ236" i="40" s="1"/>
  <c r="CJ262" i="40"/>
  <c r="CP262" i="40" s="1"/>
  <c r="DG262" i="40" s="1"/>
  <c r="DH262" i="40" s="1"/>
  <c r="CH160" i="40"/>
  <c r="CN160" i="40" s="1"/>
  <c r="DC160" i="40" s="1"/>
  <c r="DD160" i="40" s="1"/>
  <c r="CI88" i="40"/>
  <c r="CO88" i="40" s="1"/>
  <c r="DE88" i="40" s="1"/>
  <c r="DF88" i="40" s="1"/>
  <c r="CH94" i="40"/>
  <c r="CN94" i="40" s="1"/>
  <c r="DC94" i="40" s="1"/>
  <c r="DD94" i="40" s="1"/>
  <c r="CI7" i="40"/>
  <c r="CO7" i="40" s="1"/>
  <c r="DE7" i="40" s="1"/>
  <c r="DF7" i="40" s="1"/>
  <c r="CJ245" i="40"/>
  <c r="CP245" i="40" s="1"/>
  <c r="DG245" i="40" s="1"/>
  <c r="DH245" i="40" s="1"/>
  <c r="CJ156" i="40"/>
  <c r="CP156" i="40" s="1"/>
  <c r="DG156" i="40" s="1"/>
  <c r="DH156" i="40" s="1"/>
  <c r="CH204" i="40"/>
  <c r="CN204" i="40" s="1"/>
  <c r="DC204" i="40" s="1"/>
  <c r="DD204" i="40" s="1"/>
  <c r="CH232" i="40"/>
  <c r="CN232" i="40" s="1"/>
  <c r="DC232" i="40" s="1"/>
  <c r="DD232" i="40" s="1"/>
  <c r="CJ168" i="40"/>
  <c r="CP168" i="40" s="1"/>
  <c r="DG168" i="40" s="1"/>
  <c r="DH168" i="40" s="1"/>
  <c r="CE206" i="40"/>
  <c r="CK206" i="40" s="1"/>
  <c r="CW206" i="40" s="1"/>
  <c r="CX206" i="40" s="1"/>
  <c r="CF186" i="40"/>
  <c r="CL186" i="40" s="1"/>
  <c r="CY186" i="40" s="1"/>
  <c r="CZ186" i="40" s="1"/>
  <c r="CG223" i="40"/>
  <c r="CM223" i="40" s="1"/>
  <c r="DA223" i="40" s="1"/>
  <c r="DB223" i="40" s="1"/>
  <c r="CG273" i="40"/>
  <c r="CM273" i="40" s="1"/>
  <c r="DA273" i="40" s="1"/>
  <c r="DB273" i="40" s="1"/>
  <c r="CG230" i="40"/>
  <c r="CM230" i="40" s="1"/>
  <c r="DA230" i="40" s="1"/>
  <c r="DB230" i="40" s="1"/>
  <c r="CE85" i="40"/>
  <c r="CK85" i="40" s="1"/>
  <c r="CW85" i="40" s="1"/>
  <c r="CX85" i="40" s="1"/>
  <c r="CF85" i="40"/>
  <c r="CL85" i="40" s="1"/>
  <c r="CY85" i="40" s="1"/>
  <c r="CZ85" i="40" s="1"/>
  <c r="CH188" i="40"/>
  <c r="CN188" i="40" s="1"/>
  <c r="DC188" i="40" s="1"/>
  <c r="DD188" i="40" s="1"/>
  <c r="CI28" i="40"/>
  <c r="CO28" i="40" s="1"/>
  <c r="DE28" i="40" s="1"/>
  <c r="DF28" i="40" s="1"/>
  <c r="CI261" i="40"/>
  <c r="CO261" i="40" s="1"/>
  <c r="DE261" i="40" s="1"/>
  <c r="DF261" i="40" s="1"/>
  <c r="CE212" i="40"/>
  <c r="CK212" i="40" s="1"/>
  <c r="CW212" i="40" s="1"/>
  <c r="CX212" i="40" s="1"/>
  <c r="CI8" i="40"/>
  <c r="CO8" i="40" s="1"/>
  <c r="DE8" i="40" s="1"/>
  <c r="DF8" i="40" s="1"/>
  <c r="CI285" i="40"/>
  <c r="CO285" i="40" s="1"/>
  <c r="DE285" i="40" s="1"/>
  <c r="DF285" i="40" s="1"/>
  <c r="CI276" i="40"/>
  <c r="CO276" i="40" s="1"/>
  <c r="DE276" i="40" s="1"/>
  <c r="DF276" i="40" s="1"/>
  <c r="CF238" i="40"/>
  <c r="CL238" i="40" s="1"/>
  <c r="CY238" i="40" s="1"/>
  <c r="CZ238" i="40" s="1"/>
  <c r="CH79" i="40"/>
  <c r="CN79" i="40" s="1"/>
  <c r="DC79" i="40" s="1"/>
  <c r="DD79" i="40" s="1"/>
  <c r="CJ70" i="40"/>
  <c r="CP70" i="40" s="1"/>
  <c r="DG70" i="40" s="1"/>
  <c r="DH70" i="40" s="1"/>
  <c r="CF289" i="40"/>
  <c r="CL289" i="40" s="1"/>
  <c r="CY289" i="40" s="1"/>
  <c r="CZ289" i="40" s="1"/>
  <c r="CI274" i="40"/>
  <c r="CO274" i="40" s="1"/>
  <c r="DE274" i="40" s="1"/>
  <c r="DF274" i="40" s="1"/>
  <c r="CJ274" i="40"/>
  <c r="CP274" i="40" s="1"/>
  <c r="DG274" i="40" s="1"/>
  <c r="DH274" i="40" s="1"/>
  <c r="CG118" i="40"/>
  <c r="CM118" i="40" s="1"/>
  <c r="DA118" i="40" s="1"/>
  <c r="DB118" i="40" s="1"/>
  <c r="CJ310" i="40"/>
  <c r="CP310" i="40" s="1"/>
  <c r="DG310" i="40" s="1"/>
  <c r="DH310" i="40" s="1"/>
  <c r="CJ221" i="40"/>
  <c r="CP221" i="40" s="1"/>
  <c r="DG221" i="40" s="1"/>
  <c r="DH221" i="40" s="1"/>
  <c r="CH56" i="40"/>
  <c r="CN56" i="40" s="1"/>
  <c r="DC56" i="40" s="1"/>
  <c r="DD56" i="40" s="1"/>
  <c r="CH305" i="40"/>
  <c r="CN305" i="40" s="1"/>
  <c r="DC305" i="40" s="1"/>
  <c r="DD305" i="40" s="1"/>
  <c r="CJ264" i="40"/>
  <c r="CP264" i="40" s="1"/>
  <c r="DG264" i="40" s="1"/>
  <c r="DH264" i="40" s="1"/>
  <c r="CH170" i="40"/>
  <c r="CN170" i="40" s="1"/>
  <c r="DC170" i="40" s="1"/>
  <c r="DD170" i="40" s="1"/>
  <c r="CE134" i="40"/>
  <c r="CK134" i="40" s="1"/>
  <c r="CW134" i="40" s="1"/>
  <c r="CX134" i="40" s="1"/>
  <c r="CJ229" i="40"/>
  <c r="CP229" i="40" s="1"/>
  <c r="DG229" i="40" s="1"/>
  <c r="DH229" i="40" s="1"/>
  <c r="CH313" i="40"/>
  <c r="CN313" i="40" s="1"/>
  <c r="DC313" i="40" s="1"/>
  <c r="DD313" i="40" s="1"/>
  <c r="CJ285" i="40"/>
  <c r="CP285" i="40" s="1"/>
  <c r="DG285" i="40" s="1"/>
  <c r="DH285" i="40" s="1"/>
  <c r="CH267" i="40"/>
  <c r="CN267" i="40" s="1"/>
  <c r="DC267" i="40" s="1"/>
  <c r="DD267" i="40" s="1"/>
  <c r="CE13" i="40"/>
  <c r="CK13" i="40" s="1"/>
  <c r="CW13" i="40" s="1"/>
  <c r="CX13" i="40" s="1"/>
  <c r="CH276" i="40"/>
  <c r="CN276" i="40" s="1"/>
  <c r="DC276" i="40" s="1"/>
  <c r="DD276" i="40" s="1"/>
  <c r="CJ208" i="40"/>
  <c r="CP208" i="40" s="1"/>
  <c r="DG208" i="40" s="1"/>
  <c r="DH208" i="40" s="1"/>
  <c r="CJ209" i="40"/>
  <c r="CP209" i="40" s="1"/>
  <c r="DG209" i="40" s="1"/>
  <c r="DH209" i="40" s="1"/>
  <c r="CG59" i="40"/>
  <c r="CM59" i="40" s="1"/>
  <c r="DA59" i="40" s="1"/>
  <c r="DB59" i="40" s="1"/>
  <c r="CG272" i="40"/>
  <c r="CM272" i="40" s="1"/>
  <c r="DA272" i="40" s="1"/>
  <c r="DB272" i="40" s="1"/>
  <c r="CH31" i="40"/>
  <c r="CN31" i="40" s="1"/>
  <c r="DC31" i="40" s="1"/>
  <c r="DD31" i="40" s="1"/>
  <c r="CE195" i="40"/>
  <c r="CK195" i="40" s="1"/>
  <c r="CW195" i="40" s="1"/>
  <c r="CX195" i="40" s="1"/>
  <c r="CF195" i="40"/>
  <c r="CL195" i="40" s="1"/>
  <c r="CY195" i="40" s="1"/>
  <c r="CZ195" i="40" s="1"/>
  <c r="CI199" i="40"/>
  <c r="CO199" i="40" s="1"/>
  <c r="DE199" i="40" s="1"/>
  <c r="DF199" i="40" s="1"/>
  <c r="CI108" i="40"/>
  <c r="CO108" i="40" s="1"/>
  <c r="DE108" i="40" s="1"/>
  <c r="DF108" i="40" s="1"/>
  <c r="CE92" i="40"/>
  <c r="CK92" i="40" s="1"/>
  <c r="CW92" i="40" s="1"/>
  <c r="CX92" i="40" s="1"/>
  <c r="CE30" i="40"/>
  <c r="CK30" i="40" s="1"/>
  <c r="CW30" i="40" s="1"/>
  <c r="CX30" i="40" s="1"/>
  <c r="CF225" i="40"/>
  <c r="CL225" i="40" s="1"/>
  <c r="CY225" i="40" s="1"/>
  <c r="CZ225" i="40" s="1"/>
  <c r="CG212" i="40"/>
  <c r="CM212" i="40" s="1"/>
  <c r="DA212" i="40" s="1"/>
  <c r="DB212" i="40" s="1"/>
  <c r="CH130" i="40"/>
  <c r="CN130" i="40" s="1"/>
  <c r="DC130" i="40" s="1"/>
  <c r="DD130" i="40" s="1"/>
  <c r="CI130" i="40"/>
  <c r="CO130" i="40" s="1"/>
  <c r="DE130" i="40" s="1"/>
  <c r="DF130" i="40" s="1"/>
  <c r="CH86" i="40"/>
  <c r="CN86" i="40" s="1"/>
  <c r="DC86" i="40" s="1"/>
  <c r="DD86" i="40" s="1"/>
  <c r="CI236" i="40"/>
  <c r="CO236" i="40" s="1"/>
  <c r="DE236" i="40" s="1"/>
  <c r="DF236" i="40" s="1"/>
  <c r="CH18" i="40"/>
  <c r="CN18" i="40" s="1"/>
  <c r="DC18" i="40" s="1"/>
  <c r="DD18" i="40" s="1"/>
  <c r="CH39" i="40"/>
  <c r="CN39" i="40" s="1"/>
  <c r="DC39" i="40" s="1"/>
  <c r="DD39" i="40" s="1"/>
  <c r="CH109" i="40"/>
  <c r="CN109" i="40" s="1"/>
  <c r="DC109" i="40" s="1"/>
  <c r="DD109" i="40" s="1"/>
  <c r="CI107" i="40"/>
  <c r="CO107" i="40" s="1"/>
  <c r="DE107" i="40" s="1"/>
  <c r="DF107" i="40" s="1"/>
  <c r="CJ32" i="40"/>
  <c r="CP32" i="40" s="1"/>
  <c r="DG32" i="40" s="1"/>
  <c r="DH32" i="40" s="1"/>
  <c r="CE228" i="40"/>
  <c r="CK228" i="40" s="1"/>
  <c r="CW228" i="40" s="1"/>
  <c r="CX228" i="40" s="1"/>
  <c r="CF66" i="40"/>
  <c r="CL66" i="40" s="1"/>
  <c r="CY66" i="40" s="1"/>
  <c r="CZ66" i="40" s="1"/>
  <c r="CH66" i="40"/>
  <c r="CN66" i="40" s="1"/>
  <c r="DC66" i="40" s="1"/>
  <c r="DD66" i="40" s="1"/>
  <c r="CG240" i="40"/>
  <c r="CM240" i="40" s="1"/>
  <c r="DA240" i="40" s="1"/>
  <c r="DB240" i="40" s="1"/>
  <c r="CI240" i="40"/>
  <c r="CO240" i="40" s="1"/>
  <c r="DE240" i="40" s="1"/>
  <c r="DF240" i="40" s="1"/>
  <c r="CE284" i="40"/>
  <c r="CK284" i="40" s="1"/>
  <c r="CW284" i="40" s="1"/>
  <c r="CX284" i="40" s="1"/>
  <c r="CG106" i="40"/>
  <c r="CM106" i="40" s="1"/>
  <c r="DA106" i="40" s="1"/>
  <c r="DB106" i="40" s="1"/>
  <c r="CI56" i="40"/>
  <c r="CO56" i="40" s="1"/>
  <c r="DE56" i="40" s="1"/>
  <c r="DF56" i="40" s="1"/>
  <c r="CG52" i="40"/>
  <c r="CM52" i="40" s="1"/>
  <c r="DA52" i="40" s="1"/>
  <c r="DB52" i="40" s="1"/>
  <c r="CG305" i="40"/>
  <c r="CM305" i="40" s="1"/>
  <c r="DA305" i="40" s="1"/>
  <c r="DB305" i="40" s="1"/>
  <c r="CI305" i="40"/>
  <c r="CO305" i="40" s="1"/>
  <c r="DE305" i="40" s="1"/>
  <c r="DF305" i="40" s="1"/>
  <c r="CI86" i="40"/>
  <c r="CO86" i="40" s="1"/>
  <c r="DE86" i="40" s="1"/>
  <c r="DF86" i="40" s="1"/>
  <c r="CI256" i="40"/>
  <c r="CO256" i="40" s="1"/>
  <c r="DE256" i="40" s="1"/>
  <c r="DF256" i="40" s="1"/>
  <c r="CG133" i="40"/>
  <c r="CM133" i="40" s="1"/>
  <c r="DA133" i="40" s="1"/>
  <c r="DB133" i="40" s="1"/>
  <c r="CI101" i="40"/>
  <c r="CO101" i="40" s="1"/>
  <c r="DE101" i="40" s="1"/>
  <c r="DF101" i="40" s="1"/>
  <c r="CI189" i="40"/>
  <c r="CO189" i="40" s="1"/>
  <c r="DE189" i="40" s="1"/>
  <c r="DF189" i="40" s="1"/>
  <c r="CE276" i="40"/>
  <c r="CK276" i="40" s="1"/>
  <c r="CW276" i="40" s="1"/>
  <c r="CX276" i="40" s="1"/>
  <c r="CG209" i="40"/>
  <c r="CM209" i="40" s="1"/>
  <c r="DA209" i="40" s="1"/>
  <c r="DB209" i="40" s="1"/>
  <c r="CF122" i="40"/>
  <c r="CL122" i="40" s="1"/>
  <c r="CY122" i="40" s="1"/>
  <c r="CZ122" i="40" s="1"/>
  <c r="CF9" i="40"/>
  <c r="CL9" i="40" s="1"/>
  <c r="CY9" i="40" s="1"/>
  <c r="CZ9" i="40" s="1"/>
  <c r="CI196" i="40"/>
  <c r="CO196" i="40" s="1"/>
  <c r="DE196" i="40" s="1"/>
  <c r="DF196" i="40" s="1"/>
  <c r="CJ154" i="40"/>
  <c r="CP154" i="40" s="1"/>
  <c r="DG154" i="40" s="1"/>
  <c r="DH154" i="40" s="1"/>
  <c r="CI307" i="40"/>
  <c r="CO307" i="40" s="1"/>
  <c r="DE307" i="40" s="1"/>
  <c r="DF307" i="40" s="1"/>
  <c r="CF181" i="40"/>
  <c r="CL181" i="40" s="1"/>
  <c r="CY181" i="40" s="1"/>
  <c r="CZ181" i="40" s="1"/>
  <c r="CF215" i="40"/>
  <c r="CL215" i="40" s="1"/>
  <c r="CY215" i="40" s="1"/>
  <c r="CZ215" i="40" s="1"/>
  <c r="CH215" i="40"/>
  <c r="CN215" i="40" s="1"/>
  <c r="DC215" i="40" s="1"/>
  <c r="DD215" i="40" s="1"/>
  <c r="CF104" i="40"/>
  <c r="CL104" i="40" s="1"/>
  <c r="CY104" i="40" s="1"/>
  <c r="CZ104" i="40" s="1"/>
  <c r="CH202" i="40"/>
  <c r="CN202" i="40" s="1"/>
  <c r="DC202" i="40" s="1"/>
  <c r="DD202" i="40" s="1"/>
  <c r="CG224" i="40"/>
  <c r="CM224" i="40" s="1"/>
  <c r="DA224" i="40" s="1"/>
  <c r="DB224" i="40" s="1"/>
  <c r="CI224" i="40"/>
  <c r="CO224" i="40" s="1"/>
  <c r="DE224" i="40" s="1"/>
  <c r="DF224" i="40" s="1"/>
  <c r="CI149" i="40"/>
  <c r="CO149" i="40" s="1"/>
  <c r="DE149" i="40" s="1"/>
  <c r="DF149" i="40" s="1"/>
  <c r="CF69" i="40"/>
  <c r="CL69" i="40" s="1"/>
  <c r="CY69" i="40" s="1"/>
  <c r="CZ69" i="40" s="1"/>
  <c r="CG69" i="40"/>
  <c r="CM69" i="40" s="1"/>
  <c r="DA69" i="40" s="1"/>
  <c r="DB69" i="40" s="1"/>
  <c r="CH52" i="40"/>
  <c r="CN52" i="40" s="1"/>
  <c r="DC52" i="40" s="1"/>
  <c r="DD52" i="40" s="1"/>
  <c r="CJ305" i="40"/>
  <c r="CP305" i="40" s="1"/>
  <c r="DG305" i="40" s="1"/>
  <c r="DH305" i="40" s="1"/>
  <c r="CG130" i="40"/>
  <c r="CM130" i="40" s="1"/>
  <c r="DA130" i="40" s="1"/>
  <c r="DB130" i="40" s="1"/>
  <c r="CF262" i="40"/>
  <c r="CL262" i="40" s="1"/>
  <c r="CY262" i="40" s="1"/>
  <c r="CZ262" i="40" s="1"/>
  <c r="CE285" i="40"/>
  <c r="CK285" i="40" s="1"/>
  <c r="CW285" i="40" s="1"/>
  <c r="CX285" i="40" s="1"/>
  <c r="CF160" i="40"/>
  <c r="CL160" i="40" s="1"/>
  <c r="CY160" i="40" s="1"/>
  <c r="CZ160" i="40" s="1"/>
  <c r="CF13" i="40"/>
  <c r="CL13" i="40" s="1"/>
  <c r="CY13" i="40" s="1"/>
  <c r="CZ13" i="40" s="1"/>
  <c r="CG14" i="40"/>
  <c r="CM14" i="40" s="1"/>
  <c r="DA14" i="40" s="1"/>
  <c r="DB14" i="40" s="1"/>
  <c r="CF283" i="40"/>
  <c r="CL283" i="40" s="1"/>
  <c r="CY283" i="40" s="1"/>
  <c r="CZ283" i="40" s="1"/>
  <c r="CJ169" i="40"/>
  <c r="CP169" i="40" s="1"/>
  <c r="DG169" i="40" s="1"/>
  <c r="DH169" i="40" s="1"/>
  <c r="CJ195" i="40"/>
  <c r="CP195" i="40" s="1"/>
  <c r="DG195" i="40" s="1"/>
  <c r="DH195" i="40" s="1"/>
  <c r="CH144" i="40"/>
  <c r="CN144" i="40" s="1"/>
  <c r="DC144" i="40" s="1"/>
  <c r="DD144" i="40" s="1"/>
  <c r="CJ46" i="40"/>
  <c r="CP46" i="40" s="1"/>
  <c r="DG46" i="40" s="1"/>
  <c r="DH46" i="40" s="1"/>
  <c r="CI194" i="40"/>
  <c r="CO194" i="40" s="1"/>
  <c r="DE194" i="40" s="1"/>
  <c r="DF194" i="40" s="1"/>
  <c r="CF228" i="40"/>
  <c r="CL228" i="40" s="1"/>
  <c r="CY228" i="40" s="1"/>
  <c r="CZ228" i="40" s="1"/>
  <c r="CH231" i="40"/>
  <c r="CN231" i="40" s="1"/>
  <c r="DC231" i="40" s="1"/>
  <c r="DD231" i="40" s="1"/>
  <c r="CJ231" i="40"/>
  <c r="CP231" i="40" s="1"/>
  <c r="DG231" i="40" s="1"/>
  <c r="DH231" i="40" s="1"/>
  <c r="CJ193" i="40"/>
  <c r="CP193" i="40" s="1"/>
  <c r="DG193" i="40" s="1"/>
  <c r="DH193" i="40" s="1"/>
  <c r="CF119" i="40"/>
  <c r="CL119" i="40" s="1"/>
  <c r="CY119" i="40" s="1"/>
  <c r="CZ119" i="40" s="1"/>
  <c r="CH119" i="40"/>
  <c r="CN119" i="40" s="1"/>
  <c r="DC119" i="40" s="1"/>
  <c r="DD119" i="40" s="1"/>
  <c r="CF296" i="40"/>
  <c r="CL296" i="40" s="1"/>
  <c r="CY296" i="40" s="1"/>
  <c r="CZ296" i="40" s="1"/>
  <c r="CG203" i="40"/>
  <c r="CM203" i="40" s="1"/>
  <c r="DA203" i="40" s="1"/>
  <c r="DB203" i="40" s="1"/>
  <c r="CG227" i="40"/>
  <c r="CM227" i="40" s="1"/>
  <c r="DA227" i="40" s="1"/>
  <c r="DB227" i="40" s="1"/>
  <c r="CG44" i="40"/>
  <c r="CM44" i="40" s="1"/>
  <c r="DA44" i="40" s="1"/>
  <c r="DB44" i="40" s="1"/>
  <c r="CF235" i="40"/>
  <c r="CL235" i="40" s="1"/>
  <c r="CY235" i="40" s="1"/>
  <c r="CZ235" i="40" s="1"/>
  <c r="CG101" i="40"/>
  <c r="CM101" i="40" s="1"/>
  <c r="DA101" i="40" s="1"/>
  <c r="DB101" i="40" s="1"/>
  <c r="CI74" i="40"/>
  <c r="CO74" i="40" s="1"/>
  <c r="DE74" i="40" s="1"/>
  <c r="DF74" i="40" s="1"/>
  <c r="CF259" i="40"/>
  <c r="CL259" i="40" s="1"/>
  <c r="CY259" i="40" s="1"/>
  <c r="CZ259" i="40" s="1"/>
  <c r="CE288" i="40"/>
  <c r="CK288" i="40" s="1"/>
  <c r="CW288" i="40" s="1"/>
  <c r="CX288" i="40" s="1"/>
  <c r="CF169" i="40"/>
  <c r="CL169" i="40" s="1"/>
  <c r="CY169" i="40" s="1"/>
  <c r="CZ169" i="40" s="1"/>
  <c r="CH124" i="40"/>
  <c r="CN124" i="40" s="1"/>
  <c r="DC124" i="40" s="1"/>
  <c r="DD124" i="40" s="1"/>
  <c r="CH174" i="40"/>
  <c r="CN174" i="40" s="1"/>
  <c r="DC174" i="40" s="1"/>
  <c r="DD174" i="40" s="1"/>
  <c r="CF196" i="40"/>
  <c r="CL196" i="40" s="1"/>
  <c r="CY196" i="40" s="1"/>
  <c r="CZ196" i="40" s="1"/>
  <c r="CI309" i="40"/>
  <c r="CO309" i="40" s="1"/>
  <c r="DE309" i="40" s="1"/>
  <c r="DF309" i="40" s="1"/>
  <c r="CH154" i="40"/>
  <c r="CN154" i="40" s="1"/>
  <c r="DC154" i="40" s="1"/>
  <c r="DD154" i="40" s="1"/>
  <c r="CF49" i="40"/>
  <c r="CL49" i="40" s="1"/>
  <c r="CY49" i="40" s="1"/>
  <c r="CZ49" i="40" s="1"/>
  <c r="CE226" i="40"/>
  <c r="CK226" i="40" s="1"/>
  <c r="CW226" i="40" s="1"/>
  <c r="CX226" i="40" s="1"/>
  <c r="CF275" i="40"/>
  <c r="CL275" i="40" s="1"/>
  <c r="CY275" i="40" s="1"/>
  <c r="CZ275" i="40" s="1"/>
  <c r="CH186" i="40"/>
  <c r="CN186" i="40" s="1"/>
  <c r="DC186" i="40" s="1"/>
  <c r="DD186" i="40" s="1"/>
  <c r="CE113" i="40"/>
  <c r="CK113" i="40" s="1"/>
  <c r="CW113" i="40" s="1"/>
  <c r="CX113" i="40" s="1"/>
  <c r="CF113" i="40"/>
  <c r="CL113" i="40" s="1"/>
  <c r="CY113" i="40" s="1"/>
  <c r="CZ113" i="40" s="1"/>
  <c r="CH42" i="40"/>
  <c r="CN42" i="40" s="1"/>
  <c r="DC42" i="40" s="1"/>
  <c r="DD42" i="40" s="1"/>
  <c r="CE34" i="40"/>
  <c r="CK34" i="40" s="1"/>
  <c r="CW34" i="40" s="1"/>
  <c r="CX34" i="40" s="1"/>
  <c r="CJ230" i="40"/>
  <c r="CP230" i="40" s="1"/>
  <c r="DG230" i="40" s="1"/>
  <c r="DH230" i="40" s="1"/>
  <c r="CG157" i="40"/>
  <c r="CM157" i="40" s="1"/>
  <c r="DA157" i="40" s="1"/>
  <c r="DB157" i="40" s="1"/>
  <c r="CF203" i="40"/>
  <c r="CL203" i="40" s="1"/>
  <c r="CY203" i="40" s="1"/>
  <c r="CZ203" i="40" s="1"/>
  <c r="CJ97" i="40"/>
  <c r="CP97" i="40" s="1"/>
  <c r="DG97" i="40" s="1"/>
  <c r="DH97" i="40" s="1"/>
  <c r="CJ54" i="40"/>
  <c r="CP54" i="40" s="1"/>
  <c r="DG54" i="40" s="1"/>
  <c r="DH54" i="40" s="1"/>
  <c r="CG267" i="40"/>
  <c r="CM267" i="40" s="1"/>
  <c r="DA267" i="40" s="1"/>
  <c r="DB267" i="40" s="1"/>
  <c r="CE84" i="40"/>
  <c r="CK84" i="40" s="1"/>
  <c r="CW84" i="40" s="1"/>
  <c r="CX84" i="40" s="1"/>
  <c r="CJ13" i="40"/>
  <c r="CP13" i="40" s="1"/>
  <c r="DG13" i="40" s="1"/>
  <c r="DH13" i="40" s="1"/>
  <c r="CG114" i="40"/>
  <c r="CM114" i="40" s="1"/>
  <c r="DA114" i="40" s="1"/>
  <c r="DB114" i="40" s="1"/>
  <c r="CI208" i="40"/>
  <c r="CO208" i="40" s="1"/>
  <c r="DE208" i="40" s="1"/>
  <c r="DF208" i="40" s="1"/>
  <c r="CI35" i="40"/>
  <c r="CO35" i="40" s="1"/>
  <c r="DE35" i="40" s="1"/>
  <c r="DF35" i="40" s="1"/>
  <c r="CJ277" i="40"/>
  <c r="CP277" i="40" s="1"/>
  <c r="DG277" i="40" s="1"/>
  <c r="DH277" i="40" s="1"/>
  <c r="CE214" i="40"/>
  <c r="CK214" i="40" s="1"/>
  <c r="CW214" i="40" s="1"/>
  <c r="CX214" i="40" s="1"/>
  <c r="CE70" i="40"/>
  <c r="CK70" i="40" s="1"/>
  <c r="CW70" i="40" s="1"/>
  <c r="CX70" i="40" s="1"/>
  <c r="CE61" i="40"/>
  <c r="CK61" i="40" s="1"/>
  <c r="CW61" i="40" s="1"/>
  <c r="CX61" i="40" s="1"/>
  <c r="CJ289" i="40"/>
  <c r="CP289" i="40" s="1"/>
  <c r="DG289" i="40" s="1"/>
  <c r="DH289" i="40" s="1"/>
  <c r="CH274" i="40"/>
  <c r="CN274" i="40" s="1"/>
  <c r="DC274" i="40" s="1"/>
  <c r="DD274" i="40" s="1"/>
  <c r="CI270" i="40"/>
  <c r="CO270" i="40" s="1"/>
  <c r="DE270" i="40" s="1"/>
  <c r="DF270" i="40" s="1"/>
  <c r="CF65" i="40"/>
  <c r="CL65" i="40" s="1"/>
  <c r="CY65" i="40" s="1"/>
  <c r="CZ65" i="40" s="1"/>
  <c r="CI318" i="40"/>
  <c r="CO318" i="40" s="1"/>
  <c r="DE318" i="40" s="1"/>
  <c r="DF318" i="40" s="1"/>
  <c r="CE161" i="40"/>
  <c r="CK161" i="40" s="1"/>
  <c r="CW161" i="40" s="1"/>
  <c r="CX161" i="40" s="1"/>
  <c r="CF139" i="40"/>
  <c r="CL139" i="40" s="1"/>
  <c r="CY139" i="40" s="1"/>
  <c r="CZ139" i="40" s="1"/>
  <c r="CJ105" i="40"/>
  <c r="CP105" i="40" s="1"/>
  <c r="DG105" i="40" s="1"/>
  <c r="DH105" i="40" s="1"/>
  <c r="CH48" i="40"/>
  <c r="CN48" i="40" s="1"/>
  <c r="DC48" i="40" s="1"/>
  <c r="DD48" i="40" s="1"/>
  <c r="CI25" i="40"/>
  <c r="CO25" i="40" s="1"/>
  <c r="DE25" i="40" s="1"/>
  <c r="DF25" i="40" s="1"/>
  <c r="CE307" i="40"/>
  <c r="CK307" i="40" s="1"/>
  <c r="CW307" i="40" s="1"/>
  <c r="CX307" i="40" s="1"/>
  <c r="CJ215" i="40"/>
  <c r="CP215" i="40" s="1"/>
  <c r="DG215" i="40" s="1"/>
  <c r="DH215" i="40" s="1"/>
  <c r="CI104" i="40"/>
  <c r="CO104" i="40" s="1"/>
  <c r="DE104" i="40" s="1"/>
  <c r="DF104" i="40" s="1"/>
  <c r="CJ157" i="40"/>
  <c r="CP157" i="40" s="1"/>
  <c r="DG157" i="40" s="1"/>
  <c r="DH157" i="40" s="1"/>
  <c r="CH203" i="40"/>
  <c r="CN203" i="40" s="1"/>
  <c r="DC203" i="40" s="1"/>
  <c r="DD203" i="40" s="1"/>
  <c r="CI97" i="40"/>
  <c r="CO97" i="40" s="1"/>
  <c r="DE97" i="40" s="1"/>
  <c r="DF97" i="40" s="1"/>
  <c r="CG175" i="40"/>
  <c r="CM175" i="40" s="1"/>
  <c r="DA175" i="40" s="1"/>
  <c r="DB175" i="40" s="1"/>
  <c r="CI133" i="40"/>
  <c r="CO133" i="40" s="1"/>
  <c r="DE133" i="40" s="1"/>
  <c r="DF133" i="40" s="1"/>
  <c r="CJ295" i="40"/>
  <c r="CP295" i="40" s="1"/>
  <c r="DG295" i="40" s="1"/>
  <c r="DH295" i="40" s="1"/>
  <c r="CH259" i="40"/>
  <c r="CN259" i="40" s="1"/>
  <c r="DC259" i="40" s="1"/>
  <c r="DD259" i="40" s="1"/>
  <c r="CF112" i="40"/>
  <c r="CL112" i="40" s="1"/>
  <c r="CY112" i="40" s="1"/>
  <c r="CZ112" i="40" s="1"/>
  <c r="CF277" i="40"/>
  <c r="CL277" i="40" s="1"/>
  <c r="CY277" i="40" s="1"/>
  <c r="CZ277" i="40" s="1"/>
  <c r="CG124" i="40"/>
  <c r="CM124" i="40" s="1"/>
  <c r="DA124" i="40" s="1"/>
  <c r="DB124" i="40" s="1"/>
  <c r="CH122" i="40"/>
  <c r="CN122" i="40" s="1"/>
  <c r="DC122" i="40" s="1"/>
  <c r="DD122" i="40" s="1"/>
  <c r="CH57" i="40"/>
  <c r="CN57" i="40" s="1"/>
  <c r="DC57" i="40" s="1"/>
  <c r="DD57" i="40" s="1"/>
  <c r="CJ117" i="40"/>
  <c r="CP117" i="40" s="1"/>
  <c r="DG117" i="40" s="1"/>
  <c r="DH117" i="40" s="1"/>
  <c r="CJ76" i="40"/>
  <c r="CP76" i="40" s="1"/>
  <c r="DG76" i="40" s="1"/>
  <c r="DH76" i="40" s="1"/>
  <c r="CJ234" i="40"/>
  <c r="CP234" i="40" s="1"/>
  <c r="DG234" i="40" s="1"/>
  <c r="DH234" i="40" s="1"/>
  <c r="CI298" i="40"/>
  <c r="CO298" i="40" s="1"/>
  <c r="DE298" i="40" s="1"/>
  <c r="DF298" i="40" s="1"/>
  <c r="CJ190" i="40"/>
  <c r="CP190" i="40" s="1"/>
  <c r="DG190" i="40" s="1"/>
  <c r="DH190" i="40" s="1"/>
  <c r="CF193" i="40"/>
  <c r="CL193" i="40" s="1"/>
  <c r="CY193" i="40" s="1"/>
  <c r="CZ193" i="40" s="1"/>
  <c r="CI247" i="40"/>
  <c r="CO247" i="40" s="1"/>
  <c r="DE247" i="40" s="1"/>
  <c r="DF247" i="40" s="1"/>
  <c r="CF257" i="40"/>
  <c r="CL257" i="40" s="1"/>
  <c r="CY257" i="40" s="1"/>
  <c r="CZ257" i="40" s="1"/>
  <c r="CF172" i="40"/>
  <c r="CL172" i="40" s="1"/>
  <c r="CY172" i="40" s="1"/>
  <c r="CZ172" i="40" s="1"/>
  <c r="CJ113" i="40"/>
  <c r="CP113" i="40" s="1"/>
  <c r="DG113" i="40" s="1"/>
  <c r="DH113" i="40" s="1"/>
  <c r="CJ42" i="40"/>
  <c r="CP42" i="40" s="1"/>
  <c r="DG42" i="40" s="1"/>
  <c r="DH42" i="40" s="1"/>
  <c r="CJ280" i="40"/>
  <c r="CP280" i="40" s="1"/>
  <c r="DG280" i="40" s="1"/>
  <c r="DH280" i="40" s="1"/>
  <c r="CF179" i="40"/>
  <c r="CL179" i="40" s="1"/>
  <c r="CY179" i="40" s="1"/>
  <c r="CZ179" i="40" s="1"/>
  <c r="CF115" i="40"/>
  <c r="CL115" i="40" s="1"/>
  <c r="CY115" i="40" s="1"/>
  <c r="CZ115" i="40" s="1"/>
  <c r="CI184" i="40"/>
  <c r="CO184" i="40" s="1"/>
  <c r="DE184" i="40" s="1"/>
  <c r="DF184" i="40" s="1"/>
  <c r="CF77" i="40"/>
  <c r="CL77" i="40" s="1"/>
  <c r="CY77" i="40" s="1"/>
  <c r="CZ77" i="40" s="1"/>
  <c r="CJ96" i="40"/>
  <c r="CP96" i="40" s="1"/>
  <c r="DG96" i="40" s="1"/>
  <c r="DH96" i="40" s="1"/>
  <c r="CF165" i="40"/>
  <c r="CL165" i="40" s="1"/>
  <c r="CY165" i="40" s="1"/>
  <c r="CZ165" i="40" s="1"/>
  <c r="CJ97" i="17"/>
  <c r="CP97" i="17" s="1"/>
  <c r="DG97" i="17" s="1"/>
  <c r="DH97" i="17" s="1"/>
  <c r="CH97" i="17"/>
  <c r="CN97" i="17" s="1"/>
  <c r="DC97" i="17" s="1"/>
  <c r="DD97" i="17" s="1"/>
  <c r="CH161" i="40"/>
  <c r="CN161" i="40" s="1"/>
  <c r="DC161" i="40" s="1"/>
  <c r="DD161" i="40" s="1"/>
  <c r="CE54" i="40"/>
  <c r="CK54" i="40" s="1"/>
  <c r="CW54" i="40" s="1"/>
  <c r="CX54" i="40" s="1"/>
  <c r="CG188" i="40"/>
  <c r="CM188" i="40" s="1"/>
  <c r="DA188" i="40" s="1"/>
  <c r="DB188" i="40" s="1"/>
  <c r="CH140" i="40"/>
  <c r="CN140" i="40" s="1"/>
  <c r="DC140" i="40" s="1"/>
  <c r="DD140" i="40" s="1"/>
  <c r="CF39" i="40"/>
  <c r="CL39" i="40" s="1"/>
  <c r="CY39" i="40" s="1"/>
  <c r="CZ39" i="40" s="1"/>
  <c r="CE9" i="40"/>
  <c r="CK9" i="40" s="1"/>
  <c r="CW9" i="40" s="1"/>
  <c r="CX9" i="40" s="1"/>
  <c r="CE293" i="40"/>
  <c r="CK293" i="40" s="1"/>
  <c r="CW293" i="40" s="1"/>
  <c r="CX293" i="40" s="1"/>
  <c r="CH249" i="40"/>
  <c r="CN249" i="40" s="1"/>
  <c r="DC249" i="40" s="1"/>
  <c r="DD249" i="40" s="1"/>
  <c r="CG16" i="40"/>
  <c r="CM16" i="40" s="1"/>
  <c r="DA16" i="40" s="1"/>
  <c r="DB16" i="40" s="1"/>
  <c r="CI173" i="40"/>
  <c r="CO173" i="40" s="1"/>
  <c r="DE173" i="40" s="1"/>
  <c r="DF173" i="40" s="1"/>
  <c r="CE217" i="40"/>
  <c r="CK217" i="40" s="1"/>
  <c r="CW217" i="40" s="1"/>
  <c r="CX217" i="40" s="1"/>
  <c r="CE194" i="40"/>
  <c r="CK194" i="40" s="1"/>
  <c r="CW194" i="40" s="1"/>
  <c r="CX194" i="40" s="1"/>
  <c r="CI102" i="40"/>
  <c r="CO102" i="40" s="1"/>
  <c r="DE102" i="40" s="1"/>
  <c r="DF102" i="40" s="1"/>
  <c r="CF260" i="40"/>
  <c r="CL260" i="40" s="1"/>
  <c r="CY260" i="40" s="1"/>
  <c r="CZ260" i="40" s="1"/>
  <c r="CG186" i="40"/>
  <c r="CM186" i="40" s="1"/>
  <c r="DA186" i="40" s="1"/>
  <c r="DB186" i="40" s="1"/>
  <c r="CI113" i="40"/>
  <c r="CO113" i="40" s="1"/>
  <c r="DE113" i="40" s="1"/>
  <c r="DF113" i="40" s="1"/>
  <c r="CG29" i="40"/>
  <c r="CM29" i="40" s="1"/>
  <c r="DA29" i="40" s="1"/>
  <c r="DB29" i="40" s="1"/>
  <c r="CH310" i="40"/>
  <c r="CN310" i="40" s="1"/>
  <c r="DC310" i="40" s="1"/>
  <c r="DD310" i="40" s="1"/>
  <c r="CE170" i="40"/>
  <c r="CK170" i="40" s="1"/>
  <c r="CW170" i="40" s="1"/>
  <c r="CX170" i="40" s="1"/>
  <c r="CE235" i="40"/>
  <c r="CK235" i="40" s="1"/>
  <c r="CW235" i="40" s="1"/>
  <c r="CX235" i="40" s="1"/>
  <c r="CI14" i="40"/>
  <c r="CO14" i="40" s="1"/>
  <c r="DE14" i="40" s="1"/>
  <c r="DF14" i="40" s="1"/>
  <c r="CJ58" i="40"/>
  <c r="CP58" i="40" s="1"/>
  <c r="DG58" i="40" s="1"/>
  <c r="DH58" i="40" s="1"/>
  <c r="CF155" i="40"/>
  <c r="CL155" i="40" s="1"/>
  <c r="CY155" i="40" s="1"/>
  <c r="CZ155" i="40" s="1"/>
  <c r="CG31" i="40"/>
  <c r="CM31" i="40" s="1"/>
  <c r="DA31" i="40" s="1"/>
  <c r="DB31" i="40" s="1"/>
  <c r="CH177" i="40"/>
  <c r="CN177" i="40" s="1"/>
  <c r="DC177" i="40" s="1"/>
  <c r="DD177" i="40" s="1"/>
  <c r="CH195" i="40"/>
  <c r="CN195" i="40" s="1"/>
  <c r="DC195" i="40" s="1"/>
  <c r="DD195" i="40" s="1"/>
  <c r="CI255" i="40"/>
  <c r="CO255" i="40" s="1"/>
  <c r="DE255" i="40" s="1"/>
  <c r="DF255" i="40" s="1"/>
  <c r="CG66" i="40"/>
  <c r="CM66" i="40" s="1"/>
  <c r="DA66" i="40" s="1"/>
  <c r="DB66" i="40" s="1"/>
  <c r="CI12" i="40"/>
  <c r="CO12" i="40" s="1"/>
  <c r="DE12" i="40" s="1"/>
  <c r="DF12" i="40" s="1"/>
  <c r="CH272" i="40"/>
  <c r="CN272" i="40" s="1"/>
  <c r="DC272" i="40" s="1"/>
  <c r="DD272" i="40" s="1"/>
  <c r="CJ121" i="40"/>
  <c r="CP121" i="40" s="1"/>
  <c r="DG121" i="40" s="1"/>
  <c r="DH121" i="40" s="1"/>
  <c r="CJ48" i="40"/>
  <c r="CP48" i="40" s="1"/>
  <c r="DG48" i="40" s="1"/>
  <c r="DH48" i="40" s="1"/>
  <c r="CG25" i="40"/>
  <c r="CM25" i="40" s="1"/>
  <c r="DA25" i="40" s="1"/>
  <c r="DB25" i="40" s="1"/>
  <c r="CJ6" i="40"/>
  <c r="CP6" i="40" s="1"/>
  <c r="DG6" i="40" s="1"/>
  <c r="DH6" i="40" s="1"/>
  <c r="CH123" i="40"/>
  <c r="CN123" i="40" s="1"/>
  <c r="DC123" i="40" s="1"/>
  <c r="DD123" i="40" s="1"/>
  <c r="CI251" i="40"/>
  <c r="CO251" i="40" s="1"/>
  <c r="DE251" i="40" s="1"/>
  <c r="DF251" i="40" s="1"/>
  <c r="CH128" i="40"/>
  <c r="CN128" i="40" s="1"/>
  <c r="DC128" i="40" s="1"/>
  <c r="DD128" i="40" s="1"/>
  <c r="CF86" i="40"/>
  <c r="CL86" i="40" s="1"/>
  <c r="CY86" i="40" s="1"/>
  <c r="CZ86" i="40" s="1"/>
  <c r="CJ236" i="40"/>
  <c r="CP236" i="40" s="1"/>
  <c r="DG236" i="40" s="1"/>
  <c r="DH236" i="40" s="1"/>
  <c r="CE133" i="40"/>
  <c r="CK133" i="40" s="1"/>
  <c r="CW133" i="40" s="1"/>
  <c r="CX133" i="40" s="1"/>
  <c r="CH101" i="40"/>
  <c r="CN101" i="40" s="1"/>
  <c r="DC101" i="40" s="1"/>
  <c r="DD101" i="40" s="1"/>
  <c r="CI254" i="40"/>
  <c r="CO254" i="40" s="1"/>
  <c r="DE254" i="40" s="1"/>
  <c r="DF254" i="40" s="1"/>
  <c r="CF176" i="40"/>
  <c r="CL176" i="40" s="1"/>
  <c r="CY176" i="40" s="1"/>
  <c r="CZ176" i="40" s="1"/>
  <c r="CG18" i="40"/>
  <c r="CM18" i="40" s="1"/>
  <c r="DA18" i="40" s="1"/>
  <c r="DB18" i="40" s="1"/>
  <c r="CJ155" i="40"/>
  <c r="CP155" i="40" s="1"/>
  <c r="DG155" i="40" s="1"/>
  <c r="DH155" i="40" s="1"/>
  <c r="CI39" i="40"/>
  <c r="CO39" i="40" s="1"/>
  <c r="DE39" i="40" s="1"/>
  <c r="DF39" i="40" s="1"/>
  <c r="CE265" i="40"/>
  <c r="CK265" i="40" s="1"/>
  <c r="CW265" i="40" s="1"/>
  <c r="CX265" i="40" s="1"/>
  <c r="CF177" i="40"/>
  <c r="CL177" i="40" s="1"/>
  <c r="CY177" i="40" s="1"/>
  <c r="CZ177" i="40" s="1"/>
  <c r="CG83" i="40"/>
  <c r="CM83" i="40" s="1"/>
  <c r="DA83" i="40" s="1"/>
  <c r="DB83" i="40" s="1"/>
  <c r="CI232" i="40"/>
  <c r="CO232" i="40" s="1"/>
  <c r="DE232" i="40" s="1"/>
  <c r="DF232" i="40" s="1"/>
  <c r="CH278" i="40"/>
  <c r="CN278" i="40" s="1"/>
  <c r="DC278" i="40" s="1"/>
  <c r="DD278" i="40" s="1"/>
  <c r="CG168" i="40"/>
  <c r="CM168" i="40" s="1"/>
  <c r="DA168" i="40" s="1"/>
  <c r="DB168" i="40" s="1"/>
  <c r="CG117" i="40"/>
  <c r="CM117" i="40" s="1"/>
  <c r="DA117" i="40" s="1"/>
  <c r="DB117" i="40" s="1"/>
  <c r="CF199" i="40"/>
  <c r="CL199" i="40" s="1"/>
  <c r="CY199" i="40" s="1"/>
  <c r="CZ199" i="40" s="1"/>
  <c r="CJ298" i="40"/>
  <c r="CP298" i="40" s="1"/>
  <c r="DG298" i="40" s="1"/>
  <c r="DH298" i="40" s="1"/>
  <c r="CI220" i="40"/>
  <c r="CO220" i="40" s="1"/>
  <c r="DE220" i="40" s="1"/>
  <c r="DF220" i="40" s="1"/>
  <c r="CI219" i="40"/>
  <c r="CO219" i="40" s="1"/>
  <c r="DE219" i="40" s="1"/>
  <c r="DF219" i="40" s="1"/>
  <c r="CH147" i="40"/>
  <c r="CN147" i="40" s="1"/>
  <c r="DC147" i="40" s="1"/>
  <c r="DD147" i="40" s="1"/>
  <c r="CI95" i="40"/>
  <c r="CO95" i="40" s="1"/>
  <c r="DE95" i="40" s="1"/>
  <c r="DF95" i="40" s="1"/>
  <c r="CJ268" i="40"/>
  <c r="CP268" i="40" s="1"/>
  <c r="DG268" i="40" s="1"/>
  <c r="DH268" i="40" s="1"/>
  <c r="CE172" i="40"/>
  <c r="CK172" i="40" s="1"/>
  <c r="CW172" i="40" s="1"/>
  <c r="CX172" i="40" s="1"/>
  <c r="CG34" i="40"/>
  <c r="CM34" i="40" s="1"/>
  <c r="DA34" i="40" s="1"/>
  <c r="DB34" i="40" s="1"/>
  <c r="CG202" i="40"/>
  <c r="CM202" i="40" s="1"/>
  <c r="DA202" i="40" s="1"/>
  <c r="DB202" i="40" s="1"/>
  <c r="CI269" i="40"/>
  <c r="CO269" i="40" s="1"/>
  <c r="DE269" i="40" s="1"/>
  <c r="DF269" i="40" s="1"/>
  <c r="CH237" i="40"/>
  <c r="CN237" i="40" s="1"/>
  <c r="DC237" i="40" s="1"/>
  <c r="DD237" i="40" s="1"/>
  <c r="CJ192" i="40"/>
  <c r="CP192" i="40" s="1"/>
  <c r="DG192" i="40" s="1"/>
  <c r="DH192" i="40" s="1"/>
  <c r="CG167" i="40"/>
  <c r="CM167" i="40" s="1"/>
  <c r="DA167" i="40" s="1"/>
  <c r="DB167" i="40" s="1"/>
  <c r="CE131" i="40"/>
  <c r="CK131" i="40" s="1"/>
  <c r="CW131" i="40" s="1"/>
  <c r="CX131" i="40" s="1"/>
  <c r="CG26" i="40"/>
  <c r="CM26" i="40" s="1"/>
  <c r="DA26" i="40" s="1"/>
  <c r="DB26" i="40" s="1"/>
  <c r="CF171" i="40"/>
  <c r="CL171" i="40" s="1"/>
  <c r="CY171" i="40" s="1"/>
  <c r="CZ171" i="40" s="1"/>
  <c r="CE146" i="40"/>
  <c r="CK146" i="40" s="1"/>
  <c r="CW146" i="40" s="1"/>
  <c r="CX146" i="40" s="1"/>
  <c r="CE47" i="40"/>
  <c r="CK47" i="40" s="1"/>
  <c r="CW47" i="40" s="1"/>
  <c r="CX47" i="40" s="1"/>
  <c r="CJ233" i="40"/>
  <c r="CP233" i="40" s="1"/>
  <c r="DG233" i="40" s="1"/>
  <c r="DH233" i="40" s="1"/>
  <c r="CG152" i="40"/>
  <c r="CM152" i="40" s="1"/>
  <c r="DA152" i="40" s="1"/>
  <c r="DB152" i="40" s="1"/>
  <c r="CI253" i="40"/>
  <c r="CO253" i="40" s="1"/>
  <c r="DE253" i="40" s="1"/>
  <c r="DF253" i="40" s="1"/>
  <c r="CH244" i="40"/>
  <c r="CN244" i="40" s="1"/>
  <c r="DC244" i="40" s="1"/>
  <c r="DD244" i="40" s="1"/>
  <c r="CG254" i="40"/>
  <c r="CM254" i="40" s="1"/>
  <c r="DA254" i="40" s="1"/>
  <c r="DB254" i="40" s="1"/>
  <c r="CE166" i="40"/>
  <c r="CK166" i="40" s="1"/>
  <c r="CW166" i="40" s="1"/>
  <c r="CX166" i="40" s="1"/>
  <c r="CH99" i="40"/>
  <c r="CN99" i="40" s="1"/>
  <c r="DC99" i="40" s="1"/>
  <c r="DD99" i="40" s="1"/>
  <c r="CE18" i="40"/>
  <c r="CK18" i="40" s="1"/>
  <c r="CW18" i="40" s="1"/>
  <c r="CX18" i="40" s="1"/>
  <c r="CI155" i="40"/>
  <c r="CO155" i="40" s="1"/>
  <c r="DE155" i="40" s="1"/>
  <c r="DF155" i="40" s="1"/>
  <c r="CJ31" i="40"/>
  <c r="CP31" i="40" s="1"/>
  <c r="DG31" i="40" s="1"/>
  <c r="DH31" i="40" s="1"/>
  <c r="CJ177" i="40"/>
  <c r="CP177" i="40" s="1"/>
  <c r="DG177" i="40" s="1"/>
  <c r="DH177" i="40" s="1"/>
  <c r="CG195" i="40"/>
  <c r="CM195" i="40" s="1"/>
  <c r="DA195" i="40" s="1"/>
  <c r="DB195" i="40" s="1"/>
  <c r="CG60" i="40"/>
  <c r="CM60" i="40" s="1"/>
  <c r="DA60" i="40" s="1"/>
  <c r="DB60" i="40" s="1"/>
  <c r="CI32" i="40"/>
  <c r="CO32" i="40" s="1"/>
  <c r="DE32" i="40" s="1"/>
  <c r="DF32" i="40" s="1"/>
  <c r="CG41" i="40"/>
  <c r="CM41" i="40" s="1"/>
  <c r="DA41" i="40" s="1"/>
  <c r="DB41" i="40" s="1"/>
  <c r="CG194" i="40"/>
  <c r="CM194" i="40" s="1"/>
  <c r="DA194" i="40" s="1"/>
  <c r="DB194" i="40" s="1"/>
  <c r="CJ102" i="40"/>
  <c r="CP102" i="40" s="1"/>
  <c r="DG102" i="40" s="1"/>
  <c r="DH102" i="40" s="1"/>
  <c r="CF281" i="40"/>
  <c r="CL281" i="40" s="1"/>
  <c r="CY281" i="40" s="1"/>
  <c r="CZ281" i="40" s="1"/>
  <c r="CI213" i="40"/>
  <c r="CO213" i="40" s="1"/>
  <c r="DE213" i="40" s="1"/>
  <c r="DF213" i="40" s="1"/>
  <c r="CE296" i="40"/>
  <c r="CK296" i="40" s="1"/>
  <c r="CW296" i="40" s="1"/>
  <c r="CX296" i="40" s="1"/>
  <c r="CE246" i="40"/>
  <c r="CK246" i="40" s="1"/>
  <c r="CW246" i="40" s="1"/>
  <c r="CX246" i="40" s="1"/>
  <c r="CF227" i="40"/>
  <c r="CL227" i="40" s="1"/>
  <c r="CY227" i="40" s="1"/>
  <c r="CZ227" i="40" s="1"/>
  <c r="CF100" i="40"/>
  <c r="CL100" i="40" s="1"/>
  <c r="CY100" i="40" s="1"/>
  <c r="CZ100" i="40" s="1"/>
  <c r="CE175" i="40"/>
  <c r="CK175" i="40" s="1"/>
  <c r="CW175" i="40" s="1"/>
  <c r="CX175" i="40" s="1"/>
  <c r="CF96" i="40"/>
  <c r="CL96" i="40" s="1"/>
  <c r="CY96" i="40" s="1"/>
  <c r="CZ96" i="40" s="1"/>
  <c r="CJ165" i="40"/>
  <c r="CP165" i="40" s="1"/>
  <c r="DG165" i="40" s="1"/>
  <c r="DH165" i="40" s="1"/>
  <c r="CG238" i="40"/>
  <c r="CM238" i="40" s="1"/>
  <c r="DA238" i="40" s="1"/>
  <c r="DB238" i="40" s="1"/>
  <c r="CJ135" i="40"/>
  <c r="CP135" i="40" s="1"/>
  <c r="DG135" i="40" s="1"/>
  <c r="DH135" i="40" s="1"/>
  <c r="CE308" i="40"/>
  <c r="CK308" i="40" s="1"/>
  <c r="CW308" i="40" s="1"/>
  <c r="CX308" i="40" s="1"/>
  <c r="CI279" i="40"/>
  <c r="CO279" i="40" s="1"/>
  <c r="DE279" i="40" s="1"/>
  <c r="DF279" i="40" s="1"/>
  <c r="CI201" i="40"/>
  <c r="CO201" i="40" s="1"/>
  <c r="DE201" i="40" s="1"/>
  <c r="DF201" i="40" s="1"/>
  <c r="CE303" i="40"/>
  <c r="CK303" i="40" s="1"/>
  <c r="CW303" i="40" s="1"/>
  <c r="CX303" i="40" s="1"/>
  <c r="CI117" i="40"/>
  <c r="CO117" i="40" s="1"/>
  <c r="DE117" i="40" s="1"/>
  <c r="DF117" i="40" s="1"/>
  <c r="CH282" i="40"/>
  <c r="CN282" i="40" s="1"/>
  <c r="DC282" i="40" s="1"/>
  <c r="DD282" i="40" s="1"/>
  <c r="CI282" i="40"/>
  <c r="CO282" i="40" s="1"/>
  <c r="DE282" i="40" s="1"/>
  <c r="DF282" i="40" s="1"/>
  <c r="CJ181" i="40"/>
  <c r="CP181" i="40" s="1"/>
  <c r="DG181" i="40" s="1"/>
  <c r="DH181" i="40" s="1"/>
  <c r="CF11" i="40"/>
  <c r="CL11" i="40" s="1"/>
  <c r="CY11" i="40" s="1"/>
  <c r="CZ11" i="40" s="1"/>
  <c r="CI63" i="40"/>
  <c r="CO63" i="40" s="1"/>
  <c r="DE63" i="40" s="1"/>
  <c r="DF63" i="40" s="1"/>
  <c r="CJ5" i="40"/>
  <c r="CP5" i="40" s="1"/>
  <c r="DG5" i="40" s="1"/>
  <c r="DH5" i="40" s="1"/>
  <c r="CH269" i="40"/>
  <c r="CN269" i="40" s="1"/>
  <c r="DC269" i="40" s="1"/>
  <c r="DD269" i="40" s="1"/>
  <c r="CE237" i="40"/>
  <c r="CK237" i="40" s="1"/>
  <c r="CW237" i="40" s="1"/>
  <c r="CX237" i="40" s="1"/>
  <c r="CF237" i="40"/>
  <c r="CL237" i="40" s="1"/>
  <c r="CY237" i="40" s="1"/>
  <c r="CZ237" i="40" s="1"/>
  <c r="CE26" i="40"/>
  <c r="CK26" i="40" s="1"/>
  <c r="CW26" i="40" s="1"/>
  <c r="CX26" i="40" s="1"/>
  <c r="CI120" i="40"/>
  <c r="CO120" i="40" s="1"/>
  <c r="DE120" i="40" s="1"/>
  <c r="DF120" i="40" s="1"/>
  <c r="CH227" i="40"/>
  <c r="CN227" i="40" s="1"/>
  <c r="DC227" i="40" s="1"/>
  <c r="DD227" i="40" s="1"/>
  <c r="CF146" i="40"/>
  <c r="CL146" i="40" s="1"/>
  <c r="CY146" i="40" s="1"/>
  <c r="CZ146" i="40" s="1"/>
  <c r="CI100" i="40"/>
  <c r="CO100" i="40" s="1"/>
  <c r="DE100" i="40" s="1"/>
  <c r="DF100" i="40" s="1"/>
  <c r="CE314" i="40"/>
  <c r="CK314" i="40" s="1"/>
  <c r="CW314" i="40" s="1"/>
  <c r="CX314" i="40" s="1"/>
  <c r="CG314" i="40"/>
  <c r="CM314" i="40" s="1"/>
  <c r="DA314" i="40" s="1"/>
  <c r="DB314" i="40" s="1"/>
  <c r="CG311" i="40"/>
  <c r="CM311" i="40" s="1"/>
  <c r="DA311" i="40" s="1"/>
  <c r="DB311" i="40" s="1"/>
  <c r="CG153" i="40"/>
  <c r="CM153" i="40" s="1"/>
  <c r="DA153" i="40" s="1"/>
  <c r="DB153" i="40" s="1"/>
  <c r="CI210" i="40"/>
  <c r="CO210" i="40" s="1"/>
  <c r="DE210" i="40" s="1"/>
  <c r="DF210" i="40" s="1"/>
  <c r="CF140" i="40"/>
  <c r="CL140" i="40" s="1"/>
  <c r="CY140" i="40" s="1"/>
  <c r="CZ140" i="40" s="1"/>
  <c r="CF132" i="40"/>
  <c r="CL132" i="40" s="1"/>
  <c r="CY132" i="40" s="1"/>
  <c r="CZ132" i="40" s="1"/>
  <c r="CE35" i="40"/>
  <c r="CK35" i="40" s="1"/>
  <c r="CW35" i="40" s="1"/>
  <c r="CX35" i="40" s="1"/>
  <c r="CH308" i="40"/>
  <c r="CN308" i="40" s="1"/>
  <c r="DC308" i="40" s="1"/>
  <c r="DD308" i="40" s="1"/>
  <c r="CF73" i="40"/>
  <c r="CL73" i="40" s="1"/>
  <c r="CY73" i="40" s="1"/>
  <c r="CZ73" i="40" s="1"/>
  <c r="CI9" i="40"/>
  <c r="CO9" i="40" s="1"/>
  <c r="DE9" i="40" s="1"/>
  <c r="DF9" i="40" s="1"/>
  <c r="CG293" i="40"/>
  <c r="CM293" i="40" s="1"/>
  <c r="DA293" i="40" s="1"/>
  <c r="DB293" i="40" s="1"/>
  <c r="CE82" i="40"/>
  <c r="CK82" i="40" s="1"/>
  <c r="CW82" i="40" s="1"/>
  <c r="CX82" i="40" s="1"/>
  <c r="CH16" i="40"/>
  <c r="CN16" i="40" s="1"/>
  <c r="DC16" i="40" s="1"/>
  <c r="DD16" i="40" s="1"/>
  <c r="CF95" i="40"/>
  <c r="CL95" i="40" s="1"/>
  <c r="CY95" i="40" s="1"/>
  <c r="CZ95" i="40" s="1"/>
  <c r="CJ27" i="40"/>
  <c r="CP27" i="40" s="1"/>
  <c r="DG27" i="40" s="1"/>
  <c r="DH27" i="40" s="1"/>
  <c r="CF34" i="40"/>
  <c r="CL34" i="40" s="1"/>
  <c r="CY34" i="40" s="1"/>
  <c r="CZ34" i="40" s="1"/>
  <c r="CJ223" i="40"/>
  <c r="CP223" i="40" s="1"/>
  <c r="DG223" i="40" s="1"/>
  <c r="DH223" i="40" s="1"/>
  <c r="CI273" i="40"/>
  <c r="CO273" i="40" s="1"/>
  <c r="DE273" i="40" s="1"/>
  <c r="DF273" i="40" s="1"/>
  <c r="CE230" i="40"/>
  <c r="CK230" i="40" s="1"/>
  <c r="CW230" i="40" s="1"/>
  <c r="CX230" i="40" s="1"/>
  <c r="CI246" i="40"/>
  <c r="CO246" i="40" s="1"/>
  <c r="DE246" i="40" s="1"/>
  <c r="DF246" i="40" s="1"/>
  <c r="CJ203" i="40"/>
  <c r="CP203" i="40" s="1"/>
  <c r="DG203" i="40" s="1"/>
  <c r="DH203" i="40" s="1"/>
  <c r="CI85" i="40"/>
  <c r="CO85" i="40" s="1"/>
  <c r="DE85" i="40" s="1"/>
  <c r="DF85" i="40" s="1"/>
  <c r="CH54" i="40"/>
  <c r="CN54" i="40" s="1"/>
  <c r="DC54" i="40" s="1"/>
  <c r="DD54" i="40" s="1"/>
  <c r="CF188" i="40"/>
  <c r="CL188" i="40" s="1"/>
  <c r="CY188" i="40" s="1"/>
  <c r="CZ188" i="40" s="1"/>
  <c r="CJ261" i="40"/>
  <c r="CP261" i="40" s="1"/>
  <c r="DG261" i="40" s="1"/>
  <c r="DH261" i="40" s="1"/>
  <c r="CJ164" i="40"/>
  <c r="CP164" i="40" s="1"/>
  <c r="DG164" i="40" s="1"/>
  <c r="DH164" i="40" s="1"/>
  <c r="CH8" i="40"/>
  <c r="CN8" i="40" s="1"/>
  <c r="DC8" i="40" s="1"/>
  <c r="DD8" i="40" s="1"/>
  <c r="CE262" i="40"/>
  <c r="CK262" i="40" s="1"/>
  <c r="CW262" i="40" s="1"/>
  <c r="CX262" i="40" s="1"/>
  <c r="CH235" i="40"/>
  <c r="CN235" i="40" s="1"/>
  <c r="DC235" i="40" s="1"/>
  <c r="DD235" i="40" s="1"/>
  <c r="CF178" i="40"/>
  <c r="CL178" i="40" s="1"/>
  <c r="CY178" i="40" s="1"/>
  <c r="CZ178" i="40" s="1"/>
  <c r="CE259" i="40"/>
  <c r="CK259" i="40" s="1"/>
  <c r="CW259" i="40" s="1"/>
  <c r="CX259" i="40" s="1"/>
  <c r="CI176" i="40"/>
  <c r="CO176" i="40" s="1"/>
  <c r="DE176" i="40" s="1"/>
  <c r="DF176" i="40" s="1"/>
  <c r="CI205" i="40"/>
  <c r="CO205" i="40" s="1"/>
  <c r="DE205" i="40" s="1"/>
  <c r="DF205" i="40" s="1"/>
  <c r="CF79" i="40"/>
  <c r="CL79" i="40" s="1"/>
  <c r="CY79" i="40" s="1"/>
  <c r="CZ79" i="40" s="1"/>
  <c r="CF302" i="40"/>
  <c r="CL302" i="40" s="1"/>
  <c r="CY302" i="40" s="1"/>
  <c r="CZ302" i="40" s="1"/>
  <c r="CH302" i="40"/>
  <c r="CN302" i="40" s="1"/>
  <c r="DC302" i="40" s="1"/>
  <c r="DD302" i="40" s="1"/>
  <c r="CG82" i="40"/>
  <c r="CM82" i="40" s="1"/>
  <c r="DA82" i="40" s="1"/>
  <c r="DB82" i="40" s="1"/>
  <c r="CG171" i="40"/>
  <c r="CM171" i="40" s="1"/>
  <c r="DA171" i="40" s="1"/>
  <c r="DB171" i="40" s="1"/>
  <c r="CJ100" i="40"/>
  <c r="CP100" i="40" s="1"/>
  <c r="DG100" i="40" s="1"/>
  <c r="DH100" i="40" s="1"/>
  <c r="CH74" i="40"/>
  <c r="CN74" i="40" s="1"/>
  <c r="DC74" i="40" s="1"/>
  <c r="DD74" i="40" s="1"/>
  <c r="CH129" i="40"/>
  <c r="CN129" i="40" s="1"/>
  <c r="DC129" i="40" s="1"/>
  <c r="DD129" i="40" s="1"/>
  <c r="CF53" i="40"/>
  <c r="CL53" i="40" s="1"/>
  <c r="CY53" i="40" s="1"/>
  <c r="CZ53" i="40" s="1"/>
  <c r="CG302" i="40"/>
  <c r="CM302" i="40" s="1"/>
  <c r="DA302" i="40" s="1"/>
  <c r="DB302" i="40" s="1"/>
  <c r="CG258" i="40"/>
  <c r="CM258" i="40" s="1"/>
  <c r="DA258" i="40" s="1"/>
  <c r="DB258" i="40" s="1"/>
  <c r="CE242" i="40"/>
  <c r="CK242" i="40" s="1"/>
  <c r="CW242" i="40" s="1"/>
  <c r="CX242" i="40" s="1"/>
  <c r="CF242" i="40"/>
  <c r="CL242" i="40" s="1"/>
  <c r="CY242" i="40" s="1"/>
  <c r="CZ242" i="40" s="1"/>
  <c r="CE156" i="40"/>
  <c r="CK156" i="40" s="1"/>
  <c r="CW156" i="40" s="1"/>
  <c r="CX156" i="40" s="1"/>
  <c r="CJ110" i="40"/>
  <c r="CP110" i="40" s="1"/>
  <c r="DG110" i="40" s="1"/>
  <c r="DH110" i="40" s="1"/>
  <c r="CG121" i="40"/>
  <c r="CM121" i="40" s="1"/>
  <c r="DA121" i="40" s="1"/>
  <c r="DB121" i="40" s="1"/>
  <c r="CJ75" i="40"/>
  <c r="CP75" i="40" s="1"/>
  <c r="DG75" i="40" s="1"/>
  <c r="DH75" i="40" s="1"/>
  <c r="CJ34" i="40"/>
  <c r="CP34" i="40" s="1"/>
  <c r="DG34" i="40" s="1"/>
  <c r="DH34" i="40" s="1"/>
  <c r="CF54" i="40"/>
  <c r="CL54" i="40" s="1"/>
  <c r="CY54" i="40" s="1"/>
  <c r="CZ54" i="40" s="1"/>
  <c r="CE188" i="40"/>
  <c r="CK188" i="40" s="1"/>
  <c r="CW188" i="40" s="1"/>
  <c r="CX188" i="40" s="1"/>
  <c r="CH28" i="40"/>
  <c r="CN28" i="40" s="1"/>
  <c r="DC28" i="40" s="1"/>
  <c r="DD28" i="40" s="1"/>
  <c r="CH100" i="40"/>
  <c r="CN100" i="40" s="1"/>
  <c r="DC100" i="40" s="1"/>
  <c r="DD100" i="40" s="1"/>
  <c r="CE253" i="40"/>
  <c r="CK253" i="40" s="1"/>
  <c r="CW253" i="40" s="1"/>
  <c r="CX253" i="40" s="1"/>
  <c r="CI244" i="40"/>
  <c r="CO244" i="40" s="1"/>
  <c r="DE244" i="40" s="1"/>
  <c r="DF244" i="40" s="1"/>
  <c r="CJ210" i="40"/>
  <c r="CP210" i="40" s="1"/>
  <c r="DG210" i="40" s="1"/>
  <c r="DH210" i="40" s="1"/>
  <c r="CF74" i="40"/>
  <c r="CL74" i="40" s="1"/>
  <c r="CY74" i="40" s="1"/>
  <c r="CZ74" i="40" s="1"/>
  <c r="CG295" i="40"/>
  <c r="CM295" i="40" s="1"/>
  <c r="DA295" i="40" s="1"/>
  <c r="DB295" i="40" s="1"/>
  <c r="CF254" i="40"/>
  <c r="CL254" i="40" s="1"/>
  <c r="CY254" i="40" s="1"/>
  <c r="CZ254" i="40" s="1"/>
  <c r="CH254" i="40"/>
  <c r="CN254" i="40" s="1"/>
  <c r="DC254" i="40" s="1"/>
  <c r="DD254" i="40" s="1"/>
  <c r="CE205" i="40"/>
  <c r="CK205" i="40" s="1"/>
  <c r="CW205" i="40" s="1"/>
  <c r="CX205" i="40" s="1"/>
  <c r="CG109" i="40"/>
  <c r="CM109" i="40" s="1"/>
  <c r="DA109" i="40" s="1"/>
  <c r="DB109" i="40" s="1"/>
  <c r="CG45" i="40"/>
  <c r="CM45" i="40" s="1"/>
  <c r="DA45" i="40" s="1"/>
  <c r="DB45" i="40" s="1"/>
  <c r="CI200" i="40"/>
  <c r="CO200" i="40" s="1"/>
  <c r="DE200" i="40" s="1"/>
  <c r="DF200" i="40" s="1"/>
  <c r="CG221" i="40"/>
  <c r="CM221" i="40" s="1"/>
  <c r="DA221" i="40" s="1"/>
  <c r="DB221" i="40" s="1"/>
  <c r="CE248" i="40"/>
  <c r="CK248" i="40" s="1"/>
  <c r="CW248" i="40" s="1"/>
  <c r="CX248" i="40" s="1"/>
  <c r="CF248" i="40"/>
  <c r="CL248" i="40" s="1"/>
  <c r="CY248" i="40" s="1"/>
  <c r="CZ248" i="40" s="1"/>
  <c r="CJ188" i="40"/>
  <c r="CP188" i="40" s="1"/>
  <c r="DG188" i="40" s="1"/>
  <c r="DH188" i="40" s="1"/>
  <c r="CF28" i="40"/>
  <c r="CL28" i="40" s="1"/>
  <c r="CY28" i="40" s="1"/>
  <c r="CZ28" i="40" s="1"/>
  <c r="CG261" i="40"/>
  <c r="CM261" i="40" s="1"/>
  <c r="DA261" i="40" s="1"/>
  <c r="DB261" i="40" s="1"/>
  <c r="CJ311" i="40"/>
  <c r="CP311" i="40" s="1"/>
  <c r="DG311" i="40" s="1"/>
  <c r="DH311" i="40" s="1"/>
  <c r="CG235" i="40"/>
  <c r="CM235" i="40" s="1"/>
  <c r="DA235" i="40" s="1"/>
  <c r="DB235" i="40" s="1"/>
  <c r="CJ189" i="40"/>
  <c r="CP189" i="40" s="1"/>
  <c r="DG189" i="40" s="1"/>
  <c r="DH189" i="40" s="1"/>
  <c r="CI110" i="40"/>
  <c r="CO110" i="40" s="1"/>
  <c r="DE110" i="40" s="1"/>
  <c r="DF110" i="40" s="1"/>
  <c r="CG303" i="40"/>
  <c r="CM303" i="40" s="1"/>
  <c r="DA303" i="40" s="1"/>
  <c r="DB303" i="40" s="1"/>
  <c r="CE185" i="40"/>
  <c r="CK185" i="40" s="1"/>
  <c r="CW185" i="40" s="1"/>
  <c r="CX185" i="40" s="1"/>
  <c r="CE42" i="40"/>
  <c r="CK42" i="40" s="1"/>
  <c r="CW42" i="40" s="1"/>
  <c r="CX42" i="40" s="1"/>
  <c r="CH222" i="40"/>
  <c r="CN222" i="40" s="1"/>
  <c r="DC222" i="40" s="1"/>
  <c r="DD222" i="40" s="1"/>
  <c r="CF142" i="40"/>
  <c r="CL142" i="40" s="1"/>
  <c r="CY142" i="40" s="1"/>
  <c r="CZ142" i="40" s="1"/>
  <c r="CJ148" i="40"/>
  <c r="CP148" i="40" s="1"/>
  <c r="DG148" i="40" s="1"/>
  <c r="DH148" i="40" s="1"/>
  <c r="CG210" i="40"/>
  <c r="CM210" i="40" s="1"/>
  <c r="DA210" i="40" s="1"/>
  <c r="DB210" i="40" s="1"/>
  <c r="CG107" i="40"/>
  <c r="CM107" i="40" s="1"/>
  <c r="DA107" i="40" s="1"/>
  <c r="DB107" i="40" s="1"/>
  <c r="CE183" i="40"/>
  <c r="CK183" i="40" s="1"/>
  <c r="CW183" i="40" s="1"/>
  <c r="CX183" i="40" s="1"/>
  <c r="CE45" i="40"/>
  <c r="CK45" i="40" s="1"/>
  <c r="CW45" i="40" s="1"/>
  <c r="CX45" i="40" s="1"/>
  <c r="CG139" i="40"/>
  <c r="CM139" i="40" s="1"/>
  <c r="DA139" i="40" s="1"/>
  <c r="DB139" i="40" s="1"/>
  <c r="CJ25" i="40"/>
  <c r="CP25" i="40" s="1"/>
  <c r="DG25" i="40" s="1"/>
  <c r="DH25" i="40" s="1"/>
  <c r="CG181" i="40"/>
  <c r="CM181" i="40" s="1"/>
  <c r="DA181" i="40" s="1"/>
  <c r="DB181" i="40" s="1"/>
  <c r="CH6" i="40"/>
  <c r="CN6" i="40" s="1"/>
  <c r="DC6" i="40" s="1"/>
  <c r="DD6" i="40" s="1"/>
  <c r="CE269" i="40"/>
  <c r="CK269" i="40" s="1"/>
  <c r="CW269" i="40" s="1"/>
  <c r="CX269" i="40" s="1"/>
  <c r="CJ237" i="40"/>
  <c r="CP237" i="40" s="1"/>
  <c r="DG237" i="40" s="1"/>
  <c r="DH237" i="40" s="1"/>
  <c r="CI167" i="40"/>
  <c r="CO167" i="40" s="1"/>
  <c r="DE167" i="40" s="1"/>
  <c r="DF167" i="40" s="1"/>
  <c r="CJ120" i="40"/>
  <c r="CP120" i="40" s="1"/>
  <c r="DG120" i="40" s="1"/>
  <c r="DH120" i="40" s="1"/>
  <c r="CE291" i="40"/>
  <c r="CK291" i="40" s="1"/>
  <c r="CW291" i="40" s="1"/>
  <c r="CX291" i="40" s="1"/>
  <c r="CE44" i="40"/>
  <c r="CK44" i="40" s="1"/>
  <c r="CW44" i="40" s="1"/>
  <c r="CX44" i="40" s="1"/>
  <c r="CG256" i="40"/>
  <c r="CM256" i="40" s="1"/>
  <c r="DA256" i="40" s="1"/>
  <c r="DB256" i="40" s="1"/>
  <c r="CJ178" i="40"/>
  <c r="CP178" i="40" s="1"/>
  <c r="DG178" i="40" s="1"/>
  <c r="DH178" i="40" s="1"/>
  <c r="CF101" i="40"/>
  <c r="CL101" i="40" s="1"/>
  <c r="CY101" i="40" s="1"/>
  <c r="CZ101" i="40" s="1"/>
  <c r="CE189" i="40"/>
  <c r="CK189" i="40" s="1"/>
  <c r="CW189" i="40" s="1"/>
  <c r="CX189" i="40" s="1"/>
  <c r="CI259" i="40"/>
  <c r="CO259" i="40" s="1"/>
  <c r="DE259" i="40" s="1"/>
  <c r="DF259" i="40" s="1"/>
  <c r="CH205" i="40"/>
  <c r="CN205" i="40" s="1"/>
  <c r="DC205" i="40" s="1"/>
  <c r="DD205" i="40" s="1"/>
  <c r="CF14" i="40"/>
  <c r="CL14" i="40" s="1"/>
  <c r="CY14" i="40" s="1"/>
  <c r="CZ14" i="40" s="1"/>
  <c r="CF67" i="40"/>
  <c r="CL67" i="40" s="1"/>
  <c r="CY67" i="40" s="1"/>
  <c r="CZ67" i="40" s="1"/>
  <c r="CI187" i="40"/>
  <c r="CO187" i="40" s="1"/>
  <c r="DE187" i="40" s="1"/>
  <c r="DF187" i="40" s="1"/>
  <c r="CE59" i="40"/>
  <c r="CK59" i="40" s="1"/>
  <c r="CW59" i="40" s="1"/>
  <c r="CX59" i="40" s="1"/>
  <c r="CI288" i="40"/>
  <c r="CO288" i="40" s="1"/>
  <c r="DE288" i="40" s="1"/>
  <c r="DF288" i="40" s="1"/>
  <c r="CE283" i="40"/>
  <c r="CK283" i="40" s="1"/>
  <c r="CW283" i="40" s="1"/>
  <c r="CX283" i="40" s="1"/>
  <c r="CH151" i="40"/>
  <c r="CN151" i="40" s="1"/>
  <c r="DC151" i="40" s="1"/>
  <c r="DD151" i="40" s="1"/>
  <c r="CJ124" i="40"/>
  <c r="CP124" i="40" s="1"/>
  <c r="DG124" i="40" s="1"/>
  <c r="DH124" i="40" s="1"/>
  <c r="CG57" i="40"/>
  <c r="CM57" i="40" s="1"/>
  <c r="DA57" i="40" s="1"/>
  <c r="DB57" i="40" s="1"/>
  <c r="CF174" i="40"/>
  <c r="CL174" i="40" s="1"/>
  <c r="CY174" i="40" s="1"/>
  <c r="CZ174" i="40" s="1"/>
  <c r="CE249" i="40"/>
  <c r="CK249" i="40" s="1"/>
  <c r="CW249" i="40" s="1"/>
  <c r="CX249" i="40" s="1"/>
  <c r="CJ196" i="40"/>
  <c r="CP196" i="40" s="1"/>
  <c r="DG196" i="40" s="1"/>
  <c r="DH196" i="40" s="1"/>
  <c r="CJ82" i="40"/>
  <c r="CP82" i="40" s="1"/>
  <c r="DG82" i="40" s="1"/>
  <c r="DH82" i="40" s="1"/>
  <c r="CJ199" i="40"/>
  <c r="CP199" i="40" s="1"/>
  <c r="DG199" i="40" s="1"/>
  <c r="DH199" i="40" s="1"/>
  <c r="CH219" i="40"/>
  <c r="CN219" i="40" s="1"/>
  <c r="DC219" i="40" s="1"/>
  <c r="DD219" i="40" s="1"/>
  <c r="CH193" i="40"/>
  <c r="CN193" i="40" s="1"/>
  <c r="DC193" i="40" s="1"/>
  <c r="DD193" i="40" s="1"/>
  <c r="CE138" i="40"/>
  <c r="CK138" i="40" s="1"/>
  <c r="CW138" i="40" s="1"/>
  <c r="CX138" i="40" s="1"/>
  <c r="CH64" i="40"/>
  <c r="CN64" i="40" s="1"/>
  <c r="DC64" i="40" s="1"/>
  <c r="DD64" i="40" s="1"/>
  <c r="CE143" i="40"/>
  <c r="CK143" i="40" s="1"/>
  <c r="CW143" i="40" s="1"/>
  <c r="CX143" i="40" s="1"/>
  <c r="CI92" i="40"/>
  <c r="CO92" i="40" s="1"/>
  <c r="DE92" i="40" s="1"/>
  <c r="DF92" i="40" s="1"/>
  <c r="CI30" i="40"/>
  <c r="CO30" i="40" s="1"/>
  <c r="DE30" i="40" s="1"/>
  <c r="DF30" i="40" s="1"/>
  <c r="CE202" i="40"/>
  <c r="CK202" i="40" s="1"/>
  <c r="CW202" i="40" s="1"/>
  <c r="CX202" i="40" s="1"/>
  <c r="CI192" i="40"/>
  <c r="CO192" i="40" s="1"/>
  <c r="DE192" i="40" s="1"/>
  <c r="DF192" i="40" s="1"/>
  <c r="CH24" i="40"/>
  <c r="CN24" i="40" s="1"/>
  <c r="DC24" i="40" s="1"/>
  <c r="DD24" i="40" s="1"/>
  <c r="CH171" i="40"/>
  <c r="CN171" i="40" s="1"/>
  <c r="DC171" i="40" s="1"/>
  <c r="DD171" i="40" s="1"/>
  <c r="CF145" i="40"/>
  <c r="CL145" i="40" s="1"/>
  <c r="CY145" i="40" s="1"/>
  <c r="CZ145" i="40" s="1"/>
  <c r="CH145" i="40"/>
  <c r="CN145" i="40" s="1"/>
  <c r="DC145" i="40" s="1"/>
  <c r="DD145" i="40" s="1"/>
  <c r="CH182" i="40"/>
  <c r="CN182" i="40" s="1"/>
  <c r="DC182" i="40" s="1"/>
  <c r="DD182" i="40" s="1"/>
  <c r="CG166" i="40"/>
  <c r="CM166" i="40" s="1"/>
  <c r="DA166" i="40" s="1"/>
  <c r="DB166" i="40" s="1"/>
  <c r="CG53" i="40"/>
  <c r="CM53" i="40" s="1"/>
  <c r="DA53" i="40" s="1"/>
  <c r="DB53" i="40" s="1"/>
  <c r="CH53" i="40"/>
  <c r="CN53" i="40" s="1"/>
  <c r="DC53" i="40" s="1"/>
  <c r="DD53" i="40" s="1"/>
  <c r="CJ283" i="40"/>
  <c r="CP283" i="40" s="1"/>
  <c r="DG283" i="40" s="1"/>
  <c r="DH283" i="40" s="1"/>
  <c r="CF151" i="40"/>
  <c r="CL151" i="40" s="1"/>
  <c r="CY151" i="40" s="1"/>
  <c r="CZ151" i="40" s="1"/>
  <c r="CF109" i="40"/>
  <c r="CL109" i="40" s="1"/>
  <c r="CY109" i="40" s="1"/>
  <c r="CZ109" i="40" s="1"/>
  <c r="CE107" i="40"/>
  <c r="CK107" i="40" s="1"/>
  <c r="CW107" i="40" s="1"/>
  <c r="CX107" i="40" s="1"/>
  <c r="CJ174" i="40"/>
  <c r="CP174" i="40" s="1"/>
  <c r="DG174" i="40" s="1"/>
  <c r="DH174" i="40" s="1"/>
  <c r="CF12" i="40"/>
  <c r="CL12" i="40" s="1"/>
  <c r="CY12" i="40" s="1"/>
  <c r="CZ12" i="40" s="1"/>
  <c r="CF173" i="40"/>
  <c r="CL173" i="40" s="1"/>
  <c r="CY173" i="40" s="1"/>
  <c r="CZ173" i="40" s="1"/>
  <c r="CJ185" i="40"/>
  <c r="CP185" i="40" s="1"/>
  <c r="DG185" i="40" s="1"/>
  <c r="DH185" i="40" s="1"/>
  <c r="CJ147" i="40"/>
  <c r="CP147" i="40" s="1"/>
  <c r="DG147" i="40" s="1"/>
  <c r="DH147" i="40" s="1"/>
  <c r="CH75" i="40"/>
  <c r="CN75" i="40" s="1"/>
  <c r="DC75" i="40" s="1"/>
  <c r="DD75" i="40" s="1"/>
  <c r="CF226" i="40"/>
  <c r="CL226" i="40" s="1"/>
  <c r="CY226" i="40" s="1"/>
  <c r="CZ226" i="40" s="1"/>
  <c r="CG275" i="40"/>
  <c r="CM275" i="40" s="1"/>
  <c r="DA275" i="40" s="1"/>
  <c r="DB275" i="40" s="1"/>
  <c r="CE186" i="40"/>
  <c r="CK186" i="40" s="1"/>
  <c r="CW186" i="40" s="1"/>
  <c r="CX186" i="40" s="1"/>
  <c r="CJ104" i="40"/>
  <c r="CP104" i="40" s="1"/>
  <c r="DG104" i="40" s="1"/>
  <c r="DH104" i="40" s="1"/>
  <c r="CJ11" i="40"/>
  <c r="CP11" i="40" s="1"/>
  <c r="DG11" i="40" s="1"/>
  <c r="DH11" i="40" s="1"/>
  <c r="CG28" i="40"/>
  <c r="CM28" i="40" s="1"/>
  <c r="DA28" i="40" s="1"/>
  <c r="DB28" i="40" s="1"/>
  <c r="CE86" i="40"/>
  <c r="CK86" i="40" s="1"/>
  <c r="CW86" i="40" s="1"/>
  <c r="CX86" i="40" s="1"/>
  <c r="CE236" i="40"/>
  <c r="CK236" i="40" s="1"/>
  <c r="CW236" i="40" s="1"/>
  <c r="CX236" i="40" s="1"/>
  <c r="CF133" i="40"/>
  <c r="CL133" i="40" s="1"/>
  <c r="CY133" i="40" s="1"/>
  <c r="CZ133" i="40" s="1"/>
  <c r="CE132" i="40"/>
  <c r="CK132" i="40" s="1"/>
  <c r="CW132" i="40" s="1"/>
  <c r="CX132" i="40" s="1"/>
  <c r="CH40" i="40"/>
  <c r="CN40" i="40" s="1"/>
  <c r="DC40" i="40" s="1"/>
  <c r="DD40" i="40" s="1"/>
  <c r="CI166" i="40"/>
  <c r="CO166" i="40" s="1"/>
  <c r="DE166" i="40" s="1"/>
  <c r="DF166" i="40" s="1"/>
  <c r="CI18" i="40"/>
  <c r="CO18" i="40" s="1"/>
  <c r="DE18" i="40" s="1"/>
  <c r="DF18" i="40" s="1"/>
  <c r="BF268" i="17"/>
  <c r="BN268" i="17" s="1"/>
  <c r="CE218" i="17"/>
  <c r="CK218" i="17" s="1"/>
  <c r="CW218" i="17" s="1"/>
  <c r="CX218" i="17" s="1"/>
  <c r="CI261" i="17"/>
  <c r="CO261" i="17" s="1"/>
  <c r="DE261" i="17" s="1"/>
  <c r="DF261" i="17" s="1"/>
  <c r="CH134" i="17"/>
  <c r="CN134" i="17" s="1"/>
  <c r="DC134" i="17" s="1"/>
  <c r="DD134" i="17" s="1"/>
  <c r="CE176" i="17"/>
  <c r="CK176" i="17" s="1"/>
  <c r="CW176" i="17" s="1"/>
  <c r="CX176" i="17" s="1"/>
  <c r="CJ118" i="17"/>
  <c r="CP118" i="17" s="1"/>
  <c r="DG118" i="17" s="1"/>
  <c r="DH118" i="17" s="1"/>
  <c r="CE17" i="17"/>
  <c r="CK17" i="17" s="1"/>
  <c r="CW17" i="17" s="1"/>
  <c r="CX17" i="17" s="1"/>
  <c r="CF169" i="17"/>
  <c r="CL169" i="17" s="1"/>
  <c r="CY169" i="17" s="1"/>
  <c r="CZ169" i="17" s="1"/>
  <c r="CE145" i="40"/>
  <c r="CK145" i="40" s="1"/>
  <c r="CW145" i="40" s="1"/>
  <c r="CX145" i="40" s="1"/>
  <c r="CG22" i="40"/>
  <c r="CM22" i="40" s="1"/>
  <c r="DA22" i="40" s="1"/>
  <c r="DB22" i="40" s="1"/>
  <c r="CI22" i="40"/>
  <c r="CO22" i="40" s="1"/>
  <c r="DE22" i="40" s="1"/>
  <c r="DF22" i="40" s="1"/>
  <c r="CE258" i="40"/>
  <c r="CK258" i="40" s="1"/>
  <c r="CW258" i="40" s="1"/>
  <c r="CX258" i="40" s="1"/>
  <c r="CG32" i="40"/>
  <c r="CM32" i="40" s="1"/>
  <c r="DA32" i="40" s="1"/>
  <c r="DB32" i="40" s="1"/>
  <c r="CF183" i="40"/>
  <c r="CL183" i="40" s="1"/>
  <c r="CY183" i="40" s="1"/>
  <c r="CZ183" i="40" s="1"/>
  <c r="CH45" i="40"/>
  <c r="CN45" i="40" s="1"/>
  <c r="DC45" i="40" s="1"/>
  <c r="DD45" i="40" s="1"/>
  <c r="CE48" i="40"/>
  <c r="CK48" i="40" s="1"/>
  <c r="CW48" i="40" s="1"/>
  <c r="CX48" i="40" s="1"/>
  <c r="CE221" i="40"/>
  <c r="CK221" i="40" s="1"/>
  <c r="CW221" i="40" s="1"/>
  <c r="CX221" i="40" s="1"/>
  <c r="CI106" i="40"/>
  <c r="CO106" i="40" s="1"/>
  <c r="DE106" i="40" s="1"/>
  <c r="DF106" i="40" s="1"/>
  <c r="CH159" i="40"/>
  <c r="CN159" i="40" s="1"/>
  <c r="DC159" i="40" s="1"/>
  <c r="DD159" i="40" s="1"/>
  <c r="CE7" i="40"/>
  <c r="CK7" i="40" s="1"/>
  <c r="CW7" i="40" s="1"/>
  <c r="CX7" i="40" s="1"/>
  <c r="CG204" i="40"/>
  <c r="CM204" i="40" s="1"/>
  <c r="DA204" i="40" s="1"/>
  <c r="DB204" i="40" s="1"/>
  <c r="CE46" i="40"/>
  <c r="CK46" i="40" s="1"/>
  <c r="CW46" i="40" s="1"/>
  <c r="CX46" i="40" s="1"/>
  <c r="CE213" i="40"/>
  <c r="CK213" i="40" s="1"/>
  <c r="CW213" i="40" s="1"/>
  <c r="CX213" i="40" s="1"/>
  <c r="CJ307" i="40"/>
  <c r="CP307" i="40" s="1"/>
  <c r="DG307" i="40" s="1"/>
  <c r="DH307" i="40" s="1"/>
  <c r="CE282" i="40"/>
  <c r="CK282" i="40" s="1"/>
  <c r="CW282" i="40" s="1"/>
  <c r="CX282" i="40" s="1"/>
  <c r="CG282" i="40"/>
  <c r="CM282" i="40" s="1"/>
  <c r="DA282" i="40" s="1"/>
  <c r="DB282" i="40" s="1"/>
  <c r="CE225" i="40"/>
  <c r="CK225" i="40" s="1"/>
  <c r="CW225" i="40" s="1"/>
  <c r="CX225" i="40" s="1"/>
  <c r="CE179" i="40"/>
  <c r="CK179" i="40" s="1"/>
  <c r="CW179" i="40" s="1"/>
  <c r="CX179" i="40" s="1"/>
  <c r="CE164" i="40"/>
  <c r="CK164" i="40" s="1"/>
  <c r="CW164" i="40" s="1"/>
  <c r="CX164" i="40" s="1"/>
  <c r="CI132" i="40"/>
  <c r="CO132" i="40" s="1"/>
  <c r="DE132" i="40" s="1"/>
  <c r="DF132" i="40" s="1"/>
  <c r="CF99" i="40"/>
  <c r="CL99" i="40" s="1"/>
  <c r="CY99" i="40" s="1"/>
  <c r="CZ99" i="40" s="1"/>
  <c r="CF258" i="40"/>
  <c r="CL258" i="40" s="1"/>
  <c r="CY258" i="40" s="1"/>
  <c r="CZ258" i="40" s="1"/>
  <c r="CI144" i="40"/>
  <c r="CO144" i="40" s="1"/>
  <c r="DE144" i="40" s="1"/>
  <c r="DF144" i="40" s="1"/>
  <c r="CH37" i="40"/>
  <c r="CN37" i="40" s="1"/>
  <c r="DC37" i="40" s="1"/>
  <c r="DD37" i="40" s="1"/>
  <c r="CJ83" i="40"/>
  <c r="CP83" i="40" s="1"/>
  <c r="DG83" i="40" s="1"/>
  <c r="DH83" i="40" s="1"/>
  <c r="CG316" i="40"/>
  <c r="CM316" i="40" s="1"/>
  <c r="DA316" i="40" s="1"/>
  <c r="DB316" i="40" s="1"/>
  <c r="CE232" i="40"/>
  <c r="CK232" i="40" s="1"/>
  <c r="CW232" i="40" s="1"/>
  <c r="CX232" i="40" s="1"/>
  <c r="CF318" i="40"/>
  <c r="CL318" i="40" s="1"/>
  <c r="CY318" i="40" s="1"/>
  <c r="CZ318" i="40" s="1"/>
  <c r="CI139" i="40"/>
  <c r="CO139" i="40" s="1"/>
  <c r="DE139" i="40" s="1"/>
  <c r="DF139" i="40" s="1"/>
  <c r="CG80" i="40"/>
  <c r="CM80" i="40" s="1"/>
  <c r="DA80" i="40" s="1"/>
  <c r="DB80" i="40" s="1"/>
  <c r="CE211" i="40"/>
  <c r="CK211" i="40" s="1"/>
  <c r="CW211" i="40" s="1"/>
  <c r="CX211" i="40" s="1"/>
  <c r="CG310" i="40"/>
  <c r="CM310" i="40" s="1"/>
  <c r="DA310" i="40" s="1"/>
  <c r="DB310" i="40" s="1"/>
  <c r="CI44" i="40"/>
  <c r="CO44" i="40" s="1"/>
  <c r="DE44" i="40" s="1"/>
  <c r="DF44" i="40" s="1"/>
  <c r="CE153" i="40"/>
  <c r="CK153" i="40" s="1"/>
  <c r="CW153" i="40" s="1"/>
  <c r="CX153" i="40" s="1"/>
  <c r="CJ132" i="40"/>
  <c r="CP132" i="40" s="1"/>
  <c r="DG132" i="40" s="1"/>
  <c r="DH132" i="40" s="1"/>
  <c r="CI245" i="40"/>
  <c r="CO245" i="40" s="1"/>
  <c r="DE245" i="40" s="1"/>
  <c r="DF245" i="40" s="1"/>
  <c r="CE302" i="40"/>
  <c r="CK302" i="40" s="1"/>
  <c r="CW302" i="40" s="1"/>
  <c r="CX302" i="40" s="1"/>
  <c r="CI156" i="40"/>
  <c r="CO156" i="40" s="1"/>
  <c r="DE156" i="40" s="1"/>
  <c r="DF156" i="40" s="1"/>
  <c r="CF87" i="40"/>
  <c r="CL87" i="40" s="1"/>
  <c r="CY87" i="40" s="1"/>
  <c r="CZ87" i="40" s="1"/>
  <c r="CF118" i="40"/>
  <c r="CL118" i="40" s="1"/>
  <c r="CY118" i="40" s="1"/>
  <c r="CZ118" i="40" s="1"/>
  <c r="CF309" i="40"/>
  <c r="CL309" i="40" s="1"/>
  <c r="CY309" i="40" s="1"/>
  <c r="CZ309" i="40" s="1"/>
  <c r="CG309" i="40"/>
  <c r="CM309" i="40" s="1"/>
  <c r="DA309" i="40" s="1"/>
  <c r="DB309" i="40" s="1"/>
  <c r="CF240" i="40"/>
  <c r="CL240" i="40" s="1"/>
  <c r="CY240" i="40" s="1"/>
  <c r="CZ240" i="40" s="1"/>
  <c r="CJ241" i="40"/>
  <c r="CP241" i="40" s="1"/>
  <c r="DG241" i="40" s="1"/>
  <c r="DH241" i="40" s="1"/>
  <c r="CH213" i="40"/>
  <c r="CN213" i="40" s="1"/>
  <c r="DC213" i="40" s="1"/>
  <c r="DD213" i="40" s="1"/>
  <c r="CH121" i="40"/>
  <c r="CN121" i="40" s="1"/>
  <c r="DC121" i="40" s="1"/>
  <c r="DD121" i="40" s="1"/>
  <c r="CJ108" i="40"/>
  <c r="CP108" i="40" s="1"/>
  <c r="DG108" i="40" s="1"/>
  <c r="DH108" i="40" s="1"/>
  <c r="CH49" i="40"/>
  <c r="CN49" i="40" s="1"/>
  <c r="DC49" i="40" s="1"/>
  <c r="DD49" i="40" s="1"/>
  <c r="CF75" i="40"/>
  <c r="CL75" i="40" s="1"/>
  <c r="CY75" i="40" s="1"/>
  <c r="CZ75" i="40" s="1"/>
  <c r="CG226" i="40"/>
  <c r="CM226" i="40" s="1"/>
  <c r="DA226" i="40" s="1"/>
  <c r="DB226" i="40" s="1"/>
  <c r="CG113" i="40"/>
  <c r="CM113" i="40" s="1"/>
  <c r="DA113" i="40" s="1"/>
  <c r="DB113" i="40" s="1"/>
  <c r="CI6" i="40"/>
  <c r="CO6" i="40" s="1"/>
  <c r="DE6" i="40" s="1"/>
  <c r="DF6" i="40" s="1"/>
  <c r="CG123" i="40"/>
  <c r="CM123" i="40" s="1"/>
  <c r="DA123" i="40" s="1"/>
  <c r="DB123" i="40" s="1"/>
  <c r="CF224" i="40"/>
  <c r="CL224" i="40" s="1"/>
  <c r="CY224" i="40" s="1"/>
  <c r="CZ224" i="40" s="1"/>
  <c r="CJ225" i="40"/>
  <c r="CP225" i="40" s="1"/>
  <c r="DG225" i="40" s="1"/>
  <c r="DH225" i="40" s="1"/>
  <c r="CI197" i="40"/>
  <c r="CO197" i="40" s="1"/>
  <c r="DE197" i="40" s="1"/>
  <c r="DF197" i="40" s="1"/>
  <c r="CH149" i="40"/>
  <c r="CN149" i="40" s="1"/>
  <c r="DC149" i="40" s="1"/>
  <c r="DD149" i="40" s="1"/>
  <c r="CH69" i="40"/>
  <c r="CN69" i="40" s="1"/>
  <c r="DC69" i="40" s="1"/>
  <c r="DD69" i="40" s="1"/>
  <c r="CH33" i="40"/>
  <c r="CN33" i="40" s="1"/>
  <c r="DC33" i="40" s="1"/>
  <c r="DD33" i="40" s="1"/>
  <c r="CG77" i="40"/>
  <c r="CM77" i="40" s="1"/>
  <c r="DA77" i="40" s="1"/>
  <c r="DB77" i="40" s="1"/>
  <c r="CF229" i="40"/>
  <c r="CL229" i="40" s="1"/>
  <c r="CY229" i="40" s="1"/>
  <c r="CZ229" i="40" s="1"/>
  <c r="CG137" i="40"/>
  <c r="CM137" i="40" s="1"/>
  <c r="DA137" i="40" s="1"/>
  <c r="DB137" i="40" s="1"/>
  <c r="CG150" i="40"/>
  <c r="CM150" i="40" s="1"/>
  <c r="DA150" i="40" s="1"/>
  <c r="DB150" i="40" s="1"/>
  <c r="CI129" i="40"/>
  <c r="CO129" i="40" s="1"/>
  <c r="DE129" i="40" s="1"/>
  <c r="DF129" i="40" s="1"/>
  <c r="CE53" i="40"/>
  <c r="CK53" i="40" s="1"/>
  <c r="CW53" i="40" s="1"/>
  <c r="CX53" i="40" s="1"/>
  <c r="CH245" i="40"/>
  <c r="CN245" i="40" s="1"/>
  <c r="DC245" i="40" s="1"/>
  <c r="DD245" i="40" s="1"/>
  <c r="CH242" i="40"/>
  <c r="CN242" i="40" s="1"/>
  <c r="DC242" i="40" s="1"/>
  <c r="DD242" i="40" s="1"/>
  <c r="CG156" i="40"/>
  <c r="CM156" i="40" s="1"/>
  <c r="DA156" i="40" s="1"/>
  <c r="DB156" i="40" s="1"/>
  <c r="CF204" i="40"/>
  <c r="CL204" i="40" s="1"/>
  <c r="CY204" i="40" s="1"/>
  <c r="CZ204" i="40" s="1"/>
  <c r="CF144" i="40"/>
  <c r="CL144" i="40" s="1"/>
  <c r="CY144" i="40" s="1"/>
  <c r="CZ144" i="40" s="1"/>
  <c r="CF83" i="40"/>
  <c r="CL83" i="40" s="1"/>
  <c r="CY83" i="40" s="1"/>
  <c r="CZ83" i="40" s="1"/>
  <c r="CI316" i="40"/>
  <c r="CO316" i="40" s="1"/>
  <c r="DE316" i="40" s="1"/>
  <c r="DF316" i="40" s="1"/>
  <c r="CJ278" i="40"/>
  <c r="CP278" i="40" s="1"/>
  <c r="DG278" i="40" s="1"/>
  <c r="DH278" i="40" s="1"/>
  <c r="CE68" i="40"/>
  <c r="CK68" i="40" s="1"/>
  <c r="CW68" i="40" s="1"/>
  <c r="CX68" i="40" s="1"/>
  <c r="CJ318" i="40"/>
  <c r="CP318" i="40" s="1"/>
  <c r="DG318" i="40" s="1"/>
  <c r="DH318" i="40" s="1"/>
  <c r="CF231" i="40"/>
  <c r="CL231" i="40" s="1"/>
  <c r="CY231" i="40" s="1"/>
  <c r="CZ231" i="40" s="1"/>
  <c r="CF200" i="40"/>
  <c r="CL200" i="40" s="1"/>
  <c r="CY200" i="40" s="1"/>
  <c r="CZ200" i="40" s="1"/>
  <c r="CG105" i="40"/>
  <c r="CM105" i="40" s="1"/>
  <c r="DA105" i="40" s="1"/>
  <c r="DB105" i="40" s="1"/>
  <c r="CJ63" i="40"/>
  <c r="CP63" i="40" s="1"/>
  <c r="DG63" i="40" s="1"/>
  <c r="DH63" i="40" s="1"/>
  <c r="CI126" i="40"/>
  <c r="CO126" i="40" s="1"/>
  <c r="DE126" i="40" s="1"/>
  <c r="DF126" i="40" s="1"/>
  <c r="CG47" i="40"/>
  <c r="CM47" i="40" s="1"/>
  <c r="DA47" i="40" s="1"/>
  <c r="DB47" i="40" s="1"/>
  <c r="CH152" i="40"/>
  <c r="CN152" i="40" s="1"/>
  <c r="DC152" i="40" s="1"/>
  <c r="DD152" i="40" s="1"/>
  <c r="CG244" i="40"/>
  <c r="CM244" i="40" s="1"/>
  <c r="DA244" i="40" s="1"/>
  <c r="DB244" i="40" s="1"/>
  <c r="CH153" i="40"/>
  <c r="CN153" i="40" s="1"/>
  <c r="DC153" i="40" s="1"/>
  <c r="DD153" i="40" s="1"/>
  <c r="CG140" i="40"/>
  <c r="CM140" i="40" s="1"/>
  <c r="DA140" i="40" s="1"/>
  <c r="DB140" i="40" s="1"/>
  <c r="CI140" i="40"/>
  <c r="CO140" i="40" s="1"/>
  <c r="DE140" i="40" s="1"/>
  <c r="DF140" i="40" s="1"/>
  <c r="CJ74" i="40"/>
  <c r="CP74" i="40" s="1"/>
  <c r="DG74" i="40" s="1"/>
  <c r="DH74" i="40" s="1"/>
  <c r="CJ40" i="40"/>
  <c r="CP40" i="40" s="1"/>
  <c r="DG40" i="40" s="1"/>
  <c r="DH40" i="40" s="1"/>
  <c r="CE295" i="40"/>
  <c r="CK295" i="40" s="1"/>
  <c r="CW295" i="40" s="1"/>
  <c r="CX295" i="40" s="1"/>
  <c r="CE254" i="40"/>
  <c r="CK254" i="40" s="1"/>
  <c r="CW254" i="40" s="1"/>
  <c r="CX254" i="40" s="1"/>
  <c r="CE176" i="40"/>
  <c r="CK176" i="40" s="1"/>
  <c r="CW176" i="40" s="1"/>
  <c r="CX176" i="40" s="1"/>
  <c r="CI122" i="40"/>
  <c r="CO122" i="40" s="1"/>
  <c r="DE122" i="40" s="1"/>
  <c r="DF122" i="40" s="1"/>
  <c r="CE234" i="40"/>
  <c r="CK234" i="40" s="1"/>
  <c r="CW234" i="40" s="1"/>
  <c r="CX234" i="40" s="1"/>
  <c r="CE220" i="40"/>
  <c r="CK220" i="40" s="1"/>
  <c r="CW220" i="40" s="1"/>
  <c r="CX220" i="40" s="1"/>
  <c r="CJ80" i="40"/>
  <c r="CP80" i="40" s="1"/>
  <c r="DG80" i="40" s="1"/>
  <c r="DH80" i="40" s="1"/>
  <c r="CE271" i="40"/>
  <c r="CK271" i="40" s="1"/>
  <c r="CW271" i="40" s="1"/>
  <c r="CX271" i="40" s="1"/>
  <c r="CE20" i="40"/>
  <c r="CK20" i="40" s="1"/>
  <c r="CW20" i="40" s="1"/>
  <c r="CX20" i="40" s="1"/>
  <c r="CJ123" i="40"/>
  <c r="CP123" i="40" s="1"/>
  <c r="DG123" i="40" s="1"/>
  <c r="DH123" i="40" s="1"/>
  <c r="CI162" i="40"/>
  <c r="CO162" i="40" s="1"/>
  <c r="DE162" i="40" s="1"/>
  <c r="DF162" i="40" s="1"/>
  <c r="CJ197" i="40"/>
  <c r="CP197" i="40" s="1"/>
  <c r="DG197" i="40" s="1"/>
  <c r="DH197" i="40" s="1"/>
  <c r="CF149" i="40"/>
  <c r="CL149" i="40" s="1"/>
  <c r="CY149" i="40" s="1"/>
  <c r="CZ149" i="40" s="1"/>
  <c r="CJ69" i="40"/>
  <c r="CP69" i="40" s="1"/>
  <c r="DG69" i="40" s="1"/>
  <c r="DH69" i="40" s="1"/>
  <c r="CH126" i="40"/>
  <c r="CN126" i="40" s="1"/>
  <c r="DC126" i="40" s="1"/>
  <c r="DD126" i="40" s="1"/>
  <c r="CG239" i="40"/>
  <c r="CM239" i="40" s="1"/>
  <c r="DA239" i="40" s="1"/>
  <c r="DB239" i="40" s="1"/>
  <c r="CI222" i="40"/>
  <c r="CO222" i="40" s="1"/>
  <c r="DE222" i="40" s="1"/>
  <c r="DF222" i="40" s="1"/>
  <c r="CG148" i="40"/>
  <c r="CM148" i="40" s="1"/>
  <c r="DA148" i="40" s="1"/>
  <c r="DB148" i="40" s="1"/>
  <c r="CG233" i="40"/>
  <c r="CM233" i="40" s="1"/>
  <c r="DA233" i="40" s="1"/>
  <c r="DB233" i="40" s="1"/>
  <c r="CE152" i="40"/>
  <c r="CK152" i="40" s="1"/>
  <c r="CW152" i="40" s="1"/>
  <c r="CX152" i="40" s="1"/>
  <c r="CH266" i="40"/>
  <c r="CN266" i="40" s="1"/>
  <c r="DC266" i="40" s="1"/>
  <c r="DD266" i="40" s="1"/>
  <c r="CE191" i="40"/>
  <c r="CK191" i="40" s="1"/>
  <c r="CW191" i="40" s="1"/>
  <c r="CX191" i="40" s="1"/>
  <c r="CF159" i="40"/>
  <c r="CL159" i="40" s="1"/>
  <c r="CY159" i="40" s="1"/>
  <c r="CZ159" i="40" s="1"/>
  <c r="CF89" i="40"/>
  <c r="CL89" i="40" s="1"/>
  <c r="CY89" i="40" s="1"/>
  <c r="CZ89" i="40" s="1"/>
  <c r="CJ137" i="40"/>
  <c r="CP137" i="40" s="1"/>
  <c r="DG137" i="40" s="1"/>
  <c r="DH137" i="40" s="1"/>
  <c r="CI217" i="40"/>
  <c r="CO217" i="40" s="1"/>
  <c r="DE217" i="40" s="1"/>
  <c r="DF217" i="40" s="1"/>
  <c r="CG111" i="40"/>
  <c r="CM111" i="40" s="1"/>
  <c r="DA111" i="40" s="1"/>
  <c r="DB111" i="40" s="1"/>
  <c r="CF187" i="40"/>
  <c r="CL187" i="40" s="1"/>
  <c r="CY187" i="40" s="1"/>
  <c r="CZ187" i="40" s="1"/>
  <c r="CJ59" i="40"/>
  <c r="CP59" i="40" s="1"/>
  <c r="DG59" i="40" s="1"/>
  <c r="DH59" i="40" s="1"/>
  <c r="CH169" i="40"/>
  <c r="CN169" i="40" s="1"/>
  <c r="DC169" i="40" s="1"/>
  <c r="DD169" i="40" s="1"/>
  <c r="CE60" i="40"/>
  <c r="CK60" i="40" s="1"/>
  <c r="CW60" i="40" s="1"/>
  <c r="CX60" i="40" s="1"/>
  <c r="CG255" i="40"/>
  <c r="CM255" i="40" s="1"/>
  <c r="DA255" i="40" s="1"/>
  <c r="DB255" i="40" s="1"/>
  <c r="CJ228" i="40"/>
  <c r="CP228" i="40" s="1"/>
  <c r="DG228" i="40" s="1"/>
  <c r="DH228" i="40" s="1"/>
  <c r="CH102" i="40"/>
  <c r="CN102" i="40" s="1"/>
  <c r="DC102" i="40" s="1"/>
  <c r="DD102" i="40" s="1"/>
  <c r="CJ45" i="40"/>
  <c r="CP45" i="40" s="1"/>
  <c r="DG45" i="40" s="1"/>
  <c r="DH45" i="40" s="1"/>
  <c r="CF272" i="40"/>
  <c r="CL272" i="40" s="1"/>
  <c r="CY272" i="40" s="1"/>
  <c r="CZ272" i="40" s="1"/>
  <c r="CG281" i="40"/>
  <c r="CM281" i="40" s="1"/>
  <c r="DA281" i="40" s="1"/>
  <c r="DB281" i="40" s="1"/>
  <c r="CF198" i="40"/>
  <c r="CL198" i="40" s="1"/>
  <c r="CY198" i="40" s="1"/>
  <c r="CZ198" i="40" s="1"/>
  <c r="CH108" i="40"/>
  <c r="CN108" i="40" s="1"/>
  <c r="DC108" i="40" s="1"/>
  <c r="DD108" i="40" s="1"/>
  <c r="CG6" i="40"/>
  <c r="CM6" i="40" s="1"/>
  <c r="DA6" i="40" s="1"/>
  <c r="DB6" i="40" s="1"/>
  <c r="CH63" i="40"/>
  <c r="CN63" i="40" s="1"/>
  <c r="DC63" i="40" s="1"/>
  <c r="DD63" i="40" s="1"/>
  <c r="CF5" i="40"/>
  <c r="CL5" i="40" s="1"/>
  <c r="CY5" i="40" s="1"/>
  <c r="CZ5" i="40" s="1"/>
  <c r="CJ269" i="40"/>
  <c r="CP269" i="40" s="1"/>
  <c r="DG269" i="40" s="1"/>
  <c r="DH269" i="40" s="1"/>
  <c r="CG237" i="40"/>
  <c r="CM237" i="40" s="1"/>
  <c r="DA237" i="40" s="1"/>
  <c r="DB237" i="40" s="1"/>
  <c r="CH192" i="40"/>
  <c r="CN192" i="40" s="1"/>
  <c r="DC192" i="40" s="1"/>
  <c r="DD192" i="40" s="1"/>
  <c r="CI26" i="40"/>
  <c r="CO26" i="40" s="1"/>
  <c r="DE26" i="40" s="1"/>
  <c r="DF26" i="40" s="1"/>
  <c r="CF120" i="40"/>
  <c r="CL120" i="40" s="1"/>
  <c r="CY120" i="40" s="1"/>
  <c r="CZ120" i="40" s="1"/>
  <c r="CG291" i="40"/>
  <c r="CM291" i="40" s="1"/>
  <c r="DA291" i="40" s="1"/>
  <c r="DB291" i="40" s="1"/>
  <c r="CI291" i="40"/>
  <c r="CO291" i="40" s="1"/>
  <c r="DE291" i="40" s="1"/>
  <c r="DF291" i="40" s="1"/>
  <c r="CG100" i="40"/>
  <c r="CM100" i="40" s="1"/>
  <c r="DA100" i="40" s="1"/>
  <c r="DB100" i="40" s="1"/>
  <c r="CF44" i="40"/>
  <c r="CL44" i="40" s="1"/>
  <c r="CY44" i="40" s="1"/>
  <c r="CZ44" i="40" s="1"/>
  <c r="CH44" i="40"/>
  <c r="CN44" i="40" s="1"/>
  <c r="DC44" i="40" s="1"/>
  <c r="DD44" i="40" s="1"/>
  <c r="CH314" i="40"/>
  <c r="CN314" i="40" s="1"/>
  <c r="DC314" i="40" s="1"/>
  <c r="DD314" i="40" s="1"/>
  <c r="CH311" i="40"/>
  <c r="CN311" i="40" s="1"/>
  <c r="DC311" i="40" s="1"/>
  <c r="DD311" i="40" s="1"/>
  <c r="CJ244" i="40"/>
  <c r="CP244" i="40" s="1"/>
  <c r="DG244" i="40" s="1"/>
  <c r="DH244" i="40" s="1"/>
  <c r="CJ153" i="40"/>
  <c r="CP153" i="40" s="1"/>
  <c r="DG153" i="40" s="1"/>
  <c r="DH153" i="40" s="1"/>
  <c r="CE210" i="40"/>
  <c r="CK210" i="40" s="1"/>
  <c r="CW210" i="40" s="1"/>
  <c r="CX210" i="40" s="1"/>
  <c r="CF210" i="40"/>
  <c r="CL210" i="40" s="1"/>
  <c r="CY210" i="40" s="1"/>
  <c r="CZ210" i="40" s="1"/>
  <c r="CE74" i="40"/>
  <c r="CK74" i="40" s="1"/>
  <c r="CW74" i="40" s="1"/>
  <c r="CX74" i="40" s="1"/>
  <c r="CG182" i="40"/>
  <c r="CM182" i="40" s="1"/>
  <c r="DA182" i="40" s="1"/>
  <c r="DB182" i="40" s="1"/>
  <c r="CJ99" i="40"/>
  <c r="CP99" i="40" s="1"/>
  <c r="DG99" i="40" s="1"/>
  <c r="DH99" i="40" s="1"/>
  <c r="CE5" i="40"/>
  <c r="CK5" i="40" s="1"/>
  <c r="CW5" i="40" s="1"/>
  <c r="CX5" i="40" s="1"/>
  <c r="CH47" i="40"/>
  <c r="CN47" i="40" s="1"/>
  <c r="DC47" i="40" s="1"/>
  <c r="DD47" i="40" s="1"/>
  <c r="CE112" i="40"/>
  <c r="CK112" i="40" s="1"/>
  <c r="CW112" i="40" s="1"/>
  <c r="CX112" i="40" s="1"/>
  <c r="CG112" i="40"/>
  <c r="CM112" i="40" s="1"/>
  <c r="DA112" i="40" s="1"/>
  <c r="DB112" i="40" s="1"/>
  <c r="CH277" i="40"/>
  <c r="CN277" i="40" s="1"/>
  <c r="DC277" i="40" s="1"/>
  <c r="DD277" i="40" s="1"/>
  <c r="CI277" i="40"/>
  <c r="CO277" i="40" s="1"/>
  <c r="DE277" i="40" s="1"/>
  <c r="DF277" i="40" s="1"/>
  <c r="CF201" i="40"/>
  <c r="CL201" i="40" s="1"/>
  <c r="CY201" i="40" s="1"/>
  <c r="CZ201" i="40" s="1"/>
  <c r="CE318" i="40"/>
  <c r="CK318" i="40" s="1"/>
  <c r="CW318" i="40" s="1"/>
  <c r="CX318" i="40" s="1"/>
  <c r="CE193" i="40"/>
  <c r="CK193" i="40" s="1"/>
  <c r="CW193" i="40" s="1"/>
  <c r="CX193" i="40" s="1"/>
  <c r="CF138" i="40"/>
  <c r="CL138" i="40" s="1"/>
  <c r="CY138" i="40" s="1"/>
  <c r="CZ138" i="40" s="1"/>
  <c r="CG72" i="40"/>
  <c r="CM72" i="40" s="1"/>
  <c r="DA72" i="40" s="1"/>
  <c r="DB72" i="40" s="1"/>
  <c r="CI268" i="40"/>
  <c r="CO268" i="40" s="1"/>
  <c r="DE268" i="40" s="1"/>
  <c r="DF268" i="40" s="1"/>
  <c r="CG260" i="40"/>
  <c r="CM260" i="40" s="1"/>
  <c r="DA260" i="40" s="1"/>
  <c r="DB260" i="40" s="1"/>
  <c r="CI186" i="40"/>
  <c r="CO186" i="40" s="1"/>
  <c r="DE186" i="40" s="1"/>
  <c r="DF186" i="40" s="1"/>
  <c r="CE158" i="40"/>
  <c r="CK158" i="40" s="1"/>
  <c r="CW158" i="40" s="1"/>
  <c r="CX158" i="40" s="1"/>
  <c r="CF158" i="40"/>
  <c r="CL158" i="40" s="1"/>
  <c r="CY158" i="40" s="1"/>
  <c r="CZ158" i="40" s="1"/>
  <c r="CF47" i="40"/>
  <c r="CL47" i="40" s="1"/>
  <c r="CY47" i="40" s="1"/>
  <c r="CZ47" i="40" s="1"/>
  <c r="CF252" i="40"/>
  <c r="CL252" i="40" s="1"/>
  <c r="CY252" i="40" s="1"/>
  <c r="CZ252" i="40" s="1"/>
  <c r="CI308" i="40"/>
  <c r="CO308" i="40" s="1"/>
  <c r="DE308" i="40" s="1"/>
  <c r="DF308" i="40" s="1"/>
  <c r="CF214" i="40"/>
  <c r="CL214" i="40" s="1"/>
  <c r="CY214" i="40" s="1"/>
  <c r="CZ214" i="40" s="1"/>
  <c r="CG70" i="40"/>
  <c r="CM70" i="40" s="1"/>
  <c r="DA70" i="40" s="1"/>
  <c r="DB70" i="40" s="1"/>
  <c r="CI289" i="40"/>
  <c r="CO289" i="40" s="1"/>
  <c r="DE289" i="40" s="1"/>
  <c r="DF289" i="40" s="1"/>
  <c r="CE274" i="40"/>
  <c r="CK274" i="40" s="1"/>
  <c r="CW274" i="40" s="1"/>
  <c r="CX274" i="40" s="1"/>
  <c r="CH118" i="40"/>
  <c r="CN118" i="40" s="1"/>
  <c r="DC118" i="40" s="1"/>
  <c r="DD118" i="40" s="1"/>
  <c r="CG51" i="40"/>
  <c r="CM51" i="40" s="1"/>
  <c r="DA51" i="40" s="1"/>
  <c r="DB51" i="40" s="1"/>
  <c r="CG161" i="40"/>
  <c r="CM161" i="40" s="1"/>
  <c r="DA161" i="40" s="1"/>
  <c r="DB161" i="40" s="1"/>
  <c r="CF105" i="40"/>
  <c r="CL105" i="40" s="1"/>
  <c r="CY105" i="40" s="1"/>
  <c r="CZ105" i="40" s="1"/>
  <c r="CE215" i="40"/>
  <c r="CK215" i="40" s="1"/>
  <c r="CW215" i="40" s="1"/>
  <c r="CX215" i="40" s="1"/>
  <c r="CF131" i="40"/>
  <c r="CL131" i="40" s="1"/>
  <c r="CY131" i="40" s="1"/>
  <c r="CZ131" i="40" s="1"/>
  <c r="CH26" i="40"/>
  <c r="CN26" i="40" s="1"/>
  <c r="DC26" i="40" s="1"/>
  <c r="DD26" i="40" s="1"/>
  <c r="CE171" i="40"/>
  <c r="CK171" i="40" s="1"/>
  <c r="CW171" i="40" s="1"/>
  <c r="CX171" i="40" s="1"/>
  <c r="CI233" i="40"/>
  <c r="CO233" i="40" s="1"/>
  <c r="DE233" i="40" s="1"/>
  <c r="DF233" i="40" s="1"/>
  <c r="CI191" i="40"/>
  <c r="CO191" i="40" s="1"/>
  <c r="DE191" i="40" s="1"/>
  <c r="DF191" i="40" s="1"/>
  <c r="CG159" i="40"/>
  <c r="CM159" i="40" s="1"/>
  <c r="DA159" i="40" s="1"/>
  <c r="DB159" i="40" s="1"/>
  <c r="CH89" i="40"/>
  <c r="CN89" i="40" s="1"/>
  <c r="DC89" i="40" s="1"/>
  <c r="DD89" i="40" s="1"/>
  <c r="CH22" i="40"/>
  <c r="CN22" i="40" s="1"/>
  <c r="DC22" i="40" s="1"/>
  <c r="DD22" i="40" s="1"/>
  <c r="CJ292" i="40"/>
  <c r="CP292" i="40" s="1"/>
  <c r="DG292" i="40" s="1"/>
  <c r="DH292" i="40" s="1"/>
  <c r="CF217" i="40"/>
  <c r="CL217" i="40" s="1"/>
  <c r="CY217" i="40" s="1"/>
  <c r="CZ217" i="40" s="1"/>
  <c r="CH150" i="40"/>
  <c r="CN150" i="40" s="1"/>
  <c r="DC150" i="40" s="1"/>
  <c r="DD150" i="40" s="1"/>
  <c r="CE182" i="40"/>
  <c r="CK182" i="40" s="1"/>
  <c r="CW182" i="40" s="1"/>
  <c r="CX182" i="40" s="1"/>
  <c r="CE125" i="40"/>
  <c r="CK125" i="40" s="1"/>
  <c r="CW125" i="40" s="1"/>
  <c r="CX125" i="40" s="1"/>
  <c r="CF136" i="40"/>
  <c r="CL136" i="40" s="1"/>
  <c r="CY136" i="40" s="1"/>
  <c r="CZ136" i="40" s="1"/>
  <c r="CF190" i="40"/>
  <c r="CL190" i="40" s="1"/>
  <c r="CY190" i="40" s="1"/>
  <c r="CZ190" i="40" s="1"/>
  <c r="CJ91" i="40"/>
  <c r="CP91" i="40" s="1"/>
  <c r="DG91" i="40" s="1"/>
  <c r="DH91" i="40" s="1"/>
  <c r="CE64" i="40"/>
  <c r="CK64" i="40" s="1"/>
  <c r="CW64" i="40" s="1"/>
  <c r="CX64" i="40" s="1"/>
  <c r="CH268" i="40"/>
  <c r="CN268" i="40" s="1"/>
  <c r="DC268" i="40" s="1"/>
  <c r="DD268" i="40" s="1"/>
  <c r="CJ247" i="40"/>
  <c r="CP247" i="40" s="1"/>
  <c r="DG247" i="40" s="1"/>
  <c r="DH247" i="40" s="1"/>
  <c r="CH257" i="40"/>
  <c r="CN257" i="40" s="1"/>
  <c r="DC257" i="40" s="1"/>
  <c r="DD257" i="40" s="1"/>
  <c r="CJ172" i="40"/>
  <c r="CP172" i="40" s="1"/>
  <c r="DG172" i="40" s="1"/>
  <c r="DH172" i="40" s="1"/>
  <c r="CG116" i="40"/>
  <c r="CM116" i="40" s="1"/>
  <c r="DA116" i="40" s="1"/>
  <c r="DB116" i="40" s="1"/>
  <c r="CE157" i="40"/>
  <c r="CK157" i="40" s="1"/>
  <c r="CW157" i="40" s="1"/>
  <c r="CX157" i="40" s="1"/>
  <c r="CE97" i="40"/>
  <c r="CK97" i="40" s="1"/>
  <c r="CW97" i="40" s="1"/>
  <c r="CX97" i="40" s="1"/>
  <c r="CG85" i="40"/>
  <c r="CM85" i="40" s="1"/>
  <c r="DA85" i="40" s="1"/>
  <c r="DB85" i="40" s="1"/>
  <c r="CJ227" i="40"/>
  <c r="CP227" i="40" s="1"/>
  <c r="DG227" i="40" s="1"/>
  <c r="DH227" i="40" s="1"/>
  <c r="CE142" i="40"/>
  <c r="CK142" i="40" s="1"/>
  <c r="CW142" i="40" s="1"/>
  <c r="CX142" i="40" s="1"/>
  <c r="CI152" i="40"/>
  <c r="CO152" i="40" s="1"/>
  <c r="DE152" i="40" s="1"/>
  <c r="DF152" i="40" s="1"/>
  <c r="CF253" i="40"/>
  <c r="CL253" i="40" s="1"/>
  <c r="CY253" i="40" s="1"/>
  <c r="CZ253" i="40" s="1"/>
  <c r="CG74" i="40"/>
  <c r="CM74" i="40" s="1"/>
  <c r="DA74" i="40" s="1"/>
  <c r="DB74" i="40" s="1"/>
  <c r="CH258" i="40"/>
  <c r="CN258" i="40" s="1"/>
  <c r="DC258" i="40" s="1"/>
  <c r="DD258" i="40" s="1"/>
  <c r="CI57" i="40"/>
  <c r="CO57" i="40" s="1"/>
  <c r="DE57" i="40" s="1"/>
  <c r="DF57" i="40" s="1"/>
  <c r="CI73" i="40"/>
  <c r="CO73" i="40" s="1"/>
  <c r="DE73" i="40" s="1"/>
  <c r="DF73" i="40" s="1"/>
  <c r="CJ16" i="40"/>
  <c r="CP16" i="40" s="1"/>
  <c r="DG16" i="40" s="1"/>
  <c r="DH16" i="40" s="1"/>
  <c r="CJ186" i="40"/>
  <c r="CP186" i="40" s="1"/>
  <c r="DG186" i="40" s="1"/>
  <c r="DH186" i="40" s="1"/>
  <c r="CE104" i="40"/>
  <c r="CK104" i="40" s="1"/>
  <c r="CW104" i="40" s="1"/>
  <c r="CX104" i="40" s="1"/>
  <c r="CH251" i="40"/>
  <c r="CN251" i="40" s="1"/>
  <c r="DC251" i="40" s="1"/>
  <c r="DD251" i="40" s="1"/>
  <c r="CG128" i="40"/>
  <c r="CM128" i="40" s="1"/>
  <c r="DA128" i="40" s="1"/>
  <c r="DB128" i="40" s="1"/>
  <c r="CF264" i="40"/>
  <c r="CL264" i="40" s="1"/>
  <c r="CY264" i="40" s="1"/>
  <c r="CZ264" i="40" s="1"/>
  <c r="CF184" i="40"/>
  <c r="CL184" i="40" s="1"/>
  <c r="CY184" i="40" s="1"/>
  <c r="CZ184" i="40" s="1"/>
  <c r="CI170" i="40"/>
  <c r="CO170" i="40" s="1"/>
  <c r="DE170" i="40" s="1"/>
  <c r="DF170" i="40" s="1"/>
  <c r="CG134" i="40"/>
  <c r="CM134" i="40" s="1"/>
  <c r="DA134" i="40" s="1"/>
  <c r="DB134" i="40" s="1"/>
  <c r="CG191" i="40"/>
  <c r="CM191" i="40" s="1"/>
  <c r="DA191" i="40" s="1"/>
  <c r="DB191" i="40" s="1"/>
  <c r="CI94" i="40"/>
  <c r="CO94" i="40" s="1"/>
  <c r="DE94" i="40" s="1"/>
  <c r="DF94" i="40" s="1"/>
  <c r="CE10" i="40"/>
  <c r="CK10" i="40" s="1"/>
  <c r="CW10" i="40" s="1"/>
  <c r="CX10" i="40" s="1"/>
  <c r="CF163" i="40"/>
  <c r="CL163" i="40" s="1"/>
  <c r="CY163" i="40" s="1"/>
  <c r="CZ163" i="40" s="1"/>
  <c r="CF7" i="40"/>
  <c r="CL7" i="40" s="1"/>
  <c r="CY7" i="40" s="1"/>
  <c r="CZ7" i="40" s="1"/>
  <c r="CJ232" i="40"/>
  <c r="CP232" i="40" s="1"/>
  <c r="DG232" i="40" s="1"/>
  <c r="DH232" i="40" s="1"/>
  <c r="CH125" i="40"/>
  <c r="CN125" i="40" s="1"/>
  <c r="DC125" i="40" s="1"/>
  <c r="DD125" i="40" s="1"/>
  <c r="CJ38" i="40"/>
  <c r="CP38" i="40" s="1"/>
  <c r="DG38" i="40" s="1"/>
  <c r="DH38" i="40" s="1"/>
  <c r="CJ250" i="40"/>
  <c r="CP250" i="40" s="1"/>
  <c r="DG250" i="40" s="1"/>
  <c r="DH250" i="40" s="1"/>
  <c r="CI193" i="40"/>
  <c r="CO193" i="40" s="1"/>
  <c r="DE193" i="40" s="1"/>
  <c r="DF193" i="40" s="1"/>
  <c r="CI91" i="40"/>
  <c r="CO91" i="40" s="1"/>
  <c r="DE91" i="40" s="1"/>
  <c r="DF91" i="40" s="1"/>
  <c r="CG64" i="40"/>
  <c r="CM64" i="40" s="1"/>
  <c r="DA64" i="40" s="1"/>
  <c r="DB64" i="40" s="1"/>
  <c r="CF103" i="40"/>
  <c r="CL103" i="40" s="1"/>
  <c r="CY103" i="40" s="1"/>
  <c r="CZ103" i="40" s="1"/>
  <c r="CI271" i="40"/>
  <c r="CO271" i="40" s="1"/>
  <c r="DE271" i="40" s="1"/>
  <c r="DF271" i="40" s="1"/>
  <c r="CH143" i="40"/>
  <c r="CN143" i="40" s="1"/>
  <c r="DC143" i="40" s="1"/>
  <c r="DD143" i="40" s="1"/>
  <c r="CH92" i="40"/>
  <c r="CN92" i="40" s="1"/>
  <c r="DC92" i="40" s="1"/>
  <c r="DD92" i="40" s="1"/>
  <c r="CF162" i="40"/>
  <c r="CL162" i="40" s="1"/>
  <c r="CY162" i="40" s="1"/>
  <c r="CZ162" i="40" s="1"/>
  <c r="CH224" i="40"/>
  <c r="CN224" i="40" s="1"/>
  <c r="DC224" i="40" s="1"/>
  <c r="DD224" i="40" s="1"/>
  <c r="CH225" i="40"/>
  <c r="CN225" i="40" s="1"/>
  <c r="DC225" i="40" s="1"/>
  <c r="DD225" i="40" s="1"/>
  <c r="CG251" i="40"/>
  <c r="CM251" i="40" s="1"/>
  <c r="DA251" i="40" s="1"/>
  <c r="DB251" i="40" s="1"/>
  <c r="CG197" i="40"/>
  <c r="CM197" i="40" s="1"/>
  <c r="DA197" i="40" s="1"/>
  <c r="DB197" i="40" s="1"/>
  <c r="CJ128" i="40"/>
  <c r="CP128" i="40" s="1"/>
  <c r="DG128" i="40" s="1"/>
  <c r="DH128" i="40" s="1"/>
  <c r="CI69" i="40"/>
  <c r="CO69" i="40" s="1"/>
  <c r="DE69" i="40" s="1"/>
  <c r="DF69" i="40" s="1"/>
  <c r="CG222" i="40"/>
  <c r="CM222" i="40" s="1"/>
  <c r="DA222" i="40" s="1"/>
  <c r="DB222" i="40" s="1"/>
  <c r="CH148" i="40"/>
  <c r="CN148" i="40" s="1"/>
  <c r="DC148" i="40" s="1"/>
  <c r="DD148" i="40" s="1"/>
  <c r="CH233" i="40"/>
  <c r="CN233" i="40" s="1"/>
  <c r="DC233" i="40" s="1"/>
  <c r="DD233" i="40" s="1"/>
  <c r="CH253" i="40"/>
  <c r="CN253" i="40" s="1"/>
  <c r="DC253" i="40" s="1"/>
  <c r="DD253" i="40" s="1"/>
  <c r="CG132" i="40"/>
  <c r="CM132" i="40" s="1"/>
  <c r="DA132" i="40" s="1"/>
  <c r="DB132" i="40" s="1"/>
  <c r="CJ182" i="40"/>
  <c r="CP182" i="40" s="1"/>
  <c r="DG182" i="40" s="1"/>
  <c r="DH182" i="40" s="1"/>
  <c r="CH166" i="40"/>
  <c r="CN166" i="40" s="1"/>
  <c r="DC166" i="40" s="1"/>
  <c r="DD166" i="40" s="1"/>
  <c r="CJ18" i="40"/>
  <c r="CP18" i="40" s="1"/>
  <c r="DG18" i="40" s="1"/>
  <c r="DH18" i="40" s="1"/>
  <c r="CH58" i="40"/>
  <c r="CN58" i="40" s="1"/>
  <c r="DC58" i="40" s="1"/>
  <c r="DD58" i="40" s="1"/>
  <c r="CE155" i="40"/>
  <c r="CK155" i="40" s="1"/>
  <c r="CW155" i="40" s="1"/>
  <c r="CX155" i="40" s="1"/>
  <c r="CG265" i="40"/>
  <c r="CM265" i="40" s="1"/>
  <c r="DA265" i="40" s="1"/>
  <c r="DB265" i="40" s="1"/>
  <c r="CH265" i="40"/>
  <c r="CN265" i="40" s="1"/>
  <c r="DC265" i="40" s="1"/>
  <c r="DD265" i="40" s="1"/>
  <c r="CE177" i="40"/>
  <c r="CK177" i="40" s="1"/>
  <c r="CW177" i="40" s="1"/>
  <c r="CX177" i="40" s="1"/>
  <c r="CH60" i="40"/>
  <c r="CN60" i="40" s="1"/>
  <c r="DC60" i="40" s="1"/>
  <c r="DD60" i="40" s="1"/>
  <c r="CF32" i="40"/>
  <c r="CL32" i="40" s="1"/>
  <c r="CY32" i="40" s="1"/>
  <c r="CZ32" i="40" s="1"/>
  <c r="CE255" i="40"/>
  <c r="CK255" i="40" s="1"/>
  <c r="CW255" i="40" s="1"/>
  <c r="CX255" i="40" s="1"/>
  <c r="CH228" i="40"/>
  <c r="CN228" i="40" s="1"/>
  <c r="DC228" i="40" s="1"/>
  <c r="DD228" i="40" s="1"/>
  <c r="CI183" i="40"/>
  <c r="CO183" i="40" s="1"/>
  <c r="DE183" i="40" s="1"/>
  <c r="DF183" i="40" s="1"/>
  <c r="CJ183" i="40"/>
  <c r="CP183" i="40" s="1"/>
  <c r="DG183" i="40" s="1"/>
  <c r="DH183" i="40" s="1"/>
  <c r="CJ309" i="40"/>
  <c r="CP309" i="40" s="1"/>
  <c r="DG309" i="40" s="1"/>
  <c r="DH309" i="40" s="1"/>
  <c r="CJ240" i="40"/>
  <c r="CP240" i="40" s="1"/>
  <c r="DG240" i="40" s="1"/>
  <c r="DH240" i="40" s="1"/>
  <c r="CF241" i="40"/>
  <c r="CL241" i="40" s="1"/>
  <c r="CY241" i="40" s="1"/>
  <c r="CZ241" i="40" s="1"/>
  <c r="CF147" i="40"/>
  <c r="CL147" i="40" s="1"/>
  <c r="CY147" i="40" s="1"/>
  <c r="CZ147" i="40" s="1"/>
  <c r="CJ72" i="40"/>
  <c r="CP72" i="40" s="1"/>
  <c r="DG72" i="40" s="1"/>
  <c r="DH72" i="40" s="1"/>
  <c r="CG268" i="40"/>
  <c r="CM268" i="40" s="1"/>
  <c r="DA268" i="40" s="1"/>
  <c r="DB268" i="40" s="1"/>
  <c r="CE247" i="40"/>
  <c r="CK247" i="40" s="1"/>
  <c r="CW247" i="40" s="1"/>
  <c r="CX247" i="40" s="1"/>
  <c r="CF247" i="40"/>
  <c r="CL247" i="40" s="1"/>
  <c r="CY247" i="40" s="1"/>
  <c r="CZ247" i="40" s="1"/>
  <c r="CJ257" i="40"/>
  <c r="CP257" i="40" s="1"/>
  <c r="DG257" i="40" s="1"/>
  <c r="DH257" i="40" s="1"/>
  <c r="CG172" i="40"/>
  <c r="CM172" i="40" s="1"/>
  <c r="DA172" i="40" s="1"/>
  <c r="DB172" i="40" s="1"/>
  <c r="CI172" i="40"/>
  <c r="CO172" i="40" s="1"/>
  <c r="DE172" i="40" s="1"/>
  <c r="DF172" i="40" s="1"/>
  <c r="CH116" i="40"/>
  <c r="CN116" i="40" s="1"/>
  <c r="DC116" i="40" s="1"/>
  <c r="DD116" i="40" s="1"/>
  <c r="CJ116" i="40"/>
  <c r="CP116" i="40" s="1"/>
  <c r="DG116" i="40" s="1"/>
  <c r="DH116" i="40" s="1"/>
  <c r="CF128" i="40"/>
  <c r="CL128" i="40" s="1"/>
  <c r="CY128" i="40" s="1"/>
  <c r="CZ128" i="40" s="1"/>
  <c r="CJ142" i="40"/>
  <c r="CP142" i="40" s="1"/>
  <c r="DG142" i="40" s="1"/>
  <c r="DH142" i="40" s="1"/>
  <c r="CJ114" i="40"/>
  <c r="CP114" i="40" s="1"/>
  <c r="DG114" i="40" s="1"/>
  <c r="DH114" i="40" s="1"/>
  <c r="CG10" i="40"/>
  <c r="CM10" i="40" s="1"/>
  <c r="DA10" i="40" s="1"/>
  <c r="DB10" i="40" s="1"/>
  <c r="CF218" i="40"/>
  <c r="CL218" i="40" s="1"/>
  <c r="CY218" i="40" s="1"/>
  <c r="CZ218" i="40" s="1"/>
  <c r="CG218" i="40"/>
  <c r="CM218" i="40" s="1"/>
  <c r="DA218" i="40" s="1"/>
  <c r="DB218" i="40" s="1"/>
  <c r="CI163" i="40"/>
  <c r="CO163" i="40" s="1"/>
  <c r="DE163" i="40" s="1"/>
  <c r="DF163" i="40" s="1"/>
  <c r="CE129" i="40"/>
  <c r="CK129" i="40" s="1"/>
  <c r="CW129" i="40" s="1"/>
  <c r="CX129" i="40" s="1"/>
  <c r="CH23" i="40"/>
  <c r="CN23" i="40" s="1"/>
  <c r="DC23" i="40" s="1"/>
  <c r="DD23" i="40" s="1"/>
  <c r="CH155" i="40"/>
  <c r="CN155" i="40" s="1"/>
  <c r="DC155" i="40" s="1"/>
  <c r="DD155" i="40" s="1"/>
  <c r="CJ265" i="40"/>
  <c r="CP265" i="40" s="1"/>
  <c r="DG265" i="40" s="1"/>
  <c r="DH265" i="40" s="1"/>
  <c r="CI195" i="40"/>
  <c r="CO195" i="40" s="1"/>
  <c r="DE195" i="40" s="1"/>
  <c r="DF195" i="40" s="1"/>
  <c r="CG144" i="40"/>
  <c r="CM144" i="40" s="1"/>
  <c r="DA144" i="40" s="1"/>
  <c r="DB144" i="40" s="1"/>
  <c r="CH46" i="40"/>
  <c r="CN46" i="40" s="1"/>
  <c r="DC46" i="40" s="1"/>
  <c r="DD46" i="40" s="1"/>
  <c r="CH38" i="40"/>
  <c r="CN38" i="40" s="1"/>
  <c r="DC38" i="40" s="1"/>
  <c r="DD38" i="40" s="1"/>
  <c r="CH206" i="40"/>
  <c r="CN206" i="40" s="1"/>
  <c r="DC206" i="40" s="1"/>
  <c r="DD206" i="40" s="1"/>
  <c r="CE121" i="40"/>
  <c r="CK121" i="40" s="1"/>
  <c r="CW121" i="40" s="1"/>
  <c r="CX121" i="40" s="1"/>
  <c r="CJ49" i="40"/>
  <c r="CP49" i="40" s="1"/>
  <c r="DG49" i="40" s="1"/>
  <c r="DH49" i="40" s="1"/>
  <c r="CE25" i="40"/>
  <c r="CK25" i="40" s="1"/>
  <c r="CW25" i="40" s="1"/>
  <c r="CX25" i="40" s="1"/>
  <c r="CF307" i="40"/>
  <c r="CL307" i="40" s="1"/>
  <c r="CY307" i="40" s="1"/>
  <c r="CZ307" i="40" s="1"/>
  <c r="CI181" i="40"/>
  <c r="CO181" i="40" s="1"/>
  <c r="DE181" i="40" s="1"/>
  <c r="DF181" i="40" s="1"/>
  <c r="CJ30" i="40"/>
  <c r="CP30" i="40" s="1"/>
  <c r="DG30" i="40" s="1"/>
  <c r="DH30" i="40" s="1"/>
  <c r="CF202" i="40"/>
  <c r="CL202" i="40" s="1"/>
  <c r="CY202" i="40" s="1"/>
  <c r="CZ202" i="40" s="1"/>
  <c r="CI131" i="40"/>
  <c r="CO131" i="40" s="1"/>
  <c r="DE131" i="40" s="1"/>
  <c r="DF131" i="40" s="1"/>
  <c r="CJ146" i="40"/>
  <c r="CP146" i="40" s="1"/>
  <c r="DG146" i="40" s="1"/>
  <c r="DH146" i="40" s="1"/>
  <c r="CJ145" i="40"/>
  <c r="CP145" i="40" s="1"/>
  <c r="DG145" i="40" s="1"/>
  <c r="DH145" i="40" s="1"/>
  <c r="CE137" i="40"/>
  <c r="CK137" i="40" s="1"/>
  <c r="CW137" i="40" s="1"/>
  <c r="CX137" i="40" s="1"/>
  <c r="CH292" i="40"/>
  <c r="CN292" i="40" s="1"/>
  <c r="DC292" i="40" s="1"/>
  <c r="DD292" i="40" s="1"/>
  <c r="CI150" i="40"/>
  <c r="CO150" i="40" s="1"/>
  <c r="DE150" i="40" s="1"/>
  <c r="DF150" i="40" s="1"/>
  <c r="CF111" i="40"/>
  <c r="CL111" i="40" s="1"/>
  <c r="CY111" i="40" s="1"/>
  <c r="CZ111" i="40" s="1"/>
  <c r="CJ53" i="40"/>
  <c r="CP53" i="40" s="1"/>
  <c r="DG53" i="40" s="1"/>
  <c r="DH53" i="40" s="1"/>
  <c r="CG185" i="40"/>
  <c r="CM185" i="40" s="1"/>
  <c r="DA185" i="40" s="1"/>
  <c r="DB185" i="40" s="1"/>
  <c r="CF27" i="40"/>
  <c r="CL27" i="40" s="1"/>
  <c r="CY27" i="40" s="1"/>
  <c r="CZ27" i="40" s="1"/>
  <c r="CG11" i="40"/>
  <c r="CM11" i="40" s="1"/>
  <c r="DA11" i="40" s="1"/>
  <c r="DB11" i="40" s="1"/>
  <c r="CE88" i="40"/>
  <c r="CK88" i="40" s="1"/>
  <c r="CW88" i="40" s="1"/>
  <c r="CX88" i="40" s="1"/>
  <c r="CF209" i="40"/>
  <c r="CL209" i="40" s="1"/>
  <c r="CY209" i="40" s="1"/>
  <c r="CZ209" i="40" s="1"/>
  <c r="CH209" i="40"/>
  <c r="CN209" i="40" s="1"/>
  <c r="DC209" i="40" s="1"/>
  <c r="DD209" i="40" s="1"/>
  <c r="CG37" i="40"/>
  <c r="CM37" i="40" s="1"/>
  <c r="DA37" i="40" s="1"/>
  <c r="DB37" i="40" s="1"/>
  <c r="CF316" i="40"/>
  <c r="CL316" i="40" s="1"/>
  <c r="CY316" i="40" s="1"/>
  <c r="CZ316" i="40" s="1"/>
  <c r="CE168" i="40"/>
  <c r="CK168" i="40" s="1"/>
  <c r="CW168" i="40" s="1"/>
  <c r="CX168" i="40" s="1"/>
  <c r="CI125" i="40"/>
  <c r="CO125" i="40" s="1"/>
  <c r="DE125" i="40" s="1"/>
  <c r="DF125" i="40" s="1"/>
  <c r="CF223" i="40"/>
  <c r="CL223" i="40" s="1"/>
  <c r="CY223" i="40" s="1"/>
  <c r="CZ223" i="40" s="1"/>
  <c r="CF230" i="40"/>
  <c r="CL230" i="40" s="1"/>
  <c r="CY230" i="40" s="1"/>
  <c r="CZ230" i="40" s="1"/>
  <c r="CH97" i="40"/>
  <c r="CN97" i="40" s="1"/>
  <c r="DC97" i="40" s="1"/>
  <c r="DD97" i="40" s="1"/>
  <c r="CG142" i="40"/>
  <c r="CM142" i="40" s="1"/>
  <c r="DA142" i="40" s="1"/>
  <c r="DB142" i="40" s="1"/>
  <c r="CE201" i="40"/>
  <c r="CK201" i="40" s="1"/>
  <c r="CW201" i="40" s="1"/>
  <c r="CX201" i="40" s="1"/>
  <c r="CJ303" i="40"/>
  <c r="CP303" i="40" s="1"/>
  <c r="DG303" i="40" s="1"/>
  <c r="DH303" i="40" s="1"/>
  <c r="CI143" i="40"/>
  <c r="CO143" i="40" s="1"/>
  <c r="DE143" i="40" s="1"/>
  <c r="DF143" i="40" s="1"/>
  <c r="CF30" i="40"/>
  <c r="CL30" i="40" s="1"/>
  <c r="CY30" i="40" s="1"/>
  <c r="CZ30" i="40" s="1"/>
  <c r="CI202" i="40"/>
  <c r="CO202" i="40" s="1"/>
  <c r="DE202" i="40" s="1"/>
  <c r="DF202" i="40" s="1"/>
  <c r="CF280" i="40"/>
  <c r="CL280" i="40" s="1"/>
  <c r="CY280" i="40" s="1"/>
  <c r="CZ280" i="40" s="1"/>
  <c r="CE252" i="40"/>
  <c r="CK252" i="40" s="1"/>
  <c r="CW252" i="40" s="1"/>
  <c r="CX252" i="40" s="1"/>
  <c r="CG163" i="40"/>
  <c r="CM163" i="40" s="1"/>
  <c r="DA163" i="40" s="1"/>
  <c r="DB163" i="40" s="1"/>
  <c r="CG129" i="40"/>
  <c r="CM129" i="40" s="1"/>
  <c r="DA129" i="40" s="1"/>
  <c r="DB129" i="40" s="1"/>
  <c r="CI111" i="40"/>
  <c r="CO111" i="40" s="1"/>
  <c r="DE111" i="40" s="1"/>
  <c r="DF111" i="40" s="1"/>
  <c r="CH35" i="40"/>
  <c r="CN35" i="40" s="1"/>
  <c r="DC35" i="40" s="1"/>
  <c r="DD35" i="40" s="1"/>
  <c r="CH112" i="40"/>
  <c r="CN112" i="40" s="1"/>
  <c r="DC112" i="40" s="1"/>
  <c r="DD112" i="40" s="1"/>
  <c r="CJ308" i="40"/>
  <c r="CP308" i="40" s="1"/>
  <c r="DG308" i="40" s="1"/>
  <c r="DH308" i="40" s="1"/>
  <c r="CH87" i="40"/>
  <c r="CN87" i="40" s="1"/>
  <c r="DC87" i="40" s="1"/>
  <c r="DD87" i="40" s="1"/>
  <c r="CF61" i="40"/>
  <c r="CL61" i="40" s="1"/>
  <c r="CY61" i="40" s="1"/>
  <c r="CZ61" i="40" s="1"/>
  <c r="CE270" i="40"/>
  <c r="CK270" i="40" s="1"/>
  <c r="CW270" i="40" s="1"/>
  <c r="CX270" i="40" s="1"/>
  <c r="CH117" i="40"/>
  <c r="CN117" i="40" s="1"/>
  <c r="DC117" i="40" s="1"/>
  <c r="DD117" i="40" s="1"/>
  <c r="CE51" i="40"/>
  <c r="CK51" i="40" s="1"/>
  <c r="CW51" i="40" s="1"/>
  <c r="CX51" i="40" s="1"/>
  <c r="CF51" i="40"/>
  <c r="CL51" i="40" s="1"/>
  <c r="CY51" i="40" s="1"/>
  <c r="CZ51" i="40" s="1"/>
  <c r="CJ219" i="40"/>
  <c r="CP219" i="40" s="1"/>
  <c r="DG219" i="40" s="1"/>
  <c r="DH219" i="40" s="1"/>
  <c r="CI27" i="40"/>
  <c r="CO27" i="40" s="1"/>
  <c r="DE27" i="40" s="1"/>
  <c r="DF27" i="40" s="1"/>
  <c r="CJ71" i="40"/>
  <c r="CP71" i="40" s="1"/>
  <c r="DG71" i="40" s="1"/>
  <c r="DH71" i="40" s="1"/>
  <c r="CH296" i="40"/>
  <c r="CN296" i="40" s="1"/>
  <c r="DC296" i="40" s="1"/>
  <c r="DD296" i="40" s="1"/>
  <c r="CJ296" i="40"/>
  <c r="CP296" i="40" s="1"/>
  <c r="DG296" i="40" s="1"/>
  <c r="DH296" i="40" s="1"/>
  <c r="CH158" i="40"/>
  <c r="CN158" i="40" s="1"/>
  <c r="DC158" i="40" s="1"/>
  <c r="DD158" i="40" s="1"/>
  <c r="CH191" i="40"/>
  <c r="CN191" i="40" s="1"/>
  <c r="DC191" i="40" s="1"/>
  <c r="DD191" i="40" s="1"/>
  <c r="CI89" i="40"/>
  <c r="CO89" i="40" s="1"/>
  <c r="DE89" i="40" s="1"/>
  <c r="DF89" i="40" s="1"/>
  <c r="CI145" i="40"/>
  <c r="CO145" i="40" s="1"/>
  <c r="DE145" i="40" s="1"/>
  <c r="DF145" i="40" s="1"/>
  <c r="CE292" i="40"/>
  <c r="CK292" i="40" s="1"/>
  <c r="CW292" i="40" s="1"/>
  <c r="CX292" i="40" s="1"/>
  <c r="CH78" i="40"/>
  <c r="CN78" i="40" s="1"/>
  <c r="DC78" i="40" s="1"/>
  <c r="DD78" i="40" s="1"/>
  <c r="CF279" i="40"/>
  <c r="CL279" i="40" s="1"/>
  <c r="CY279" i="40" s="1"/>
  <c r="CZ279" i="40" s="1"/>
  <c r="CI174" i="40"/>
  <c r="CO174" i="40" s="1"/>
  <c r="DE174" i="40" s="1"/>
  <c r="DF174" i="40" s="1"/>
  <c r="CJ293" i="40"/>
  <c r="CP293" i="40" s="1"/>
  <c r="DG293" i="40" s="1"/>
  <c r="DH293" i="40" s="1"/>
  <c r="CG249" i="40"/>
  <c r="CM249" i="40" s="1"/>
  <c r="DA249" i="40" s="1"/>
  <c r="DB249" i="40" s="1"/>
  <c r="CH196" i="40"/>
  <c r="CN196" i="40" s="1"/>
  <c r="DC196" i="40" s="1"/>
  <c r="DD196" i="40" s="1"/>
  <c r="CF45" i="40"/>
  <c r="CL45" i="40" s="1"/>
  <c r="CY45" i="40" s="1"/>
  <c r="CZ45" i="40" s="1"/>
  <c r="CE272" i="40"/>
  <c r="CK272" i="40" s="1"/>
  <c r="CW272" i="40" s="1"/>
  <c r="CX272" i="40" s="1"/>
  <c r="CI281" i="40"/>
  <c r="CO281" i="40" s="1"/>
  <c r="DE281" i="40" s="1"/>
  <c r="DF281" i="40" s="1"/>
  <c r="CF161" i="40"/>
  <c r="CL161" i="40" s="1"/>
  <c r="CY161" i="40" s="1"/>
  <c r="CZ161" i="40" s="1"/>
  <c r="CH200" i="40"/>
  <c r="CN200" i="40" s="1"/>
  <c r="DC200" i="40" s="1"/>
  <c r="DD200" i="40" s="1"/>
  <c r="CH307" i="40"/>
  <c r="CN307" i="40" s="1"/>
  <c r="DC307" i="40" s="1"/>
  <c r="DD307" i="40" s="1"/>
  <c r="CG215" i="40"/>
  <c r="CM215" i="40" s="1"/>
  <c r="DA215" i="40" s="1"/>
  <c r="DB215" i="40" s="1"/>
  <c r="CI215" i="40"/>
  <c r="CO215" i="40" s="1"/>
  <c r="DE215" i="40" s="1"/>
  <c r="DF215" i="40" s="1"/>
  <c r="CF20" i="40"/>
  <c r="CL20" i="40" s="1"/>
  <c r="CY20" i="40" s="1"/>
  <c r="CZ20" i="40" s="1"/>
  <c r="CF310" i="40"/>
  <c r="CL310" i="40" s="1"/>
  <c r="CY310" i="40" s="1"/>
  <c r="CZ310" i="40" s="1"/>
  <c r="CH221" i="40"/>
  <c r="CN221" i="40" s="1"/>
  <c r="DC221" i="40" s="1"/>
  <c r="DD221" i="40" s="1"/>
  <c r="CH106" i="40"/>
  <c r="CN106" i="40" s="1"/>
  <c r="DC106" i="40" s="1"/>
  <c r="DD106" i="40" s="1"/>
  <c r="CJ56" i="40"/>
  <c r="CP56" i="40" s="1"/>
  <c r="DG56" i="40" s="1"/>
  <c r="DH56" i="40" s="1"/>
  <c r="CG236" i="40"/>
  <c r="CM236" i="40" s="1"/>
  <c r="DA236" i="40" s="1"/>
  <c r="DB236" i="40" s="1"/>
  <c r="CJ267" i="40"/>
  <c r="CP267" i="40" s="1"/>
  <c r="DG267" i="40" s="1"/>
  <c r="DH267" i="40" s="1"/>
  <c r="CH84" i="40"/>
  <c r="CN84" i="40" s="1"/>
  <c r="DC84" i="40" s="1"/>
  <c r="DD84" i="40" s="1"/>
  <c r="CI114" i="40"/>
  <c r="CO114" i="40" s="1"/>
  <c r="DE114" i="40" s="1"/>
  <c r="DF114" i="40" s="1"/>
  <c r="CE209" i="40"/>
  <c r="CK209" i="40" s="1"/>
  <c r="CW209" i="40" s="1"/>
  <c r="CX209" i="40" s="1"/>
  <c r="CH135" i="40"/>
  <c r="CN135" i="40" s="1"/>
  <c r="DC135" i="40" s="1"/>
  <c r="DD135" i="40" s="1"/>
  <c r="CG78" i="40"/>
  <c r="CM78" i="40" s="1"/>
  <c r="DA78" i="40" s="1"/>
  <c r="DB78" i="40" s="1"/>
  <c r="CJ112" i="40"/>
  <c r="CP112" i="40" s="1"/>
  <c r="DG112" i="40" s="1"/>
  <c r="DH112" i="40" s="1"/>
  <c r="CG277" i="40"/>
  <c r="CM277" i="40" s="1"/>
  <c r="DA277" i="40" s="1"/>
  <c r="DB277" i="40" s="1"/>
  <c r="CH279" i="40"/>
  <c r="CN279" i="40" s="1"/>
  <c r="DC279" i="40" s="1"/>
  <c r="DD279" i="40" s="1"/>
  <c r="CI87" i="40"/>
  <c r="CO87" i="40" s="1"/>
  <c r="DE87" i="40" s="1"/>
  <c r="DF87" i="40" s="1"/>
  <c r="CH289" i="40"/>
  <c r="CN289" i="40" s="1"/>
  <c r="DC289" i="40" s="1"/>
  <c r="DD289" i="40" s="1"/>
  <c r="CJ118" i="40"/>
  <c r="CP118" i="40" s="1"/>
  <c r="DG118" i="40" s="1"/>
  <c r="DH118" i="40" s="1"/>
  <c r="CE298" i="40"/>
  <c r="CK298" i="40" s="1"/>
  <c r="CW298" i="40" s="1"/>
  <c r="CX298" i="40" s="1"/>
  <c r="CG220" i="40"/>
  <c r="CM220" i="40" s="1"/>
  <c r="DA220" i="40" s="1"/>
  <c r="DB220" i="40" s="1"/>
  <c r="CG219" i="40"/>
  <c r="CM219" i="40" s="1"/>
  <c r="DA219" i="40" s="1"/>
  <c r="DB219" i="40" s="1"/>
  <c r="CH138" i="40"/>
  <c r="CN138" i="40" s="1"/>
  <c r="DC138" i="40" s="1"/>
  <c r="DD138" i="40" s="1"/>
  <c r="CE80" i="40"/>
  <c r="CK80" i="40" s="1"/>
  <c r="CW80" i="40" s="1"/>
  <c r="CX80" i="40" s="1"/>
  <c r="CG211" i="40"/>
  <c r="CM211" i="40" s="1"/>
  <c r="DA211" i="40" s="1"/>
  <c r="DB211" i="40" s="1"/>
  <c r="CH211" i="40"/>
  <c r="CN211" i="40" s="1"/>
  <c r="DC211" i="40" s="1"/>
  <c r="DD211" i="40" s="1"/>
  <c r="CJ20" i="40"/>
  <c r="CP20" i="40" s="1"/>
  <c r="DG20" i="40" s="1"/>
  <c r="DH20" i="40" s="1"/>
  <c r="CF123" i="40"/>
  <c r="CL123" i="40" s="1"/>
  <c r="CY123" i="40" s="1"/>
  <c r="CZ123" i="40" s="1"/>
  <c r="CF52" i="40"/>
  <c r="CL52" i="40" s="1"/>
  <c r="CY52" i="40" s="1"/>
  <c r="CZ52" i="40" s="1"/>
  <c r="CH264" i="40"/>
  <c r="CN264" i="40" s="1"/>
  <c r="DC264" i="40" s="1"/>
  <c r="DD264" i="40" s="1"/>
  <c r="CJ184" i="40"/>
  <c r="CP184" i="40" s="1"/>
  <c r="DG184" i="40" s="1"/>
  <c r="DH184" i="40" s="1"/>
  <c r="CF81" i="40"/>
  <c r="CL81" i="40" s="1"/>
  <c r="CY81" i="40" s="1"/>
  <c r="CZ81" i="40" s="1"/>
  <c r="CH81" i="40"/>
  <c r="CN81" i="40" s="1"/>
  <c r="DC81" i="40" s="1"/>
  <c r="DD81" i="40" s="1"/>
  <c r="CI77" i="40"/>
  <c r="CO77" i="40" s="1"/>
  <c r="DE77" i="40" s="1"/>
  <c r="DF77" i="40" s="1"/>
  <c r="CF266" i="40"/>
  <c r="CL266" i="40" s="1"/>
  <c r="CY266" i="40" s="1"/>
  <c r="CZ266" i="40" s="1"/>
  <c r="CJ159" i="40"/>
  <c r="CP159" i="40" s="1"/>
  <c r="DG159" i="40" s="1"/>
  <c r="DH159" i="40" s="1"/>
  <c r="CF22" i="40"/>
  <c r="CL22" i="40" s="1"/>
  <c r="CY22" i="40" s="1"/>
  <c r="CZ22" i="40" s="1"/>
  <c r="CF137" i="40"/>
  <c r="CL137" i="40" s="1"/>
  <c r="CY137" i="40" s="1"/>
  <c r="CZ137" i="40" s="1"/>
  <c r="CI292" i="40"/>
  <c r="CO292" i="40" s="1"/>
  <c r="DE292" i="40" s="1"/>
  <c r="DF292" i="40" s="1"/>
  <c r="CH217" i="40"/>
  <c r="CN217" i="40" s="1"/>
  <c r="DC217" i="40" s="1"/>
  <c r="DD217" i="40" s="1"/>
  <c r="CJ217" i="40"/>
  <c r="CP217" i="40" s="1"/>
  <c r="DG217" i="40" s="1"/>
  <c r="DH217" i="40" s="1"/>
  <c r="CE150" i="40"/>
  <c r="CK150" i="40" s="1"/>
  <c r="CW150" i="40" s="1"/>
  <c r="CX150" i="40" s="1"/>
  <c r="CE99" i="40"/>
  <c r="CK99" i="40" s="1"/>
  <c r="CW99" i="40" s="1"/>
  <c r="CX99" i="40" s="1"/>
  <c r="CE31" i="40"/>
  <c r="CK31" i="40" s="1"/>
  <c r="CW31" i="40" s="1"/>
  <c r="CX31" i="40" s="1"/>
  <c r="CJ109" i="40"/>
  <c r="CP109" i="40" s="1"/>
  <c r="DG109" i="40" s="1"/>
  <c r="DH109" i="40" s="1"/>
  <c r="CF107" i="40"/>
  <c r="CL107" i="40" s="1"/>
  <c r="CY107" i="40" s="1"/>
  <c r="CZ107" i="40" s="1"/>
  <c r="CJ194" i="40"/>
  <c r="CP194" i="40" s="1"/>
  <c r="DG194" i="40" s="1"/>
  <c r="DH194" i="40" s="1"/>
  <c r="CI66" i="40"/>
  <c r="CO66" i="40" s="1"/>
  <c r="DE66" i="40" s="1"/>
  <c r="DF66" i="40" s="1"/>
  <c r="CH12" i="40"/>
  <c r="CN12" i="40" s="1"/>
  <c r="DC12" i="40" s="1"/>
  <c r="DD12" i="40" s="1"/>
  <c r="CG173" i="40"/>
  <c r="CM173" i="40" s="1"/>
  <c r="DA173" i="40" s="1"/>
  <c r="DB173" i="40" s="1"/>
  <c r="CE27" i="40"/>
  <c r="CK27" i="40" s="1"/>
  <c r="CW27" i="40" s="1"/>
  <c r="CX27" i="40" s="1"/>
  <c r="CI71" i="40"/>
  <c r="CO71" i="40" s="1"/>
  <c r="DE71" i="40" s="1"/>
  <c r="DF71" i="40" s="1"/>
  <c r="CJ29" i="40"/>
  <c r="CP29" i="40" s="1"/>
  <c r="DG29" i="40" s="1"/>
  <c r="DH29" i="40" s="1"/>
  <c r="CH179" i="40"/>
  <c r="CN179" i="40" s="1"/>
  <c r="DC179" i="40" s="1"/>
  <c r="DD179" i="40" s="1"/>
  <c r="CH115" i="40"/>
  <c r="CN115" i="40" s="1"/>
  <c r="DC115" i="40" s="1"/>
  <c r="DD115" i="40" s="1"/>
  <c r="CG56" i="40"/>
  <c r="CM56" i="40" s="1"/>
  <c r="DA56" i="40" s="1"/>
  <c r="DB56" i="40" s="1"/>
  <c r="CF305" i="40"/>
  <c r="CL305" i="40" s="1"/>
  <c r="CY305" i="40" s="1"/>
  <c r="CZ305" i="40" s="1"/>
  <c r="CE264" i="40"/>
  <c r="CK264" i="40" s="1"/>
  <c r="CW264" i="40" s="1"/>
  <c r="CX264" i="40" s="1"/>
  <c r="CE184" i="40"/>
  <c r="CK184" i="40" s="1"/>
  <c r="CW184" i="40" s="1"/>
  <c r="CX184" i="40" s="1"/>
  <c r="CF170" i="40"/>
  <c r="CL170" i="40" s="1"/>
  <c r="CY170" i="40" s="1"/>
  <c r="CZ170" i="40" s="1"/>
  <c r="CJ81" i="40"/>
  <c r="CP81" i="40" s="1"/>
  <c r="DG81" i="40" s="1"/>
  <c r="DH81" i="40" s="1"/>
  <c r="CI134" i="40"/>
  <c r="CO134" i="40" s="1"/>
  <c r="DE134" i="40" s="1"/>
  <c r="DF134" i="40" s="1"/>
  <c r="CJ134" i="40"/>
  <c r="CP134" i="40" s="1"/>
  <c r="DG134" i="40" s="1"/>
  <c r="DH134" i="40" s="1"/>
  <c r="CH229" i="40"/>
  <c r="CN229" i="40" s="1"/>
  <c r="DC229" i="40" s="1"/>
  <c r="DD229" i="40" s="1"/>
  <c r="CI313" i="40"/>
  <c r="CO313" i="40" s="1"/>
  <c r="DE313" i="40" s="1"/>
  <c r="DF313" i="40" s="1"/>
  <c r="CI252" i="40"/>
  <c r="CO252" i="40" s="1"/>
  <c r="DE252" i="40" s="1"/>
  <c r="DF252" i="40" s="1"/>
  <c r="CJ88" i="40"/>
  <c r="CP88" i="40" s="1"/>
  <c r="DG88" i="40" s="1"/>
  <c r="DH88" i="40" s="1"/>
  <c r="CF94" i="40"/>
  <c r="CL94" i="40" s="1"/>
  <c r="CY94" i="40" s="1"/>
  <c r="CZ94" i="40" s="1"/>
  <c r="CH13" i="40"/>
  <c r="CN13" i="40" s="1"/>
  <c r="DC13" i="40" s="1"/>
  <c r="DD13" i="40" s="1"/>
  <c r="CG180" i="40"/>
  <c r="CM180" i="40" s="1"/>
  <c r="DA180" i="40" s="1"/>
  <c r="DB180" i="40" s="1"/>
  <c r="CI58" i="40"/>
  <c r="CO58" i="40" s="1"/>
  <c r="DE58" i="40" s="1"/>
  <c r="DF58" i="40" s="1"/>
  <c r="CE39" i="40"/>
  <c r="CK39" i="40" s="1"/>
  <c r="CW39" i="40" s="1"/>
  <c r="CX39" i="40" s="1"/>
  <c r="CH83" i="40"/>
  <c r="CN83" i="40" s="1"/>
  <c r="DC83" i="40" s="1"/>
  <c r="DD83" i="40" s="1"/>
  <c r="CG232" i="40"/>
  <c r="CM232" i="40" s="1"/>
  <c r="DA232" i="40" s="1"/>
  <c r="DB232" i="40" s="1"/>
  <c r="CG278" i="40"/>
  <c r="CM278" i="40" s="1"/>
  <c r="DA278" i="40" s="1"/>
  <c r="DB278" i="40" s="1"/>
  <c r="CJ125" i="40"/>
  <c r="CP125" i="40" s="1"/>
  <c r="DG125" i="40" s="1"/>
  <c r="DH125" i="40" s="1"/>
  <c r="CI136" i="40"/>
  <c r="CO136" i="40" s="1"/>
  <c r="DE136" i="40" s="1"/>
  <c r="DF136" i="40" s="1"/>
  <c r="CF250" i="40"/>
  <c r="CL250" i="40" s="1"/>
  <c r="CY250" i="40" s="1"/>
  <c r="CZ250" i="40" s="1"/>
  <c r="CH250" i="40"/>
  <c r="CN250" i="40" s="1"/>
  <c r="DC250" i="40" s="1"/>
  <c r="DD250" i="40" s="1"/>
  <c r="CI161" i="40"/>
  <c r="CO161" i="40" s="1"/>
  <c r="DE161" i="40" s="1"/>
  <c r="DF161" i="40" s="1"/>
  <c r="CJ139" i="40"/>
  <c r="CP139" i="40" s="1"/>
  <c r="DG139" i="40" s="1"/>
  <c r="DH139" i="40" s="1"/>
  <c r="CI48" i="40"/>
  <c r="CO48" i="40" s="1"/>
  <c r="DE48" i="40" s="1"/>
  <c r="DF48" i="40" s="1"/>
  <c r="CI20" i="40"/>
  <c r="CO20" i="40" s="1"/>
  <c r="DE20" i="40" s="1"/>
  <c r="DF20" i="40" s="1"/>
  <c r="CE123" i="40"/>
  <c r="CK123" i="40" s="1"/>
  <c r="CW123" i="40" s="1"/>
  <c r="CX123" i="40" s="1"/>
  <c r="CJ162" i="40"/>
  <c r="CP162" i="40" s="1"/>
  <c r="DG162" i="40" s="1"/>
  <c r="DH162" i="40" s="1"/>
  <c r="CJ224" i="40"/>
  <c r="CP224" i="40" s="1"/>
  <c r="DG224" i="40" s="1"/>
  <c r="DH224" i="40" s="1"/>
  <c r="CF197" i="40"/>
  <c r="CL197" i="40" s="1"/>
  <c r="CY197" i="40" s="1"/>
  <c r="CZ197" i="40" s="1"/>
  <c r="CH239" i="40"/>
  <c r="CN239" i="40" s="1"/>
  <c r="DC239" i="40" s="1"/>
  <c r="DD239" i="40" s="1"/>
  <c r="CI158" i="40"/>
  <c r="CO158" i="40" s="1"/>
  <c r="DE158" i="40" s="1"/>
  <c r="DF158" i="40" s="1"/>
  <c r="CI142" i="40"/>
  <c r="CO142" i="40" s="1"/>
  <c r="DE142" i="40" s="1"/>
  <c r="DF142" i="40" s="1"/>
  <c r="CF148" i="40"/>
  <c r="CL148" i="40" s="1"/>
  <c r="CY148" i="40" s="1"/>
  <c r="CZ148" i="40" s="1"/>
  <c r="CE266" i="40"/>
  <c r="CK266" i="40" s="1"/>
  <c r="CW266" i="40" s="1"/>
  <c r="CX266" i="40" s="1"/>
  <c r="CG89" i="40"/>
  <c r="CM89" i="40" s="1"/>
  <c r="DA89" i="40" s="1"/>
  <c r="DB89" i="40" s="1"/>
  <c r="CJ22" i="40"/>
  <c r="CP22" i="40" s="1"/>
  <c r="DG22" i="40" s="1"/>
  <c r="DH22" i="40" s="1"/>
  <c r="CE218" i="40"/>
  <c r="CK218" i="40" s="1"/>
  <c r="CW218" i="40" s="1"/>
  <c r="CX218" i="40" s="1"/>
  <c r="CE163" i="40"/>
  <c r="CK163" i="40" s="1"/>
  <c r="CW163" i="40" s="1"/>
  <c r="CX163" i="40" s="1"/>
  <c r="CJ180" i="40"/>
  <c r="CP180" i="40" s="1"/>
  <c r="DG180" i="40" s="1"/>
  <c r="DH180" i="40" s="1"/>
  <c r="CJ58" i="17"/>
  <c r="CP58" i="17" s="1"/>
  <c r="DG58" i="17" s="1"/>
  <c r="DH58" i="17" s="1"/>
  <c r="CI30" i="17"/>
  <c r="CO30" i="17" s="1"/>
  <c r="DE30" i="17" s="1"/>
  <c r="DF30" i="17" s="1"/>
  <c r="CJ236" i="17"/>
  <c r="CP236" i="17" s="1"/>
  <c r="DG236" i="17" s="1"/>
  <c r="DH236" i="17" s="1"/>
  <c r="CH63" i="17"/>
  <c r="CN63" i="17" s="1"/>
  <c r="DC63" i="17" s="1"/>
  <c r="DD63" i="17" s="1"/>
  <c r="CJ59" i="17"/>
  <c r="CP59" i="17" s="1"/>
  <c r="DG59" i="17" s="1"/>
  <c r="DH59" i="17" s="1"/>
  <c r="CH133" i="17"/>
  <c r="CN133" i="17" s="1"/>
  <c r="DC133" i="17" s="1"/>
  <c r="DD133" i="17" s="1"/>
  <c r="CH307" i="17"/>
  <c r="CN307" i="17" s="1"/>
  <c r="DC307" i="17" s="1"/>
  <c r="DD307" i="17" s="1"/>
  <c r="CJ211" i="17"/>
  <c r="CP211" i="17" s="1"/>
  <c r="DG211" i="17" s="1"/>
  <c r="DH211" i="17" s="1"/>
  <c r="CJ190" i="17"/>
  <c r="CP190" i="17" s="1"/>
  <c r="DG190" i="17" s="1"/>
  <c r="DH190" i="17" s="1"/>
  <c r="CH213" i="17"/>
  <c r="CN213" i="17" s="1"/>
  <c r="DC213" i="17" s="1"/>
  <c r="DD213" i="17" s="1"/>
  <c r="CJ230" i="17"/>
  <c r="CP230" i="17" s="1"/>
  <c r="DG230" i="17" s="1"/>
  <c r="DH230" i="17" s="1"/>
  <c r="CI295" i="17"/>
  <c r="CO295" i="17" s="1"/>
  <c r="DE295" i="17" s="1"/>
  <c r="DF295" i="17" s="1"/>
  <c r="CI245" i="17"/>
  <c r="CO245" i="17" s="1"/>
  <c r="DE245" i="17" s="1"/>
  <c r="DF245" i="17" s="1"/>
  <c r="CJ293" i="17"/>
  <c r="CP293" i="17" s="1"/>
  <c r="DG293" i="17" s="1"/>
  <c r="DH293" i="17" s="1"/>
  <c r="CI63" i="17"/>
  <c r="CO63" i="17" s="1"/>
  <c r="DE63" i="17" s="1"/>
  <c r="DF63" i="17" s="1"/>
  <c r="CH137" i="17"/>
  <c r="CN137" i="17" s="1"/>
  <c r="DC137" i="17" s="1"/>
  <c r="DD137" i="17" s="1"/>
  <c r="AZ84" i="17"/>
  <c r="BH84" i="17" s="1"/>
  <c r="CI194" i="17"/>
  <c r="CO194" i="17" s="1"/>
  <c r="DE194" i="17" s="1"/>
  <c r="DF194" i="17" s="1"/>
  <c r="BA84" i="17"/>
  <c r="BI84" i="17" s="1"/>
  <c r="AY158" i="17"/>
  <c r="BG158" i="17" s="1"/>
  <c r="CI284" i="17"/>
  <c r="CO284" i="17" s="1"/>
  <c r="DE284" i="17" s="1"/>
  <c r="DF284" i="17" s="1"/>
  <c r="CJ250" i="17"/>
  <c r="CP250" i="17" s="1"/>
  <c r="DG250" i="17" s="1"/>
  <c r="DH250" i="17" s="1"/>
  <c r="CJ172" i="17"/>
  <c r="CP172" i="17" s="1"/>
  <c r="DG172" i="17" s="1"/>
  <c r="DH172" i="17" s="1"/>
  <c r="CJ292" i="17"/>
  <c r="CP292" i="17" s="1"/>
  <c r="DG292" i="17" s="1"/>
  <c r="DH292" i="17" s="1"/>
  <c r="CH273" i="17"/>
  <c r="CN273" i="17" s="1"/>
  <c r="DC273" i="17" s="1"/>
  <c r="DD273" i="17" s="1"/>
  <c r="CI214" i="17"/>
  <c r="CO214" i="17" s="1"/>
  <c r="DE214" i="17" s="1"/>
  <c r="DF214" i="17" s="1"/>
  <c r="J14" i="39"/>
  <c r="K14" i="39" s="1"/>
  <c r="L20" i="39"/>
  <c r="L18" i="39"/>
  <c r="L17" i="39"/>
  <c r="CJ184" i="17"/>
  <c r="CP184" i="17" s="1"/>
  <c r="DG184" i="17" s="1"/>
  <c r="DH184" i="17" s="1"/>
  <c r="CJ63" i="17"/>
  <c r="CP63" i="17" s="1"/>
  <c r="DG63" i="17" s="1"/>
  <c r="DH63" i="17" s="1"/>
  <c r="CJ237" i="17"/>
  <c r="CP237" i="17" s="1"/>
  <c r="DG237" i="17" s="1"/>
  <c r="DH237" i="17" s="1"/>
  <c r="CJ30" i="17"/>
  <c r="CP30" i="17" s="1"/>
  <c r="DG30" i="17" s="1"/>
  <c r="DH30" i="17" s="1"/>
  <c r="CI102" i="17"/>
  <c r="CO102" i="17" s="1"/>
  <c r="DE102" i="17" s="1"/>
  <c r="DF102" i="17" s="1"/>
  <c r="CJ160" i="17"/>
  <c r="CP160" i="17" s="1"/>
  <c r="DG160" i="17" s="1"/>
  <c r="DH160" i="17" s="1"/>
  <c r="CJ197" i="17"/>
  <c r="CP197" i="17" s="1"/>
  <c r="DG197" i="17" s="1"/>
  <c r="DH197" i="17" s="1"/>
  <c r="CJ246" i="17"/>
  <c r="CP246" i="17" s="1"/>
  <c r="DG246" i="17" s="1"/>
  <c r="DH246" i="17" s="1"/>
  <c r="CZ14" i="17"/>
  <c r="DH18" i="17"/>
  <c r="L15" i="39"/>
  <c r="K13" i="39"/>
  <c r="L13" i="39" s="1"/>
  <c r="K17" i="39"/>
  <c r="K15" i="39"/>
  <c r="K16" i="39"/>
  <c r="M16" i="39" s="1"/>
  <c r="K18" i="39"/>
  <c r="K20" i="39"/>
  <c r="K12" i="39"/>
  <c r="K19" i="39"/>
  <c r="CJ209" i="17"/>
  <c r="CP209" i="17" s="1"/>
  <c r="DG209" i="17" s="1"/>
  <c r="DH209" i="17" s="1"/>
  <c r="CJ78" i="17"/>
  <c r="CP78" i="17" s="1"/>
  <c r="DG78" i="17" s="1"/>
  <c r="DH78" i="17" s="1"/>
  <c r="CH198" i="17"/>
  <c r="CN198" i="17" s="1"/>
  <c r="DC198" i="17" s="1"/>
  <c r="DD198" i="17" s="1"/>
  <c r="CJ229" i="17"/>
  <c r="CP229" i="17" s="1"/>
  <c r="DG229" i="17" s="1"/>
  <c r="DH229" i="17" s="1"/>
  <c r="CI273" i="17"/>
  <c r="CO273" i="17" s="1"/>
  <c r="DE273" i="17" s="1"/>
  <c r="DF273" i="17" s="1"/>
  <c r="CJ169" i="17"/>
  <c r="CP169" i="17" s="1"/>
  <c r="DG169" i="17" s="1"/>
  <c r="DH169" i="17" s="1"/>
  <c r="CI27" i="17"/>
  <c r="CO27" i="17" s="1"/>
  <c r="DE27" i="17" s="1"/>
  <c r="DF27" i="17" s="1"/>
  <c r="CJ219" i="17"/>
  <c r="CP219" i="17" s="1"/>
  <c r="DG219" i="17" s="1"/>
  <c r="DH219" i="17" s="1"/>
  <c r="CJ114" i="17"/>
  <c r="CP114" i="17" s="1"/>
  <c r="DG114" i="17" s="1"/>
  <c r="DH114" i="17" s="1"/>
  <c r="CJ315" i="17"/>
  <c r="CP315" i="17" s="1"/>
  <c r="DG315" i="17" s="1"/>
  <c r="DH315" i="17" s="1"/>
  <c r="CJ24" i="17"/>
  <c r="CP24" i="17" s="1"/>
  <c r="DG24" i="17" s="1"/>
  <c r="DH24" i="17" s="1"/>
  <c r="BA126" i="17"/>
  <c r="BI126" i="17" s="1"/>
  <c r="BE181" i="17"/>
  <c r="BM181" i="17" s="1"/>
  <c r="CJ295" i="17"/>
  <c r="CP295" i="17" s="1"/>
  <c r="DG295" i="17" s="1"/>
  <c r="DH295" i="17" s="1"/>
  <c r="CJ140" i="17"/>
  <c r="CP140" i="17" s="1"/>
  <c r="DG140" i="17" s="1"/>
  <c r="DH140" i="17" s="1"/>
  <c r="CJ119" i="17"/>
  <c r="CP119" i="17" s="1"/>
  <c r="DG119" i="17" s="1"/>
  <c r="DH119" i="17" s="1"/>
  <c r="CJ270" i="17"/>
  <c r="CP270" i="17" s="1"/>
  <c r="DG270" i="17" s="1"/>
  <c r="DH270" i="17" s="1"/>
  <c r="CH257" i="17"/>
  <c r="CN257" i="17" s="1"/>
  <c r="DC257" i="17" s="1"/>
  <c r="DD257" i="17" s="1"/>
  <c r="CJ271" i="17"/>
  <c r="CP271" i="17" s="1"/>
  <c r="DG271" i="17" s="1"/>
  <c r="DH271" i="17" s="1"/>
  <c r="CJ158" i="17"/>
  <c r="CP158" i="17" s="1"/>
  <c r="DG158" i="17" s="1"/>
  <c r="DH158" i="17" s="1"/>
  <c r="CJ231" i="17"/>
  <c r="CP231" i="17" s="1"/>
  <c r="DG231" i="17" s="1"/>
  <c r="DH231" i="17" s="1"/>
  <c r="CJ71" i="17"/>
  <c r="CP71" i="17" s="1"/>
  <c r="DG71" i="17" s="1"/>
  <c r="DH71" i="17" s="1"/>
  <c r="CJ95" i="17"/>
  <c r="CP95" i="17" s="1"/>
  <c r="DG95" i="17" s="1"/>
  <c r="DH95" i="17" s="1"/>
  <c r="CJ198" i="17"/>
  <c r="CP198" i="17" s="1"/>
  <c r="DG198" i="17" s="1"/>
  <c r="DH198" i="17" s="1"/>
  <c r="BE158" i="17"/>
  <c r="BM158" i="17" s="1"/>
  <c r="CH191" i="17"/>
  <c r="CN191" i="17" s="1"/>
  <c r="DC191" i="17" s="1"/>
  <c r="DD191" i="17" s="1"/>
  <c r="CH283" i="17"/>
  <c r="CN283" i="17" s="1"/>
  <c r="DC283" i="17" s="1"/>
  <c r="DD283" i="17" s="1"/>
  <c r="CJ36" i="17"/>
  <c r="CP36" i="17" s="1"/>
  <c r="DG36" i="17" s="1"/>
  <c r="DH36" i="17" s="1"/>
  <c r="CJ213" i="17"/>
  <c r="CP213" i="17" s="1"/>
  <c r="DG213" i="17" s="1"/>
  <c r="DH213" i="17" s="1"/>
  <c r="CJ154" i="17"/>
  <c r="CP154" i="17" s="1"/>
  <c r="DG154" i="17" s="1"/>
  <c r="DH154" i="17" s="1"/>
  <c r="CI114" i="17"/>
  <c r="CO114" i="17" s="1"/>
  <c r="DE114" i="17" s="1"/>
  <c r="DF114" i="17" s="1"/>
  <c r="CJ134" i="17"/>
  <c r="CP134" i="17" s="1"/>
  <c r="DG134" i="17" s="1"/>
  <c r="DH134" i="17" s="1"/>
  <c r="CJ161" i="17"/>
  <c r="CP161" i="17" s="1"/>
  <c r="DG161" i="17" s="1"/>
  <c r="DH161" i="17" s="1"/>
  <c r="CJ245" i="17"/>
  <c r="CP245" i="17" s="1"/>
  <c r="DG245" i="17" s="1"/>
  <c r="DH245" i="17" s="1"/>
  <c r="CJ12" i="17"/>
  <c r="CP12" i="17" s="1"/>
  <c r="DG12" i="17" s="1"/>
  <c r="DH12" i="17" s="1"/>
  <c r="CJ265" i="17"/>
  <c r="CP265" i="17" s="1"/>
  <c r="DG265" i="17" s="1"/>
  <c r="DH265" i="17" s="1"/>
  <c r="CJ124" i="17"/>
  <c r="CP124" i="17" s="1"/>
  <c r="DG124" i="17" s="1"/>
  <c r="DH124" i="17" s="1"/>
  <c r="CJ130" i="17"/>
  <c r="CP130" i="17" s="1"/>
  <c r="DG130" i="17" s="1"/>
  <c r="DH130" i="17" s="1"/>
  <c r="CJ51" i="17"/>
  <c r="CP51" i="17" s="1"/>
  <c r="DG51" i="17" s="1"/>
  <c r="DH51" i="17" s="1"/>
  <c r="CJ145" i="17"/>
  <c r="CP145" i="17" s="1"/>
  <c r="DG145" i="17" s="1"/>
  <c r="DH145" i="17" s="1"/>
  <c r="CJ280" i="17"/>
  <c r="CP280" i="17" s="1"/>
  <c r="DG280" i="17" s="1"/>
  <c r="DH280" i="17" s="1"/>
  <c r="CJ67" i="17"/>
  <c r="CP67" i="17" s="1"/>
  <c r="DG67" i="17" s="1"/>
  <c r="DH67" i="17" s="1"/>
  <c r="CJ264" i="17"/>
  <c r="CP264" i="17" s="1"/>
  <c r="DG264" i="17" s="1"/>
  <c r="DH264" i="17" s="1"/>
  <c r="CJ203" i="17"/>
  <c r="CP203" i="17" s="1"/>
  <c r="DG203" i="17" s="1"/>
  <c r="DH203" i="17" s="1"/>
  <c r="CJ101" i="17"/>
  <c r="CP101" i="17" s="1"/>
  <c r="DG101" i="17" s="1"/>
  <c r="DH101" i="17" s="1"/>
  <c r="CJ110" i="17"/>
  <c r="CP110" i="17" s="1"/>
  <c r="DG110" i="17" s="1"/>
  <c r="DH110" i="17" s="1"/>
  <c r="CJ298" i="17"/>
  <c r="CP298" i="17" s="1"/>
  <c r="DG298" i="17" s="1"/>
  <c r="DH298" i="17" s="1"/>
  <c r="CH27" i="17"/>
  <c r="CN27" i="17" s="1"/>
  <c r="DC27" i="17" s="1"/>
  <c r="DD27" i="17" s="1"/>
  <c r="CJ27" i="17"/>
  <c r="CP27" i="17" s="1"/>
  <c r="DG27" i="17" s="1"/>
  <c r="DH27" i="17" s="1"/>
  <c r="CJ120" i="17"/>
  <c r="CP120" i="17" s="1"/>
  <c r="DG120" i="17" s="1"/>
  <c r="DH120" i="17" s="1"/>
  <c r="CJ41" i="17"/>
  <c r="CP41" i="17" s="1"/>
  <c r="DG41" i="17" s="1"/>
  <c r="DH41" i="17" s="1"/>
  <c r="CJ155" i="17"/>
  <c r="CP155" i="17" s="1"/>
  <c r="DG155" i="17" s="1"/>
  <c r="DH155" i="17" s="1"/>
  <c r="CJ147" i="17"/>
  <c r="CP147" i="17" s="1"/>
  <c r="DG147" i="17" s="1"/>
  <c r="DH147" i="17" s="1"/>
  <c r="CJ121" i="17"/>
  <c r="CP121" i="17" s="1"/>
  <c r="DG121" i="17" s="1"/>
  <c r="DH121" i="17" s="1"/>
  <c r="CJ84" i="17"/>
  <c r="CP84" i="17" s="1"/>
  <c r="DG84" i="17" s="1"/>
  <c r="DH84" i="17" s="1"/>
  <c r="CJ187" i="17"/>
  <c r="CP187" i="17" s="1"/>
  <c r="DG187" i="17" s="1"/>
  <c r="DH187" i="17" s="1"/>
  <c r="CJ109" i="17"/>
  <c r="CP109" i="17" s="1"/>
  <c r="DG109" i="17" s="1"/>
  <c r="DH109" i="17" s="1"/>
  <c r="CJ310" i="17"/>
  <c r="CP310" i="17" s="1"/>
  <c r="DG310" i="17" s="1"/>
  <c r="DH310" i="17" s="1"/>
  <c r="CJ66" i="17"/>
  <c r="CP66" i="17" s="1"/>
  <c r="DG66" i="17" s="1"/>
  <c r="DH66" i="17" s="1"/>
  <c r="CJ189" i="17"/>
  <c r="CP189" i="17" s="1"/>
  <c r="DG189" i="17" s="1"/>
  <c r="DH189" i="17" s="1"/>
  <c r="CJ112" i="17"/>
  <c r="CP112" i="17" s="1"/>
  <c r="DG112" i="17" s="1"/>
  <c r="DH112" i="17" s="1"/>
  <c r="CH317" i="17"/>
  <c r="CN317" i="17" s="1"/>
  <c r="DC317" i="17" s="1"/>
  <c r="DD317" i="17" s="1"/>
  <c r="CJ317" i="17"/>
  <c r="CP317" i="17" s="1"/>
  <c r="DG317" i="17" s="1"/>
  <c r="DH317" i="17" s="1"/>
  <c r="CJ273" i="17"/>
  <c r="CP273" i="17" s="1"/>
  <c r="DG273" i="17" s="1"/>
  <c r="DH273" i="17" s="1"/>
  <c r="CJ258" i="17"/>
  <c r="CP258" i="17" s="1"/>
  <c r="DG258" i="17" s="1"/>
  <c r="DH258" i="17" s="1"/>
  <c r="CJ266" i="17"/>
  <c r="CP266" i="17" s="1"/>
  <c r="DG266" i="17" s="1"/>
  <c r="DH266" i="17" s="1"/>
  <c r="CJ309" i="17"/>
  <c r="CP309" i="17" s="1"/>
  <c r="DG309" i="17" s="1"/>
  <c r="DH309" i="17" s="1"/>
  <c r="CJ9" i="17"/>
  <c r="CP9" i="17" s="1"/>
  <c r="DG9" i="17" s="1"/>
  <c r="DH9" i="17" s="1"/>
  <c r="CJ131" i="17"/>
  <c r="CP131" i="17" s="1"/>
  <c r="DG131" i="17" s="1"/>
  <c r="DH131" i="17" s="1"/>
  <c r="CJ241" i="17"/>
  <c r="CP241" i="17" s="1"/>
  <c r="DG241" i="17" s="1"/>
  <c r="DH241" i="17" s="1"/>
  <c r="CJ232" i="17"/>
  <c r="CP232" i="17" s="1"/>
  <c r="DG232" i="17" s="1"/>
  <c r="DH232" i="17" s="1"/>
  <c r="CJ218" i="17"/>
  <c r="CP218" i="17" s="1"/>
  <c r="DG218" i="17" s="1"/>
  <c r="DH218" i="17" s="1"/>
  <c r="CJ262" i="17"/>
  <c r="CP262" i="17" s="1"/>
  <c r="DG262" i="17" s="1"/>
  <c r="DH262" i="17" s="1"/>
  <c r="CJ103" i="17"/>
  <c r="CP103" i="17" s="1"/>
  <c r="DG103" i="17" s="1"/>
  <c r="DH103" i="17" s="1"/>
  <c r="CJ159" i="17"/>
  <c r="CP159" i="17" s="1"/>
  <c r="DG159" i="17" s="1"/>
  <c r="DH159" i="17" s="1"/>
  <c r="CJ77" i="17"/>
  <c r="CP77" i="17" s="1"/>
  <c r="DG77" i="17" s="1"/>
  <c r="DH77" i="17" s="1"/>
  <c r="CJ297" i="17"/>
  <c r="CP297" i="17" s="1"/>
  <c r="DG297" i="17" s="1"/>
  <c r="DH297" i="17" s="1"/>
  <c r="CJ308" i="17"/>
  <c r="CP308" i="17" s="1"/>
  <c r="DG308" i="17" s="1"/>
  <c r="DH308" i="17" s="1"/>
  <c r="CJ255" i="17"/>
  <c r="CP255" i="17" s="1"/>
  <c r="DG255" i="17" s="1"/>
  <c r="DH255" i="17" s="1"/>
  <c r="CJ274" i="17"/>
  <c r="CP274" i="17" s="1"/>
  <c r="DG274" i="17" s="1"/>
  <c r="DH274" i="17" s="1"/>
  <c r="CJ279" i="17"/>
  <c r="CP279" i="17" s="1"/>
  <c r="DG279" i="17" s="1"/>
  <c r="DH279" i="17" s="1"/>
  <c r="CJ62" i="17"/>
  <c r="CP62" i="17" s="1"/>
  <c r="DG62" i="17" s="1"/>
  <c r="DH62" i="17" s="1"/>
  <c r="CJ61" i="17"/>
  <c r="CP61" i="17" s="1"/>
  <c r="DG61" i="17" s="1"/>
  <c r="DH61" i="17" s="1"/>
  <c r="CJ91" i="17"/>
  <c r="CP91" i="17" s="1"/>
  <c r="DG91" i="17" s="1"/>
  <c r="DH91" i="17" s="1"/>
  <c r="CJ193" i="17"/>
  <c r="CP193" i="17" s="1"/>
  <c r="DG193" i="17" s="1"/>
  <c r="DH193" i="17" s="1"/>
  <c r="CJ94" i="17"/>
  <c r="CP94" i="17" s="1"/>
  <c r="DG94" i="17" s="1"/>
  <c r="DH94" i="17" s="1"/>
  <c r="CJ70" i="17"/>
  <c r="CP70" i="17" s="1"/>
  <c r="DG70" i="17" s="1"/>
  <c r="DH70" i="17" s="1"/>
  <c r="CJ174" i="17"/>
  <c r="CP174" i="17" s="1"/>
  <c r="DG174" i="17" s="1"/>
  <c r="DH174" i="17" s="1"/>
  <c r="CJ126" i="17"/>
  <c r="CP126" i="17" s="1"/>
  <c r="DG126" i="17" s="1"/>
  <c r="DH126" i="17" s="1"/>
  <c r="CJ252" i="17"/>
  <c r="CP252" i="17" s="1"/>
  <c r="DG252" i="17" s="1"/>
  <c r="DH252" i="17" s="1"/>
  <c r="CJ13" i="17"/>
  <c r="CP13" i="17" s="1"/>
  <c r="DG13" i="17" s="1"/>
  <c r="DH13" i="17" s="1"/>
  <c r="CJ137" i="17"/>
  <c r="CP137" i="17" s="1"/>
  <c r="DG137" i="17" s="1"/>
  <c r="DH137" i="17" s="1"/>
  <c r="CJ181" i="17"/>
  <c r="CP181" i="17" s="1"/>
  <c r="DG181" i="17" s="1"/>
  <c r="DH181" i="17" s="1"/>
  <c r="CJ224" i="17"/>
  <c r="CP224" i="17" s="1"/>
  <c r="DG224" i="17" s="1"/>
  <c r="DH224" i="17" s="1"/>
  <c r="CI233" i="17"/>
  <c r="CO233" i="17" s="1"/>
  <c r="DE233" i="17" s="1"/>
  <c r="DF233" i="17" s="1"/>
  <c r="CJ233" i="17"/>
  <c r="CP233" i="17" s="1"/>
  <c r="DG233" i="17" s="1"/>
  <c r="DH233" i="17" s="1"/>
  <c r="CJ162" i="17"/>
  <c r="CP162" i="17" s="1"/>
  <c r="DG162" i="17" s="1"/>
  <c r="DH162" i="17" s="1"/>
  <c r="CJ222" i="17"/>
  <c r="CP222" i="17" s="1"/>
  <c r="DG222" i="17" s="1"/>
  <c r="DH222" i="17" s="1"/>
  <c r="CH6" i="17"/>
  <c r="CN6" i="17" s="1"/>
  <c r="DC6" i="17" s="1"/>
  <c r="DD6" i="17" s="1"/>
  <c r="CJ6" i="17"/>
  <c r="CP6" i="17" s="1"/>
  <c r="DG6" i="17" s="1"/>
  <c r="DH6" i="17" s="1"/>
  <c r="CJ53" i="17"/>
  <c r="CP53" i="17" s="1"/>
  <c r="DG53" i="17" s="1"/>
  <c r="DH53" i="17" s="1"/>
  <c r="CJ285" i="17"/>
  <c r="CP285" i="17" s="1"/>
  <c r="DG285" i="17" s="1"/>
  <c r="DH285" i="17" s="1"/>
  <c r="CJ223" i="17"/>
  <c r="CP223" i="17" s="1"/>
  <c r="DG223" i="17" s="1"/>
  <c r="DH223" i="17" s="1"/>
  <c r="CJ242" i="17"/>
  <c r="CP242" i="17" s="1"/>
  <c r="DG242" i="17" s="1"/>
  <c r="DH242" i="17" s="1"/>
  <c r="CJ136" i="17"/>
  <c r="CP136" i="17" s="1"/>
  <c r="DG136" i="17" s="1"/>
  <c r="DH136" i="17" s="1"/>
  <c r="CJ205" i="17"/>
  <c r="CP205" i="17" s="1"/>
  <c r="DG205" i="17" s="1"/>
  <c r="DH205" i="17" s="1"/>
  <c r="CJ129" i="17"/>
  <c r="CP129" i="17" s="1"/>
  <c r="DG129" i="17" s="1"/>
  <c r="DH129" i="17" s="1"/>
  <c r="CJ142" i="17"/>
  <c r="CP142" i="17" s="1"/>
  <c r="DG142" i="17" s="1"/>
  <c r="DH142" i="17" s="1"/>
  <c r="CJ40" i="17"/>
  <c r="CP40" i="17" s="1"/>
  <c r="DG40" i="17" s="1"/>
  <c r="DH40" i="17" s="1"/>
  <c r="CJ263" i="17"/>
  <c r="CP263" i="17" s="1"/>
  <c r="DG263" i="17" s="1"/>
  <c r="DH263" i="17" s="1"/>
  <c r="CJ34" i="17"/>
  <c r="CP34" i="17" s="1"/>
  <c r="DG34" i="17" s="1"/>
  <c r="DH34" i="17" s="1"/>
  <c r="CJ261" i="17"/>
  <c r="CP261" i="17" s="1"/>
  <c r="DG261" i="17" s="1"/>
  <c r="DH261" i="17" s="1"/>
  <c r="CJ168" i="17"/>
  <c r="CP168" i="17" s="1"/>
  <c r="DG168" i="17" s="1"/>
  <c r="DH168" i="17" s="1"/>
  <c r="CJ21" i="17"/>
  <c r="CP21" i="17" s="1"/>
  <c r="DG21" i="17" s="1"/>
  <c r="DH21" i="17" s="1"/>
  <c r="CJ284" i="17"/>
  <c r="CP284" i="17" s="1"/>
  <c r="DG284" i="17" s="1"/>
  <c r="DH284" i="17" s="1"/>
  <c r="CJ212" i="17"/>
  <c r="CP212" i="17" s="1"/>
  <c r="DG212" i="17" s="1"/>
  <c r="DH212" i="17" s="1"/>
  <c r="CJ283" i="17"/>
  <c r="CP283" i="17" s="1"/>
  <c r="DG283" i="17" s="1"/>
  <c r="DH283" i="17" s="1"/>
  <c r="CJ31" i="17"/>
  <c r="CP31" i="17" s="1"/>
  <c r="DG31" i="17" s="1"/>
  <c r="DH31" i="17" s="1"/>
  <c r="CJ228" i="17"/>
  <c r="CP228" i="17" s="1"/>
  <c r="DG228" i="17" s="1"/>
  <c r="DH228" i="17" s="1"/>
  <c r="CJ69" i="17"/>
  <c r="CP69" i="17" s="1"/>
  <c r="DG69" i="17" s="1"/>
  <c r="DH69" i="17" s="1"/>
  <c r="CJ275" i="17"/>
  <c r="CP275" i="17" s="1"/>
  <c r="DG275" i="17" s="1"/>
  <c r="DH275" i="17" s="1"/>
  <c r="CJ50" i="17"/>
  <c r="CP50" i="17" s="1"/>
  <c r="DG50" i="17" s="1"/>
  <c r="DH50" i="17" s="1"/>
  <c r="CI316" i="17"/>
  <c r="CO316" i="17" s="1"/>
  <c r="DE316" i="17" s="1"/>
  <c r="DF316" i="17" s="1"/>
  <c r="CJ316" i="17"/>
  <c r="CP316" i="17" s="1"/>
  <c r="DG316" i="17" s="1"/>
  <c r="DH316" i="17" s="1"/>
  <c r="CJ171" i="17"/>
  <c r="CP171" i="17" s="1"/>
  <c r="DG171" i="17" s="1"/>
  <c r="DH171" i="17" s="1"/>
  <c r="CJ195" i="17"/>
  <c r="CP195" i="17" s="1"/>
  <c r="DG195" i="17" s="1"/>
  <c r="DH195" i="17" s="1"/>
  <c r="CI71" i="17"/>
  <c r="CO71" i="17" s="1"/>
  <c r="DE71" i="17" s="1"/>
  <c r="DF71" i="17" s="1"/>
  <c r="CI103" i="17"/>
  <c r="CO103" i="17" s="1"/>
  <c r="DE103" i="17" s="1"/>
  <c r="DF103" i="17" s="1"/>
  <c r="CI232" i="17"/>
  <c r="CO232" i="17" s="1"/>
  <c r="DE232" i="17" s="1"/>
  <c r="DF232" i="17" s="1"/>
  <c r="CH71" i="17"/>
  <c r="CN71" i="17" s="1"/>
  <c r="DC71" i="17" s="1"/>
  <c r="DD71" i="17" s="1"/>
  <c r="CI125" i="17"/>
  <c r="CO125" i="17" s="1"/>
  <c r="DE125" i="17" s="1"/>
  <c r="DF125" i="17" s="1"/>
  <c r="CI145" i="17"/>
  <c r="CO145" i="17" s="1"/>
  <c r="DE145" i="17" s="1"/>
  <c r="DF145" i="17" s="1"/>
  <c r="CI262" i="17"/>
  <c r="CO262" i="17" s="1"/>
  <c r="DE262" i="17" s="1"/>
  <c r="DF262" i="17" s="1"/>
  <c r="CH315" i="17"/>
  <c r="CN315" i="17" s="1"/>
  <c r="DC315" i="17" s="1"/>
  <c r="DD315" i="17" s="1"/>
  <c r="CI280" i="17"/>
  <c r="CO280" i="17" s="1"/>
  <c r="DE280" i="17" s="1"/>
  <c r="DF280" i="17" s="1"/>
  <c r="CI219" i="17"/>
  <c r="CO219" i="17" s="1"/>
  <c r="DE219" i="17" s="1"/>
  <c r="DF219" i="17" s="1"/>
  <c r="CH151" i="17"/>
  <c r="CN151" i="17" s="1"/>
  <c r="DC151" i="17" s="1"/>
  <c r="DD151" i="17" s="1"/>
  <c r="CI168" i="17"/>
  <c r="CO168" i="17" s="1"/>
  <c r="DE168" i="17" s="1"/>
  <c r="DF168" i="17" s="1"/>
  <c r="AZ126" i="17"/>
  <c r="BH126" i="17" s="1"/>
  <c r="CH172" i="17"/>
  <c r="CN172" i="17" s="1"/>
  <c r="DC172" i="17" s="1"/>
  <c r="DD172" i="17" s="1"/>
  <c r="CH209" i="17"/>
  <c r="CN209" i="17" s="1"/>
  <c r="DC209" i="17" s="1"/>
  <c r="DD209" i="17" s="1"/>
  <c r="CI209" i="17"/>
  <c r="CO209" i="17" s="1"/>
  <c r="DE209" i="17" s="1"/>
  <c r="DF209" i="17" s="1"/>
  <c r="CH59" i="17"/>
  <c r="CN59" i="17" s="1"/>
  <c r="DC59" i="17" s="1"/>
  <c r="DD59" i="17" s="1"/>
  <c r="CH9" i="17"/>
  <c r="CN9" i="17" s="1"/>
  <c r="DC9" i="17" s="1"/>
  <c r="DD9" i="17" s="1"/>
  <c r="CI255" i="17"/>
  <c r="CO255" i="17" s="1"/>
  <c r="DE255" i="17" s="1"/>
  <c r="DF255" i="17" s="1"/>
  <c r="AZ64" i="17"/>
  <c r="BH64" i="17" s="1"/>
  <c r="CI91" i="17"/>
  <c r="CO91" i="17" s="1"/>
  <c r="DE91" i="17" s="1"/>
  <c r="DF91" i="17" s="1"/>
  <c r="CI113" i="17"/>
  <c r="CO113" i="17" s="1"/>
  <c r="DE113" i="17" s="1"/>
  <c r="DF113" i="17" s="1"/>
  <c r="CH24" i="17"/>
  <c r="CN24" i="17" s="1"/>
  <c r="DC24" i="17" s="1"/>
  <c r="DD24" i="17" s="1"/>
  <c r="CI237" i="17"/>
  <c r="CO237" i="17" s="1"/>
  <c r="DE237" i="17" s="1"/>
  <c r="DF237" i="17" s="1"/>
  <c r="CI258" i="17"/>
  <c r="CO258" i="17" s="1"/>
  <c r="DE258" i="17" s="1"/>
  <c r="DF258" i="17" s="1"/>
  <c r="CI94" i="17"/>
  <c r="CO94" i="17" s="1"/>
  <c r="DE94" i="17" s="1"/>
  <c r="DF94" i="17" s="1"/>
  <c r="CH128" i="17"/>
  <c r="CN128" i="17" s="1"/>
  <c r="DC128" i="17" s="1"/>
  <c r="DD128" i="17" s="1"/>
  <c r="CI62" i="17"/>
  <c r="CO62" i="17" s="1"/>
  <c r="DE62" i="17" s="1"/>
  <c r="DF62" i="17" s="1"/>
  <c r="CH112" i="17"/>
  <c r="CN112" i="17" s="1"/>
  <c r="DC112" i="17" s="1"/>
  <c r="DD112" i="17" s="1"/>
  <c r="CH61" i="17"/>
  <c r="CN61" i="17" s="1"/>
  <c r="DC61" i="17" s="1"/>
  <c r="DD61" i="17" s="1"/>
  <c r="CI315" i="17"/>
  <c r="CO315" i="17" s="1"/>
  <c r="DE315" i="17" s="1"/>
  <c r="DF315" i="17" s="1"/>
  <c r="CI162" i="17"/>
  <c r="CO162" i="17" s="1"/>
  <c r="DE162" i="17" s="1"/>
  <c r="DF162" i="17" s="1"/>
  <c r="CH142" i="17"/>
  <c r="CN142" i="17" s="1"/>
  <c r="DC142" i="17" s="1"/>
  <c r="DD142" i="17" s="1"/>
  <c r="CI66" i="17"/>
  <c r="CO66" i="17" s="1"/>
  <c r="DE66" i="17" s="1"/>
  <c r="DF66" i="17" s="1"/>
  <c r="CI189" i="17"/>
  <c r="CO189" i="17" s="1"/>
  <c r="DE189" i="17" s="1"/>
  <c r="DF189" i="17" s="1"/>
  <c r="CI112" i="17"/>
  <c r="CO112" i="17" s="1"/>
  <c r="DE112" i="17" s="1"/>
  <c r="DF112" i="17" s="1"/>
  <c r="CI34" i="17"/>
  <c r="CO34" i="17" s="1"/>
  <c r="DE34" i="17" s="1"/>
  <c r="DF34" i="17" s="1"/>
  <c r="CH131" i="17"/>
  <c r="CN131" i="17" s="1"/>
  <c r="DC131" i="17" s="1"/>
  <c r="DD131" i="17" s="1"/>
  <c r="CI158" i="17"/>
  <c r="CO158" i="17" s="1"/>
  <c r="DE158" i="17" s="1"/>
  <c r="DF158" i="17" s="1"/>
  <c r="CI172" i="17"/>
  <c r="CO172" i="17" s="1"/>
  <c r="DE172" i="17" s="1"/>
  <c r="DF172" i="17" s="1"/>
  <c r="CH190" i="17"/>
  <c r="CN190" i="17" s="1"/>
  <c r="DC190" i="17" s="1"/>
  <c r="DD190" i="17" s="1"/>
  <c r="CH222" i="17"/>
  <c r="CN222" i="17" s="1"/>
  <c r="DC222" i="17" s="1"/>
  <c r="DD222" i="17" s="1"/>
  <c r="CI285" i="17"/>
  <c r="CO285" i="17" s="1"/>
  <c r="DE285" i="17" s="1"/>
  <c r="DF285" i="17" s="1"/>
  <c r="CI13" i="17"/>
  <c r="CO13" i="17" s="1"/>
  <c r="DE13" i="17" s="1"/>
  <c r="DF13" i="17" s="1"/>
  <c r="CH12" i="17"/>
  <c r="CN12" i="17" s="1"/>
  <c r="DC12" i="17" s="1"/>
  <c r="DD12" i="17" s="1"/>
  <c r="CH143" i="17"/>
  <c r="CN143" i="17" s="1"/>
  <c r="DC143" i="17" s="1"/>
  <c r="DD143" i="17" s="1"/>
  <c r="CH310" i="17"/>
  <c r="CN310" i="17" s="1"/>
  <c r="DC310" i="17" s="1"/>
  <c r="DD310" i="17" s="1"/>
  <c r="CH126" i="17"/>
  <c r="CN126" i="17" s="1"/>
  <c r="DC126" i="17" s="1"/>
  <c r="DD126" i="17" s="1"/>
  <c r="CI222" i="17"/>
  <c r="CO222" i="17" s="1"/>
  <c r="DE222" i="17" s="1"/>
  <c r="DF222" i="17" s="1"/>
  <c r="CI53" i="17"/>
  <c r="CO53" i="17" s="1"/>
  <c r="DE53" i="17" s="1"/>
  <c r="DF53" i="17" s="1"/>
  <c r="CH55" i="17"/>
  <c r="CN55" i="17" s="1"/>
  <c r="DC55" i="17" s="1"/>
  <c r="DD55" i="17" s="1"/>
  <c r="CH140" i="17"/>
  <c r="CN140" i="17" s="1"/>
  <c r="DC140" i="17" s="1"/>
  <c r="DD140" i="17" s="1"/>
  <c r="CH196" i="17"/>
  <c r="CN196" i="17" s="1"/>
  <c r="DC196" i="17" s="1"/>
  <c r="DD196" i="17" s="1"/>
  <c r="CI246" i="17"/>
  <c r="CO246" i="17" s="1"/>
  <c r="DE246" i="17" s="1"/>
  <c r="DF246" i="17" s="1"/>
  <c r="CI136" i="17"/>
  <c r="CO136" i="17" s="1"/>
  <c r="DE136" i="17" s="1"/>
  <c r="DF136" i="17" s="1"/>
  <c r="CH114" i="17"/>
  <c r="CN114" i="17" s="1"/>
  <c r="DC114" i="17" s="1"/>
  <c r="DD114" i="17" s="1"/>
  <c r="CH250" i="17"/>
  <c r="CN250" i="17" s="1"/>
  <c r="DC250" i="17" s="1"/>
  <c r="DD250" i="17" s="1"/>
  <c r="CI130" i="17"/>
  <c r="CO130" i="17" s="1"/>
  <c r="DE130" i="17" s="1"/>
  <c r="DF130" i="17" s="1"/>
  <c r="CH84" i="17"/>
  <c r="CN84" i="17" s="1"/>
  <c r="DC84" i="17" s="1"/>
  <c r="DD84" i="17" s="1"/>
  <c r="CI230" i="17"/>
  <c r="CO230" i="17" s="1"/>
  <c r="DE230" i="17" s="1"/>
  <c r="DF230" i="17" s="1"/>
  <c r="CI151" i="17"/>
  <c r="CO151" i="17" s="1"/>
  <c r="DE151" i="17" s="1"/>
  <c r="DF151" i="17" s="1"/>
  <c r="CI215" i="17"/>
  <c r="CO215" i="17" s="1"/>
  <c r="DE215" i="17" s="1"/>
  <c r="DF215" i="17" s="1"/>
  <c r="CH64" i="17"/>
  <c r="CN64" i="17" s="1"/>
  <c r="DC64" i="17" s="1"/>
  <c r="DD64" i="17" s="1"/>
  <c r="CI253" i="17"/>
  <c r="CO253" i="17" s="1"/>
  <c r="DE253" i="17" s="1"/>
  <c r="DF253" i="17" s="1"/>
  <c r="CH285" i="17"/>
  <c r="CN285" i="17" s="1"/>
  <c r="DC285" i="17" s="1"/>
  <c r="DD285" i="17" s="1"/>
  <c r="CH253" i="17"/>
  <c r="CN253" i="17" s="1"/>
  <c r="DC253" i="17" s="1"/>
  <c r="DD253" i="17" s="1"/>
  <c r="CH34" i="17"/>
  <c r="CN34" i="17" s="1"/>
  <c r="DC34" i="17" s="1"/>
  <c r="DD34" i="17" s="1"/>
  <c r="CH193" i="17"/>
  <c r="CN193" i="17" s="1"/>
  <c r="DC193" i="17" s="1"/>
  <c r="DD193" i="17" s="1"/>
  <c r="CH235" i="17"/>
  <c r="CN235" i="17" s="1"/>
  <c r="DC235" i="17" s="1"/>
  <c r="DD235" i="17" s="1"/>
  <c r="CI218" i="17"/>
  <c r="CO218" i="17" s="1"/>
  <c r="DE218" i="17" s="1"/>
  <c r="DF218" i="17" s="1"/>
  <c r="CI281" i="17"/>
  <c r="CO281" i="17" s="1"/>
  <c r="DE281" i="17" s="1"/>
  <c r="DF281" i="17" s="1"/>
  <c r="CI134" i="17"/>
  <c r="CO134" i="17" s="1"/>
  <c r="DE134" i="17" s="1"/>
  <c r="DF134" i="17" s="1"/>
  <c r="CI238" i="17"/>
  <c r="CO238" i="17" s="1"/>
  <c r="DE238" i="17" s="1"/>
  <c r="DF238" i="17" s="1"/>
  <c r="CI240" i="17"/>
  <c r="CO240" i="17" s="1"/>
  <c r="DE240" i="17" s="1"/>
  <c r="DF240" i="17" s="1"/>
  <c r="CH272" i="17"/>
  <c r="CN272" i="17" s="1"/>
  <c r="DC272" i="17" s="1"/>
  <c r="DD272" i="17" s="1"/>
  <c r="CI10" i="17"/>
  <c r="CO10" i="17" s="1"/>
  <c r="DE10" i="17" s="1"/>
  <c r="DF10" i="17" s="1"/>
  <c r="CI129" i="17"/>
  <c r="CO129" i="17" s="1"/>
  <c r="DE129" i="17" s="1"/>
  <c r="DF129" i="17" s="1"/>
  <c r="CI21" i="17"/>
  <c r="CO21" i="17" s="1"/>
  <c r="DE21" i="17" s="1"/>
  <c r="DF21" i="17" s="1"/>
  <c r="CI124" i="17"/>
  <c r="CO124" i="17" s="1"/>
  <c r="DE124" i="17" s="1"/>
  <c r="DF124" i="17" s="1"/>
  <c r="CI142" i="17"/>
  <c r="CO142" i="17" s="1"/>
  <c r="DE142" i="17" s="1"/>
  <c r="DF142" i="17" s="1"/>
  <c r="CH284" i="17"/>
  <c r="CN284" i="17" s="1"/>
  <c r="DC284" i="17" s="1"/>
  <c r="DD284" i="17" s="1"/>
  <c r="CH103" i="17"/>
  <c r="CN103" i="17" s="1"/>
  <c r="DC103" i="17" s="1"/>
  <c r="DD103" i="17" s="1"/>
  <c r="CI40" i="17"/>
  <c r="CO40" i="17" s="1"/>
  <c r="DE40" i="17" s="1"/>
  <c r="DF40" i="17" s="1"/>
  <c r="CH271" i="17"/>
  <c r="CN271" i="17" s="1"/>
  <c r="DC271" i="17" s="1"/>
  <c r="DD271" i="17" s="1"/>
  <c r="CI279" i="17"/>
  <c r="CO279" i="17" s="1"/>
  <c r="DE279" i="17" s="1"/>
  <c r="DF279" i="17" s="1"/>
  <c r="CH298" i="17"/>
  <c r="CN298" i="17" s="1"/>
  <c r="DC298" i="17" s="1"/>
  <c r="DD298" i="17" s="1"/>
  <c r="CI292" i="17"/>
  <c r="CO292" i="17" s="1"/>
  <c r="DE292" i="17" s="1"/>
  <c r="DF292" i="17" s="1"/>
  <c r="CH245" i="17"/>
  <c r="CN245" i="17" s="1"/>
  <c r="DC245" i="17" s="1"/>
  <c r="DD245" i="17" s="1"/>
  <c r="CH45" i="17"/>
  <c r="CN45" i="17" s="1"/>
  <c r="DC45" i="17" s="1"/>
  <c r="DD45" i="17" s="1"/>
  <c r="CI309" i="17"/>
  <c r="CO309" i="17" s="1"/>
  <c r="DE309" i="17" s="1"/>
  <c r="DF309" i="17" s="1"/>
  <c r="CI95" i="17"/>
  <c r="CO95" i="17" s="1"/>
  <c r="DE95" i="17" s="1"/>
  <c r="DF95" i="17" s="1"/>
  <c r="CI278" i="17"/>
  <c r="CO278" i="17" s="1"/>
  <c r="DE278" i="17" s="1"/>
  <c r="DF278" i="17" s="1"/>
  <c r="CI81" i="17"/>
  <c r="CO81" i="17" s="1"/>
  <c r="DE81" i="17" s="1"/>
  <c r="DF81" i="17" s="1"/>
  <c r="CH230" i="17"/>
  <c r="CN230" i="17" s="1"/>
  <c r="DC230" i="17" s="1"/>
  <c r="DD230" i="17" s="1"/>
  <c r="CI107" i="17"/>
  <c r="CO107" i="17" s="1"/>
  <c r="DE107" i="17" s="1"/>
  <c r="DF107" i="17" s="1"/>
  <c r="CH72" i="17"/>
  <c r="CN72" i="17" s="1"/>
  <c r="DC72" i="17" s="1"/>
  <c r="DD72" i="17" s="1"/>
  <c r="CH94" i="17"/>
  <c r="CN94" i="17" s="1"/>
  <c r="DC94" i="17" s="1"/>
  <c r="DD94" i="17" s="1"/>
  <c r="CI270" i="17"/>
  <c r="CO270" i="17" s="1"/>
  <c r="DE270" i="17" s="1"/>
  <c r="DF270" i="17" s="1"/>
  <c r="CI123" i="17"/>
  <c r="CO123" i="17" s="1"/>
  <c r="DE123" i="17" s="1"/>
  <c r="DF123" i="17" s="1"/>
  <c r="CH102" i="17"/>
  <c r="CN102" i="17" s="1"/>
  <c r="DC102" i="17" s="1"/>
  <c r="DD102" i="17" s="1"/>
  <c r="CI26" i="17"/>
  <c r="CO26" i="17" s="1"/>
  <c r="DE26" i="17" s="1"/>
  <c r="DF26" i="17" s="1"/>
  <c r="CH81" i="17"/>
  <c r="CN81" i="17" s="1"/>
  <c r="DC81" i="17" s="1"/>
  <c r="DD81" i="17" s="1"/>
  <c r="CI317" i="17"/>
  <c r="CO317" i="17" s="1"/>
  <c r="DE317" i="17" s="1"/>
  <c r="DF317" i="17" s="1"/>
  <c r="CI250" i="17"/>
  <c r="CO250" i="17" s="1"/>
  <c r="DE250" i="17" s="1"/>
  <c r="DF250" i="17" s="1"/>
  <c r="CH316" i="17"/>
  <c r="CN316" i="17" s="1"/>
  <c r="DC316" i="17" s="1"/>
  <c r="DD316" i="17" s="1"/>
  <c r="CH281" i="17"/>
  <c r="CN281" i="17" s="1"/>
  <c r="DC281" i="17" s="1"/>
  <c r="DD281" i="17" s="1"/>
  <c r="CI181" i="17"/>
  <c r="CO181" i="17" s="1"/>
  <c r="DE181" i="17" s="1"/>
  <c r="DF181" i="17" s="1"/>
  <c r="CH136" i="17"/>
  <c r="CN136" i="17" s="1"/>
  <c r="DC136" i="17" s="1"/>
  <c r="DD136" i="17" s="1"/>
  <c r="CH113" i="17"/>
  <c r="CN113" i="17" s="1"/>
  <c r="DC113" i="17" s="1"/>
  <c r="DD113" i="17" s="1"/>
  <c r="CH217" i="17"/>
  <c r="CN217" i="17" s="1"/>
  <c r="DC217" i="17" s="1"/>
  <c r="DD217" i="17" s="1"/>
  <c r="CI36" i="17"/>
  <c r="CO36" i="17" s="1"/>
  <c r="DE36" i="17" s="1"/>
  <c r="DF36" i="17" s="1"/>
  <c r="CH280" i="17"/>
  <c r="CN280" i="17" s="1"/>
  <c r="DC280" i="17" s="1"/>
  <c r="DD280" i="17" s="1"/>
  <c r="CH204" i="17"/>
  <c r="CN204" i="17" s="1"/>
  <c r="DC204" i="17" s="1"/>
  <c r="DD204" i="17" s="1"/>
  <c r="CI297" i="17"/>
  <c r="CO297" i="17" s="1"/>
  <c r="DE297" i="17" s="1"/>
  <c r="DF297" i="17" s="1"/>
  <c r="CH176" i="17"/>
  <c r="CN176" i="17" s="1"/>
  <c r="DC176" i="17" s="1"/>
  <c r="DD176" i="17" s="1"/>
  <c r="CI198" i="17"/>
  <c r="CO198" i="17" s="1"/>
  <c r="DE198" i="17" s="1"/>
  <c r="DF198" i="17" s="1"/>
  <c r="CI252" i="17"/>
  <c r="CO252" i="17" s="1"/>
  <c r="DE252" i="17" s="1"/>
  <c r="DF252" i="17" s="1"/>
  <c r="CH259" i="17"/>
  <c r="CN259" i="17" s="1"/>
  <c r="DC259" i="17" s="1"/>
  <c r="DD259" i="17" s="1"/>
  <c r="CH241" i="17"/>
  <c r="CN241" i="17" s="1"/>
  <c r="DC241" i="17" s="1"/>
  <c r="DD241" i="17" s="1"/>
  <c r="CH62" i="17"/>
  <c r="CN62" i="17" s="1"/>
  <c r="DC62" i="17" s="1"/>
  <c r="DD62" i="17" s="1"/>
  <c r="CH219" i="17"/>
  <c r="CN219" i="17" s="1"/>
  <c r="DC219" i="17" s="1"/>
  <c r="DD219" i="17" s="1"/>
  <c r="CH125" i="17"/>
  <c r="CN125" i="17" s="1"/>
  <c r="DC125" i="17" s="1"/>
  <c r="DD125" i="17" s="1"/>
  <c r="CH238" i="17"/>
  <c r="CN238" i="17" s="1"/>
  <c r="DC238" i="17" s="1"/>
  <c r="DD238" i="17" s="1"/>
  <c r="CI12" i="17"/>
  <c r="CO12" i="17" s="1"/>
  <c r="DE12" i="17" s="1"/>
  <c r="DF12" i="17" s="1"/>
  <c r="CH155" i="17"/>
  <c r="CN155" i="17" s="1"/>
  <c r="DC155" i="17" s="1"/>
  <c r="DD155" i="17" s="1"/>
  <c r="CI147" i="17"/>
  <c r="CO147" i="17" s="1"/>
  <c r="DE147" i="17" s="1"/>
  <c r="DF147" i="17" s="1"/>
  <c r="CH129" i="17"/>
  <c r="CN129" i="17" s="1"/>
  <c r="DC129" i="17" s="1"/>
  <c r="DD129" i="17" s="1"/>
  <c r="CH124" i="17"/>
  <c r="CN124" i="17" s="1"/>
  <c r="DC124" i="17" s="1"/>
  <c r="DD124" i="17" s="1"/>
  <c r="CH109" i="17"/>
  <c r="CN109" i="17" s="1"/>
  <c r="DC109" i="17" s="1"/>
  <c r="DD109" i="17" s="1"/>
  <c r="CI67" i="17"/>
  <c r="CO67" i="17" s="1"/>
  <c r="DE67" i="17" s="1"/>
  <c r="DF67" i="17" s="1"/>
  <c r="CI224" i="17"/>
  <c r="CO224" i="17" s="1"/>
  <c r="DE224" i="17" s="1"/>
  <c r="DF224" i="17" s="1"/>
  <c r="CI133" i="17"/>
  <c r="CO133" i="17" s="1"/>
  <c r="DE133" i="17" s="1"/>
  <c r="DF133" i="17" s="1"/>
  <c r="CH44" i="17"/>
  <c r="CN44" i="17" s="1"/>
  <c r="DC44" i="17" s="1"/>
  <c r="DD44" i="17" s="1"/>
  <c r="CI213" i="17"/>
  <c r="CO213" i="17" s="1"/>
  <c r="DE213" i="17" s="1"/>
  <c r="DF213" i="17" s="1"/>
  <c r="CH158" i="17"/>
  <c r="CN158" i="17" s="1"/>
  <c r="DC158" i="17" s="1"/>
  <c r="DD158" i="17" s="1"/>
  <c r="CI276" i="17"/>
  <c r="CO276" i="17" s="1"/>
  <c r="DE276" i="17" s="1"/>
  <c r="DF276" i="17" s="1"/>
  <c r="CH53" i="17"/>
  <c r="CN53" i="17" s="1"/>
  <c r="DC53" i="17" s="1"/>
  <c r="DD53" i="17" s="1"/>
  <c r="CI75" i="17"/>
  <c r="CO75" i="17" s="1"/>
  <c r="DE75" i="17" s="1"/>
  <c r="DF75" i="17" s="1"/>
  <c r="CH258" i="17"/>
  <c r="CN258" i="17" s="1"/>
  <c r="DC258" i="17" s="1"/>
  <c r="DD258" i="17" s="1"/>
  <c r="CH95" i="17"/>
  <c r="CN95" i="17" s="1"/>
  <c r="DC95" i="17" s="1"/>
  <c r="DD95" i="17" s="1"/>
  <c r="CH308" i="17"/>
  <c r="CN308" i="17" s="1"/>
  <c r="DC308" i="17" s="1"/>
  <c r="DD308" i="17" s="1"/>
  <c r="CH263" i="17"/>
  <c r="CN263" i="17" s="1"/>
  <c r="DC263" i="17" s="1"/>
  <c r="DD263" i="17" s="1"/>
  <c r="CI17" i="17"/>
  <c r="CO17" i="17" s="1"/>
  <c r="DE17" i="17" s="1"/>
  <c r="CH157" i="17"/>
  <c r="CN157" i="17" s="1"/>
  <c r="DC157" i="17" s="1"/>
  <c r="DD157" i="17" s="1"/>
  <c r="CI156" i="17"/>
  <c r="CO156" i="17" s="1"/>
  <c r="DE156" i="17" s="1"/>
  <c r="DF156" i="17" s="1"/>
  <c r="CI239" i="17"/>
  <c r="CO239" i="17" s="1"/>
  <c r="DE239" i="17" s="1"/>
  <c r="DF239" i="17" s="1"/>
  <c r="CH10" i="17"/>
  <c r="CN10" i="17" s="1"/>
  <c r="DC10" i="17" s="1"/>
  <c r="DD10" i="17" s="1"/>
  <c r="CI201" i="17"/>
  <c r="CO201" i="17" s="1"/>
  <c r="DE201" i="17" s="1"/>
  <c r="DF201" i="17" s="1"/>
  <c r="CI8" i="17"/>
  <c r="CO8" i="17" s="1"/>
  <c r="DE8" i="17" s="1"/>
  <c r="DF8" i="17" s="1"/>
  <c r="CI263" i="17"/>
  <c r="CO263" i="17" s="1"/>
  <c r="DE263" i="17" s="1"/>
  <c r="DF263" i="17" s="1"/>
  <c r="CH168" i="17"/>
  <c r="CN168" i="17" s="1"/>
  <c r="DC168" i="17" s="1"/>
  <c r="DD168" i="17" s="1"/>
  <c r="CH21" i="17"/>
  <c r="CN21" i="17" s="1"/>
  <c r="DC21" i="17" s="1"/>
  <c r="DD21" i="17" s="1"/>
  <c r="CH246" i="17"/>
  <c r="CN246" i="17" s="1"/>
  <c r="DC246" i="17" s="1"/>
  <c r="DD246" i="17" s="1"/>
  <c r="CI211" i="17"/>
  <c r="CO211" i="17" s="1"/>
  <c r="DE211" i="17" s="1"/>
  <c r="DF211" i="17" s="1"/>
  <c r="CI228" i="17"/>
  <c r="CO228" i="17" s="1"/>
  <c r="DE228" i="17" s="1"/>
  <c r="DF228" i="17" s="1"/>
  <c r="CI274" i="17"/>
  <c r="CO274" i="17" s="1"/>
  <c r="DE274" i="17" s="1"/>
  <c r="DF274" i="17" s="1"/>
  <c r="CI9" i="17"/>
  <c r="CO9" i="17" s="1"/>
  <c r="DE9" i="17" s="1"/>
  <c r="DF9" i="17" s="1"/>
  <c r="CE20" i="17"/>
  <c r="CK20" i="17" s="1"/>
  <c r="CW20" i="17" s="1"/>
  <c r="CX20" i="17" s="1"/>
  <c r="CG241" i="17"/>
  <c r="CM241" i="17" s="1"/>
  <c r="DA241" i="17" s="1"/>
  <c r="DB241" i="17" s="1"/>
  <c r="CI241" i="17"/>
  <c r="CO241" i="17" s="1"/>
  <c r="DE241" i="17" s="1"/>
  <c r="DF241" i="17" s="1"/>
  <c r="CI193" i="17"/>
  <c r="CO193" i="17" s="1"/>
  <c r="DE193" i="17" s="1"/>
  <c r="DF193" i="17" s="1"/>
  <c r="CI235" i="17"/>
  <c r="CO235" i="17" s="1"/>
  <c r="DE235" i="17" s="1"/>
  <c r="DF235" i="17" s="1"/>
  <c r="CH110" i="17"/>
  <c r="CN110" i="17" s="1"/>
  <c r="DC110" i="17" s="1"/>
  <c r="DD110" i="17" s="1"/>
  <c r="CI131" i="17"/>
  <c r="CO131" i="17" s="1"/>
  <c r="DE131" i="17" s="1"/>
  <c r="DF131" i="17" s="1"/>
  <c r="CH78" i="17"/>
  <c r="CN78" i="17" s="1"/>
  <c r="DC78" i="17" s="1"/>
  <c r="DD78" i="17" s="1"/>
  <c r="CH279" i="17"/>
  <c r="CN279" i="17" s="1"/>
  <c r="DC279" i="17" s="1"/>
  <c r="DD279" i="17" s="1"/>
  <c r="CH218" i="17"/>
  <c r="CN218" i="17" s="1"/>
  <c r="DC218" i="17" s="1"/>
  <c r="DD218" i="17" s="1"/>
  <c r="CH301" i="17"/>
  <c r="CN301" i="17" s="1"/>
  <c r="DC301" i="17" s="1"/>
  <c r="DD301" i="17" s="1"/>
  <c r="CH130" i="17"/>
  <c r="CN130" i="17" s="1"/>
  <c r="DC130" i="17" s="1"/>
  <c r="DD130" i="17" s="1"/>
  <c r="CI259" i="17"/>
  <c r="CO259" i="17" s="1"/>
  <c r="DE259" i="17" s="1"/>
  <c r="DF259" i="17" s="1"/>
  <c r="CH105" i="17"/>
  <c r="CN105" i="17" s="1"/>
  <c r="DC105" i="17" s="1"/>
  <c r="DD105" i="17" s="1"/>
  <c r="CI197" i="17"/>
  <c r="CO197" i="17" s="1"/>
  <c r="DE197" i="17" s="1"/>
  <c r="DF197" i="17" s="1"/>
  <c r="CH299" i="17"/>
  <c r="CN299" i="17" s="1"/>
  <c r="DC299" i="17" s="1"/>
  <c r="DD299" i="17" s="1"/>
  <c r="CI180" i="17"/>
  <c r="CO180" i="17" s="1"/>
  <c r="DE180" i="17" s="1"/>
  <c r="DF180" i="17" s="1"/>
  <c r="CH56" i="17"/>
  <c r="CN56" i="17" s="1"/>
  <c r="DC56" i="17" s="1"/>
  <c r="DD56" i="17" s="1"/>
  <c r="CH147" i="17"/>
  <c r="CN147" i="17" s="1"/>
  <c r="DC147" i="17" s="1"/>
  <c r="DD147" i="17" s="1"/>
  <c r="CI247" i="17"/>
  <c r="CO247" i="17" s="1"/>
  <c r="DE247" i="17" s="1"/>
  <c r="DF247" i="17" s="1"/>
  <c r="CI84" i="17"/>
  <c r="CO84" i="17" s="1"/>
  <c r="DE84" i="17" s="1"/>
  <c r="DF84" i="17" s="1"/>
  <c r="CI128" i="17"/>
  <c r="CO128" i="17" s="1"/>
  <c r="DE128" i="17" s="1"/>
  <c r="DF128" i="17" s="1"/>
  <c r="CH181" i="17"/>
  <c r="CN181" i="17" s="1"/>
  <c r="DC181" i="17" s="1"/>
  <c r="DD181" i="17" s="1"/>
  <c r="CH231" i="17"/>
  <c r="CN231" i="17" s="1"/>
  <c r="DC231" i="17" s="1"/>
  <c r="DD231" i="17" s="1"/>
  <c r="CI187" i="17"/>
  <c r="CO187" i="17" s="1"/>
  <c r="DE187" i="17" s="1"/>
  <c r="DF187" i="17" s="1"/>
  <c r="CH224" i="17"/>
  <c r="CN224" i="17" s="1"/>
  <c r="DC224" i="17" s="1"/>
  <c r="DD224" i="17" s="1"/>
  <c r="CH228" i="17"/>
  <c r="CN228" i="17" s="1"/>
  <c r="DC228" i="17" s="1"/>
  <c r="DD228" i="17" s="1"/>
  <c r="CI212" i="17"/>
  <c r="CO212" i="17" s="1"/>
  <c r="DE212" i="17" s="1"/>
  <c r="DF212" i="17" s="1"/>
  <c r="CH189" i="17"/>
  <c r="CN189" i="17" s="1"/>
  <c r="DC189" i="17" s="1"/>
  <c r="DD189" i="17" s="1"/>
  <c r="CI51" i="17"/>
  <c r="CO51" i="17" s="1"/>
  <c r="DE51" i="17" s="1"/>
  <c r="DF51" i="17" s="1"/>
  <c r="CH145" i="17"/>
  <c r="CN145" i="17" s="1"/>
  <c r="DC145" i="17" s="1"/>
  <c r="DD145" i="17" s="1"/>
  <c r="CI298" i="17"/>
  <c r="CO298" i="17" s="1"/>
  <c r="DE298" i="17" s="1"/>
  <c r="DF298" i="17" s="1"/>
  <c r="CI190" i="17"/>
  <c r="CO190" i="17" s="1"/>
  <c r="DE190" i="17" s="1"/>
  <c r="DF190" i="17" s="1"/>
  <c r="CH66" i="17"/>
  <c r="CN66" i="17" s="1"/>
  <c r="DC66" i="17" s="1"/>
  <c r="DD66" i="17" s="1"/>
  <c r="CI32" i="17"/>
  <c r="CO32" i="17" s="1"/>
  <c r="DE32" i="17" s="1"/>
  <c r="DF32" i="17" s="1"/>
  <c r="CH200" i="17"/>
  <c r="CN200" i="17" s="1"/>
  <c r="DC200" i="17" s="1"/>
  <c r="DD200" i="17" s="1"/>
  <c r="CI101" i="17"/>
  <c r="CO101" i="17" s="1"/>
  <c r="DE101" i="17" s="1"/>
  <c r="DF101" i="17" s="1"/>
  <c r="CH203" i="17"/>
  <c r="CN203" i="17" s="1"/>
  <c r="DC203" i="17" s="1"/>
  <c r="DD203" i="17" s="1"/>
  <c r="CH318" i="17"/>
  <c r="CN318" i="17" s="1"/>
  <c r="DC318" i="17" s="1"/>
  <c r="DD318" i="17" s="1"/>
  <c r="CI308" i="17"/>
  <c r="CO308" i="17" s="1"/>
  <c r="DE308" i="17" s="1"/>
  <c r="DF308" i="17" s="1"/>
  <c r="CH309" i="17"/>
  <c r="CN309" i="17" s="1"/>
  <c r="DC309" i="17" s="1"/>
  <c r="DD309" i="17" s="1"/>
  <c r="CH171" i="17"/>
  <c r="CN171" i="17" s="1"/>
  <c r="DC171" i="17" s="1"/>
  <c r="DD171" i="17" s="1"/>
  <c r="CH48" i="17"/>
  <c r="CN48" i="17" s="1"/>
  <c r="DC48" i="17" s="1"/>
  <c r="DD48" i="17" s="1"/>
  <c r="CI20" i="17"/>
  <c r="CO20" i="17" s="1"/>
  <c r="DE20" i="17" s="1"/>
  <c r="DF20" i="17" s="1"/>
  <c r="CH237" i="17"/>
  <c r="CN237" i="17" s="1"/>
  <c r="DC237" i="17" s="1"/>
  <c r="DD237" i="17" s="1"/>
  <c r="CI299" i="17"/>
  <c r="CO299" i="17" s="1"/>
  <c r="DE299" i="17" s="1"/>
  <c r="DF299" i="17" s="1"/>
  <c r="CH184" i="17"/>
  <c r="CN184" i="17" s="1"/>
  <c r="DC184" i="17" s="1"/>
  <c r="DD184" i="17" s="1"/>
  <c r="CH58" i="17"/>
  <c r="CN58" i="17" s="1"/>
  <c r="DC58" i="17" s="1"/>
  <c r="DD58" i="17" s="1"/>
  <c r="CH14" i="17"/>
  <c r="CN14" i="17" s="1"/>
  <c r="DC14" i="17" s="1"/>
  <c r="DD14" i="17" s="1"/>
  <c r="CI77" i="17"/>
  <c r="CO77" i="17" s="1"/>
  <c r="DE77" i="17" s="1"/>
  <c r="DF77" i="17" s="1"/>
  <c r="CI231" i="17"/>
  <c r="CO231" i="17" s="1"/>
  <c r="DE231" i="17" s="1"/>
  <c r="DF231" i="17" s="1"/>
  <c r="CH180" i="17"/>
  <c r="CN180" i="17" s="1"/>
  <c r="DC180" i="17" s="1"/>
  <c r="DD180" i="17" s="1"/>
  <c r="CI139" i="17"/>
  <c r="CO139" i="17" s="1"/>
  <c r="DE139" i="17" s="1"/>
  <c r="DF139" i="17" s="1"/>
  <c r="CH292" i="17"/>
  <c r="CN292" i="17" s="1"/>
  <c r="DC292" i="17" s="1"/>
  <c r="DD292" i="17" s="1"/>
  <c r="CI148" i="17"/>
  <c r="CO148" i="17" s="1"/>
  <c r="DE148" i="17" s="1"/>
  <c r="DF148" i="17" s="1"/>
  <c r="CI176" i="17"/>
  <c r="CO176" i="17" s="1"/>
  <c r="DE176" i="17" s="1"/>
  <c r="DF176" i="17" s="1"/>
  <c r="CH89" i="17"/>
  <c r="CN89" i="17" s="1"/>
  <c r="DC89" i="17" s="1"/>
  <c r="DD89" i="17" s="1"/>
  <c r="CH146" i="17"/>
  <c r="CN146" i="17" s="1"/>
  <c r="DC146" i="17" s="1"/>
  <c r="DD146" i="17" s="1"/>
  <c r="CI44" i="17"/>
  <c r="CO44" i="17" s="1"/>
  <c r="DE44" i="17" s="1"/>
  <c r="DF44" i="17" s="1"/>
  <c r="CG278" i="17"/>
  <c r="CM278" i="17" s="1"/>
  <c r="DA278" i="17" s="1"/>
  <c r="DB278" i="17" s="1"/>
  <c r="CH278" i="17"/>
  <c r="CN278" i="17" s="1"/>
  <c r="DC278" i="17" s="1"/>
  <c r="DD278" i="17" s="1"/>
  <c r="CI318" i="17"/>
  <c r="CO318" i="17" s="1"/>
  <c r="DE318" i="17" s="1"/>
  <c r="DF318" i="17" s="1"/>
  <c r="CF174" i="17"/>
  <c r="CL174" i="17" s="1"/>
  <c r="CY174" i="17" s="1"/>
  <c r="CZ174" i="17" s="1"/>
  <c r="CH174" i="17"/>
  <c r="CN174" i="17" s="1"/>
  <c r="DC174" i="17" s="1"/>
  <c r="DD174" i="17" s="1"/>
  <c r="CF227" i="17"/>
  <c r="CL227" i="17" s="1"/>
  <c r="CY227" i="17" s="1"/>
  <c r="CZ227" i="17" s="1"/>
  <c r="CH227" i="17"/>
  <c r="CN227" i="17" s="1"/>
  <c r="DC227" i="17" s="1"/>
  <c r="DD227" i="17" s="1"/>
  <c r="CH225" i="17"/>
  <c r="CN225" i="17" s="1"/>
  <c r="DC225" i="17" s="1"/>
  <c r="DD225" i="17" s="1"/>
  <c r="CH294" i="17"/>
  <c r="CN294" i="17" s="1"/>
  <c r="DC294" i="17" s="1"/>
  <c r="DD294" i="17" s="1"/>
  <c r="CH182" i="17"/>
  <c r="CN182" i="17" s="1"/>
  <c r="DC182" i="17" s="1"/>
  <c r="DD182" i="17" s="1"/>
  <c r="CH211" i="17"/>
  <c r="CN211" i="17" s="1"/>
  <c r="DC211" i="17" s="1"/>
  <c r="DD211" i="17" s="1"/>
  <c r="CH295" i="17"/>
  <c r="CN295" i="17" s="1"/>
  <c r="DC295" i="17" s="1"/>
  <c r="DD295" i="17" s="1"/>
  <c r="CH239" i="17"/>
  <c r="CN239" i="17" s="1"/>
  <c r="DC239" i="17" s="1"/>
  <c r="DD239" i="17" s="1"/>
  <c r="CH274" i="17"/>
  <c r="CN274" i="17" s="1"/>
  <c r="DC274" i="17" s="1"/>
  <c r="DD274" i="17" s="1"/>
  <c r="CI33" i="17"/>
  <c r="CO33" i="17" s="1"/>
  <c r="DE33" i="17" s="1"/>
  <c r="DF33" i="17" s="1"/>
  <c r="CI154" i="17"/>
  <c r="CO154" i="17" s="1"/>
  <c r="DE154" i="17" s="1"/>
  <c r="DF154" i="17" s="1"/>
  <c r="CH20" i="17"/>
  <c r="CN20" i="17" s="1"/>
  <c r="DC20" i="17" s="1"/>
  <c r="DD20" i="17" s="1"/>
  <c r="CH262" i="17"/>
  <c r="CN262" i="17" s="1"/>
  <c r="DC262" i="17" s="1"/>
  <c r="DD262" i="17" s="1"/>
  <c r="CI155" i="17"/>
  <c r="CO155" i="17" s="1"/>
  <c r="DE155" i="17" s="1"/>
  <c r="DF155" i="17" s="1"/>
  <c r="CH282" i="17"/>
  <c r="CN282" i="17" s="1"/>
  <c r="DC282" i="17" s="1"/>
  <c r="DD282" i="17" s="1"/>
  <c r="CI271" i="17"/>
  <c r="CO271" i="17" s="1"/>
  <c r="DE271" i="17" s="1"/>
  <c r="DF271" i="17" s="1"/>
  <c r="CI109" i="17"/>
  <c r="CO109" i="17" s="1"/>
  <c r="DE109" i="17" s="1"/>
  <c r="DF109" i="17" s="1"/>
  <c r="CI310" i="17"/>
  <c r="CO310" i="17" s="1"/>
  <c r="DE310" i="17" s="1"/>
  <c r="DF310" i="17" s="1"/>
  <c r="CH247" i="17"/>
  <c r="CN247" i="17" s="1"/>
  <c r="DC247" i="17" s="1"/>
  <c r="DD247" i="17" s="1"/>
  <c r="CI59" i="17"/>
  <c r="CO59" i="17" s="1"/>
  <c r="DE59" i="17" s="1"/>
  <c r="DF59" i="17" s="1"/>
  <c r="CI126" i="17"/>
  <c r="CO126" i="17" s="1"/>
  <c r="DE126" i="17" s="1"/>
  <c r="DF126" i="17" s="1"/>
  <c r="CH187" i="17"/>
  <c r="CN187" i="17" s="1"/>
  <c r="DC187" i="17" s="1"/>
  <c r="DD187" i="17" s="1"/>
  <c r="CH115" i="17"/>
  <c r="CN115" i="17" s="1"/>
  <c r="DC115" i="17" s="1"/>
  <c r="DD115" i="17" s="1"/>
  <c r="CH67" i="17"/>
  <c r="CN67" i="17" s="1"/>
  <c r="DC67" i="17" s="1"/>
  <c r="DD67" i="17" s="1"/>
  <c r="CI203" i="17"/>
  <c r="CO203" i="17" s="1"/>
  <c r="DE203" i="17" s="1"/>
  <c r="DF203" i="17" s="1"/>
  <c r="CH270" i="17"/>
  <c r="CN270" i="17" s="1"/>
  <c r="DC270" i="17" s="1"/>
  <c r="DD270" i="17" s="1"/>
  <c r="CH297" i="17"/>
  <c r="CN297" i="17" s="1"/>
  <c r="DC297" i="17" s="1"/>
  <c r="DD297" i="17" s="1"/>
  <c r="CI24" i="17"/>
  <c r="CO24" i="17" s="1"/>
  <c r="DE24" i="17" s="1"/>
  <c r="DF24" i="17" s="1"/>
  <c r="CI118" i="17"/>
  <c r="CO118" i="17" s="1"/>
  <c r="DE118" i="17" s="1"/>
  <c r="DF118" i="17" s="1"/>
  <c r="CH252" i="17"/>
  <c r="CN252" i="17" s="1"/>
  <c r="DC252" i="17" s="1"/>
  <c r="DD252" i="17" s="1"/>
  <c r="CH160" i="17"/>
  <c r="CN160" i="17" s="1"/>
  <c r="DC160" i="17" s="1"/>
  <c r="DD160" i="17" s="1"/>
  <c r="CH13" i="17"/>
  <c r="CN13" i="17" s="1"/>
  <c r="DC13" i="17" s="1"/>
  <c r="DD13" i="17" s="1"/>
  <c r="CI140" i="17"/>
  <c r="CO140" i="17" s="1"/>
  <c r="DE140" i="17" s="1"/>
  <c r="DF140" i="17" s="1"/>
  <c r="CH148" i="17"/>
  <c r="CN148" i="17" s="1"/>
  <c r="DC148" i="17" s="1"/>
  <c r="DD148" i="17" s="1"/>
  <c r="CH118" i="17"/>
  <c r="CN118" i="17" s="1"/>
  <c r="DC118" i="17" s="1"/>
  <c r="DD118" i="17" s="1"/>
  <c r="CH162" i="17"/>
  <c r="CN162" i="17" s="1"/>
  <c r="DC162" i="17" s="1"/>
  <c r="DD162" i="17" s="1"/>
  <c r="CH197" i="17"/>
  <c r="CN197" i="17" s="1"/>
  <c r="DC197" i="17" s="1"/>
  <c r="DD197" i="17" s="1"/>
  <c r="CI89" i="17"/>
  <c r="CO89" i="17" s="1"/>
  <c r="DE89" i="17" s="1"/>
  <c r="DF89" i="17" s="1"/>
  <c r="CH36" i="17"/>
  <c r="CN36" i="17" s="1"/>
  <c r="DC36" i="17" s="1"/>
  <c r="DD36" i="17" s="1"/>
  <c r="CI6" i="17"/>
  <c r="CO6" i="17" s="1"/>
  <c r="DE6" i="17" s="1"/>
  <c r="DF6" i="17" s="1"/>
  <c r="CI14" i="17"/>
  <c r="CO14" i="17" s="1"/>
  <c r="DE14" i="17" s="1"/>
  <c r="DF14" i="17" s="1"/>
  <c r="CH232" i="17"/>
  <c r="CN232" i="17" s="1"/>
  <c r="DC232" i="17" s="1"/>
  <c r="DD232" i="17" s="1"/>
  <c r="CH107" i="17"/>
  <c r="CN107" i="17" s="1"/>
  <c r="DC107" i="17" s="1"/>
  <c r="DD107" i="17" s="1"/>
  <c r="CH255" i="17"/>
  <c r="CN255" i="17" s="1"/>
  <c r="DC255" i="17" s="1"/>
  <c r="DD255" i="17" s="1"/>
  <c r="CH201" i="17"/>
  <c r="CN201" i="17" s="1"/>
  <c r="DC201" i="17" s="1"/>
  <c r="DD201" i="17" s="1"/>
  <c r="CH8" i="17"/>
  <c r="CN8" i="17" s="1"/>
  <c r="DC8" i="17" s="1"/>
  <c r="DD8" i="17" s="1"/>
  <c r="BA181" i="17"/>
  <c r="BI181" i="17" s="1"/>
  <c r="BF126" i="17"/>
  <c r="BN126" i="17" s="1"/>
  <c r="BB268" i="17"/>
  <c r="BJ268" i="17" s="1"/>
  <c r="CF134" i="17"/>
  <c r="CL134" i="17" s="1"/>
  <c r="CY134" i="17" s="1"/>
  <c r="CZ134" i="17" s="1"/>
  <c r="CG41" i="17"/>
  <c r="CM41" i="17" s="1"/>
  <c r="DA41" i="17" s="1"/>
  <c r="DB41" i="17" s="1"/>
  <c r="CE48" i="17"/>
  <c r="CK48" i="17" s="1"/>
  <c r="CW48" i="17" s="1"/>
  <c r="CX48" i="17" s="1"/>
  <c r="CG102" i="17"/>
  <c r="CM102" i="17" s="1"/>
  <c r="DA102" i="17" s="1"/>
  <c r="DB102" i="17" s="1"/>
  <c r="CE198" i="17"/>
  <c r="CK198" i="17" s="1"/>
  <c r="CW198" i="17" s="1"/>
  <c r="CX198" i="17" s="1"/>
  <c r="CF225" i="17"/>
  <c r="CL225" i="17" s="1"/>
  <c r="CY225" i="17" s="1"/>
  <c r="CZ225" i="17" s="1"/>
  <c r="CF55" i="17"/>
  <c r="CL55" i="17" s="1"/>
  <c r="CY55" i="17" s="1"/>
  <c r="CZ55" i="17" s="1"/>
  <c r="CE293" i="17"/>
  <c r="CK293" i="17" s="1"/>
  <c r="CW293" i="17" s="1"/>
  <c r="CX293" i="17" s="1"/>
  <c r="CE285" i="17"/>
  <c r="CK285" i="17" s="1"/>
  <c r="CW285" i="17" s="1"/>
  <c r="CX285" i="17" s="1"/>
  <c r="CG252" i="17"/>
  <c r="CM252" i="17" s="1"/>
  <c r="DA252" i="17" s="1"/>
  <c r="DB252" i="17" s="1"/>
  <c r="CE102" i="17"/>
  <c r="CK102" i="17" s="1"/>
  <c r="CW102" i="17" s="1"/>
  <c r="CX102" i="17" s="1"/>
  <c r="CF252" i="17"/>
  <c r="CL252" i="17" s="1"/>
  <c r="CY252" i="17" s="1"/>
  <c r="CZ252" i="17" s="1"/>
  <c r="BA293" i="17"/>
  <c r="BI293" i="17" s="1"/>
  <c r="BE241" i="17"/>
  <c r="BM241" i="17" s="1"/>
  <c r="BF44" i="17"/>
  <c r="BN44" i="17" s="1"/>
  <c r="BD196" i="17"/>
  <c r="BL196" i="17" s="1"/>
  <c r="CE55" i="17"/>
  <c r="CK55" i="17" s="1"/>
  <c r="CW55" i="17" s="1"/>
  <c r="CX55" i="17" s="1"/>
  <c r="CE253" i="17"/>
  <c r="CK253" i="17" s="1"/>
  <c r="CW253" i="17" s="1"/>
  <c r="CX253" i="17" s="1"/>
  <c r="BD151" i="17"/>
  <c r="BL151" i="17" s="1"/>
  <c r="BA273" i="17"/>
  <c r="BI273" i="17" s="1"/>
  <c r="CE169" i="17"/>
  <c r="CK169" i="17" s="1"/>
  <c r="CW169" i="17" s="1"/>
  <c r="CX169" i="17" s="1"/>
  <c r="CF241" i="17"/>
  <c r="CL241" i="17" s="1"/>
  <c r="CY241" i="17" s="1"/>
  <c r="CZ241" i="17" s="1"/>
  <c r="CF268" i="17"/>
  <c r="CL268" i="17" s="1"/>
  <c r="CY268" i="17" s="1"/>
  <c r="CZ268" i="17" s="1"/>
  <c r="AY51" i="17"/>
  <c r="BG51" i="17" s="1"/>
  <c r="CG134" i="17"/>
  <c r="CM134" i="17" s="1"/>
  <c r="DA134" i="17" s="1"/>
  <c r="DB134" i="17" s="1"/>
  <c r="CE41" i="17"/>
  <c r="CK41" i="17" s="1"/>
  <c r="CW41" i="17" s="1"/>
  <c r="CX41" i="17" s="1"/>
  <c r="L19" i="39"/>
  <c r="BV45" i="17"/>
  <c r="BO223" i="17"/>
  <c r="BC237" i="17"/>
  <c r="BK237" i="17" s="1"/>
  <c r="CE298" i="17"/>
  <c r="CK298" i="17" s="1"/>
  <c r="CW298" i="17" s="1"/>
  <c r="CX298" i="17" s="1"/>
  <c r="CE95" i="17"/>
  <c r="CK95" i="17" s="1"/>
  <c r="CW95" i="17" s="1"/>
  <c r="CX95" i="17" s="1"/>
  <c r="BQ223" i="17"/>
  <c r="CF223" i="17" s="1"/>
  <c r="CL223" i="17" s="1"/>
  <c r="CY223" i="17" s="1"/>
  <c r="CZ223" i="17" s="1"/>
  <c r="AZ62" i="17"/>
  <c r="BH62" i="17" s="1"/>
  <c r="CG174" i="17"/>
  <c r="CM174" i="17" s="1"/>
  <c r="DA174" i="17" s="1"/>
  <c r="DB174" i="17" s="1"/>
  <c r="CF102" i="17"/>
  <c r="CL102" i="17" s="1"/>
  <c r="CY102" i="17" s="1"/>
  <c r="CZ102" i="17" s="1"/>
  <c r="CE318" i="17"/>
  <c r="CK318" i="17" s="1"/>
  <c r="CW318" i="17" s="1"/>
  <c r="CX318" i="17" s="1"/>
  <c r="CG245" i="17"/>
  <c r="CM245" i="17" s="1"/>
  <c r="DA245" i="17" s="1"/>
  <c r="DB245" i="17" s="1"/>
  <c r="CF266" i="17"/>
  <c r="CL266" i="17" s="1"/>
  <c r="CY266" i="17" s="1"/>
  <c r="CZ266" i="17" s="1"/>
  <c r="CG297" i="17"/>
  <c r="CM297" i="17" s="1"/>
  <c r="DA297" i="17" s="1"/>
  <c r="DB297" i="17" s="1"/>
  <c r="CG268" i="17"/>
  <c r="CM268" i="17" s="1"/>
  <c r="DA268" i="17" s="1"/>
  <c r="DB268" i="17" s="1"/>
  <c r="CF309" i="17"/>
  <c r="CL309" i="17" s="1"/>
  <c r="CY309" i="17" s="1"/>
  <c r="CZ309" i="17" s="1"/>
  <c r="CG308" i="17"/>
  <c r="CM308" i="17" s="1"/>
  <c r="DA308" i="17" s="1"/>
  <c r="DB308" i="17" s="1"/>
  <c r="CE268" i="17"/>
  <c r="CK268" i="17" s="1"/>
  <c r="CW268" i="17" s="1"/>
  <c r="CX268" i="17" s="1"/>
  <c r="AY80" i="17"/>
  <c r="BG80" i="17" s="1"/>
  <c r="BO80" i="17"/>
  <c r="AY303" i="17"/>
  <c r="BG303" i="17" s="1"/>
  <c r="BO303" i="17"/>
  <c r="BA99" i="17"/>
  <c r="BI99" i="17" s="1"/>
  <c r="BQ99" i="17"/>
  <c r="BA16" i="17"/>
  <c r="BI16" i="17" s="1"/>
  <c r="BQ16" i="17"/>
  <c r="BD234" i="17"/>
  <c r="BL234" i="17" s="1"/>
  <c r="BT234" i="17"/>
  <c r="BQ130" i="17"/>
  <c r="CG130" i="17" s="1"/>
  <c r="CM130" i="17" s="1"/>
  <c r="DA130" i="17" s="1"/>
  <c r="DB130" i="17" s="1"/>
  <c r="AY165" i="17"/>
  <c r="BG165" i="17" s="1"/>
  <c r="BO165" i="17"/>
  <c r="AY183" i="17"/>
  <c r="BG183" i="17" s="1"/>
  <c r="BO183" i="17"/>
  <c r="BC165" i="17"/>
  <c r="BK165" i="17" s="1"/>
  <c r="BS165" i="17"/>
  <c r="BC183" i="17"/>
  <c r="BK183" i="17" s="1"/>
  <c r="BS183" i="17"/>
  <c r="CG183" i="17" s="1"/>
  <c r="CM183" i="17" s="1"/>
  <c r="DA183" i="17" s="1"/>
  <c r="DB183" i="17" s="1"/>
  <c r="BD268" i="17"/>
  <c r="BL268" i="17" s="1"/>
  <c r="BT268" i="17"/>
  <c r="CJ268" i="17" s="1"/>
  <c r="CP268" i="17" s="1"/>
  <c r="DG268" i="17" s="1"/>
  <c r="DH268" i="17" s="1"/>
  <c r="BF183" i="17"/>
  <c r="BN183" i="17" s="1"/>
  <c r="BV183" i="17"/>
  <c r="AY29" i="17"/>
  <c r="BG29" i="17" s="1"/>
  <c r="BO29" i="17"/>
  <c r="AZ7" i="17"/>
  <c r="BH7" i="17" s="1"/>
  <c r="BP7" i="17"/>
  <c r="BP222" i="17"/>
  <c r="CF222" i="17" s="1"/>
  <c r="CL222" i="17" s="1"/>
  <c r="CY222" i="17" s="1"/>
  <c r="CZ222" i="17" s="1"/>
  <c r="BS293" i="17"/>
  <c r="CH293" i="17" s="1"/>
  <c r="CN293" i="17" s="1"/>
  <c r="DC293" i="17" s="1"/>
  <c r="DD293" i="17" s="1"/>
  <c r="BQ6" i="17"/>
  <c r="CG6" i="17" s="1"/>
  <c r="CM6" i="17" s="1"/>
  <c r="DA6" i="17" s="1"/>
  <c r="DB6" i="17" s="1"/>
  <c r="CG318" i="17"/>
  <c r="CM318" i="17" s="1"/>
  <c r="DA318" i="17" s="1"/>
  <c r="DB318" i="17" s="1"/>
  <c r="BA80" i="17"/>
  <c r="BI80" i="17" s="1"/>
  <c r="BQ80" i="17"/>
  <c r="BF303" i="17"/>
  <c r="BN303" i="17" s="1"/>
  <c r="BV303" i="17"/>
  <c r="BQ113" i="17"/>
  <c r="CG113" i="17" s="1"/>
  <c r="CM113" i="17" s="1"/>
  <c r="DA113" i="17" s="1"/>
  <c r="DB113" i="17" s="1"/>
  <c r="BF99" i="17"/>
  <c r="BN99" i="17" s="1"/>
  <c r="BV99" i="17"/>
  <c r="BR40" i="17"/>
  <c r="CH40" i="17" s="1"/>
  <c r="CN40" i="17" s="1"/>
  <c r="DC40" i="17" s="1"/>
  <c r="DD40" i="17" s="1"/>
  <c r="BC16" i="17"/>
  <c r="BK16" i="17" s="1"/>
  <c r="BS16" i="17"/>
  <c r="BA234" i="17"/>
  <c r="BI234" i="17" s="1"/>
  <c r="BQ234" i="17"/>
  <c r="BO233" i="17"/>
  <c r="CE233" i="17" s="1"/>
  <c r="CK233" i="17" s="1"/>
  <c r="CW233" i="17" s="1"/>
  <c r="CX233" i="17" s="1"/>
  <c r="BQ61" i="17"/>
  <c r="BD183" i="17"/>
  <c r="BL183" i="17" s="1"/>
  <c r="BT183" i="17"/>
  <c r="BC85" i="17"/>
  <c r="BK85" i="17" s="1"/>
  <c r="BS85" i="17"/>
  <c r="BA165" i="17"/>
  <c r="BI165" i="17" s="1"/>
  <c r="BQ165" i="17"/>
  <c r="BF165" i="17"/>
  <c r="BN165" i="17" s="1"/>
  <c r="BV165" i="17"/>
  <c r="BQ317" i="17"/>
  <c r="CG317" i="17" s="1"/>
  <c r="CM317" i="17" s="1"/>
  <c r="DA317" i="17" s="1"/>
  <c r="DB317" i="17" s="1"/>
  <c r="BA35" i="17"/>
  <c r="BI35" i="17" s="1"/>
  <c r="BQ35" i="17"/>
  <c r="BT28" i="17"/>
  <c r="CJ28" i="17" s="1"/>
  <c r="CP28" i="17" s="1"/>
  <c r="DG28" i="17" s="1"/>
  <c r="DH28" i="17" s="1"/>
  <c r="CX74" i="17"/>
  <c r="BU257" i="17"/>
  <c r="CJ257" i="17" s="1"/>
  <c r="CP257" i="17" s="1"/>
  <c r="DG257" i="17" s="1"/>
  <c r="DH257" i="17" s="1"/>
  <c r="CG253" i="17"/>
  <c r="CM253" i="17" s="1"/>
  <c r="DA253" i="17" s="1"/>
  <c r="DB253" i="17" s="1"/>
  <c r="CE9" i="17"/>
  <c r="CK9" i="17" s="1"/>
  <c r="CW9" i="17" s="1"/>
  <c r="CX9" i="17" s="1"/>
  <c r="CG285" i="17"/>
  <c r="CM285" i="17" s="1"/>
  <c r="DA285" i="17" s="1"/>
  <c r="DB285" i="17" s="1"/>
  <c r="BE80" i="17"/>
  <c r="BM80" i="17" s="1"/>
  <c r="BU80" i="17"/>
  <c r="BB303" i="17"/>
  <c r="BJ303" i="17" s="1"/>
  <c r="BR303" i="17"/>
  <c r="BP109" i="17"/>
  <c r="BS311" i="17"/>
  <c r="BD85" i="17"/>
  <c r="BL85" i="17" s="1"/>
  <c r="BT85" i="17"/>
  <c r="CJ85" i="17" s="1"/>
  <c r="CP85" i="17" s="1"/>
  <c r="DG85" i="17" s="1"/>
  <c r="DH85" i="17" s="1"/>
  <c r="AZ85" i="17"/>
  <c r="BH85" i="17" s="1"/>
  <c r="BP85" i="17"/>
  <c r="BR68" i="17"/>
  <c r="CF68" i="17" s="1"/>
  <c r="CL68" i="17" s="1"/>
  <c r="CY68" i="17" s="1"/>
  <c r="CZ68" i="17" s="1"/>
  <c r="BE165" i="17"/>
  <c r="BM165" i="17" s="1"/>
  <c r="BU165" i="17"/>
  <c r="BF192" i="17"/>
  <c r="BN192" i="17" s="1"/>
  <c r="BV192" i="17"/>
  <c r="BR77" i="17"/>
  <c r="CH77" i="17" s="1"/>
  <c r="CN77" i="17" s="1"/>
  <c r="DC77" i="17" s="1"/>
  <c r="DD77" i="17" s="1"/>
  <c r="BP156" i="17"/>
  <c r="BR229" i="17"/>
  <c r="CG229" i="17" s="1"/>
  <c r="CM229" i="17" s="1"/>
  <c r="DA229" i="17" s="1"/>
  <c r="DB229" i="17" s="1"/>
  <c r="BE204" i="17"/>
  <c r="BM204" i="17" s="1"/>
  <c r="BU204" i="17" s="1"/>
  <c r="CI204" i="17" s="1"/>
  <c r="CO204" i="17" s="1"/>
  <c r="DE204" i="17" s="1"/>
  <c r="DF204" i="17" s="1"/>
  <c r="BQ162" i="17"/>
  <c r="CG162" i="17" s="1"/>
  <c r="CM162" i="17" s="1"/>
  <c r="DA162" i="17" s="1"/>
  <c r="DB162" i="17" s="1"/>
  <c r="BB35" i="17"/>
  <c r="BJ35" i="17" s="1"/>
  <c r="BR35" i="17"/>
  <c r="AZ35" i="17"/>
  <c r="BH35" i="17" s="1"/>
  <c r="BP35" i="17"/>
  <c r="BR214" i="17"/>
  <c r="BP6" i="17"/>
  <c r="CF95" i="17"/>
  <c r="CL95" i="17" s="1"/>
  <c r="CY95" i="17" s="1"/>
  <c r="CZ95" i="17" s="1"/>
  <c r="BF80" i="17"/>
  <c r="BN80" i="17" s="1"/>
  <c r="BV80" i="17"/>
  <c r="BE303" i="17"/>
  <c r="BM303" i="17" s="1"/>
  <c r="BU303" i="17"/>
  <c r="BC99" i="17"/>
  <c r="BK99" i="17" s="1"/>
  <c r="BS99" i="17"/>
  <c r="BE16" i="17"/>
  <c r="BM16" i="17" s="1"/>
  <c r="BU16" i="17"/>
  <c r="BF234" i="17"/>
  <c r="BN234" i="17" s="1"/>
  <c r="BV234" i="17"/>
  <c r="BO311" i="17"/>
  <c r="CE311" i="17" s="1"/>
  <c r="CK311" i="17" s="1"/>
  <c r="CW311" i="17" s="1"/>
  <c r="CX311" i="17" s="1"/>
  <c r="BB99" i="17"/>
  <c r="BJ99" i="17" s="1"/>
  <c r="BR99" i="17"/>
  <c r="BA192" i="17"/>
  <c r="BI192" i="17" s="1"/>
  <c r="BQ192" i="17"/>
  <c r="BE52" i="17"/>
  <c r="BM52" i="17" s="1"/>
  <c r="BU52" i="17"/>
  <c r="BE183" i="17"/>
  <c r="BM183" i="17" s="1"/>
  <c r="BU183" i="17"/>
  <c r="BP112" i="17"/>
  <c r="BD29" i="17"/>
  <c r="BL29" i="17" s="1"/>
  <c r="BT29" i="17"/>
  <c r="BR233" i="17"/>
  <c r="CF233" i="17" s="1"/>
  <c r="CL233" i="17" s="1"/>
  <c r="CY233" i="17" s="1"/>
  <c r="CZ233" i="17" s="1"/>
  <c r="BR50" i="17"/>
  <c r="CG50" i="17" s="1"/>
  <c r="CM50" i="17" s="1"/>
  <c r="DA50" i="17" s="1"/>
  <c r="DB50" i="17" s="1"/>
  <c r="BF7" i="17"/>
  <c r="BN7" i="17" s="1"/>
  <c r="BV7" i="17"/>
  <c r="CJ7" i="17" s="1"/>
  <c r="CP7" i="17" s="1"/>
  <c r="DG7" i="17" s="1"/>
  <c r="DH7" i="17" s="1"/>
  <c r="AY35" i="17"/>
  <c r="BG35" i="17" s="1"/>
  <c r="BO35" i="17"/>
  <c r="BS266" i="17"/>
  <c r="CG266" i="17" s="1"/>
  <c r="CM266" i="17" s="1"/>
  <c r="DA266" i="17" s="1"/>
  <c r="DB266" i="17" s="1"/>
  <c r="CG309" i="17"/>
  <c r="CM309" i="17" s="1"/>
  <c r="DA309" i="17" s="1"/>
  <c r="DB309" i="17" s="1"/>
  <c r="CF285" i="17"/>
  <c r="CL285" i="17" s="1"/>
  <c r="CY285" i="17" s="1"/>
  <c r="CZ285" i="17" s="1"/>
  <c r="CE297" i="17"/>
  <c r="CK297" i="17" s="1"/>
  <c r="CW297" i="17" s="1"/>
  <c r="CX297" i="17" s="1"/>
  <c r="BB80" i="17"/>
  <c r="BJ80" i="17" s="1"/>
  <c r="BR80" i="17"/>
  <c r="BA303" i="17"/>
  <c r="BI303" i="17" s="1"/>
  <c r="BQ303" i="17"/>
  <c r="BO5" i="17"/>
  <c r="BD99" i="17"/>
  <c r="BL99" i="17" s="1"/>
  <c r="BT99" i="17"/>
  <c r="BS275" i="17"/>
  <c r="CH275" i="17" s="1"/>
  <c r="CN275" i="17" s="1"/>
  <c r="DC275" i="17" s="1"/>
  <c r="DD275" i="17" s="1"/>
  <c r="BE192" i="17"/>
  <c r="BM192" i="17" s="1"/>
  <c r="BU192" i="17"/>
  <c r="BD52" i="17"/>
  <c r="BL52" i="17" s="1"/>
  <c r="BT52" i="17"/>
  <c r="BF52" i="17"/>
  <c r="BN52" i="17" s="1"/>
  <c r="BV52" i="17"/>
  <c r="BE99" i="17"/>
  <c r="BM99" i="17" s="1"/>
  <c r="BU99" i="17"/>
  <c r="BO230" i="17"/>
  <c r="CE230" i="17" s="1"/>
  <c r="CK230" i="17" s="1"/>
  <c r="CW230" i="17" s="1"/>
  <c r="CX230" i="17" s="1"/>
  <c r="BE200" i="17"/>
  <c r="BM200" i="17" s="1"/>
  <c r="BU200" i="17" s="1"/>
  <c r="CI200" i="17" s="1"/>
  <c r="CO200" i="17" s="1"/>
  <c r="DE200" i="17" s="1"/>
  <c r="DF200" i="17" s="1"/>
  <c r="AY7" i="17"/>
  <c r="BG7" i="17" s="1"/>
  <c r="BO7" i="17"/>
  <c r="BF35" i="17"/>
  <c r="BN35" i="17" s="1"/>
  <c r="BV35" i="17"/>
  <c r="BU196" i="17"/>
  <c r="CJ196" i="17" s="1"/>
  <c r="CP196" i="17" s="1"/>
  <c r="DG196" i="17" s="1"/>
  <c r="DH196" i="17" s="1"/>
  <c r="BQ270" i="17"/>
  <c r="CE270" i="17" s="1"/>
  <c r="CK270" i="17" s="1"/>
  <c r="CW270" i="17" s="1"/>
  <c r="CX270" i="17" s="1"/>
  <c r="CF9" i="17"/>
  <c r="CL9" i="17" s="1"/>
  <c r="CY9" i="17" s="1"/>
  <c r="CZ9" i="17" s="1"/>
  <c r="CF253" i="17"/>
  <c r="CL253" i="17" s="1"/>
  <c r="CY253" i="17" s="1"/>
  <c r="CZ253" i="17" s="1"/>
  <c r="CG45" i="17"/>
  <c r="CM45" i="17" s="1"/>
  <c r="DA45" i="17" s="1"/>
  <c r="DB45" i="17" s="1"/>
  <c r="BD80" i="17"/>
  <c r="BL80" i="17" s="1"/>
  <c r="BT80" i="17"/>
  <c r="BD303" i="17"/>
  <c r="BL303" i="17" s="1"/>
  <c r="BT303" i="17"/>
  <c r="AY16" i="17"/>
  <c r="BG16" i="17" s="1"/>
  <c r="BO16" i="17"/>
  <c r="AZ234" i="17"/>
  <c r="BH234" i="17" s="1"/>
  <c r="BP234" i="17"/>
  <c r="BD192" i="17"/>
  <c r="BL192" i="17" s="1"/>
  <c r="BT192" i="17"/>
  <c r="BC52" i="17"/>
  <c r="BK52" i="17" s="1"/>
  <c r="BS52" i="17"/>
  <c r="AZ192" i="17"/>
  <c r="BH192" i="17" s="1"/>
  <c r="BP192" i="17"/>
  <c r="AZ52" i="17"/>
  <c r="BH52" i="17" s="1"/>
  <c r="BP52" i="17"/>
  <c r="AY99" i="17"/>
  <c r="BG99" i="17" s="1"/>
  <c r="BO99" i="17"/>
  <c r="BO50" i="17"/>
  <c r="CE50" i="17" s="1"/>
  <c r="CK50" i="17" s="1"/>
  <c r="CW50" i="17" s="1"/>
  <c r="CX50" i="17" s="1"/>
  <c r="BB29" i="17"/>
  <c r="BJ29" i="17" s="1"/>
  <c r="BR29" i="17"/>
  <c r="BR101" i="17"/>
  <c r="BD35" i="17"/>
  <c r="BL35" i="17" s="1"/>
  <c r="BT35" i="17"/>
  <c r="BT96" i="17"/>
  <c r="CJ96" i="17" s="1"/>
  <c r="CP96" i="17" s="1"/>
  <c r="DG96" i="17" s="1"/>
  <c r="DH96" i="17" s="1"/>
  <c r="CF245" i="17"/>
  <c r="CL245" i="17" s="1"/>
  <c r="CY245" i="17" s="1"/>
  <c r="CZ245" i="17" s="1"/>
  <c r="CG9" i="17"/>
  <c r="CM9" i="17" s="1"/>
  <c r="DA9" i="17" s="1"/>
  <c r="DB9" i="17" s="1"/>
  <c r="CE309" i="17"/>
  <c r="CK309" i="17" s="1"/>
  <c r="CW309" i="17" s="1"/>
  <c r="CX309" i="17" s="1"/>
  <c r="BC80" i="17"/>
  <c r="BK80" i="17" s="1"/>
  <c r="BS80" i="17"/>
  <c r="AZ303" i="17"/>
  <c r="BH303" i="17" s="1"/>
  <c r="BP303" i="17"/>
  <c r="BP211" i="17"/>
  <c r="AZ16" i="17"/>
  <c r="BH16" i="17" s="1"/>
  <c r="BP16" i="17"/>
  <c r="AY234" i="17"/>
  <c r="BG234" i="17" s="1"/>
  <c r="BO234" i="17"/>
  <c r="BP271" i="17"/>
  <c r="BO190" i="17"/>
  <c r="CE190" i="17" s="1"/>
  <c r="CK190" i="17" s="1"/>
  <c r="CW190" i="17" s="1"/>
  <c r="CX190" i="17" s="1"/>
  <c r="BT226" i="17"/>
  <c r="CJ226" i="17" s="1"/>
  <c r="CP226" i="17" s="1"/>
  <c r="DG226" i="17" s="1"/>
  <c r="DH226" i="17" s="1"/>
  <c r="BD165" i="17"/>
  <c r="BL165" i="17" s="1"/>
  <c r="BT165" i="17"/>
  <c r="BB192" i="17"/>
  <c r="BJ192" i="17" s="1"/>
  <c r="BR192" i="17"/>
  <c r="BA52" i="17"/>
  <c r="BI52" i="17" s="1"/>
  <c r="BQ52" i="17"/>
  <c r="BB52" i="17"/>
  <c r="BJ52" i="17" s="1"/>
  <c r="BR52" i="17"/>
  <c r="BQ36" i="17"/>
  <c r="CF36" i="17" s="1"/>
  <c r="CL36" i="17" s="1"/>
  <c r="CY36" i="17" s="1"/>
  <c r="CZ36" i="17" s="1"/>
  <c r="BB16" i="17"/>
  <c r="BJ16" i="17" s="1"/>
  <c r="BR16" i="17"/>
  <c r="BA29" i="17"/>
  <c r="BI29" i="17" s="1"/>
  <c r="BQ29" i="17"/>
  <c r="BV64" i="17"/>
  <c r="CJ64" i="17" s="1"/>
  <c r="CP64" i="17" s="1"/>
  <c r="DG64" i="17" s="1"/>
  <c r="DH64" i="17" s="1"/>
  <c r="BE35" i="17"/>
  <c r="BM35" i="17" s="1"/>
  <c r="BU35" i="17"/>
  <c r="BB7" i="17"/>
  <c r="BJ7" i="17" s="1"/>
  <c r="BR7" i="17"/>
  <c r="BV276" i="17"/>
  <c r="CJ276" i="17" s="1"/>
  <c r="CP276" i="17" s="1"/>
  <c r="DG276" i="17" s="1"/>
  <c r="DH276" i="17" s="1"/>
  <c r="CF297" i="17"/>
  <c r="CL297" i="17" s="1"/>
  <c r="CY297" i="17" s="1"/>
  <c r="CZ297" i="17" s="1"/>
  <c r="CG95" i="17"/>
  <c r="CM95" i="17" s="1"/>
  <c r="DA95" i="17" s="1"/>
  <c r="DB95" i="17" s="1"/>
  <c r="CF308" i="17"/>
  <c r="CL308" i="17" s="1"/>
  <c r="CY308" i="17" s="1"/>
  <c r="CZ308" i="17" s="1"/>
  <c r="AZ80" i="17"/>
  <c r="BH80" i="17" s="1"/>
  <c r="BP80" i="17"/>
  <c r="BC303" i="17"/>
  <c r="BK303" i="17" s="1"/>
  <c r="BS303" i="17"/>
  <c r="BF16" i="17"/>
  <c r="BN16" i="17" s="1"/>
  <c r="BV16" i="17"/>
  <c r="BC234" i="17"/>
  <c r="BK234" i="17" s="1"/>
  <c r="BS234" i="17"/>
  <c r="BO151" i="17"/>
  <c r="CE151" i="17" s="1"/>
  <c r="CK151" i="17" s="1"/>
  <c r="CW151" i="17" s="1"/>
  <c r="CX151" i="17" s="1"/>
  <c r="BQ315" i="17"/>
  <c r="AZ165" i="17"/>
  <c r="BH165" i="17" s="1"/>
  <c r="BP165" i="17"/>
  <c r="AZ183" i="17"/>
  <c r="BH183" i="17" s="1"/>
  <c r="BP183" i="17"/>
  <c r="CF183" i="17" s="1"/>
  <c r="CL183" i="17" s="1"/>
  <c r="CY183" i="17" s="1"/>
  <c r="CZ183" i="17" s="1"/>
  <c r="BC192" i="17"/>
  <c r="BK192" i="17" s="1"/>
  <c r="BS192" i="17"/>
  <c r="BT220" i="17"/>
  <c r="CJ220" i="17" s="1"/>
  <c r="CP220" i="17" s="1"/>
  <c r="DG220" i="17" s="1"/>
  <c r="DH220" i="17" s="1"/>
  <c r="BE29" i="17"/>
  <c r="BM29" i="17" s="1"/>
  <c r="BU29" i="17"/>
  <c r="BS169" i="17"/>
  <c r="BC7" i="17"/>
  <c r="BK7" i="17" s="1"/>
  <c r="BS7" i="17"/>
  <c r="CI7" i="17" s="1"/>
  <c r="CO7" i="17" s="1"/>
  <c r="DE7" i="17" s="1"/>
  <c r="DF7" i="17" s="1"/>
  <c r="BA7" i="17"/>
  <c r="BI7" i="17" s="1"/>
  <c r="BQ7" i="17"/>
  <c r="BQ276" i="17"/>
  <c r="CG276" i="17" s="1"/>
  <c r="CM276" i="17" s="1"/>
  <c r="DA276" i="17" s="1"/>
  <c r="DB276" i="17" s="1"/>
  <c r="BR215" i="17"/>
  <c r="BE234" i="17"/>
  <c r="BM234" i="17" s="1"/>
  <c r="BU234" i="17"/>
  <c r="BQ200" i="17"/>
  <c r="CG200" i="17" s="1"/>
  <c r="CM200" i="17" s="1"/>
  <c r="DA200" i="17" s="1"/>
  <c r="DB200" i="17" s="1"/>
  <c r="BO53" i="17"/>
  <c r="CE53" i="17" s="1"/>
  <c r="CK53" i="17" s="1"/>
  <c r="CW53" i="17" s="1"/>
  <c r="CX53" i="17" s="1"/>
  <c r="CF318" i="17"/>
  <c r="CL318" i="17" s="1"/>
  <c r="CY318" i="17" s="1"/>
  <c r="CZ318" i="17" s="1"/>
  <c r="CE308" i="17"/>
  <c r="CK308" i="17" s="1"/>
  <c r="CW308" i="17" s="1"/>
  <c r="CX308" i="17" s="1"/>
  <c r="CF64" i="17"/>
  <c r="CL64" i="17" s="1"/>
  <c r="CY64" i="17" s="1"/>
  <c r="CZ64" i="17" s="1"/>
  <c r="CF258" i="17"/>
  <c r="CL258" i="17" s="1"/>
  <c r="CY258" i="17" s="1"/>
  <c r="CZ258" i="17" s="1"/>
  <c r="CG295" i="17"/>
  <c r="CM295" i="17" s="1"/>
  <c r="DA295" i="17" s="1"/>
  <c r="DB295" i="17" s="1"/>
  <c r="CE266" i="17"/>
  <c r="CK266" i="17" s="1"/>
  <c r="CW266" i="17" s="1"/>
  <c r="CX266" i="17" s="1"/>
  <c r="CF307" i="17"/>
  <c r="CL307" i="17" s="1"/>
  <c r="CY307" i="17" s="1"/>
  <c r="CZ307" i="17" s="1"/>
  <c r="CE257" i="17"/>
  <c r="CK257" i="17" s="1"/>
  <c r="CW257" i="17" s="1"/>
  <c r="CX257" i="17" s="1"/>
  <c r="CG258" i="17"/>
  <c r="CM258" i="17" s="1"/>
  <c r="DA258" i="17" s="1"/>
  <c r="DB258" i="17" s="1"/>
  <c r="CG203" i="17"/>
  <c r="CM203" i="17" s="1"/>
  <c r="DA203" i="17" s="1"/>
  <c r="DB203" i="17" s="1"/>
  <c r="CG257" i="17"/>
  <c r="CM257" i="17" s="1"/>
  <c r="DA257" i="17" s="1"/>
  <c r="DB257" i="17" s="1"/>
  <c r="CF53" i="17"/>
  <c r="CL53" i="17" s="1"/>
  <c r="CY53" i="17" s="1"/>
  <c r="CZ53" i="17" s="1"/>
  <c r="BC62" i="17"/>
  <c r="BK62" i="17" s="1"/>
  <c r="AY196" i="17"/>
  <c r="BG196" i="17" s="1"/>
  <c r="CF257" i="17"/>
  <c r="CL257" i="17" s="1"/>
  <c r="CY257" i="17" s="1"/>
  <c r="CZ257" i="17" s="1"/>
  <c r="BA264" i="17"/>
  <c r="BI264" i="17" s="1"/>
  <c r="BC133" i="17"/>
  <c r="BK133" i="17" s="1"/>
  <c r="BD273" i="17"/>
  <c r="BL273" i="17" s="1"/>
  <c r="CG307" i="17"/>
  <c r="CM307" i="17" s="1"/>
  <c r="DA307" i="17" s="1"/>
  <c r="DB307" i="17" s="1"/>
  <c r="CE203" i="17"/>
  <c r="CK203" i="17" s="1"/>
  <c r="CW203" i="17" s="1"/>
  <c r="CX203" i="17" s="1"/>
  <c r="CF203" i="17"/>
  <c r="CL203" i="17" s="1"/>
  <c r="CY203" i="17" s="1"/>
  <c r="CZ203" i="17" s="1"/>
  <c r="CE307" i="17"/>
  <c r="CK307" i="17" s="1"/>
  <c r="CW307" i="17" s="1"/>
  <c r="CX307" i="17" s="1"/>
  <c r="AY50" i="17"/>
  <c r="BG50" i="17" s="1"/>
  <c r="CE258" i="17"/>
  <c r="CK258" i="17" s="1"/>
  <c r="CW258" i="17" s="1"/>
  <c r="CX258" i="17" s="1"/>
  <c r="CF293" i="17"/>
  <c r="CL293" i="17" s="1"/>
  <c r="CY293" i="17" s="1"/>
  <c r="CZ293" i="17" s="1"/>
  <c r="BA258" i="17"/>
  <c r="BI258" i="17" s="1"/>
  <c r="BE273" i="17"/>
  <c r="BM273" i="17" s="1"/>
  <c r="CG213" i="17"/>
  <c r="CM213" i="17" s="1"/>
  <c r="DA213" i="17" s="1"/>
  <c r="DB213" i="17" s="1"/>
  <c r="CG64" i="17"/>
  <c r="CM64" i="17" s="1"/>
  <c r="DA64" i="17" s="1"/>
  <c r="DB64" i="17" s="1"/>
  <c r="CG231" i="17"/>
  <c r="CM231" i="17" s="1"/>
  <c r="DA231" i="17" s="1"/>
  <c r="DB231" i="17" s="1"/>
  <c r="CE247" i="17"/>
  <c r="CK247" i="17" s="1"/>
  <c r="CW247" i="17" s="1"/>
  <c r="CX247" i="17" s="1"/>
  <c r="CE31" i="17"/>
  <c r="CK31" i="17" s="1"/>
  <c r="CW31" i="17" s="1"/>
  <c r="CX31" i="17" s="1"/>
  <c r="CF295" i="17"/>
  <c r="CL295" i="17" s="1"/>
  <c r="CY295" i="17" s="1"/>
  <c r="CZ295" i="17" s="1"/>
  <c r="CG166" i="17"/>
  <c r="CM166" i="17" s="1"/>
  <c r="DA166" i="17" s="1"/>
  <c r="DB166" i="17" s="1"/>
  <c r="CE189" i="17"/>
  <c r="CK189" i="17" s="1"/>
  <c r="CW189" i="17" s="1"/>
  <c r="CX189" i="17" s="1"/>
  <c r="CF196" i="17"/>
  <c r="CL196" i="17" s="1"/>
  <c r="CY196" i="17" s="1"/>
  <c r="CZ196" i="17" s="1"/>
  <c r="CF119" i="17"/>
  <c r="CL119" i="17" s="1"/>
  <c r="CY119" i="17" s="1"/>
  <c r="CZ119" i="17" s="1"/>
  <c r="CE47" i="17"/>
  <c r="CK47" i="17" s="1"/>
  <c r="CW47" i="17" s="1"/>
  <c r="CX47" i="17" s="1"/>
  <c r="CG222" i="17"/>
  <c r="CM222" i="17" s="1"/>
  <c r="DA222" i="17" s="1"/>
  <c r="DB222" i="17" s="1"/>
  <c r="CE295" i="17"/>
  <c r="CK295" i="17" s="1"/>
  <c r="CW295" i="17" s="1"/>
  <c r="CX295" i="17" s="1"/>
  <c r="CE161" i="17"/>
  <c r="CK161" i="17" s="1"/>
  <c r="CW161" i="17" s="1"/>
  <c r="CX161" i="17" s="1"/>
  <c r="CG284" i="17"/>
  <c r="CM284" i="17" s="1"/>
  <c r="DA284" i="17" s="1"/>
  <c r="DB284" i="17" s="1"/>
  <c r="CE179" i="17"/>
  <c r="CK179" i="17" s="1"/>
  <c r="CW179" i="17" s="1"/>
  <c r="CX179" i="17" s="1"/>
  <c r="CE119" i="17"/>
  <c r="CK119" i="17" s="1"/>
  <c r="CW119" i="17" s="1"/>
  <c r="CX119" i="17" s="1"/>
  <c r="CG32" i="17"/>
  <c r="CM32" i="17" s="1"/>
  <c r="DA32" i="17" s="1"/>
  <c r="DB32" i="17" s="1"/>
  <c r="CG226" i="17"/>
  <c r="CM226" i="17" s="1"/>
  <c r="DA226" i="17" s="1"/>
  <c r="DB226" i="17" s="1"/>
  <c r="CF166" i="17"/>
  <c r="CL166" i="17" s="1"/>
  <c r="CY166" i="17" s="1"/>
  <c r="CZ166" i="17" s="1"/>
  <c r="CF279" i="17"/>
  <c r="CL279" i="17" s="1"/>
  <c r="CY279" i="17" s="1"/>
  <c r="CZ279" i="17" s="1"/>
  <c r="CF155" i="17"/>
  <c r="CL155" i="17" s="1"/>
  <c r="CY155" i="17" s="1"/>
  <c r="CZ155" i="17" s="1"/>
  <c r="CF159" i="17"/>
  <c r="CL159" i="17" s="1"/>
  <c r="CY159" i="17" s="1"/>
  <c r="CZ159" i="17" s="1"/>
  <c r="CF12" i="17"/>
  <c r="CL12" i="17" s="1"/>
  <c r="CY12" i="17" s="1"/>
  <c r="CZ12" i="17" s="1"/>
  <c r="CE121" i="17"/>
  <c r="CK121" i="17" s="1"/>
  <c r="CW121" i="17" s="1"/>
  <c r="CX121" i="17" s="1"/>
  <c r="CG251" i="17"/>
  <c r="CM251" i="17" s="1"/>
  <c r="DA251" i="17" s="1"/>
  <c r="DB251" i="17" s="1"/>
  <c r="CG115" i="17"/>
  <c r="CM115" i="17" s="1"/>
  <c r="DA115" i="17" s="1"/>
  <c r="DB115" i="17" s="1"/>
  <c r="CE128" i="17"/>
  <c r="CK128" i="17" s="1"/>
  <c r="CW128" i="17" s="1"/>
  <c r="CX128" i="17" s="1"/>
  <c r="CE28" i="17"/>
  <c r="CK28" i="17" s="1"/>
  <c r="CW28" i="17" s="1"/>
  <c r="CX28" i="17" s="1"/>
  <c r="CE278" i="17"/>
  <c r="CK278" i="17" s="1"/>
  <c r="CW278" i="17" s="1"/>
  <c r="CX278" i="17" s="1"/>
  <c r="CE62" i="17"/>
  <c r="CK62" i="17" s="1"/>
  <c r="CW62" i="17" s="1"/>
  <c r="CX62" i="17" s="1"/>
  <c r="CE264" i="17"/>
  <c r="CK264" i="17" s="1"/>
  <c r="CW264" i="17" s="1"/>
  <c r="CX264" i="17" s="1"/>
  <c r="CF47" i="17"/>
  <c r="CL47" i="17" s="1"/>
  <c r="CY47" i="17" s="1"/>
  <c r="CZ47" i="17" s="1"/>
  <c r="CF206" i="17"/>
  <c r="CL206" i="17" s="1"/>
  <c r="CY206" i="17" s="1"/>
  <c r="CZ206" i="17" s="1"/>
  <c r="CE188" i="17"/>
  <c r="CK188" i="17" s="1"/>
  <c r="CW188" i="17" s="1"/>
  <c r="CX188" i="17" s="1"/>
  <c r="CF273" i="17"/>
  <c r="CL273" i="17" s="1"/>
  <c r="CY273" i="17" s="1"/>
  <c r="CZ273" i="17" s="1"/>
  <c r="CF129" i="17"/>
  <c r="CL129" i="17" s="1"/>
  <c r="CY129" i="17" s="1"/>
  <c r="CZ129" i="17" s="1"/>
  <c r="CF278" i="17"/>
  <c r="CL278" i="17" s="1"/>
  <c r="CY278" i="17" s="1"/>
  <c r="CZ278" i="17" s="1"/>
  <c r="CE84" i="17"/>
  <c r="CK84" i="17" s="1"/>
  <c r="CW84" i="17" s="1"/>
  <c r="CX84" i="17" s="1"/>
  <c r="CE245" i="17"/>
  <c r="CK245" i="17" s="1"/>
  <c r="CW245" i="17" s="1"/>
  <c r="CX245" i="17" s="1"/>
  <c r="CE251" i="17"/>
  <c r="CK251" i="17" s="1"/>
  <c r="CW251" i="17" s="1"/>
  <c r="CX251" i="17" s="1"/>
  <c r="CG250" i="17"/>
  <c r="CM250" i="17" s="1"/>
  <c r="DA250" i="17" s="1"/>
  <c r="DB250" i="17" s="1"/>
  <c r="CF44" i="17"/>
  <c r="CL44" i="17" s="1"/>
  <c r="CY44" i="17" s="1"/>
  <c r="CZ44" i="17" s="1"/>
  <c r="CE273" i="17"/>
  <c r="CK273" i="17" s="1"/>
  <c r="CW273" i="17" s="1"/>
  <c r="CX273" i="17" s="1"/>
  <c r="CE147" i="17"/>
  <c r="CK147" i="17" s="1"/>
  <c r="CW147" i="17" s="1"/>
  <c r="CX147" i="17" s="1"/>
  <c r="CG114" i="17"/>
  <c r="CM114" i="17" s="1"/>
  <c r="DA114" i="17" s="1"/>
  <c r="DB114" i="17" s="1"/>
  <c r="CF168" i="17"/>
  <c r="CL168" i="17" s="1"/>
  <c r="CY168" i="17" s="1"/>
  <c r="CZ168" i="17" s="1"/>
  <c r="CG21" i="17"/>
  <c r="CM21" i="17" s="1"/>
  <c r="DA21" i="17" s="1"/>
  <c r="DB21" i="17" s="1"/>
  <c r="CE32" i="17"/>
  <c r="CK32" i="17" s="1"/>
  <c r="CW32" i="17" s="1"/>
  <c r="CX32" i="17" s="1"/>
  <c r="CG125" i="17"/>
  <c r="CM125" i="17" s="1"/>
  <c r="DA125" i="17" s="1"/>
  <c r="DB125" i="17" s="1"/>
  <c r="CF179" i="17"/>
  <c r="CL179" i="17" s="1"/>
  <c r="CY179" i="17" s="1"/>
  <c r="CZ179" i="17" s="1"/>
  <c r="CE103" i="17"/>
  <c r="CK103" i="17" s="1"/>
  <c r="CW103" i="17" s="1"/>
  <c r="CX103" i="17" s="1"/>
  <c r="CG302" i="17"/>
  <c r="CM302" i="17" s="1"/>
  <c r="DA302" i="17" s="1"/>
  <c r="DB302" i="17" s="1"/>
  <c r="CF204" i="17"/>
  <c r="CL204" i="17" s="1"/>
  <c r="CY204" i="17" s="1"/>
  <c r="CZ204" i="17" s="1"/>
  <c r="CE21" i="17"/>
  <c r="CK21" i="17" s="1"/>
  <c r="CW21" i="17" s="1"/>
  <c r="CX21" i="17" s="1"/>
  <c r="CF205" i="17"/>
  <c r="CL205" i="17" s="1"/>
  <c r="CY205" i="17" s="1"/>
  <c r="CZ205" i="17" s="1"/>
  <c r="CF282" i="17"/>
  <c r="CL282" i="17" s="1"/>
  <c r="CY282" i="17" s="1"/>
  <c r="CZ282" i="17" s="1"/>
  <c r="CE142" i="17"/>
  <c r="CK142" i="17" s="1"/>
  <c r="CW142" i="17" s="1"/>
  <c r="CX142" i="17" s="1"/>
  <c r="CF32" i="17"/>
  <c r="CL32" i="17" s="1"/>
  <c r="CY32" i="17" s="1"/>
  <c r="CZ32" i="17" s="1"/>
  <c r="CG298" i="17"/>
  <c r="CM298" i="17" s="1"/>
  <c r="DA298" i="17" s="1"/>
  <c r="DB298" i="17" s="1"/>
  <c r="AZ61" i="17"/>
  <c r="BH61" i="17" s="1"/>
  <c r="CE143" i="17"/>
  <c r="CK143" i="17" s="1"/>
  <c r="CW143" i="17" s="1"/>
  <c r="CX143" i="17" s="1"/>
  <c r="CG155" i="17"/>
  <c r="CM155" i="17" s="1"/>
  <c r="DA155" i="17" s="1"/>
  <c r="DB155" i="17" s="1"/>
  <c r="CE282" i="17"/>
  <c r="CK282" i="17" s="1"/>
  <c r="CW282" i="17" s="1"/>
  <c r="CX282" i="17" s="1"/>
  <c r="CF210" i="17"/>
  <c r="CL210" i="17" s="1"/>
  <c r="CY210" i="17" s="1"/>
  <c r="CZ210" i="17" s="1"/>
  <c r="BF84" i="17"/>
  <c r="BN84" i="17" s="1"/>
  <c r="CF124" i="17"/>
  <c r="CL124" i="17" s="1"/>
  <c r="CY124" i="17" s="1"/>
  <c r="CZ124" i="17" s="1"/>
  <c r="CG142" i="17"/>
  <c r="CM142" i="17" s="1"/>
  <c r="DA142" i="17" s="1"/>
  <c r="DB142" i="17" s="1"/>
  <c r="CF62" i="17"/>
  <c r="CL62" i="17" s="1"/>
  <c r="CY62" i="17" s="1"/>
  <c r="CZ62" i="17" s="1"/>
  <c r="CE275" i="17"/>
  <c r="CK275" i="17" s="1"/>
  <c r="CW275" i="17" s="1"/>
  <c r="CX275" i="17" s="1"/>
  <c r="CE159" i="17"/>
  <c r="CK159" i="17" s="1"/>
  <c r="CW159" i="17" s="1"/>
  <c r="CX159" i="17" s="1"/>
  <c r="CF228" i="17"/>
  <c r="CL228" i="17" s="1"/>
  <c r="CY228" i="17" s="1"/>
  <c r="CZ228" i="17" s="1"/>
  <c r="CF188" i="17"/>
  <c r="CL188" i="17" s="1"/>
  <c r="CY188" i="17" s="1"/>
  <c r="CZ188" i="17" s="1"/>
  <c r="CE51" i="17"/>
  <c r="CK51" i="17" s="1"/>
  <c r="CW51" i="17" s="1"/>
  <c r="CX51" i="17" s="1"/>
  <c r="CF213" i="17"/>
  <c r="CL213" i="17" s="1"/>
  <c r="CY213" i="17" s="1"/>
  <c r="CZ213" i="17" s="1"/>
  <c r="CG273" i="17"/>
  <c r="CM273" i="17" s="1"/>
  <c r="DA273" i="17" s="1"/>
  <c r="DB273" i="17" s="1"/>
  <c r="CG196" i="17"/>
  <c r="CM196" i="17" s="1"/>
  <c r="DA196" i="17" s="1"/>
  <c r="DB196" i="17" s="1"/>
  <c r="CF115" i="17"/>
  <c r="CL115" i="17" s="1"/>
  <c r="CY115" i="17" s="1"/>
  <c r="CZ115" i="17" s="1"/>
  <c r="CF147" i="17"/>
  <c r="CL147" i="17" s="1"/>
  <c r="CY147" i="17" s="1"/>
  <c r="CZ147" i="17" s="1"/>
  <c r="CG282" i="17"/>
  <c r="CM282" i="17" s="1"/>
  <c r="DA282" i="17" s="1"/>
  <c r="DB282" i="17" s="1"/>
  <c r="CG129" i="17"/>
  <c r="CM129" i="17" s="1"/>
  <c r="DA129" i="17" s="1"/>
  <c r="DB129" i="17" s="1"/>
  <c r="CE168" i="17"/>
  <c r="CK168" i="17" s="1"/>
  <c r="CW168" i="17" s="1"/>
  <c r="CX168" i="17" s="1"/>
  <c r="CE210" i="17"/>
  <c r="CK210" i="17" s="1"/>
  <c r="CW210" i="17" s="1"/>
  <c r="CX210" i="17" s="1"/>
  <c r="CF21" i="17"/>
  <c r="CL21" i="17" s="1"/>
  <c r="CY21" i="17" s="1"/>
  <c r="CZ21" i="17" s="1"/>
  <c r="CF142" i="17"/>
  <c r="CL142" i="17" s="1"/>
  <c r="CY142" i="17" s="1"/>
  <c r="CZ142" i="17" s="1"/>
  <c r="CG62" i="17"/>
  <c r="CM62" i="17" s="1"/>
  <c r="DA62" i="17" s="1"/>
  <c r="DB62" i="17" s="1"/>
  <c r="CG228" i="17"/>
  <c r="CM228" i="17" s="1"/>
  <c r="DA228" i="17" s="1"/>
  <c r="DB228" i="17" s="1"/>
  <c r="CE212" i="17"/>
  <c r="CK212" i="17" s="1"/>
  <c r="CW212" i="17" s="1"/>
  <c r="CX212" i="17" s="1"/>
  <c r="CG96" i="17"/>
  <c r="CM96" i="17" s="1"/>
  <c r="DA96" i="17" s="1"/>
  <c r="DB96" i="17" s="1"/>
  <c r="CF189" i="17"/>
  <c r="CL189" i="17" s="1"/>
  <c r="CY189" i="17" s="1"/>
  <c r="CZ189" i="17" s="1"/>
  <c r="CE206" i="17"/>
  <c r="CK206" i="17" s="1"/>
  <c r="CW206" i="17" s="1"/>
  <c r="CX206" i="17" s="1"/>
  <c r="CF84" i="17"/>
  <c r="CL84" i="17" s="1"/>
  <c r="CY84" i="17" s="1"/>
  <c r="CZ84" i="17" s="1"/>
  <c r="CG230" i="17"/>
  <c r="CM230" i="17" s="1"/>
  <c r="DA230" i="17" s="1"/>
  <c r="DB230" i="17" s="1"/>
  <c r="CE213" i="17"/>
  <c r="CK213" i="17" s="1"/>
  <c r="CW213" i="17" s="1"/>
  <c r="CX213" i="17" s="1"/>
  <c r="CE265" i="17"/>
  <c r="CK265" i="17" s="1"/>
  <c r="CW265" i="17" s="1"/>
  <c r="CX265" i="17" s="1"/>
  <c r="CF121" i="17"/>
  <c r="CL121" i="17" s="1"/>
  <c r="CY121" i="17" s="1"/>
  <c r="CZ121" i="17" s="1"/>
  <c r="CE124" i="17"/>
  <c r="CK124" i="17" s="1"/>
  <c r="CW124" i="17" s="1"/>
  <c r="CX124" i="17" s="1"/>
  <c r="CG237" i="17"/>
  <c r="CM237" i="17" s="1"/>
  <c r="DA237" i="17" s="1"/>
  <c r="DB237" i="17" s="1"/>
  <c r="CF161" i="17"/>
  <c r="CL161" i="17" s="1"/>
  <c r="CY161" i="17" s="1"/>
  <c r="CZ161" i="17" s="1"/>
  <c r="CE279" i="17"/>
  <c r="CK279" i="17" s="1"/>
  <c r="CW279" i="17" s="1"/>
  <c r="CX279" i="17" s="1"/>
  <c r="CF103" i="17"/>
  <c r="CL103" i="17" s="1"/>
  <c r="CY103" i="17" s="1"/>
  <c r="CZ103" i="17" s="1"/>
  <c r="CE66" i="17"/>
  <c r="CK66" i="17" s="1"/>
  <c r="CW66" i="17" s="1"/>
  <c r="CX66" i="17" s="1"/>
  <c r="CF96" i="17"/>
  <c r="CL96" i="17" s="1"/>
  <c r="CY96" i="17" s="1"/>
  <c r="CZ96" i="17" s="1"/>
  <c r="CE68" i="17"/>
  <c r="CK68" i="17" s="1"/>
  <c r="CW68" i="17" s="1"/>
  <c r="CX68" i="17" s="1"/>
  <c r="CE96" i="17"/>
  <c r="CK96" i="17" s="1"/>
  <c r="CW96" i="17" s="1"/>
  <c r="CX96" i="17" s="1"/>
  <c r="CE226" i="17"/>
  <c r="CK226" i="17" s="1"/>
  <c r="CW226" i="17" s="1"/>
  <c r="CX226" i="17" s="1"/>
  <c r="CF226" i="17"/>
  <c r="CL226" i="17" s="1"/>
  <c r="CY226" i="17" s="1"/>
  <c r="CZ226" i="17" s="1"/>
  <c r="CF224" i="17"/>
  <c r="CL224" i="17" s="1"/>
  <c r="CY224" i="17" s="1"/>
  <c r="CZ224" i="17" s="1"/>
  <c r="CG264" i="17"/>
  <c r="CM264" i="17" s="1"/>
  <c r="DA264" i="17" s="1"/>
  <c r="DB264" i="17" s="1"/>
  <c r="CG204" i="17"/>
  <c r="CM204" i="17" s="1"/>
  <c r="DA204" i="17" s="1"/>
  <c r="DB204" i="17" s="1"/>
  <c r="CE196" i="17"/>
  <c r="CK196" i="17" s="1"/>
  <c r="CW196" i="17" s="1"/>
  <c r="CX196" i="17" s="1"/>
  <c r="CF230" i="17"/>
  <c r="CL230" i="17" s="1"/>
  <c r="CY230" i="17" s="1"/>
  <c r="CZ230" i="17" s="1"/>
  <c r="CE12" i="17"/>
  <c r="CK12" i="17" s="1"/>
  <c r="CW12" i="17" s="1"/>
  <c r="CX12" i="17" s="1"/>
  <c r="CG143" i="17"/>
  <c r="CM143" i="17" s="1"/>
  <c r="DA143" i="17" s="1"/>
  <c r="DB143" i="17" s="1"/>
  <c r="CE205" i="17"/>
  <c r="CK205" i="17" s="1"/>
  <c r="CW205" i="17" s="1"/>
  <c r="CX205" i="17" s="1"/>
  <c r="CG147" i="17"/>
  <c r="CM147" i="17" s="1"/>
  <c r="DA147" i="17" s="1"/>
  <c r="DB147" i="17" s="1"/>
  <c r="AY273" i="17"/>
  <c r="BG273" i="17" s="1"/>
  <c r="CF284" i="17"/>
  <c r="CL284" i="17" s="1"/>
  <c r="CY284" i="17" s="1"/>
  <c r="CZ284" i="17" s="1"/>
  <c r="CF275" i="17"/>
  <c r="CL275" i="17" s="1"/>
  <c r="CY275" i="17" s="1"/>
  <c r="CZ275" i="17" s="1"/>
  <c r="CG44" i="17"/>
  <c r="CM44" i="17" s="1"/>
  <c r="DA44" i="17" s="1"/>
  <c r="DB44" i="17" s="1"/>
  <c r="CF28" i="17"/>
  <c r="CL28" i="17" s="1"/>
  <c r="CY28" i="17" s="1"/>
  <c r="CZ28" i="17" s="1"/>
  <c r="CE204" i="17"/>
  <c r="CK204" i="17" s="1"/>
  <c r="CW204" i="17" s="1"/>
  <c r="CX204" i="17" s="1"/>
  <c r="CF298" i="17"/>
  <c r="CL298" i="17" s="1"/>
  <c r="CY298" i="17" s="1"/>
  <c r="CZ298" i="17" s="1"/>
  <c r="BA250" i="17"/>
  <c r="BI250" i="17" s="1"/>
  <c r="CG12" i="17"/>
  <c r="CM12" i="17" s="1"/>
  <c r="DA12" i="17" s="1"/>
  <c r="DB12" i="17" s="1"/>
  <c r="CE155" i="17"/>
  <c r="CK155" i="17" s="1"/>
  <c r="CW155" i="17" s="1"/>
  <c r="CX155" i="17" s="1"/>
  <c r="CG179" i="17"/>
  <c r="CM179" i="17" s="1"/>
  <c r="DA179" i="17" s="1"/>
  <c r="DB179" i="17" s="1"/>
  <c r="CE129" i="17"/>
  <c r="CK129" i="17" s="1"/>
  <c r="CW129" i="17" s="1"/>
  <c r="CX129" i="17" s="1"/>
  <c r="CG168" i="17"/>
  <c r="CM168" i="17" s="1"/>
  <c r="DA168" i="17" s="1"/>
  <c r="DB168" i="17" s="1"/>
  <c r="CG210" i="17"/>
  <c r="CM210" i="17" s="1"/>
  <c r="DA210" i="17" s="1"/>
  <c r="DB210" i="17" s="1"/>
  <c r="CE115" i="17"/>
  <c r="CK115" i="17" s="1"/>
  <c r="CW115" i="17" s="1"/>
  <c r="CX115" i="17" s="1"/>
  <c r="CG206" i="17"/>
  <c r="CM206" i="17" s="1"/>
  <c r="DA206" i="17" s="1"/>
  <c r="DB206" i="17" s="1"/>
  <c r="CE220" i="17"/>
  <c r="CK220" i="17" s="1"/>
  <c r="CW220" i="17" s="1"/>
  <c r="CX220" i="17" s="1"/>
  <c r="CF220" i="17"/>
  <c r="CL220" i="17" s="1"/>
  <c r="CY220" i="17" s="1"/>
  <c r="CZ220" i="17" s="1"/>
  <c r="CF31" i="17"/>
  <c r="CL31" i="17" s="1"/>
  <c r="CY31" i="17" s="1"/>
  <c r="CZ31" i="17" s="1"/>
  <c r="CF133" i="17"/>
  <c r="CL133" i="17" s="1"/>
  <c r="CY133" i="17" s="1"/>
  <c r="CZ133" i="17" s="1"/>
  <c r="CG133" i="17"/>
  <c r="CM133" i="17" s="1"/>
  <c r="DA133" i="17" s="1"/>
  <c r="DB133" i="17" s="1"/>
  <c r="CE44" i="17"/>
  <c r="CK44" i="17" s="1"/>
  <c r="CW44" i="17" s="1"/>
  <c r="CX44" i="17" s="1"/>
  <c r="CF143" i="17"/>
  <c r="CL143" i="17" s="1"/>
  <c r="CY143" i="17" s="1"/>
  <c r="CZ143" i="17" s="1"/>
  <c r="AY251" i="17"/>
  <c r="BG251" i="17" s="1"/>
  <c r="CG124" i="17"/>
  <c r="CM124" i="17" s="1"/>
  <c r="DA124" i="17" s="1"/>
  <c r="DB124" i="17" s="1"/>
  <c r="CE67" i="17"/>
  <c r="CK67" i="17" s="1"/>
  <c r="CW67" i="17" s="1"/>
  <c r="CX67" i="17" s="1"/>
  <c r="CG59" i="17"/>
  <c r="CM59" i="17" s="1"/>
  <c r="DA59" i="17" s="1"/>
  <c r="DB59" i="17" s="1"/>
  <c r="CF250" i="17"/>
  <c r="CL250" i="17" s="1"/>
  <c r="CY250" i="17" s="1"/>
  <c r="CZ250" i="17" s="1"/>
  <c r="CE64" i="17"/>
  <c r="CK64" i="17" s="1"/>
  <c r="CW64" i="17" s="1"/>
  <c r="CX64" i="17" s="1"/>
  <c r="CE145" i="17"/>
  <c r="CK145" i="17" s="1"/>
  <c r="CW145" i="17" s="1"/>
  <c r="CX145" i="17" s="1"/>
  <c r="CE133" i="17"/>
  <c r="CK133" i="17" s="1"/>
  <c r="CW133" i="17" s="1"/>
  <c r="CX133" i="17" s="1"/>
  <c r="CF265" i="17"/>
  <c r="CL265" i="17" s="1"/>
  <c r="CY265" i="17" s="1"/>
  <c r="CZ265" i="17" s="1"/>
  <c r="CG279" i="17"/>
  <c r="CM279" i="17" s="1"/>
  <c r="DA279" i="17" s="1"/>
  <c r="DB279" i="17" s="1"/>
  <c r="CE69" i="17"/>
  <c r="CK69" i="17" s="1"/>
  <c r="CW69" i="17" s="1"/>
  <c r="CX69" i="17" s="1"/>
  <c r="CF251" i="17"/>
  <c r="CL251" i="17" s="1"/>
  <c r="CY251" i="17" s="1"/>
  <c r="CZ251" i="17" s="1"/>
  <c r="CG28" i="17"/>
  <c r="CM28" i="17" s="1"/>
  <c r="DA28" i="17" s="1"/>
  <c r="DB28" i="17" s="1"/>
  <c r="CF264" i="17"/>
  <c r="CL264" i="17" s="1"/>
  <c r="CY264" i="17" s="1"/>
  <c r="CZ264" i="17" s="1"/>
  <c r="CE144" i="17"/>
  <c r="CK144" i="17" s="1"/>
  <c r="CW144" i="17" s="1"/>
  <c r="CX144" i="17" s="1"/>
  <c r="CG171" i="17"/>
  <c r="CM171" i="17" s="1"/>
  <c r="DA171" i="17" s="1"/>
  <c r="DB171" i="17" s="1"/>
  <c r="CG292" i="17"/>
  <c r="CM292" i="17" s="1"/>
  <c r="DA292" i="17" s="1"/>
  <c r="DB292" i="17" s="1"/>
  <c r="CG190" i="17"/>
  <c r="CM190" i="17" s="1"/>
  <c r="DA190" i="17" s="1"/>
  <c r="DB190" i="17" s="1"/>
  <c r="CG160" i="17"/>
  <c r="CM160" i="17" s="1"/>
  <c r="DA160" i="17" s="1"/>
  <c r="DB160" i="17" s="1"/>
  <c r="CE65" i="17"/>
  <c r="CK65" i="17" s="1"/>
  <c r="CW65" i="17" s="1"/>
  <c r="CX65" i="17" s="1"/>
  <c r="CE117" i="17"/>
  <c r="CK117" i="17" s="1"/>
  <c r="CW117" i="17" s="1"/>
  <c r="CX117" i="17" s="1"/>
  <c r="BE136" i="17"/>
  <c r="BM136" i="17" s="1"/>
  <c r="BE179" i="17"/>
  <c r="BM179" i="17" s="1"/>
  <c r="BE168" i="17"/>
  <c r="BM168" i="17" s="1"/>
  <c r="BE21" i="17"/>
  <c r="BM21" i="17" s="1"/>
  <c r="BE298" i="17"/>
  <c r="BM298" i="17" s="1"/>
  <c r="BA246" i="17"/>
  <c r="BI246" i="17" s="1"/>
  <c r="BE247" i="17"/>
  <c r="BM247" i="17" s="1"/>
  <c r="BF62" i="17"/>
  <c r="BN62" i="17" s="1"/>
  <c r="BC109" i="17"/>
  <c r="BK109" i="17" s="1"/>
  <c r="BB247" i="17"/>
  <c r="BJ247" i="17" s="1"/>
  <c r="CF247" i="17"/>
  <c r="CL247" i="17" s="1"/>
  <c r="CY247" i="17" s="1"/>
  <c r="CZ247" i="17" s="1"/>
  <c r="BA158" i="17"/>
  <c r="BI158" i="17" s="1"/>
  <c r="CE158" i="17"/>
  <c r="CK158" i="17" s="1"/>
  <c r="CW158" i="17" s="1"/>
  <c r="CX158" i="17" s="1"/>
  <c r="AZ302" i="17"/>
  <c r="BH302" i="17" s="1"/>
  <c r="CF302" i="17"/>
  <c r="CL302" i="17" s="1"/>
  <c r="CY302" i="17" s="1"/>
  <c r="CZ302" i="17" s="1"/>
  <c r="BB126" i="17"/>
  <c r="BJ126" i="17" s="1"/>
  <c r="AY130" i="17"/>
  <c r="BG130" i="17" s="1"/>
  <c r="BD211" i="17"/>
  <c r="BL211" i="17" s="1"/>
  <c r="BE84" i="17"/>
  <c r="BM84" i="17" s="1"/>
  <c r="BC126" i="17"/>
  <c r="BK126" i="17" s="1"/>
  <c r="BF166" i="17"/>
  <c r="BN166" i="17" s="1"/>
  <c r="BA283" i="17"/>
  <c r="BI283" i="17" s="1"/>
  <c r="CG283" i="17"/>
  <c r="CM283" i="17" s="1"/>
  <c r="DA283" i="17" s="1"/>
  <c r="DB283" i="17" s="1"/>
  <c r="BF283" i="17"/>
  <c r="BN283" i="17" s="1"/>
  <c r="BD217" i="17"/>
  <c r="BL217" i="17" s="1"/>
  <c r="BE47" i="17"/>
  <c r="BM47" i="17" s="1"/>
  <c r="BE206" i="17"/>
  <c r="BM206" i="17" s="1"/>
  <c r="BC220" i="17"/>
  <c r="BK220" i="17" s="1"/>
  <c r="CG220" i="17"/>
  <c r="CM220" i="17" s="1"/>
  <c r="DA220" i="17" s="1"/>
  <c r="DB220" i="17" s="1"/>
  <c r="BB51" i="17"/>
  <c r="BJ51" i="17" s="1"/>
  <c r="BR51" i="17" s="1"/>
  <c r="CH51" i="17" s="1"/>
  <c r="CN51" i="17" s="1"/>
  <c r="DC51" i="17" s="1"/>
  <c r="DD51" i="17" s="1"/>
  <c r="AY39" i="17"/>
  <c r="BG39" i="17" s="1"/>
  <c r="BF228" i="17"/>
  <c r="BN228" i="17" s="1"/>
  <c r="BC51" i="17"/>
  <c r="BK51" i="17" s="1"/>
  <c r="AY315" i="17"/>
  <c r="BG315" i="17" s="1"/>
  <c r="AZ88" i="17"/>
  <c r="BH88" i="17" s="1"/>
  <c r="BB145" i="17"/>
  <c r="BJ145" i="17" s="1"/>
  <c r="CG145" i="17"/>
  <c r="CM145" i="17" s="1"/>
  <c r="DA145" i="17" s="1"/>
  <c r="DB145" i="17" s="1"/>
  <c r="BC31" i="17"/>
  <c r="BK31" i="17" s="1"/>
  <c r="BS31" i="17" s="1"/>
  <c r="CI31" i="17" s="1"/>
  <c r="CO31" i="17" s="1"/>
  <c r="DE31" i="17" s="1"/>
  <c r="DF31" i="17" s="1"/>
  <c r="CE242" i="17"/>
  <c r="CK242" i="17" s="1"/>
  <c r="CW242" i="17" s="1"/>
  <c r="CX242" i="17" s="1"/>
  <c r="CE280" i="17"/>
  <c r="CK280" i="17" s="1"/>
  <c r="CW280" i="17" s="1"/>
  <c r="CX280" i="17" s="1"/>
  <c r="CG274" i="17"/>
  <c r="CM274" i="17" s="1"/>
  <c r="DA274" i="17" s="1"/>
  <c r="DB274" i="17" s="1"/>
  <c r="BE143" i="17"/>
  <c r="BM143" i="17" s="1"/>
  <c r="BU143" i="17" s="1"/>
  <c r="CI143" i="17" s="1"/>
  <c r="CO143" i="17" s="1"/>
  <c r="DE143" i="17" s="1"/>
  <c r="DF143" i="17" s="1"/>
  <c r="BC246" i="17"/>
  <c r="BK246" i="17" s="1"/>
  <c r="BF151" i="17"/>
  <c r="BN151" i="17" s="1"/>
  <c r="BV151" i="17" s="1"/>
  <c r="CJ151" i="17" s="1"/>
  <c r="CP151" i="17" s="1"/>
  <c r="DG151" i="17" s="1"/>
  <c r="DH151" i="17" s="1"/>
  <c r="BD206" i="17"/>
  <c r="BL206" i="17" s="1"/>
  <c r="BT206" i="17" s="1"/>
  <c r="CJ206" i="17" s="1"/>
  <c r="CP206" i="17" s="1"/>
  <c r="DG206" i="17" s="1"/>
  <c r="DH206" i="17" s="1"/>
  <c r="BE39" i="17"/>
  <c r="BM39" i="17" s="1"/>
  <c r="BD68" i="17"/>
  <c r="BL68" i="17" s="1"/>
  <c r="BT68" i="17" s="1"/>
  <c r="CJ68" i="17" s="1"/>
  <c r="CP68" i="17" s="1"/>
  <c r="DG68" i="17" s="1"/>
  <c r="DH68" i="17" s="1"/>
  <c r="CG301" i="17"/>
  <c r="CM301" i="17" s="1"/>
  <c r="DA301" i="17" s="1"/>
  <c r="DB301" i="17" s="1"/>
  <c r="CE101" i="17"/>
  <c r="CK101" i="17" s="1"/>
  <c r="CW101" i="17" s="1"/>
  <c r="CX101" i="17" s="1"/>
  <c r="CG294" i="17"/>
  <c r="CM294" i="17" s="1"/>
  <c r="DA294" i="17" s="1"/>
  <c r="DB294" i="17" s="1"/>
  <c r="CG78" i="17"/>
  <c r="CM78" i="17" s="1"/>
  <c r="DA78" i="17" s="1"/>
  <c r="DB78" i="17" s="1"/>
  <c r="CG91" i="17"/>
  <c r="CM91" i="17" s="1"/>
  <c r="DA91" i="17" s="1"/>
  <c r="DB91" i="17" s="1"/>
  <c r="CG58" i="17"/>
  <c r="CM58" i="17" s="1"/>
  <c r="DA58" i="17" s="1"/>
  <c r="DB58" i="17" s="1"/>
  <c r="CG71" i="17"/>
  <c r="CM71" i="17" s="1"/>
  <c r="DA71" i="17" s="1"/>
  <c r="DB71" i="17" s="1"/>
  <c r="CG182" i="17"/>
  <c r="CM182" i="17" s="1"/>
  <c r="DA182" i="17" s="1"/>
  <c r="DB182" i="17" s="1"/>
  <c r="BE12" i="17"/>
  <c r="BM12" i="17" s="1"/>
  <c r="BE205" i="17"/>
  <c r="BM205" i="17" s="1"/>
  <c r="BE114" i="17"/>
  <c r="BM114" i="17" s="1"/>
  <c r="BE210" i="17"/>
  <c r="BM210" i="17" s="1"/>
  <c r="BD271" i="17"/>
  <c r="BL271" i="17" s="1"/>
  <c r="BA262" i="17"/>
  <c r="BI262" i="17" s="1"/>
  <c r="BQ262" i="17" s="1"/>
  <c r="BC188" i="17"/>
  <c r="BK188" i="17" s="1"/>
  <c r="BS188" i="17" s="1"/>
  <c r="CI188" i="17" s="1"/>
  <c r="CO188" i="17" s="1"/>
  <c r="DE188" i="17" s="1"/>
  <c r="DF188" i="17" s="1"/>
  <c r="BC159" i="17"/>
  <c r="BK159" i="17" s="1"/>
  <c r="BS159" i="17" s="1"/>
  <c r="BE217" i="17"/>
  <c r="BM217" i="17" s="1"/>
  <c r="BU217" i="17" s="1"/>
  <c r="CI217" i="17" s="1"/>
  <c r="CO217" i="17" s="1"/>
  <c r="DE217" i="17" s="1"/>
  <c r="DF217" i="17" s="1"/>
  <c r="BD47" i="17"/>
  <c r="BL47" i="17" s="1"/>
  <c r="BT47" i="17" s="1"/>
  <c r="CJ47" i="17" s="1"/>
  <c r="CP47" i="17" s="1"/>
  <c r="DG47" i="17" s="1"/>
  <c r="DH47" i="17" s="1"/>
  <c r="CG227" i="17"/>
  <c r="CM227" i="17" s="1"/>
  <c r="DA227" i="17" s="1"/>
  <c r="DB227" i="17" s="1"/>
  <c r="CG110" i="17"/>
  <c r="CM110" i="17" s="1"/>
  <c r="DA110" i="17" s="1"/>
  <c r="DB110" i="17" s="1"/>
  <c r="CF67" i="17"/>
  <c r="CL67" i="17" s="1"/>
  <c r="CY67" i="17" s="1"/>
  <c r="CZ67" i="17" s="1"/>
  <c r="BE282" i="17"/>
  <c r="BM282" i="17" s="1"/>
  <c r="BU282" i="17" s="1"/>
  <c r="CJ282" i="17" s="1"/>
  <c r="CP282" i="17" s="1"/>
  <c r="DG282" i="17" s="1"/>
  <c r="DH282" i="17" s="1"/>
  <c r="BE119" i="17"/>
  <c r="BM119" i="17" s="1"/>
  <c r="CE63" i="17"/>
  <c r="CK63" i="17" s="1"/>
  <c r="CW63" i="17" s="1"/>
  <c r="CX63" i="17" s="1"/>
  <c r="BE124" i="17"/>
  <c r="BM124" i="17" s="1"/>
  <c r="BE142" i="17"/>
  <c r="BM142" i="17" s="1"/>
  <c r="AZ246" i="17"/>
  <c r="BH246" i="17" s="1"/>
  <c r="BP246" i="17" s="1"/>
  <c r="BD113" i="17"/>
  <c r="BL113" i="17" s="1"/>
  <c r="BB173" i="17"/>
  <c r="BJ173" i="17" s="1"/>
  <c r="CG173" i="17"/>
  <c r="CM173" i="17" s="1"/>
  <c r="DA173" i="17" s="1"/>
  <c r="DB173" i="17" s="1"/>
  <c r="BA191" i="17"/>
  <c r="BI191" i="17" s="1"/>
  <c r="CG191" i="17"/>
  <c r="CM191" i="17" s="1"/>
  <c r="DA191" i="17" s="1"/>
  <c r="DB191" i="17" s="1"/>
  <c r="BD84" i="17"/>
  <c r="BL84" i="17" s="1"/>
  <c r="BB128" i="17"/>
  <c r="BJ128" i="17" s="1"/>
  <c r="AZ237" i="17"/>
  <c r="BH237" i="17" s="1"/>
  <c r="CF237" i="17"/>
  <c r="CL237" i="17" s="1"/>
  <c r="CY237" i="17" s="1"/>
  <c r="CZ237" i="17" s="1"/>
  <c r="BF67" i="17"/>
  <c r="BN67" i="17" s="1"/>
  <c r="BD109" i="17"/>
  <c r="BL109" i="17" s="1"/>
  <c r="AZ231" i="17"/>
  <c r="BH231" i="17" s="1"/>
  <c r="CF231" i="17"/>
  <c r="CL231" i="17" s="1"/>
  <c r="CY231" i="17" s="1"/>
  <c r="CZ231" i="17" s="1"/>
  <c r="BD310" i="17"/>
  <c r="BL310" i="17" s="1"/>
  <c r="BC161" i="17"/>
  <c r="BK161" i="17" s="1"/>
  <c r="BS161" i="17" s="1"/>
  <c r="CI161" i="17" s="1"/>
  <c r="CO161" i="17" s="1"/>
  <c r="DE161" i="17" s="1"/>
  <c r="DF161" i="17" s="1"/>
  <c r="AY250" i="17"/>
  <c r="BG250" i="17" s="1"/>
  <c r="CE250" i="17"/>
  <c r="CK250" i="17" s="1"/>
  <c r="CW250" i="17" s="1"/>
  <c r="CX250" i="17" s="1"/>
  <c r="BF292" i="17"/>
  <c r="BN292" i="17" s="1"/>
  <c r="BE32" i="17"/>
  <c r="BM32" i="17" s="1"/>
  <c r="BB112" i="17"/>
  <c r="BJ112" i="17" s="1"/>
  <c r="AY36" i="17"/>
  <c r="BG36" i="17" s="1"/>
  <c r="BB106" i="17"/>
  <c r="BJ106" i="17" s="1"/>
  <c r="BC315" i="17"/>
  <c r="BK315" i="17" s="1"/>
  <c r="BA77" i="17"/>
  <c r="BI77" i="17" s="1"/>
  <c r="CE77" i="17"/>
  <c r="CK77" i="17" s="1"/>
  <c r="CW77" i="17" s="1"/>
  <c r="CX77" i="17" s="1"/>
  <c r="AZ315" i="17"/>
  <c r="BH315" i="17" s="1"/>
  <c r="CE127" i="17"/>
  <c r="CK127" i="17" s="1"/>
  <c r="CW127" i="17" s="1"/>
  <c r="CX127" i="17" s="1"/>
  <c r="CE193" i="17"/>
  <c r="CK193" i="17" s="1"/>
  <c r="CW193" i="17" s="1"/>
  <c r="CX193" i="17" s="1"/>
  <c r="CE38" i="17"/>
  <c r="CK38" i="17" s="1"/>
  <c r="CW38" i="17" s="1"/>
  <c r="CX38" i="17" s="1"/>
  <c r="CG272" i="17"/>
  <c r="CM272" i="17" s="1"/>
  <c r="DA272" i="17" s="1"/>
  <c r="DB272" i="17" s="1"/>
  <c r="CE228" i="17"/>
  <c r="CK228" i="17" s="1"/>
  <c r="CW228" i="17" s="1"/>
  <c r="CX228" i="17" s="1"/>
  <c r="AZ113" i="17"/>
  <c r="BH113" i="17" s="1"/>
  <c r="AY173" i="17"/>
  <c r="BG173" i="17" s="1"/>
  <c r="BE271" i="17"/>
  <c r="BM271" i="17" s="1"/>
  <c r="BD158" i="17"/>
  <c r="BL158" i="17" s="1"/>
  <c r="AY302" i="17"/>
  <c r="BG302" i="17" s="1"/>
  <c r="CE302" i="17"/>
  <c r="CK302" i="17" s="1"/>
  <c r="CW302" i="17" s="1"/>
  <c r="CX302" i="17" s="1"/>
  <c r="AY59" i="17"/>
  <c r="BG59" i="17" s="1"/>
  <c r="AY181" i="17"/>
  <c r="BG181" i="17" s="1"/>
  <c r="CE181" i="17"/>
  <c r="CK181" i="17" s="1"/>
  <c r="CW181" i="17" s="1"/>
  <c r="CX181" i="17" s="1"/>
  <c r="BB109" i="17"/>
  <c r="BJ109" i="17" s="1"/>
  <c r="CG109" i="17"/>
  <c r="CM109" i="17" s="1"/>
  <c r="DA109" i="17" s="1"/>
  <c r="DB109" i="17" s="1"/>
  <c r="BD231" i="17"/>
  <c r="BL231" i="17" s="1"/>
  <c r="AZ310" i="17"/>
  <c r="BH310" i="17" s="1"/>
  <c r="AY166" i="17"/>
  <c r="BG166" i="17" s="1"/>
  <c r="CE166" i="17"/>
  <c r="CK166" i="17" s="1"/>
  <c r="CW166" i="17" s="1"/>
  <c r="CX166" i="17" s="1"/>
  <c r="BD172" i="17"/>
  <c r="BL172" i="17" s="1"/>
  <c r="BE66" i="17"/>
  <c r="BM66" i="17" s="1"/>
  <c r="BD262" i="17"/>
  <c r="BL262" i="17" s="1"/>
  <c r="BA271" i="17"/>
  <c r="BI271" i="17" s="1"/>
  <c r="CG271" i="17"/>
  <c r="CM271" i="17" s="1"/>
  <c r="DA271" i="17" s="1"/>
  <c r="DB271" i="17" s="1"/>
  <c r="BF181" i="17"/>
  <c r="BN181" i="17" s="1"/>
  <c r="AY126" i="17"/>
  <c r="BG126" i="17" s="1"/>
  <c r="CE126" i="17"/>
  <c r="CK126" i="17" s="1"/>
  <c r="CW126" i="17" s="1"/>
  <c r="CX126" i="17" s="1"/>
  <c r="BA39" i="17"/>
  <c r="BI39" i="17" s="1"/>
  <c r="CF39" i="17"/>
  <c r="CL39" i="17" s="1"/>
  <c r="CY39" i="17" s="1"/>
  <c r="CZ39" i="17" s="1"/>
  <c r="BA112" i="17"/>
  <c r="BI112" i="17" s="1"/>
  <c r="BC39" i="17"/>
  <c r="BK39" i="17" s="1"/>
  <c r="BD159" i="17"/>
  <c r="BL159" i="17" s="1"/>
  <c r="BF112" i="17"/>
  <c r="BN112" i="17" s="1"/>
  <c r="BF61" i="17"/>
  <c r="BN61" i="17" s="1"/>
  <c r="BC69" i="17"/>
  <c r="BK69" i="17" s="1"/>
  <c r="BS69" i="17" s="1"/>
  <c r="CI69" i="17" s="1"/>
  <c r="CO69" i="17" s="1"/>
  <c r="DE69" i="17" s="1"/>
  <c r="DF69" i="17" s="1"/>
  <c r="BF39" i="17"/>
  <c r="BN39" i="17" s="1"/>
  <c r="BC224" i="17"/>
  <c r="BK224" i="17" s="1"/>
  <c r="CG224" i="17"/>
  <c r="CM224" i="17" s="1"/>
  <c r="DA224" i="17" s="1"/>
  <c r="DB224" i="17" s="1"/>
  <c r="BB212" i="17"/>
  <c r="BJ212" i="17" s="1"/>
  <c r="BR212" i="17" s="1"/>
  <c r="CH212" i="17" s="1"/>
  <c r="CN212" i="17" s="1"/>
  <c r="DC212" i="17" s="1"/>
  <c r="DD212" i="17" s="1"/>
  <c r="BF32" i="17"/>
  <c r="BN32" i="17" s="1"/>
  <c r="BV32" i="17" s="1"/>
  <c r="CJ32" i="17" s="1"/>
  <c r="CP32" i="17" s="1"/>
  <c r="DG32" i="17" s="1"/>
  <c r="DH32" i="17" s="1"/>
  <c r="BC88" i="17"/>
  <c r="BK88" i="17" s="1"/>
  <c r="CG88" i="17"/>
  <c r="CM88" i="17" s="1"/>
  <c r="DA88" i="17" s="1"/>
  <c r="DB88" i="17" s="1"/>
  <c r="BD88" i="17"/>
  <c r="BL88" i="17" s="1"/>
  <c r="BT88" i="17" s="1"/>
  <c r="CJ88" i="17" s="1"/>
  <c r="CP88" i="17" s="1"/>
  <c r="DG88" i="17" s="1"/>
  <c r="DH88" i="17" s="1"/>
  <c r="BD145" i="17"/>
  <c r="BL145" i="17" s="1"/>
  <c r="BA75" i="17"/>
  <c r="BI75" i="17" s="1"/>
  <c r="CG75" i="17"/>
  <c r="CM75" i="17" s="1"/>
  <c r="DA75" i="17" s="1"/>
  <c r="DB75" i="17" s="1"/>
  <c r="BA217" i="17"/>
  <c r="BI217" i="17" s="1"/>
  <c r="CG217" i="17"/>
  <c r="CM217" i="17" s="1"/>
  <c r="DA217" i="17" s="1"/>
  <c r="DB217" i="17" s="1"/>
  <c r="BD280" i="17"/>
  <c r="BL280" i="17" s="1"/>
  <c r="CF191" i="17"/>
  <c r="CL191" i="17" s="1"/>
  <c r="CY191" i="17" s="1"/>
  <c r="CZ191" i="17" s="1"/>
  <c r="CE172" i="17"/>
  <c r="CK172" i="17" s="1"/>
  <c r="CW172" i="17" s="1"/>
  <c r="CX172" i="17" s="1"/>
  <c r="CG48" i="17"/>
  <c r="CM48" i="17" s="1"/>
  <c r="DA48" i="17" s="1"/>
  <c r="DB48" i="17" s="1"/>
  <c r="BE265" i="17"/>
  <c r="BM265" i="17" s="1"/>
  <c r="BE155" i="17"/>
  <c r="BM155" i="17" s="1"/>
  <c r="BE129" i="17"/>
  <c r="BM129" i="17" s="1"/>
  <c r="BE121" i="17"/>
  <c r="BM121" i="17" s="1"/>
  <c r="CF63" i="17"/>
  <c r="CL63" i="17" s="1"/>
  <c r="CY63" i="17" s="1"/>
  <c r="CZ63" i="17" s="1"/>
  <c r="BF274" i="17"/>
  <c r="BN274" i="17" s="1"/>
  <c r="BD237" i="17"/>
  <c r="BL237" i="17" s="1"/>
  <c r="BF247" i="17"/>
  <c r="BN247" i="17" s="1"/>
  <c r="BD173" i="17"/>
  <c r="BL173" i="17" s="1"/>
  <c r="BT173" i="17" s="1"/>
  <c r="CJ173" i="17" s="1"/>
  <c r="CP173" i="17" s="1"/>
  <c r="DG173" i="17" s="1"/>
  <c r="DH173" i="17" s="1"/>
  <c r="BB144" i="17"/>
  <c r="BJ144" i="17" s="1"/>
  <c r="BR144" i="17" s="1"/>
  <c r="CH144" i="17" s="1"/>
  <c r="CN144" i="17" s="1"/>
  <c r="DC144" i="17" s="1"/>
  <c r="DD144" i="17" s="1"/>
  <c r="AY284" i="17"/>
  <c r="BG284" i="17" s="1"/>
  <c r="CE284" i="17"/>
  <c r="CK284" i="17" s="1"/>
  <c r="CW284" i="17" s="1"/>
  <c r="CX284" i="17" s="1"/>
  <c r="BD279" i="17"/>
  <c r="BL279" i="17" s="1"/>
  <c r="BF130" i="17"/>
  <c r="BN130" i="17" s="1"/>
  <c r="BC211" i="17"/>
  <c r="BK211" i="17" s="1"/>
  <c r="CG211" i="17"/>
  <c r="CM211" i="17" s="1"/>
  <c r="DA211" i="17" s="1"/>
  <c r="DB211" i="17" s="1"/>
  <c r="BE126" i="17"/>
  <c r="BM126" i="17" s="1"/>
  <c r="BD166" i="17"/>
  <c r="BL166" i="17" s="1"/>
  <c r="BT166" i="17" s="1"/>
  <c r="CJ166" i="17" s="1"/>
  <c r="CP166" i="17" s="1"/>
  <c r="DG166" i="17" s="1"/>
  <c r="DH166" i="17" s="1"/>
  <c r="BB172" i="17"/>
  <c r="BJ172" i="17" s="1"/>
  <c r="CG172" i="17"/>
  <c r="CM172" i="17" s="1"/>
  <c r="DA172" i="17" s="1"/>
  <c r="DB172" i="17" s="1"/>
  <c r="BC66" i="17"/>
  <c r="BK66" i="17" s="1"/>
  <c r="AY262" i="17"/>
  <c r="BG262" i="17" s="1"/>
  <c r="BC103" i="17"/>
  <c r="BK103" i="17" s="1"/>
  <c r="CG103" i="17"/>
  <c r="CM103" i="17" s="1"/>
  <c r="DA103" i="17" s="1"/>
  <c r="DB103" i="17" s="1"/>
  <c r="BF275" i="17"/>
  <c r="BN275" i="17" s="1"/>
  <c r="BF40" i="17"/>
  <c r="BN40" i="17" s="1"/>
  <c r="BA310" i="17"/>
  <c r="BI310" i="17" s="1"/>
  <c r="CG310" i="17"/>
  <c r="CM310" i="17" s="1"/>
  <c r="DA310" i="17" s="1"/>
  <c r="DB310" i="17" s="1"/>
  <c r="AZ292" i="17"/>
  <c r="BH292" i="17" s="1"/>
  <c r="BB69" i="17"/>
  <c r="BJ69" i="17" s="1"/>
  <c r="CF69" i="17"/>
  <c r="CL69" i="17" s="1"/>
  <c r="CY69" i="17" s="1"/>
  <c r="CZ69" i="17" s="1"/>
  <c r="BF69" i="17"/>
  <c r="BN69" i="17" s="1"/>
  <c r="BC189" i="17"/>
  <c r="BK189" i="17" s="1"/>
  <c r="CG189" i="17"/>
  <c r="CM189" i="17" s="1"/>
  <c r="DA189" i="17" s="1"/>
  <c r="DB189" i="17" s="1"/>
  <c r="BD39" i="17"/>
  <c r="BL39" i="17" s="1"/>
  <c r="BT39" i="17" s="1"/>
  <c r="CJ39" i="17" s="1"/>
  <c r="CP39" i="17" s="1"/>
  <c r="DG39" i="17" s="1"/>
  <c r="DH39" i="17" s="1"/>
  <c r="AY224" i="17"/>
  <c r="BG224" i="17" s="1"/>
  <c r="CE224" i="17"/>
  <c r="CK224" i="17" s="1"/>
  <c r="CW224" i="17" s="1"/>
  <c r="CX224" i="17" s="1"/>
  <c r="BA209" i="17"/>
  <c r="BI209" i="17" s="1"/>
  <c r="CG209" i="17"/>
  <c r="CM209" i="17" s="1"/>
  <c r="DA209" i="17" s="1"/>
  <c r="DB209" i="17" s="1"/>
  <c r="BE91" i="17"/>
  <c r="BM91" i="17" s="1"/>
  <c r="AZ125" i="17"/>
  <c r="BH125" i="17" s="1"/>
  <c r="CF125" i="17"/>
  <c r="CL125" i="17" s="1"/>
  <c r="CY125" i="17" s="1"/>
  <c r="CZ125" i="17" s="1"/>
  <c r="BC61" i="17"/>
  <c r="BK61" i="17" s="1"/>
  <c r="BD61" i="17"/>
  <c r="BL61" i="17" s="1"/>
  <c r="BC36" i="17"/>
  <c r="BK36" i="17" s="1"/>
  <c r="AZ75" i="17"/>
  <c r="BH75" i="17" s="1"/>
  <c r="BB280" i="17"/>
  <c r="BJ280" i="17" s="1"/>
  <c r="BD189" i="17"/>
  <c r="BL189" i="17" s="1"/>
  <c r="BC47" i="17"/>
  <c r="BK47" i="17" s="1"/>
  <c r="CG47" i="17"/>
  <c r="CM47" i="17" s="1"/>
  <c r="DA47" i="17" s="1"/>
  <c r="DB47" i="17" s="1"/>
  <c r="BE280" i="17"/>
  <c r="BM280" i="17" s="1"/>
  <c r="AY40" i="17"/>
  <c r="BG40" i="17" s="1"/>
  <c r="CE40" i="17"/>
  <c r="CK40" i="17" s="1"/>
  <c r="CW40" i="17" s="1"/>
  <c r="CX40" i="17" s="1"/>
  <c r="CE305" i="17"/>
  <c r="CK305" i="17" s="1"/>
  <c r="CW305" i="17" s="1"/>
  <c r="CX305" i="17" s="1"/>
  <c r="CE105" i="17"/>
  <c r="CK105" i="17" s="1"/>
  <c r="CW105" i="17" s="1"/>
  <c r="CX105" i="17" s="1"/>
  <c r="CG225" i="17"/>
  <c r="CM225" i="17" s="1"/>
  <c r="DA225" i="17" s="1"/>
  <c r="DB225" i="17" s="1"/>
  <c r="CF66" i="17"/>
  <c r="CL66" i="17" s="1"/>
  <c r="CY66" i="17" s="1"/>
  <c r="CZ66" i="17" s="1"/>
  <c r="CG184" i="17"/>
  <c r="CM184" i="17" s="1"/>
  <c r="DA184" i="17" s="1"/>
  <c r="DB184" i="17" s="1"/>
  <c r="BE63" i="17"/>
  <c r="BM63" i="17" s="1"/>
  <c r="BC84" i="17"/>
  <c r="BK84" i="17" s="1"/>
  <c r="CG84" i="17"/>
  <c r="CM84" i="17" s="1"/>
  <c r="DA84" i="17" s="1"/>
  <c r="DB84" i="17" s="1"/>
  <c r="BE40" i="17"/>
  <c r="BM40" i="17" s="1"/>
  <c r="BA187" i="17"/>
  <c r="BI187" i="17" s="1"/>
  <c r="BQ187" i="17" s="1"/>
  <c r="BE115" i="17"/>
  <c r="BM115" i="17" s="1"/>
  <c r="BU115" i="17" s="1"/>
  <c r="CJ115" i="17" s="1"/>
  <c r="CP115" i="17" s="1"/>
  <c r="DG115" i="17" s="1"/>
  <c r="DH115" i="17" s="1"/>
  <c r="BC128" i="17"/>
  <c r="BK128" i="17" s="1"/>
  <c r="BB181" i="17"/>
  <c r="BJ181" i="17" s="1"/>
  <c r="CG181" i="17"/>
  <c r="CM181" i="17" s="1"/>
  <c r="DA181" i="17" s="1"/>
  <c r="DB181" i="17" s="1"/>
  <c r="BC158" i="17"/>
  <c r="BK158" i="17" s="1"/>
  <c r="AZ91" i="17"/>
  <c r="BH91" i="17" s="1"/>
  <c r="CF91" i="17"/>
  <c r="CL91" i="17" s="1"/>
  <c r="CY91" i="17" s="1"/>
  <c r="CZ91" i="17" s="1"/>
  <c r="CG72" i="17"/>
  <c r="CM72" i="17" s="1"/>
  <c r="DA72" i="17" s="1"/>
  <c r="DB72" i="17" s="1"/>
  <c r="CG157" i="17"/>
  <c r="CM157" i="17" s="1"/>
  <c r="DA157" i="17" s="1"/>
  <c r="DB157" i="17" s="1"/>
  <c r="CE73" i="17"/>
  <c r="CK73" i="17" s="1"/>
  <c r="CW73" i="17" s="1"/>
  <c r="CX73" i="17" s="1"/>
  <c r="BE147" i="17"/>
  <c r="BM147" i="17" s="1"/>
  <c r="CG63" i="17"/>
  <c r="CM63" i="17" s="1"/>
  <c r="DA63" i="17" s="1"/>
  <c r="DB63" i="17" s="1"/>
  <c r="BB151" i="17"/>
  <c r="BJ151" i="17" s="1"/>
  <c r="CG151" i="17"/>
  <c r="CM151" i="17" s="1"/>
  <c r="DA151" i="17" s="1"/>
  <c r="DB151" i="17" s="1"/>
  <c r="AZ173" i="17"/>
  <c r="BH173" i="17" s="1"/>
  <c r="CF173" i="17"/>
  <c r="CL173" i="17" s="1"/>
  <c r="CY173" i="17" s="1"/>
  <c r="CZ173" i="17" s="1"/>
  <c r="AY237" i="17"/>
  <c r="BG237" i="17" s="1"/>
  <c r="BO237" i="17" s="1"/>
  <c r="CE237" i="17" s="1"/>
  <c r="AY274" i="17"/>
  <c r="BG274" i="17" s="1"/>
  <c r="CE274" i="17"/>
  <c r="CK274" i="17" s="1"/>
  <c r="CW274" i="17" s="1"/>
  <c r="CX274" i="17" s="1"/>
  <c r="BD181" i="17"/>
  <c r="BL181" i="17" s="1"/>
  <c r="BF158" i="17"/>
  <c r="BN158" i="17" s="1"/>
  <c r="BD302" i="17"/>
  <c r="BL302" i="17" s="1"/>
  <c r="BT302" i="17" s="1"/>
  <c r="AZ59" i="17"/>
  <c r="BH59" i="17" s="1"/>
  <c r="BP59" i="17" s="1"/>
  <c r="BF125" i="17"/>
  <c r="BN125" i="17" s="1"/>
  <c r="BV125" i="17" s="1"/>
  <c r="CJ125" i="17" s="1"/>
  <c r="CP125" i="17" s="1"/>
  <c r="DG125" i="17" s="1"/>
  <c r="DH125" i="17" s="1"/>
  <c r="CE300" i="17"/>
  <c r="CK300" i="17" s="1"/>
  <c r="CW300" i="17" s="1"/>
  <c r="CX300" i="17" s="1"/>
  <c r="CG146" i="17"/>
  <c r="CM146" i="17" s="1"/>
  <c r="DA146" i="17" s="1"/>
  <c r="DB146" i="17" s="1"/>
  <c r="CE11" i="17"/>
  <c r="CG56" i="17"/>
  <c r="CM56" i="17" s="1"/>
  <c r="DA56" i="17" s="1"/>
  <c r="DB56" i="17" s="1"/>
  <c r="BD209" i="17"/>
  <c r="BL209" i="17" s="1"/>
  <c r="BD246" i="17"/>
  <c r="BL246" i="17" s="1"/>
  <c r="BA284" i="17"/>
  <c r="BI284" i="17" s="1"/>
  <c r="AY159" i="17"/>
  <c r="BG159" i="17" s="1"/>
  <c r="BF68" i="17"/>
  <c r="BN68" i="17" s="1"/>
  <c r="BD190" i="17"/>
  <c r="BL190" i="17" s="1"/>
  <c r="AY231" i="17"/>
  <c r="BG231" i="17" s="1"/>
  <c r="BE125" i="17"/>
  <c r="BM125" i="17" s="1"/>
  <c r="BC310" i="17"/>
  <c r="BK310" i="17" s="1"/>
  <c r="BF226" i="17"/>
  <c r="BN226" i="17" s="1"/>
  <c r="BC59" i="17"/>
  <c r="BK59" i="17" s="1"/>
  <c r="BF279" i="17"/>
  <c r="BN279" i="17" s="1"/>
  <c r="AZ284" i="17"/>
  <c r="BH284" i="17" s="1"/>
  <c r="BE250" i="17"/>
  <c r="BM250" i="17" s="1"/>
  <c r="BE88" i="17"/>
  <c r="BM88" i="17" s="1"/>
  <c r="BD187" i="17"/>
  <c r="BL187" i="17" s="1"/>
  <c r="BD115" i="17"/>
  <c r="BL115" i="17" s="1"/>
  <c r="BC71" i="17"/>
  <c r="BK71" i="17" s="1"/>
  <c r="BE246" i="17"/>
  <c r="BM246" i="17" s="1"/>
  <c r="AY5" i="17"/>
  <c r="BG5" i="17" s="1"/>
  <c r="AY136" i="17"/>
  <c r="BG136" i="17" s="1"/>
  <c r="BD12" i="17"/>
  <c r="BL12" i="17" s="1"/>
  <c r="AY265" i="17"/>
  <c r="BG265" i="17" s="1"/>
  <c r="BD143" i="17"/>
  <c r="BL143" i="17" s="1"/>
  <c r="BB205" i="17"/>
  <c r="BJ205" i="17" s="1"/>
  <c r="BD155" i="17"/>
  <c r="BL155" i="17" s="1"/>
  <c r="AY179" i="17"/>
  <c r="BG179" i="17" s="1"/>
  <c r="BB147" i="17"/>
  <c r="BJ147" i="17" s="1"/>
  <c r="AZ282" i="17"/>
  <c r="BH282" i="17" s="1"/>
  <c r="BC114" i="17"/>
  <c r="BK114" i="17" s="1"/>
  <c r="BA129" i="17"/>
  <c r="BI129" i="17" s="1"/>
  <c r="BF168" i="17"/>
  <c r="BN168" i="17" s="1"/>
  <c r="AZ21" i="17"/>
  <c r="BH21" i="17" s="1"/>
  <c r="BC124" i="17"/>
  <c r="BK124" i="17" s="1"/>
  <c r="BB142" i="17"/>
  <c r="BJ142" i="17" s="1"/>
  <c r="BB136" i="17"/>
  <c r="BJ136" i="17" s="1"/>
  <c r="BF12" i="17"/>
  <c r="BN12" i="17" s="1"/>
  <c r="BC265" i="17"/>
  <c r="BK265" i="17" s="1"/>
  <c r="BS265" i="17" s="1"/>
  <c r="CI265" i="17" s="1"/>
  <c r="CO265" i="17" s="1"/>
  <c r="DE265" i="17" s="1"/>
  <c r="DF265" i="17" s="1"/>
  <c r="BA143" i="17"/>
  <c r="BI143" i="17" s="1"/>
  <c r="AY155" i="17"/>
  <c r="BG155" i="17" s="1"/>
  <c r="BF179" i="17"/>
  <c r="BN179" i="17" s="1"/>
  <c r="AZ147" i="17"/>
  <c r="BH147" i="17" s="1"/>
  <c r="BA282" i="17"/>
  <c r="BI282" i="17" s="1"/>
  <c r="BF114" i="17"/>
  <c r="BN114" i="17" s="1"/>
  <c r="BD129" i="17"/>
  <c r="BL129" i="17" s="1"/>
  <c r="BA119" i="17"/>
  <c r="BI119" i="17" s="1"/>
  <c r="BC168" i="17"/>
  <c r="BK168" i="17" s="1"/>
  <c r="BA121" i="17"/>
  <c r="BI121" i="17" s="1"/>
  <c r="BD210" i="17"/>
  <c r="BL210" i="17" s="1"/>
  <c r="BT210" i="17" s="1"/>
  <c r="CJ210" i="17" s="1"/>
  <c r="CP210" i="17" s="1"/>
  <c r="DG210" i="17" s="1"/>
  <c r="DH210" i="17" s="1"/>
  <c r="BB21" i="17"/>
  <c r="BJ21" i="17" s="1"/>
  <c r="AY124" i="17"/>
  <c r="BG124" i="17" s="1"/>
  <c r="BF136" i="17"/>
  <c r="BN136" i="17" s="1"/>
  <c r="AZ12" i="17"/>
  <c r="BH12" i="17" s="1"/>
  <c r="BF265" i="17"/>
  <c r="BN265" i="17" s="1"/>
  <c r="BA205" i="17"/>
  <c r="BI205" i="17" s="1"/>
  <c r="BB155" i="17"/>
  <c r="BJ155" i="17" s="1"/>
  <c r="BB282" i="17"/>
  <c r="BJ282" i="17" s="1"/>
  <c r="BB114" i="17"/>
  <c r="BJ114" i="17" s="1"/>
  <c r="AZ129" i="17"/>
  <c r="BH129" i="17" s="1"/>
  <c r="BD119" i="17"/>
  <c r="BL119" i="17" s="1"/>
  <c r="AY168" i="17"/>
  <c r="BG168" i="17" s="1"/>
  <c r="AZ121" i="17"/>
  <c r="BH121" i="17" s="1"/>
  <c r="AZ210" i="17"/>
  <c r="BH210" i="17" s="1"/>
  <c r="BB124" i="17"/>
  <c r="BJ124" i="17" s="1"/>
  <c r="BA142" i="17"/>
  <c r="BI142" i="17" s="1"/>
  <c r="BC12" i="17"/>
  <c r="BK12" i="17" s="1"/>
  <c r="BB265" i="17"/>
  <c r="BJ265" i="17" s="1"/>
  <c r="AZ143" i="17"/>
  <c r="BH143" i="17" s="1"/>
  <c r="BD205" i="17"/>
  <c r="BL205" i="17" s="1"/>
  <c r="BF155" i="17"/>
  <c r="BN155" i="17" s="1"/>
  <c r="BA179" i="17"/>
  <c r="BI179" i="17" s="1"/>
  <c r="BA147" i="17"/>
  <c r="BI147" i="17" s="1"/>
  <c r="BF282" i="17"/>
  <c r="BN282" i="17" s="1"/>
  <c r="AY129" i="17"/>
  <c r="BG129" i="17" s="1"/>
  <c r="AZ119" i="17"/>
  <c r="BH119" i="17" s="1"/>
  <c r="BB168" i="17"/>
  <c r="BJ168" i="17" s="1"/>
  <c r="AY121" i="17"/>
  <c r="BG121" i="17" s="1"/>
  <c r="BD63" i="17"/>
  <c r="BL63" i="17" s="1"/>
  <c r="BC210" i="17"/>
  <c r="BK210" i="17" s="1"/>
  <c r="BF21" i="17"/>
  <c r="BN21" i="17" s="1"/>
  <c r="BF124" i="17"/>
  <c r="BN124" i="17" s="1"/>
  <c r="BD142" i="17"/>
  <c r="BL142" i="17" s="1"/>
  <c r="BA136" i="17"/>
  <c r="BI136" i="17" s="1"/>
  <c r="BQ136" i="17" s="1"/>
  <c r="AY12" i="17"/>
  <c r="BG12" i="17" s="1"/>
  <c r="AZ265" i="17"/>
  <c r="BH265" i="17" s="1"/>
  <c r="BC143" i="17"/>
  <c r="BK143" i="17" s="1"/>
  <c r="AZ205" i="17"/>
  <c r="BH205" i="17" s="1"/>
  <c r="BA155" i="17"/>
  <c r="BI155" i="17" s="1"/>
  <c r="BD179" i="17"/>
  <c r="BL179" i="17" s="1"/>
  <c r="BT179" i="17" s="1"/>
  <c r="CJ179" i="17" s="1"/>
  <c r="CP179" i="17" s="1"/>
  <c r="DG179" i="17" s="1"/>
  <c r="DH179" i="17" s="1"/>
  <c r="BD147" i="17"/>
  <c r="BL147" i="17" s="1"/>
  <c r="BC282" i="17"/>
  <c r="BK282" i="17" s="1"/>
  <c r="BA114" i="17"/>
  <c r="BI114" i="17" s="1"/>
  <c r="BC129" i="17"/>
  <c r="BK129" i="17" s="1"/>
  <c r="AY119" i="17"/>
  <c r="BG119" i="17" s="1"/>
  <c r="BC121" i="17"/>
  <c r="BK121" i="17" s="1"/>
  <c r="BS121" i="17" s="1"/>
  <c r="CI121" i="17" s="1"/>
  <c r="CO121" i="17" s="1"/>
  <c r="DE121" i="17" s="1"/>
  <c r="DF121" i="17" s="1"/>
  <c r="BB63" i="17"/>
  <c r="BJ63" i="17" s="1"/>
  <c r="AY210" i="17"/>
  <c r="BG210" i="17" s="1"/>
  <c r="BD21" i="17"/>
  <c r="BL21" i="17" s="1"/>
  <c r="BA124" i="17"/>
  <c r="BI124" i="17" s="1"/>
  <c r="AZ142" i="17"/>
  <c r="BH142" i="17" s="1"/>
  <c r="BD136" i="17"/>
  <c r="BL136" i="17" s="1"/>
  <c r="BA12" i="17"/>
  <c r="BI12" i="17" s="1"/>
  <c r="BD265" i="17"/>
  <c r="BL265" i="17" s="1"/>
  <c r="AY143" i="17"/>
  <c r="BG143" i="17" s="1"/>
  <c r="BF205" i="17"/>
  <c r="BN205" i="17" s="1"/>
  <c r="AZ179" i="17"/>
  <c r="BH179" i="17" s="1"/>
  <c r="AY147" i="17"/>
  <c r="BG147" i="17" s="1"/>
  <c r="BD282" i="17"/>
  <c r="BL282" i="17" s="1"/>
  <c r="BD114" i="17"/>
  <c r="BL114" i="17" s="1"/>
  <c r="BF129" i="17"/>
  <c r="BN129" i="17" s="1"/>
  <c r="BC119" i="17"/>
  <c r="BK119" i="17" s="1"/>
  <c r="BS119" i="17" s="1"/>
  <c r="CI119" i="17" s="1"/>
  <c r="CO119" i="17" s="1"/>
  <c r="DE119" i="17" s="1"/>
  <c r="DF119" i="17" s="1"/>
  <c r="BA168" i="17"/>
  <c r="BI168" i="17" s="1"/>
  <c r="BF121" i="17"/>
  <c r="BN121" i="17" s="1"/>
  <c r="BF63" i="17"/>
  <c r="BN63" i="17" s="1"/>
  <c r="BB210" i="17"/>
  <c r="BJ210" i="17" s="1"/>
  <c r="BA21" i="17"/>
  <c r="BI21" i="17" s="1"/>
  <c r="BC142" i="17"/>
  <c r="BK142" i="17" s="1"/>
  <c r="AZ136" i="17"/>
  <c r="BH136" i="17" s="1"/>
  <c r="BB143" i="17"/>
  <c r="BJ143" i="17" s="1"/>
  <c r="BC205" i="17"/>
  <c r="BK205" i="17" s="1"/>
  <c r="BS205" i="17" s="1"/>
  <c r="CI205" i="17" s="1"/>
  <c r="CO205" i="17" s="1"/>
  <c r="DE205" i="17" s="1"/>
  <c r="DF205" i="17" s="1"/>
  <c r="BC155" i="17"/>
  <c r="BK155" i="17" s="1"/>
  <c r="BB179" i="17"/>
  <c r="BJ179" i="17" s="1"/>
  <c r="BC147" i="17"/>
  <c r="BK147" i="17" s="1"/>
  <c r="AZ114" i="17"/>
  <c r="BH114" i="17" s="1"/>
  <c r="BP114" i="17" s="1"/>
  <c r="BB129" i="17"/>
  <c r="BJ129" i="17" s="1"/>
  <c r="BF119" i="17"/>
  <c r="BN119" i="17" s="1"/>
  <c r="BD168" i="17"/>
  <c r="BL168" i="17" s="1"/>
  <c r="BB121" i="17"/>
  <c r="BJ121" i="17" s="1"/>
  <c r="BF210" i="17"/>
  <c r="BN210" i="17" s="1"/>
  <c r="BC21" i="17"/>
  <c r="BK21" i="17" s="1"/>
  <c r="AZ124" i="17"/>
  <c r="BH124" i="17" s="1"/>
  <c r="AY142" i="17"/>
  <c r="BG142" i="17" s="1"/>
  <c r="BC136" i="17"/>
  <c r="BK136" i="17" s="1"/>
  <c r="BB12" i="17"/>
  <c r="BJ12" i="17" s="1"/>
  <c r="BA265" i="17"/>
  <c r="BI265" i="17" s="1"/>
  <c r="BF143" i="17"/>
  <c r="BN143" i="17" s="1"/>
  <c r="AY205" i="17"/>
  <c r="BG205" i="17" s="1"/>
  <c r="AZ155" i="17"/>
  <c r="BH155" i="17" s="1"/>
  <c r="BC179" i="17"/>
  <c r="BK179" i="17" s="1"/>
  <c r="BF147" i="17"/>
  <c r="BN147" i="17" s="1"/>
  <c r="AY282" i="17"/>
  <c r="BG282" i="17" s="1"/>
  <c r="AY114" i="17"/>
  <c r="BG114" i="17" s="1"/>
  <c r="BB119" i="17"/>
  <c r="BJ119" i="17" s="1"/>
  <c r="AZ168" i="17"/>
  <c r="BH168" i="17" s="1"/>
  <c r="BD121" i="17"/>
  <c r="BL121" i="17" s="1"/>
  <c r="BC63" i="17"/>
  <c r="BK63" i="17" s="1"/>
  <c r="BA210" i="17"/>
  <c r="BI210" i="17" s="1"/>
  <c r="AY21" i="17"/>
  <c r="BG21" i="17" s="1"/>
  <c r="BD124" i="17"/>
  <c r="BL124" i="17" s="1"/>
  <c r="BF142" i="17"/>
  <c r="BN142" i="17" s="1"/>
  <c r="CG46" i="17" l="1"/>
  <c r="CM46" i="17" s="1"/>
  <c r="DA46" i="17" s="1"/>
  <c r="DB46" i="17" s="1"/>
  <c r="CF46" i="17"/>
  <c r="CL46" i="17" s="1"/>
  <c r="CY46" i="17" s="1"/>
  <c r="CZ46" i="17" s="1"/>
  <c r="CI46" i="17"/>
  <c r="CO46" i="17" s="1"/>
  <c r="DE46" i="17" s="1"/>
  <c r="DF46" i="17" s="1"/>
  <c r="CJ45" i="17"/>
  <c r="CP45" i="17" s="1"/>
  <c r="DG45" i="17" s="1"/>
  <c r="DH45" i="17" s="1"/>
  <c r="CE45" i="17"/>
  <c r="CK45" i="17" s="1"/>
  <c r="CW45" i="17" s="1"/>
  <c r="CX45" i="17" s="1"/>
  <c r="CG40" i="17"/>
  <c r="CM40" i="17" s="1"/>
  <c r="DA40" i="17" s="1"/>
  <c r="DB40" i="17" s="1"/>
  <c r="CF317" i="17"/>
  <c r="CL317" i="17" s="1"/>
  <c r="CY317" i="17" s="1"/>
  <c r="CZ317" i="17" s="1"/>
  <c r="CF165" i="17"/>
  <c r="CL165" i="17" s="1"/>
  <c r="CY165" i="17" s="1"/>
  <c r="CZ165" i="17" s="1"/>
  <c r="CE317" i="17"/>
  <c r="CK317" i="17" s="1"/>
  <c r="CW317" i="17" s="1"/>
  <c r="CX317" i="17" s="1"/>
  <c r="CE234" i="17"/>
  <c r="CK234" i="17" s="1"/>
  <c r="CW234" i="17" s="1"/>
  <c r="CX234" i="17" s="1"/>
  <c r="CE223" i="17"/>
  <c r="CK223" i="17" s="1"/>
  <c r="CW223" i="17" s="1"/>
  <c r="CX223" i="17" s="1"/>
  <c r="CE192" i="17"/>
  <c r="CK192" i="17" s="1"/>
  <c r="CW192" i="17" s="1"/>
  <c r="CX192" i="17" s="1"/>
  <c r="CH16" i="17"/>
  <c r="CN16" i="17" s="1"/>
  <c r="DC16" i="17" s="1"/>
  <c r="DD16" i="17" s="1"/>
  <c r="CH29" i="17"/>
  <c r="CN29" i="17" s="1"/>
  <c r="DC29" i="17" s="1"/>
  <c r="DD29" i="17" s="1"/>
  <c r="CH183" i="17"/>
  <c r="CN183" i="17" s="1"/>
  <c r="DC183" i="17" s="1"/>
  <c r="DD183" i="17" s="1"/>
  <c r="CK11" i="17"/>
  <c r="Q16" i="39"/>
  <c r="R16" i="39" s="1"/>
  <c r="U16" i="39" s="1"/>
  <c r="C18" i="35" s="1"/>
  <c r="CI303" i="17"/>
  <c r="CO303" i="17" s="1"/>
  <c r="DE303" i="17" s="1"/>
  <c r="DF303" i="17" s="1"/>
  <c r="CJ165" i="17"/>
  <c r="CP165" i="17" s="1"/>
  <c r="DG165" i="17" s="1"/>
  <c r="DH165" i="17" s="1"/>
  <c r="CI52" i="17"/>
  <c r="CO52" i="17" s="1"/>
  <c r="DE52" i="17" s="1"/>
  <c r="DF52" i="17" s="1"/>
  <c r="CJ303" i="17"/>
  <c r="CP303" i="17" s="1"/>
  <c r="DG303" i="17" s="1"/>
  <c r="DH303" i="17" s="1"/>
  <c r="DF17" i="17"/>
  <c r="Q20" i="39"/>
  <c r="R20" i="39" s="1"/>
  <c r="U20" i="39" s="1"/>
  <c r="V20" i="39" s="1"/>
  <c r="M20" i="39"/>
  <c r="M15" i="39"/>
  <c r="M18" i="39"/>
  <c r="M17" i="39"/>
  <c r="M19" i="39"/>
  <c r="M14" i="39"/>
  <c r="M12" i="39"/>
  <c r="L12" i="39"/>
  <c r="L16" i="39"/>
  <c r="M13" i="39"/>
  <c r="CJ35" i="17"/>
  <c r="CP35" i="17" s="1"/>
  <c r="DG35" i="17" s="1"/>
  <c r="CJ16" i="17"/>
  <c r="CP16" i="17" s="1"/>
  <c r="DG16" i="17" s="1"/>
  <c r="DH16" i="17" s="1"/>
  <c r="CJ80" i="17"/>
  <c r="CP80" i="17" s="1"/>
  <c r="DG80" i="17" s="1"/>
  <c r="DH80" i="17" s="1"/>
  <c r="CJ52" i="17"/>
  <c r="CP52" i="17" s="1"/>
  <c r="DG52" i="17" s="1"/>
  <c r="DH52" i="17" s="1"/>
  <c r="CJ99" i="17"/>
  <c r="CP99" i="17" s="1"/>
  <c r="DG99" i="17" s="1"/>
  <c r="DH99" i="17" s="1"/>
  <c r="CJ234" i="17"/>
  <c r="CP234" i="17" s="1"/>
  <c r="DG234" i="17" s="1"/>
  <c r="DH234" i="17" s="1"/>
  <c r="CJ204" i="17"/>
  <c r="CP204" i="17" s="1"/>
  <c r="DG204" i="17" s="1"/>
  <c r="DH204" i="17" s="1"/>
  <c r="CJ192" i="17"/>
  <c r="CP192" i="17" s="1"/>
  <c r="DG192" i="17" s="1"/>
  <c r="DH192" i="17" s="1"/>
  <c r="CJ217" i="17"/>
  <c r="CP217" i="17" s="1"/>
  <c r="DG217" i="17" s="1"/>
  <c r="DH217" i="17" s="1"/>
  <c r="CJ29" i="17"/>
  <c r="CP29" i="17" s="1"/>
  <c r="DG29" i="17" s="1"/>
  <c r="DH29" i="17" s="1"/>
  <c r="CJ183" i="17"/>
  <c r="CP183" i="17" s="1"/>
  <c r="DG183" i="17" s="1"/>
  <c r="DH183" i="17" s="1"/>
  <c r="CJ143" i="17"/>
  <c r="CP143" i="17" s="1"/>
  <c r="DG143" i="17" s="1"/>
  <c r="DH143" i="17" s="1"/>
  <c r="CH302" i="17"/>
  <c r="CN302" i="17" s="1"/>
  <c r="DC302" i="17" s="1"/>
  <c r="DD302" i="17" s="1"/>
  <c r="CJ302" i="17"/>
  <c r="CP302" i="17" s="1"/>
  <c r="DG302" i="17" s="1"/>
  <c r="DH302" i="17" s="1"/>
  <c r="CJ200" i="17"/>
  <c r="CP200" i="17" s="1"/>
  <c r="DG200" i="17" s="1"/>
  <c r="DH200" i="17" s="1"/>
  <c r="CH80" i="17"/>
  <c r="CN80" i="17" s="1"/>
  <c r="DC80" i="17" s="1"/>
  <c r="DD80" i="17" s="1"/>
  <c r="CH85" i="17"/>
  <c r="CN85" i="17" s="1"/>
  <c r="DC85" i="17" s="1"/>
  <c r="DD85" i="17" s="1"/>
  <c r="CI80" i="17"/>
  <c r="CO80" i="17" s="1"/>
  <c r="DE80" i="17" s="1"/>
  <c r="DF80" i="17" s="1"/>
  <c r="CH99" i="17"/>
  <c r="CN99" i="17" s="1"/>
  <c r="DC99" i="17" s="1"/>
  <c r="DD99" i="17" s="1"/>
  <c r="CH192" i="17"/>
  <c r="CN192" i="17" s="1"/>
  <c r="DC192" i="17" s="1"/>
  <c r="DD192" i="17" s="1"/>
  <c r="CI28" i="17"/>
  <c r="CO28" i="17" s="1"/>
  <c r="DE28" i="17" s="1"/>
  <c r="DF28" i="17" s="1"/>
  <c r="CH165" i="17"/>
  <c r="CN165" i="17" s="1"/>
  <c r="DC165" i="17" s="1"/>
  <c r="DD165" i="17" s="1"/>
  <c r="CI192" i="17"/>
  <c r="CO192" i="17" s="1"/>
  <c r="DE192" i="17" s="1"/>
  <c r="DF192" i="17" s="1"/>
  <c r="CH28" i="17"/>
  <c r="CN28" i="17" s="1"/>
  <c r="DC28" i="17" s="1"/>
  <c r="DD28" i="17" s="1"/>
  <c r="CI166" i="17"/>
  <c r="CO166" i="17" s="1"/>
  <c r="DE166" i="17" s="1"/>
  <c r="DF166" i="17" s="1"/>
  <c r="CG215" i="17"/>
  <c r="CM215" i="17" s="1"/>
  <c r="DA215" i="17" s="1"/>
  <c r="DB215" i="17" s="1"/>
  <c r="CH215" i="17"/>
  <c r="CN215" i="17" s="1"/>
  <c r="DC215" i="17" s="1"/>
  <c r="DD215" i="17" s="1"/>
  <c r="CH52" i="17"/>
  <c r="CN52" i="17" s="1"/>
  <c r="DC52" i="17" s="1"/>
  <c r="DD52" i="17" s="1"/>
  <c r="CI226" i="17"/>
  <c r="CO226" i="17" s="1"/>
  <c r="DE226" i="17" s="1"/>
  <c r="DF226" i="17" s="1"/>
  <c r="CF50" i="17"/>
  <c r="CL50" i="17" s="1"/>
  <c r="CY50" i="17" s="1"/>
  <c r="CZ50" i="17" s="1"/>
  <c r="CH50" i="17"/>
  <c r="CN50" i="17" s="1"/>
  <c r="DC50" i="17" s="1"/>
  <c r="DD50" i="17" s="1"/>
  <c r="CH303" i="17"/>
  <c r="CN303" i="17" s="1"/>
  <c r="DC303" i="17" s="1"/>
  <c r="DD303" i="17" s="1"/>
  <c r="CI257" i="17"/>
  <c r="CO257" i="17" s="1"/>
  <c r="DE257" i="17" s="1"/>
  <c r="DF257" i="17" s="1"/>
  <c r="CH31" i="17"/>
  <c r="CN31" i="17" s="1"/>
  <c r="DC31" i="17" s="1"/>
  <c r="DD31" i="17" s="1"/>
  <c r="CH205" i="17"/>
  <c r="CN205" i="17" s="1"/>
  <c r="DC205" i="17" s="1"/>
  <c r="DD205" i="17" s="1"/>
  <c r="CI210" i="17"/>
  <c r="CO210" i="17" s="1"/>
  <c r="DE210" i="17" s="1"/>
  <c r="DF210" i="17" s="1"/>
  <c r="CI173" i="17"/>
  <c r="CO173" i="17" s="1"/>
  <c r="DE173" i="17" s="1"/>
  <c r="DF173" i="17" s="1"/>
  <c r="CI282" i="17"/>
  <c r="CO282" i="17" s="1"/>
  <c r="DE282" i="17" s="1"/>
  <c r="DF282" i="17" s="1"/>
  <c r="CI159" i="17"/>
  <c r="CO159" i="17" s="1"/>
  <c r="DE159" i="17" s="1"/>
  <c r="DF159" i="17" s="1"/>
  <c r="CH159" i="17"/>
  <c r="CN159" i="17" s="1"/>
  <c r="DC159" i="17" s="1"/>
  <c r="DD159" i="17" s="1"/>
  <c r="CE99" i="17"/>
  <c r="CK99" i="17" s="1"/>
  <c r="CW99" i="17" s="1"/>
  <c r="CX99" i="17" s="1"/>
  <c r="CG233" i="17"/>
  <c r="CM233" i="17" s="1"/>
  <c r="DA233" i="17" s="1"/>
  <c r="DB233" i="17" s="1"/>
  <c r="CH233" i="17"/>
  <c r="CN233" i="17" s="1"/>
  <c r="DC233" i="17" s="1"/>
  <c r="DD233" i="17" s="1"/>
  <c r="CG68" i="17"/>
  <c r="CM68" i="17" s="1"/>
  <c r="DA68" i="17" s="1"/>
  <c r="DB68" i="17" s="1"/>
  <c r="CH68" i="17"/>
  <c r="CN68" i="17" s="1"/>
  <c r="DC68" i="17" s="1"/>
  <c r="DD68" i="17" s="1"/>
  <c r="CG85" i="17"/>
  <c r="CM85" i="17" s="1"/>
  <c r="DA85" i="17" s="1"/>
  <c r="DB85" i="17" s="1"/>
  <c r="CI85" i="17"/>
  <c r="CO85" i="17" s="1"/>
  <c r="DE85" i="17" s="1"/>
  <c r="DF85" i="17" s="1"/>
  <c r="CI16" i="17"/>
  <c r="CO16" i="17" s="1"/>
  <c r="DE16" i="17" s="1"/>
  <c r="DF16" i="17" s="1"/>
  <c r="CI165" i="17"/>
  <c r="CO165" i="17" s="1"/>
  <c r="DE165" i="17" s="1"/>
  <c r="DF165" i="17" s="1"/>
  <c r="CH39" i="17"/>
  <c r="CN39" i="17" s="1"/>
  <c r="DC39" i="17" s="1"/>
  <c r="DD39" i="17" s="1"/>
  <c r="CH96" i="17"/>
  <c r="CN96" i="17" s="1"/>
  <c r="DC96" i="17" s="1"/>
  <c r="DD96" i="17" s="1"/>
  <c r="CH210" i="17"/>
  <c r="CN210" i="17" s="1"/>
  <c r="DC210" i="17" s="1"/>
  <c r="DD210" i="17" s="1"/>
  <c r="CI39" i="17"/>
  <c r="CO39" i="17" s="1"/>
  <c r="DE39" i="17" s="1"/>
  <c r="DF39" i="17" s="1"/>
  <c r="CI234" i="17"/>
  <c r="CO234" i="17" s="1"/>
  <c r="DE234" i="17" s="1"/>
  <c r="DF234" i="17" s="1"/>
  <c r="CI99" i="17"/>
  <c r="CO99" i="17" s="1"/>
  <c r="DE99" i="17" s="1"/>
  <c r="DF99" i="17" s="1"/>
  <c r="CF229" i="17"/>
  <c r="CL229" i="17" s="1"/>
  <c r="CY229" i="17" s="1"/>
  <c r="CZ229" i="17" s="1"/>
  <c r="CH229" i="17"/>
  <c r="CN229" i="17" s="1"/>
  <c r="DC229" i="17" s="1"/>
  <c r="DD229" i="17" s="1"/>
  <c r="CH234" i="17"/>
  <c r="CN234" i="17" s="1"/>
  <c r="DC234" i="17" s="1"/>
  <c r="DD234" i="17" s="1"/>
  <c r="CH166" i="17"/>
  <c r="CN166" i="17" s="1"/>
  <c r="DC166" i="17" s="1"/>
  <c r="DD166" i="17" s="1"/>
  <c r="CH268" i="17"/>
  <c r="CN268" i="17" s="1"/>
  <c r="DC268" i="17" s="1"/>
  <c r="DD268" i="17" s="1"/>
  <c r="CH121" i="17"/>
  <c r="CN121" i="17" s="1"/>
  <c r="DC121" i="17" s="1"/>
  <c r="DD121" i="17" s="1"/>
  <c r="CI302" i="17"/>
  <c r="CO302" i="17" s="1"/>
  <c r="DE302" i="17" s="1"/>
  <c r="DF302" i="17" s="1"/>
  <c r="CI266" i="17"/>
  <c r="CO266" i="17" s="1"/>
  <c r="DE266" i="17" s="1"/>
  <c r="DF266" i="17" s="1"/>
  <c r="CH266" i="17"/>
  <c r="CN266" i="17" s="1"/>
  <c r="DC266" i="17" s="1"/>
  <c r="DD266" i="17" s="1"/>
  <c r="CG214" i="17"/>
  <c r="CM214" i="17" s="1"/>
  <c r="DA214" i="17" s="1"/>
  <c r="DB214" i="17" s="1"/>
  <c r="CH214" i="17"/>
  <c r="CN214" i="17" s="1"/>
  <c r="DC214" i="17" s="1"/>
  <c r="DD214" i="17" s="1"/>
  <c r="CI220" i="17"/>
  <c r="CO220" i="17" s="1"/>
  <c r="DE220" i="17" s="1"/>
  <c r="DF220" i="17" s="1"/>
  <c r="CI179" i="17"/>
  <c r="CO179" i="17" s="1"/>
  <c r="DE179" i="17" s="1"/>
  <c r="DF179" i="17" s="1"/>
  <c r="CH173" i="17"/>
  <c r="CN173" i="17" s="1"/>
  <c r="DC173" i="17" s="1"/>
  <c r="DD173" i="17" s="1"/>
  <c r="CI29" i="17"/>
  <c r="CO29" i="17" s="1"/>
  <c r="DE29" i="17" s="1"/>
  <c r="DF29" i="17" s="1"/>
  <c r="CH265" i="17"/>
  <c r="CN265" i="17" s="1"/>
  <c r="DC265" i="17" s="1"/>
  <c r="DD265" i="17" s="1"/>
  <c r="CH69" i="17"/>
  <c r="CN69" i="17" s="1"/>
  <c r="DC69" i="17" s="1"/>
  <c r="DD69" i="17" s="1"/>
  <c r="CI206" i="17"/>
  <c r="CO206" i="17" s="1"/>
  <c r="DE206" i="17" s="1"/>
  <c r="DF206" i="17" s="1"/>
  <c r="CI115" i="17"/>
  <c r="CO115" i="17" s="1"/>
  <c r="DE115" i="17" s="1"/>
  <c r="DF115" i="17" s="1"/>
  <c r="CH226" i="17"/>
  <c r="CN226" i="17" s="1"/>
  <c r="DC226" i="17" s="1"/>
  <c r="DD226" i="17" s="1"/>
  <c r="CI196" i="17"/>
  <c r="CO196" i="17" s="1"/>
  <c r="DE196" i="17" s="1"/>
  <c r="DF196" i="17" s="1"/>
  <c r="CH206" i="17"/>
  <c r="CN206" i="17" s="1"/>
  <c r="DC206" i="17" s="1"/>
  <c r="DD206" i="17" s="1"/>
  <c r="CH161" i="17"/>
  <c r="CN161" i="17" s="1"/>
  <c r="DC161" i="17" s="1"/>
  <c r="DD161" i="17" s="1"/>
  <c r="CG101" i="17"/>
  <c r="CM101" i="17" s="1"/>
  <c r="DA101" i="17" s="1"/>
  <c r="DB101" i="17" s="1"/>
  <c r="CH101" i="17"/>
  <c r="CN101" i="17" s="1"/>
  <c r="DC101" i="17" s="1"/>
  <c r="DD101" i="17" s="1"/>
  <c r="CG293" i="17"/>
  <c r="CM293" i="17" s="1"/>
  <c r="DA293" i="17" s="1"/>
  <c r="DB293" i="17" s="1"/>
  <c r="CI293" i="17"/>
  <c r="CO293" i="17" s="1"/>
  <c r="DE293" i="17" s="1"/>
  <c r="DF293" i="17" s="1"/>
  <c r="CH179" i="17"/>
  <c r="CN179" i="17" s="1"/>
  <c r="DC179" i="17" s="1"/>
  <c r="DD179" i="17" s="1"/>
  <c r="CH220" i="17"/>
  <c r="CN220" i="17" s="1"/>
  <c r="DC220" i="17" s="1"/>
  <c r="DD220" i="17" s="1"/>
  <c r="CH47" i="17"/>
  <c r="CN47" i="17" s="1"/>
  <c r="DC47" i="17" s="1"/>
  <c r="DD47" i="17" s="1"/>
  <c r="CG169" i="17"/>
  <c r="CM169" i="17" s="1"/>
  <c r="DA169" i="17" s="1"/>
  <c r="DB169" i="17" s="1"/>
  <c r="CI169" i="17"/>
  <c r="CO169" i="17" s="1"/>
  <c r="DE169" i="17" s="1"/>
  <c r="DF169" i="17" s="1"/>
  <c r="CH169" i="17"/>
  <c r="CN169" i="17" s="1"/>
  <c r="DC169" i="17" s="1"/>
  <c r="DD169" i="17" s="1"/>
  <c r="CH7" i="17"/>
  <c r="CN7" i="17" s="1"/>
  <c r="DC7" i="17" s="1"/>
  <c r="DD7" i="17" s="1"/>
  <c r="CH35" i="17"/>
  <c r="CN35" i="17" s="1"/>
  <c r="DC35" i="17" s="1"/>
  <c r="DD35" i="17" s="1"/>
  <c r="CG311" i="17"/>
  <c r="CM311" i="17" s="1"/>
  <c r="DA311" i="17" s="1"/>
  <c r="DB311" i="17" s="1"/>
  <c r="CI311" i="17"/>
  <c r="CO311" i="17" s="1"/>
  <c r="DE311" i="17" s="1"/>
  <c r="DF311" i="17" s="1"/>
  <c r="CH311" i="17"/>
  <c r="CN311" i="17" s="1"/>
  <c r="DC311" i="17" s="1"/>
  <c r="DD311" i="17" s="1"/>
  <c r="CI35" i="17"/>
  <c r="CO35" i="17" s="1"/>
  <c r="DE35" i="17" s="1"/>
  <c r="DF35" i="17" s="1"/>
  <c r="CI68" i="17"/>
  <c r="CO68" i="17" s="1"/>
  <c r="DE68" i="17" s="1"/>
  <c r="DF68" i="17" s="1"/>
  <c r="CI88" i="17"/>
  <c r="CO88" i="17" s="1"/>
  <c r="DE88" i="17" s="1"/>
  <c r="DF88" i="17" s="1"/>
  <c r="CH88" i="17"/>
  <c r="CN88" i="17" s="1"/>
  <c r="DC88" i="17" s="1"/>
  <c r="DD88" i="17" s="1"/>
  <c r="CH119" i="17"/>
  <c r="CN119" i="17" s="1"/>
  <c r="DC119" i="17" s="1"/>
  <c r="DD119" i="17" s="1"/>
  <c r="CG275" i="17"/>
  <c r="CM275" i="17" s="1"/>
  <c r="DA275" i="17" s="1"/>
  <c r="DB275" i="17" s="1"/>
  <c r="CI275" i="17"/>
  <c r="CO275" i="17" s="1"/>
  <c r="DE275" i="17" s="1"/>
  <c r="DF275" i="17" s="1"/>
  <c r="CI183" i="17"/>
  <c r="CO183" i="17" s="1"/>
  <c r="DE183" i="17" s="1"/>
  <c r="DF183" i="17" s="1"/>
  <c r="CI268" i="17"/>
  <c r="CO268" i="17" s="1"/>
  <c r="DE268" i="17" s="1"/>
  <c r="DF268" i="17" s="1"/>
  <c r="CI96" i="17"/>
  <c r="CO96" i="17" s="1"/>
  <c r="DE96" i="17" s="1"/>
  <c r="DF96" i="17" s="1"/>
  <c r="CI47" i="17"/>
  <c r="CO47" i="17" s="1"/>
  <c r="DE47" i="17" s="1"/>
  <c r="DF47" i="17" s="1"/>
  <c r="CH188" i="17"/>
  <c r="CN188" i="17" s="1"/>
  <c r="DC188" i="17" s="1"/>
  <c r="DD188" i="17" s="1"/>
  <c r="CF99" i="17"/>
  <c r="CL99" i="17" s="1"/>
  <c r="CY99" i="17" s="1"/>
  <c r="CZ99" i="17" s="1"/>
  <c r="CG223" i="17"/>
  <c r="CM223" i="17" s="1"/>
  <c r="DA223" i="17" s="1"/>
  <c r="DB223" i="17" s="1"/>
  <c r="CG165" i="17"/>
  <c r="CM165" i="17" s="1"/>
  <c r="DA165" i="17" s="1"/>
  <c r="DB165" i="17" s="1"/>
  <c r="CF101" i="17"/>
  <c r="CL101" i="17" s="1"/>
  <c r="CY101" i="17" s="1"/>
  <c r="CZ101" i="17" s="1"/>
  <c r="CF35" i="17"/>
  <c r="CL35" i="17" s="1"/>
  <c r="CY35" i="17" s="1"/>
  <c r="CZ35" i="17" s="1"/>
  <c r="CF303" i="17"/>
  <c r="CL303" i="17" s="1"/>
  <c r="CY303" i="17" s="1"/>
  <c r="CZ303" i="17" s="1"/>
  <c r="CE222" i="17"/>
  <c r="CK222" i="17" s="1"/>
  <c r="CW222" i="17" s="1"/>
  <c r="CX222" i="17" s="1"/>
  <c r="CF16" i="17"/>
  <c r="CL16" i="17" s="1"/>
  <c r="CY16" i="17" s="1"/>
  <c r="CZ16" i="17" s="1"/>
  <c r="CE52" i="17"/>
  <c r="CK52" i="17" s="1"/>
  <c r="CW52" i="17" s="1"/>
  <c r="CX52" i="17" s="1"/>
  <c r="CF234" i="17"/>
  <c r="CL234" i="17" s="1"/>
  <c r="CY234" i="17" s="1"/>
  <c r="CZ234" i="17" s="1"/>
  <c r="CG192" i="17"/>
  <c r="CM192" i="17" s="1"/>
  <c r="DA192" i="17" s="1"/>
  <c r="DB192" i="17" s="1"/>
  <c r="CF276" i="17"/>
  <c r="CL276" i="17" s="1"/>
  <c r="CY276" i="17" s="1"/>
  <c r="CZ276" i="17" s="1"/>
  <c r="CG7" i="17"/>
  <c r="CM7" i="17" s="1"/>
  <c r="DA7" i="17" s="1"/>
  <c r="DB7" i="17" s="1"/>
  <c r="CE276" i="17"/>
  <c r="CK276" i="17" s="1"/>
  <c r="CW276" i="17" s="1"/>
  <c r="CX276" i="17" s="1"/>
  <c r="CF80" i="17"/>
  <c r="CL80" i="17" s="1"/>
  <c r="CY80" i="17" s="1"/>
  <c r="CZ80" i="17" s="1"/>
  <c r="CE35" i="17"/>
  <c r="CK35" i="17" s="1"/>
  <c r="CW35" i="17" s="1"/>
  <c r="CX35" i="17" s="1"/>
  <c r="CF214" i="17"/>
  <c r="CL214" i="17" s="1"/>
  <c r="CY214" i="17" s="1"/>
  <c r="CZ214" i="17" s="1"/>
  <c r="CG80" i="17"/>
  <c r="CM80" i="17" s="1"/>
  <c r="DA80" i="17" s="1"/>
  <c r="DB80" i="17" s="1"/>
  <c r="CE165" i="17"/>
  <c r="CK165" i="17" s="1"/>
  <c r="CW165" i="17" s="1"/>
  <c r="CX165" i="17" s="1"/>
  <c r="CG99" i="17"/>
  <c r="CM99" i="17" s="1"/>
  <c r="DA99" i="17" s="1"/>
  <c r="DB99" i="17" s="1"/>
  <c r="CF200" i="17"/>
  <c r="CL200" i="17" s="1"/>
  <c r="CY200" i="17" s="1"/>
  <c r="CZ200" i="17" s="1"/>
  <c r="CE200" i="17"/>
  <c r="CK200" i="17" s="1"/>
  <c r="CW200" i="17" s="1"/>
  <c r="CX200" i="17" s="1"/>
  <c r="CF270" i="17"/>
  <c r="CL270" i="17" s="1"/>
  <c r="CY270" i="17" s="1"/>
  <c r="CZ270" i="17" s="1"/>
  <c r="C91" i="32"/>
  <c r="CG35" i="17"/>
  <c r="CM35" i="17" s="1"/>
  <c r="DA35" i="17" s="1"/>
  <c r="DB35" i="17" s="1"/>
  <c r="CF7" i="17"/>
  <c r="CL7" i="17" s="1"/>
  <c r="CY7" i="17" s="1"/>
  <c r="CZ7" i="17" s="1"/>
  <c r="CE303" i="17"/>
  <c r="CK303" i="17" s="1"/>
  <c r="CW303" i="17" s="1"/>
  <c r="CX303" i="17" s="1"/>
  <c r="CF85" i="17"/>
  <c r="CL85" i="17" s="1"/>
  <c r="CY85" i="17" s="1"/>
  <c r="CZ85" i="17" s="1"/>
  <c r="CE85" i="17"/>
  <c r="CK85" i="17" s="1"/>
  <c r="CW85" i="17" s="1"/>
  <c r="CX85" i="17" s="1"/>
  <c r="CG270" i="17"/>
  <c r="CM270" i="17" s="1"/>
  <c r="DA270" i="17" s="1"/>
  <c r="DB270" i="17" s="1"/>
  <c r="CG29" i="17"/>
  <c r="CM29" i="17" s="1"/>
  <c r="DA29" i="17" s="1"/>
  <c r="DB29" i="17" s="1"/>
  <c r="CG52" i="17"/>
  <c r="CM52" i="17" s="1"/>
  <c r="DA52" i="17" s="1"/>
  <c r="DB52" i="17" s="1"/>
  <c r="CG234" i="17"/>
  <c r="CM234" i="17" s="1"/>
  <c r="DA234" i="17" s="1"/>
  <c r="DB234" i="17" s="1"/>
  <c r="CE29" i="17"/>
  <c r="CK29" i="17" s="1"/>
  <c r="CW29" i="17" s="1"/>
  <c r="CX29" i="17" s="1"/>
  <c r="CF52" i="17"/>
  <c r="CL52" i="17" s="1"/>
  <c r="CY52" i="17" s="1"/>
  <c r="CZ52" i="17" s="1"/>
  <c r="CG303" i="17"/>
  <c r="CM303" i="17" s="1"/>
  <c r="DA303" i="17" s="1"/>
  <c r="DB303" i="17" s="1"/>
  <c r="CF29" i="17"/>
  <c r="CL29" i="17" s="1"/>
  <c r="CY29" i="17" s="1"/>
  <c r="CZ29" i="17" s="1"/>
  <c r="CE80" i="17"/>
  <c r="CK80" i="17" s="1"/>
  <c r="CW80" i="17" s="1"/>
  <c r="CX80" i="17" s="1"/>
  <c r="CE7" i="17"/>
  <c r="CK7" i="17" s="1"/>
  <c r="CW7" i="17" s="1"/>
  <c r="CX7" i="17" s="1"/>
  <c r="CE183" i="17"/>
  <c r="CK183" i="17" s="1"/>
  <c r="CW183" i="17" s="1"/>
  <c r="CX183" i="17" s="1"/>
  <c r="CG16" i="17"/>
  <c r="CM16" i="17" s="1"/>
  <c r="DA16" i="17" s="1"/>
  <c r="DB16" i="17" s="1"/>
  <c r="CF192" i="17"/>
  <c r="CL192" i="17" s="1"/>
  <c r="CY192" i="17" s="1"/>
  <c r="CZ192" i="17" s="1"/>
  <c r="CE16" i="17"/>
  <c r="CK16" i="17" s="1"/>
  <c r="CW16" i="17" s="1"/>
  <c r="CX16" i="17" s="1"/>
  <c r="CG112" i="17"/>
  <c r="CM112" i="17" s="1"/>
  <c r="DA112" i="17" s="1"/>
  <c r="DB112" i="17" s="1"/>
  <c r="CF75" i="17"/>
  <c r="CL75" i="17" s="1"/>
  <c r="CY75" i="17" s="1"/>
  <c r="CZ75" i="17" s="1"/>
  <c r="CF112" i="17"/>
  <c r="CL112" i="17" s="1"/>
  <c r="CY112" i="17" s="1"/>
  <c r="CZ112" i="17" s="1"/>
  <c r="CF315" i="17"/>
  <c r="CL315" i="17" s="1"/>
  <c r="CY315" i="17" s="1"/>
  <c r="CZ315" i="17" s="1"/>
  <c r="CF109" i="17"/>
  <c r="CL109" i="17" s="1"/>
  <c r="CY109" i="17" s="1"/>
  <c r="CZ109" i="17" s="1"/>
  <c r="CE36" i="17"/>
  <c r="CK36" i="17" s="1"/>
  <c r="CW36" i="17" s="1"/>
  <c r="CX36" i="17" s="1"/>
  <c r="CG126" i="17"/>
  <c r="CM126" i="17" s="1"/>
  <c r="DA126" i="17" s="1"/>
  <c r="DB126" i="17" s="1"/>
  <c r="CF274" i="17"/>
  <c r="CL274" i="17" s="1"/>
  <c r="CY274" i="17" s="1"/>
  <c r="CZ274" i="17" s="1"/>
  <c r="CG315" i="17"/>
  <c r="CM315" i="17" s="1"/>
  <c r="DA315" i="17" s="1"/>
  <c r="DB315" i="17" s="1"/>
  <c r="CG111" i="17"/>
  <c r="CM111" i="17" s="1"/>
  <c r="DA111" i="17" s="1"/>
  <c r="DB111" i="17" s="1"/>
  <c r="CE111" i="17"/>
  <c r="CK111" i="17" s="1"/>
  <c r="CW111" i="17" s="1"/>
  <c r="CX111" i="17" s="1"/>
  <c r="CF111" i="17"/>
  <c r="CL111" i="17" s="1"/>
  <c r="CY111" i="17" s="1"/>
  <c r="CZ111" i="17" s="1"/>
  <c r="CF215" i="17"/>
  <c r="CL215" i="17" s="1"/>
  <c r="CY215" i="17" s="1"/>
  <c r="CZ215" i="17" s="1"/>
  <c r="CE215" i="17"/>
  <c r="CK215" i="17" s="1"/>
  <c r="CW215" i="17" s="1"/>
  <c r="CX215" i="17" s="1"/>
  <c r="CF113" i="17"/>
  <c r="CL113" i="17" s="1"/>
  <c r="CY113" i="17" s="1"/>
  <c r="CZ113" i="17" s="1"/>
  <c r="CE113" i="17"/>
  <c r="CK113" i="17" s="1"/>
  <c r="CW113" i="17" s="1"/>
  <c r="CX113" i="17" s="1"/>
  <c r="CG158" i="17"/>
  <c r="CM158" i="17" s="1"/>
  <c r="DA158" i="17" s="1"/>
  <c r="DB158" i="17" s="1"/>
  <c r="CF158" i="17"/>
  <c r="CL158" i="17" s="1"/>
  <c r="CY158" i="17" s="1"/>
  <c r="CZ158" i="17" s="1"/>
  <c r="CF22" i="17"/>
  <c r="CL22" i="17" s="1"/>
  <c r="CY22" i="17" s="1"/>
  <c r="CZ22" i="17" s="1"/>
  <c r="CG22" i="17"/>
  <c r="CM22" i="17" s="1"/>
  <c r="DA22" i="17" s="1"/>
  <c r="DB22" i="17" s="1"/>
  <c r="CF145" i="17"/>
  <c r="CL145" i="17" s="1"/>
  <c r="CY145" i="17" s="1"/>
  <c r="CZ145" i="17" s="1"/>
  <c r="CE75" i="17"/>
  <c r="CK75" i="17" s="1"/>
  <c r="CW75" i="17" s="1"/>
  <c r="CX75" i="17" s="1"/>
  <c r="CF126" i="17"/>
  <c r="CL126" i="17" s="1"/>
  <c r="CY126" i="17" s="1"/>
  <c r="CZ126" i="17" s="1"/>
  <c r="CF130" i="17"/>
  <c r="CL130" i="17" s="1"/>
  <c r="CY130" i="17" s="1"/>
  <c r="CZ130" i="17" s="1"/>
  <c r="CF208" i="17"/>
  <c r="CL208" i="17" s="1"/>
  <c r="CY208" i="17" s="1"/>
  <c r="CZ208" i="17" s="1"/>
  <c r="CE208" i="17"/>
  <c r="CK208" i="17" s="1"/>
  <c r="CW208" i="17" s="1"/>
  <c r="CX208" i="17" s="1"/>
  <c r="CF49" i="17"/>
  <c r="CL49" i="17" s="1"/>
  <c r="CY49" i="17" s="1"/>
  <c r="CZ49" i="17" s="1"/>
  <c r="CE49" i="17"/>
  <c r="CK49" i="17" s="1"/>
  <c r="CW49" i="17" s="1"/>
  <c r="CX49" i="17" s="1"/>
  <c r="CG61" i="17"/>
  <c r="CM61" i="17" s="1"/>
  <c r="DA61" i="17" s="1"/>
  <c r="DB61" i="17" s="1"/>
  <c r="CF153" i="17"/>
  <c r="CL153" i="17" s="1"/>
  <c r="CY153" i="17" s="1"/>
  <c r="CZ153" i="17" s="1"/>
  <c r="CE153" i="17"/>
  <c r="CK153" i="17" s="1"/>
  <c r="CW153" i="17" s="1"/>
  <c r="CX153" i="17" s="1"/>
  <c r="CF236" i="17"/>
  <c r="CL236" i="17" s="1"/>
  <c r="CY236" i="17" s="1"/>
  <c r="CZ236" i="17" s="1"/>
  <c r="CG236" i="17"/>
  <c r="CM236" i="17" s="1"/>
  <c r="DA236" i="17" s="1"/>
  <c r="DB236" i="17" s="1"/>
  <c r="CG286" i="17"/>
  <c r="CM286" i="17" s="1"/>
  <c r="DA286" i="17" s="1"/>
  <c r="DB286" i="17" s="1"/>
  <c r="CF286" i="17"/>
  <c r="CL286" i="17" s="1"/>
  <c r="CY286" i="17" s="1"/>
  <c r="CZ286" i="17" s="1"/>
  <c r="CG269" i="17"/>
  <c r="CM269" i="17" s="1"/>
  <c r="DA269" i="17" s="1"/>
  <c r="DB269" i="17" s="1"/>
  <c r="CF269" i="17"/>
  <c r="CL269" i="17" s="1"/>
  <c r="CY269" i="17" s="1"/>
  <c r="CZ269" i="17" s="1"/>
  <c r="CE269" i="17"/>
  <c r="CK269" i="17" s="1"/>
  <c r="CW269" i="17" s="1"/>
  <c r="CX269" i="17" s="1"/>
  <c r="CG92" i="17"/>
  <c r="CM92" i="17" s="1"/>
  <c r="DA92" i="17" s="1"/>
  <c r="DB92" i="17" s="1"/>
  <c r="CE92" i="17"/>
  <c r="CK92" i="17" s="1"/>
  <c r="CW92" i="17" s="1"/>
  <c r="CX92" i="17" s="1"/>
  <c r="CF92" i="17"/>
  <c r="CL92" i="17" s="1"/>
  <c r="CY92" i="17" s="1"/>
  <c r="CZ92" i="17" s="1"/>
  <c r="CF283" i="17"/>
  <c r="CL283" i="17" s="1"/>
  <c r="CY283" i="17" s="1"/>
  <c r="CZ283" i="17" s="1"/>
  <c r="CE217" i="17"/>
  <c r="CK217" i="17" s="1"/>
  <c r="CW217" i="17" s="1"/>
  <c r="CX217" i="17" s="1"/>
  <c r="CG66" i="17"/>
  <c r="CM66" i="17" s="1"/>
  <c r="DA66" i="17" s="1"/>
  <c r="DB66" i="17" s="1"/>
  <c r="CF77" i="17"/>
  <c r="CL77" i="17" s="1"/>
  <c r="CY77" i="17" s="1"/>
  <c r="CZ77" i="17" s="1"/>
  <c r="CE283" i="17"/>
  <c r="CK283" i="17" s="1"/>
  <c r="CW283" i="17" s="1"/>
  <c r="CX283" i="17" s="1"/>
  <c r="CG247" i="17"/>
  <c r="CM247" i="17" s="1"/>
  <c r="DA247" i="17" s="1"/>
  <c r="DB247" i="17" s="1"/>
  <c r="CG135" i="17"/>
  <c r="CM135" i="17" s="1"/>
  <c r="DA135" i="17" s="1"/>
  <c r="DB135" i="17" s="1"/>
  <c r="CF135" i="17"/>
  <c r="CL135" i="17" s="1"/>
  <c r="CY135" i="17" s="1"/>
  <c r="CZ135" i="17" s="1"/>
  <c r="CE135" i="17"/>
  <c r="CK135" i="17" s="1"/>
  <c r="CW135" i="17" s="1"/>
  <c r="CX135" i="17" s="1"/>
  <c r="CF267" i="17"/>
  <c r="CL267" i="17" s="1"/>
  <c r="CY267" i="17" s="1"/>
  <c r="CZ267" i="17" s="1"/>
  <c r="CE267" i="17"/>
  <c r="CK267" i="17" s="1"/>
  <c r="CW267" i="17" s="1"/>
  <c r="CX267" i="17" s="1"/>
  <c r="CG296" i="17"/>
  <c r="CM296" i="17" s="1"/>
  <c r="DA296" i="17" s="1"/>
  <c r="DB296" i="17" s="1"/>
  <c r="CF296" i="17"/>
  <c r="CL296" i="17" s="1"/>
  <c r="CY296" i="17" s="1"/>
  <c r="CZ296" i="17" s="1"/>
  <c r="CF156" i="17"/>
  <c r="CL156" i="17" s="1"/>
  <c r="CY156" i="17" s="1"/>
  <c r="CZ156" i="17" s="1"/>
  <c r="CE156" i="17"/>
  <c r="CK156" i="17" s="1"/>
  <c r="CW156" i="17" s="1"/>
  <c r="CX156" i="17" s="1"/>
  <c r="CF271" i="17"/>
  <c r="CL271" i="17" s="1"/>
  <c r="CY271" i="17" s="1"/>
  <c r="CZ271" i="17" s="1"/>
  <c r="CE271" i="17"/>
  <c r="CK271" i="17" s="1"/>
  <c r="CW271" i="17" s="1"/>
  <c r="CX271" i="17" s="1"/>
  <c r="CF194" i="17"/>
  <c r="CL194" i="17" s="1"/>
  <c r="CY194" i="17" s="1"/>
  <c r="CZ194" i="17" s="1"/>
  <c r="CE194" i="17"/>
  <c r="CK194" i="17" s="1"/>
  <c r="CW194" i="17" s="1"/>
  <c r="CX194" i="17" s="1"/>
  <c r="CG280" i="17"/>
  <c r="CM280" i="17" s="1"/>
  <c r="DA280" i="17" s="1"/>
  <c r="DB280" i="17" s="1"/>
  <c r="CF280" i="17"/>
  <c r="CL280" i="17" s="1"/>
  <c r="CY280" i="17" s="1"/>
  <c r="CZ280" i="17" s="1"/>
  <c r="CE130" i="17"/>
  <c r="CK130" i="17" s="1"/>
  <c r="CW130" i="17" s="1"/>
  <c r="CX130" i="17" s="1"/>
  <c r="CG246" i="17"/>
  <c r="CM246" i="17" s="1"/>
  <c r="DA246" i="17" s="1"/>
  <c r="DB246" i="17" s="1"/>
  <c r="CE91" i="17"/>
  <c r="CK91" i="17" s="1"/>
  <c r="CW91" i="17" s="1"/>
  <c r="CX91" i="17" s="1"/>
  <c r="CE125" i="17"/>
  <c r="CK125" i="17" s="1"/>
  <c r="CW125" i="17" s="1"/>
  <c r="CX125" i="17" s="1"/>
  <c r="CF61" i="17"/>
  <c r="CL61" i="17" s="1"/>
  <c r="CY61" i="17" s="1"/>
  <c r="CZ61" i="17" s="1"/>
  <c r="CF291" i="17"/>
  <c r="CL291" i="17" s="1"/>
  <c r="CY291" i="17" s="1"/>
  <c r="CZ291" i="17" s="1"/>
  <c r="CE291" i="17"/>
  <c r="CK291" i="17" s="1"/>
  <c r="CW291" i="17" s="1"/>
  <c r="CX291" i="17" s="1"/>
  <c r="CF249" i="17"/>
  <c r="CL249" i="17" s="1"/>
  <c r="CY249" i="17" s="1"/>
  <c r="CZ249" i="17" s="1"/>
  <c r="CE249" i="17"/>
  <c r="CK249" i="17" s="1"/>
  <c r="CW249" i="17" s="1"/>
  <c r="CX249" i="17" s="1"/>
  <c r="CF104" i="17"/>
  <c r="CL104" i="17" s="1"/>
  <c r="CY104" i="17" s="1"/>
  <c r="CZ104" i="17" s="1"/>
  <c r="CE104" i="17"/>
  <c r="CK104" i="17" s="1"/>
  <c r="CW104" i="17" s="1"/>
  <c r="CX104" i="17" s="1"/>
  <c r="CF106" i="17"/>
  <c r="CL106" i="17" s="1"/>
  <c r="CY106" i="17" s="1"/>
  <c r="CZ106" i="17" s="1"/>
  <c r="CG106" i="17"/>
  <c r="CM106" i="17" s="1"/>
  <c r="DA106" i="17" s="1"/>
  <c r="DB106" i="17" s="1"/>
  <c r="CG128" i="17"/>
  <c r="CM128" i="17" s="1"/>
  <c r="DA128" i="17" s="1"/>
  <c r="DB128" i="17" s="1"/>
  <c r="CF209" i="17"/>
  <c r="CL209" i="17" s="1"/>
  <c r="CY209" i="17" s="1"/>
  <c r="CZ209" i="17" s="1"/>
  <c r="CG25" i="17"/>
  <c r="CM25" i="17" s="1"/>
  <c r="DA25" i="17" s="1"/>
  <c r="DB25" i="17" s="1"/>
  <c r="CE25" i="17"/>
  <c r="CK25" i="17" s="1"/>
  <c r="CW25" i="17" s="1"/>
  <c r="CX25" i="17" s="1"/>
  <c r="CF25" i="17"/>
  <c r="CL25" i="17" s="1"/>
  <c r="CY25" i="17" s="1"/>
  <c r="CZ25" i="17" s="1"/>
  <c r="CF211" i="17"/>
  <c r="CL211" i="17" s="1"/>
  <c r="CY211" i="17" s="1"/>
  <c r="CZ211" i="17" s="1"/>
  <c r="CE211" i="17"/>
  <c r="CK211" i="17" s="1"/>
  <c r="CW211" i="17" s="1"/>
  <c r="CX211" i="17" s="1"/>
  <c r="CG199" i="17"/>
  <c r="CM199" i="17" s="1"/>
  <c r="DA199" i="17" s="1"/>
  <c r="DB199" i="17" s="1"/>
  <c r="CE199" i="17"/>
  <c r="CK199" i="17" s="1"/>
  <c r="CW199" i="17" s="1"/>
  <c r="CX199" i="17" s="1"/>
  <c r="CF199" i="17"/>
  <c r="CL199" i="17" s="1"/>
  <c r="CY199" i="17" s="1"/>
  <c r="CZ199" i="17" s="1"/>
  <c r="CF88" i="17"/>
  <c r="CL88" i="17" s="1"/>
  <c r="CY88" i="17" s="1"/>
  <c r="CZ88" i="17" s="1"/>
  <c r="CE88" i="17"/>
  <c r="CK88" i="17" s="1"/>
  <c r="CW88" i="17" s="1"/>
  <c r="CX88" i="17" s="1"/>
  <c r="CE39" i="17"/>
  <c r="CK39" i="17" s="1"/>
  <c r="CW39" i="17" s="1"/>
  <c r="CX39" i="17" s="1"/>
  <c r="CG17" i="17"/>
  <c r="CM17" i="17" s="1"/>
  <c r="DA17" i="17" s="1"/>
  <c r="DB17" i="17" s="1"/>
  <c r="CF17" i="17"/>
  <c r="CL17" i="17" s="1"/>
  <c r="CY17" i="17" s="1"/>
  <c r="CZ17" i="17" s="1"/>
  <c r="CE61" i="17"/>
  <c r="CK61" i="17" s="1"/>
  <c r="CW61" i="17" s="1"/>
  <c r="CX61" i="17" s="1"/>
  <c r="CE109" i="17"/>
  <c r="CK109" i="17" s="1"/>
  <c r="CW109" i="17" s="1"/>
  <c r="CX109" i="17" s="1"/>
  <c r="CG86" i="17"/>
  <c r="CM86" i="17" s="1"/>
  <c r="DA86" i="17" s="1"/>
  <c r="DB86" i="17" s="1"/>
  <c r="CE86" i="17"/>
  <c r="CK86" i="17" s="1"/>
  <c r="CW86" i="17" s="1"/>
  <c r="CX86" i="17" s="1"/>
  <c r="CF86" i="17"/>
  <c r="CL86" i="17" s="1"/>
  <c r="CY86" i="17" s="1"/>
  <c r="CZ86" i="17" s="1"/>
  <c r="CG207" i="17"/>
  <c r="CM207" i="17" s="1"/>
  <c r="DA207" i="17" s="1"/>
  <c r="DB207" i="17" s="1"/>
  <c r="CF207" i="17"/>
  <c r="CL207" i="17" s="1"/>
  <c r="CY207" i="17" s="1"/>
  <c r="CZ207" i="17" s="1"/>
  <c r="CG139" i="17"/>
  <c r="CM139" i="17" s="1"/>
  <c r="DA139" i="17" s="1"/>
  <c r="DB139" i="17" s="1"/>
  <c r="CF139" i="17"/>
  <c r="CL139" i="17" s="1"/>
  <c r="CY139" i="17" s="1"/>
  <c r="CZ139" i="17" s="1"/>
  <c r="CF255" i="17"/>
  <c r="CL255" i="17" s="1"/>
  <c r="CY255" i="17" s="1"/>
  <c r="CZ255" i="17" s="1"/>
  <c r="CE255" i="17"/>
  <c r="CK255" i="17" s="1"/>
  <c r="CW255" i="17" s="1"/>
  <c r="CX255" i="17" s="1"/>
  <c r="CF76" i="17"/>
  <c r="CL76" i="17" s="1"/>
  <c r="CY76" i="17" s="1"/>
  <c r="CZ76" i="17" s="1"/>
  <c r="CE76" i="17"/>
  <c r="CK76" i="17" s="1"/>
  <c r="CW76" i="17" s="1"/>
  <c r="CX76" i="17" s="1"/>
  <c r="CG39" i="17"/>
  <c r="CM39" i="17" s="1"/>
  <c r="DA39" i="17" s="1"/>
  <c r="DB39" i="17" s="1"/>
  <c r="CF132" i="17"/>
  <c r="CL132" i="17" s="1"/>
  <c r="CY132" i="17" s="1"/>
  <c r="CZ132" i="17" s="1"/>
  <c r="CG132" i="17"/>
  <c r="CM132" i="17" s="1"/>
  <c r="DA132" i="17" s="1"/>
  <c r="DB132" i="17" s="1"/>
  <c r="CG36" i="17"/>
  <c r="CM36" i="17" s="1"/>
  <c r="DA36" i="17" s="1"/>
  <c r="DB36" i="17" s="1"/>
  <c r="CG57" i="17"/>
  <c r="CM57" i="17" s="1"/>
  <c r="DA57" i="17" s="1"/>
  <c r="DB57" i="17" s="1"/>
  <c r="CE57" i="17"/>
  <c r="CK57" i="17" s="1"/>
  <c r="CW57" i="17" s="1"/>
  <c r="CX57" i="17" s="1"/>
  <c r="CF57" i="17"/>
  <c r="CL57" i="17" s="1"/>
  <c r="CY57" i="17" s="1"/>
  <c r="CZ57" i="17" s="1"/>
  <c r="CF306" i="17"/>
  <c r="CL306" i="17" s="1"/>
  <c r="CY306" i="17" s="1"/>
  <c r="CZ306" i="17" s="1"/>
  <c r="CE306" i="17"/>
  <c r="CK306" i="17" s="1"/>
  <c r="CW306" i="17" s="1"/>
  <c r="CX306" i="17" s="1"/>
  <c r="CF42" i="17"/>
  <c r="CL42" i="17" s="1"/>
  <c r="CY42" i="17" s="1"/>
  <c r="CZ42" i="17" s="1"/>
  <c r="CE42" i="17"/>
  <c r="CK42" i="17" s="1"/>
  <c r="CW42" i="17" s="1"/>
  <c r="CX42" i="17" s="1"/>
  <c r="CE112" i="17"/>
  <c r="CK112" i="17" s="1"/>
  <c r="CW112" i="17" s="1"/>
  <c r="CX112" i="17" s="1"/>
  <c r="CF162" i="17"/>
  <c r="CL162" i="17" s="1"/>
  <c r="CY162" i="17" s="1"/>
  <c r="CZ162" i="17" s="1"/>
  <c r="CF128" i="17"/>
  <c r="CL128" i="17" s="1"/>
  <c r="CY128" i="17" s="1"/>
  <c r="CZ128" i="17" s="1"/>
  <c r="CF71" i="17"/>
  <c r="CL71" i="17" s="1"/>
  <c r="CY71" i="17" s="1"/>
  <c r="CZ71" i="17" s="1"/>
  <c r="CF181" i="17"/>
  <c r="CL181" i="17" s="1"/>
  <c r="CY181" i="17" s="1"/>
  <c r="CZ181" i="17" s="1"/>
  <c r="CG149" i="17"/>
  <c r="CM149" i="17" s="1"/>
  <c r="DA149" i="17" s="1"/>
  <c r="DB149" i="17" s="1"/>
  <c r="CE149" i="17"/>
  <c r="CK149" i="17" s="1"/>
  <c r="CW149" i="17" s="1"/>
  <c r="CX149" i="17" s="1"/>
  <c r="CF149" i="17"/>
  <c r="CL149" i="17" s="1"/>
  <c r="CY149" i="17" s="1"/>
  <c r="CZ149" i="17" s="1"/>
  <c r="CF216" i="17"/>
  <c r="CL216" i="17" s="1"/>
  <c r="CY216" i="17" s="1"/>
  <c r="CZ216" i="17" s="1"/>
  <c r="CE216" i="17"/>
  <c r="CK216" i="17" s="1"/>
  <c r="CW216" i="17" s="1"/>
  <c r="CX216" i="17" s="1"/>
  <c r="CF87" i="17"/>
  <c r="CL87" i="17" s="1"/>
  <c r="CY87" i="17" s="1"/>
  <c r="CZ87" i="17" s="1"/>
  <c r="CE87" i="17"/>
  <c r="CK87" i="17" s="1"/>
  <c r="CW87" i="17" s="1"/>
  <c r="CX87" i="17" s="1"/>
  <c r="CF177" i="17"/>
  <c r="CL177" i="17" s="1"/>
  <c r="CY177" i="17" s="1"/>
  <c r="CZ177" i="17" s="1"/>
  <c r="CE177" i="17"/>
  <c r="CK177" i="17" s="1"/>
  <c r="CW177" i="17" s="1"/>
  <c r="CX177" i="17" s="1"/>
  <c r="CE315" i="17"/>
  <c r="CK315" i="17" s="1"/>
  <c r="CW315" i="17" s="1"/>
  <c r="CX315" i="17" s="1"/>
  <c r="CE231" i="17"/>
  <c r="CK231" i="17" s="1"/>
  <c r="CW231" i="17" s="1"/>
  <c r="CX231" i="17" s="1"/>
  <c r="CG67" i="17"/>
  <c r="CM67" i="17" s="1"/>
  <c r="DA67" i="17" s="1"/>
  <c r="DB67" i="17" s="1"/>
  <c r="CF243" i="17"/>
  <c r="CL243" i="17" s="1"/>
  <c r="CY243" i="17" s="1"/>
  <c r="CZ243" i="17" s="1"/>
  <c r="CE243" i="17"/>
  <c r="CK243" i="17" s="1"/>
  <c r="CW243" i="17" s="1"/>
  <c r="CX243" i="17" s="1"/>
  <c r="CG54" i="17"/>
  <c r="CM54" i="17" s="1"/>
  <c r="DA54" i="17" s="1"/>
  <c r="DB54" i="17" s="1"/>
  <c r="CE54" i="17"/>
  <c r="CK54" i="17" s="1"/>
  <c r="CW54" i="17" s="1"/>
  <c r="CX54" i="17" s="1"/>
  <c r="CF54" i="17"/>
  <c r="CL54" i="17" s="1"/>
  <c r="CY54" i="17" s="1"/>
  <c r="CZ54" i="17" s="1"/>
  <c r="CG313" i="17"/>
  <c r="CM313" i="17" s="1"/>
  <c r="DA313" i="17" s="1"/>
  <c r="DB313" i="17" s="1"/>
  <c r="CF313" i="17"/>
  <c r="CL313" i="17" s="1"/>
  <c r="CY313" i="17" s="1"/>
  <c r="CZ313" i="17" s="1"/>
  <c r="CE313" i="17"/>
  <c r="CK313" i="17" s="1"/>
  <c r="CW313" i="17" s="1"/>
  <c r="CX313" i="17" s="1"/>
  <c r="CF292" i="17"/>
  <c r="CL292" i="17" s="1"/>
  <c r="CY292" i="17" s="1"/>
  <c r="CZ292" i="17" s="1"/>
  <c r="CE292" i="17"/>
  <c r="CK292" i="17" s="1"/>
  <c r="CW292" i="17" s="1"/>
  <c r="CX292" i="17" s="1"/>
  <c r="CF172" i="17"/>
  <c r="CL172" i="17" s="1"/>
  <c r="CY172" i="17" s="1"/>
  <c r="CZ172" i="17" s="1"/>
  <c r="CF310" i="17"/>
  <c r="CL310" i="17" s="1"/>
  <c r="CY310" i="17" s="1"/>
  <c r="CZ310" i="17" s="1"/>
  <c r="CE310" i="17"/>
  <c r="CK310" i="17" s="1"/>
  <c r="CW310" i="17" s="1"/>
  <c r="CX310" i="17" s="1"/>
  <c r="CE173" i="17"/>
  <c r="CK173" i="17" s="1"/>
  <c r="CW173" i="17" s="1"/>
  <c r="CX173" i="17" s="1"/>
  <c r="CF6" i="17"/>
  <c r="CL6" i="17" s="1"/>
  <c r="CY6" i="17" s="1"/>
  <c r="CZ6" i="17" s="1"/>
  <c r="CE6" i="17"/>
  <c r="CK6" i="17" s="1"/>
  <c r="CW6" i="17" s="1"/>
  <c r="CX6" i="17" s="1"/>
  <c r="CG261" i="17"/>
  <c r="CM261" i="17" s="1"/>
  <c r="DA261" i="17" s="1"/>
  <c r="DB261" i="17" s="1"/>
  <c r="CF261" i="17"/>
  <c r="CL261" i="17" s="1"/>
  <c r="CY261" i="17" s="1"/>
  <c r="CZ261" i="17" s="1"/>
  <c r="CF154" i="17"/>
  <c r="CL154" i="17" s="1"/>
  <c r="CY154" i="17" s="1"/>
  <c r="CZ154" i="17" s="1"/>
  <c r="CG154" i="17"/>
  <c r="CM154" i="17" s="1"/>
  <c r="DA154" i="17" s="1"/>
  <c r="DB154" i="17" s="1"/>
  <c r="CE209" i="17"/>
  <c r="CK209" i="17" s="1"/>
  <c r="CW209" i="17" s="1"/>
  <c r="CX209" i="17" s="1"/>
  <c r="CE191" i="17"/>
  <c r="CK191" i="17" s="1"/>
  <c r="CW191" i="17" s="1"/>
  <c r="CX191" i="17" s="1"/>
  <c r="CE71" i="17"/>
  <c r="CK71" i="17" s="1"/>
  <c r="CW71" i="17" s="1"/>
  <c r="CX71" i="17" s="1"/>
  <c r="CE162" i="17"/>
  <c r="CK162" i="17" s="1"/>
  <c r="CW162" i="17" s="1"/>
  <c r="CX162" i="17" s="1"/>
  <c r="CF217" i="17"/>
  <c r="CL217" i="17" s="1"/>
  <c r="CY217" i="17" s="1"/>
  <c r="CZ217" i="17" s="1"/>
  <c r="CF40" i="17"/>
  <c r="CL40" i="17" s="1"/>
  <c r="CY40" i="17" s="1"/>
  <c r="CZ40" i="17" s="1"/>
  <c r="CF167" i="17"/>
  <c r="CL167" i="17" s="1"/>
  <c r="CY167" i="17" s="1"/>
  <c r="CZ167" i="17" s="1"/>
  <c r="CE167" i="17"/>
  <c r="CK167" i="17" s="1"/>
  <c r="CW167" i="17" s="1"/>
  <c r="CX167" i="17" s="1"/>
  <c r="CF219" i="17"/>
  <c r="CL219" i="17" s="1"/>
  <c r="CY219" i="17" s="1"/>
  <c r="CZ219" i="17" s="1"/>
  <c r="CE219" i="17"/>
  <c r="CK219" i="17" s="1"/>
  <c r="CW219" i="17" s="1"/>
  <c r="CX219" i="17" s="1"/>
  <c r="CG77" i="17"/>
  <c r="CM77" i="17" s="1"/>
  <c r="DA77" i="17" s="1"/>
  <c r="DB77" i="17" s="1"/>
  <c r="CF108" i="17"/>
  <c r="CL108" i="17" s="1"/>
  <c r="CY108" i="17" s="1"/>
  <c r="CZ108" i="17" s="1"/>
  <c r="CE108" i="17"/>
  <c r="CK108" i="17" s="1"/>
  <c r="CW108" i="17" s="1"/>
  <c r="CF152" i="17"/>
  <c r="CL152" i="17" s="1"/>
  <c r="CY152" i="17" s="1"/>
  <c r="CZ152" i="17" s="1"/>
  <c r="CE152" i="17"/>
  <c r="CK152" i="17" s="1"/>
  <c r="CW152" i="17" s="1"/>
  <c r="CX152" i="17" s="1"/>
  <c r="CG90" i="17"/>
  <c r="CM90" i="17" s="1"/>
  <c r="DA90" i="17" s="1"/>
  <c r="DB90" i="17" s="1"/>
  <c r="CF90" i="17"/>
  <c r="CL90" i="17" s="1"/>
  <c r="CY90" i="17" s="1"/>
  <c r="CZ90" i="17" s="1"/>
  <c r="CF151" i="17"/>
  <c r="CL151" i="17" s="1"/>
  <c r="CY151" i="17" s="1"/>
  <c r="CZ151" i="17" s="1"/>
  <c r="CG188" i="17"/>
  <c r="CM188" i="17" s="1"/>
  <c r="DA188" i="17" s="1"/>
  <c r="DB188" i="17" s="1"/>
  <c r="CG159" i="17"/>
  <c r="CM159" i="17" s="1"/>
  <c r="DA159" i="17" s="1"/>
  <c r="DB159" i="17" s="1"/>
  <c r="CF59" i="17"/>
  <c r="CL59" i="17" s="1"/>
  <c r="CY59" i="17" s="1"/>
  <c r="CZ59" i="17" s="1"/>
  <c r="CK237" i="17"/>
  <c r="CW237" i="17" s="1"/>
  <c r="CX237" i="17" s="1"/>
  <c r="CG69" i="17"/>
  <c r="CM69" i="17" s="1"/>
  <c r="DA69" i="17" s="1"/>
  <c r="DB69" i="17" s="1"/>
  <c r="CG205" i="17"/>
  <c r="CM205" i="17" s="1"/>
  <c r="DA205" i="17" s="1"/>
  <c r="DB205" i="17" s="1"/>
  <c r="CG119" i="17"/>
  <c r="CM119" i="17" s="1"/>
  <c r="DA119" i="17" s="1"/>
  <c r="DB119" i="17" s="1"/>
  <c r="CG121" i="17"/>
  <c r="CM121" i="17" s="1"/>
  <c r="DA121" i="17" s="1"/>
  <c r="DB121" i="17" s="1"/>
  <c r="CG265" i="17"/>
  <c r="CM265" i="17" s="1"/>
  <c r="DA265" i="17" s="1"/>
  <c r="DB265" i="17" s="1"/>
  <c r="CG161" i="17"/>
  <c r="CM161" i="17" s="1"/>
  <c r="DA161" i="17" s="1"/>
  <c r="DB161" i="17" s="1"/>
  <c r="CG31" i="17"/>
  <c r="CM31" i="17" s="1"/>
  <c r="DA31" i="17" s="1"/>
  <c r="DB31" i="17" s="1"/>
  <c r="V16" i="39" l="1"/>
  <c r="Q21" i="32"/>
  <c r="R21" i="32" s="1"/>
  <c r="Q22" i="32"/>
  <c r="R22" i="32" s="1"/>
  <c r="CW11" i="17"/>
  <c r="CX11" i="17" s="1"/>
  <c r="DH35" i="17"/>
  <c r="Q23" i="32"/>
  <c r="R23" i="32" s="1"/>
  <c r="Q15" i="39"/>
  <c r="R15" i="39" s="1"/>
  <c r="U15" i="39" s="1"/>
  <c r="Q19" i="39"/>
  <c r="R19" i="39" s="1"/>
  <c r="U19" i="39" s="1"/>
  <c r="Q18" i="39"/>
  <c r="R18" i="39" s="1"/>
  <c r="U18" i="39" s="1"/>
  <c r="Q17" i="39"/>
  <c r="R17" i="39" s="1"/>
  <c r="U17" i="39" s="1"/>
  <c r="CX108" i="17"/>
  <c r="CF114" i="17"/>
  <c r="CL114" i="17" s="1"/>
  <c r="CY114" i="17" s="1"/>
  <c r="CZ114" i="17" s="1"/>
  <c r="CE114" i="17"/>
  <c r="CK114" i="17" s="1"/>
  <c r="CW114" i="17" s="1"/>
  <c r="CX114" i="17" s="1"/>
  <c r="CG136" i="17"/>
  <c r="CM136" i="17" s="1"/>
  <c r="DA136" i="17" s="1"/>
  <c r="DB136" i="17" s="1"/>
  <c r="CF136" i="17"/>
  <c r="CL136" i="17" s="1"/>
  <c r="CY136" i="17" s="1"/>
  <c r="CZ136" i="17" s="1"/>
  <c r="CE136" i="17"/>
  <c r="CK136" i="17" s="1"/>
  <c r="CW136" i="17" s="1"/>
  <c r="CX136" i="17" s="1"/>
  <c r="CF246" i="17"/>
  <c r="CL246" i="17" s="1"/>
  <c r="CY246" i="17" s="1"/>
  <c r="CZ246" i="17" s="1"/>
  <c r="CE246" i="17"/>
  <c r="CK246" i="17" s="1"/>
  <c r="CW246" i="17" s="1"/>
  <c r="CX246" i="17" s="1"/>
  <c r="CG187" i="17"/>
  <c r="CM187" i="17" s="1"/>
  <c r="DA187" i="17" s="1"/>
  <c r="DB187" i="17" s="1"/>
  <c r="CF187" i="17"/>
  <c r="CL187" i="17" s="1"/>
  <c r="CY187" i="17" s="1"/>
  <c r="CZ187" i="17" s="1"/>
  <c r="CE187" i="17"/>
  <c r="CK187" i="17" s="1"/>
  <c r="CW187" i="17" s="1"/>
  <c r="CX187" i="17" s="1"/>
  <c r="CF212" i="17"/>
  <c r="CL212" i="17" s="1"/>
  <c r="CY212" i="17" s="1"/>
  <c r="CZ212" i="17" s="1"/>
  <c r="CG212" i="17"/>
  <c r="CM212" i="17" s="1"/>
  <c r="DA212" i="17" s="1"/>
  <c r="DB212" i="17" s="1"/>
  <c r="CG262" i="17"/>
  <c r="CM262" i="17" s="1"/>
  <c r="DA262" i="17" s="1"/>
  <c r="DB262" i="17" s="1"/>
  <c r="CF262" i="17"/>
  <c r="CL262" i="17" s="1"/>
  <c r="CY262" i="17" s="1"/>
  <c r="CZ262" i="17" s="1"/>
  <c r="CF144" i="17"/>
  <c r="CL144" i="17" s="1"/>
  <c r="CY144" i="17" s="1"/>
  <c r="CZ144" i="17" s="1"/>
  <c r="CG144" i="17"/>
  <c r="CM144" i="17" s="1"/>
  <c r="DA144" i="17" s="1"/>
  <c r="DB144" i="17" s="1"/>
  <c r="CE262" i="17"/>
  <c r="CK262" i="17" s="1"/>
  <c r="CW262" i="17" s="1"/>
  <c r="CX262" i="17" s="1"/>
  <c r="CE59" i="17"/>
  <c r="CK59" i="17" s="1"/>
  <c r="CW59" i="17" s="1"/>
  <c r="CX59" i="17" s="1"/>
  <c r="CF51" i="17"/>
  <c r="CL51" i="17" s="1"/>
  <c r="CY51" i="17" s="1"/>
  <c r="CZ51" i="17" s="1"/>
  <c r="CG51" i="17"/>
  <c r="CM51" i="17" s="1"/>
  <c r="DA51" i="17" s="1"/>
  <c r="DB51" i="17" s="1"/>
  <c r="AE3" i="17"/>
  <c r="AF3" i="17"/>
  <c r="AG3" i="17"/>
  <c r="AH3" i="17"/>
  <c r="Q43" i="32" l="1"/>
  <c r="Q19" i="32"/>
  <c r="Q44" i="32"/>
  <c r="V18" i="39"/>
  <c r="D20" i="35" s="1"/>
  <c r="C20" i="35"/>
  <c r="V19" i="39"/>
  <c r="D21" i="35" s="1"/>
  <c r="C21" i="35"/>
  <c r="Q45" i="32"/>
  <c r="V17" i="39"/>
  <c r="D19" i="35" s="1"/>
  <c r="C19" i="35"/>
  <c r="V15" i="39"/>
  <c r="D12" i="16"/>
  <c r="D13" i="16" s="1"/>
  <c r="D14" i="16" s="1"/>
  <c r="D15" i="16" s="1"/>
  <c r="D16" i="16" s="1"/>
  <c r="D17" i="16" s="1"/>
  <c r="D18" i="16" s="1"/>
  <c r="D19" i="16" s="1"/>
  <c r="D20" i="16" s="1"/>
  <c r="D22" i="16"/>
  <c r="G7" i="16"/>
  <c r="Q41" i="32" l="1"/>
  <c r="R19" i="32"/>
  <c r="F12" i="16"/>
  <c r="J12" i="16" s="1"/>
  <c r="K12" i="16" s="1"/>
  <c r="E15" i="16"/>
  <c r="E16" i="16"/>
  <c r="E12" i="16"/>
  <c r="E17" i="16"/>
  <c r="E18" i="16"/>
  <c r="E19" i="16"/>
  <c r="E20" i="16"/>
  <c r="E13" i="16"/>
  <c r="E14" i="16"/>
  <c r="L5" i="17"/>
  <c r="D90" i="32" s="1"/>
  <c r="R5" i="17"/>
  <c r="Q5" i="17"/>
  <c r="I90" i="32" s="1"/>
  <c r="P5" i="17"/>
  <c r="H90" i="32" s="1"/>
  <c r="O5" i="17"/>
  <c r="G90" i="32" s="1"/>
  <c r="N5" i="17"/>
  <c r="M5" i="17"/>
  <c r="E90" i="32" s="1"/>
  <c r="BV5" i="17" l="1"/>
  <c r="J91" i="32" s="1"/>
  <c r="J90" i="32"/>
  <c r="BR5" i="17"/>
  <c r="F90" i="32"/>
  <c r="BT5" i="17"/>
  <c r="M12" i="16"/>
  <c r="L12" i="16"/>
  <c r="BP5" i="17"/>
  <c r="BQ5" i="17"/>
  <c r="BU5" i="17"/>
  <c r="I91" i="32" s="1"/>
  <c r="BD5" i="17"/>
  <c r="BL5" i="17" s="1"/>
  <c r="BA5" i="17"/>
  <c r="BI5" i="17" s="1"/>
  <c r="BC5" i="17"/>
  <c r="BK5" i="17" s="1"/>
  <c r="BS5" i="17" s="1"/>
  <c r="AZ5" i="17"/>
  <c r="BH5" i="17" s="1"/>
  <c r="BB5" i="17"/>
  <c r="BJ5" i="17" s="1"/>
  <c r="D7" i="35" l="1"/>
  <c r="D7" i="32"/>
  <c r="E91" i="32"/>
  <c r="CJ5" i="17"/>
  <c r="CP5" i="17" s="1"/>
  <c r="H91" i="32"/>
  <c r="F91" i="32"/>
  <c r="CH5" i="17"/>
  <c r="CN5" i="17" s="1"/>
  <c r="G91" i="32"/>
  <c r="CI5" i="17"/>
  <c r="CO5" i="17" s="1"/>
  <c r="D91" i="32"/>
  <c r="CE5" i="17"/>
  <c r="CF5" i="17"/>
  <c r="CG5" i="17"/>
  <c r="CM5" i="17" s="1"/>
  <c r="BE5" i="17"/>
  <c r="BM5" i="17" s="1"/>
  <c r="CK5" i="17" l="1"/>
  <c r="DG5" i="17"/>
  <c r="DH5" i="17" s="1"/>
  <c r="D21" i="32" s="1"/>
  <c r="D53" i="32"/>
  <c r="DE5" i="17"/>
  <c r="DF5" i="17" s="1"/>
  <c r="C21" i="32" s="1"/>
  <c r="R45" i="32" s="1"/>
  <c r="D52" i="32"/>
  <c r="DC5" i="17"/>
  <c r="DD5" i="17" s="1"/>
  <c r="D51" i="32"/>
  <c r="DA5" i="17"/>
  <c r="DB5" i="17" s="1"/>
  <c r="D50" i="32"/>
  <c r="CL5" i="17"/>
  <c r="F13" i="16"/>
  <c r="F14" i="16"/>
  <c r="BF5" i="17"/>
  <c r="BN5" i="17" s="1"/>
  <c r="C19" i="32" l="1"/>
  <c r="R43" i="32" s="1"/>
  <c r="C20" i="32"/>
  <c r="R44" i="32" s="1"/>
  <c r="CW5" i="17"/>
  <c r="CX5" i="17" s="1"/>
  <c r="D48" i="32"/>
  <c r="CY5" i="17"/>
  <c r="D49" i="32"/>
  <c r="D20" i="32"/>
  <c r="D19" i="32"/>
  <c r="L13" i="16"/>
  <c r="L14" i="16"/>
  <c r="J14" i="16"/>
  <c r="J13" i="16"/>
  <c r="K13" i="16" s="1"/>
  <c r="M13" i="16" s="1"/>
  <c r="CZ5" i="17" l="1"/>
  <c r="D17" i="32" s="1"/>
  <c r="C17" i="32"/>
  <c r="R41" i="32" s="1"/>
  <c r="C18" i="32"/>
  <c r="R42" i="32" s="1"/>
  <c r="D18" i="32"/>
  <c r="K14" i="16"/>
  <c r="M14" i="16" s="1"/>
  <c r="Q15" i="16"/>
  <c r="R15" i="16" s="1"/>
  <c r="U15" i="16" s="1"/>
  <c r="V15" i="16" s="1"/>
  <c r="Q20" i="32" l="1"/>
  <c r="R20" i="32" s="1"/>
  <c r="Q42" i="32" l="1"/>
  <c r="F15" i="16"/>
  <c r="L15" i="16" l="1"/>
  <c r="Q16" i="16" s="1"/>
  <c r="R16" i="16" s="1"/>
  <c r="J15" i="16"/>
  <c r="K15" i="16" s="1"/>
  <c r="M15" i="16" s="1"/>
  <c r="U16" i="16" l="1"/>
  <c r="F16" i="16"/>
  <c r="V16" i="16" l="1"/>
  <c r="J16" i="16"/>
  <c r="F17" i="16"/>
  <c r="L17" i="16" l="1"/>
  <c r="K16" i="16"/>
  <c r="J17" i="16"/>
  <c r="F18" i="16"/>
  <c r="L16" i="16" l="1"/>
  <c r="M16" i="16"/>
  <c r="K17" i="16"/>
  <c r="M17" i="16" s="1"/>
  <c r="J18" i="16"/>
  <c r="F20" i="16"/>
  <c r="F19" i="16"/>
  <c r="L19" i="16" l="1"/>
  <c r="L20" i="16"/>
  <c r="K18" i="16"/>
  <c r="Q17" i="16"/>
  <c r="R17" i="16" s="1"/>
  <c r="Q18" i="16"/>
  <c r="R18" i="16" s="1"/>
  <c r="J19" i="16"/>
  <c r="J20" i="16"/>
  <c r="M18" i="16" l="1"/>
  <c r="L18" i="16"/>
  <c r="Q19" i="16" s="1"/>
  <c r="R19" i="16" s="1"/>
  <c r="U19" i="16" s="1"/>
  <c r="K19" i="16"/>
  <c r="M19" i="16" s="1"/>
  <c r="K20" i="16"/>
  <c r="M20" i="16" s="1"/>
  <c r="U18" i="16"/>
  <c r="V18" i="16" s="1"/>
  <c r="U17" i="16"/>
  <c r="V17" i="16" s="1"/>
  <c r="Q20" i="16" l="1"/>
  <c r="R20" i="16" s="1"/>
  <c r="U20" i="16" s="1"/>
  <c r="V20" i="16" s="1"/>
  <c r="V19"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<sst xmlns="http://schemas.openxmlformats.org/spreadsheetml/2006/main" count="15582" uniqueCount="4825">
  <si>
    <t>Read Me Tab</t>
  </si>
  <si>
    <t>Sheet No.</t>
  </si>
  <si>
    <t>Sheet Name</t>
  </si>
  <si>
    <t>Type</t>
  </si>
  <si>
    <t>Contents</t>
  </si>
  <si>
    <t>Source (if rel.)</t>
  </si>
  <si>
    <t>N/A</t>
  </si>
  <si>
    <t>Instructions</t>
  </si>
  <si>
    <t>Information on HDT workbook</t>
  </si>
  <si>
    <t xml:space="preserve">Calculations </t>
  </si>
  <si>
    <t>Aggregated results on HDT classifications for local authorities</t>
  </si>
  <si>
    <t>Raw Data</t>
  </si>
  <si>
    <t>Data on major cities and towns to inform 35% uplift adjustment (2021)</t>
  </si>
  <si>
    <t>https://www.gov.uk/government/consultations/changes-to-the-current-planning-system/outcome/government-response-to-the-local-housing-need-proposals-in-changes-to-the-current-planning-system</t>
  </si>
  <si>
    <t>Household projection data (2018)</t>
  </si>
  <si>
    <t>Household projection data (2016)</t>
  </si>
  <si>
    <t>Household projection data (2014)</t>
  </si>
  <si>
    <t>Data on net additions (2020/21)</t>
  </si>
  <si>
    <t>Local plan data (2020)</t>
  </si>
  <si>
    <t>Data on urban rural classifications (2011)</t>
  </si>
  <si>
    <t>https://geoportal.statistics.gov.uk/search?collection=Dataset&amp;sort=name&amp;tags=all(PRD_RUC)</t>
  </si>
  <si>
    <t>Data on political control (2021)</t>
  </si>
  <si>
    <t xml:space="preserve">How to use the HDT calculation tool </t>
  </si>
  <si>
    <t>Introduction</t>
  </si>
  <si>
    <t xml:space="preserve">The formula </t>
  </si>
  <si>
    <t>HDT (%) = total net homes delivered over a 3 year period / total number of homes required over a 3 year period</t>
  </si>
  <si>
    <t>The data</t>
  </si>
  <si>
    <t xml:space="preserve">How to use the tool </t>
  </si>
  <si>
    <t>Useful sources</t>
  </si>
  <si>
    <t>Mathematical formula</t>
  </si>
  <si>
    <t>From this point onwards projections are either 2014 or 2016 and can be changed using the option in the 'individualLATest' sheet</t>
  </si>
  <si>
    <t>ONS Code</t>
  </si>
  <si>
    <t>Local Authority</t>
  </si>
  <si>
    <t>Region</t>
  </si>
  <si>
    <t>Political Control</t>
  </si>
  <si>
    <t>Urban/Rural Classification (narrow)</t>
  </si>
  <si>
    <t>Urban/Rural Classification (broad)</t>
  </si>
  <si>
    <t>Plan age</t>
  </si>
  <si>
    <t>Current local assessment of housing need, based on most recent publically available document 
(dwellings per annum)</t>
  </si>
  <si>
    <t>Lower range</t>
  </si>
  <si>
    <t>plan requirement 2018</t>
  </si>
  <si>
    <t>plan requirement 2019</t>
  </si>
  <si>
    <t>plan requirement 2020</t>
  </si>
  <si>
    <t>plan requirement 2021</t>
  </si>
  <si>
    <t>plan requirement 2022</t>
  </si>
  <si>
    <t>plan requirement 2023</t>
  </si>
  <si>
    <t>plan requirement 2024</t>
  </si>
  <si>
    <t>plan requirement 2025</t>
  </si>
  <si>
    <t>Hshld change 2018-2028</t>
  </si>
  <si>
    <t>Hshld change 2019-2029</t>
  </si>
  <si>
    <t>Hshld change 2020-2030</t>
  </si>
  <si>
    <t>Hshld change 2021-2031</t>
  </si>
  <si>
    <t>Hshld change 2022-2032</t>
  </si>
  <si>
    <t>Hshld change 2023-2033</t>
  </si>
  <si>
    <t>Hshld change 2024-2034</t>
  </si>
  <si>
    <t>Hshld change 2025-2035</t>
  </si>
  <si>
    <t>Affordability 2018</t>
  </si>
  <si>
    <t>Affordability 2019</t>
  </si>
  <si>
    <t>Affordability 2020</t>
  </si>
  <si>
    <t>Affordability 2021</t>
  </si>
  <si>
    <t>Affordability 2022</t>
  </si>
  <si>
    <t>Affordability 2023</t>
  </si>
  <si>
    <t>Affordability 2024</t>
  </si>
  <si>
    <t>Affordability 2025</t>
  </si>
  <si>
    <t>Minimum LHN 2018</t>
  </si>
  <si>
    <t>Minimum LHN 2019</t>
  </si>
  <si>
    <t>Minimum LHN 2020</t>
  </si>
  <si>
    <t>Minimum LHN 2021</t>
  </si>
  <si>
    <t>Minimum LHN 2022</t>
  </si>
  <si>
    <t>Minimum LHN 2023</t>
  </si>
  <si>
    <t>Minimum LHN 2024</t>
  </si>
  <si>
    <t>Minimum LHN 2025</t>
  </si>
  <si>
    <t>Capped LHN 2018</t>
  </si>
  <si>
    <t>Capped LHN 2019</t>
  </si>
  <si>
    <t>Capped LHN 2020</t>
  </si>
  <si>
    <t>Capped LHN 2021</t>
  </si>
  <si>
    <t>Capped LHN 2022</t>
  </si>
  <si>
    <t>Capped LHN 2023</t>
  </si>
  <si>
    <t>Capped LHN 2024</t>
  </si>
  <si>
    <t>Capped LHN 2025</t>
  </si>
  <si>
    <t>Days remaining on plan 2018</t>
  </si>
  <si>
    <t>Days remaining on plan 2019</t>
  </si>
  <si>
    <t>Days remaining on plan 2020</t>
  </si>
  <si>
    <t>Days remaining on plan 2021</t>
  </si>
  <si>
    <t>Days remaining on plan 2022</t>
  </si>
  <si>
    <t>Days remaining on plan 2023</t>
  </si>
  <si>
    <t>Days remaining on plan 2024</t>
  </si>
  <si>
    <t>Days remaining on plan 2025</t>
  </si>
  <si>
    <t>Post-cap 35% uplift for relevant authorities 2018</t>
  </si>
  <si>
    <t>Post-cap 35% uplift for relevant authorities 2019</t>
  </si>
  <si>
    <t>Post-cap 35% uplift for relevant authorities 2020</t>
  </si>
  <si>
    <t>Post-cap 35% uplift for relevant authorities 2021</t>
  </si>
  <si>
    <t>Post-cap 35% uplift for relevant authorities 2022</t>
  </si>
  <si>
    <t>Post-cap 35% uplift for relevant authorities 2023</t>
  </si>
  <si>
    <t>Post-cap 35% uplift for relevant authorities 2024</t>
  </si>
  <si>
    <t>Post-cap 35% uplift for relevant authorities 2025</t>
  </si>
  <si>
    <t>Net additional dwellings 2018/19</t>
  </si>
  <si>
    <t>Net additional dwellings 2019/20</t>
  </si>
  <si>
    <t>Net additional dwellings 2020/21</t>
  </si>
  <si>
    <t>Net additional dwellings 2021/22</t>
  </si>
  <si>
    <t>Net additional dwellings 2022/23</t>
  </si>
  <si>
    <t>Net additional dwellings 2023/24</t>
  </si>
  <si>
    <t>Net additional dwellings 2024/25</t>
  </si>
  <si>
    <t>Net additional dwellings 2025/26</t>
  </si>
  <si>
    <t>homes required 2020/21-2022/23</t>
  </si>
  <si>
    <t>HDT 2021</t>
  </si>
  <si>
    <t>HDT 2021 classification</t>
  </si>
  <si>
    <t>HDT 2022</t>
  </si>
  <si>
    <t>HDT 2022 classification</t>
  </si>
  <si>
    <t>HDT 2023</t>
  </si>
  <si>
    <t>HDT 2023 classification</t>
  </si>
  <si>
    <t>E07000223</t>
  </si>
  <si>
    <t>Adur</t>
  </si>
  <si>
    <t>SE</t>
  </si>
  <si>
    <t>E07000026</t>
  </si>
  <si>
    <t>Allerdale</t>
  </si>
  <si>
    <t>NW</t>
  </si>
  <si>
    <t>E07000032</t>
  </si>
  <si>
    <t>Amber Valley</t>
  </si>
  <si>
    <t>EM</t>
  </si>
  <si>
    <t>E07000224</t>
  </si>
  <si>
    <t>Arun</t>
  </si>
  <si>
    <t>E07000170</t>
  </si>
  <si>
    <t>Ashfield</t>
  </si>
  <si>
    <t>E07000105</t>
  </si>
  <si>
    <t>Ashford</t>
  </si>
  <si>
    <t>E07000200</t>
  </si>
  <si>
    <t>Babergh</t>
  </si>
  <si>
    <t>E</t>
  </si>
  <si>
    <t>E09000002</t>
  </si>
  <si>
    <t>Barking and Dagenham</t>
  </si>
  <si>
    <t>GL</t>
  </si>
  <si>
    <t>E09000003</t>
  </si>
  <si>
    <t>Barnet</t>
  </si>
  <si>
    <t>E08000016</t>
  </si>
  <si>
    <t>Barnsley</t>
  </si>
  <si>
    <t>YH</t>
  </si>
  <si>
    <t>E07000027</t>
  </si>
  <si>
    <t>Barrow-in-Furness</t>
  </si>
  <si>
    <t>E07000066</t>
  </si>
  <si>
    <t>Basildon</t>
  </si>
  <si>
    <t>E07000084</t>
  </si>
  <si>
    <t>Basingstoke and Deane</t>
  </si>
  <si>
    <t>E07000171</t>
  </si>
  <si>
    <t>Bassetlaw</t>
  </si>
  <si>
    <t>E06000022</t>
  </si>
  <si>
    <t>Bath and North East Somerset</t>
  </si>
  <si>
    <t>SW</t>
  </si>
  <si>
    <t>E06000055</t>
  </si>
  <si>
    <t>Bedford Borough</t>
  </si>
  <si>
    <t>E09000004</t>
  </si>
  <si>
    <t>Bexley</t>
  </si>
  <si>
    <t>E08000025</t>
  </si>
  <si>
    <t>Birmingham</t>
  </si>
  <si>
    <t>WM</t>
  </si>
  <si>
    <t>E07000129</t>
  </si>
  <si>
    <t>Blaby</t>
  </si>
  <si>
    <t>E06000008</t>
  </si>
  <si>
    <t>Blackburn with Darwen</t>
  </si>
  <si>
    <t>E06000009</t>
  </si>
  <si>
    <t>Blackpool</t>
  </si>
  <si>
    <t>E07000033</t>
  </si>
  <si>
    <t>Bolsover</t>
  </si>
  <si>
    <t>E08000001</t>
  </si>
  <si>
    <t>Bolton</t>
  </si>
  <si>
    <t>E07000136</t>
  </si>
  <si>
    <t>Boston</t>
  </si>
  <si>
    <t>E06000058</t>
  </si>
  <si>
    <t>Bournemouth, Christchurch and Poole</t>
  </si>
  <si>
    <t>E06000036</t>
  </si>
  <si>
    <t>Bracknell Forest</t>
  </si>
  <si>
    <t>E08000032</t>
  </si>
  <si>
    <t>Bradford</t>
  </si>
  <si>
    <t>E07000067</t>
  </si>
  <si>
    <t>Braintree</t>
  </si>
  <si>
    <t>E07000143</t>
  </si>
  <si>
    <t>Breckland</t>
  </si>
  <si>
    <t>E09000005</t>
  </si>
  <si>
    <t>Brent</t>
  </si>
  <si>
    <t>E07000068</t>
  </si>
  <si>
    <t>Brentwood</t>
  </si>
  <si>
    <t>E06000043</t>
  </si>
  <si>
    <t>Brighton and Hove</t>
  </si>
  <si>
    <t>E06000023</t>
  </si>
  <si>
    <t>Bristol</t>
  </si>
  <si>
    <t>E07000144</t>
  </si>
  <si>
    <t>Broadland</t>
  </si>
  <si>
    <t>E09000006</t>
  </si>
  <si>
    <t>Bromley</t>
  </si>
  <si>
    <t>E07000234</t>
  </si>
  <si>
    <t>Bromsgrove</t>
  </si>
  <si>
    <t>E07000095</t>
  </si>
  <si>
    <t>Broxbourne</t>
  </si>
  <si>
    <t>E07000172</t>
  </si>
  <si>
    <t>Broxtowe</t>
  </si>
  <si>
    <t>E06000060</t>
  </si>
  <si>
    <t>Buckinghamshire</t>
  </si>
  <si>
    <t>E07000117</t>
  </si>
  <si>
    <t>Burnley</t>
  </si>
  <si>
    <t>E08000002</t>
  </si>
  <si>
    <t>Bury</t>
  </si>
  <si>
    <t>E08000033</t>
  </si>
  <si>
    <t>Calderdale</t>
  </si>
  <si>
    <t>E07000008</t>
  </si>
  <si>
    <t>Cambridge</t>
  </si>
  <si>
    <t>E09000007</t>
  </si>
  <si>
    <t>Camden</t>
  </si>
  <si>
    <t>E07000192</t>
  </si>
  <si>
    <t>Cannock Chase</t>
  </si>
  <si>
    <t>E07000106</t>
  </si>
  <si>
    <t>Canterbury</t>
  </si>
  <si>
    <t>E07000028</t>
  </si>
  <si>
    <t>Carlisle</t>
  </si>
  <si>
    <t>E07000069</t>
  </si>
  <si>
    <t>Castle Point</t>
  </si>
  <si>
    <t>E06000056</t>
  </si>
  <si>
    <t>Central Bedfordshire</t>
  </si>
  <si>
    <t>E07000130</t>
  </si>
  <si>
    <t>Charnwood</t>
  </si>
  <si>
    <t>E07000070</t>
  </si>
  <si>
    <t>Chelmsford</t>
  </si>
  <si>
    <t>E07000078</t>
  </si>
  <si>
    <t>Cheltenham</t>
  </si>
  <si>
    <t>E07000177</t>
  </si>
  <si>
    <t>Cherwell</t>
  </si>
  <si>
    <t>E06000049</t>
  </si>
  <si>
    <t>Cheshire East</t>
  </si>
  <si>
    <t>E06000050</t>
  </si>
  <si>
    <t>Cheshire West and Chester</t>
  </si>
  <si>
    <t>E07000034</t>
  </si>
  <si>
    <t>Chesterfield</t>
  </si>
  <si>
    <t>E07000225</t>
  </si>
  <si>
    <t>Chichester</t>
  </si>
  <si>
    <t>E07000118</t>
  </si>
  <si>
    <t>Chorley</t>
  </si>
  <si>
    <t>E09000001</t>
  </si>
  <si>
    <t>City of London</t>
  </si>
  <si>
    <t>E07000071</t>
  </si>
  <si>
    <t>Colchester</t>
  </si>
  <si>
    <t>E07000029</t>
  </si>
  <si>
    <t>Copeland</t>
  </si>
  <si>
    <t>E07000150</t>
  </si>
  <si>
    <t>Corby</t>
  </si>
  <si>
    <t>E06000052</t>
  </si>
  <si>
    <t>Cornwall</t>
  </si>
  <si>
    <t>E07000079</t>
  </si>
  <si>
    <t>Cotswold</t>
  </si>
  <si>
    <t>E08000026</t>
  </si>
  <si>
    <t>Coventry</t>
  </si>
  <si>
    <t>E07000163</t>
  </si>
  <si>
    <t>Craven</t>
  </si>
  <si>
    <t>E07000226</t>
  </si>
  <si>
    <t>Crawley</t>
  </si>
  <si>
    <t>E09000008</t>
  </si>
  <si>
    <t>Croydon</t>
  </si>
  <si>
    <t>E07000096</t>
  </si>
  <si>
    <t>Dacorum</t>
  </si>
  <si>
    <t>E06000005</t>
  </si>
  <si>
    <t>Darlington</t>
  </si>
  <si>
    <t>NE</t>
  </si>
  <si>
    <t>E07000107</t>
  </si>
  <si>
    <t>Dartford</t>
  </si>
  <si>
    <t>E07000151</t>
  </si>
  <si>
    <t>Daventry</t>
  </si>
  <si>
    <t>E06000015</t>
  </si>
  <si>
    <t>Derby</t>
  </si>
  <si>
    <t>E07000035</t>
  </si>
  <si>
    <t>Derbyshire Dales</t>
  </si>
  <si>
    <t>E08000017</t>
  </si>
  <si>
    <t>Doncaster</t>
  </si>
  <si>
    <t>E06000059</t>
  </si>
  <si>
    <t>Dorset</t>
  </si>
  <si>
    <t>E07000108</t>
  </si>
  <si>
    <t>Dover</t>
  </si>
  <si>
    <t>E08000027</t>
  </si>
  <si>
    <t>Dudley</t>
  </si>
  <si>
    <t>E06000047</t>
  </si>
  <si>
    <t>Durham</t>
  </si>
  <si>
    <t>E09000009</t>
  </si>
  <si>
    <t>Ealing</t>
  </si>
  <si>
    <t>E07000009</t>
  </si>
  <si>
    <t>East Cambridgeshire</t>
  </si>
  <si>
    <t>E07000040</t>
  </si>
  <si>
    <t>East Devon</t>
  </si>
  <si>
    <t>E07000085</t>
  </si>
  <si>
    <t>East Hampshire</t>
  </si>
  <si>
    <t>E07000242</t>
  </si>
  <si>
    <t>East Hertfordshire</t>
  </si>
  <si>
    <t>E07000137</t>
  </si>
  <si>
    <t>East Lindsey</t>
  </si>
  <si>
    <t>E07000152</t>
  </si>
  <si>
    <t>East Northamptonshire</t>
  </si>
  <si>
    <t>E06000011</t>
  </si>
  <si>
    <t>East Riding of Yorkshire</t>
  </si>
  <si>
    <t>E07000193</t>
  </si>
  <si>
    <t>East Staffordshire</t>
  </si>
  <si>
    <t>E07000244</t>
  </si>
  <si>
    <t>East Suffolk</t>
  </si>
  <si>
    <t>E07000061</t>
  </si>
  <si>
    <t>Eastbourne</t>
  </si>
  <si>
    <t>E07000086</t>
  </si>
  <si>
    <t>Eastleigh</t>
  </si>
  <si>
    <t>E07000030</t>
  </si>
  <si>
    <t>Eden</t>
  </si>
  <si>
    <t>E07000207</t>
  </si>
  <si>
    <t>Elmbridge</t>
  </si>
  <si>
    <t>E09000010</t>
  </si>
  <si>
    <t>Enfield</t>
  </si>
  <si>
    <t>E07000072</t>
  </si>
  <si>
    <t>Epping Forest</t>
  </si>
  <si>
    <t>E07000208</t>
  </si>
  <si>
    <t>Epsom and Ewell</t>
  </si>
  <si>
    <t>E07000036</t>
  </si>
  <si>
    <t>Erewash</t>
  </si>
  <si>
    <t>E07000041</t>
  </si>
  <si>
    <t>Exeter</t>
  </si>
  <si>
    <t>E07000087</t>
  </si>
  <si>
    <t>Fareham</t>
  </si>
  <si>
    <t>E07000010</t>
  </si>
  <si>
    <t>Fenland</t>
  </si>
  <si>
    <t>E07000112</t>
  </si>
  <si>
    <t>Folkestone and Hythe</t>
  </si>
  <si>
    <t>E07000080</t>
  </si>
  <si>
    <t>Forest of Dean</t>
  </si>
  <si>
    <t>E07000119</t>
  </si>
  <si>
    <t>Fylde</t>
  </si>
  <si>
    <t>E08000037</t>
  </si>
  <si>
    <t>Gateshead</t>
  </si>
  <si>
    <t>E07000173</t>
  </si>
  <si>
    <t>Gedling</t>
  </si>
  <si>
    <t>E07000081</t>
  </si>
  <si>
    <t>Gloucester</t>
  </si>
  <si>
    <t>E07000088</t>
  </si>
  <si>
    <t>Gosport</t>
  </si>
  <si>
    <t>E07000109</t>
  </si>
  <si>
    <t>Gravesham</t>
  </si>
  <si>
    <t>E07000145</t>
  </si>
  <si>
    <t>Great Yarmouth</t>
  </si>
  <si>
    <t>E09000011</t>
  </si>
  <si>
    <t>Greenwich</t>
  </si>
  <si>
    <t>E07000209</t>
  </si>
  <si>
    <t>Guildford</t>
  </si>
  <si>
    <t>E09000012</t>
  </si>
  <si>
    <t>Hackney</t>
  </si>
  <si>
    <t>E06000006</t>
  </si>
  <si>
    <t>Halton</t>
  </si>
  <si>
    <t>E07000164</t>
  </si>
  <si>
    <t>Hambleton</t>
  </si>
  <si>
    <t>E09000013</t>
  </si>
  <si>
    <t>Hammersmith and Fulham</t>
  </si>
  <si>
    <t>E07000131</t>
  </si>
  <si>
    <t>Harborough</t>
  </si>
  <si>
    <t>E09000014</t>
  </si>
  <si>
    <t>Haringey</t>
  </si>
  <si>
    <t>E07000073</t>
  </si>
  <si>
    <t>Harlow</t>
  </si>
  <si>
    <t>E07000165</t>
  </si>
  <si>
    <t>Harrogate</t>
  </si>
  <si>
    <t>E09000015</t>
  </si>
  <si>
    <t>Harrow</t>
  </si>
  <si>
    <t>E07000089</t>
  </si>
  <si>
    <t>Hart</t>
  </si>
  <si>
    <t>E06000001</t>
  </si>
  <si>
    <t>Hartlepool</t>
  </si>
  <si>
    <t>E07000062</t>
  </si>
  <si>
    <t>Hastings</t>
  </si>
  <si>
    <t>E07000090</t>
  </si>
  <si>
    <t>Havant</t>
  </si>
  <si>
    <t>E09000016</t>
  </si>
  <si>
    <t>Havering</t>
  </si>
  <si>
    <t>E06000019</t>
  </si>
  <si>
    <t>Herefordshire</t>
  </si>
  <si>
    <t>E07000098</t>
  </si>
  <si>
    <t>Hertsmere</t>
  </si>
  <si>
    <t>E07000037</t>
  </si>
  <si>
    <t>High Peak</t>
  </si>
  <si>
    <t>E09000017</t>
  </si>
  <si>
    <t>Hillingdon</t>
  </si>
  <si>
    <t>E07000132</t>
  </si>
  <si>
    <t>Hinckley and Bosworth</t>
  </si>
  <si>
    <t>E07000227</t>
  </si>
  <si>
    <t>Horsham</t>
  </si>
  <si>
    <t>E09000018</t>
  </si>
  <si>
    <t>Hounslow</t>
  </si>
  <si>
    <t>E07000011</t>
  </si>
  <si>
    <t>Huntingdonshire</t>
  </si>
  <si>
    <t>E07000120</t>
  </si>
  <si>
    <t>Hyndburn</t>
  </si>
  <si>
    <t>E07000202</t>
  </si>
  <si>
    <t>Ipswich</t>
  </si>
  <si>
    <t>E06000046</t>
  </si>
  <si>
    <t>Isle of Wight</t>
  </si>
  <si>
    <t>E06000053</t>
  </si>
  <si>
    <t>Isles of Scilly</t>
  </si>
  <si>
    <t>E09000019</t>
  </si>
  <si>
    <t>Islington</t>
  </si>
  <si>
    <t>E09000020</t>
  </si>
  <si>
    <t>Kensington and Chelsea</t>
  </si>
  <si>
    <t>E07000153</t>
  </si>
  <si>
    <t>Kettering</t>
  </si>
  <si>
    <t>E07000146</t>
  </si>
  <si>
    <t>King's Lynn and West Norfolk</t>
  </si>
  <si>
    <t>E06000010</t>
  </si>
  <si>
    <t>Kingston upon Hull</t>
  </si>
  <si>
    <t>E09000021</t>
  </si>
  <si>
    <t>Kingston upon Thames</t>
  </si>
  <si>
    <t>E08000034</t>
  </si>
  <si>
    <t>Kirklees</t>
  </si>
  <si>
    <t>E08000011</t>
  </si>
  <si>
    <t>Knowsley</t>
  </si>
  <si>
    <t>E09000022</t>
  </si>
  <si>
    <t>Lambeth</t>
  </si>
  <si>
    <t>E07000121</t>
  </si>
  <si>
    <t>Lancaster</t>
  </si>
  <si>
    <t>E08000035</t>
  </si>
  <si>
    <t>Leeds</t>
  </si>
  <si>
    <t>E06000016</t>
  </si>
  <si>
    <t>Leicester</t>
  </si>
  <si>
    <t>E07000063</t>
  </si>
  <si>
    <t>Lewes</t>
  </si>
  <si>
    <t>E09000023</t>
  </si>
  <si>
    <t>Lewisham</t>
  </si>
  <si>
    <t>E07000194</t>
  </si>
  <si>
    <t>Lichfield</t>
  </si>
  <si>
    <t>E07000138</t>
  </si>
  <si>
    <t>Lincoln</t>
  </si>
  <si>
    <t>E08000012</t>
  </si>
  <si>
    <t>Liverpool</t>
  </si>
  <si>
    <t>E06000032</t>
  </si>
  <si>
    <t>Luton</t>
  </si>
  <si>
    <t>E07000110</t>
  </si>
  <si>
    <t>Maidstone</t>
  </si>
  <si>
    <t>E07000074</t>
  </si>
  <si>
    <t>Maldon</t>
  </si>
  <si>
    <t>E07000235</t>
  </si>
  <si>
    <t>Malvern Hills</t>
  </si>
  <si>
    <t>E08000003</t>
  </si>
  <si>
    <t>Manchester</t>
  </si>
  <si>
    <t>E07000174</t>
  </si>
  <si>
    <t>Mansfield</t>
  </si>
  <si>
    <t>E06000035</t>
  </si>
  <si>
    <t>Medway</t>
  </si>
  <si>
    <t>E07000133</t>
  </si>
  <si>
    <t>Melton</t>
  </si>
  <si>
    <t>E07000187</t>
  </si>
  <si>
    <t>Mendip</t>
  </si>
  <si>
    <t>E09000024</t>
  </si>
  <si>
    <t>Merton</t>
  </si>
  <si>
    <t>E07000042</t>
  </si>
  <si>
    <t>Mid Devon</t>
  </si>
  <si>
    <t>E07000203</t>
  </si>
  <si>
    <t>Mid Suffolk</t>
  </si>
  <si>
    <t>E07000228</t>
  </si>
  <si>
    <t>Mid Sussex</t>
  </si>
  <si>
    <t>E06000002</t>
  </si>
  <si>
    <t>Middlesbrough</t>
  </si>
  <si>
    <t>E06000042</t>
  </si>
  <si>
    <t>Milton Keynes</t>
  </si>
  <si>
    <t>E07000210</t>
  </si>
  <si>
    <t>Mole Valley</t>
  </si>
  <si>
    <t>E07000091</t>
  </si>
  <si>
    <t>New Forest</t>
  </si>
  <si>
    <t>E07000175</t>
  </si>
  <si>
    <t>Newark and Sherwood</t>
  </si>
  <si>
    <t>E08000021</t>
  </si>
  <si>
    <t>Newcastle upon Tyne</t>
  </si>
  <si>
    <t>E07000195</t>
  </si>
  <si>
    <t>Newcastle-under-Lyme</t>
  </si>
  <si>
    <t>E09000025</t>
  </si>
  <si>
    <t>Newham</t>
  </si>
  <si>
    <t>E07000043</t>
  </si>
  <si>
    <t>North Devon</t>
  </si>
  <si>
    <t>E07000038</t>
  </si>
  <si>
    <t>North East Derbyshire</t>
  </si>
  <si>
    <t>E06000012</t>
  </si>
  <si>
    <t>North East Lincolnshire</t>
  </si>
  <si>
    <t>E07000099</t>
  </si>
  <si>
    <t>North Hertfordshire</t>
  </si>
  <si>
    <t>E07000139</t>
  </si>
  <si>
    <t>North Kesteven</t>
  </si>
  <si>
    <t>E06000013</t>
  </si>
  <si>
    <t>North Lincolnshire</t>
  </si>
  <si>
    <t>E07000147</t>
  </si>
  <si>
    <t>North Norfolk</t>
  </si>
  <si>
    <t>E06000024</t>
  </si>
  <si>
    <t>North Somerset</t>
  </si>
  <si>
    <t>E08000022</t>
  </si>
  <si>
    <t>North Tyneside</t>
  </si>
  <si>
    <t>E07000218</t>
  </si>
  <si>
    <t>North Warwickshire</t>
  </si>
  <si>
    <t>E07000134</t>
  </si>
  <si>
    <t>North West Leicestershire</t>
  </si>
  <si>
    <t>E07000154</t>
  </si>
  <si>
    <t>Northampton</t>
  </si>
  <si>
    <t>E06000057</t>
  </si>
  <si>
    <t>Northumberland</t>
  </si>
  <si>
    <t>E07000148</t>
  </si>
  <si>
    <t>Norwich</t>
  </si>
  <si>
    <t>E06000018</t>
  </si>
  <si>
    <t>Nottingham</t>
  </si>
  <si>
    <t>E07000219</t>
  </si>
  <si>
    <t>Nuneaton and Bedworth</t>
  </si>
  <si>
    <t>E07000135</t>
  </si>
  <si>
    <t>Oadby and Wigston</t>
  </si>
  <si>
    <t>E08000004</t>
  </si>
  <si>
    <t>Oldham</t>
  </si>
  <si>
    <t>E07000178</t>
  </si>
  <si>
    <t>Oxford</t>
  </si>
  <si>
    <t>E07000122</t>
  </si>
  <si>
    <t>Pendle</t>
  </si>
  <si>
    <t>E06000031</t>
  </si>
  <si>
    <t>Peterborough</t>
  </si>
  <si>
    <t>E06000026</t>
  </si>
  <si>
    <t>Plymouth</t>
  </si>
  <si>
    <t>E06000044</t>
  </si>
  <si>
    <t>Portsmouth</t>
  </si>
  <si>
    <t>E07000123</t>
  </si>
  <si>
    <t>Preston</t>
  </si>
  <si>
    <t>E06000038</t>
  </si>
  <si>
    <t>Reading</t>
  </si>
  <si>
    <t>E09000026</t>
  </si>
  <si>
    <t>Redbridge</t>
  </si>
  <si>
    <t>E06000003</t>
  </si>
  <si>
    <t>Redcar and Cleveland</t>
  </si>
  <si>
    <t>E07000236</t>
  </si>
  <si>
    <t>Redditch</t>
  </si>
  <si>
    <t>E07000211</t>
  </si>
  <si>
    <t>Reigate and Banstead</t>
  </si>
  <si>
    <t>E07000124</t>
  </si>
  <si>
    <t>Ribble Valley</t>
  </si>
  <si>
    <t>E09000027</t>
  </si>
  <si>
    <t>Richmond upon Thames</t>
  </si>
  <si>
    <t>E07000166</t>
  </si>
  <si>
    <t>Richmondshire</t>
  </si>
  <si>
    <t>E08000005</t>
  </si>
  <si>
    <t>Rochdale</t>
  </si>
  <si>
    <t>E07000075</t>
  </si>
  <si>
    <t>Rochford</t>
  </si>
  <si>
    <t>E07000125</t>
  </si>
  <si>
    <t>Rossendale</t>
  </si>
  <si>
    <t>E07000064</t>
  </si>
  <si>
    <t>Rother</t>
  </si>
  <si>
    <t>E08000018</t>
  </si>
  <si>
    <t>Rotherham</t>
  </si>
  <si>
    <t>E07000220</t>
  </si>
  <si>
    <t>Rugby</t>
  </si>
  <si>
    <t>E07000212</t>
  </si>
  <si>
    <t>Runnymede</t>
  </si>
  <si>
    <t>E07000176</t>
  </si>
  <si>
    <t>Rushcliffe</t>
  </si>
  <si>
    <t>E07000092</t>
  </si>
  <si>
    <t>Rushmoor</t>
  </si>
  <si>
    <t>E06000017</t>
  </si>
  <si>
    <t>Rutland</t>
  </si>
  <si>
    <t>E07000167</t>
  </si>
  <si>
    <t>Ryedale</t>
  </si>
  <si>
    <t>E08000006</t>
  </si>
  <si>
    <t>Salford</t>
  </si>
  <si>
    <t>E08000028</t>
  </si>
  <si>
    <t>Sandwell</t>
  </si>
  <si>
    <t>E07000168</t>
  </si>
  <si>
    <t>Scarborough</t>
  </si>
  <si>
    <t>E07000188</t>
  </si>
  <si>
    <t>Sedgemoor</t>
  </si>
  <si>
    <t>E08000014</t>
  </si>
  <si>
    <t>Sefton</t>
  </si>
  <si>
    <t>E07000169</t>
  </si>
  <si>
    <t>Selby</t>
  </si>
  <si>
    <t>E07000111</t>
  </si>
  <si>
    <t>Sevenoaks</t>
  </si>
  <si>
    <t>E08000019</t>
  </si>
  <si>
    <t>Sheffield</t>
  </si>
  <si>
    <t>E06000051</t>
  </si>
  <si>
    <t>Shropshire</t>
  </si>
  <si>
    <t>E06000039</t>
  </si>
  <si>
    <t>Slough</t>
  </si>
  <si>
    <t>E08000029</t>
  </si>
  <si>
    <t>Solihull</t>
  </si>
  <si>
    <t>E07000246</t>
  </si>
  <si>
    <t>Somerset West and Taunton</t>
  </si>
  <si>
    <t>E07000012</t>
  </si>
  <si>
    <t>South Cambridgeshire</t>
  </si>
  <si>
    <t>E07000039</t>
  </si>
  <si>
    <t>South Derbyshire</t>
  </si>
  <si>
    <t>E06000025</t>
  </si>
  <si>
    <t>South Gloucestershire</t>
  </si>
  <si>
    <t>E07000044</t>
  </si>
  <si>
    <t>South Hams</t>
  </si>
  <si>
    <t>E07000140</t>
  </si>
  <si>
    <t>South Holland</t>
  </si>
  <si>
    <t>E07000141</t>
  </si>
  <si>
    <t>South Kesteven</t>
  </si>
  <si>
    <t>E07000031</t>
  </si>
  <si>
    <t>South Lakeland</t>
  </si>
  <si>
    <t>E07000149</t>
  </si>
  <si>
    <t>South Norfolk</t>
  </si>
  <si>
    <t>E07000155</t>
  </si>
  <si>
    <t>South Northamptonshire</t>
  </si>
  <si>
    <t>E07000179</t>
  </si>
  <si>
    <t>South Oxfordshire</t>
  </si>
  <si>
    <t>E07000126</t>
  </si>
  <si>
    <t>South Ribble</t>
  </si>
  <si>
    <t>E07000189</t>
  </si>
  <si>
    <t>South Somerset</t>
  </si>
  <si>
    <t>E07000196</t>
  </si>
  <si>
    <t>South Staffordshire</t>
  </si>
  <si>
    <t>E08000023</t>
  </si>
  <si>
    <t>South Tyneside</t>
  </si>
  <si>
    <t>E06000045</t>
  </si>
  <si>
    <t>Southampton</t>
  </si>
  <si>
    <t>E06000033</t>
  </si>
  <si>
    <t>Southend-on-Sea</t>
  </si>
  <si>
    <t>E09000028</t>
  </si>
  <si>
    <t>Southwark</t>
  </si>
  <si>
    <t>E07000213</t>
  </si>
  <si>
    <t>Spelthorne</t>
  </si>
  <si>
    <t>E07000240</t>
  </si>
  <si>
    <t>St Albans</t>
  </si>
  <si>
    <t>E08000013</t>
  </si>
  <si>
    <t>St. Helens</t>
  </si>
  <si>
    <t>E07000197</t>
  </si>
  <si>
    <t>Stafford</t>
  </si>
  <si>
    <t>E07000198</t>
  </si>
  <si>
    <t>Staffordshire Moorlands</t>
  </si>
  <si>
    <t>E07000243</t>
  </si>
  <si>
    <t>Stevenage</t>
  </si>
  <si>
    <t>E08000007</t>
  </si>
  <si>
    <t>Stockport</t>
  </si>
  <si>
    <t>E06000004</t>
  </si>
  <si>
    <t>Stockton-on-Tees</t>
  </si>
  <si>
    <t>E06000021</t>
  </si>
  <si>
    <t>Stoke-on-Trent</t>
  </si>
  <si>
    <t>E07000221</t>
  </si>
  <si>
    <t>Stratford-on-Avon</t>
  </si>
  <si>
    <t>E07000082</t>
  </si>
  <si>
    <t>Stroud</t>
  </si>
  <si>
    <t>E08000024</t>
  </si>
  <si>
    <t>Sunderland</t>
  </si>
  <si>
    <t>E07000214</t>
  </si>
  <si>
    <t>Surrey Heath</t>
  </si>
  <si>
    <t>E09000029</t>
  </si>
  <si>
    <t>Sutton</t>
  </si>
  <si>
    <t>E07000113</t>
  </si>
  <si>
    <t>Swale</t>
  </si>
  <si>
    <t>E06000030</t>
  </si>
  <si>
    <t>Swindon</t>
  </si>
  <si>
    <t>E08000008</t>
  </si>
  <si>
    <t>Tameside</t>
  </si>
  <si>
    <t>E07000199</t>
  </si>
  <si>
    <t>Tamworth</t>
  </si>
  <si>
    <t>E07000215</t>
  </si>
  <si>
    <t>Tandridge</t>
  </si>
  <si>
    <t>E07000045</t>
  </si>
  <si>
    <t>Teignbridge</t>
  </si>
  <si>
    <t>E06000020</t>
  </si>
  <si>
    <t>Telford and Wrekin</t>
  </si>
  <si>
    <t>E07000076</t>
  </si>
  <si>
    <t>Tendring</t>
  </si>
  <si>
    <t>E07000093</t>
  </si>
  <si>
    <t>Test Valley</t>
  </si>
  <si>
    <t>E07000083</t>
  </si>
  <si>
    <t>Tewkesbury</t>
  </si>
  <si>
    <t>E07000114</t>
  </si>
  <si>
    <t>Thanet</t>
  </si>
  <si>
    <t>E07000102</t>
  </si>
  <si>
    <t>Three Rivers</t>
  </si>
  <si>
    <t>E06000034</t>
  </si>
  <si>
    <t>Thurrock</t>
  </si>
  <si>
    <t>E07000115</t>
  </si>
  <si>
    <t>Tonbridge and Malling</t>
  </si>
  <si>
    <t>E06000027</t>
  </si>
  <si>
    <t>Torbay</t>
  </si>
  <si>
    <t>E07000046</t>
  </si>
  <si>
    <t>Torridge</t>
  </si>
  <si>
    <t>E09000030</t>
  </si>
  <si>
    <t>Tower Hamlets</t>
  </si>
  <si>
    <t>E08000009</t>
  </si>
  <si>
    <t>Trafford</t>
  </si>
  <si>
    <t>E07000116</t>
  </si>
  <si>
    <t>Tunbridge Wells</t>
  </si>
  <si>
    <t>E07000077</t>
  </si>
  <si>
    <t>Uttlesford</t>
  </si>
  <si>
    <t>E07000180</t>
  </si>
  <si>
    <t>Vale of White Horse</t>
  </si>
  <si>
    <t>E08000036</t>
  </si>
  <si>
    <t>Wakefield</t>
  </si>
  <si>
    <t>E08000030</t>
  </si>
  <si>
    <t>Walsall</t>
  </si>
  <si>
    <t>E09000031</t>
  </si>
  <si>
    <t>Waltham Forest</t>
  </si>
  <si>
    <t>E09000032</t>
  </si>
  <si>
    <t>Wandsworth</t>
  </si>
  <si>
    <t>E06000007</t>
  </si>
  <si>
    <t>Warrington</t>
  </si>
  <si>
    <t>E07000222</t>
  </si>
  <si>
    <t>Warwick</t>
  </si>
  <si>
    <t>E07000103</t>
  </si>
  <si>
    <t>Watford</t>
  </si>
  <si>
    <t>E07000216</t>
  </si>
  <si>
    <t>Waverley</t>
  </si>
  <si>
    <t>E07000065</t>
  </si>
  <si>
    <t>Wealden</t>
  </si>
  <si>
    <t>E07000156</t>
  </si>
  <si>
    <t>Wellingborough</t>
  </si>
  <si>
    <t>E07000241</t>
  </si>
  <si>
    <t>Welwyn Hatfield</t>
  </si>
  <si>
    <t>E06000037</t>
  </si>
  <si>
    <t>West Berkshire</t>
  </si>
  <si>
    <t>E07000047</t>
  </si>
  <si>
    <t>West Devon</t>
  </si>
  <si>
    <t>E07000127</t>
  </si>
  <si>
    <t>West Lancashire</t>
  </si>
  <si>
    <t>E07000142</t>
  </si>
  <si>
    <t>West Lindsey</t>
  </si>
  <si>
    <t>E07000181</t>
  </si>
  <si>
    <t>West Oxfordshire</t>
  </si>
  <si>
    <t>E07000245</t>
  </si>
  <si>
    <t>West Suffolk</t>
  </si>
  <si>
    <t>E09000033</t>
  </si>
  <si>
    <t>Westminster</t>
  </si>
  <si>
    <t>E08000010</t>
  </si>
  <si>
    <t>Wigan</t>
  </si>
  <si>
    <t>E06000054</t>
  </si>
  <si>
    <t>Wiltshire</t>
  </si>
  <si>
    <t>E07000094</t>
  </si>
  <si>
    <t>Winchester</t>
  </si>
  <si>
    <t>E06000040</t>
  </si>
  <si>
    <t>Windsor and Maidenhead</t>
  </si>
  <si>
    <t>E08000015</t>
  </si>
  <si>
    <t>Wirral</t>
  </si>
  <si>
    <t>E07000217</t>
  </si>
  <si>
    <t>Woking</t>
  </si>
  <si>
    <t>E06000041</t>
  </si>
  <si>
    <t>Wokingham</t>
  </si>
  <si>
    <t>E08000031</t>
  </si>
  <si>
    <t>Wolverhampton</t>
  </si>
  <si>
    <t>E07000237</t>
  </si>
  <si>
    <t>Worcester</t>
  </si>
  <si>
    <t>E07000229</t>
  </si>
  <si>
    <t>Worthing</t>
  </si>
  <si>
    <t>E07000238</t>
  </si>
  <si>
    <t>Wychavon</t>
  </si>
  <si>
    <t>E07000128</t>
  </si>
  <si>
    <t>Wyre</t>
  </si>
  <si>
    <t>E07000239</t>
  </si>
  <si>
    <t>Wyre Forest</t>
  </si>
  <si>
    <t>E06000014</t>
  </si>
  <si>
    <t>York</t>
  </si>
  <si>
    <t>Plymouth City Council, South Hams District Council, West Devon Borough Council</t>
  </si>
  <si>
    <t>Plymouth &amp; South West Devon Plan</t>
  </si>
  <si>
    <t>North Devon District Council, Torridge District Council</t>
  </si>
  <si>
    <t>North Devon and Torridge Local Plan 2011-2031</t>
  </si>
  <si>
    <t>Broadland District Council, Norwich City Council, South Norfolk District Council</t>
  </si>
  <si>
    <t>Joint Core Strategy for Broadland, Norwich and South Norfolk</t>
  </si>
  <si>
    <t>City of Lincoln Council, , North Kesteven District Council, West Lindsey District Council</t>
  </si>
  <si>
    <t>Central Lincolnshire Local Plan</t>
  </si>
  <si>
    <t>Note: with the publication of the the housing needs assement data it will be necessary to check whether Local Planning partnerships have been created/disolved and subsequently add or remove from the end of this table</t>
  </si>
  <si>
    <t>Note2: For Local Planning partnerships we have created totals either by summing the constituent member authority value or where that is not appropriate we have created an average</t>
  </si>
  <si>
    <t>Hshld projection reference years</t>
  </si>
  <si>
    <t>Select Authority</t>
  </si>
  <si>
    <t>What is the adoption date of your most recent 'housing requirement'?</t>
  </si>
  <si>
    <t>If you have reviewed your 'housing requirement' and found it not to need updating please specify the date of the review.</t>
  </si>
  <si>
    <t>Date used for 5yr anniversary</t>
  </si>
  <si>
    <t>Latest adopted housing requirement</t>
  </si>
  <si>
    <t>Net additional dwellings/Projected delivery</t>
  </si>
  <si>
    <t>Net increase in bedrooms in student communal accommodation</t>
  </si>
  <si>
    <t>Net increase in bedrooms in other communal accommodation</t>
  </si>
  <si>
    <t>Housing delivery test result</t>
  </si>
  <si>
    <t>Valid adopted housing requirement</t>
  </si>
  <si>
    <t>Annual average growth over 10 year period</t>
  </si>
  <si>
    <t>Affordability</t>
  </si>
  <si>
    <t>Days remaining on plan</t>
  </si>
  <si>
    <t>Homes required rolling 3 years</t>
  </si>
  <si>
    <t>Homes delivered  rolling 3 years</t>
  </si>
  <si>
    <t>Select which model of household projections to use in HDT</t>
  </si>
  <si>
    <t>if Adopted Housing Requirement date is &lt; 5yrs when compared to start of financial year then valid.</t>
  </si>
  <si>
    <t>Uses the previous calender years published figures where available, future years based on latest published figure</t>
  </si>
  <si>
    <t>For each 1% increase in the ratio of house prices to earnings, where the ratio is above 4, the average household growth should be increased by a quarter of a percent. No adjustment is applied where the ratio is 4 or below.</t>
  </si>
  <si>
    <r>
      <t xml:space="preserve">Where these policies were adopted within the last 5 years (at the point of making the calculation), the local housing need figure is capped at </t>
    </r>
    <r>
      <rPr>
        <b/>
        <u/>
        <sz val="11"/>
        <color rgb="FFFF0000"/>
        <rFont val="Arial"/>
        <family val="2"/>
      </rPr>
      <t xml:space="preserve">40% above </t>
    </r>
    <r>
      <rPr>
        <sz val="11"/>
        <color rgb="FFFF0000"/>
        <rFont val="Arial"/>
        <family val="2"/>
      </rPr>
      <t>the average annual housing requirement figure set out in the existing policies.
This also applies where the relevant strategic policies have been reviewed by the authority within the 5 year period and found to not require updating.
Where the relevant strategic policies for housing were adopted more than 5 years ago (at the point of making the calculation), the local housing need figure is capped at 40% above whichever is the</t>
    </r>
    <r>
      <rPr>
        <b/>
        <u/>
        <sz val="11"/>
        <color rgb="FFFF0000"/>
        <rFont val="Arial"/>
        <family val="2"/>
      </rPr>
      <t xml:space="preserve"> higher of:</t>
    </r>
    <r>
      <rPr>
        <sz val="11"/>
        <color rgb="FFFF0000"/>
        <rFont val="Arial"/>
        <family val="2"/>
      </rPr>
      <t xml:space="preserve">
a. the projected household growth for the area over the 10 year period identified in step 1; or
b. the average annual housing requirement figure set out in the most recently adopted strategic policies (if a figure exists).</t>
    </r>
  </si>
  <si>
    <t>para.20 of rule book '...where the 5th anniversary of adoption is part way through the year, the housing requirement will be apportioned based on the number of days in the year….the remainder of the year will be LHN…'</t>
  </si>
  <si>
    <t>For the 2021 measurement, there is a reduction in period for measuring total homes required – usually this would be measured over a 3-year period, but an 8-month period has been used for the 2020/21 monitoring year. This is to account for the considerable variations in levels of housing delivery as local planning authorities and construction industry faced disruption on a national, regional, and local level due to the pandemic. Additionally, an 11-month period has been used for the 2019/20 monitoring year. This was to account for disruption to housing delivery and monitoring caused by the first national lockdown in March 2020.</t>
  </si>
  <si>
    <t>Uses published figures where available, future years based on average of previous 3yrs</t>
  </si>
  <si>
    <t>Assumes average number of students in student only households of 2.5</t>
  </si>
  <si>
    <t>Assumes average number of adults in all households of 1.8</t>
  </si>
  <si>
    <t>Financial year 2018/19</t>
  </si>
  <si>
    <t>Financial year 2019/20</t>
  </si>
  <si>
    <t>Financial year 2020/21</t>
  </si>
  <si>
    <t>Financial year 2021/22</t>
  </si>
  <si>
    <t>Financial year 2022/23</t>
  </si>
  <si>
    <t>Financial year 2023/24</t>
  </si>
  <si>
    <t>Financial year 2024/25</t>
  </si>
  <si>
    <t>Financial year 2025/26</t>
  </si>
  <si>
    <t>Financial year 2027/28</t>
  </si>
  <si>
    <t>Local plan data notes</t>
  </si>
  <si>
    <t>TCITY15CD</t>
  </si>
  <si>
    <t>TCITY15NM</t>
  </si>
  <si>
    <t>Largest authority</t>
  </si>
  <si>
    <t>Source: https://www.gov.uk/government/consultations/changes-to-the-current-planning-system/outcome/government-response-to-the-local-housing-need-proposals-in-changes-to-the-current-planning-system</t>
  </si>
  <si>
    <t>J01000055</t>
  </si>
  <si>
    <t>London</t>
  </si>
  <si>
    <t>J01000007</t>
  </si>
  <si>
    <t>Birmingham City Council</t>
  </si>
  <si>
    <t>J01000054</t>
  </si>
  <si>
    <t>Liverpool City Council</t>
  </si>
  <si>
    <t>J01000015</t>
  </si>
  <si>
    <t>Bristol City Council</t>
  </si>
  <si>
    <t>J01000058</t>
  </si>
  <si>
    <t>Manchester City Council</t>
  </si>
  <si>
    <t>J01000082</t>
  </si>
  <si>
    <t>Sheffield City Council</t>
  </si>
  <si>
    <t>J01000051</t>
  </si>
  <si>
    <t>Leeds City Council</t>
  </si>
  <si>
    <t>J01000052</t>
  </si>
  <si>
    <t>Leicester City Council</t>
  </si>
  <si>
    <t>J01000028</t>
  </si>
  <si>
    <t>Coventry City Council</t>
  </si>
  <si>
    <t>J01000013</t>
  </si>
  <si>
    <t>Bradford Council</t>
  </si>
  <si>
    <t>J01000020</t>
  </si>
  <si>
    <t>Cardiff</t>
  </si>
  <si>
    <t>J01000067</t>
  </si>
  <si>
    <t>Nottingham City Council</t>
  </si>
  <si>
    <t>J01000050</t>
  </si>
  <si>
    <t>Hull City Council</t>
  </si>
  <si>
    <t>J01000062</t>
  </si>
  <si>
    <t>Newcastle upon Tyne City Council</t>
  </si>
  <si>
    <t>J01000095</t>
  </si>
  <si>
    <t>Stoke-on-Trent City Council</t>
  </si>
  <si>
    <t>J01000087</t>
  </si>
  <si>
    <t>Southampton City Council</t>
  </si>
  <si>
    <t>J01000072</t>
  </si>
  <si>
    <t>Plymouth City Council</t>
  </si>
  <si>
    <t>J01000031</t>
  </si>
  <si>
    <t>Derby City Council</t>
  </si>
  <si>
    <t>J01000076</t>
  </si>
  <si>
    <t>Reading Borough Council</t>
  </si>
  <si>
    <t>J01000014</t>
  </si>
  <si>
    <t>Brighton and Hove City Council</t>
  </si>
  <si>
    <t>J01000109</t>
  </si>
  <si>
    <t xml:space="preserve">City of Wolverhampton </t>
  </si>
  <si>
    <t xml:space="preserve">35% uplift list </t>
  </si>
  <si>
    <t>area</t>
  </si>
  <si>
    <t>area label</t>
  </si>
  <si>
    <t>no value</t>
  </si>
  <si>
    <t>Source: https://developertools.esd.org.uk/data?value.valueType=raw&amp;metricType=10079&amp;area=AllSingleTierAndDistrictLaInCountry_England&amp;period=latest%3A49&amp;columnGrouping=metricType&amp;columnGrouping=period&amp;rowGrouping=area&amp;includeMissing=true</t>
  </si>
  <si>
    <t>2015/16</t>
  </si>
  <si>
    <t>2016/17</t>
  </si>
  <si>
    <t>2017/18</t>
  </si>
  <si>
    <t>2018/19</t>
  </si>
  <si>
    <t>2019/20</t>
  </si>
  <si>
    <t>2020/21</t>
  </si>
  <si>
    <t>Not Applicable</t>
  </si>
  <si>
    <t>E06000061</t>
  </si>
  <si>
    <t>North Northamptonshire</t>
  </si>
  <si>
    <t>E06000062</t>
  </si>
  <si>
    <t>West Northamptonshire</t>
  </si>
  <si>
    <r>
      <t xml:space="preserve">Source: </t>
    </r>
    <r>
      <rPr>
        <u/>
        <sz val="11"/>
        <color theme="1"/>
        <rFont val="Arial"/>
        <family val="2"/>
      </rPr>
      <t>https://developertools.esd.org.uk/data?value.valueType=raw&amp;metricType=8249&amp;area=AllSingleTierAndDistrictLaInCountry_England&amp;period=latest%3A5&amp;rowGrouping=area&amp;includeMissing=true</t>
    </r>
  </si>
  <si>
    <t>planning_authority</t>
  </si>
  <si>
    <t>name</t>
  </si>
  <si>
    <t>ons_code</t>
  </si>
  <si>
    <t>plan_title</t>
  </si>
  <si>
    <t>plan_id</t>
  </si>
  <si>
    <t>local_development_framework_number</t>
  </si>
  <si>
    <t>start_year</t>
  </si>
  <si>
    <t>end_year</t>
  </si>
  <si>
    <t>plan_period_found</t>
  </si>
  <si>
    <t>housing_number_type</t>
  </si>
  <si>
    <t>number</t>
  </si>
  <si>
    <t>min</t>
  </si>
  <si>
    <t>max</t>
  </si>
  <si>
    <t>joint_plan_total</t>
  </si>
  <si>
    <t>housing_numbers_found</t>
  </si>
  <si>
    <t>is_joint_plan</t>
  </si>
  <si>
    <t>source_document</t>
  </si>
  <si>
    <t>cached_source_document</t>
  </si>
  <si>
    <t>source_document_checksum</t>
  </si>
  <si>
    <t>error_caching_source_document</t>
  </si>
  <si>
    <t>notes</t>
  </si>
  <si>
    <t>screenshot</t>
  </si>
  <si>
    <t>created_date</t>
  </si>
  <si>
    <t>updated_date</t>
  </si>
  <si>
    <t>last_updated_by</t>
  </si>
  <si>
    <t>published</t>
  </si>
  <si>
    <t>submitted</t>
  </si>
  <si>
    <t>found_sound</t>
  </si>
  <si>
    <t>adopted</t>
  </si>
  <si>
    <t>Latest adopted housing requirement (dwellings per annum)</t>
  </si>
  <si>
    <t>local-authority-eng:HPL</t>
  </si>
  <si>
    <t>Hartlepool Borough Council</t>
  </si>
  <si>
    <t>Hartlepool Local Plan</t>
  </si>
  <si>
    <t>50bcfea0-7f33-47f6-aa0f-e041d9dc868e</t>
  </si>
  <si>
    <t>HOUSING_REQUIREMENT_TOTAL</t>
  </si>
  <si>
    <t>https://www.hartlepool.gov.uk/download/downloads/id/4393/hartlepool_local_plan_-_adopted_may_2018pdf.pdf</t>
  </si>
  <si>
    <t>https://s3.eu-west-2.amazonaws.com/local-plans/plan-documents/50bcfea0-7f33-47f6-aa0f-e041d9dc868e.pdf</t>
  </si>
  <si>
    <t>ec42f1c8c0250b3873b8c6d2b61b4059</t>
  </si>
  <si>
    <t>https://s3.eu-west-2.amazonaws.com/local-plans/images/50bcfea0-7f33-47f6-aa0f-e041d9dc868e/797c5d01-f20f-4eac-8a03-c6762704d6d2.jpg</t>
  </si>
  <si>
    <t>local-authority-eng:MDB</t>
  </si>
  <si>
    <t>Middlesbrough Borough Council</t>
  </si>
  <si>
    <t>Housing Local Plan</t>
  </si>
  <si>
    <t>864b5265-0f48-42d0-ac2e-e987fe5073f8</t>
  </si>
  <si>
    <t>https://middlesbrough.gov.uk/sites/default/files/PlanPol-Housing_Local_Plan.pdf</t>
  </si>
  <si>
    <t>https://s3.eu-west-2.amazonaws.com/local-plans/plan-documents/864b5265-0f48-42d0-ac2e-e987fe5073f8.pdf</t>
  </si>
  <si>
    <t>a5c16e4641d00a5762f72be50bfea7d9</t>
  </si>
  <si>
    <t>HTTPSConnectionPool(host='www.middlesbrough.gov.uk', port=443): Max retries exceeded with url: /sites/default/files/PlanPol-Housing_Local_Plan.pdf (Caused by SSLError(SSLCertVerificationError("hostname 'www.middlesbrough.gov.uk' doesn't match 'middlesbrough.gov.uk'")))</t>
  </si>
  <si>
    <t>https://s3.eu-west-2.amazonaws.com/local-plans/images/864b5265-0f48-42d0-ac2e-e987fe5073f8/899f72c6-3e14-427f-8acb-da566aafc040.jpg</t>
  </si>
  <si>
    <t>Middlesbrough Local Plan</t>
  </si>
  <si>
    <t>dae4fee0-67da-4a86-9866-21747547ea10</t>
  </si>
  <si>
    <t>HOUSING_REQUIREMENT_YEARLY_AVERAGE</t>
  </si>
  <si>
    <t>https://middlesbrough.gov.uk/sites/default/files/Middlesbrough%20Publication%20Local%20Plan.pdf</t>
  </si>
  <si>
    <t>https://s3.eu-west-2.amazonaws.com/local-plans/plan-documents/dae4fee0-67da-4a86-9866-21747547ea10.pdf</t>
  </si>
  <si>
    <t>20cab016a0fd249aea66f8455f1f5286</t>
  </si>
  <si>
    <t>Emerging Plan published November 2018.  However, Middlesboro' have decided to start again.  New TT estimates  publication Autumn/Winter 2020.</t>
  </si>
  <si>
    <t>https://s3.eu-west-2.amazonaws.com/local-plans/images/dae4fee0-67da-4a86-9866-21747547ea10/42f1706e-9587-4acc-ae9e-105d89841153.jpg</t>
  </si>
  <si>
    <t>local-authority-eng:RCC</t>
  </si>
  <si>
    <t>Redcar and Cleveland Borough Council</t>
  </si>
  <si>
    <t>Redcar and Cleveland Local Plan</t>
  </si>
  <si>
    <t>46f938fa-79f8-461d-b9ed-7a3354d92e40</t>
  </si>
  <si>
    <t>https://www.redcar-cleveland.gov.uk/resident/planning-and-building/strategic%20planning/Documents/Local%20Plan%20Adopted%20May%202018.pdf</t>
  </si>
  <si>
    <t>https://s3.eu-west-2.amazonaws.com/local-plans/plan-documents/46f938fa-79f8-461d-b9ed-7a3354d92e40.pdf</t>
  </si>
  <si>
    <t>4d67911396119995177e98d570db9878</t>
  </si>
  <si>
    <t>https://s3.eu-west-2.amazonaws.com/local-plans/images/46f938fa-79f8-461d-b9ed-7a3354d92e40/20f1dedf-3cfa-4329-91f7-361589d0050c.jpg</t>
  </si>
  <si>
    <t>local-authority-eng:STT</t>
  </si>
  <si>
    <t>Stockton-on-Tees Borough Council</t>
  </si>
  <si>
    <t>Stockton-on-Tees Borough Council: Local Plan</t>
  </si>
  <si>
    <t>b35b2ea5-ea2c-419d-958a-286ff6f3cd41</t>
  </si>
  <si>
    <t>https://www.stockton.gov.uk/media/1585775/localplanmainreportcontents.pdf</t>
  </si>
  <si>
    <t>https://s3.eu-west-2.amazonaws.com/local-plans/plan-documents/b35b2ea5-ea2c-419d-958a-286ff6f3cd41.pdf</t>
  </si>
  <si>
    <t>7775eed052849f1753907c524e09573a</t>
  </si>
  <si>
    <t>https://s3.eu-west-2.amazonaws.com/local-plans/images/b35b2ea5-ea2c-419d-958a-286ff6f3cd41/da5be5b0-1274-4ac5-b4c0-aa2bee292d62.jpg</t>
  </si>
  <si>
    <t>local-authority-eng:DAL</t>
  </si>
  <si>
    <t>Darlington Borough Council</t>
  </si>
  <si>
    <t>Core Strategy</t>
  </si>
  <si>
    <t>beccd40e-da67-45a7-bdfa-c11004e60d49</t>
  </si>
  <si>
    <t>https://www.darlington.gov.uk/media/1983/corestrategy.pdf</t>
  </si>
  <si>
    <t>https://s3.eu-west-2.amazonaws.com/local-plans/plan-documents/beccd40e-da67-45a7-bdfa-c11004e60d49.pdf</t>
  </si>
  <si>
    <t>fdce0b5a55af58eb78c0fab745132565</t>
  </si>
  <si>
    <t>Document at https://www.darlington.gov.uk/media/1983/corestrategy.pdf might not be a pdf</t>
  </si>
  <si>
    <t>Reflects RSS annualised average target (which does not align with figure set out in Policy CS10).</t>
  </si>
  <si>
    <t>https://s3.eu-west-2.amazonaws.com/local-plans/images/beccd40e-da67-45a7-bdfa-c11004e60d49/dfd42ec3-9b42-4a39-870c-34b516998c34.jpg</t>
  </si>
  <si>
    <t>Darlington Local Plan</t>
  </si>
  <si>
    <t>c60389a1-db50-48c2-8daf-d67ceb5de91b</t>
  </si>
  <si>
    <t>https://s3.eu-west-2.amazonaws.com/local-plans/plan-documents/c60389a1-db50-48c2-8daf-d67ceb5de91b.pdf</t>
  </si>
  <si>
    <t>local-authority-eng:HAL</t>
  </si>
  <si>
    <t>Halton Borough Council</t>
  </si>
  <si>
    <t>9a6adacc-51d0-4d89-bc0c-cf717e549372</t>
  </si>
  <si>
    <t>https://www4.halton.gov.uk/Pages/planning/policyguidance/pdf/CoreStrategy.pdf</t>
  </si>
  <si>
    <t>https://s3.eu-west-2.amazonaws.com/local-plans/plan-documents/9a6adacc-51d0-4d89-bc0c-cf717e549372.pdf</t>
  </si>
  <si>
    <t>bcccab948b144f3bb4067a10b873b959</t>
  </si>
  <si>
    <t>https://s3.eu-west-2.amazonaws.com/local-plans/images/909482c6-51fb-41b4-97e1-953290d26dd4.jpg</t>
  </si>
  <si>
    <t>Halton Delivery and Allocations Plan</t>
  </si>
  <si>
    <t>6d1bee1d-3c05-4aaf-8d7b-2dd014b03eab</t>
  </si>
  <si>
    <t>https://www4.halton.gov.uk/Pages/planning/policyguidance/pdf/eip/SD01.pdf</t>
  </si>
  <si>
    <t>https://s3.eu-west-2.amazonaws.com/local-plans/plan-documents/6d1bee1d-3c05-4aaf-8d7b-2dd014b03eab.pdf</t>
  </si>
  <si>
    <t>b90309a92e4a4bc812ead0a1451c5c8d</t>
  </si>
  <si>
    <t>https://s3.eu-west-2.amazonaws.com/local-plans/images/6d1bee1d-3c05-4aaf-8d7b-2dd014b03eab/32a49758-7dd7-4ab0-b874-2b676171461f.jpg</t>
  </si>
  <si>
    <t>local-authority-eng:WRT</t>
  </si>
  <si>
    <t>Warrington Borough Council</t>
  </si>
  <si>
    <t>36b8bb00-2be7-4242-89fa-1fd54ca7bff2</t>
  </si>
  <si>
    <t>https://www.warrington.gov.uk/info/200564/planning-policy/1903/local-plan</t>
  </si>
  <si>
    <t>Borough's housing target, set out in Policy CS2, quashed by the ruling in Satnam Millennium Limited v Warrington Borough Council [2015] EWHC 370 (Admin)</t>
  </si>
  <si>
    <t>https://s3.eu-west-2.amazonaws.com/local-plans/images/36b8bb00-2be7-4242-89fa-1fd54ca7bff2/2b5cc7a4-f943-4bbc-9ce2-ebf43b11b7ca.jpg</t>
  </si>
  <si>
    <t>Warrington Local Plan 2019</t>
  </si>
  <si>
    <t>700c13cc-11f3-4b83-b7cd-c3b47e655842</t>
  </si>
  <si>
    <t>https://www.warrington.gov.uk/download/downloads/id/19339/proposed-submission-version-local-plan-v4.pdf</t>
  </si>
  <si>
    <t>https://s3.eu-west-2.amazonaws.com/local-plans/plan-documents/700c13cc-11f3-4b83-b7cd-c3b47e655842.pdf</t>
  </si>
  <si>
    <t>e780a03060bc29ee614aff69e0da397f</t>
  </si>
  <si>
    <t>404 Client Error: Not Found for url: https://www.warrington.gov.uk/download/downloads/id/19339/proposed-submission-version-local-plan-v4.pdf</t>
  </si>
  <si>
    <t>847/annum between 2017 and 2021; 978/annum between 2022 and 2037</t>
  </si>
  <si>
    <t>https://s3.eu-west-2.amazonaws.com/local-plans/images/700c13cc-11f3-4b83-b7cd-c3b47e655842/cf16466d-c61b-410a-a065-0fea580763c6.jpg</t>
  </si>
  <si>
    <t>local-authority-eng:BBD</t>
  </si>
  <si>
    <t>Blackburn with Darwen Borough Council</t>
  </si>
  <si>
    <t>6e6621ed-7095-4f3a-901c-8477bad6e802</t>
  </si>
  <si>
    <t>https://www.blackburn.gov.uk/planningdocs/corestrategy/Adopted_Core_Strategy_final_A4.pdf</t>
  </si>
  <si>
    <t>https://s3.eu-west-2.amazonaws.com/local-plans/plan-documents/6e6621ed-7095-4f3a-901c-8477bad6e802.pdf</t>
  </si>
  <si>
    <t>f5108d8409bdfd4fd4ffc449defc9563</t>
  </si>
  <si>
    <t>https://s3.eu-west-2.amazonaws.com/local-plans/images/6e6621ed-7095-4f3a-901c-8477bad6e802/01b00b48-95ef-4d45-bc95-a141d5e485a1.jpg</t>
  </si>
  <si>
    <t>Blackburn with Darwen Local Plan</t>
  </si>
  <si>
    <t>7ec60977-d892-4a01-8b5f-3b7d175f3e6a</t>
  </si>
  <si>
    <t>robert.putnam</t>
  </si>
  <si>
    <t>local-authority-eng:BPL</t>
  </si>
  <si>
    <t>Blackpool Borough Council</t>
  </si>
  <si>
    <t>62a44b10-cdc6-4f7f-ba96-c60decf184ff</t>
  </si>
  <si>
    <t>https://www.blackpool.gov.uk/Residents/Planning-environment-and-community/Documents/J118003-107575-2016-updated-17-Feb-2016-High-Res.pdf</t>
  </si>
  <si>
    <t>https://s3.eu-west-2.amazonaws.com/local-plans/plan-documents/62a44b10-cdc6-4f7f-ba96-c60decf184ff.pdf</t>
  </si>
  <si>
    <t>https://s3.eu-west-2.amazonaws.com/local-plans/images/62a44b10-cdc6-4f7f-ba96-c60decf184ff/aade8288-f044-4ecd-b52d-10069580b72e.jpg</t>
  </si>
  <si>
    <t>local-authority-eng:KHL</t>
  </si>
  <si>
    <t>Hull Local Plan 2016 to 2032</t>
  </si>
  <si>
    <t>39b6a87b-43e3-4483-b229-de8f207a9053</t>
  </si>
  <si>
    <t>http://hullcc-consult.limehouse.co.uk/file/4824425</t>
  </si>
  <si>
    <t>Document at http://hullcc-consult.limehouse.co.uk/file/4824425 might not be a pdf</t>
  </si>
  <si>
    <t>https://s3.eu-west-2.amazonaws.com/local-plans/images/39b6a87b-43e3-4483-b229-de8f207a9053/5be9211a-cfe7-4fb1-a407-0509864ae087.jpg</t>
  </si>
  <si>
    <t>local-authority-eng:ERY</t>
  </si>
  <si>
    <t>East Riding of Yorkshire Council</t>
  </si>
  <si>
    <t>East Riding Local Plan Strategy Document</t>
  </si>
  <si>
    <t>d9529aa8-ced5-44a8-b346-b8c71faa82da</t>
  </si>
  <si>
    <t>https://www.eastriding.gov.uk/EasySiteWeb/GatewayLink.aspx?alId=627778</t>
  </si>
  <si>
    <t>https://s3.eu-west-2.amazonaws.com/local-plans/plan-documents/d9529aa8-ced5-44a8-b346-b8c71faa82da.pdf</t>
  </si>
  <si>
    <t>335ec264e90687d99588d8d82677d134</t>
  </si>
  <si>
    <t>https://s3.eu-west-2.amazonaws.com/local-plans/images/d9529aa8-ced5-44a8-b346-b8c71faa82da/11d5aa3f-5f19-4c91-9794-868e4fce5b39.jpg</t>
  </si>
  <si>
    <t>East Riding Local Plan Review</t>
  </si>
  <si>
    <t>01fe0824-0be1-4c3b-aa4f-97206aff4edd</t>
  </si>
  <si>
    <t>https://www.eastriding.gov.uk/EasySiteWeb/GatewayLink.aspx?alId=721087</t>
  </si>
  <si>
    <t>https://s3.eu-west-2.amazonaws.com/local-plans/plan-documents/01fe0824-0be1-4c3b-aa4f-97206aff4edd.pdf</t>
  </si>
  <si>
    <t>674299589a9ba157afd0381741c52ab4</t>
  </si>
  <si>
    <t>Three Options in November 2018 Options consultation document: Option 1 = 706 DPA; Option 2 = 1000 DPA; Option 3 = 600 DPA (refer to screenshot)</t>
  </si>
  <si>
    <t>https://s3.eu-west-2.amazonaws.com/local-plans/images/01fe0824-0be1-4c3b-aa4f-97206aff4edd/6df2a292-d8ea-4d61-a9fe-6a6cbd2cdcb3.jpg</t>
  </si>
  <si>
    <t>local-authority-eng:NEL</t>
  </si>
  <si>
    <t>North East Lincolnshire Council</t>
  </si>
  <si>
    <t>Local Plan 2013 to 2032</t>
  </si>
  <si>
    <t>07c8f922-782d-4cb8-9134-56b28df58f2f</t>
  </si>
  <si>
    <t>https://www.nelincs.gov.uk/wp-content/uploads/2018/05/20180518-AdoptedLocalPlan2018-WEB.pdf</t>
  </si>
  <si>
    <t>https://s3.eu-west-2.amazonaws.com/local-plans/plan-documents/07c8f922-782d-4cb8-9134-56b28df58f2f.pdf</t>
  </si>
  <si>
    <t>33eb3f002a0bb4907929bbe9d58cecbc</t>
  </si>
  <si>
    <t>404 Client Error: Not Found for url: https://www.nelincs.gov.uk/wp-content/uploads/2018/05/20180518-AdoptedLocalPlan2018-WEB.pdf</t>
  </si>
  <si>
    <t>https://s3.eu-west-2.amazonaws.com/local-plans/images/07c8f922-782d-4cb8-9134-56b28df58f2f/ab2f2bf5-f2c3-453a-ac6d-e493cfc1d84d.jpg</t>
  </si>
  <si>
    <t>local-authority-eng:NLN</t>
  </si>
  <si>
    <t>North Lincolnshire Council</t>
  </si>
  <si>
    <t>North Lincolnshire LDF: Core Strategy</t>
  </si>
  <si>
    <t>61bd5d04-0ba0-4210-b305-495fe8ad8bc7</t>
  </si>
  <si>
    <t>http://www.planning.northlincs.gov.uk/planningreports/corestratergy/adopteddpd/FullCoreStrategy.pdf</t>
  </si>
  <si>
    <t>https://s3.eu-west-2.amazonaws.com/local-plans/plan-documents/61bd5d04-0ba0-4210-b305-495fe8ad8bc7.pdf</t>
  </si>
  <si>
    <t>421f8c18ecb1669b68e5a90a41518dcb</t>
  </si>
  <si>
    <t>Based on total requirement for full period from 2004 onwards.</t>
  </si>
  <si>
    <t>https://s3.eu-west-2.amazonaws.com/local-plans/images/61bd5d04-0ba0-4210-b305-495fe8ad8bc7/cf140d34-4082-4b58-bc8a-199bd3295b61.jpg</t>
  </si>
  <si>
    <t>North Lincolnshire Local Plan</t>
  </si>
  <si>
    <t>a506cb38-7ee1-448e-8841-102a7f6bc4a7</t>
  </si>
  <si>
    <t>HOUSING_REQUIREMENT_YEARLY_RANGE</t>
  </si>
  <si>
    <t>https://s3.eu-west-2.amazonaws.com/local-plans/plan-documents/a506cb38-7ee1-448e-8841-102a7f6bc4a7.pdf</t>
  </si>
  <si>
    <t>local-authority-eng:YOR</t>
  </si>
  <si>
    <t>City of York Council</t>
  </si>
  <si>
    <t>City of York Local Plan</t>
  </si>
  <si>
    <t>e678fd93-84a0-49f0-af8e-9bd339ea2d21</t>
  </si>
  <si>
    <t>http://www.york.gov.uk/download/downloads/id/15869/cd001_-_city_of_york_local_plan_publication_draft_regulation_19_consultation_february_2018.pdf</t>
  </si>
  <si>
    <t>https://s3.eu-west-2.amazonaws.com/local-plans/plan-documents/e678fd93-84a0-49f0-af8e-9bd339ea2d21.pdf</t>
  </si>
  <si>
    <t>67f4963a2399aaec2404e29a50723723</t>
  </si>
  <si>
    <t>404 Client Error: Not Found for url: https://www.york.gov.uk/download/downloads/id/15869/cd001_-_city_of_york_local_plan_publication_draft_regulation_19_consultation_february_2018.pdf</t>
  </si>
  <si>
    <t>https://s3.eu-west-2.amazonaws.com/local-plans/images/e678fd93-84a0-49f0-af8e-9bd339ea2d21/bf78d3ba-6550-4088-b76e-8873504847fa.jpg</t>
  </si>
  <si>
    <t>local-authority-eng:DER</t>
  </si>
  <si>
    <t>Derby City Local Plan Part 1: Core Strategy</t>
  </si>
  <si>
    <t>2be3bc2f-67c2-4e1e-ab07-aa5df549bf8d</t>
  </si>
  <si>
    <t>https://www.derby.gov.uk/media/derbycitycouncil/contentassets/documents/policiesandguidance/planning/Core%20Strategy_ADOPTED_DEC%202016_V3_WEB.pdf</t>
  </si>
  <si>
    <t>https://s3.eu-west-2.amazonaws.com/local-plans/plan-documents/2be3bc2f-67c2-4e1e-ab07-aa5df549bf8d.pdf</t>
  </si>
  <si>
    <t>63ac97a4454b857b94809afcd92ea799</t>
  </si>
  <si>
    <t>https://s3.eu-west-2.amazonaws.com/local-plans/images/2be3bc2f-67c2-4e1e-ab07-aa5df549bf8d/7f02db89-f6aa-408c-b96b-9281a9331fa9.jpg</t>
  </si>
  <si>
    <t>local-authority-eng:LCE</t>
  </si>
  <si>
    <t>Leicester City Core Strategy</t>
  </si>
  <si>
    <t>022aa306-998a-46f1-9fab-302f0bf8cdec</t>
  </si>
  <si>
    <t>https://www.leicester.gov.uk/media/179023/core-strategy-adopted-july-2014.pdf</t>
  </si>
  <si>
    <t>https://s3.eu-west-2.amazonaws.com/local-plans/plan-documents/022aa306-998a-46f1-9fab-302f0bf8cdec.pdf</t>
  </si>
  <si>
    <t>c5716924bc114b3ac01aa4ccf27b1d16</t>
  </si>
  <si>
    <t>HTTPSConnectionPool(host='www.leicester.gov.uk', port=443): Max retries exceeded with url: /media/179023/core-strategy-adopted-july-2014.pdf (Caused by NewConnectionError('&lt;urllib3.connection.VerifiedHTTPSConnection object at 0x7f91e1133e48&gt;: Failed to establish a new connection: [Errno 111] Connection refused'))</t>
  </si>
  <si>
    <t>https://s3.eu-west-2.amazonaws.com/local-plans/images/022aa306-998a-46f1-9fab-302f0bf8cdec/a90c0be8-7b1a-4695-964d-6e943c5a7363.jpg</t>
  </si>
  <si>
    <t>local-authority-eng:RUT</t>
  </si>
  <si>
    <t>Rutland County Council</t>
  </si>
  <si>
    <t>Core Strategy DPD</t>
  </si>
  <si>
    <t>9132b9e3-f3b8-4a11-822d-ee288294313e</t>
  </si>
  <si>
    <t>https://www.rutland.gov.uk/_resources/assets/attachment/full/0/31241.pdf</t>
  </si>
  <si>
    <t>https://s3.eu-west-2.amazonaws.com/local-plans/plan-documents/9132b9e3-f3b8-4a11-822d-ee288294313e.pdf</t>
  </si>
  <si>
    <t>92509b20a8d91048bc043ab313aae0e8</t>
  </si>
  <si>
    <t>https://s3.eu-west-2.amazonaws.com/local-plans/images/9132b9e3-f3b8-4a11-822d-ee288294313e/f9b78b05-40d5-45ef-9b0a-8089fded20e2.jpg</t>
  </si>
  <si>
    <t>a181a336-e5d9-47c7-9d9d-41384fc1955a</t>
  </si>
  <si>
    <t>https://www.rutland.gov.uk/_resources/assets/attachment/full/0/104417.pdf</t>
  </si>
  <si>
    <t>https://s3.eu-west-2.amazonaws.com/local-plans/plan-documents/a181a336-e5d9-47c7-9d9d-41384fc1955a.pdf</t>
  </si>
  <si>
    <t>64e176d0193e7e5a51865d01bfcae1e3</t>
  </si>
  <si>
    <t>https://s3.eu-west-2.amazonaws.com/local-plans/images/a181a336-e5d9-47c7-9d9d-41384fc1955a/904c8e13-fda1-41b6-82d0-53137c309eae.jpg</t>
  </si>
  <si>
    <t>local-authority-eng:HEF</t>
  </si>
  <si>
    <t>Herefordshire Council</t>
  </si>
  <si>
    <t>Herefordshire Local Plan: Core Strategy</t>
  </si>
  <si>
    <t>5d138aa0-fa2f-4767-9bbf-710a21e87ea0</t>
  </si>
  <si>
    <t>https://www.herefordshire.gov.uk/download/downloads/id/1788/core_strategy_sections_combined.pdf</t>
  </si>
  <si>
    <t>https://s3.eu-west-2.amazonaws.com/local-plans/plan-documents/5d138aa0-fa2f-4767-9bbf-710a21e87ea0.pdf</t>
  </si>
  <si>
    <t>f96e91ecca5752a7556b388cce8b74a8</t>
  </si>
  <si>
    <t>Policy SS2</t>
  </si>
  <si>
    <t>https://s3.eu-west-2.amazonaws.com/local-plans/images/64ce4775-500b-4e16-b216-a2a5212e9946.jpg</t>
  </si>
  <si>
    <t>local-authority-eng:TFW</t>
  </si>
  <si>
    <t>Telford &amp; Wrekin Council</t>
  </si>
  <si>
    <t>Telford &amp; Wrekin Local Plan</t>
  </si>
  <si>
    <t>67b93853-f801-43fd-ab35-7798b6071256</t>
  </si>
  <si>
    <t>http://apps.telford.gov.uk/downloads/localplan/Telford_and_Wrekin_Local_Plan_2011_2031_adopted_Jan_2018.pdf</t>
  </si>
  <si>
    <t>https://s3.eu-west-2.amazonaws.com/local-plans/plan-documents/67b93853-f801-43fd-ab35-7798b6071256.pdf</t>
  </si>
  <si>
    <t>23a1aba6be4dc011f3c3c1bc78011be3</t>
  </si>
  <si>
    <t>('Connection aborted.', ConnectionResetError(104, 'Connection reset by peer'))</t>
  </si>
  <si>
    <t>https://s3.eu-west-2.amazonaws.com/local-plans/images/1c2280fd-9adc-4e67-b1f2-7357897a07a7.jpg</t>
  </si>
  <si>
    <t>local-authority-eng:BAS</t>
  </si>
  <si>
    <t>Bath and North East Somerset Council</t>
  </si>
  <si>
    <t>Bath and North East Somerset Core Strategy</t>
  </si>
  <si>
    <t>c39f1ea7-c037-429f-be7e-45d3f3ad928e</t>
  </si>
  <si>
    <t>https://www.bathnes.gov.uk/sites/default/files/sitedocuments/Planning-and-Building-Control/Planning-Policy/Core-Strategy/core_strategy_-_adopted_interactive_version.pdf</t>
  </si>
  <si>
    <t>https://s3.eu-west-2.amazonaws.com/local-plans/plan-documents/c39f1ea7-c037-429f-be7e-45d3f3ad928e.pdf</t>
  </si>
  <si>
    <t>45459454075ee2cec631f21222b94915</t>
  </si>
  <si>
    <t>https://s3.eu-west-2.amazonaws.com/local-plans/images/c39f1ea7-c037-429f-be7e-45d3f3ad928e/f3822373-2b63-4968-ad31-1ddadb656515.jpg</t>
  </si>
  <si>
    <t>Local Plan Partial Update</t>
  </si>
  <si>
    <t>cedf0d0a-4e54-4ffb-911b-4eb730cd45ba</t>
  </si>
  <si>
    <t>Document at https://s3.eu-west-2.amazonaws.com/local-plans/images/c39f1ea7-c037-429f-be7e-45d3f3ad928e/f3822373-2b63-4968-ad31-1ddadb656515.jpg might not be a pdf</t>
  </si>
  <si>
    <t xml:space="preserve">The Partial Update is not a full review of the Local Plan and the scope of the partial update is confined to those areas that can be addressed without changing the spatial priorities of the Core Strategy &amp; Placemaking Plan; the spatial strategy; and the strategic housing &amp; job growth
requirements.  </t>
  </si>
  <si>
    <t>https://s3.eu-west-2.amazonaws.com/local-plans/images/cedf0d0a-4e54-4ffb-911b-4eb730cd45ba/bcca83dd-c20b-4a36-9c54-34c74f90622f.jpg</t>
  </si>
  <si>
    <t>local-authority-eng:BST</t>
  </si>
  <si>
    <t>Bristol Development Framework: Core Strategy</t>
  </si>
  <si>
    <t>34e96a04-b95b-4812-8abd-72b1b2807189</t>
  </si>
  <si>
    <t>https://www.bristol.gov.uk/documents/20182/34540/Core%20Strategy%20WEB%20PDF%20(low%20res%20with%20links)_0.pdf/f350d129-d39c-4d48-9451-1f84713a0ed8</t>
  </si>
  <si>
    <t>https://s3.eu-west-2.amazonaws.com/local-plans/plan-documents/34e96a04-b95b-4812-8abd-72b1b2807189.pdf</t>
  </si>
  <si>
    <t>ec22755de0371ffeae3f59303e2d1d23</t>
  </si>
  <si>
    <t>Excludes any contribution from small unidentified sites and additional regeneration sites at Knowle West, which would entail total delivery of 32,800 homes.</t>
  </si>
  <si>
    <t>https://s3.eu-west-2.amazonaws.com/local-plans/images/34e96a04-b95b-4812-8abd-72b1b2807189/c53a1b3a-6d9b-42ac-9aa1-14c5c0ad42bf.jpg</t>
  </si>
  <si>
    <t>Bristol Local Plan Review</t>
  </si>
  <si>
    <t>8ec0b613-8270-4018-96b8-0de164fe35cf</t>
  </si>
  <si>
    <t>https://www.bristol.gov.uk/documents/20182/34536/Local+Plan+Review+-+Draft+Policies+and+Development+Allocations+-+Web.pdf/2077eef6-c9ae-3582-e921-b5d846762645</t>
  </si>
  <si>
    <t>https://s3.eu-west-2.amazonaws.com/local-plans/plan-documents/8ec0b613-8270-4018-96b8-0de164fe35cf.pdf</t>
  </si>
  <si>
    <t>a50e5350ffc8fbd2e7dbc7fce938a06c</t>
  </si>
  <si>
    <t>https://s3.eu-west-2.amazonaws.com/local-plans/images/8ec0b613-8270-4018-96b8-0de164fe35cf/f0848dd9-c2a6-41a2-b96f-21c3c1796010.jpg</t>
  </si>
  <si>
    <t>local-authority-eng:NSM</t>
  </si>
  <si>
    <t>North Somerset Council</t>
  </si>
  <si>
    <t>North Somerset Core Strategy (Consolidated)</t>
  </si>
  <si>
    <t>bea9718c-1bd1-4fa4-a9d8-e7d280d41059</t>
  </si>
  <si>
    <t>https://www.n-somerset.gov.uk/wp-content/uploads/2015/11/Core-Strategy-adopted-version.pdf</t>
  </si>
  <si>
    <t>https://s3.eu-west-2.amazonaws.com/local-plans/plan-documents/bea9718c-1bd1-4fa4-a9d8-e7d280d41059.pdf</t>
  </si>
  <si>
    <t>e9c83adfa0aa15533ef3b4c071cb0880</t>
  </si>
  <si>
    <t>Document at https://www.n-somerset.gov.uk/wp-content/uploads/2015/11/Core-Strategy-adopted-version.pdf might not be a pdf</t>
  </si>
  <si>
    <t>Consolidated Core Strategy encompassing 2012 Core Strategy, replacement Policy CS13 (adopted 2015), and further alterations to policies CS6, CS14, CS19, CS28, CS30, CS31, CS32 and CS33.</t>
  </si>
  <si>
    <t>https://s3.eu-west-2.amazonaws.com/local-plans/images/bea9718c-1bd1-4fa4-a9d8-e7d280d41059/fb66e4d7-7df9-4278-a615-3435150c9fa5.jpg</t>
  </si>
  <si>
    <t>North Somerset Core Strategy (Housing Policy)</t>
  </si>
  <si>
    <t>234a8240-fa63-4106-ab7c-89aa574f9ef7</t>
  </si>
  <si>
    <t>https://www.n-somerset.gov.uk/wp-content/uploads/2015/12/inspectors-report-on-policy-CS13-March-2015.pdf</t>
  </si>
  <si>
    <t>https://s3.eu-west-2.amazonaws.com/local-plans/plan-documents/234a8240-fa63-4106-ab7c-89aa574f9ef7.pdf</t>
  </si>
  <si>
    <t>769d76d81fec5f9d6490cf57928b9f59</t>
  </si>
  <si>
    <t>404 Client Error: Not Found for url: https://www.n-somerset.gov.uk/wp-content/uploads/2015/12/inspectors-report-on-policy-CS13-March-2015.pdf</t>
  </si>
  <si>
    <t>Policy CS13 of the 2012 North Somerset Core Strategy quashed by High Court in University of Bristol v North Somerset Council [2013] EWHC 231 (https://www.n-somerset.gov.uk/wp-content/uploads/2015/12/high-court-judgement.pdf); CS13 was subject to a further Examination and subsequently re-adopted.</t>
  </si>
  <si>
    <t>https://s3.eu-west-2.amazonaws.com/local-plans/images/234a8240-fa63-4106-ab7c-89aa574f9ef7/bfcae8e5-5613-4840-b9e9-2898a7dd8004.jpg</t>
  </si>
  <si>
    <t>local-authority-eng:SGC</t>
  </si>
  <si>
    <t>South Gloucestershire Council</t>
  </si>
  <si>
    <t>8c07a862-73a3-4437-bb83-e3ecdd898bec</t>
  </si>
  <si>
    <t>http://www.southglos.gov.uk/documents/cleanversionforinterimpublication2.pdf</t>
  </si>
  <si>
    <t>https://s3.eu-west-2.amazonaws.com/local-plans/plan-documents/8c07a862-73a3-4437-bb83-e3ecdd898bec.pdf</t>
  </si>
  <si>
    <t>f149e2bb1bf00a972238eb11eb06d132</t>
  </si>
  <si>
    <t>HTTPConnectionPool(host='www.southglos.gov.uk', port=80): Max retries exceeded with url: /documents/cleanversionforinterimpublication2.pdf (Caused by NewConnectionError('&lt;urllib3.connection.HTTPConnection object at 0x7fccaf54f630&gt;: Failed to establish a new connection: [Errno -3] Temporary failure in name resolution'))</t>
  </si>
  <si>
    <t>https://s3.eu-west-2.amazonaws.com/local-plans/images/1f4b74e4-38bf-46fc-8b69-ff4087dabbe8.jpg</t>
  </si>
  <si>
    <t>local-authority-eng:TOB</t>
  </si>
  <si>
    <t>Torbay Council</t>
  </si>
  <si>
    <t>Torbay Local Plan</t>
  </si>
  <si>
    <t>cd0ce8db-58e3-4705-8a95-5e92dfe5ab39</t>
  </si>
  <si>
    <t>https://www.torbay.gov.uk/media/6836/lp-2012to2030.pdf</t>
  </si>
  <si>
    <t>https://s3.eu-west-2.amazonaws.com/local-plans/plan-documents/cd0ce8db-58e3-4705-8a95-5e92dfe5ab39.pdf</t>
  </si>
  <si>
    <t>9343282fee22bcf97e0d3a9fc1f2a0b7</t>
  </si>
  <si>
    <t>https://s3.eu-west-2.amazonaws.com/local-plans/images/cd0ce8db-58e3-4705-8a95-5e92dfe5ab39/ce33f4e1-46a8-486e-9f17-d59bb4fc2313.jpg</t>
  </si>
  <si>
    <t>local-authority-eng:BMH</t>
  </si>
  <si>
    <t>Bournemouth Borough Council</t>
  </si>
  <si>
    <t>E06000028</t>
  </si>
  <si>
    <t>Bournemouth Local Plan: Core Strategy</t>
  </si>
  <si>
    <t>6f964803-73ae-4e23-b16b-8f795a2fd1f3</t>
  </si>
  <si>
    <t>https://www.bournemouth.gov.uk/planningbuilding/CoreStrategyDocuments/Core-Strategy-(1).pdf</t>
  </si>
  <si>
    <t>https://s3.eu-west-2.amazonaws.com/local-plans/plan-documents/6f964803-73ae-4e23-b16b-8f795a2fd1f3.pdf</t>
  </si>
  <si>
    <t>77246f918dc4c92341e039c54c4d82d3</t>
  </si>
  <si>
    <t>https://s3.eu-west-2.amazonaws.com/local-plans/images/cf096123-53d7-457b-acc1-78d5952b8ce6.jpg</t>
  </si>
  <si>
    <t>local-authority-eng:POL</t>
  </si>
  <si>
    <t>Borough of Poole</t>
  </si>
  <si>
    <t>E06000029</t>
  </si>
  <si>
    <t>Poole Local Plan</t>
  </si>
  <si>
    <t>1d9933b6-9107-439d-8566-d847fe7b3757</t>
  </si>
  <si>
    <t>https://www.poole.gov.uk/_resources/assets/attachment/full/0/47235.pdf</t>
  </si>
  <si>
    <t>https://s3.eu-west-2.amazonaws.com/local-plans/plan-documents/1d9933b6-9107-439d-8566-d847fe7b3757.pdf</t>
  </si>
  <si>
    <t>c7c5d94418c5b05ee1a315d1e3da8cf7</t>
  </si>
  <si>
    <t>HTTPSConnectionPool(host='www.poole.gov.uk', port=443): Max retries exceeded with url: /_resources/assets/attachment/full/0/47235.pdf (Caused by SSLError(SSLCertVerificationError(1, '[SSL: CERTIFICATE_VERIFY_FAILED] certificate verify failed: unable to get local issuer certificate (_ssl.c:1056)')))</t>
  </si>
  <si>
    <t>Stepped housing target set out in Policy PP7 as follows: 500 homes/annum 2013 -2018; 710 homes/annum 2018-2023; 815 homes/annum 2023-2033.</t>
  </si>
  <si>
    <t>https://s3.eu-west-2.amazonaws.com/local-plans/images/1d9933b6-9107-439d-8566-d847fe7b3757/ad540fab-1b75-47d8-aa62-897add5f3170.jpg</t>
  </si>
  <si>
    <t>local-authority-eng:SWD</t>
  </si>
  <si>
    <t>Swindon Borough Council</t>
  </si>
  <si>
    <t>Swindon Borough Local Plan 2026</t>
  </si>
  <si>
    <t>60e20958-1eba-4aca-bed4-dca99d89ca8d</t>
  </si>
  <si>
    <t>https://www.swindon.gov.uk/download/downloads/id/3988/swindon_borough_local_plan_2026.pdf</t>
  </si>
  <si>
    <t>https://s3.eu-west-2.amazonaws.com/local-plans/plan-documents/60e20958-1eba-4aca-bed4-dca99d89ca8d.pdf</t>
  </si>
  <si>
    <t>2f0b1194abf0581895a38c7e6fddd6f9</t>
  </si>
  <si>
    <t>https://s3.eu-west-2.amazonaws.com/local-plans/images/60e20958-1eba-4aca-bed4-dca99d89ca8d/98f63d82-02a8-4530-85a2-3ae60118efe1.jpg</t>
  </si>
  <si>
    <t>Swindon Borough Local Plan 2036</t>
  </si>
  <si>
    <t>local-authority-eng:PTE</t>
  </si>
  <si>
    <t>Peterborough City Council</t>
  </si>
  <si>
    <t>Peterborough Local Plan</t>
  </si>
  <si>
    <t>12667eb0-cc73-47bb-8ff0-69487a91411e</t>
  </si>
  <si>
    <t>https://drive.google.com/file/d/1vMt4P8dlTB575MumAZK6R9KE9Zxz5QVV/view</t>
  </si>
  <si>
    <t>Document at https://drive.google.com/file/d/1vMt4P8dlTB575MumAZK6R9KE9Zxz5QVV/view might not be a pdf</t>
  </si>
  <si>
    <t>Stepped requirement: 942/annum between 2016/17 and 2020/21; 982/annum between 2021/22 and 2035/36.</t>
  </si>
  <si>
    <t>https://s3.eu-west-2.amazonaws.com/local-plans/images/12667eb0-cc73-47bb-8ff0-69487a91411e/5f3255ff-1d6e-430a-b148-061ce1964462.jpg</t>
  </si>
  <si>
    <t>local-authority-eng:LUT</t>
  </si>
  <si>
    <t>Luton Borough Council</t>
  </si>
  <si>
    <t>Luton Local Plan (2011-2031)</t>
  </si>
  <si>
    <t>211efb01-2f53-482c-95b0-0f12ca199dae</t>
  </si>
  <si>
    <t>https://www.luton.gov.uk/Environment/Lists/LutonDocuments/PDF/Local%20Plan/adoption/Luton-Local-Plan-2011-2031-November-2017.pdf</t>
  </si>
  <si>
    <t>https://s3.eu-west-2.amazonaws.com/local-plans/plan-documents/211efb01-2f53-482c-95b0-0f12ca199dae.pdf</t>
  </si>
  <si>
    <t>522 Server Error: Origin Connection Time-out for url: https://www.luton.gov.uk/Environment/Lists/LutonDocuments/PDF/Local%20Plan/adoption/Luton-Local-Plan-2011-2031-November-2017.pdf</t>
  </si>
  <si>
    <t>https://s3.eu-west-2.amazonaws.com/local-plans/images/0251a027-30bd-48ad-95a8-a62ba49e5f90.jpg</t>
  </si>
  <si>
    <t>local-authority-eng:SOS</t>
  </si>
  <si>
    <t>Southend-on-Sea Borough Council</t>
  </si>
  <si>
    <t>79c434af-fe88-4968-957f-a354a762ef4d</t>
  </si>
  <si>
    <t>http://www.southend.gov.uk/download/downloads/id/1540/core_strategy_dpd1pdf.pdf</t>
  </si>
  <si>
    <t>https://s3.eu-west-2.amazonaws.com/local-plans/plan-documents/79c434af-fe88-4968-957f-a354a762ef4d.pdf</t>
  </si>
  <si>
    <t>cbe1edd398926ad6a728b204f2e721e3</t>
  </si>
  <si>
    <t>404 Client Error: Not Found for url: https://www.southend.gov.uk/download/downloads/id/1540/core_strategy_dpd1pdf.pdf</t>
  </si>
  <si>
    <t>https://s3.eu-west-2.amazonaws.com/local-plans/images/79c434af-fe88-4968-957f-a354a762ef4d/d9aa3763-79ce-4ed7-900c-abd54292f934.jpg</t>
  </si>
  <si>
    <t>Southend New Local Plan</t>
  </si>
  <si>
    <t>7814c0d4-abad-4380-9a4e-312b4577881a</t>
  </si>
  <si>
    <t>HOUSING_REQUIREMENT_RANGE</t>
  </si>
  <si>
    <t>https://localplan.southend.gov.uk/sites/localplan.southend/files/2019-02/Southend%20New%20Local%20Plan.pdf</t>
  </si>
  <si>
    <t>https://s3.eu-west-2.amazonaws.com/local-plans/plan-documents/7814c0d4-abad-4380-9a4e-312b4577881a.pdf</t>
  </si>
  <si>
    <t>4fff93a63974aa1ba0c593af215b55a7</t>
  </si>
  <si>
    <t>https://s3.eu-west-2.amazonaws.com/local-plans/images/7814c0d4-abad-4380-9a4e-312b4577881a/3f2d6d87-b57a-4a23-8dea-e64a401db68e.jpg</t>
  </si>
  <si>
    <t>local-authority-eng:THR</t>
  </si>
  <si>
    <t>Thurrock Council</t>
  </si>
  <si>
    <t>Core Strategy (Focused Review)</t>
  </si>
  <si>
    <t>9ce4ba00-7857-4f9b-916d-9f8ef953c050</t>
  </si>
  <si>
    <t>https://www.thurrock.gov.uk/sites/default/files/assets/documents/core_strategy_adopted_2011_amended_2015.pdf</t>
  </si>
  <si>
    <t>https://s3.eu-west-2.amazonaws.com/local-plans/plan-documents/9ce4ba00-7857-4f9b-916d-9f8ef953c050.pdf</t>
  </si>
  <si>
    <t>5a00b049acdaa9454d9203b4c3cd7e8a</t>
  </si>
  <si>
    <t>503 Server Error: Service Unavailable for url: https://www.thurrock.gov.uk/sites/default/files/assets/documents/core_strategy_adopted_2011_amended_2015.pdf</t>
  </si>
  <si>
    <t>Focused Review pertaining to compliance with the NPPF. Review updated policies CSSP5, CSTP8, CSTP23, STP25, CSTP26, CSTP27, CSTP28, CSTP31, CSTP32, PMD1, PMD2, PMD4, PMD6, PMD7, PMD10, PMD12, PMD15 and PMD16. Housing requirement policy (CSSP1) not materially altered by the Focused Review; policy dates to the Core Strategy (adopted 2011). Based on requirement of 18,500 2001-2021 (925 homes/annum) and 4,750 2021-2026 (950 homes/annum).</t>
  </si>
  <si>
    <t>https://s3.eu-west-2.amazonaws.com/local-plans/images/6b239fe2-b099-4fca-838f-54430ff3ec47.jpg</t>
  </si>
  <si>
    <t>Thurrock Core Strategy</t>
  </si>
  <si>
    <t>e7448134-09bb-43a9-a657-d6cfcd18029a</t>
  </si>
  <si>
    <t>https://s3.eu-west-2.amazonaws.com/local-plans/plan-documents/e7448134-09bb-43a9-a657-d6cfcd18029a.pdf</t>
  </si>
  <si>
    <t>Original Policy CSSP1, as adopted 2011. Based on requirement of 18,500 2001-2021 (925 homes/annum) and 4,750 2021-2026 (950 homes/annum).</t>
  </si>
  <si>
    <t>https://s3.eu-west-2.amazonaws.com/local-plans/images/e7448134-09bb-43a9-a657-d6cfcd18029a/e9356d16-6e92-40b1-98af-4d0523e7be47.jpg</t>
  </si>
  <si>
    <t>Thurrock Local Plan</t>
  </si>
  <si>
    <t>8464078a-b6c8-45a4-8d96-6454ad9babe0</t>
  </si>
  <si>
    <t>max.laverack</t>
  </si>
  <si>
    <t>local-authority-eng:MDW</t>
  </si>
  <si>
    <t>Medway Council</t>
  </si>
  <si>
    <t>Future Medway Local Plan (2019-2037)</t>
  </si>
  <si>
    <t>b83e1a36-016a-4813-82c4-94208b135dd0</t>
  </si>
  <si>
    <t>local-authority-eng:BRC</t>
  </si>
  <si>
    <t>Bracknell Forest Council</t>
  </si>
  <si>
    <t>450e04d8-3727-494c-ae14-02bebd605939</t>
  </si>
  <si>
    <t>https://www.bracknell-forest.gov.uk/sites/default/files/documents/core-strategy-development-plan-document-february-2008.pdf</t>
  </si>
  <si>
    <t>https://s3.eu-west-2.amazonaws.com/local-plans/plan-documents/450e04d8-3727-494c-ae14-02bebd605939.pdf</t>
  </si>
  <si>
    <t>54928436b20460684da9df443ce69ad8</t>
  </si>
  <si>
    <t>https://s3.eu-west-2.amazonaws.com/local-plans/images/78545bfd-525e-41a6-83df-7d4f94bade67.jpg</t>
  </si>
  <si>
    <t xml:space="preserve">Bracknell Forest Local Plan </t>
  </si>
  <si>
    <t>300160d0-9a3c-4344-ad27-8e97d9380a3f</t>
  </si>
  <si>
    <t>local-authority-eng:WBK</t>
  </si>
  <si>
    <t>West Berkshire Council</t>
  </si>
  <si>
    <t>West Berkshire Core Strategy DPD</t>
  </si>
  <si>
    <t>69d8a719-df50-4f2a-a6ce-3f905b07f1e3</t>
  </si>
  <si>
    <t>https://info.westberks.gov.uk/CHttpHandler.ashx?id=36374&amp;p=0</t>
  </si>
  <si>
    <t>https://s3.eu-west-2.amazonaws.com/local-plans/plan-documents/69d8a719-df50-4f2a-a6ce-3f905b07f1e3.pdf</t>
  </si>
  <si>
    <t>b9d8674a56a647f5400b8ce3b8e66c04</t>
  </si>
  <si>
    <t>500 Server Error: Internal Server Error for url: https://info.westberks.gov.uk/CHttpHandler.ashx?id=36374&amp;p=0</t>
  </si>
  <si>
    <t>https://s3.eu-west-2.amazonaws.com/local-plans/images/69d8a719-df50-4f2a-a6ce-3f905b07f1e3/23a873a5-d8ed-4b81-9790-769ec644b393.jpg</t>
  </si>
  <si>
    <t>071175c1-5f10-43dd-8ff9-97e3db1b8912</t>
  </si>
  <si>
    <t>https://info.westberks.gov.uk/CHttpHandler.ashx?id=46409&amp;p=0</t>
  </si>
  <si>
    <t>https://s3.eu-west-2.amazonaws.com/local-plans/plan-documents/071175c1-5f10-43dd-8ff9-97e3db1b8912.pdf</t>
  </si>
  <si>
    <t>0883f836834eb29016041733ce22bd67</t>
  </si>
  <si>
    <t>500 Server Error: Internal Server Error for url: https://info.westberks.gov.uk/CHttpHandler.ashx?id=46409&amp;p=0</t>
  </si>
  <si>
    <t>https://s3.eu-west-2.amazonaws.com/local-plans/images/071175c1-5f10-43dd-8ff9-97e3db1b8912/425b43c5-0d88-4566-83af-819eecd98647.jpg</t>
  </si>
  <si>
    <t>local-authority-eng:RDG</t>
  </si>
  <si>
    <t>Reading Borough Local Plan</t>
  </si>
  <si>
    <t>eb59f334-6abc-4303-99a2-20864f8a83c3</t>
  </si>
  <si>
    <t>https://www.reading.gov.uk/media/10410/Reading-Borough-Council-Local-Plan/pdf/Local_Plan_Adopted_November_2019.pdf</t>
  </si>
  <si>
    <t>https://s3.eu-west-2.amazonaws.com/local-plans/plan-documents/eb59f334-6abc-4303-99a2-20864f8a83c3.pdf</t>
  </si>
  <si>
    <t>e23587d3ff8fb841973212503ed9c95b</t>
  </si>
  <si>
    <t>404 Client Error: Not Found for url: https://www.reading.gov.uk/media/10410/Reading-Borough-Council-Local-Plan/pdf/Local_Plan_Adopted_November_2019.pdf</t>
  </si>
  <si>
    <t>https://s3.eu-west-2.amazonaws.com/local-plans/images/eb59f334-6abc-4303-99a2-20864f8a83c3/5f6b6e23-2e1f-489d-b51f-a734c4e47e5d.jpg</t>
  </si>
  <si>
    <t>local-authority-eng:SLG</t>
  </si>
  <si>
    <t>Slough Borough Council</t>
  </si>
  <si>
    <t>Core Strategy 2006-2026</t>
  </si>
  <si>
    <t>1fe0c26f-d9ae-46b3-93d8-d47d208af5c3</t>
  </si>
  <si>
    <t>http://www.slough.gov.uk/downloads/Adopted_Core_Strategy_16-12-08.pdf</t>
  </si>
  <si>
    <t>https://s3.eu-west-2.amazonaws.com/local-plans/plan-documents/1fe0c26f-d9ae-46b3-93d8-d47d208af5c3.pdf</t>
  </si>
  <si>
    <t>7596620c3d4fa7b1f11d76e43ef0d0cf</t>
  </si>
  <si>
    <t>https://s3.eu-west-2.amazonaws.com/local-plans/images/1fe0c26f-d9ae-46b3-93d8-d47d208af5c3/21e41472-b952-4b12-b448-568afa23e985.jpg</t>
  </si>
  <si>
    <t>Slough Local Plan 2016-2036</t>
  </si>
  <si>
    <t>4544d998-b626-4a0f-9857-835d7dca8b86</t>
  </si>
  <si>
    <t>local-authority-eng:WNM</t>
  </si>
  <si>
    <t>Royal Borough of Windsor and Maidenhead</t>
  </si>
  <si>
    <t>Borough Local Plan</t>
  </si>
  <si>
    <t>b2a226dd-f994-49c6-8b18-7e564c66d265</t>
  </si>
  <si>
    <t>http://consult.rbwm.gov.uk/file/4616592</t>
  </si>
  <si>
    <t>Document at http://consult.rbwm.gov.uk/file/4616592 might not be a pdf</t>
  </si>
  <si>
    <t>https://s3.eu-west-2.amazonaws.com/local-plans/images/b2a226dd-f994-49c6-8b18-7e564c66d265/4a9af3cb-2d59-401b-bee8-1619d829b5b5.jpg</t>
  </si>
  <si>
    <t>local-authority-eng:WOK</t>
  </si>
  <si>
    <t>Wokingham Borough Council</t>
  </si>
  <si>
    <t>Wokingham Core Strategy</t>
  </si>
  <si>
    <t>9ec2c91c-44b5-488c-af0a-0f8d0cdfd9ca</t>
  </si>
  <si>
    <t>http://www.wokingham.gov.uk/EasySiteWeb/GatewayLink.aspx?alId=268860</t>
  </si>
  <si>
    <t>https://s3.eu-west-2.amazonaws.com/local-plans/plan-documents/9ec2c91c-44b5-488c-af0a-0f8d0cdfd9ca.pdf</t>
  </si>
  <si>
    <t>e6f0e318aea88c2529f7ba5af4c2117e</t>
  </si>
  <si>
    <t xml:space="preserve">* April 2006 to March 2011 â€“ an average of 600 dwellings per annum
* April 2011 to March 2016 â€“ an average of 700 dwellings per annum
* April 2016 to March 2021 â€“ an average of 723 dwellings per annum
* April 2021 to March 2026 â€“ an average of 623 dwellings per annum </t>
  </si>
  <si>
    <t>https://s3.eu-west-2.amazonaws.com/local-plans/images/9ec2c91c-44b5-488c-af0a-0f8d0cdfd9ca/e06214d5-86e1-42c4-b433-0cb2c314dc6f.jpg</t>
  </si>
  <si>
    <t>local-authority-eng:MIK</t>
  </si>
  <si>
    <t>Milton Keynes Council</t>
  </si>
  <si>
    <t>Plan:MK</t>
  </si>
  <si>
    <t>18a7a012-9dd1-4f9c-ae0b-7f6537e4790f</t>
  </si>
  <si>
    <t>https://www.milton-keynes.gov.uk/assets/attach/59310/PlanMK%20Adoption%20Version%20(March%202019).pdf</t>
  </si>
  <si>
    <t>https://s3.eu-west-2.amazonaws.com/local-plans/plan-documents/18a7a012-9dd1-4f9c-ae0b-7f6537e4790f.pdf</t>
  </si>
  <si>
    <t>64ae00f2b65cc2b541182ad7e82db4ee</t>
  </si>
  <si>
    <t>404 Client Error: Not Found for url: https://www.milton-keynes.gov.uk/assets/attach/59310/PlanMK%20Adoption%20Version%20(March%202019).pdf</t>
  </si>
  <si>
    <t>https://s3.eu-west-2.amazonaws.com/local-plans/images/18a7a012-9dd1-4f9c-ae0b-7f6537e4790f/b98e816a-ff52-4792-944c-4cc6e18b5a7e.jpg</t>
  </si>
  <si>
    <t>local-authority-eng:BNH</t>
  </si>
  <si>
    <t>Brighton and Hove City Plan Part One</t>
  </si>
  <si>
    <t>0e2b5875-0d92-4202-bff0-b717324eeb5d</t>
  </si>
  <si>
    <t>https://www.brighton-hove.gov.uk/sites/brighton-hove.gov.uk/files/FINAL%20version%20cityplan%20March%202016compreswith%20forward_0.pdf</t>
  </si>
  <si>
    <t>https://s3.eu-west-2.amazonaws.com/local-plans/plan-documents/0e2b5875-0d92-4202-bff0-b717324eeb5d.pdf</t>
  </si>
  <si>
    <t>414e53ef36c2911a367b434e6127c4de</t>
  </si>
  <si>
    <t>https://s3.eu-west-2.amazonaws.com/local-plans/images/0e2b5875-0d92-4202-bff0-b717324eeb5d/cc557c91-3c05-4c10-93ae-294834375261.jpg</t>
  </si>
  <si>
    <t>local-authority-eng:POR</t>
  </si>
  <si>
    <t>Portsmouth City Council</t>
  </si>
  <si>
    <t>The Portsmouth Plan</t>
  </si>
  <si>
    <t>17f4d075-1877-489c-8c6c-8a5a8b2068d1</t>
  </si>
  <si>
    <t>https://www.portsmouth.gov.uk/ext/documents-external/pln-portsmouth-plan-post-adoption.pdf</t>
  </si>
  <si>
    <t>https://s3.eu-west-2.amazonaws.com/local-plans/plan-documents/17f4d075-1877-489c-8c6c-8a5a8b2068d1.pdf</t>
  </si>
  <si>
    <t>2734976381b4cb535cc0f2157e8910e9</t>
  </si>
  <si>
    <t>https://s3.eu-west-2.amazonaws.com/local-plans/images/17f4d075-1877-489c-8c6c-8a5a8b2068d1/d57f59da-5fb1-4ddb-9ec7-e24321d536c1.jpg</t>
  </si>
  <si>
    <t xml:space="preserve"> Portsmouth Local Plan 2016-2036</t>
  </si>
  <si>
    <t>ec592779-f63c-4445-89bf-ae4dd81e1b79</t>
  </si>
  <si>
    <t>https://www.portsmouth.gov.uk/wp-content/uploads/2020/05/Local-Plan-Update.pdf</t>
  </si>
  <si>
    <t>https://s3.eu-west-2.amazonaws.com/local-plans/plan-documents/ec592779-f63c-4445-89bf-ae4dd81e1b79.pdf</t>
  </si>
  <si>
    <t>951aa0ef94fadf8f57703c598e2d8a6b</t>
  </si>
  <si>
    <t>Housing figure taken from local plan update (February 2019).  Note this figure is likely to change as plan is at an early (pre-publication) stage.</t>
  </si>
  <si>
    <t>https://s3.eu-west-2.amazonaws.com/local-plans/images/ec592779-f63c-4445-89bf-ae4dd81e1b79/3bb173f8-b233-47f1-b52c-24c63a9edff8.jpg</t>
  </si>
  <si>
    <t>local-authority-eng:STH</t>
  </si>
  <si>
    <t>Core Strategy (Partial Review)</t>
  </si>
  <si>
    <t>d12562aa-dbf0-4c99-b61c-d6f0116d4870</t>
  </si>
  <si>
    <t>http://www.southampton.gov.uk/policies/amended-core-strategy-inc-cspr-final-13-03-2015_tcm63-371354.pdf</t>
  </si>
  <si>
    <t>https://s3.eu-west-2.amazonaws.com/local-plans/plan-documents/d12562aa-dbf0-4c99-b61c-d6f0116d4870.pdf</t>
  </si>
  <si>
    <t>a7e40833bb3ba74a51edd1353b716e2d</t>
  </si>
  <si>
    <t>Partial Review included the reduction in development targets for new office and retail floorspace and the inclusion of a presumption in favour of sustainable development. Housing requirement policy (CS 4) not materially altered by the Partial Review; policy dates to the Core Strategy (adopted 2010).</t>
  </si>
  <si>
    <t>https://s3.eu-west-2.amazonaws.com/local-plans/images/d12562aa-dbf0-4c99-b61c-d6f0116d4870/2c23f810-5868-48f8-bd80-fca385ebb8fe.jpg</t>
  </si>
  <si>
    <t>New Local Plan</t>
  </si>
  <si>
    <t>439dfb09-86cd-4837-9547-6c885db855ac</t>
  </si>
  <si>
    <t>local-authority-eng:IOW</t>
  </si>
  <si>
    <t>Isle of Wight Council</t>
  </si>
  <si>
    <t>Island Plan: The Isle of Wight Core Strategy and DM Policies DPD</t>
  </si>
  <si>
    <t>ddf32c2e-07a1-459c-bac8-e198d0acf1fc</t>
  </si>
  <si>
    <t>https://www.iow.gov.uk/azservices/documents/2776-Core-Strategy-Adopted-March-2012-updated-web-links-May-2013-with-cover.pdf</t>
  </si>
  <si>
    <t>https://s3.eu-west-2.amazonaws.com/local-plans/plan-documents/ddf32c2e-07a1-459c-bac8-e198d0acf1fc.pdf</t>
  </si>
  <si>
    <t>1b0b02685912db8ba20ee97ca5eedcd5</t>
  </si>
  <si>
    <t>HTTPSConnectionPool(host='www.iow.gov.uk', port=443): Max retries exceeded with url: /azservices/documents/2776-Core-Strategy-Adopted-March-2012-updated-web-links-May-2013-with-cover.pdf (Caused by NewConnectionError('&lt;urllib3.connection.VerifiedHTTPSConnection object at 0x7fba90b6e9b0&gt;: Failed to establish a new connection: [Errno 110] Connection timed out'))</t>
  </si>
  <si>
    <t>https://s3.eu-west-2.amazonaws.com/local-plans/images/38a9305b-c24c-4f6a-9a2b-5439243f8d55.jpg</t>
  </si>
  <si>
    <t>The Island Plan</t>
  </si>
  <si>
    <t>411bcf35-eb52-4746-aec8-deb9c9ce8a4f</t>
  </si>
  <si>
    <t>https://www.iow.gov.uk/azservices/documents/2981-Final-Draft-IPS-for-Consultation.pdf</t>
  </si>
  <si>
    <t>https://s3.eu-west-2.amazonaws.com/local-plans/plan-documents/411bcf35-eb52-4746-aec8-deb9c9ce8a4f.pdf</t>
  </si>
  <si>
    <t>56c26a67dbe6c07e48dfb711dcae4a49</t>
  </si>
  <si>
    <t>HTTPSConnectionPool(host='www.iow.gov.uk', port=443): Max retries exceeded with url: /azservices/documents/2981-Final-Draft-IPS-for-Consultation.pdf (Caused by NewConnectionError('&lt;urllib3.connection.VerifiedHTTPSConnection object at 0x7fba90aebcc0&gt;: Failed to establish a new connection: [Errno 110] Connection timed out'))</t>
  </si>
  <si>
    <t>https://s3.eu-west-2.amazonaws.com/local-plans/images/411bcf35-eb52-4746-aec8-deb9c9ce8a4f/af8ae05e-c150-47d8-a55b-1bb958ca2109.jpg</t>
  </si>
  <si>
    <t>local-authority-eng:DUR</t>
  </si>
  <si>
    <t>Durham County Council</t>
  </si>
  <si>
    <t>County Durham Plan</t>
  </si>
  <si>
    <t>d9b60cc5-1285-4146-8b0f-1faa9c27ccf4</t>
  </si>
  <si>
    <t>https://www.durham.gov.uk/media/34069/County-Durham-Plan-adopted-2020-/pdf/CountyDurhamPlanAdopted2020.pdf?m=637388814799330000</t>
  </si>
  <si>
    <t>https://s3.eu-west-2.amazonaws.com/local-plans/plan-documents/d9b60cc5-1285-4146-8b0f-1faa9c27ccf4.pdf</t>
  </si>
  <si>
    <t>https://s3.eu-west-2.amazonaws.com/local-plans/images/d9b60cc5-1285-4146-8b0f-1faa9c27ccf4/cbcfe88d-3413-4ad5-904c-fa24c2e9be34.jpg</t>
  </si>
  <si>
    <t>local-authority-eng:CHE</t>
  </si>
  <si>
    <t>Cheshire East Council</t>
  </si>
  <si>
    <t>Local Plan Strategy</t>
  </si>
  <si>
    <t>796b09f8-af75-4dea-ba4b-0ace06381dd0</t>
  </si>
  <si>
    <t>https://www.cheshireeast.gov.uk/pdf/planning/local-plan/local-plan-strategy-web-version-1.pdf</t>
  </si>
  <si>
    <t>https://s3.eu-west-2.amazonaws.com/local-plans/plan-documents/796b09f8-af75-4dea-ba4b-0ace06381dd0.pdf</t>
  </si>
  <si>
    <t>7f71fc2d30bd84ef5c43e59cd8be4b68</t>
  </si>
  <si>
    <t>https://s3.eu-west-2.amazonaws.com/local-plans/images/490ceaba-66ec-4e06-8480-5fc5f59afe47.jpg</t>
  </si>
  <si>
    <t>local-authority-eng:CHW</t>
  </si>
  <si>
    <t>Cheshire West and Chester Council</t>
  </si>
  <si>
    <t>Local Plan (Part One) Strategic Policies</t>
  </si>
  <si>
    <t>ba74a7a2-6e3e-4ad0-9f8a-9620be69e85d</t>
  </si>
  <si>
    <t>http://consult.cheshirewestandchester.gov.uk/file/3310073</t>
  </si>
  <si>
    <t>Document at http://consult.cheshirewestandchester.gov.uk/file/3310073 might not be a pdf</t>
  </si>
  <si>
    <t>"Over the period of 2010 to 2030 the Plan will deliver at least:
22,000 new dwellings
365 hectares of land for employment development to meet a range of types and sizes of site"</t>
  </si>
  <si>
    <t>local-authority-eng:SHR</t>
  </si>
  <si>
    <t>Shropshire Council</t>
  </si>
  <si>
    <t>Shropshire Local Development Framework: Adopted Core Strategy</t>
  </si>
  <si>
    <t>530eca56-a7e3-4b70-860d-d928a1e9ad67</t>
  </si>
  <si>
    <t>http://www.shropshire.gov.uk/media/8534/core-strategy.pdf</t>
  </si>
  <si>
    <t>https://s3.eu-west-2.amazonaws.com/local-plans/plan-documents/530eca56-a7e3-4b70-860d-d928a1e9ad67.pdf</t>
  </si>
  <si>
    <t>1c267237bddc387c6da51a84b77d47fa</t>
  </si>
  <si>
    <t>https://s3.eu-west-2.amazonaws.com/local-plans/images/530eca56-a7e3-4b70-860d-d928a1e9ad67/36244266-e4c5-4781-9455-4c2160e48257.jpg</t>
  </si>
  <si>
    <t>Shropshire Local Plan Review</t>
  </si>
  <si>
    <t>7402de6b-c08f-43ee-a25f-160c3ecce97c</t>
  </si>
  <si>
    <t>https://s3.eu-west-2.amazonaws.com/local-plans/plan-documents/7402de6b-c08f-43ee-a25f-160c3ecce97c.pdf</t>
  </si>
  <si>
    <t>local-authority-eng:CON</t>
  </si>
  <si>
    <t>Cornwall Council</t>
  </si>
  <si>
    <t>Cornwall Local Plan: Strategic Policies 2010-2030</t>
  </si>
  <si>
    <t>ff7a8a59-3da4-4d24-a2ec-0a1b75d108bb</t>
  </si>
  <si>
    <t>https://www.cornwall.gov.uk/media/22936789/adopted-local-plan-strategic-policies-2016.pdf</t>
  </si>
  <si>
    <t>https://s3.eu-west-2.amazonaws.com/local-plans/plan-documents/ff7a8a59-3da4-4d24-a2ec-0a1b75d108bb.pdf</t>
  </si>
  <si>
    <t>2372793f32f9b8432be4f7bc9321d027</t>
  </si>
  <si>
    <t>https://s3.eu-west-2.amazonaws.com/local-plans/images/e2a206b1-941a-4ace-9c76-a819dba321fa.jpg</t>
  </si>
  <si>
    <t>local-authority-eng:IOS</t>
  </si>
  <si>
    <t>Isles of Scilly Council</t>
  </si>
  <si>
    <t>Isles of Scilly Local Plan</t>
  </si>
  <si>
    <t>9b81c32f-c7e1-4ecd-b529-7a5279a3be78</t>
  </si>
  <si>
    <t>https://s3.eu-west-2.amazonaws.com/local-plans/plan-documents/9b81c32f-c7e1-4ecd-b529-7a5279a3be78.pdf</t>
  </si>
  <si>
    <t>local-authority-eng:WIL</t>
  </si>
  <si>
    <t>Wiltshire Council</t>
  </si>
  <si>
    <t>Wiltshire Core Strategy</t>
  </si>
  <si>
    <t>46cd098f-c373-41d6-9996-664df6ff1ba7</t>
  </si>
  <si>
    <t>http://www.wiltshire.gov.uk/adopted-local-plan-jan16-low-res.pdf</t>
  </si>
  <si>
    <t>https://s3.eu-west-2.amazonaws.com/local-plans/plan-documents/46cd098f-c373-41d6-9996-664df6ff1ba7.pdf</t>
  </si>
  <si>
    <t>e8a3cf358d0737c1b329e7b0689b3ffa</t>
  </si>
  <si>
    <t>404 Client Error: Not Found for url: https://www.wiltshire.gov.uk/adopted-local-plan-jan16-low-res.pdf</t>
  </si>
  <si>
    <t>https://s3.eu-west-2.amazonaws.com/local-plans/images/46cd098f-c373-41d6-9996-664df6ff1ba7/acf52a6d-a183-424d-8421-5c72d89697f2.jpg</t>
  </si>
  <si>
    <t>Wiltshire Local Plan Review</t>
  </si>
  <si>
    <t>9324510c-0964-4554-894e-aa37bab3c867</t>
  </si>
  <si>
    <t>https://www.wiltshire.gov.uk/planning-policy-local-plan-review</t>
  </si>
  <si>
    <t>Document at https://www.wiltshire.gov.uk/planning-policy-local-plan-review might not be a pdf</t>
  </si>
  <si>
    <t>local-authority-eng:BDF</t>
  </si>
  <si>
    <t>Bedford Borough Council</t>
  </si>
  <si>
    <t>Bedford Borough Local Plan 2030</t>
  </si>
  <si>
    <t>3c3c274f-d3e5-4517-a075-8868aaa8af42</t>
  </si>
  <si>
    <t>https://bbcdevwebfiles.blob.core.windows.net/webfiles/Planning%20and%20Building/local-plan-2030/Local%20Plan%202030%20ADOPTED%20VERSION.pdf</t>
  </si>
  <si>
    <t>https://s3.eu-west-2.amazonaws.com/local-plans/plan-documents/3c3c274f-d3e5-4517-a075-8868aaa8af42.pdf</t>
  </si>
  <si>
    <t>8d7abab65d673f5a7b0b9ddb7ef51cce</t>
  </si>
  <si>
    <t>Bedford are committed to an early review of Local Plan 2030 - no later than one year after adoption - Ch1, para 1.6 (see new policy in MM1)</t>
  </si>
  <si>
    <t>https://s3.eu-west-2.amazonaws.com/local-plans/images/3c3c274f-d3e5-4517-a075-8868aaa8af42/5c20a730-473d-495a-9e28-f0bf537aa7d8.jpg</t>
  </si>
  <si>
    <t>local-authority-eng:CBF</t>
  </si>
  <si>
    <t>Central Bedfordshire Council</t>
  </si>
  <si>
    <t>Central Bedfordshire Local Plan 2035</t>
  </si>
  <si>
    <t>1d4759cb-5018-43e5-9c6a-ca0372b083c6</t>
  </si>
  <si>
    <t>local-authority-eng:NBL</t>
  </si>
  <si>
    <t>Northumberland County Council</t>
  </si>
  <si>
    <t>Northumberland Local Plan</t>
  </si>
  <si>
    <t>d2a08f60-f8a2-470b-b214-d189416d1b66</t>
  </si>
  <si>
    <t>https://www.northumberland.gov.uk/NorthumberlandCountyCouncil/media/Planning-and-Building/planning%20policy/Local%20Plan/Northumberland-Local-Plan-Reg-19-Publication-Draft-January-2019-Web-PDF-Version.pdf</t>
  </si>
  <si>
    <t>https://s3.eu-west-2.amazonaws.com/local-plans/plan-documents/d2a08f60-f8a2-470b-b214-d189416d1b66.pdf</t>
  </si>
  <si>
    <t>fbe648b3d1faedbfaa7093f6f0317bb0</t>
  </si>
  <si>
    <t>https://s3.eu-west-2.amazonaws.com/local-plans/images/d2a08f60-f8a2-470b-b214-d189416d1b66/cc4dab60-e2d9-4c56-80d4-84919985b843.jpg</t>
  </si>
  <si>
    <t>local-authority-eng:AYL</t>
  </si>
  <si>
    <t>Aylesbury Vale District Council</t>
  </si>
  <si>
    <t>E07000004</t>
  </si>
  <si>
    <t>Vale of Aylesbury Local Plan 2013-2033</t>
  </si>
  <si>
    <t>6ec9e814-2154-404d-bbc0-1dd04e3b95df</t>
  </si>
  <si>
    <t>https://s3.eu-west-2.amazonaws.com/local-plans/plan-documents/6ec9e814-2154-404d-bbc0-1dd04e3b95df.pdf</t>
  </si>
  <si>
    <t>local-authority-eng:CHN</t>
  </si>
  <si>
    <t>Chiltern District Council</t>
  </si>
  <si>
    <t>E07000005</t>
  </si>
  <si>
    <t>Core Strategy for Chiltern District</t>
  </si>
  <si>
    <t>8f4eecb8-0d98-4af4-b5b5-0ffc9451a190</t>
  </si>
  <si>
    <t>https://chiltern.gov.uk/media/1199/Adopted-Core-Strategy-for-Chiltern-District/pdf/Core_Startegy_Final_Web_Version_2012.pdf?m=634757182387600000</t>
  </si>
  <si>
    <t>https://s3.eu-west-2.amazonaws.com/local-plans/plan-documents/8f4eecb8-0d98-4af4-b5b5-0ffc9451a190.pdf</t>
  </si>
  <si>
    <t>c0397c1ba973d0723e2ce9925333befd</t>
  </si>
  <si>
    <t>500 Server Error: Internal Server Error for url: https://chiltern.gov.uk/media/1199/Adopted-Core-Strategy-for-Chiltern-District/pdf/Core_Startegy_Final_Web_Version_2012.pdf?m=634757182387600000</t>
  </si>
  <si>
    <t>https://s3.eu-west-2.amazonaws.com/local-plans/images/8f4eecb8-0d98-4af4-b5b5-0ffc9451a190/4b17a74e-8bf4-4c68-87d4-05367407032f.jpg</t>
  </si>
  <si>
    <t>local-authority-eng:SBU</t>
  </si>
  <si>
    <t>South Bucks District Council</t>
  </si>
  <si>
    <t>E07000006</t>
  </si>
  <si>
    <t>f2bd3b8f-95ef-4b55-979e-f5022e9f02e1</t>
  </si>
  <si>
    <t>https://southbucks.gov.uk/media/4196/South-Bucks-Core-Strategy-Adopted-February-2011/pdf/South_Bucks_Core_Strategy_-_Adopted_February_2011.pdf?m=635283334516230000</t>
  </si>
  <si>
    <t>https://s3.eu-west-2.amazonaws.com/local-plans/plan-documents/f2bd3b8f-95ef-4b55-979e-f5022e9f02e1.pdf</t>
  </si>
  <si>
    <t>923cbaa16dc0f5f0d76a1cdd01a0ce9c</t>
  </si>
  <si>
    <t>500 Server Error: Internal Server Error for url: https://southbucks.gov.uk/media/4196/South-Bucks-Core-Strategy-Adopted-February-2011/pdf/South_Bucks_Core_Strategy_-_Adopted_February_2011.pdf?m=635283334516230000</t>
  </si>
  <si>
    <t>https://s3.eu-west-2.amazonaws.com/local-plans/images/f2bd3b8f-95ef-4b55-979e-f5022e9f02e1/f34c66d0-da37-4d5e-8cb7-ae907ea9218b.jpg</t>
  </si>
  <si>
    <t>local-authority-eng:WYO</t>
  </si>
  <si>
    <t>Wycombe District Council</t>
  </si>
  <si>
    <t>E07000007</t>
  </si>
  <si>
    <t>Wycombe District Local Plan</t>
  </si>
  <si>
    <t>8778ae29-5e6b-4fde-8245-e95b4574203a</t>
  </si>
  <si>
    <t>https://www.wycombe.gov.uk/uploads/public/documents/Planning/Adopted-Wycombe-local-plan/Wycombe-District-Local-Plan-Adopted-August-2019.pdf</t>
  </si>
  <si>
    <t>https://s3.eu-west-2.amazonaws.com/local-plans/plan-documents/8778ae29-5e6b-4fde-8245-e95b4574203a.pdf</t>
  </si>
  <si>
    <t>853955725dcce718ab926bfde34ef85f</t>
  </si>
  <si>
    <t>https://s3.eu-west-2.amazonaws.com/local-plans/images/8778ae29-5e6b-4fde-8245-e95b4574203a/97c53723-6c5b-463a-9d85-cfb361bbc00e.jpg</t>
  </si>
  <si>
    <t>local-authority-eng:CAB</t>
  </si>
  <si>
    <t>Cambridge City Council</t>
  </si>
  <si>
    <t>Cambridge Local Plan</t>
  </si>
  <si>
    <t>11feb6a5-9c57-41b9-8a03-c30a3509231a</t>
  </si>
  <si>
    <t>https://www.cambridge.gov.uk/media/6890/local-plan-2018.pdf</t>
  </si>
  <si>
    <t>https://s3.eu-west-2.amazonaws.com/local-plans/plan-documents/11feb6a5-9c57-41b9-8a03-c30a3509231a.pdf</t>
  </si>
  <si>
    <t>b40d92d05e4678b33b1cf95602b109a6</t>
  </si>
  <si>
    <t>HTTPSConnectionPool(host='www.cambridge.gov.uk', port=443): Max retries exceeded with url: /media/6890/local-plan-2018.pdf (Caused by NewConnectionError('&lt;urllib3.connection.VerifiedHTTPSConnection object at 0x7f5e724577b8&gt;: Failed to establish a new connection: [Errno -3] Temporary failure in name resolution'))</t>
  </si>
  <si>
    <t>https://s3.eu-west-2.amazonaws.com/local-plans/images/11feb6a5-9c57-41b9-8a03-c30a3509231a/3c1445ac-25e0-40f4-88c3-17d52f78a8a3.jpg</t>
  </si>
  <si>
    <t>local-authority-eng:ECA</t>
  </si>
  <si>
    <t>East Cambridgeshire District Council</t>
  </si>
  <si>
    <t>East Cambridgeshire Local Plan</t>
  </si>
  <si>
    <t>5dce72aa-fd22-4fd0-8147-32b014158462</t>
  </si>
  <si>
    <t>https://www.eastcambs.gov.uk/sites/default/files/Local%20Plan%20April%202015%20-%20front%20cover%20and%20inside%20front%20cover_0.pdf</t>
  </si>
  <si>
    <t>https://s3.eu-west-2.amazonaws.com/local-plans/plan-documents/5dce72aa-fd22-4fd0-8147-32b014158462.pdf</t>
  </si>
  <si>
    <t>81a612fd4e6ac085bab6c0e3c094fc27</t>
  </si>
  <si>
    <t>https://s3.eu-west-2.amazonaws.com/local-plans/images/5dce72aa-fd22-4fd0-8147-32b014158462/3dd40a1f-8605-46b0-85ed-47f2b9740c6a.jpg</t>
  </si>
  <si>
    <t>Local Plan Review (Withdrawn 21 February 2019)</t>
  </si>
  <si>
    <t>ca6713f0-530b-43df-9b3d-f291f227a9da</t>
  </si>
  <si>
    <t>local-authority-eng:FEN</t>
  </si>
  <si>
    <t>Fenland District Council</t>
  </si>
  <si>
    <t>Fenland Local Plan</t>
  </si>
  <si>
    <t>7d89e3cb-d5e6-4271-9cf9-532eb25c452c</t>
  </si>
  <si>
    <t>https://www.fenland.gov.uk/media/12064/Fenland-Local-Plan---Adopted-2014/pdf/Fenland_Local_Plan-Adopted_2014.pdf</t>
  </si>
  <si>
    <t>https://s3.eu-west-2.amazonaws.com/local-plans/plan-documents/7d89e3cb-d5e6-4271-9cf9-532eb25c452c.pdf</t>
  </si>
  <si>
    <t>be2e423bd3d7ebb85c72ff8a15d6d1ed</t>
  </si>
  <si>
    <t>https://s3.eu-west-2.amazonaws.com/local-plans/images/7d89e3cb-d5e6-4271-9cf9-532eb25c452c/7672dbd3-ca20-414d-9b21-225267c43524.jpg</t>
  </si>
  <si>
    <t>Fenland Local Plan 2019-2040</t>
  </si>
  <si>
    <t>5bd289a8-af25-4401-be84-483f14b6db80</t>
  </si>
  <si>
    <t>https://www.fenland.gov.uk/media/16017/Issues--Options-Consultation-Document/pdf/Final_Issues___Options_Cons_Doc_Oct_19.pdf</t>
  </si>
  <si>
    <t>https://s3.eu-west-2.amazonaws.com/local-plans/plan-documents/5bd289a8-af25-4401-be84-483f14b6db80.pdf</t>
  </si>
  <si>
    <t>600509e4cbecde383acecb831428bc0d</t>
  </si>
  <si>
    <t>Assuming 2040 is the end date for the Plan, the
total Local Housing Need for Fenland will
be 11,550 dwellings between 2019 and
2040.  This is an illustrative figure provided in the October 2019 "Issues and Options" document.</t>
  </si>
  <si>
    <t>https://s3.eu-west-2.amazonaws.com/local-plans/images/5bd289a8-af25-4401-be84-483f14b6db80/fc2bde43-b51d-498b-bbcf-d951c446d917.jpg</t>
  </si>
  <si>
    <t>local-authority-eng:HUN</t>
  </si>
  <si>
    <t>Huntingdonshire District Council</t>
  </si>
  <si>
    <t>Huntingdonshire's Local Plan to 2036</t>
  </si>
  <si>
    <t>1b887e1a-ad38-4db9-afe1-1edde983f05f</t>
  </si>
  <si>
    <t>https://www.huntingdonshire.gov.uk/media/3872/190516-final-adopted-local-plan-to-2036.pdf</t>
  </si>
  <si>
    <t>https://s3.eu-west-2.amazonaws.com/local-plans/plan-documents/1b887e1a-ad38-4db9-afe1-1edde983f05f.pdf</t>
  </si>
  <si>
    <t>500 Server Error: Internal Server Error for url: https://www.huntingdonshire.gov.uk/media/3872/190516-final-adopted-local-plan-to-2036.pdf</t>
  </si>
  <si>
    <t>https://s3.eu-west-2.amazonaws.com/local-plans/images/1b887e1a-ad38-4db9-afe1-1edde983f05f/3daad129-35af-421e-a3ea-2ae0f5bf15e7.jpg</t>
  </si>
  <si>
    <t>local-authority-eng:SCA</t>
  </si>
  <si>
    <t>South Cambridgeshire District Council</t>
  </si>
  <si>
    <t>South Cambridgeshire Local Plan</t>
  </si>
  <si>
    <t>37c9c2dc-d71f-4940-83fd-3d570bbc351a</t>
  </si>
  <si>
    <t>https://www.scambs.gov.uk/media/12740/south-cambridgeshire-adopted-local-plan-270918_sml.pdf</t>
  </si>
  <si>
    <t>https://s3.eu-west-2.amazonaws.com/local-plans/plan-documents/37c9c2dc-d71f-4940-83fd-3d570bbc351a.pdf</t>
  </si>
  <si>
    <t>a1e267a3ba7649bb52587c4ab79a1c9f</t>
  </si>
  <si>
    <t>https://s3.eu-west-2.amazonaws.com/local-plans/images/37c9c2dc-d71f-4940-83fd-3d570bbc351a/9131f21f-32bd-40f1-84cd-c7065fe50992.jpg</t>
  </si>
  <si>
    <t>local-authority-eng:ALL</t>
  </si>
  <si>
    <t>Allerdale Borough Council</t>
  </si>
  <si>
    <t>Allerdale Local Plan (Part 1)</t>
  </si>
  <si>
    <t>5538be07-3fac-4f4c-89d4-376868e6fdc1</t>
  </si>
  <si>
    <t>https://www-cloudfront.allerdale.gov.uk/media/filer_public/75/ab/75ab8862-bdee-4f3d-850d-2735286da5c1/adopted_allerdale_local_plan_part_1_-_final_version_151014.pdf</t>
  </si>
  <si>
    <t>https://s3.eu-west-2.amazonaws.com/local-plans/plan-documents/5538be07-3fac-4f4c-89d4-376868e6fdc1.pdf</t>
  </si>
  <si>
    <t>00641f6020edd60a1f1d3054f40c8d87</t>
  </si>
  <si>
    <t>https://s3.eu-west-2.amazonaws.com/local-plans/images/5538be07-3fac-4f4c-89d4-376868e6fdc1/91c9e22b-82bb-4aed-a706-ea478cfd4a5e.jpg</t>
  </si>
  <si>
    <t>local-authority-eng:BAR</t>
  </si>
  <si>
    <t>Barrow-in-Furness Borough Council</t>
  </si>
  <si>
    <t>Barrow Borough Council Local Plan</t>
  </si>
  <si>
    <t>d3e0e620-0896-4fb6-88a5-b852fd2130af</t>
  </si>
  <si>
    <t>https://www.barrowbc.gov.uk/_resources/assets/attachment/full/0/7819.pdf</t>
  </si>
  <si>
    <t>https://s3.eu-west-2.amazonaws.com/local-plans/plan-documents/d3e0e620-0896-4fb6-88a5-b852fd2130af.pdf</t>
  </si>
  <si>
    <t>2d8ada6c10452dfff0666652eb99ee91</t>
  </si>
  <si>
    <t>https://s3.eu-west-2.amazonaws.com/local-plans/images/d3e0e620-0896-4fb6-88a5-b852fd2130af/6b3b9187-e820-4170-841e-968e6c443868.jpg</t>
  </si>
  <si>
    <t>local-authority-eng:CAR</t>
  </si>
  <si>
    <t>Carlisle City Council</t>
  </si>
  <si>
    <t>Carlisle District Local Plan</t>
  </si>
  <si>
    <t>8c82762b-9d1c-4ea8-b18f-e3411c4169a0</t>
  </si>
  <si>
    <t>http://www.carlisle.gov.uk/Portals/24/Documents/Local_Plan/Carlisle%20District%20Local%20Plan%202015-2030/Carlisle%20District%20Local%20Plan%202015-2030.pdf?timestamp=1481284170512</t>
  </si>
  <si>
    <t>https://s3.eu-west-2.amazonaws.com/local-plans/plan-documents/8c82762b-9d1c-4ea8-b18f-e3411c4169a0.pdf</t>
  </si>
  <si>
    <t>f3eebe2a4ebeb9fb06c32b3b00b41e7f</t>
  </si>
  <si>
    <t>https://s3.eu-west-2.amazonaws.com/local-plans/images/8c82762b-9d1c-4ea8-b18f-e3411c4169a0/27a85c81-91b2-4288-a9a5-8570fcdc3312.jpg</t>
  </si>
  <si>
    <t>local-authority-eng:COP</t>
  </si>
  <si>
    <t>Copeland Borough Council</t>
  </si>
  <si>
    <t>Copeland Local Plan 2013-2028</t>
  </si>
  <si>
    <t>23147f33-a203-4148-b639-53bfb88017be</t>
  </si>
  <si>
    <t>https://www.copeland.gov.uk/sites/default/files/attachments/copeland_local_plan_2013_2028.pdf</t>
  </si>
  <si>
    <t>https://s3.eu-west-2.amazonaws.com/local-plans/plan-documents/23147f33-a203-4148-b639-53bfb88017be.pdf</t>
  </si>
  <si>
    <t>f9ee3821fc0f42fb76638333974dbef9</t>
  </si>
  <si>
    <t>503 Server Error: Service Unavailable for url: https://www.copeland.gov.uk/sites/default/files/attachments/copeland_local_plan_2013_2028.pdf</t>
  </si>
  <si>
    <t>Plan also makes allowance for "market uplift" additional 70 dwelling per annum between 2018/19 and 2022/23</t>
  </si>
  <si>
    <t>https://s3.eu-west-2.amazonaws.com/local-plans/images/23147f33-a203-4148-b639-53bfb88017be/6e5b3d84-5925-4b84-ac11-cab189920951.jpg</t>
  </si>
  <si>
    <t>8ee21257-ede9-489f-9f60-73911898dc92</t>
  </si>
  <si>
    <t>https://s3.eu-west-2.amazonaws.com/local-plans/plan-documents/8ee21257-ede9-489f-9f60-73911898dc92.pdf</t>
  </si>
  <si>
    <t>local-authority-eng:EDN</t>
  </si>
  <si>
    <t>Eden District Council</t>
  </si>
  <si>
    <t>Local Plan 2014-2032</t>
  </si>
  <si>
    <t>e9cdd4c9-4ab7-4764-90d0-193af9bb2c04</t>
  </si>
  <si>
    <t>https://www.eden.gov.uk/media/5032/edenlocalplan2014-2032finalwithoutforeword.pdf</t>
  </si>
  <si>
    <t>https://s3.eu-west-2.amazonaws.com/local-plans/plan-documents/e9cdd4c9-4ab7-4764-90d0-193af9bb2c04.pdf</t>
  </si>
  <si>
    <t>ec15948f115d5213e2216bb8c35656c6</t>
  </si>
  <si>
    <t>https://s3.eu-west-2.amazonaws.com/local-plans/images/ebbc937a-0ee9-466a-814f-51433ec90188.jpg</t>
  </si>
  <si>
    <t>local-authority-eng:SLA</t>
  </si>
  <si>
    <t>South Lakeland District Council</t>
  </si>
  <si>
    <t>South Lakeland LDF: Core Strategy</t>
  </si>
  <si>
    <t>de0f06ad-3b78-400e-8caa-9296441e5f29</t>
  </si>
  <si>
    <t>https://www.southlakeland.gov.uk/media/3521/cs01-core-strategy-october-2010.pdf</t>
  </si>
  <si>
    <t>https://s3.eu-west-2.amazonaws.com/local-plans/plan-documents/de0f06ad-3b78-400e-8caa-9296441e5f29.pdf</t>
  </si>
  <si>
    <t>fb8f06898d3348019b2d0836837e3838</t>
  </si>
  <si>
    <t>https://s3.eu-west-2.amazonaws.com/local-plans/images/3c02ab6c-5910-44f6-80f9-b73a117b3d00.jpg</t>
  </si>
  <si>
    <t>local-authority-eng:AMB</t>
  </si>
  <si>
    <t>Amber Valley Borough Council</t>
  </si>
  <si>
    <t>Amber Valley Borough Local Plan  - Plan withdrawn 24 May 2019</t>
  </si>
  <si>
    <t>09a82662-75f1-485d-af89-5f035cdd6126</t>
  </si>
  <si>
    <t>https://info.ambervalley.gov.uk/docarc/docviewer.aspx?docguid=d1aa8dbff4b24c3d8470013a949519c9</t>
  </si>
  <si>
    <t>https://s3.eu-west-2.amazonaws.com/local-plans/plan-documents/09a82662-75f1-485d-af89-5f035cdd6126.pdf</t>
  </si>
  <si>
    <t>c2651c87a596430d1ecd2f8f3120cde0</t>
  </si>
  <si>
    <t>500 Server Error: Internal Server Error for url: https://info.ambervalley.gov.uk/docarc/docviewer.aspx?docguid=d1aa8dbff4b24c3d8470013a949519c9</t>
  </si>
  <si>
    <t>Includes 2,375 unmet need from Derby
NB. Plan withdrawn 24 May 2019</t>
  </si>
  <si>
    <t>local-authority-eng:BOS</t>
  </si>
  <si>
    <t>Bolsover District Council</t>
  </si>
  <si>
    <t>Local Plan for Bolsover District</t>
  </si>
  <si>
    <t>e2db8c69-df16-43be-9f7f-3c0006e50a11</t>
  </si>
  <si>
    <t>https://www.bolsover.gov.uk/images/LIVE/P/Plan_NLP_Local_Plan_for_Bolsover_District_March_2020.pdf</t>
  </si>
  <si>
    <t>https://s3.eu-west-2.amazonaws.com/local-plans/plan-documents/e2db8c69-df16-43be-9f7f-3c0006e50a11.pdf</t>
  </si>
  <si>
    <t>2be753d342d95eaa8fcc2fbeb2f1e03d</t>
  </si>
  <si>
    <t>404 Client Error: Not Found for url: https://www.bolsover.gov.uk/images/LIVE/P/Plan_NLP_Local_Plan_for_Bolsover_District_March_2020.pdf</t>
  </si>
  <si>
    <t>https://s3.eu-west-2.amazonaws.com/local-plans/images/e2db8c69-df16-43be-9f7f-3c0006e50a11/b67b47d3-40cb-4faf-a228-9597a5b50f29.jpg</t>
  </si>
  <si>
    <t>local-authority-eng:CHS</t>
  </si>
  <si>
    <t>Chesterfield Borough Council</t>
  </si>
  <si>
    <t>Chesterfield Borough Local Plan 2018-2033</t>
  </si>
  <si>
    <t>e03a081f-3bd1-4c85-ba87-295a4914f8a0</t>
  </si>
  <si>
    <t>https://www.chesterfield.gov.uk/media/1312966/chesterfield-borough-local-plan-2018-2035.pdf</t>
  </si>
  <si>
    <t>https://s3.eu-west-2.amazonaws.com/local-plans/plan-documents/e03a081f-3bd1-4c85-ba87-295a4914f8a0.pdf</t>
  </si>
  <si>
    <t xml:space="preserve">
 </t>
  </si>
  <si>
    <t>https://s3.eu-west-2.amazonaws.com/local-plans/images/e03a081f-3bd1-4c85-ba87-295a4914f8a0/a3a5172a-4f2e-4277-9691-24ff5c02d184.jpg</t>
  </si>
  <si>
    <t>local-authority-eng:DEB</t>
  </si>
  <si>
    <t>Derbyshire Dales District Council</t>
  </si>
  <si>
    <t>Derbyshire Dales Local Plan</t>
  </si>
  <si>
    <t>c8ab0e67-4891-4e0d-8b5e-cea7674c5351</t>
  </si>
  <si>
    <t>http://www.derbyshiredales.gov.uk/images/L/DDDC_Planning_Doc_2018_vweb2.pdf</t>
  </si>
  <si>
    <t>https://s3.eu-west-2.amazonaws.com/local-plans/plan-documents/c8ab0e67-4891-4e0d-8b5e-cea7674c5351.pdf</t>
  </si>
  <si>
    <t>c9712ef7789664495c85dd49117bde96</t>
  </si>
  <si>
    <t>https://s3.eu-west-2.amazonaws.com/local-plans/images/c8ab0e67-4891-4e0d-8b5e-cea7674c5351/8b606b1d-9d21-4448-a28d-649d4e011689.jpg</t>
  </si>
  <si>
    <t>local-authority-eng:ERE</t>
  </si>
  <si>
    <t>Erewash Borough Council</t>
  </si>
  <si>
    <t>Erewash Core Strategy</t>
  </si>
  <si>
    <t>49ad7abb-9298-49e8-868a-c41a4848a258</t>
  </si>
  <si>
    <t>https://www.erewash.gov.uk/media/files/Final_Core_Strategy_-_Version_for_Website.pdf</t>
  </si>
  <si>
    <t>https://s3.eu-west-2.amazonaws.com/local-plans/plan-documents/49ad7abb-9298-49e8-868a-c41a4848a258.pdf</t>
  </si>
  <si>
    <t>330399765e60ef73c56b28aca5ab1129</t>
  </si>
  <si>
    <t>Document at https://www.erewash.gov.uk/media/files/Final_Core_Strategy_-_Version_for_Website.pdf might not be a pdf</t>
  </si>
  <si>
    <t>https://s3.eu-west-2.amazonaws.com/local-plans/images/49ad7abb-9298-49e8-868a-c41a4848a258/231f6351-0871-4b4f-aaf4-98e1e3c314a0.jpg</t>
  </si>
  <si>
    <t>Erewash Core Strategy Review 2020</t>
  </si>
  <si>
    <t>190da32a-7bee-4d4b-82ab-164d2ed92f1e</t>
  </si>
  <si>
    <t>https://www.erewash.gov.uk/images/Planning_Policy/item_10_Appendix_1_-_Erewash_Core_Strategy_Review_Final_Website.pdf</t>
  </si>
  <si>
    <t>https://s3.eu-west-2.amazonaws.com/local-plans/plan-documents/190da32a-7bee-4d4b-82ab-164d2ed92f1e.pdf</t>
  </si>
  <si>
    <t>80884146c4c70b754f56c4ea2ba24b80</t>
  </si>
  <si>
    <t>Housing number taken from Erewash Core Strategy Review
Draft Options For Growth - January 2020.</t>
  </si>
  <si>
    <t>https://s3.eu-west-2.amazonaws.com/local-plans/images/190da32a-7bee-4d4b-82ab-164d2ed92f1e/8f26853d-b080-41d1-adea-f3fcdda00579.jpg</t>
  </si>
  <si>
    <t>local-authority-eng:HIG</t>
  </si>
  <si>
    <t>High Peak Borough Council</t>
  </si>
  <si>
    <t>High Peak Local Plan</t>
  </si>
  <si>
    <t>660da294-c5e8-41b6-aab2-e3cd18935cfa</t>
  </si>
  <si>
    <t>https://www.highpeak.gov.uk/media/160/The-High-Peak-Local-Plan-Adopted-April-2016/pdf/The_High_Peak_Local_Plan_Adopted_April_2016.pdf</t>
  </si>
  <si>
    <t>https://s3.eu-west-2.amazonaws.com/local-plans/plan-documents/660da294-c5e8-41b6-aab2-e3cd18935cfa.pdf</t>
  </si>
  <si>
    <t>dd986057bd2ae17d92e024eb95235ff6</t>
  </si>
  <si>
    <t>HTTPSConnectionPool(host='www.highpeak.gov.uk', port=443): Max retries exceeded with url: /media/160/The-High-Peak-Local-Plan-Adopted-April-2016/pdf/The_High_Peak_Local_Plan_Adopted_April_2016.pdf (Caused by SSLError(SSLCertVerificationError(1, '[SSL: CERTIFICATE_VERIFY_FAILED] certificate verify failed: unable to get local issuer certificate (_ssl.c:1056)')))</t>
  </si>
  <si>
    <t>Reflects total requirement of 7,000 over plan period, minus 110 homes to be delivered in the Peak District National Park (see Table 2, p.38).</t>
  </si>
  <si>
    <t>https://s3.eu-west-2.amazonaws.com/local-plans/images/660da294-c5e8-41b6-aab2-e3cd18935cfa/7f9de504-7b99-4106-9025-5501ee0fb149.jpg</t>
  </si>
  <si>
    <t>local-authority-eng:NED</t>
  </si>
  <si>
    <t>North East Derbyshire District Council</t>
  </si>
  <si>
    <t>North East Derbyshire Local Plan (2014 - 2034)</t>
  </si>
  <si>
    <t>269fe47a-004f-4a5e-8ac6-bb37482c33f2</t>
  </si>
  <si>
    <t>local-authority-eng:SDE</t>
  </si>
  <si>
    <t>South Derbyshire District Council</t>
  </si>
  <si>
    <t>South Derbyshire Local Plan: Part 1</t>
  </si>
  <si>
    <t>402fd3ba-a16d-4e7c-8aa3-1c2dec3654b4</t>
  </si>
  <si>
    <t>https://www.southderbyshire.gov.uk/assets/attach/1770/Local%20Plan%20Part%201%20Chapters%201%20-%204.pdf</t>
  </si>
  <si>
    <t>https://s3.eu-west-2.amazonaws.com/local-plans/plan-documents/402fd3ba-a16d-4e7c-8aa3-1c2dec3654b4.pdf</t>
  </si>
  <si>
    <t>1c87c262408bf3e046f567f0b8d8eec4</t>
  </si>
  <si>
    <t>https://s3.eu-west-2.amazonaws.com/local-plans/images/402fd3ba-a16d-4e7c-8aa3-1c2dec3654b4/5e859512-1654-4aff-a2bb-4b98f2c2f266.jpg</t>
  </si>
  <si>
    <t>local-authority-eng:EDE</t>
  </si>
  <si>
    <t>East Devon District Council</t>
  </si>
  <si>
    <t>East Devon Local Plan 2013-31</t>
  </si>
  <si>
    <t>193ef3e3-af8c-4dbc-94dd-a7dceb2d34a7</t>
  </si>
  <si>
    <t>http://eastdevon.gov.uk/media/1772841/local-plan-final-adopted-plan-2016.pdf</t>
  </si>
  <si>
    <t>https://s3.eu-west-2.amazonaws.com/local-plans/plan-documents/193ef3e3-af8c-4dbc-94dd-a7dceb2d34a7.pdf</t>
  </si>
  <si>
    <t>5bea9b53b0c733219b9125c2cf093fa4</t>
  </si>
  <si>
    <t>HTTPSConnectionPool(host='eastdevon.gov.uk', port=443): Max retries exceeded with url: /media/1772841/local-plan-final-adopted-plan-2016.pdf (Caused by SSLError(SSLCertVerificationError(1, '[SSL: CERTIFICATE_VERIFY_FAILED] certificate verify failed: unable to get local issuer certificate (_ssl.c:1056)')))</t>
  </si>
  <si>
    <t>https://s3.eu-west-2.amazonaws.com/local-plans/images/193ef3e3-af8c-4dbc-94dd-a7dceb2d34a7/1c769f28-8a6d-4b05-85cc-0dd0cb8fd905.jpg</t>
  </si>
  <si>
    <t>local-authority-eng:EXE</t>
  </si>
  <si>
    <t>Exeter City Council</t>
  </si>
  <si>
    <t>b3e36757-e758-44fd-9ed9-70e29904c0f4</t>
  </si>
  <si>
    <t>https://exeter.gov.uk/media/1636/adopted-core-strategy.pdf</t>
  </si>
  <si>
    <t>https://s3.eu-west-2.amazonaws.com/local-plans/plan-documents/b3e36757-e758-44fd-9ed9-70e29904c0f4.pdf</t>
  </si>
  <si>
    <t>c55dc2936833456c73cfd391b040c6c8</t>
  </si>
  <si>
    <t>https://s3.eu-west-2.amazonaws.com/local-plans/images/b3e36757-e758-44fd-9ed9-70e29904c0f4/0fe2cd42-2b87-48b5-bd56-1b555e68a7b9.jpg</t>
  </si>
  <si>
    <t>local-authority-eng:MDE</t>
  </si>
  <si>
    <t>Mid Devon District Council</t>
  </si>
  <si>
    <t>Local Plan Review</t>
  </si>
  <si>
    <t>e21c636d-aee8-43e1-abb6-5b094b158ba7</t>
  </si>
  <si>
    <t>https://s3.eu-west-2.amazonaws.com/local-plans/plan-documents/e21c636d-aee8-43e1-abb6-5b094b158ba7.pdf</t>
  </si>
  <si>
    <t>local-authority-eng:TEI</t>
  </si>
  <si>
    <t>Teignbridge District Council</t>
  </si>
  <si>
    <t>Teignbridge Local Plan</t>
  </si>
  <si>
    <t>3ee9fb02-ee40-446a-8e35-ee3ffc817f8b</t>
  </si>
  <si>
    <t>https://www.teignbridge.gov.uk/media/1669/local-plan-2013-33.pdf</t>
  </si>
  <si>
    <t>https://s3.eu-west-2.amazonaws.com/local-plans/plan-documents/3ee9fb02-ee40-446a-8e35-ee3ffc817f8b.pdf</t>
  </si>
  <si>
    <t>4d4cbb510b19b63f759ac8f8bb88dfa4</t>
  </si>
  <si>
    <t>https://s3.eu-west-2.amazonaws.com/local-plans/images/3ee9fb02-ee40-446a-8e35-ee3ffc817f8b/9db4ac5d-a0b4-4854-bcc9-7d25fc5c0fe2.jpg</t>
  </si>
  <si>
    <t>Teignbridge Local Plan Review</t>
  </si>
  <si>
    <t>61b4391f-70d8-4836-bae1-62ff3b1ffdec</t>
  </si>
  <si>
    <t>https://www.teignbridge.gov.uk/media/6911/lp-issues-consultation-may-july-18.pdf</t>
  </si>
  <si>
    <t>https://s3.eu-west-2.amazonaws.com/local-plans/plan-documents/61b4391f-70d8-4836-bae1-62ff3b1ffdec.pdf</t>
  </si>
  <si>
    <t>a01e5ce25ea55eeb5c738a026e234389</t>
  </si>
  <si>
    <t>https://s3.eu-west-2.amazonaws.com/local-plans/images/61b4391f-70d8-4836-bae1-62ff3b1ffdec/668ad03b-8284-4fc1-9a71-981efac23006.jpg</t>
  </si>
  <si>
    <t>local-authority-eng:CHC</t>
  </si>
  <si>
    <t>Christchurch Borough Council</t>
  </si>
  <si>
    <t>E07000048</t>
  </si>
  <si>
    <t>local-authority-eng:EDO</t>
  </si>
  <si>
    <t>East Dorset District Council</t>
  </si>
  <si>
    <t>E07000049</t>
  </si>
  <si>
    <t>local-authority-eng:NDO</t>
  </si>
  <si>
    <t>North Dorset District Council</t>
  </si>
  <si>
    <t>E07000050</t>
  </si>
  <si>
    <t>North Dorset Local Plan Part 1</t>
  </si>
  <si>
    <t>04ab2fba-19b9-4013-8285-ed0e316d50d0</t>
  </si>
  <si>
    <t>https://www.dorsetcouncil.gov.uk/planning-buildings-land/planning-policy/north-dorset/the-north-dorset-local-plan/pdfs/pdfs-north-dorset-local-plan/north-dorset-local-plan-part-1-policy-1-to-21.pdf</t>
  </si>
  <si>
    <t>https://s3.eu-west-2.amazonaws.com/local-plans/plan-documents/04ab2fba-19b9-4013-8285-ed0e316d50d0.pdf</t>
  </si>
  <si>
    <t>94067ffe9cdd164b83e4858671c52d1b</t>
  </si>
  <si>
    <t>https://s3.eu-west-2.amazonaws.com/local-plans/images/04ab2fba-19b9-4013-8285-ed0e316d50d0/a02cb211-be4a-475d-8f79-91ecca5523c9.jpg</t>
  </si>
  <si>
    <t>local-authority-eng:PUR</t>
  </si>
  <si>
    <t>Purbeck District Council</t>
  </si>
  <si>
    <t>E07000051</t>
  </si>
  <si>
    <t>Purbeck Local Plan Part 1</t>
  </si>
  <si>
    <t>c2992718-cac6-4bff-9fb1-8b8a5cdbef95</t>
  </si>
  <si>
    <t>https://www.dorsetcouncil.gov.uk/planning-buildings-land/planning-policy/purbeck/adopted-local-plan-purbeck/pdfs/alp/purbeck-local-plan-part-1-planning-purbecks-future.pdf</t>
  </si>
  <si>
    <t>https://s3.eu-west-2.amazonaws.com/local-plans/plan-documents/c2992718-cac6-4bff-9fb1-8b8a5cdbef95.pdf</t>
  </si>
  <si>
    <t>f611a47b699e6f7bb2556e0c72fe32f6</t>
  </si>
  <si>
    <t>https://s3.eu-west-2.amazonaws.com/local-plans/images/c2992718-cac6-4bff-9fb1-8b8a5cdbef95/f216a20b-1bda-4644-adeb-025763e207e2.jpg</t>
  </si>
  <si>
    <t>Purbeck Local Plan (2018-2034)</t>
  </si>
  <si>
    <t>c6778cf4-8637-4b34-a625-aeb5374270bd</t>
  </si>
  <si>
    <t>https://www.dorsetforyou.gov.uk/planning-buildings-land/planning-policy/purbeck/local-plan-review-purbeck/pdfs/pre-submission-documents/purbeck-local-plan-pre-submission.pdf</t>
  </si>
  <si>
    <t>https://s3.eu-west-2.amazonaws.com/local-plans/plan-documents/c6778cf4-8637-4b34-a625-aeb5374270bd.pdf</t>
  </si>
  <si>
    <t>c7c401f837f7845f51af5fb338171834</t>
  </si>
  <si>
    <t>local-authority-eng:EAS</t>
  </si>
  <si>
    <t>Eastbourne Borough Council</t>
  </si>
  <si>
    <t>Eastbourne Core Strategy</t>
  </si>
  <si>
    <t>c1fc7b53-ad45-44a2-ba9c-58874a6f602d</t>
  </si>
  <si>
    <t>https://www.lewes-eastbourne.gov.uk/_resources/assets/inline/full/0/257948.pdf</t>
  </si>
  <si>
    <t>https://s3.eu-west-2.amazonaws.com/local-plans/plan-documents/c1fc7b53-ad45-44a2-ba9c-58874a6f602d.pdf</t>
  </si>
  <si>
    <t>e483bb880f23481eebd366da2e8ca0d0</t>
  </si>
  <si>
    <t>HTTPSConnectionPool(host='www.lewes-eastbourne.gov.uk', port=443): Max retries exceeded with url: /_resources/assets/inline/full/0/257948.pdf (Caused by NewConnectionError('&lt;urllib3.connection.VerifiedHTTPSConnection object at 0x7fdfe17095c0&gt;: Failed to establish a new connection: [Errno 110] Connection timed out'))</t>
  </si>
  <si>
    <t>https://s3.eu-west-2.amazonaws.com/local-plans/images/c1fc7b53-ad45-44a2-ba9c-58874a6f602d/a76a1bbb-9743-435e-a2fd-4d8544126735.jpg</t>
  </si>
  <si>
    <t xml:space="preserve">Eastbourne Local Plan </t>
  </si>
  <si>
    <t>89b80d3a-adfc-410e-89d1-304f209e6f3a</t>
  </si>
  <si>
    <t>https://planningpolicyconsult.lewes-eastbourne.gov.uk/gf2.ti/-/1076866/58269221.1/PDF/-/Eastbournes_Direction_of_Travel__Issues_and_Options_for_the_Eastbourne_Local_Plan__FINAL.pdf</t>
  </si>
  <si>
    <t>Document at https://planningpolicyconsult.lewes-eastbourne.gov.uk/gf2.ti/-/1076866/58269221.1/PDF/-/Eastbournes_Direction_of_Travel__Issues_and_Options_for_the_Eastbourne_Local_Plan__FINAL.pdf might not be a pdf</t>
  </si>
  <si>
    <t>Issues and Options document (Nov 2019) provides a number of options for housing: Option A: 4927 (247 DPA); Option B: 3801 (191 DPA); Option C: 6997 (350 DPA); Option D: 7148 (358 DPA); Option E: 6000 (300 DPA); Option F: 6501 (303 DPA)</t>
  </si>
  <si>
    <t>local-authority-eng:HAS</t>
  </si>
  <si>
    <t>Hastings Borough Council</t>
  </si>
  <si>
    <t>Hastings Local Plan: The Hastings Planning Strategy</t>
  </si>
  <si>
    <t>d405a621-d7b4-443d-a581-7321d257a772</t>
  </si>
  <si>
    <t>https://www.hastings.gov.uk/content/planning/planning_policy/local_plan/pdfs/planning_strat_2013_18_Feb_lo_res_(2).pdf</t>
  </si>
  <si>
    <t>https://s3.eu-west-2.amazonaws.com/local-plans/plan-documents/d405a621-d7b4-443d-a581-7321d257a772.pdf</t>
  </si>
  <si>
    <t>1b05d928ead59e154a9997b7a8490f08</t>
  </si>
  <si>
    <t>https://s3.eu-west-2.amazonaws.com/local-plans/images/d405a621-d7b4-443d-a581-7321d257a772/e2e1f7c4-323d-4cd4-b06b-b2569ca406f5.jpg</t>
  </si>
  <si>
    <t>local-authority-eng:LEE</t>
  </si>
  <si>
    <t>Lewes District Council</t>
  </si>
  <si>
    <t>Lewes District Local Plan: Joint Core Strategy</t>
  </si>
  <si>
    <t>4e23eab5-e588-4b27-a3bc-5cb678926b11</t>
  </si>
  <si>
    <t>https://www.lewes-eastbourne.gov.uk/_resources/assets/inline/full/0/257159.pdf</t>
  </si>
  <si>
    <t>https://s3.eu-west-2.amazonaws.com/local-plans/plan-documents/4e23eab5-e588-4b27-a3bc-5cb678926b11.pdf</t>
  </si>
  <si>
    <t>ca20658f365a5d8888460845d48c98e4</t>
  </si>
  <si>
    <t>HTTPSConnectionPool(host='www.lewes-eastbourne.gov.uk', port=443): Max retries exceeded with url: /_resources/assets/inline/full/0/257159.pdf (Caused by NewConnectionError('&lt;urllib3.connection.VerifiedHTTPSConnection object at 0x7fdfe637cdd8&gt;: Failed to establish a new connection: [Errno 110] Connection timed out'))</t>
  </si>
  <si>
    <t>Previous contention of housing number and HDT figure in part due to planning overlap with South Downs. After request, housing target revised to 5,494 (275 annualised) by MHCLG. Description of previous issue below:
Requirement for Lewes based on the total requirement of 6,900 homes for Lewes and South Downs, set out in Spatial Policy 1, minus the part of the requirement to be met in South Downs; defined by Mr Justice Lay as 1,177 homes in Wealden District Council v Secretary of State for Communities and Local Government, Lewes District Council and South Downs National Park Authority [2017] EWHC 35 1, which quashed the part of Spatial Policy 1 relating to South Downs National Park.</t>
  </si>
  <si>
    <t>https://s3.eu-west-2.amazonaws.com/local-plans/images/4e23eab5-e588-4b27-a3bc-5cb678926b11/61d237eb-1bf3-4aa9-9bd7-08d778c01c6c.jpg</t>
  </si>
  <si>
    <t>local-authority-eng:ROH</t>
  </si>
  <si>
    <t>Rother District Council</t>
  </si>
  <si>
    <t>Rother Local Plan Core Strategy</t>
  </si>
  <si>
    <t>7321ff7a-d9d2-4aec-8fa5-ebd96ecde1f8</t>
  </si>
  <si>
    <t>http://www.rother.gov.uk/CHttpHandler.ashx?id=22426&amp;p=0</t>
  </si>
  <si>
    <t>https://s3.eu-west-2.amazonaws.com/local-plans/plan-documents/7321ff7a-d9d2-4aec-8fa5-ebd96ecde1f8.pdf</t>
  </si>
  <si>
    <t>f9e3134cc6ff70018bc9a9ba755d12cf</t>
  </si>
  <si>
    <t>404 Client Error: Not Found for url: https://www.rother.gov.uk/CHttpHandler.ashx?id=22426&amp;p=0</t>
  </si>
  <si>
    <t>https://s3.eu-west-2.amazonaws.com/local-plans/images/7321ff7a-d9d2-4aec-8fa5-ebd96ecde1f8/26f9d4d9-c43a-429e-9934-8eefff4d8829.jpg</t>
  </si>
  <si>
    <t>local-authority-eng:WEA</t>
  </si>
  <si>
    <t>Wealden District Council</t>
  </si>
  <si>
    <t>Core Strategy Local Plan</t>
  </si>
  <si>
    <t>68988a3d-e798-47b4-84b0-a2ddfaa8eabf</t>
  </si>
  <si>
    <t>http://www.wealden.gov.uk/nmsruntime/saveasdialog.aspx?lID=14756&amp;sID=2829</t>
  </si>
  <si>
    <t>https://s3.eu-west-2.amazonaws.com/local-plans/plan-documents/68988a3d-e798-47b4-84b0-a2ddfaa8eabf.pdf</t>
  </si>
  <si>
    <t>a9db629967ac559e8323ac72ff0c519a</t>
  </si>
  <si>
    <t>https://s3.eu-west-2.amazonaws.com/local-plans/images/68988a3d-e798-47b4-84b0-a2ddfaa8eabf/4d826c62-12c4-4e82-9dcf-c8f2e2c1bf3b.jpg</t>
  </si>
  <si>
    <t>Wealden Local Plan (Plan withdrawn 19 Feb 2020)</t>
  </si>
  <si>
    <t>7b18c2ee-2db5-481d-b79b-546395189b20</t>
  </si>
  <si>
    <t>http://www.wealden.gov.uk/nmsruntime/saveasdialog.aspx?lID=25367&amp;amp;sID=6726</t>
  </si>
  <si>
    <t>https://s3.eu-west-2.amazonaws.com/local-plans/plan-documents/7b18c2ee-2db5-481d-b79b-546395189b20.pdf</t>
  </si>
  <si>
    <t>c17e1e30e1c6590d0d7e2119a1d7bf9d</t>
  </si>
  <si>
    <t>https://s3.eu-west-2.amazonaws.com/local-plans/images/7b18c2ee-2db5-481d-b79b-546395189b20/11ed33a9-b8ea-47a4-9d0f-0224dca5b1fc.jpg</t>
  </si>
  <si>
    <t>local-authority-eng:BAI</t>
  </si>
  <si>
    <t>Basildon Borough Council</t>
  </si>
  <si>
    <t>Local Plan 2014-2034</t>
  </si>
  <si>
    <t>140025a9-c5a2-49a2-8dea-baeb2b86a268</t>
  </si>
  <si>
    <t>https://www.basildon.gov.uk/media/8646/Basildon-Council-Revised-Publication-Local-Plan-Oct-2018/pdf/Basildon_Council_-_Revised_Publication_Local_Plan_-_Oct_2018.pdf</t>
  </si>
  <si>
    <t>https://s3.eu-west-2.amazonaws.com/local-plans/plan-documents/140025a9-c5a2-49a2-8dea-baeb2b86a268.pdf</t>
  </si>
  <si>
    <t>318ce73b460fdda22164801242ed8a6c</t>
  </si>
  <si>
    <t>HTTPSConnectionPool(host='www.basildon.gov.uk', port=443): Max retries exceeded with url: /media/8646/Basildon-Council-Revised-Publication-Local-Plan-Oct-2018/pdf/Basildon_Council_-_Revised_Publication_Local_Plan_-_Oct_2018.pdf (Caused by SSLError(SSLCertVerificationError(1, '[SSL: CERTIFICATE_VERIFY_FAILED] certificate verify failed: certificate has expired (_ssl.c:1056)')))</t>
  </si>
  <si>
    <t>Local Plan makes land provision for 17,791 homes, though minimum target set at 15,465 with potential for some unmet need. Delivery stepped as follows: 622 homes/annum 2018-23; 688 homes/annum 2023-27; 1,111 homes/annum 2027-34.</t>
  </si>
  <si>
    <t>https://s3.eu-west-2.amazonaws.com/local-plans/images/140025a9-c5a2-49a2-8dea-baeb2b86a268/a07b7723-a4c0-432a-911f-36336e7ea63b.jpg</t>
  </si>
  <si>
    <t>local-authority-eng:BRA</t>
  </si>
  <si>
    <t>Braintree District Council</t>
  </si>
  <si>
    <t>Braintree Local Plan (North Essex Garden Communities)</t>
  </si>
  <si>
    <t>f4c4af01-5d24-4b7a-8c79-7d77f3ce2812</t>
  </si>
  <si>
    <t>https://s3.eu-west-2.amazonaws.com/local-plans/plan-documents/f4c4af01-5d24-4b7a-8c79-7d77f3ce2812.pdf</t>
  </si>
  <si>
    <t>Aligned Local Plan with North Essex authorities (Braintree, Colchester, Tendring).</t>
  </si>
  <si>
    <t>local-authority-eng:BRW</t>
  </si>
  <si>
    <t>Brentwood Borough Council</t>
  </si>
  <si>
    <t>Brentwood Local Plan</t>
  </si>
  <si>
    <t>dff4277e-032b-42ad-8893-0ec6f3db6948</t>
  </si>
  <si>
    <t>http://www.brentwood.gov.uk/pdf/31012019170028000000.pdf</t>
  </si>
  <si>
    <t>https://s3.eu-west-2.amazonaws.com/local-plans/plan-documents/dff4277e-032b-42ad-8893-0ec6f3db6948.pdf</t>
  </si>
  <si>
    <t>190c7d5ee28d943553e354b526677040</t>
  </si>
  <si>
    <t>https://s3.eu-west-2.amazonaws.com/local-plans/images/dff4277e-032b-42ad-8893-0ec6f3db6948/58b77817-6ff5-4199-a668-aa385d52e03a.jpg</t>
  </si>
  <si>
    <t>local-authority-eng:CAS</t>
  </si>
  <si>
    <t>Castle Point Borough Council</t>
  </si>
  <si>
    <t>New Castle Point Local Plan</t>
  </si>
  <si>
    <t>2609e523-004f-4eb9-b2d5-89aa31422e5a</t>
  </si>
  <si>
    <t>https://www.castlepoint.gov.uk/download.cfm?doc=docm93jijm4n5277.pdf&amp;ver=8707</t>
  </si>
  <si>
    <t>https://s3.eu-west-2.amazonaws.com/local-plans/plan-documents/2609e523-004f-4eb9-b2d5-89aa31422e5a.pdf</t>
  </si>
  <si>
    <t>37f5774041e0ac9eadd79e7914ce2ec1</t>
  </si>
  <si>
    <t xml:space="preserve">In the period to April 2023, the Council will boost supply to 291 homes per annum. Beyond April 2023, an average of at least 384 homes per annum will be delivered in Castle Point to 2033. The rate of delivery beyond 2033 will be determined through the Joint Strategic Plan. </t>
  </si>
  <si>
    <t>https://s3.eu-west-2.amazonaws.com/local-plans/images/2609e523-004f-4eb9-b2d5-89aa31422e5a/200d552d-668c-4842-81cf-9b6030b22c25.jpg</t>
  </si>
  <si>
    <t>local-authority-eng:CHL</t>
  </si>
  <si>
    <t>Chelmsford City Council</t>
  </si>
  <si>
    <t>8f711fa3-3fd0-4fd3-8c24-1e553d858690</t>
  </si>
  <si>
    <t>https://www.chelmsford.gov.uk/_resources/assets/inline/full/0/4260959.pdf</t>
  </si>
  <si>
    <t>HTTPSConnectionPool(host='www.chelmsford.gov.uk', port=443): Max retries exceeded with url: /_resources/assets/inline/full/0/4260959.pdf (Caused by SSLError(SSLCertVerificationError(1, '[SSL: CERTIFICATE_VERIFY_FAILED] certificate verify failed: unable to get local issuer certificate (_ssl.c:1056)')))</t>
  </si>
  <si>
    <t>https://s3.eu-west-2.amazonaws.com/local-plans/images/8f711fa3-3fd0-4fd3-8c24-1e553d858690/554f0d98-813d-4b6e-8ba5-5c683c5f8168.jpg</t>
  </si>
  <si>
    <t>local-authority-eng:COL</t>
  </si>
  <si>
    <t>Colchester Borough Council</t>
  </si>
  <si>
    <t>Colchester Local Plan (North Essex Garden Communities)</t>
  </si>
  <si>
    <t>63778fb0-7e0d-4c36-b9a1-bac42546f982</t>
  </si>
  <si>
    <t>https://s3.eu-west-2.amazonaws.com/local-plans/plan-documents/63778fb0-7e0d-4c36-b9a1-bac42546f982.pdf</t>
  </si>
  <si>
    <t>local-authority-eng:EPP</t>
  </si>
  <si>
    <t>Epping Forest District Council</t>
  </si>
  <si>
    <t>Epping Forest District Local Plan</t>
  </si>
  <si>
    <t>b2b398b5-9209-4fc2-afb2-da939e6dbc0b</t>
  </si>
  <si>
    <t>http://www.efdclocalplan.org/wp-content/uploads/2018/03/EB114-Epping-Forest-District-Local-Plan-Submission-Version-2017.pdf</t>
  </si>
  <si>
    <t>https://s3.eu-west-2.amazonaws.com/local-plans/plan-documents/b2b398b5-9209-4fc2-afb2-da939e6dbc0b.pdf</t>
  </si>
  <si>
    <t>d353fba645cc7c32c3eb7c457e42f4a2</t>
  </si>
  <si>
    <t>https://s3.eu-west-2.amazonaws.com/local-plans/images/b2b398b5-9209-4fc2-afb2-da939e6dbc0b/1340eddd-d8fb-4dca-966f-89bddbe34901.jpg</t>
  </si>
  <si>
    <t>local-authority-eng:HAR</t>
  </si>
  <si>
    <t>Harlow District Council</t>
  </si>
  <si>
    <t>Harlow Local Plan</t>
  </si>
  <si>
    <t>82cf9340-c857-43f2-a3d8-b15b81296f44</t>
  </si>
  <si>
    <t>https://s3.eu-west-2.amazonaws.com/local-plans/plan-documents/82cf9340-c857-43f2-a3d8-b15b81296f44.pdf</t>
  </si>
  <si>
    <t>local-authority-eng:MAL</t>
  </si>
  <si>
    <t>Maldon District Council</t>
  </si>
  <si>
    <t>Approved  Local Development Plan</t>
  </si>
  <si>
    <t>99cb8ce2-eafb-4b1a-ac95-3aef85ceb28e</t>
  </si>
  <si>
    <t>http://www.maldon.gov.uk/download/downloads/id/14807/approved_maldon_district_local_development_plan_2014-2029.pdf</t>
  </si>
  <si>
    <t>https://s3.eu-west-2.amazonaws.com/local-plans/plan-documents/99cb8ce2-eafb-4b1a-ac95-3aef85ceb28e.pdf</t>
  </si>
  <si>
    <t>43bd52164938af192222d7f02446a19b</t>
  </si>
  <si>
    <t>Document at http://www.maldon.gov.uk/download/downloads/id/14807/approved_maldon_district_local_development_plan_2014-2029.pdf might not be a pdf</t>
  </si>
  <si>
    <t>https://s3.eu-west-2.amazonaws.com/local-plans/images/99cb8ce2-eafb-4b1a-ac95-3aef85ceb28e/bcb99da8-03a9-4edf-acf9-722036c2e979.jpg</t>
  </si>
  <si>
    <t>local-authority-eng:ROC</t>
  </si>
  <si>
    <t>Rochford District Council</t>
  </si>
  <si>
    <t>Rochford LDF: Core Strategy</t>
  </si>
  <si>
    <t>f95887c6-88cb-4a54-9da5-7acef0ae60df</t>
  </si>
  <si>
    <t>https://www.rochford.gov.uk/sites/default/files/planningpolicy_cs_adoptedstrategy.pdf</t>
  </si>
  <si>
    <t>https://s3.eu-west-2.amazonaws.com/local-plans/plan-documents/f95887c6-88cb-4a54-9da5-7acef0ae60df.pdf</t>
  </si>
  <si>
    <t>9ad47519f5809b405afa221250c47db3</t>
  </si>
  <si>
    <t>https://s3.eu-west-2.amazonaws.com/local-plans/images/f95887c6-88cb-4a54-9da5-7acef0ae60df/8bbf69d2-1e58-49f6-a2db-47ad42edbc3b.jpg</t>
  </si>
  <si>
    <t>local-authority-eng:TEN</t>
  </si>
  <si>
    <t>Tendring District Council</t>
  </si>
  <si>
    <t>51cae130-b31a-4abb-ab25-9ed9a2273ecb</t>
  </si>
  <si>
    <t>https://s3.eu-west-2.amazonaws.com/local-plans/plan-documents/51cae130-b31a-4abb-ab25-9ed9a2273ecb.pdf</t>
  </si>
  <si>
    <t>local-authority-eng:UTT</t>
  </si>
  <si>
    <t>Uttlesford District Council</t>
  </si>
  <si>
    <t>Uttlesford Local Plan (Plan withdrawn 30 April 2020)</t>
  </si>
  <si>
    <t>c7762330-14f6-4b3f-bc7a-57b42fadf22e</t>
  </si>
  <si>
    <t>https://uttlesford.gov.uk/media/8248/Uttlesford-Regulation-19-Pre-submission-Local-Plan/pdf/Reg_19_local_plan_21.06.18_low_res_for_web.pdf</t>
  </si>
  <si>
    <t>https://s3.eu-west-2.amazonaws.com/local-plans/plan-documents/c7762330-14f6-4b3f-bc7a-57b42fadf22e.pdf</t>
  </si>
  <si>
    <t>883652d8812900ae3675122d262788a5</t>
  </si>
  <si>
    <t>https://s3.eu-west-2.amazonaws.com/local-plans/images/c7762330-14f6-4b3f-bc7a-57b42fadf22e/aaeeae20-c5eb-45e6-9405-2828f7e89dc6.jpg</t>
  </si>
  <si>
    <t>local-authority-eng:COT</t>
  </si>
  <si>
    <t>Cotswold District Council</t>
  </si>
  <si>
    <t>Cotswold District Local Plan 2011-2031</t>
  </si>
  <si>
    <t>2092c149-68e6-4107-a1ff-fb929fb4032e</t>
  </si>
  <si>
    <t>https://www.cotswold.gov.uk/media/1621895/Cotswold-District-Local-Plan-2011-2031-Adopted-3-August-2018-Web-Version.pdf</t>
  </si>
  <si>
    <t>https://s3.eu-west-2.amazonaws.com/local-plans/plan-documents/2092c149-68e6-4107-a1ff-fb929fb4032e.pdf</t>
  </si>
  <si>
    <t>2de9d8a06e3ceb586579a116d90af395</t>
  </si>
  <si>
    <t>404 Client Error: Not Found for url: https://www.cotswold.gov.uk/media/1621895/Cotswold-District-Local-Plan-2011-2031-Adopted-3-August-2018-Web-Version.pdf</t>
  </si>
  <si>
    <t>https://s3.eu-west-2.amazonaws.com/local-plans/images/2092c149-68e6-4107-a1ff-fb929fb4032e/95712ea3-309c-4094-a842-13285c2c4ffb.jpg</t>
  </si>
  <si>
    <t>local-authority-eng:FOE</t>
  </si>
  <si>
    <t>Forest of Dean District Council</t>
  </si>
  <si>
    <t>Forest of Dean Core Strategy (modified by Allocations Plan, June 2018)</t>
  </si>
  <si>
    <t>3a6c1cb8-c3bc-4e48-a935-d89adda8f211</t>
  </si>
  <si>
    <t>https://www.fdean.gov.uk/media/6028/allocations-plan-adopted-with-links-optimised.pdf</t>
  </si>
  <si>
    <t>https://s3.eu-west-2.amazonaws.com/local-plans/plan-documents/3a6c1cb8-c3bc-4e48-a935-d89adda8f211.pdf</t>
  </si>
  <si>
    <t>6726f07518f463e79976528e3789acba</t>
  </si>
  <si>
    <t>404 Client Error: Not Found for url: https://www.fdean.gov.uk/media/6028/allocations-plan-adopted-with-links-optimised.pdf</t>
  </si>
  <si>
    <t>Housing requirement of 6,200 adopted in the Core Strategy  (Feb 2012) replaced by requirement of 6,600 in the Allocations Plan (Jun 2018).</t>
  </si>
  <si>
    <t>https://s3.eu-west-2.amazonaws.com/local-plans/images/3a6c1cb8-c3bc-4e48-a935-d89adda8f211/a50d05a2-61a5-42d6-8b59-a6555c2cd55a.jpg</t>
  </si>
  <si>
    <t>Forest of Dean Local Plan ("Plan 41")</t>
  </si>
  <si>
    <t>a9f5d794-f82d-48c8-8d34-7ea80f4b9b0c</t>
  </si>
  <si>
    <t>https://www.fdean.gov.uk/media/metf0tlh/issue-and-options-document.pdf</t>
  </si>
  <si>
    <t>https://s3.eu-west-2.amazonaws.com/local-plans/plan-documents/a9f5d794-f82d-48c8-8d34-7ea80f4b9b0c.pdf</t>
  </si>
  <si>
    <t>2110bce715d7764f7e62d044823b8cd5</t>
  </si>
  <si>
    <t>The calculation of housing need is an estimate, provided in "Issues and Options" document published in September 2019.</t>
  </si>
  <si>
    <t>https://s3.eu-west-2.amazonaws.com/local-plans/images/a9f5d794-f82d-48c8-8d34-7ea80f4b9b0c/4a5accdb-9bc4-4836-99c7-c1c1e84c4691.jpg</t>
  </si>
  <si>
    <t>local-authority-eng:STO</t>
  </si>
  <si>
    <t>Stroud District Council</t>
  </si>
  <si>
    <t>Stroud District Local Plan</t>
  </si>
  <si>
    <t>3566d0ae-643f-4ae4-85ec-fadfecaff610</t>
  </si>
  <si>
    <t>https://www.stroud.gov.uk/media/1455/stroud-district-local-plan_november-2015_low-res_for-web.pdf</t>
  </si>
  <si>
    <t>https://s3.eu-west-2.amazonaws.com/local-plans/plan-documents/3566d0ae-643f-4ae4-85ec-fadfecaff610.pdf</t>
  </si>
  <si>
    <t>ab961a614d90053006e2164615a107ca</t>
  </si>
  <si>
    <t>HTTPSConnectionPool(host='www.stroud.gov.uk', port=443): Max retries exceeded with url: /media/1455/stroud-district-local-plan_november-2015_low-res_for-web.pdf (Caused by NewConnectionError('&lt;urllib3.connection.VerifiedHTTPSConnection object at 0x7f77dc91ab70&gt;: Failed to establish a new connection: [Errno 110] Connection timed out'))</t>
  </si>
  <si>
    <t>https://s3.eu-west-2.amazonaws.com/local-plans/images/3566d0ae-643f-4ae4-85ec-fadfecaff610/f7d1b89e-c4ac-4d0b-9036-f94202765a7a.jpg</t>
  </si>
  <si>
    <t>Stroud District Local Plan Review</t>
  </si>
  <si>
    <t>6bdea091-e756-48f8-b498-22ee065e6abc</t>
  </si>
  <si>
    <t>local-authority-eng:BAN</t>
  </si>
  <si>
    <t>Basingstoke and Deane Borough Council</t>
  </si>
  <si>
    <t>Amended Local Plan</t>
  </si>
  <si>
    <t>7ab3c965-3d06-49c9-a4b5-4985f0c4b22f</t>
  </si>
  <si>
    <t>https://www.basingstoke.gov.uk/content/doclib/1592.pdf</t>
  </si>
  <si>
    <t>https://s3.eu-west-2.amazonaws.com/local-plans/plan-documents/7ab3c965-3d06-49c9-a4b5-4985f0c4b22f.pdf</t>
  </si>
  <si>
    <t>fdc0cf3c39e291e7b177d1b4d3d1da98</t>
  </si>
  <si>
    <t>https://s3.eu-west-2.amazonaws.com/local-plans/images/31a188f8-e637-400d-bcb5-6865df4e0bfc.jpg</t>
  </si>
  <si>
    <t>local-authority-eng:EHA</t>
  </si>
  <si>
    <t>East Hampshire District Council</t>
  </si>
  <si>
    <t>Joint Core Strategy</t>
  </si>
  <si>
    <t>2a7f1eb4-e1fb-4f69-a51b-8c64a480320f</t>
  </si>
  <si>
    <t>http://www.easthants.gov.uk/sites/default/files/documents/DP01EastHampshireDistrictLocalPlanJointCoreStrategy.pdf</t>
  </si>
  <si>
    <t>https://s3.eu-west-2.amazonaws.com/local-plans/plan-documents/2a7f1eb4-e1fb-4f69-a51b-8c64a480320f.pdf</t>
  </si>
  <si>
    <t>440034f1ee2be80a8624c30b543eac68</t>
  </si>
  <si>
    <t>https://s3.eu-west-2.amazonaws.com/local-plans/images/2a7f1eb4-e1fb-4f69-a51b-8c64a480320f/b076d2a4-c53c-4766-8ecd-eda37cd4372f.jpg</t>
  </si>
  <si>
    <t>8f82c5d5-bf7a-4a25-b233-2639606ccd80</t>
  </si>
  <si>
    <t>http://www.easthants.gov.uk/sites/default/files/documents/Draft%20Local%20Plan.pdf</t>
  </si>
  <si>
    <t>https://s3.eu-west-2.amazonaws.com/local-plans/plan-documents/8f82c5d5-bf7a-4a25-b233-2639606ccd80.pdf</t>
  </si>
  <si>
    <t>6a275b602f4894c0c25ece6405b16615</t>
  </si>
  <si>
    <t>https://s3.eu-west-2.amazonaws.com/local-plans/images/8f82c5d5-bf7a-4a25-b233-2639606ccd80/faae192c-29c1-47a4-8b49-74ce6cac6f33.jpg</t>
  </si>
  <si>
    <t>local-authority-eng:EAT</t>
  </si>
  <si>
    <t>Eastleigh Borough Council</t>
  </si>
  <si>
    <t>Eastleigh Borough Local Plan 2016-2036</t>
  </si>
  <si>
    <t>e8a54df5-6d14-49a9-94de-55217b23f821</t>
  </si>
  <si>
    <t>https://www.eastleigh.gov.uk/media/3484/final-local-plan-document-june-2018-print.pdf</t>
  </si>
  <si>
    <t>https://s3.eu-west-2.amazonaws.com/local-plans/plan-documents/e8a54df5-6d14-49a9-94de-55217b23f821.pdf</t>
  </si>
  <si>
    <t>7ede72849d0a0e211521b12d441d9006</t>
  </si>
  <si>
    <t>https://s3.eu-west-2.amazonaws.com/local-plans/images/e8a54df5-6d14-49a9-94de-55217b23f821/9faf11ff-2bef-4323-b8d6-52b32416569c.jpg</t>
  </si>
  <si>
    <t>local-authority-eng:FAR</t>
  </si>
  <si>
    <t>Fareham Borough Council</t>
  </si>
  <si>
    <t>44070104-6c42-4d20-8c1a-a4591317abf0</t>
  </si>
  <si>
    <t>https://s3.eu-west-2.amazonaws.com/local-plans/plan-documents/44070104-6c42-4d20-8c1a-a4591317abf0.pdf</t>
  </si>
  <si>
    <t>808859ce-cbc7-4a34-86eb-67b002c2db8f</t>
  </si>
  <si>
    <t>https://s3.eu-west-2.amazonaws.com/local-plans/plan-documents/808859ce-cbc7-4a34-86eb-67b002c2db8f.pdf</t>
  </si>
  <si>
    <t>local-authority-eng:GOS</t>
  </si>
  <si>
    <t>Gosport Borough Council</t>
  </si>
  <si>
    <t>Gosport Borough Local Plan 2011-2029</t>
  </si>
  <si>
    <t>be96f84a-f4be-47b7-98aa-b28702fe0b15</t>
  </si>
  <si>
    <t>https://www.gosport.gov.uk/EasySiteWeb/GatewayLink.aspx?alId=37545</t>
  </si>
  <si>
    <t>https://s3.eu-west-2.amazonaws.com/local-plans/plan-documents/be96f84a-f4be-47b7-98aa-b28702fe0b15.pdf</t>
  </si>
  <si>
    <t>2e2568bbc4091cfa686da5195ef7c68c</t>
  </si>
  <si>
    <t>404 Client Error: Not Found for url: https://www.gosport.gov.uk/EasySiteWeb/GatewayLink.aspx?alId=37545</t>
  </si>
  <si>
    <t>https://s3.eu-west-2.amazonaws.com/local-plans/images/be96f84a-f4be-47b7-98aa-b28702fe0b15/99e5e788-b0f4-426d-b3f3-2d9be04d2477.jpg</t>
  </si>
  <si>
    <t>local-authority-eng:HAT</t>
  </si>
  <si>
    <t>Hart District Council</t>
  </si>
  <si>
    <t>Hart Local Plan Strategy and Sites 2016-2032</t>
  </si>
  <si>
    <t>fa2050ac-99a9-4b32-850c-ad9237675dfb</t>
  </si>
  <si>
    <t>https://www.hart.gov.uk/sites/default/files/4_The_Council/Policies_and_published_documents/Planning_policy/Local_Plan/Hart%20LPS%26S%20working%20draft%20v3%201%20May%202020.pdf</t>
  </si>
  <si>
    <t>https://s3.eu-west-2.amazonaws.com/local-plans/plan-documents/fa2050ac-99a9-4b32-850c-ad9237675dfb.pdf</t>
  </si>
  <si>
    <t>6b7986b98cc7d2fc962c64849ca2f98a</t>
  </si>
  <si>
    <t>404 Client Error: Not Found for url: https://www.hart.gov.uk/sites/default/files/4_The_Council/Policies_and_published_documents/Planning_policy/Local_Plan/Hart%20LPS%26S%20working%20draft%20v3%201%20May%202020.pdf</t>
  </si>
  <si>
    <t>Housing target increased from 6,208 at Examination to 7,614.</t>
  </si>
  <si>
    <t>https://s3.eu-west-2.amazonaws.com/local-plans/images/fa2050ac-99a9-4b32-850c-ad9237675dfb/5426c112-2830-4d55-a406-36dcad286554.jpg</t>
  </si>
  <si>
    <t>local-authority-eng:HAA</t>
  </si>
  <si>
    <t>Havant Borough Council</t>
  </si>
  <si>
    <t>Havant Borough Core Strategy</t>
  </si>
  <si>
    <t>502fdf73-dd61-4b7e-adbc-a6a311dccb5a</t>
  </si>
  <si>
    <t>http://www.havant.gov.uk/sites/default/files/documents/ADOPTED%20CORE%20STRATEGY%20.pdf</t>
  </si>
  <si>
    <t>https://s3.eu-west-2.amazonaws.com/local-plans/plan-documents/502fdf73-dd61-4b7e-adbc-a6a311dccb5a.pdf</t>
  </si>
  <si>
    <t>a6e09f5c872ce4f508933c338eaaf8bf</t>
  </si>
  <si>
    <t>https://s3.eu-west-2.amazonaws.com/local-plans/images/4f086314-c1e6-4828-a01d-51424548f365.jpg</t>
  </si>
  <si>
    <t>Havant Local Plan 2036</t>
  </si>
  <si>
    <t>718f5f8d-1799-4783-92e0-e682f37be1ce</t>
  </si>
  <si>
    <t>https://s3.eu-west-2.amazonaws.com/local-plans/plan-documents/718f5f8d-1799-4783-92e0-e682f37be1ce.pdf</t>
  </si>
  <si>
    <t>local-authority-eng:NEW</t>
  </si>
  <si>
    <t>New Forest District Council</t>
  </si>
  <si>
    <t>Local Plan Review 2016-2036 - Part One: Planning Strategy</t>
  </si>
  <si>
    <t>f6868aaf-a9af-4447-baa0-dd735becbf48</t>
  </si>
  <si>
    <t>https://www.newforest.gov.uk/media/705/Local-Plan-Document-2016-2036/pdf/Local_Plan_2016_2036FINAL_v2.pdf?m=637304853970400000</t>
  </si>
  <si>
    <t>https://s3.eu-west-2.amazonaws.com/local-plans/plan-documents/f6868aaf-a9af-4447-baa0-dd735becbf48.pdf</t>
  </si>
  <si>
    <t>6b2f7bd86aa873778ef4b17083df263c</t>
  </si>
  <si>
    <t xml:space="preserve">The target is to provide at least 10,420 additional homes in the Plan Area for the Plan Period 2016-2036, phased as follows:
â€¢  Approximately 1,500 homes (averaging 300 hpa) 2016-17 to 2020-2121
â€¢  Approximately 2,000 homes (averaging 400 hpa) 2021-22 to 2025- 26
â€¢  Approximately 7,000 homes (averaging 700 hpa)  2026-27 to 2035- 36
</t>
  </si>
  <si>
    <t>https://s3.eu-west-2.amazonaws.com/local-plans/images/f6868aaf-a9af-4447-baa0-dd735becbf48/08331c24-0f48-420a-adb6-6ae1d6a62256.jpg</t>
  </si>
  <si>
    <t>local-authority-eng:RUH</t>
  </si>
  <si>
    <t>Rushmoor Borough Council</t>
  </si>
  <si>
    <t>Rushmoor Local Plan</t>
  </si>
  <si>
    <t>eeb2557f-d431-4893-a38b-a9e0a31f2b70</t>
  </si>
  <si>
    <t>https://www.rushmoor.gov.uk/CHttpHandler.ashx?id=19935&amp;p=0</t>
  </si>
  <si>
    <t>https://s3.eu-west-2.amazonaws.com/local-plans/plan-documents/eeb2557f-d431-4893-a38b-a9e0a31f2b70.pdf</t>
  </si>
  <si>
    <t>https://s3.eu-west-2.amazonaws.com/local-plans/images/eeb2557f-d431-4893-a38b-a9e0a31f2b70/d2b68ec5-8404-47e7-9074-450b7f4d55f7.jpg</t>
  </si>
  <si>
    <t>local-authority-eng:TES</t>
  </si>
  <si>
    <t>Test Valley Borough Council</t>
  </si>
  <si>
    <t>Local Plan 2011-2029</t>
  </si>
  <si>
    <t>4779bcae-d575-4424-951b-4bf2de775680</t>
  </si>
  <si>
    <t>http://www.testvalley.gov.uk/assets/attach/2446/Adopted-Local-Plan-2011-2029.pdf</t>
  </si>
  <si>
    <t>https://s3.eu-west-2.amazonaws.com/local-plans/plan-documents/4779bcae-d575-4424-951b-4bf2de775680.pdf</t>
  </si>
  <si>
    <t>5f7c87d419fe017dc3420c7f708e6700</t>
  </si>
  <si>
    <t>HTTPConnectionPool(host='www.testvalley.gov.uk', port=80): Max retries exceeded with url: /assets/attach/2446/Adopted-Local-Plan-2011-2029.pdf (Caused by NewConnectionError('&lt;urllib3.connection.HTTPConnection object at 0x7f164c112940&gt;: Failed to establish a new connection: [Errno 110] Connection timed out'))</t>
  </si>
  <si>
    <t>https://s3.eu-west-2.amazonaws.com/local-plans/images/4779bcae-d575-4424-951b-4bf2de775680/10fbe13a-65a6-428f-b91c-17192a1cdadf.jpg</t>
  </si>
  <si>
    <t>Local Plan to 2036</t>
  </si>
  <si>
    <t>b5a7a7cc-6b8a-491e-97a3-c5372289edb1</t>
  </si>
  <si>
    <t>https://www.testvalley.gov.uk/assets/attach/7403/Local%20Plan%20Issues%20and%20Options%20FINAL.pdf</t>
  </si>
  <si>
    <t>https://s3.eu-west-2.amazonaws.com/local-plans/plan-documents/b5a7a7cc-6b8a-491e-97a3-c5372289edb1.pdf</t>
  </si>
  <si>
    <t>9450bedc326dfef2b4f27c68c0258556</t>
  </si>
  <si>
    <t>https://s3.eu-west-2.amazonaws.com/local-plans/images/b5a7a7cc-6b8a-491e-97a3-c5372289edb1/fbf82817-3ce0-4154-a7de-d77d48516d6b.jpg</t>
  </si>
  <si>
    <t>local-authority-eng:WIN</t>
  </si>
  <si>
    <t>Winchester City Council</t>
  </si>
  <si>
    <t>Local Plan Part 1 - Joint Core Strategy</t>
  </si>
  <si>
    <t>34092d36-5d59-4d60-b93c-92612d5a8b10</t>
  </si>
  <si>
    <t>https://www.winchester.gov.uk/assets/attach/3250/LPP1chap-7-10-appendices.pdf</t>
  </si>
  <si>
    <t>https://s3.eu-west-2.amazonaws.com/local-plans/plan-documents/34092d36-5d59-4d60-b93c-92612d5a8b10.pdf</t>
  </si>
  <si>
    <t>849296f7772fa826acb841d1a7cc087a</t>
  </si>
  <si>
    <t>https://s3.eu-west-2.amazonaws.com/local-plans/images/34092d36-5d59-4d60-b93c-92612d5a8b10/c164cfda-1792-4834-bb4c-a55b14bad51c.jpg</t>
  </si>
  <si>
    <t>cbd8c7a3-1ae2-44cc-b226-7b06a1141f4c</t>
  </si>
  <si>
    <t>local-authority-eng:BRX</t>
  </si>
  <si>
    <t>Broxbourne Borough Council</t>
  </si>
  <si>
    <t>The Broxbourne Local Plan</t>
  </si>
  <si>
    <t>8b400e77-b8c6-4d30-b6e6-c919233e46be</t>
  </si>
  <si>
    <t>https://ex.broxbourne.gov.uk/sites/default/files/Documents/Planning_Policy/LOCAL%20PLAN%202018-2033%20-%20JUNE%202020.pdf</t>
  </si>
  <si>
    <t>https://s3.eu-west-2.amazonaws.com/local-plans/plan-documents/8b400e77-b8c6-4d30-b6e6-c919233e46be.pdf</t>
  </si>
  <si>
    <t>332abf5dd833eafe627cdc557abb9d5c</t>
  </si>
  <si>
    <t>https://s3.eu-west-2.amazonaws.com/local-plans/images/8b400e77-b8c6-4d30-b6e6-c919233e46be/c7b14b38-1831-48c5-a4ac-6be324fce7d0.jpg</t>
  </si>
  <si>
    <t>local-authority-eng:DAC</t>
  </si>
  <si>
    <t>Dacorum Borough Council</t>
  </si>
  <si>
    <t>Core Strategy 2006-2031</t>
  </si>
  <si>
    <t>b21362a8-ed0d-4c6d-90da-ec9ded5cf4fd</t>
  </si>
  <si>
    <t>http://www.dacorum.gov.uk/docs/default-source/strategic-planning/adopted-core-strategy-2013.pdf?sfvrsn=2</t>
  </si>
  <si>
    <t>https://s3.eu-west-2.amazonaws.com/local-plans/plan-documents/b21362a8-ed0d-4c6d-90da-ec9ded5cf4fd.pdf</t>
  </si>
  <si>
    <t>456d0bb09d72dc5d2532bf5343ab39f0</t>
  </si>
  <si>
    <t>https://s3.eu-west-2.amazonaws.com/local-plans/images/b21362a8-ed0d-4c6d-90da-ec9ded5cf4fd/263269f7-166f-490f-a6d3-36fd33e8c90b.jpg</t>
  </si>
  <si>
    <t>e13bb6fc-01df-4c95-8ab8-5cb3270e8be0</t>
  </si>
  <si>
    <t>https://s3.eu-west-2.amazonaws.com/local-plans/plan-documents/e13bb6fc-01df-4c95-8ab8-5cb3270e8be0.pdf</t>
  </si>
  <si>
    <t>local-authority-eng:HER</t>
  </si>
  <si>
    <t>Hertsmere Borough Council</t>
  </si>
  <si>
    <t>Local Plan Core Strategy DPD</t>
  </si>
  <si>
    <t>e2c62572-f35d-4efb-9d5b-f7c61cff9383</t>
  </si>
  <si>
    <t>https://www.hertsmere.gov.uk/Documents/09-Planning--Building-Control/Planning-Policy/Local-Development-Framework/Core-Strategy-DPD-2013.pdf</t>
  </si>
  <si>
    <t>https://s3.eu-west-2.amazonaws.com/local-plans/plan-documents/e2c62572-f35d-4efb-9d5b-f7c61cff9383.pdf</t>
  </si>
  <si>
    <t>9eb465a2ebd108dff45bac2e8bcbf0c0</t>
  </si>
  <si>
    <t>503 Server Error: Service Unavailable for url: https://www.hertsmere.gov.uk/Documents/09-Planning--Building-Control/Planning-Policy/Local-Development-Framework/Core-Strategy-DPD-2013.pdf</t>
  </si>
  <si>
    <t>https://s3.eu-west-2.amazonaws.com/local-plans/images/e2c62572-f35d-4efb-9d5b-f7c61cff9383/204db985-e038-4083-aded-df9f785f7cf9.jpg</t>
  </si>
  <si>
    <t>Planning for Growth: Hertsmere Local Plan</t>
  </si>
  <si>
    <t>8bf40faf-712e-41c1-9ec2-900e44da938d</t>
  </si>
  <si>
    <t>local-authority-eng:NHE</t>
  </si>
  <si>
    <t>North Hertfordshire District Council</t>
  </si>
  <si>
    <t>Local Plan 2011-2031</t>
  </si>
  <si>
    <t>22f9f356-6c82-4256-a696-f6bc9a554df3</t>
  </si>
  <si>
    <t>https://www.north-herts.gov.uk/sites/northherts-cms/files/LP1%20Proposed%20Submission%20Local%20Plan.pdf</t>
  </si>
  <si>
    <t>https://s3.eu-west-2.amazonaws.com/local-plans/plan-documents/22f9f356-6c82-4256-a696-f6bc9a554df3.pdf</t>
  </si>
  <si>
    <t>a2ea57d03b4f67f3eaf771e0b955bcb7</t>
  </si>
  <si>
    <t>https://s3.eu-west-2.amazonaws.com/local-plans/images/22f9f356-6c82-4256-a696-f6bc9a554df3/8eeac157-ecc4-4200-b533-d0d02bf20c06.jpg</t>
  </si>
  <si>
    <t>local-authority-eng:THE</t>
  </si>
  <si>
    <t>Three Rivers District Council</t>
  </si>
  <si>
    <t>f77685f0-3166-4b2e-b668-e3cd71b871d8</t>
  </si>
  <si>
    <t>https://www.threerivers.gov.uk/download?id=24372</t>
  </si>
  <si>
    <t>https://s3.eu-west-2.amazonaws.com/local-plans/plan-documents/f77685f0-3166-4b2e-b668-e3cd71b871d8.pdf</t>
  </si>
  <si>
    <t>https://s3.eu-west-2.amazonaws.com/local-plans/images/f77685f0-3166-4b2e-b668-e3cd71b871d8/50a22ab3-ee1e-4774-aca9-9beb1769b580.jpg</t>
  </si>
  <si>
    <t>Three Rivers Local Plan</t>
  </si>
  <si>
    <t>74831e62-6999-4fc6-b1c9-15cef465f045</t>
  </si>
  <si>
    <t>https://www.threerivers.gov.uk/download?id=43399</t>
  </si>
  <si>
    <t>https://s3.eu-west-2.amazonaws.com/local-plans/plan-documents/74831e62-6999-4fc6-b1c9-15cef465f045.pdf</t>
  </si>
  <si>
    <t>https://s3.eu-west-2.amazonaws.com/local-plans/images/74831e62-6999-4fc6-b1c9-15cef465f045/b9be36e7-e893-4689-9164-d280c45b70e6.jpg</t>
  </si>
  <si>
    <t>local-authority-eng:WAT</t>
  </si>
  <si>
    <t>Watford Borough Council</t>
  </si>
  <si>
    <t>Watford's Local Plan</t>
  </si>
  <si>
    <t>d1efd344-82c2-4844-a8e2-386ba0813dfb</t>
  </si>
  <si>
    <t>https://www.watford.gov.uk/download/downloads/id/114/watford_local_plan_core_strategy_2006-31_adopted_2013.pdf</t>
  </si>
  <si>
    <t>https://s3.eu-west-2.amazonaws.com/local-plans/plan-documents/d1efd344-82c2-4844-a8e2-386ba0813dfb.pdf</t>
  </si>
  <si>
    <t>c27004220b1678ea205457c0bfb291b1</t>
  </si>
  <si>
    <t>https://s3.eu-west-2.amazonaws.com/local-plans/images/d1efd344-82c2-4844-a8e2-386ba0813dfb/7a151cc4-e258-43cf-b4eb-5cb0b3017a42.jpg</t>
  </si>
  <si>
    <t>0903925b-45bb-4c6c-8938-14aa113cdff1</t>
  </si>
  <si>
    <t>local-authority-eng:ASF</t>
  </si>
  <si>
    <t>Ashford Borough Council</t>
  </si>
  <si>
    <t>Ashford Local Plan 2030</t>
  </si>
  <si>
    <t>8cdb941a-41bd-4f84-8656-01f31b7f58a1</t>
  </si>
  <si>
    <t>https://www.ashford.gov.uk/media/7542/adopted-ashford-local-plan-2030-2.pdf</t>
  </si>
  <si>
    <t>https://s3.eu-west-2.amazonaws.com/local-plans/plan-documents/8cdb941a-41bd-4f84-8656-01f31b7f58a1.pdf</t>
  </si>
  <si>
    <t>d555de6e179ea22e518de4a4d1ea0e32</t>
  </si>
  <si>
    <t>404 Client Error: Not Found for url: https://www.ashford.gov.uk/media/7542/adopted-ashford-local-plan-2030-2.pdf</t>
  </si>
  <si>
    <t>https://s3.eu-west-2.amazonaws.com/local-plans/images/8cdb941a-41bd-4f84-8656-01f31b7f58a1/09e7eec8-48db-46e5-b76f-2da6a993d1c7.jpg</t>
  </si>
  <si>
    <t>local-authority-eng:CAT</t>
  </si>
  <si>
    <t>Canterbury City Council</t>
  </si>
  <si>
    <t>Canterbury District Local Plan</t>
  </si>
  <si>
    <t>3fd7dd48-a240-42ed-b9ed-411731039393</t>
  </si>
  <si>
    <t>https://www.canterbury.gov.uk/download/downloads/id/868/canterbury_district_local_plan_adopted_july_2017.pdf</t>
  </si>
  <si>
    <t>https://s3.eu-west-2.amazonaws.com/local-plans/plan-documents/3fd7dd48-a240-42ed-b9ed-411731039393.pdf</t>
  </si>
  <si>
    <t>ad08405dbde4d661769932315db1f5c2</t>
  </si>
  <si>
    <t>https://s3.eu-west-2.amazonaws.com/local-plans/images/3fd7dd48-a240-42ed-b9ed-411731039393/1c3b3b84-df00-4e5d-9727-b8d5e14ac41e.jpg</t>
  </si>
  <si>
    <t>Canterbury District Local Plan 2040</t>
  </si>
  <si>
    <t>95c22f97-067a-4e85-b92e-fa0ae36bf8bc</t>
  </si>
  <si>
    <t>local-authority-eng:DAR</t>
  </si>
  <si>
    <t>Dartford Borough Council</t>
  </si>
  <si>
    <t>Dartford Core Strategy</t>
  </si>
  <si>
    <t>a7e15312-9fd9-4ca0-9fff-56348e710f6b</t>
  </si>
  <si>
    <t>https://windmz.dartford.gov.uk/media/Inspector%20Approved%20Core%20Strategy.pdf</t>
  </si>
  <si>
    <t>https://s3.eu-west-2.amazonaws.com/local-plans/plan-documents/a7e15312-9fd9-4ca0-9fff-56348e710f6b.pdf</t>
  </si>
  <si>
    <t>e40b0fc5395d87da21dae0d41aabdc99</t>
  </si>
  <si>
    <t>https://s3.eu-west-2.amazonaws.com/local-plans/images/a7e15312-9fd9-4ca0-9fff-56348e710f6b/7c505283-60b7-46da-905d-093b9efc5709.jpg</t>
  </si>
  <si>
    <t>local-authority-eng:DOV</t>
  </si>
  <si>
    <t>Dover District Council</t>
  </si>
  <si>
    <t>3cf99a4f-97f0-445a-9283-6f7eb069134b</t>
  </si>
  <si>
    <t>https://www.dover.gov.uk/Planning/Planning-Policy-and-Regeneration/PDF/Adopted-Core-Strategy.pdf</t>
  </si>
  <si>
    <t>https://s3.eu-west-2.amazonaws.com/local-plans/plan-documents/3cf99a4f-97f0-445a-9283-6f7eb069134b.pdf</t>
  </si>
  <si>
    <t>eb5505a9c8c8e8f3c48b7702038e4b87</t>
  </si>
  <si>
    <t>https://s3.eu-west-2.amazonaws.com/local-plans/images/8dc22c0e-d041-4b02-b528-29c2b334b1c6.jpg</t>
  </si>
  <si>
    <t>New Dover District Plan</t>
  </si>
  <si>
    <t>fa79d9ed-c6eb-4908-82ce-5c260707132d</t>
  </si>
  <si>
    <t>local-authority-eng:GRA</t>
  </si>
  <si>
    <t>Gravesham Borough Council</t>
  </si>
  <si>
    <t>Core strategy</t>
  </si>
  <si>
    <t>b48f775a-6694-4ea3-8d4c-1a5acf993d5d</t>
  </si>
  <si>
    <t>https://drive.google.com/file/d/1bJTgQLmhbzjqZFibl-5WFb2tbvixXpLk/view</t>
  </si>
  <si>
    <t>Document at https://drive.google.com/file/d/1bJTgQLmhbzjqZFibl-5WFb2tbvixXpLk/view might not be a pdf</t>
  </si>
  <si>
    <t>https://s3.eu-west-2.amazonaws.com/local-plans/images/b48f775a-6694-4ea3-8d4c-1a5acf993d5d/7e082ac0-5143-4e0c-b43b-64c8439925e0.jpg</t>
  </si>
  <si>
    <t xml:space="preserve">Core Strategy Partial Review </t>
  </si>
  <si>
    <t>50421f38-5f1e-4b25-ba76-959924c93acf</t>
  </si>
  <si>
    <t>https://localplan.gravesham.gov.uk/gf2.ti/f/1210690/83755045.1/PDF/-/Regulation_18_Stage_2_LPCS_Partial_Review_and_Site_Allocations_Main_Document_Final.pdf</t>
  </si>
  <si>
    <t>https://s3.eu-west-2.amazonaws.com/local-plans/images/50421f38-5f1e-4b25-ba76-959924c93acf/4cad0dba-7a48-4df0-bde1-398e65647eb5.jpg</t>
  </si>
  <si>
    <t>local-authority-eng:MAI</t>
  </si>
  <si>
    <t>Maidstone Borough Council</t>
  </si>
  <si>
    <t>Maidstone Borough Local Plan</t>
  </si>
  <si>
    <t>97695714-434d-48b5-8621-6504aec6849c</t>
  </si>
  <si>
    <t>http://www.maidstone.gov.uk/__data/assets/pdf_file/0005/171149/Local-Plan-v2-November-2017.pdf</t>
  </si>
  <si>
    <t>https://s3.eu-west-2.amazonaws.com/local-plans/plan-documents/97695714-434d-48b5-8621-6504aec6849c.pdf</t>
  </si>
  <si>
    <t>https://s3.eu-west-2.amazonaws.com/local-plans/images/97695714-434d-48b5-8621-6504aec6849c/2569b3ef-69df-47c0-8064-1da5f45930e3.jpg</t>
  </si>
  <si>
    <t>local-authority-eng:SEV</t>
  </si>
  <si>
    <t>Sevenoaks District Council</t>
  </si>
  <si>
    <t>Sevenoaks Core Strategy</t>
  </si>
  <si>
    <t>87c3ba8f-e036-4abb-92e6-f6a2bf70e7e2</t>
  </si>
  <si>
    <t>https://www.sevenoaks.gov.uk/download/downloads/id/356/core_strategy_adopted_version_february_2011.pdf</t>
  </si>
  <si>
    <t>https://s3.eu-west-2.amazonaws.com/local-plans/plan-documents/87c3ba8f-e036-4abb-92e6-f6a2bf70e7e2.pdf</t>
  </si>
  <si>
    <t>0b63da3108b4507d9bdb4987fc77e75a</t>
  </si>
  <si>
    <t>https://s3.eu-west-2.amazonaws.com/local-plans/images/87c3ba8f-e036-4abb-92e6-f6a2bf70e7e2/7137564a-d7c4-4b1a-a043-8daf2d9b1c6f.jpg</t>
  </si>
  <si>
    <t>62bb87e0-2ba8-44bf-83fd-7c9dbab6dcfd</t>
  </si>
  <si>
    <t>http://planningconsult.sevenoaks.gov.uk/gf2.ti/f/979650/44450309.1/PDF/-/Proposed_Submission_Version.pdf</t>
  </si>
  <si>
    <t>403 Client Error: 403 for url: https://planningconsult.sevenoaks.gov.uk/gf2.ti/f/979650/44450309.1/PDF/-/Proposed_Submission_Version.pdf</t>
  </si>
  <si>
    <t>https://s3.eu-west-2.amazonaws.com/local-plans/images/62bb87e0-2ba8-44bf-83fd-7c9dbab6dcfd/adb1f08c-76e2-4350-83ce-6cf6e8a2ec11.jpg</t>
  </si>
  <si>
    <t>local-authority-eng:SHE</t>
  </si>
  <si>
    <t>Folkestone and Hythe Council</t>
  </si>
  <si>
    <t>Shepway Core Strategy</t>
  </si>
  <si>
    <t>ed84f6ef-44cd-406a-89b0-40ceb70149f8</t>
  </si>
  <si>
    <t>https://www.folkestone-hythe.gov.uk/media/1811/Core-Strategy-Local-Plan-2013/pdf/Core_Strategy_Local_Plan_2013_v2.pdf</t>
  </si>
  <si>
    <t>https://s3.eu-west-2.amazonaws.com/local-plans/plan-documents/ed84f6ef-44cd-406a-89b0-40ceb70149f8.pdf</t>
  </si>
  <si>
    <t>d51aaf686096645ea4d7c4f2f4dabff7</t>
  </si>
  <si>
    <t>https://s3.eu-west-2.amazonaws.com/local-plans/images/ed84f6ef-44cd-406a-89b0-40ceb70149f8/37524b59-260e-4e47-9537-941a761a5624.jpg</t>
  </si>
  <si>
    <t>Core Strategy Review</t>
  </si>
  <si>
    <t>0b13a048-8fee-49ac-bc9b-cba8551e10b2</t>
  </si>
  <si>
    <t>https://www.folkestone-hythe.gov.uk/Core-strategy-review-2020</t>
  </si>
  <si>
    <t>Document at https://www.folkestone-hythe.gov.uk/Core-strategy-review-2020 might not be a pdf</t>
  </si>
  <si>
    <t>https://s3.eu-west-2.amazonaws.com/local-plans/images/0b13a048-8fee-49ac-bc9b-cba8551e10b2/4211ff73-5d43-4c0d-9391-b6be5ba1dd99.jpg</t>
  </si>
  <si>
    <t>local-authority-eng:SWL</t>
  </si>
  <si>
    <t>Swale Borough Council</t>
  </si>
  <si>
    <t>Bearing Fruits 2031: The Swale Local Plan</t>
  </si>
  <si>
    <t>22dd9906-59fd-421b-aee8-c45d2e40868b</t>
  </si>
  <si>
    <t>http://services.swale.gov.uk/media/files/localplan/adoptedlocalplanfinalwebversion.pdf</t>
  </si>
  <si>
    <t>https://s3.eu-west-2.amazonaws.com/local-plans/plan-documents/22dd9906-59fd-421b-aee8-c45d2e40868b.pdf</t>
  </si>
  <si>
    <t>5472cf66a13f73da204019b9c18ac77e</t>
  </si>
  <si>
    <t>https://s3.eu-west-2.amazonaws.com/local-plans/images/22dd9906-59fd-421b-aee8-c45d2e40868b/820a96f5-b3aa-4c77-8ae2-c7a5d12607bb.jpg</t>
  </si>
  <si>
    <t>37c09e6b-8a19-4926-b82c-082c65236689</t>
  </si>
  <si>
    <t>local-authority-eng:THA</t>
  </si>
  <si>
    <t>Thanet District Council</t>
  </si>
  <si>
    <t>Local Plan to 2031</t>
  </si>
  <si>
    <t>9854a430-cc99-44e3-a7b8-328f7cbd09fb</t>
  </si>
  <si>
    <t>https://democracy.thanet.gov.uk/documents/s69015/Annex%203%20-%20Thanet%20Local%20Plan%20with%20appendices%20March%202020.pdf</t>
  </si>
  <si>
    <t>https://s3.eu-west-2.amazonaws.com/local-plans/plan-documents/9854a430-cc99-44e3-a7b8-328f7cbd09fb.pdf</t>
  </si>
  <si>
    <t>756426e3f9a44a03ea5314f2cca65057</t>
  </si>
  <si>
    <t xml:space="preserve">Local Plan review to be completed within 6 months of PLan adoption (see Policy SP01b).  
Stepped approach to housing delivery: 
2011-16 additional homes 1555 (311 hpa); 
2016-21 additional homes 3000 (600 hpa); 
2021-26 additional homes 6000 (1200 hpa); 
2026-31 additional homes 6585 (1317 hpa).
</t>
  </si>
  <si>
    <t>https://s3.eu-west-2.amazonaws.com/local-plans/images/9854a430-cc99-44e3-a7b8-328f7cbd09fb/89075905-36ed-42a2-acfb-d4246fe55758.jpg</t>
  </si>
  <si>
    <t>local-authority-eng:TON</t>
  </si>
  <si>
    <t>Tonbridge and Malling Borough Council</t>
  </si>
  <si>
    <t>df7a6d48-c8b9-4d57-87d8-04c9592b31a3</t>
  </si>
  <si>
    <t>https://www.tmbc.gov.uk/__data/assets/pdf_file/0020/13808/Core_Strategy.pdf</t>
  </si>
  <si>
    <t>https://s3.eu-west-2.amazonaws.com/local-plans/plan-documents/df7a6d48-c8b9-4d57-87d8-04c9592b31a3.pdf</t>
  </si>
  <si>
    <t>2a56a203aa2c9f872e32e9938dd4a1d0</t>
  </si>
  <si>
    <t>https://s3.eu-west-2.amazonaws.com/local-plans/images/df7a6d48-c8b9-4d57-87d8-04c9592b31a3/fe687416-658b-40a5-9834-36eeb853cc9c.jpg</t>
  </si>
  <si>
    <t>b393fec5-4ddb-4368-8a57-c35ee04956a4</t>
  </si>
  <si>
    <t>https://www.tmbc.gov.uk/__data/assets/pdf_file/0005/618890/Local_Plan_Submission_January_2019.pdf</t>
  </si>
  <si>
    <t>https://s3.eu-west-2.amazonaws.com/local-plans/plan-documents/b393fec5-4ddb-4368-8a57-c35ee04956a4.pdf</t>
  </si>
  <si>
    <t>d5c22f4940337d7a34ef6b991facfe1d</t>
  </si>
  <si>
    <t>https://s3.eu-west-2.amazonaws.com/local-plans/images/b393fec5-4ddb-4368-8a57-c35ee04956a4/ebc0ecc0-572b-43e2-a5df-849166d75b2e.jpg</t>
  </si>
  <si>
    <t>local-authority-eng:TUN</t>
  </si>
  <si>
    <t>Tunbridge Wells Borough Council</t>
  </si>
  <si>
    <t>a8fa4aed-7fdb-4203-94d8-795e137e66aa</t>
  </si>
  <si>
    <t>http://www.tunbridgewells.gov.uk/residents/planning/planning-policy/development-plan-documents/core-strategy</t>
  </si>
  <si>
    <t>https://s3.eu-west-2.amazonaws.com/local-plans/images/a8fa4aed-7fdb-4203-94d8-795e137e66aa/3701dd5f-2211-4f79-9fcb-3a3cd9fb6f69.jpg</t>
  </si>
  <si>
    <t>e48491e3-38dc-4b7a-9aee-0b6f4f917707</t>
  </si>
  <si>
    <t>local-authority-eng:BUN</t>
  </si>
  <si>
    <t>Burnley Borough Council</t>
  </si>
  <si>
    <t>Burnley's Local Plan</t>
  </si>
  <si>
    <t>63334b68-029e-4d9b-a461-0b65b7c378a1</t>
  </si>
  <si>
    <t>https://www.burnley.gov.uk/sites/default/files/Burnley%27s%20Local%20Plan%20Adopted%20Version%20-%20Final.pdf</t>
  </si>
  <si>
    <t>https://s3.eu-west-2.amazonaws.com/local-plans/plan-documents/63334b68-029e-4d9b-a461-0b65b7c378a1.pdf</t>
  </si>
  <si>
    <t>2b37042c200cafd774bb344e202d64aa</t>
  </si>
  <si>
    <t>https://s3.eu-west-2.amazonaws.com/local-plans/images/5ceef760-badc-4726-a666-791988b63ab3.jpg</t>
  </si>
  <si>
    <t>local-authority-eng:FYL</t>
  </si>
  <si>
    <t>Fylde Borough Council</t>
  </si>
  <si>
    <t>Fylde Local Plan to 2032</t>
  </si>
  <si>
    <t>a1db663c-71f9-45fe-a8aa-e51f9d03907c</t>
  </si>
  <si>
    <t>http://www.fylde.gov.uk/assets/legacy/getasset?id=fAA5ADIAMgA1AHwAfABUAHIAdQBlAHwAfAAwAHwA0</t>
  </si>
  <si>
    <t>https://s3.eu-west-2.amazonaws.com/local-plans/plan-documents/a1db663c-71f9-45fe-a8aa-e51f9d03907c.pdf</t>
  </si>
  <si>
    <t>06c14ea7b1620a074934a346628acfff</t>
  </si>
  <si>
    <t>404 Client Error: Not Found for url: https://www.fylde.gov.uk/assets/legacy/getasset?id=fAA5ADIAMgA1AHwAfABUAHIAdQBlAHwAfAAwAHwA0</t>
  </si>
  <si>
    <t>https://s3.eu-west-2.amazonaws.com/local-plans/images/a1db663c-71f9-45fe-a8aa-e51f9d03907c/f8e0d3a8-6491-4c70-af54-bec3e551e276.jpg</t>
  </si>
  <si>
    <t>4d800b81-67e2-4e8c-8b74-11715a63c5fa</t>
  </si>
  <si>
    <t>https://new.fylde.gov.uk/wp-content/uploads/2020/07/1.-SDPR01-Schedule-of-Revisions-to-FLP32.pdf</t>
  </si>
  <si>
    <t>https://s3.eu-west-2.amazonaws.com/local-plans/plan-documents/4d800b81-67e2-4e8c-8b74-11715a63c5fa.pdf</t>
  </si>
  <si>
    <t>109f3288002b7e3cb52f303b1f671b4b</t>
  </si>
  <si>
    <t>https://s3.eu-west-2.amazonaws.com/local-plans/images/4d800b81-67e2-4e8c-8b74-11715a63c5fa/da15ccfb-a7f9-484c-8b60-ca0096f2f8ee.jpg</t>
  </si>
  <si>
    <t>local-authority-eng:HYN</t>
  </si>
  <si>
    <t>Hyndburn Borough Council</t>
  </si>
  <si>
    <t>The Core Strategy</t>
  </si>
  <si>
    <t>17213289-e289-47bb-8638-bad7cb4d88bc</t>
  </si>
  <si>
    <t>https://www.hyndburnbc.gov.uk/download-package/adopted-core-strategy/?wpdmdl=5821&amp;ind=GuxGxU8bJO9766UxhJADQV19024NU_O86J6h-ANPxoUuWAYGvgpmq6KzwkTGwe3F</t>
  </si>
  <si>
    <t>https://s3.eu-west-2.amazonaws.com/local-plans/plan-documents/17213289-e289-47bb-8638-bad7cb4d88bc.pdf</t>
  </si>
  <si>
    <t>331a3e2d3e7879e816a36b4c27b94ecd</t>
  </si>
  <si>
    <t>https://s3.eu-west-2.amazonaws.com/local-plans/images/17213289-e289-47bb-8638-bad7cb4d88bc/d5ac5ac9-59c6-4acf-ab48-6fe8026c7b03.jpg</t>
  </si>
  <si>
    <t>cdc30064-9a36-496e-9bae-bb3dc49f9c27</t>
  </si>
  <si>
    <t>https://www.hyndburnbc.gov.uk/download-package/core-strategy-review-reg18-feb19/?wpdmdl=19706&amp;ind=KHBupY4mKijR-VabIw3M-56i6eo0HprNK2raRYtx7E98MCEKI691Wonzj5-podiN</t>
  </si>
  <si>
    <t>https://s3.eu-west-2.amazonaws.com/local-plans/plan-documents/cdc30064-9a36-496e-9bae-bb3dc49f9c27.pdf</t>
  </si>
  <si>
    <t>ce1cc296e3ba5376c8e2f21112a64ba7</t>
  </si>
  <si>
    <t>https://s3.eu-west-2.amazonaws.com/local-plans/images/cdc30064-9a36-496e-9bae-bb3dc49f9c27/f56dd6c9-dfdd-45f7-bdd8-eb073cf83b7a.jpg</t>
  </si>
  <si>
    <t>local-authority-eng:LAC</t>
  </si>
  <si>
    <t>Lancaster City Council</t>
  </si>
  <si>
    <t>Strategic Policies &amp; Land Allocation</t>
  </si>
  <si>
    <t>72209839-2460-4c35-9d63-79e389f0062c</t>
  </si>
  <si>
    <t>http://www.lancaster.gov.uk/assets/attach/6159/Strategic%20Policies%20Land%20Allocations%20DPD%20Adoption%20Version%202020.pdf</t>
  </si>
  <si>
    <t>https://s3.eu-west-2.amazonaws.com/local-plans/plan-documents/72209839-2460-4c35-9d63-79e389f0062c.pdf</t>
  </si>
  <si>
    <t>29b7efd3a2f354e7c32398155ff29d6a</t>
  </si>
  <si>
    <t>local-authority-eng:PEN</t>
  </si>
  <si>
    <t>Pendle Borough Council</t>
  </si>
  <si>
    <t>Pendle Local Plan Part 1: Core Strategy</t>
  </si>
  <si>
    <t>30da2be2-5875-4fcb-b9f5-bb41273b90be</t>
  </si>
  <si>
    <t>https://www.pendle.gov.uk/download/downloads/id/8723/pendle_local_plan_part_1_core_strategy.pdf</t>
  </si>
  <si>
    <t>https://s3.eu-west-2.amazonaws.com/local-plans/plan-documents/30da2be2-5875-4fcb-b9f5-bb41273b90be.pdf</t>
  </si>
  <si>
    <t>d60c24b25436d3b2a1909e2052d28d90</t>
  </si>
  <si>
    <t>https://s3.eu-west-2.amazonaws.com/local-plans/images/30da2be2-5875-4fcb-b9f5-bb41273b90be/022b4398-cf37-4e6f-b513-2e67d8fe50f5.jpg</t>
  </si>
  <si>
    <t>local-authority-eng:RIB</t>
  </si>
  <si>
    <t>Ribble Valley Borough Council</t>
  </si>
  <si>
    <t>Core Strategy 2008 â€“ 2028</t>
  </si>
  <si>
    <t>7a53a5cc-8931-4548-94cc-8fd20b44a4dd</t>
  </si>
  <si>
    <t>https://www.ribblevalley.gov.uk/download/downloads/id/10010/adopted_core_strategy.pdf</t>
  </si>
  <si>
    <t>https://s3.eu-west-2.amazonaws.com/local-plans/plan-documents/7a53a5cc-8931-4548-94cc-8fd20b44a4dd.pdf</t>
  </si>
  <si>
    <t>58ed99b229e594cdec289ffdb7dc8d58</t>
  </si>
  <si>
    <t>https://s3.eu-west-2.amazonaws.com/local-plans/images/7a53a5cc-8931-4548-94cc-8fd20b44a4dd/f99c3a7f-9677-40d3-b441-a3fa0875617b.jpg</t>
  </si>
  <si>
    <t>local-authority-eng:ROS</t>
  </si>
  <si>
    <t>Rossendale Borough Council</t>
  </si>
  <si>
    <t>Rossendale Local Plan</t>
  </si>
  <si>
    <t>e3787097-4490-41c4-8bb5-233cb51ac116</t>
  </si>
  <si>
    <t>https://s3.eu-west-2.amazonaws.com/local-plans/plan-documents/e3787097-4490-41c4-8bb5-233cb51ac116.pdf</t>
  </si>
  <si>
    <t>local-authority-eng:WLA</t>
  </si>
  <si>
    <t>West Lancashire Borough Council</t>
  </si>
  <si>
    <t>Local Plan 2012-2027 DPD</t>
  </si>
  <si>
    <t>77371a69-8dc4-4cca-86ad-2b9654b5e6a1</t>
  </si>
  <si>
    <t>https://www.westlancs.gov.uk/media/79104/chapter-4.pdf</t>
  </si>
  <si>
    <t>https://s3.eu-west-2.amazonaws.com/local-plans/plan-documents/77371a69-8dc4-4cca-86ad-2b9654b5e6a1.pdf</t>
  </si>
  <si>
    <t>ec81148049153cdd12ed79ff32304007</t>
  </si>
  <si>
    <t>https://s3.eu-west-2.amazonaws.com/local-plans/images/77371a69-8dc4-4cca-86ad-2b9654b5e6a1/ca3896b9-df8b-462d-a60b-af0505f0b988.jpg</t>
  </si>
  <si>
    <t>local-authority-eng:WYR</t>
  </si>
  <si>
    <t>Wyre Borough Council</t>
  </si>
  <si>
    <t>Wyre Local Plan (2011-2031)</t>
  </si>
  <si>
    <t>12c83f26-092c-46db-95d0-7e79221d7799</t>
  </si>
  <si>
    <t>http://www.wyre.gov.uk/download/downloads/id/5592/adopted_wyre_local_plan_2011-2031.pdf</t>
  </si>
  <si>
    <t>https://s3.eu-west-2.amazonaws.com/local-plans/plan-documents/12c83f26-092c-46db-95d0-7e79221d7799.pdf</t>
  </si>
  <si>
    <t>e7acce53a7ef6f1d56228442fe85580f</t>
  </si>
  <si>
    <t>https://s3.eu-west-2.amazonaws.com/local-plans/images/12c83f26-092c-46db-95d0-7e79221d7799/0df6c086-b798-40f5-ae36-e98fbe7c4d0e.jpg</t>
  </si>
  <si>
    <t>local-authority-eng:BLA</t>
  </si>
  <si>
    <t>Blaby District Council</t>
  </si>
  <si>
    <t>Blaby District Local Plan: Core Strategy DPD</t>
  </si>
  <si>
    <t>61aa0eb6-1a59-4d58-8f38-667938d42198</t>
  </si>
  <si>
    <t>https://www.blaby.gov.uk/media/2708/adopted-core-strategy.pdf</t>
  </si>
  <si>
    <t>https://s3.eu-west-2.amazonaws.com/local-plans/plan-documents/61aa0eb6-1a59-4d58-8f38-667938d42198.pdf</t>
  </si>
  <si>
    <t>64b7e4c70906b696d9d285100ff49646</t>
  </si>
  <si>
    <t>404 Client Error: Not Found for url: https://www.blaby.gov.uk/media/2708/adopted-core-strategy.pdf</t>
  </si>
  <si>
    <t>https://s3.eu-west-2.amazonaws.com/local-plans/images/7abf3545-7616-4d37-8516-7daa195f631b.jpg</t>
  </si>
  <si>
    <t>Blaby District New Local Plan</t>
  </si>
  <si>
    <t>9389dbcb-bcec-4d37-a7fc-c8a83b606183</t>
  </si>
  <si>
    <t>https://www.blaby.gov.uk/media/3421/issues-and-options-document.pdf</t>
  </si>
  <si>
    <t>https://s3.eu-west-2.amazonaws.com/local-plans/plan-documents/9389dbcb-bcec-4d37-a7fc-c8a83b606183.pdf</t>
  </si>
  <si>
    <t>de0ff8a83a1d4445671e34686a0dcf1d</t>
  </si>
  <si>
    <t>Three options for housing requirement in Issues and Options (June 2019): 
Option A: Continue with existing level of housing growth beyond 2029.  This method would see the continuation of providing 380 DPA 
Option B: Use the standard methodology for calculating local housing need. This approach would plan to deliver a minimum requirement of 339 DPA
Option C: Use the standard methodology and provide for a share of the unmet need (towards the end of the Plan period). Further work required to determine the level of provision.</t>
  </si>
  <si>
    <t>https://s3.eu-west-2.amazonaws.com/local-plans/images/9389dbcb-bcec-4d37-a7fc-c8a83b606183/4f9662a7-21bb-48f6-b84d-a200af782606.jpg</t>
  </si>
  <si>
    <t>local-authority-eng:CHA</t>
  </si>
  <si>
    <t>Charnwood Borough Council</t>
  </si>
  <si>
    <t>Charnwood Local Plan 2011-2028: Core Strategy</t>
  </si>
  <si>
    <t>35227a41-4853-40a6-aa52-4b357ea222e5</t>
  </si>
  <si>
    <t>https://www.charnwood.gov.uk/files/documents/adopted_core_strategy1/Charnwood%20Local%20Plan%202011%20-%202028%20Core%20Strategy%20Adopted%20November%202015.pdf</t>
  </si>
  <si>
    <t>https://s3.eu-west-2.amazonaws.com/local-plans/plan-documents/35227a41-4853-40a6-aa52-4b357ea222e5.pdf</t>
  </si>
  <si>
    <t>a0244b4fa69e6c59e1b734390a5cfa5c</t>
  </si>
  <si>
    <t>502 Server Error: Bad Gateway for url: https://www.charnwood.gov.uk/files/documents/adopted_core_strategy1/Charnwood%20Local%20Plan%202011%20-%202028%20Core%20Strategy%20Adopted%20November%202015.pdf</t>
  </si>
  <si>
    <t>https://s3.eu-west-2.amazonaws.com/local-plans/images/35227a41-4853-40a6-aa52-4b357ea222e5/6a5e371b-7c8f-4dd5-9cf5-89fba27f427b.jpg</t>
  </si>
  <si>
    <t>New Charnwood Local Plan</t>
  </si>
  <si>
    <t>d877f907-b0ba-44ca-9a83-f8dbb7cf86d8</t>
  </si>
  <si>
    <t>local-authority-eng:HAO</t>
  </si>
  <si>
    <t>Harborough District Council</t>
  </si>
  <si>
    <t>Harborough District Local Plan 2011 to 2031</t>
  </si>
  <si>
    <t>18fbd9e5-2d50-47c0-87b2-351edf4242a6</t>
  </si>
  <si>
    <t>https://s3.eu-west-2.amazonaws.com/local-plans/plan-documents/18fbd9e5-2d50-47c0-87b2-351edf4242a6.pdf</t>
  </si>
  <si>
    <t>https://s3.eu-west-2.amazonaws.com/local-plans/images/18fbd9e5-2d50-47c0-87b2-351edf4242a6/7b31eb36-61c3-4d43-adb9-26cfb2751c25.jpg</t>
  </si>
  <si>
    <t>local-authority-eng:HIN</t>
  </si>
  <si>
    <t>Hinckley and Bosworth Borough Council</t>
  </si>
  <si>
    <t>3a5b4662-b373-4237-ad84-8e1a7649cac9</t>
  </si>
  <si>
    <t>https://www.hinckley-bosworth.gov.uk/download/downloads/id/487/core_strategy_adopted_document.pdf</t>
  </si>
  <si>
    <t>https://s3.eu-west-2.amazonaws.com/local-plans/plan-documents/3a5b4662-b373-4237-ad84-8e1a7649cac9.pdf</t>
  </si>
  <si>
    <t>Para 4.3</t>
  </si>
  <si>
    <t>cccbd538-42a2-4cc6-a124-fd6424f5018c</t>
  </si>
  <si>
    <t>https://www.hinckley-bosworth.gov.uk/download/downloads/id/6096/scope_issues_and_options_consultation_document.pdf</t>
  </si>
  <si>
    <t>https://s3.eu-west-2.amazonaws.com/local-plans/plan-documents/cccbd538-42a2-4cc6-a124-fd6424f5018c.pdf</t>
  </si>
  <si>
    <t>80531bca7183035657b66e889e6c8c01</t>
  </si>
  <si>
    <t>https://s3.eu-west-2.amazonaws.com/local-plans/images/cccbd538-42a2-4cc6-a124-fd6424f5018c/2f1844c2-2076-40bb-a05c-4865513c5ecb.jpg</t>
  </si>
  <si>
    <t>local-authority-eng:MEL</t>
  </si>
  <si>
    <t>Melton Borough Council</t>
  </si>
  <si>
    <t>Melton Local Plan</t>
  </si>
  <si>
    <t>0a64c812-d576-4efc-b5e9-229259d3b7a5</t>
  </si>
  <si>
    <t>https://docs.wixstatic.com/ugd/2778e0_865e0289bce64d46932c93247b3f2d6c.pdf</t>
  </si>
  <si>
    <t>https://s3.eu-west-2.amazonaws.com/local-plans/plan-documents/0a64c812-d576-4efc-b5e9-229259d3b7a5.pdf</t>
  </si>
  <si>
    <t>6037af1acdbbd55290178983948800da</t>
  </si>
  <si>
    <t>https://s3.eu-west-2.amazonaws.com/local-plans/images/0a64c812-d576-4efc-b5e9-229259d3b7a5/510e1636-2e56-4dd2-b940-4ee40fc4c07f.jpg</t>
  </si>
  <si>
    <t>local-authority-eng:NWL</t>
  </si>
  <si>
    <t>North West Leicestershire District Council</t>
  </si>
  <si>
    <t>7126a8e1-f2cc-4e04-9a8f-784acc04e6b0</t>
  </si>
  <si>
    <t>https://www.nwleics.gov.uk/files/documents/adopted_local_plan_2011_20312/Adopted%20Written%20Statement.pdf</t>
  </si>
  <si>
    <t>https://s3.eu-west-2.amazonaws.com/local-plans/plan-documents/7126a8e1-f2cc-4e04-9a8f-784acc04e6b0.pdf</t>
  </si>
  <si>
    <t>e80ccbdaea4a9282e40586a1a052460a</t>
  </si>
  <si>
    <t>https://s3.eu-west-2.amazonaws.com/local-plans/images/7126a8e1-f2cc-4e04-9a8f-784acc04e6b0/dba48b6a-5c57-41a5-81b8-414e572996f6.jpg</t>
  </si>
  <si>
    <t>North West Leicestershire Local Plan - Substantive Review</t>
  </si>
  <si>
    <t>local-authority-eng:OAD</t>
  </si>
  <si>
    <t>Oadby and Wigston Borough Council</t>
  </si>
  <si>
    <t>df5e4626-c8f9-458c-9b75-c6aaf19841f7</t>
  </si>
  <si>
    <t>https://www.oadby-wigston.gov.uk/files/documents/local_plan_submission_document/LP6.01%20Submission%20Local%20Plan%20January%202018.pdf</t>
  </si>
  <si>
    <t>https://s3.eu-west-2.amazonaws.com/local-plans/plan-documents/df5e4626-c8f9-458c-9b75-c6aaf19841f7.pdf</t>
  </si>
  <si>
    <t>96fafcde588df5a4e66d41999d41cda1</t>
  </si>
  <si>
    <t>https://s3.eu-west-2.amazonaws.com/local-plans/images/1bfa666c-1bf1-4b28-bd1a-487965bf0a21.jpg</t>
  </si>
  <si>
    <t>local-authority-eng:ELI</t>
  </si>
  <si>
    <t>East Lindsey District Council</t>
  </si>
  <si>
    <t>East Lindsey Local Plan: Core Strategy</t>
  </si>
  <si>
    <t>aa7f9c07-780e-44de-a32b-1f9b1ff13e13</t>
  </si>
  <si>
    <t>https://www.e-lindsey.gov.uk/media/9791/Core-Strategy/pdf/Final_Version_of_Core_Strategy_2018.pdf?m=636821922732300000</t>
  </si>
  <si>
    <t>https://s3.eu-west-2.amazonaws.com/local-plans/plan-documents/aa7f9c07-780e-44de-a32b-1f9b1ff13e13.pdf</t>
  </si>
  <si>
    <t>214c37486f1ba12d44ea4c9355bd791c</t>
  </si>
  <si>
    <t>https://s3.eu-west-2.amazonaws.com/local-plans/images/aa7f9c07-780e-44de-a32b-1f9b1ff13e13/f8ec29e5-9b2e-4857-9599-718eab186746.jpg</t>
  </si>
  <si>
    <t>local-authority-eng:SKE</t>
  </si>
  <si>
    <t>South Kesteven District Council</t>
  </si>
  <si>
    <t>Local Plan 2011-2036</t>
  </si>
  <si>
    <t>d12564e2-e7d4-4c42-ae45-823c50dbd2c9</t>
  </si>
  <si>
    <t>http://www.southkesteven.gov.uk/CHttpHandler.ashx?id=26202</t>
  </si>
  <si>
    <t>https://s3.eu-west-2.amazonaws.com/local-plans/plan-documents/d12564e2-e7d4-4c42-ae45-823c50dbd2c9.pdf</t>
  </si>
  <si>
    <t>0759ff959cd4984136173c207be14e77</t>
  </si>
  <si>
    <t>Committed to an early review of the plan commencing from April 2020, with submission to the Secretary of State for examination by the end of December 2023 (Policy M1).</t>
  </si>
  <si>
    <t>https://s3.eu-west-2.amazonaws.com/local-plans/images/d12564e2-e7d4-4c42-ae45-823c50dbd2c9/b136c2c4-46e6-4992-80de-4423f6bfd225.jpg</t>
  </si>
  <si>
    <t>local-authority-eng:BRE</t>
  </si>
  <si>
    <t>Breckland District Council</t>
  </si>
  <si>
    <t>Breckland Local Plan</t>
  </si>
  <si>
    <t>5b973444-94c8-4331-9cfb-af0fe6d4cf7f</t>
  </si>
  <si>
    <t>https://www.breckland.gov.uk/media/14974/Appendix-4-Breckland-District-Council-Local-Plan-Text/pdf/Appendix_4_-_Breckland_District_Council_Local_Plan_text_linked.pdf?m=637121709009770000</t>
  </si>
  <si>
    <t>https://s3.eu-west-2.amazonaws.com/local-plans/plan-documents/5b973444-94c8-4331-9cfb-af0fe6d4cf7f.pdf</t>
  </si>
  <si>
    <t>a699b88cf6dd347fe5e3bfeb48dba64b</t>
  </si>
  <si>
    <t>404 Client Error: Not Found for url: https://www.breckland.gov.uk/media/14974/Appendix-4-Breckland-District-Council-Local-Plan-Text/pdf/Appendix_4_-_Breckland_District_Council_Local_Plan_text_linked.pdf?m=637121709009770000</t>
  </si>
  <si>
    <t>https://s3.eu-west-2.amazonaws.com/local-plans/images/5b973444-94c8-4331-9cfb-af0fe6d4cf7f/7071552f-1ee3-4129-8253-688df2e45be3.jpg</t>
  </si>
  <si>
    <t>local-authority-eng:GRY</t>
  </si>
  <si>
    <t>Great Yarmouth Borough Council</t>
  </si>
  <si>
    <t>Core Strategy 2013-2030</t>
  </si>
  <si>
    <t>b160db07-8136-4698-b19b-ddf7db61ec9c</t>
  </si>
  <si>
    <t>https://www.great-yarmouth.gov.uk/CHttpHandler.ashx?id=1884&amp;p=0</t>
  </si>
  <si>
    <t>https://s3.eu-west-2.amazonaws.com/local-plans/plan-documents/b160db07-8136-4698-b19b-ddf7db61ec9c.pdf</t>
  </si>
  <si>
    <t>f64b0da8cc77b87d5d86cd64467e7cc4</t>
  </si>
  <si>
    <t>https://s3.eu-west-2.amazonaws.com/local-plans/images/b160db07-8136-4698-b19b-ddf7db61ec9c/a3f166ee-09e4-4417-983d-687c685a645b.jpg</t>
  </si>
  <si>
    <t>local-authority-eng:KIN</t>
  </si>
  <si>
    <t>Borough Council of King's Lynn and West Norfolk</t>
  </si>
  <si>
    <t>Kingâ€™s Lynn &amp; West Norfolk LDF: Core Strategy</t>
  </si>
  <si>
    <t>5c88bf51-0629-436a-9900-f0b4eaa4381c</t>
  </si>
  <si>
    <t>https://www.west-norfolk.gov.uk/downloads/download/68/core_strategy_document</t>
  </si>
  <si>
    <t>Document at https://www.west-norfolk.gov.uk/downloads/download/68/core_strategy_document might not be a pdf</t>
  </si>
  <si>
    <t>https://s3.eu-west-2.amazonaws.com/local-plans/images/5c88bf51-0629-436a-9900-f0b4eaa4381c/39271541-5b76-459e-a0be-f23fb5024cf4.jpg</t>
  </si>
  <si>
    <t>32a23802-e58d-497f-a4d3-ecb6b4aaea22</t>
  </si>
  <si>
    <t>https://www.west-norfolk.gov.uk/site/custom_scripts/static_content/_large_files/20190221_local_plan_review_document.pdf</t>
  </si>
  <si>
    <t>https://s3.eu-west-2.amazonaws.com/local-plans/plan-documents/32a23802-e58d-497f-a4d3-ecb6b4aaea22.pdf</t>
  </si>
  <si>
    <t>a65e64539ef70bd79b43796586db3433</t>
  </si>
  <si>
    <t>https://s3.eu-west-2.amazonaws.com/local-plans/images/3ba9ddb4-4dc1-4c95-872a-be5cd44ca8d1.jpg</t>
  </si>
  <si>
    <t>local-authority-eng:NNO</t>
  </si>
  <si>
    <t>North Norfolk District Council</t>
  </si>
  <si>
    <t>7a2071b3-b840-4224-9548-89f9c3d4ede1</t>
  </si>
  <si>
    <t>https://www.north-norfolk.gov.uk/media/1370/3-_core_strategy_-incorporating_development_control_policies-_adopted_2008_-updated_2012.pdf#page=2</t>
  </si>
  <si>
    <t>https://s3.eu-west-2.amazonaws.com/local-plans/plan-documents/7a2071b3-b840-4224-9548-89f9c3d4ede1.pdf</t>
  </si>
  <si>
    <t>8bc8e8be631828ccbeb248046c7a1a9d</t>
  </si>
  <si>
    <t>https://s3.eu-west-2.amazonaws.com/local-plans/images/7a2071b3-b840-4224-9548-89f9c3d4ede1/246fa91f-b175-4b60-a11a-fe521dd50d37.jpg</t>
  </si>
  <si>
    <t>North Norfolk Local Plan</t>
  </si>
  <si>
    <t>b7c4c499-0e59-485a-9b00-5f381faa9ebf</t>
  </si>
  <si>
    <t>https://s3.eu-west-2.amazonaws.com/local-plans/plan-documents/b7c4c499-0e59-485a-9b00-5f381faa9ebf.pdf</t>
  </si>
  <si>
    <t>local-authority-eng:CRA</t>
  </si>
  <si>
    <t>Craven District Council</t>
  </si>
  <si>
    <t>Craven Local Plan</t>
  </si>
  <si>
    <t>fabfb03b-4e3d-4fd8-a874-88d1457874bd</t>
  </si>
  <si>
    <t>https://www.cravendc.gov.uk/media/8733/z-local-plans-ldf-314-local-plan-adoption-2019-lp-adoption-docs-final-adoption-local-plan-pdfs-craven-local-plan-appendices-and-policies-map.pdf</t>
  </si>
  <si>
    <t>https://s3.eu-west-2.amazonaws.com/local-plans/plan-documents/fabfb03b-4e3d-4fd8-a874-88d1457874bd.pdf</t>
  </si>
  <si>
    <t>d7c5d21018fdbc0aa46310374dc2facf</t>
  </si>
  <si>
    <t>https://s3.eu-west-2.amazonaws.com/local-plans/images/fabfb03b-4e3d-4fd8-a874-88d1457874bd/5754208b-6f93-4dfa-be61-3cf7d80dc9ce.jpg</t>
  </si>
  <si>
    <t>local-authority-eng:HAE</t>
  </si>
  <si>
    <t>Hambleton District Council</t>
  </si>
  <si>
    <t>Hambleton LDF: Core Strategy</t>
  </si>
  <si>
    <t>d06d6c34-9bcc-4839-83c4-9334554d546b</t>
  </si>
  <si>
    <t>http://hambleton.gov.uk/download/downloads/id/750/core_strategy_local_development_framework_-_development_plan_document.pdf</t>
  </si>
  <si>
    <t>https://s3.eu-west-2.amazonaws.com/local-plans/plan-documents/d06d6c34-9bcc-4839-83c4-9334554d546b.pdf</t>
  </si>
  <si>
    <t>ff820a597d74d7a3b17b9dabb5847be8</t>
  </si>
  <si>
    <t>https://s3.eu-west-2.amazonaws.com/local-plans/images/d06d6c34-9bcc-4839-83c4-9334554d546b/1979e45f-7e2c-4dcb-9e6f-f4138a404838.jpg</t>
  </si>
  <si>
    <t>New Local Plan for Hambleton</t>
  </si>
  <si>
    <t>b3a6f957-a015-4ac6-8e92-c0aab6b423b2</t>
  </si>
  <si>
    <t>local-authority-eng:HAG</t>
  </si>
  <si>
    <t>Harrogate Borough Council</t>
  </si>
  <si>
    <t>Harrogate Local Plan</t>
  </si>
  <si>
    <t>fcbf1602-9aa2-44c4-8b9b-589e293d0029</t>
  </si>
  <si>
    <t>https://www.harrogate.gov.uk/info/20101/planning_policy_and_the_local_plan/548/current_harrogate_district_local_plan</t>
  </si>
  <si>
    <t>404 Client Error: Not Found for url: https://www.harrogate.gov.uk/info/20101/planning_policy_and_the_local_plan/548/current_harrogate_district_local_plan</t>
  </si>
  <si>
    <t>Adopted Plan incorporates Main Mods suggested reduction from 14,049 to 13,377</t>
  </si>
  <si>
    <t>https://s3.eu-west-2.amazonaws.com/local-plans/images/fcbf1602-9aa2-44c4-8b9b-589e293d0029/2a3b25e8-26ab-40f8-b29a-c56c590c7870.jpg</t>
  </si>
  <si>
    <t>local-authority-eng:RIH</t>
  </si>
  <si>
    <t>Richmondshire District Council</t>
  </si>
  <si>
    <t>Richmondshire Local Plan 2012-2028: Core Strategy</t>
  </si>
  <si>
    <t>86b612dd-a8bd-405b-aa8e-cb39448005c2</t>
  </si>
  <si>
    <t>https://www.richmondshire.gov.uk/media/9616/core-strategy-2012-28.pdf</t>
  </si>
  <si>
    <t>https://s3.eu-west-2.amazonaws.com/local-plans/plan-documents/86b612dd-a8bd-405b-aa8e-cb39448005c2.pdf</t>
  </si>
  <si>
    <t>e308f8face359c2c44b0cf6241a01772</t>
  </si>
  <si>
    <t>https://s3.eu-west-2.amazonaws.com/local-plans/images/518bc18d-d4c1-4d64-82ad-8fc028eea7e9.jpg</t>
  </si>
  <si>
    <t>25f47afe-dd9e-4f00-b7d6-4e5db7c499ac</t>
  </si>
  <si>
    <t>https://s3.eu-west-2.amazonaws.com/local-plans/plan-documents/25f47afe-dd9e-4f00-b7d6-4e5db7c499ac.pdf</t>
  </si>
  <si>
    <t>local-authority-eng:RYE</t>
  </si>
  <si>
    <t>Ryedale District Council</t>
  </si>
  <si>
    <t>Ryedale Plan - Local Plan Strategy</t>
  </si>
  <si>
    <t>4a7df200-6ad1-4a01-a7a9-fcd7385faf6f</t>
  </si>
  <si>
    <t>https://ryedaleplan.org.uk/attachments/category/12/Local_Plan_Strategy_FINAL.pdf</t>
  </si>
  <si>
    <t>https://s3.eu-west-2.amazonaws.com/local-plans/plan-documents/4a7df200-6ad1-4a01-a7a9-fcd7385faf6f.pdf</t>
  </si>
  <si>
    <t>9642f894238fcf3171c619f5f40baa9d</t>
  </si>
  <si>
    <t>https://s3.eu-west-2.amazonaws.com/local-plans/images/76028d4f-30ab-4627-8f98-0c050d04c150.jpg</t>
  </si>
  <si>
    <t>local-authority-eng:SCE</t>
  </si>
  <si>
    <t>Scarborough Borough Council</t>
  </si>
  <si>
    <t>Scarborough Borough Local Plan - 2011/32</t>
  </si>
  <si>
    <t>4a379f6b-7970-4522-9762-f85da25ba5ab</t>
  </si>
  <si>
    <t>https://www.scarborough.gov.uk/sites/scarborough.gov.uk/files/Scarborough%20Borough%20Local%20Plan%202011-32_0.pdf</t>
  </si>
  <si>
    <t>https://s3.eu-west-2.amazonaws.com/local-plans/plan-documents/4a379f6b-7970-4522-9762-f85da25ba5ab.pdf</t>
  </si>
  <si>
    <t>d612acfdffce8517c330faa16e442249</t>
  </si>
  <si>
    <t>https://s3.eu-west-2.amazonaws.com/local-plans/images/5c0f8ff3-47d7-48e0-b1f9-80b2b56becbd.jpg</t>
  </si>
  <si>
    <t>local-authority-eng:SEL</t>
  </si>
  <si>
    <t>Selby District Council</t>
  </si>
  <si>
    <t>Selby District Core Strategy</t>
  </si>
  <si>
    <t>8e97b761-1082-40cb-a1a5-d66ba4bc41b0</t>
  </si>
  <si>
    <t>https://www.selby.gov.uk/sites/default/files/Documents/CS_Adoption_Ver_OCT_2013_REDUCED.pdf</t>
  </si>
  <si>
    <t>https://s3.eu-west-2.amazonaws.com/local-plans/plan-documents/8e97b761-1082-40cb-a1a5-d66ba4bc41b0.pdf</t>
  </si>
  <si>
    <t>99d9f7d15a9c951053ad3d0646a4bbea</t>
  </si>
  <si>
    <t>https://s3.eu-west-2.amazonaws.com/local-plans/images/8e97b761-1082-40cb-a1a5-d66ba4bc41b0/45c2caf5-8621-418a-87dd-09e51980c770.jpg</t>
  </si>
  <si>
    <t>6921ebed-4ed8-42a4-96db-045c82b2872f</t>
  </si>
  <si>
    <t>https://s3.eu-west-2.amazonaws.com/local-plans/plan-documents/6921ebed-4ed8-42a4-96db-045c82b2872f.pdf</t>
  </si>
  <si>
    <t>local-authority-eng:BAE</t>
  </si>
  <si>
    <t>Bassetlaw District Council</t>
  </si>
  <si>
    <t>Bassetlaw Core Strategy &amp; Development Management Policies DPD</t>
  </si>
  <si>
    <t>45d85ac7-9c13-4f28-aca3-aa0db2b6d7ab</t>
  </si>
  <si>
    <t>https://www.bassetlaw.gov.uk/media/1543/cs1adoptedcorestrategy.pdf</t>
  </si>
  <si>
    <t>https://s3.eu-west-2.amazonaws.com/local-plans/plan-documents/45d85ac7-9c13-4f28-aca3-aa0db2b6d7ab.pdf</t>
  </si>
  <si>
    <t>28c7a03896fdea6173f808cb908daba5</t>
  </si>
  <si>
    <t>https://s3.eu-west-2.amazonaws.com/local-plans/images/45d85ac7-9c13-4f28-aca3-aa0db2b6d7ab/671af347-d73d-4820-8f8b-6bd7058df441.jpg</t>
  </si>
  <si>
    <t>Bassetlaw Local Plan</t>
  </si>
  <si>
    <t>b56768ad-1ecd-48f6-9935-f7e9352c88f7</t>
  </si>
  <si>
    <t>Invalid URL '': No schema supplied. Perhaps you meant http://?</t>
  </si>
  <si>
    <t>local-authority-eng:MAS</t>
  </si>
  <si>
    <t>Mansfield District Council</t>
  </si>
  <si>
    <t>Mansfield District Local Plan</t>
  </si>
  <si>
    <t>5f25d9c6-6334-4507-8b61-01a9ba6f8d40</t>
  </si>
  <si>
    <t>https://www.mansfield.gov.uk/downloads/file/1645/mdc-adopted-local-plan-2020</t>
  </si>
  <si>
    <t>https://s3.eu-west-2.amazonaws.com/local-plans/plan-documents/5f25d9c6-6334-4507-8b61-01a9ba6f8d40.pdf</t>
  </si>
  <si>
    <t>9e90e2dcd4eb5253f256ffac71af81a5</t>
  </si>
  <si>
    <t>https://s3.eu-west-2.amazonaws.com/local-plans/images/5f25d9c6-6334-4507-8b61-01a9ba6f8d40/fde07b30-8dfe-436d-b948-64573ff6d5a6.jpg</t>
  </si>
  <si>
    <t>local-authority-eng:NEA</t>
  </si>
  <si>
    <t>Newark and Sherwood District Council</t>
  </si>
  <si>
    <t>ec7b71e5-da20-46c8-a9dd-6b2ef591d5bd</t>
  </si>
  <si>
    <t>https://www.newark-sherwooddc.gov.uk/media/newarkandsherwood/imagesandfiles/planningpolicy/pdfs/corestrategy/Amended%20Core%20Strategy%202.pdf</t>
  </si>
  <si>
    <t>https://s3.eu-west-2.amazonaws.com/local-plans/plan-documents/ec7b71e5-da20-46c8-a9dd-6b2ef591d5bd.pdf</t>
  </si>
  <si>
    <t>9bb395ecd7434f58cac47cc910cbceaf</t>
  </si>
  <si>
    <t>404 Client Error: Not Found for url: https://www.newark-sherwooddc.gov.uk/media/newarkandsherwood/imagesandfiles/planningpolicy/pdfs/corestrategy/Amended%20Core%20Strategy%202.pdf</t>
  </si>
  <si>
    <t>https://s3.eu-west-2.amazonaws.com/local-plans/images/ec7b71e5-da20-46c8-a9dd-6b2ef591d5bd/e496dd03-756a-4aab-a1a0-50a9d0d448ec.jpg</t>
  </si>
  <si>
    <t>local-authority-eng:RUS</t>
  </si>
  <si>
    <t>Rushcliffe Borough Council</t>
  </si>
  <si>
    <t>Local Plan Part 1: Rushcliffe Core Strategy</t>
  </si>
  <si>
    <t>e0e3f95a-d104-4eda-9b86-553812060a8d</t>
  </si>
  <si>
    <t>https://www.rushcliffe.gov.uk/media/1rushcliffe/media/documents/pdf/planningandbuilding/planningpolicy/corestrategyexamination/9%20Local%20Plan%20Part%201%20Rushcliffe%20Core%20Strategy.pdf</t>
  </si>
  <si>
    <t>https://s3.eu-west-2.amazonaws.com/local-plans/plan-documents/e0e3f95a-d104-4eda-9b86-553812060a8d.pdf</t>
  </si>
  <si>
    <t>1465a95dafdba53d46c22aea7b25468e</t>
  </si>
  <si>
    <t>https://s3.eu-west-2.amazonaws.com/local-plans/images/e0e3f95a-d104-4eda-9b86-553812060a8d/91d9c3ea-6309-4feb-bf5e-e4b330b52288.jpg</t>
  </si>
  <si>
    <t>local-authority-eng:CHR</t>
  </si>
  <si>
    <t>Cherwell District Council</t>
  </si>
  <si>
    <t>65ea6e15-82eb-4537-9345-b964f0e883e1</t>
  </si>
  <si>
    <t>https://www.cherwell.gov.uk/download/downloads/id/8144/final-adopted-local-plan-2011-2031-incorporating-re-adopted-policy-bicester-13.pdf</t>
  </si>
  <si>
    <t>https://s3.eu-west-2.amazonaws.com/local-plans/plan-documents/65ea6e15-82eb-4537-9345-b964f0e883e1.pdf</t>
  </si>
  <si>
    <t>e8701b42d5666d985f18ef5d40502810</t>
  </si>
  <si>
    <t>https://s3.eu-west-2.amazonaws.com/local-plans/images/65ea6e15-82eb-4537-9345-b964f0e883e1/0e382395-21b3-442b-8505-d96c4a51ff10.jpg</t>
  </si>
  <si>
    <t>local-authority-eng:OXO</t>
  </si>
  <si>
    <t>Oxford City Council</t>
  </si>
  <si>
    <t>Oxford Local Plan 2036</t>
  </si>
  <si>
    <t>211c51b8-45eb-422a-b364-46acfed71b84</t>
  </si>
  <si>
    <t>https://www.oxford.gov.uk/downloads/download/1176/oxford_local_plan_2016-2036</t>
  </si>
  <si>
    <t>Document at https://www.oxford.gov.uk/downloads/download/1176/oxford_local_plan_2016-2036 might not be a pdf</t>
  </si>
  <si>
    <t xml:space="preserve">Stepped Trajectory: the housing requirement per annum reflects a stepped trajectory, as follows:
2016/17 to 2020/21: 475 dpa
2021/22 to 2035/36: 567 dpa.  
Unmet Need:
The Local Plans for the other Oxfordshire districts are delivering 14,300 dwellings to meet Oxfordâ€™s unmet need, as follows:
Cherwell Local Plan Partial Review: Oxfordâ€™s unmet
needs - 4,400 dwellings (Plan submitted March 2018; Examination Autumn 2018);
South Oxfordshire Local Plan 2033 - 4,950 dwellings (Plan yet to be submitted submitted March 2019);
Vale of White Horse Local Plan Part 2
2,200 dwellings (Examination July 2018);
West Oxfordshire Local Plan 2,750 dwellings (Adopted September 2018).
Total provision towards Oxfordâ€™s unmet needs by
2031 = 14,300 dwellings.
</t>
  </si>
  <si>
    <t>https://s3.eu-west-2.amazonaws.com/local-plans/images/211c51b8-45eb-422a-b364-46acfed71b84/c156c0ab-c780-4662-bddd-ea20eb7da461.jpg</t>
  </si>
  <si>
    <t>local-authority-eng:SOX</t>
  </si>
  <si>
    <t>South Oxfordshire District Council</t>
  </si>
  <si>
    <t>d9cd6156-7cb2-445d-9101-9111b8e2102c</t>
  </si>
  <si>
    <t>local-authority-eng:VAL</t>
  </si>
  <si>
    <t>Vale of White Horse District Council</t>
  </si>
  <si>
    <t>5c914e72-2d3c-4d5a-b85c-038d82b79e64</t>
  </si>
  <si>
    <t>Local Plan 2041</t>
  </si>
  <si>
    <t>a8b9e8d0-7306-4ada-b9d5-b22a0f5eb9d6</t>
  </si>
  <si>
    <t>local-authority-eng:WOX</t>
  </si>
  <si>
    <t>West Oxfordshire District Council</t>
  </si>
  <si>
    <t>West Oxfordshire Local Plan 2031</t>
  </si>
  <si>
    <t>43ff978e-dedf-42cd-bff2-5b746c62ec70</t>
  </si>
  <si>
    <t>https://www.westoxon.gov.uk/media/1936509/Local-Plan-BOOK-WEB.pdf</t>
  </si>
  <si>
    <t>https://s3.eu-west-2.amazonaws.com/local-plans/plan-documents/43ff978e-dedf-42cd-bff2-5b746c62ec70.pdf</t>
  </si>
  <si>
    <t>127cee75f4de679e15874759ed56eb0c</t>
  </si>
  <si>
    <t>404 Client Error: Not Found for url: https://www.westoxon.gov.uk/media/1936509/Local-Plan-BOOK-WEB.pdf</t>
  </si>
  <si>
    <t>https://s3.eu-west-2.amazonaws.com/local-plans/images/43ff978e-dedf-42cd-bff2-5b746c62ec70/86a907a8-6297-492b-9c60-1fc419ca4b49.jpg</t>
  </si>
  <si>
    <t>local-authority-eng:MEN</t>
  </si>
  <si>
    <t>Mendip District Council</t>
  </si>
  <si>
    <t>Mendip Local Plan Part One: Strategy and Policies</t>
  </si>
  <si>
    <t>a1fd6006-2964-43ed-8cf4-6191f59bb5b8</t>
  </si>
  <si>
    <t>https://www.mendip.gov.uk/media/9073/Adopted-Local-Plan-2014/pdf/Adopted_Local_Plan_2014_with_erratum_note.pdf?m=635687489961600000</t>
  </si>
  <si>
    <t>https://s3.eu-west-2.amazonaws.com/local-plans/plan-documents/a1fd6006-2964-43ed-8cf4-6191f59bb5b8.pdf</t>
  </si>
  <si>
    <t>https://s3.eu-west-2.amazonaws.com/local-plans/images/a1fd6006-2964-43ed-8cf4-6191f59bb5b8/bfd14eb3-fe0f-4288-9627-4406dbac134c.jpg</t>
  </si>
  <si>
    <t>local-authority-eng:SEG</t>
  </si>
  <si>
    <t>Sedgemoor District Council</t>
  </si>
  <si>
    <t>The Sedgemoor Local Plan 2011-2032</t>
  </si>
  <si>
    <t>ef664de8-93b8-43eb-875a-8b36e0595b3f</t>
  </si>
  <si>
    <t>https://www.sedgemoor.gov.uk/media/6202/Sedgemoor-Local-Plan-2011-2032-Adoption-Version/pdf/Local_Plan_2011-2032_-_Adoption_Version.pdf?m=636887820984770000</t>
  </si>
  <si>
    <t>https://s3.eu-west-2.amazonaws.com/local-plans/plan-documents/ef664de8-93b8-43eb-875a-8b36e0595b3f.pdf</t>
  </si>
  <si>
    <t>c150215daa34bc66dd31ebb8aae74cf8</t>
  </si>
  <si>
    <t>https://s3.eu-west-2.amazonaws.com/local-plans/images/ef664de8-93b8-43eb-875a-8b36e0595b3f/475f80f6-cd98-47b9-895c-d00fb26b89f3.jpg</t>
  </si>
  <si>
    <t>local-authority-eng:SSO</t>
  </si>
  <si>
    <t>South Somerset District Council</t>
  </si>
  <si>
    <t>South Somerset Local Plan</t>
  </si>
  <si>
    <t>71333f62-e138-42b7-8132-2b2a99687171</t>
  </si>
  <si>
    <t>https://www.southsomerset.gov.uk/media/1250/j-plan_pol-web-site-2018-1-local-plan-local-plan-2006-2028-south_somerset_local_plan_2006-2028_adoption_version_march_2015.pdf</t>
  </si>
  <si>
    <t>https://s3.eu-west-2.amazonaws.com/local-plans/plan-documents/71333f62-e138-42b7-8132-2b2a99687171.pdf</t>
  </si>
  <si>
    <t>e4711d45c83c54cabc7335e8207ef836</t>
  </si>
  <si>
    <t>https://s3.eu-west-2.amazonaws.com/local-plans/images/71333f62-e138-42b7-8132-2b2a99687171/05a4ef28-b22b-4eae-ac17-faeae570060d.jpg</t>
  </si>
  <si>
    <t>aeaeef62-7f36-4c86-bdb2-1bf0d1af1517</t>
  </si>
  <si>
    <t>http://modgov.southsomerset.gov.uk/documents/b7692/Local%20Plan%20Review%202016-2036%20Preferred%20Options%20for%20Consultation%2007th-Feb-2019%2009.30%20District%20Execut.pdf?T=9</t>
  </si>
  <si>
    <t>https://s3.eu-west-2.amazonaws.com/local-plans/plan-documents/aeaeef62-7f36-4c86-bdb2-1bf0d1af1517.pdf</t>
  </si>
  <si>
    <t>f93f9ddba64ac32269dabdffe3838fd8</t>
  </si>
  <si>
    <t>("Connection broken: ConnectionResetError(104, 'Connection reset by peer')", ConnectionResetError(104, 'Connection reset by peer'))</t>
  </si>
  <si>
    <t>https://s3.eu-west-2.amazonaws.com/local-plans/images/aeaeef62-7f36-4c86-bdb2-1bf0d1af1517/c814c8d0-73ba-44b9-8ab0-04f5326e01a5.jpg</t>
  </si>
  <si>
    <t>local-authority-eng:TAU</t>
  </si>
  <si>
    <t>Taunton Deane Borough Council</t>
  </si>
  <si>
    <t>E07000190</t>
  </si>
  <si>
    <t>Taunton Dene Adopted Core Strategy</t>
  </si>
  <si>
    <t>5627dd48-f80d-43ca-9357-49390aee0e02</t>
  </si>
  <si>
    <t>https://www.somersetwestandtaunton.gov.uk/media/1061/adopted-core-strategy-2011-2028.pdf</t>
  </si>
  <si>
    <t>https://s3.eu-west-2.amazonaws.com/local-plans/plan-documents/5627dd48-f80d-43ca-9357-49390aee0e02.pdf</t>
  </si>
  <si>
    <t>978ac00777a4e6b7e8291913c50f33f8</t>
  </si>
  <si>
    <t>https://s3.eu-west-2.amazonaws.com/local-plans/images/5627dd48-f80d-43ca-9357-49390aee0e02/2d104e0f-4f60-4326-94be-ca1d7f7833c2.jpg</t>
  </si>
  <si>
    <t>local-authority-eng:WSO</t>
  </si>
  <si>
    <t>West Somerset District Council</t>
  </si>
  <si>
    <t>E07000191</t>
  </si>
  <si>
    <t>West Somerset Local Plan to 2032</t>
  </si>
  <si>
    <t>4cb09287-7a8f-4aa6-9076-3c7466ad26ec</t>
  </si>
  <si>
    <t>https://www.somersetwestandtaunton.gov.uk/media/1074/adopted-west-somerset-council-local-plan-to-2032-document.pdf</t>
  </si>
  <si>
    <t>https://s3.eu-west-2.amazonaws.com/local-plans/plan-documents/4cb09287-7a8f-4aa6-9076-3c7466ad26ec.pdf</t>
  </si>
  <si>
    <t>c22badf64e42d0aaa20d5bd73dfddb93</t>
  </si>
  <si>
    <t>https://s3.eu-west-2.amazonaws.com/local-plans/images/4cb09287-7a8f-4aa6-9076-3c7466ad26ec/764eefbb-8e6f-4fbb-bab6-9f87f7040ac5.jpg</t>
  </si>
  <si>
    <t>local-authority-eng:CAN</t>
  </si>
  <si>
    <t>Cannock Chase District Council</t>
  </si>
  <si>
    <t>Cannock Chase Local Plan (Part 1) 2014</t>
  </si>
  <si>
    <t>974ae5d1-c3bb-428c-8dc5-f830bc1663a7</t>
  </si>
  <si>
    <t>http://www.cannockchasedc.gov.uk/sites/default/files/local_plan_part_1_09.04.14_low_res.pdf</t>
  </si>
  <si>
    <t>https://s3.eu-west-2.amazonaws.com/local-plans/plan-documents/974ae5d1-c3bb-428c-8dc5-f830bc1663a7.pdf</t>
  </si>
  <si>
    <t>c858b6f1e39d833641c47d067abc246c</t>
  </si>
  <si>
    <t>https://s3.eu-west-2.amazonaws.com/local-plans/images/974ae5d1-c3bb-428c-8dc5-f830bc1663a7/eae9e426-94dc-4482-a2fa-35e3890c63fa.jpg</t>
  </si>
  <si>
    <t>local-authority-eng:EST</t>
  </si>
  <si>
    <t>East Staffordshire Borough Council</t>
  </si>
  <si>
    <t>Local Plan</t>
  </si>
  <si>
    <t>a8cffe27-82e3-494d-ad90-550379c07894</t>
  </si>
  <si>
    <t>http://www.eaststaffsbc.gov.uk/sites/default/files/docs/planning/planningpolicy/localplan2012-2031/Local-Plan-2012-2031-FINAL.pdf</t>
  </si>
  <si>
    <t>https://s3.eu-west-2.amazonaws.com/local-plans/plan-documents/a8cffe27-82e3-494d-ad90-550379c07894.pdf</t>
  </si>
  <si>
    <t>7abafa4346be6d431bb5ac3159cdc37e</t>
  </si>
  <si>
    <t>HTTPConnectionPool(host='www.eaststaffsbc.gov.uk', port=80): Max retries exceeded with url: /sites/default/files/docs/planning/planningpolicy/localplan2012-2031/Local-Plan-2012-2031-FINAL.pdf (Caused by NewConnectionError('&lt;urllib3.connection.HTTPConnection object at 0x7fb59ed08e48&gt;: Failed to establish a new connection: [Errno 110] Connection timed out'))</t>
  </si>
  <si>
    <t>https://s3.eu-west-2.amazonaws.com/local-plans/images/5c6cbe3c-0500-4566-8603-d50dfde510cd.jpg</t>
  </si>
  <si>
    <t>local-authority-eng:LIF</t>
  </si>
  <si>
    <t>Lichfield District Council</t>
  </si>
  <si>
    <t>Lichfield District Local Plan Strategy 2015</t>
  </si>
  <si>
    <t>6bcaab31-cd8c-47a3-9047-7f4cd728b35f</t>
  </si>
  <si>
    <t>https://www.lichfielddc.gov.uk/Council/Planning/The-local-plan-and-planning-policy/Resource-centre/Local-Plan-documents/Downloads/Local-Plan-Strategy/Lichfield-District-Local-Plan-Strategy-2008-2029.pdf</t>
  </si>
  <si>
    <t>404 Client Error: Not Found for url: https://www.lichfielddc.gov.uk/Council/Planning/The-local-plan-and-planning-policy/Resource-centre/Local-Plan-documents/Downloads/Local-Plan-Strategy/Lichfield-District-Local-Plan-Strategy-2008-2029.pdf</t>
  </si>
  <si>
    <t>https://s3.eu-west-2.amazonaws.com/local-plans/images/6bcaab31-cd8c-47a3-9047-7f4cd728b35f/c69ab288-c6bc-454b-bae4-61303e3286ad.jpg</t>
  </si>
  <si>
    <t>04441017-1b67-4a2b-b2bc-fb4925a880cd</t>
  </si>
  <si>
    <t>https://s3.eu-west-2.amazonaws.com/local-plans/plan-documents/04441017-1b67-4a2b-b2bc-fb4925a880cd.pdf</t>
  </si>
  <si>
    <t>local-authority-eng:SST</t>
  </si>
  <si>
    <t>South Staffordshire Council</t>
  </si>
  <si>
    <t>South Staffordshire Local Plan</t>
  </si>
  <si>
    <t>24a89ae4-2592-4c6e-bfdc-f844a8f5b9a2</t>
  </si>
  <si>
    <t>https://www.sstaffs.gov.uk/doc/179760/name/Core%20Strategy%202012%20Corporate%20Version%20.pdf</t>
  </si>
  <si>
    <t>Document at https://www.sstaffs.gov.uk/doc/179760/name/Core%20Strategy%202012%20Corporate%20Version%20.pdf might not be a pdf</t>
  </si>
  <si>
    <t>https://s3.eu-west-2.amazonaws.com/local-plans/images/195d8398-58e0-4358-8cae-2cf53cf7f33b.jpg</t>
  </si>
  <si>
    <t>cd985f3b-7192-4f92-8dcd-c26fa7747a82</t>
  </si>
  <si>
    <t>https://www.sstaffs.gov.uk/doc/179878/name/LPR%20Issues%20and%20Options%20FINAL%20October%202018.pdf/</t>
  </si>
  <si>
    <t>Document at https://www.sstaffs.gov.uk/doc/179878/name/LPR%20Issues%20and%20Options%20FINAL%20October%202018.pdf/ might not be a pdf</t>
  </si>
  <si>
    <t>https://s3.eu-west-2.amazonaws.com/local-plans/images/cd985f3b-7192-4f92-8dcd-c26fa7747a82/d68d83d0-dd4a-4ece-8295-b87588867784.jpg</t>
  </si>
  <si>
    <t>local-authority-eng:STA</t>
  </si>
  <si>
    <t>Stafford Borough Council</t>
  </si>
  <si>
    <t>The Plan for Stafford Borough</t>
  </si>
  <si>
    <t>9d615ee9-76df-4968-9dd2-c58eae902804</t>
  </si>
  <si>
    <t>https://www.staffordbc.gov.uk/sites/default/files/cme/DocMan1/Planning%20Policy/Plan%20for%20Stafford%20Borough/PFSB-Adoption.pdf</t>
  </si>
  <si>
    <t>https://s3.eu-west-2.amazonaws.com/local-plans/plan-documents/9d615ee9-76df-4968-9dd2-c58eae902804.pdf</t>
  </si>
  <si>
    <t>5b1a128696bc71706ccb0a882219c66c</t>
  </si>
  <si>
    <t>https://s3.eu-west-2.amazonaws.com/local-plans/images/9d615ee9-76df-4968-9dd2-c58eae902804/2fd1bdd3-11ed-4613-a74b-ffdf419cb884.jpg</t>
  </si>
  <si>
    <t>New Stafford Local Plan 2020-2040</t>
  </si>
  <si>
    <t>cb5c7478-36a7-4638-aa3b-9a61661e2f3a</t>
  </si>
  <si>
    <t>https://www.staffordbc.gov.uk/sites/default/files/cme/DocMan1/Planning%20Policy/New%20Stafford%20Borough%20Local%20Plan%202020-2040/Issues%20and%20Options%20report%20non-technical%20Summary%20FINAL_0.pdf</t>
  </si>
  <si>
    <t>https://s3.eu-west-2.amazonaws.com/local-plans/plan-documents/cb5c7478-36a7-4638-aa3b-9a61661e2f3a.pdf</t>
  </si>
  <si>
    <t>0fd95db5b8b35d9e6ea09064429d92aa</t>
  </si>
  <si>
    <t>Issues and Options document (February and March 2020) provided a number of housing requirement scenarios.  The figure included here is Option A "Housing need calculated
using the Governmentâ€™s standard method".  Other options provide figures of 8467; 10798; 12942; and 13668 for the plan period.</t>
  </si>
  <si>
    <t>https://s3.eu-west-2.amazonaws.com/local-plans/images/cb5c7478-36a7-4638-aa3b-9a61661e2f3a/488dc88e-bf8d-475c-ade0-20e09c32fdab.jpg</t>
  </si>
  <si>
    <t>local-authority-eng:STF</t>
  </si>
  <si>
    <t>Staffordshire Moorlands District Council</t>
  </si>
  <si>
    <t>Staffordshire Moorlands Local Plan</t>
  </si>
  <si>
    <t>e16df853-5eff-4b7a-b1cf-4390ef7ea592</t>
  </si>
  <si>
    <t>https://www.staffsmoorlands.gov.uk/media/6155/Adopted-Local-Plan/pdf/Adopted_Local_Plan.pdf?m=1601645140880</t>
  </si>
  <si>
    <t>HTTPSConnectionPool(host='www.staffsmoorlands.gov.uk', port=443): Max retries exceeded with url: /media/6155/Adopted-Local-Plan/pdf/Adopted_Local_Plan.pdf?m=1601645140880 (Caused by SSLError(SSLCertVerificationError(1, '[SSL: CERTIFICATE_VERIFY_FAILED] certificate verify failed: unable to get local issuer certificate (_ssl.c:1056)')))</t>
  </si>
  <si>
    <t>https://s3.eu-west-2.amazonaws.com/local-plans/images/e16df853-5eff-4b7a-b1cf-4390ef7ea592/07e213b7-2506-4635-98a5-515232da4468.jpg</t>
  </si>
  <si>
    <t>local-authority-eng:TAW</t>
  </si>
  <si>
    <t>Tamworth Borough Council</t>
  </si>
  <si>
    <t xml:space="preserve">Tamworth Borough Council Local Plan 2006-2031 </t>
  </si>
  <si>
    <t>e3b7c403-fb3e-404f-8a2a-d78fd5091da5</t>
  </si>
  <si>
    <t>https://www.tamworth.gov.uk/sites/default/files/planning_docs/Local-Plan-2006-2031.pdf</t>
  </si>
  <si>
    <t>https://s3.eu-west-2.amazonaws.com/local-plans/plan-documents/e3b7c403-fb3e-404f-8a2a-d78fd5091da5.pdf</t>
  </si>
  <si>
    <t>b0db2b1b6b81f4a0aaf40e90a9c4be3c</t>
  </si>
  <si>
    <t>https://s3.eu-west-2.amazonaws.com/local-plans/images/e3a54918-9faf-4ac3-94da-fb46375880df.jpg</t>
  </si>
  <si>
    <t>local-authority-eng:BAB</t>
  </si>
  <si>
    <t>Babergh District Council</t>
  </si>
  <si>
    <t>Babergh Local Plan - Core Strategy &amp; Policies</t>
  </si>
  <si>
    <t>b49461a3-759c-4d01-92c1-aff99699e46c</t>
  </si>
  <si>
    <t>https://www.babergh.gov.uk/assets/Strategic-Planning/Babergh-Core-Strategy/CORE-STRATEGY-AND-POLICIES-FINAL-Feb-2014.pdf</t>
  </si>
  <si>
    <t>https://s3.eu-west-2.amazonaws.com/local-plans/plan-documents/b49461a3-759c-4d01-92c1-aff99699e46c.pdf</t>
  </si>
  <si>
    <t>be67a44ced2aaf6c99d1e514fc93f436</t>
  </si>
  <si>
    <t>These dwellings are planned as follows: 1,100 between
2011 - 2016; and 4,875 between 2017-2031.</t>
  </si>
  <si>
    <t>https://s3.eu-west-2.amazonaws.com/local-plans/images/82557f93-a28b-4621-895b-16feabd346ef.jpg</t>
  </si>
  <si>
    <t>local-authority-eng:FOR</t>
  </si>
  <si>
    <t>Forest Heath District Council</t>
  </si>
  <si>
    <t>E07000201</t>
  </si>
  <si>
    <t>Core Strategy Single Issue Review</t>
  </si>
  <si>
    <t>6e207c51-d629-4ace-be0a-39dc0573c18c</t>
  </si>
  <si>
    <t>https://www.westsuffolk.gov.uk/planning/Planning_Policies/local_plans/upload/Final-SIR-September-2019.pdf</t>
  </si>
  <si>
    <t>https://s3.eu-west-2.amazonaws.com/local-plans/plan-documents/6e207c51-d629-4ace-be0a-39dc0573c18c.pdf</t>
  </si>
  <si>
    <t>82027384d6b47c527592cc264f63fed2</t>
  </si>
  <si>
    <t>https://s3.eu-west-2.amazonaws.com/local-plans/images/6e207c51-d629-4ace-be0a-39dc0573c18c/294c79cc-3d9e-4159-afc0-7d6ea12ddf17.jpg</t>
  </si>
  <si>
    <t>755f2847-3f10-4ae7-8e09-4a87e6e15602</t>
  </si>
  <si>
    <t>https://www.westsuffolk.gov.uk/planning/Planning_Policies/local_plans/upload/FH-CoreStrategyDevelopmentPlanDocument20012026withhousingprojectedto2031AdoptedMay2010.pdf</t>
  </si>
  <si>
    <t>https://s3.eu-west-2.amazonaws.com/local-plans/plan-documents/755f2847-3f10-4ae7-8e09-4a87e6e15602.pdf</t>
  </si>
  <si>
    <t>cd54fc22bbf411245cabeb633aca1dac</t>
  </si>
  <si>
    <t>https://s3.eu-west-2.amazonaws.com/local-plans/images/755f2847-3f10-4ae7-8e09-4a87e6e15602/5e684314-4324-4ea2-b3d7-de3e0283be7d.jpg</t>
  </si>
  <si>
    <t>local-authority-eng:IPS</t>
  </si>
  <si>
    <t>Ipswich Borough Council</t>
  </si>
  <si>
    <t>Core Strategy &amp; Policies</t>
  </si>
  <si>
    <t>2d1a7516-39b2-45b6-9017-1eb06cef3a05</t>
  </si>
  <si>
    <t>https://www.ipswich.gov.uk/sites/default/files/adopted_core_strategy_and_policies_dpd_review_1_march.pdf</t>
  </si>
  <si>
    <t>https://s3.eu-west-2.amazonaws.com/local-plans/plan-documents/2d1a7516-39b2-45b6-9017-1eb06cef3a05.pdf</t>
  </si>
  <si>
    <t>750743045b3ca2fede1fd633e3dd78ae</t>
  </si>
  <si>
    <t>HTTPSConnectionPool(host='www.ipswich.gov.uk', port=443): Max retries exceeded with url: /sites/default/files/adopted_core_strategy_and_policies_dpd_review_1_march.pdf (Caused by NewConnectionError('&lt;urllib3.connection.VerifiedHTTPSConnection object at 0x7f8244ca1d30&gt;: Failed to establish a new connection: [Errno 111] Connection refused'))</t>
  </si>
  <si>
    <t>https://s3.eu-west-2.amazonaws.com/local-plans/images/2d1a7516-39b2-45b6-9017-1eb06cef3a05/8f81680a-7cec-4e8d-94ed-5764115ef481.jpg</t>
  </si>
  <si>
    <t>Core Strategy and Policies DPD Review</t>
  </si>
  <si>
    <t>891b5b6d-9701-415b-a1d1-ddea27a096fa</t>
  </si>
  <si>
    <t>https://www.ipswich.gov.uk/sites/default/files/ipswich_lp_reg_19_cs_clean.pdf</t>
  </si>
  <si>
    <t>https://s3.eu-west-2.amazonaws.com/local-plans/plan-documents/891b5b6d-9701-415b-a1d1-ddea27a096fa.pdf</t>
  </si>
  <si>
    <t>b9b42643cf63adddf1be8fff3b654cd1</t>
  </si>
  <si>
    <t>404 Client Error: Not Found for url: https://www.ipswich.gov.uk/sites/default/files/ipswich_lp_reg_19_cs_clean.pdf</t>
  </si>
  <si>
    <t>https://s3.eu-west-2.amazonaws.com/local-plans/images/891b5b6d-9701-415b-a1d1-ddea27a096fa/a035c854-3292-4edc-bc44-aec0aa63c326.jpg</t>
  </si>
  <si>
    <t>local-authority-eng:MSU</t>
  </si>
  <si>
    <t>Mid Suffolk District Council</t>
  </si>
  <si>
    <t>Core Strategy Focussed Review</t>
  </si>
  <si>
    <t>e960591a-c774-4e2d-af8c-162e06689991</t>
  </si>
  <si>
    <t>https://www.midsuffolk.gov.uk/assets/Strategic-Planning/Mid-Suffolk-Core-Strategy/CSFR-adopted-December-2012.pdf</t>
  </si>
  <si>
    <t>https://s3.eu-west-2.amazonaws.com/local-plans/plan-documents/e960591a-c774-4e2d-af8c-162e06689991.pdf</t>
  </si>
  <si>
    <t>6f46c6997f9f57e55db97004dc144ed2</t>
  </si>
  <si>
    <t>https://s3.eu-west-2.amazonaws.com/local-plans/images/e960591a-c774-4e2d-af8c-162e06689991/789c2d92-08f9-439b-8bb9-f490ef5afd15.jpg</t>
  </si>
  <si>
    <t>local-authority-eng:SED</t>
  </si>
  <si>
    <t>St Edmundsbury Borough Council</t>
  </si>
  <si>
    <t>E07000204</t>
  </si>
  <si>
    <t>St Edmendsbury Core Strategy</t>
  </si>
  <si>
    <t>5707f9cd-ba5a-4499-8a24-4e331173dfc7</t>
  </si>
  <si>
    <t>https://www.westsuffolk.gov.uk/planning/Planning_Policies/local_plans/upload/Core-Strategy-December-2010.pdf</t>
  </si>
  <si>
    <t>https://s3.eu-west-2.amazonaws.com/local-plans/plan-documents/5707f9cd-ba5a-4499-8a24-4e331173dfc7.pdf</t>
  </si>
  <si>
    <t>9caf021603ca2c4bb6223a820f38be50</t>
  </si>
  <si>
    <t>https://s3.eu-west-2.amazonaws.com/local-plans/images/5707f9cd-ba5a-4499-8a24-4e331173dfc7/40398a81-82ac-4330-ae61-b2cf541843a9.jpg</t>
  </si>
  <si>
    <t>local-authority-eng:SUF</t>
  </si>
  <si>
    <t>Suffolk Coastal District Council</t>
  </si>
  <si>
    <t>E07000205</t>
  </si>
  <si>
    <t>Suffolk Coastal Local Plan</t>
  </si>
  <si>
    <t>f7455507-72b1-4513-af01-3ae610717999</t>
  </si>
  <si>
    <t>https://www.eastsuffolk.gov.uk/assets/Planning/Planning-Policy-and-Local-Plans/Suffolk-Coastal-Local-Plan/Adopted-Suffolk-Coastal-Local-Plan/East-Suffolk-Council-Suffolk-Coastal-Local-Plan.pdf</t>
  </si>
  <si>
    <t>https://s3.eu-west-2.amazonaws.com/local-plans/plan-documents/f7455507-72b1-4513-af01-3ae610717999.pdf</t>
  </si>
  <si>
    <t>49d107359a88dfb670fbac87baff4bfe</t>
  </si>
  <si>
    <t>https://s3.eu-west-2.amazonaws.com/local-plans/images/f7455507-72b1-4513-af01-3ae610717999/7a2966e5-086e-4a1e-81fa-5805389039bc.jpg</t>
  </si>
  <si>
    <t>local-authority-eng:WAV</t>
  </si>
  <si>
    <t>Waveney District Council</t>
  </si>
  <si>
    <t>E07000206</t>
  </si>
  <si>
    <t>Waveney Local Plan</t>
  </si>
  <si>
    <t>5bfa79f8-b2e9-464e-b362-0b79272febff</t>
  </si>
  <si>
    <t>http://consult.waveney.gov.uk/gf2.ti/f/911330/35229029.1/PDF/-/Waveney_Local_Plan__Final_Draft.pdf</t>
  </si>
  <si>
    <t>Document at http://consult.waveney.gov.uk/gf2.ti/f/911330/35229029.1/PDF/-/Waveney_Local_Plan__Final_Draft.pdf might not be a pdf</t>
  </si>
  <si>
    <t>https://s3.eu-west-2.amazonaws.com/local-plans/images/5bfa79f8-b2e9-464e-b362-0b79272febff/909f9843-6ff8-4561-afc6-487a77803d96.jpg</t>
  </si>
  <si>
    <t>local-authority-eng:ELM</t>
  </si>
  <si>
    <t>Elmbridge Borough Council</t>
  </si>
  <si>
    <t>Elmbridge Core Strategy</t>
  </si>
  <si>
    <t>94ec63f6-5081-4e42-a23e-433f80d6b918</t>
  </si>
  <si>
    <t>https://www.elmbridge.gov.uk/EasySiteWeb/GatewayLink.aspx?alId=736</t>
  </si>
  <si>
    <t>https://s3.eu-west-2.amazonaws.com/local-plans/plan-documents/94ec63f6-5081-4e42-a23e-433f80d6b918.pdf</t>
  </si>
  <si>
    <t>da07f05d3c152a4a6742c98ceca510ab</t>
  </si>
  <si>
    <t>https://s3.eu-west-2.amazonaws.com/local-plans/images/94ec63f6-5081-4e42-a23e-433f80d6b918/515f480c-1aec-472b-b4fe-184a09ea2368.jpg</t>
  </si>
  <si>
    <t>Elmbridge New Local Plan</t>
  </si>
  <si>
    <t>45be6968-284f-4ef9-88eb-1f0a03a49c51</t>
  </si>
  <si>
    <t>local-authority-eng:EPS</t>
  </si>
  <si>
    <t>Epsom and Ewell Borough Council</t>
  </si>
  <si>
    <t>Core Strategy 2007</t>
  </si>
  <si>
    <t>d06d0c20-25a1-4c64-a419-37ee6df26663</t>
  </si>
  <si>
    <t>https://www.epsom-ewell.gov.uk/sites/default/files/documents/residents/planning/planning-policy/Core%20Strategy%202007.pdf</t>
  </si>
  <si>
    <t>https://s3.eu-west-2.amazonaws.com/local-plans/plan-documents/d06d0c20-25a1-4c64-a419-37ee6df26663.pdf</t>
  </si>
  <si>
    <t>bafc544aa54dc1c0166737b16b402061</t>
  </si>
  <si>
    <t>https://s3.eu-west-2.amazonaws.com/local-plans/images/d06d0c20-25a1-4c64-a419-37ee6df26663/05564a63-a8fc-47fa-9c2f-d164e4ea0be4.jpg</t>
  </si>
  <si>
    <t>59f36be6-65d7-44d4-8013-1ddefbd6baa0</t>
  </si>
  <si>
    <t>https://www.epsom-ewell.gov.uk/sites/default/files/documents/residents/planning/planning-policy/Issues%20and%20Options%20Final%2015%20Sept%202017.pdf</t>
  </si>
  <si>
    <t>https://s3.eu-west-2.amazonaws.com/local-plans/plan-documents/59f36be6-65d7-44d4-8013-1ddefbd6baa0.pdf</t>
  </si>
  <si>
    <t>2428f96f79c4ccf346dbc0e694f409ba</t>
  </si>
  <si>
    <t>https://s3.eu-west-2.amazonaws.com/local-plans/images/59f36be6-65d7-44d4-8013-1ddefbd6baa0/066713d1-1ca3-4fd7-96fb-60a55097d5d4.jpg</t>
  </si>
  <si>
    <t>local-authority-eng:GRT</t>
  </si>
  <si>
    <t>Guildford Borough Council</t>
  </si>
  <si>
    <t>44dcb65f-6e33-4393-a613-138d131f028a</t>
  </si>
  <si>
    <t>https://www.guildford.gov.uk/newlocalplan/media/29743/Appendix-Schedule-of-main-modifications/pdf/Schedule_of_Main_Modifications.pdf</t>
  </si>
  <si>
    <t>https://s3.eu-west-2.amazonaws.com/local-plans/plan-documents/44dcb65f-6e33-4393-a613-138d131f028a.pdf</t>
  </si>
  <si>
    <t>3fc9de77d69eab27b10f4ac98e3bd68c</t>
  </si>
  <si>
    <t>https://s3.eu-west-2.amazonaws.com/local-plans/images/44dcb65f-6e33-4393-a613-138d131f028a/f3e27a54-6e26-4a43-8d21-58836cdce30e.jpg</t>
  </si>
  <si>
    <t>local-authority-eng:MOL</t>
  </si>
  <si>
    <t>Mole Valley District Council</t>
  </si>
  <si>
    <t>Mole Valley Core Strategy</t>
  </si>
  <si>
    <t>2c041667-e350-44c5-83ec-78ea5e6f3b2d</t>
  </si>
  <si>
    <t>http://www.planvu.co.uk/mvdc/contents_written_cs.htm</t>
  </si>
  <si>
    <t>https://s3.eu-west-2.amazonaws.com/local-plans/images/2c041667-e350-44c5-83ec-78ea5e6f3b2d/b789218c-1a70-4a71-a915-bfcc63001f34.jpg</t>
  </si>
  <si>
    <t>af69967a-3ec2-467a-91c7-b1ecdf098fea</t>
  </si>
  <si>
    <t>local-authority-eng:REI</t>
  </si>
  <si>
    <t>Reigate and Banstead Borough Council</t>
  </si>
  <si>
    <t>Reigate and Banstead Local Plan: Core Strategy</t>
  </si>
  <si>
    <t>51ddab07-f679-41d6-a419-32f7bd25f277</t>
  </si>
  <si>
    <t>http://www.reigate-banstead.gov.uk/download/downloads/id/3073/adopted_core_strategy_july_2014.pdf</t>
  </si>
  <si>
    <t>https://s3.eu-west-2.amazonaws.com/local-plans/plan-documents/51ddab07-f679-41d6-a419-32f7bd25f277.pdf</t>
  </si>
  <si>
    <t>706b4f087ef6fcf30e2255524f73b571</t>
  </si>
  <si>
    <t>https://s3.eu-west-2.amazonaws.com/local-plans/images/51ddab07-f679-41d6-a419-32f7bd25f277/47177002-0beb-4370-88f3-78f20ada68cb.jpg</t>
  </si>
  <si>
    <t>local-authority-eng:RUN</t>
  </si>
  <si>
    <t>Runnymede Borough Council</t>
  </si>
  <si>
    <t>Runnymede 2030: Local Plan</t>
  </si>
  <si>
    <t>290c3718-c7ff-47bc-9bba-f577fde9af9c</t>
  </si>
  <si>
    <t>https://www.runnymede.gov.uk/media/22900/FINAL-Runnymede-2030-Local-Plan-no-covers-v-5-2020-06-05/pdf/FINAL_Runnymede_2030_Local_Plan_no_covers_v.5_2020_06_05.pdf?m=637305827023230000</t>
  </si>
  <si>
    <t>https://s3.eu-west-2.amazonaws.com/local-plans/plan-documents/290c3718-c7ff-47bc-9bba-f577fde9af9c.pdf</t>
  </si>
  <si>
    <t>77863fa4c5600e22dd83d713c54f5439</t>
  </si>
  <si>
    <t>404 Client Error: Not Found for url: https://www.runnymede.gov.uk/media/22900/FINAL-Runnymede-2030-Local-Plan-no-covers-v-5-2020-06-05/pdf/FINAL_Runnymede_2030_Local_Plan_no_covers_v.5_2020_06_05.pdf?m=637305827023230000</t>
  </si>
  <si>
    <t>https://s3.eu-west-2.amazonaws.com/local-plans/images/290c3718-c7ff-47bc-9bba-f577fde9af9c/c917989e-3aed-4715-9b6b-cdf434b587d9.jpg</t>
  </si>
  <si>
    <t>local-authority-eng:SPE</t>
  </si>
  <si>
    <t>Spelthorne Borough Council</t>
  </si>
  <si>
    <t>Core Strategy and Policies DPD</t>
  </si>
  <si>
    <t>6299f130-8216-43d3-8858-89fb9dad5652</t>
  </si>
  <si>
    <t>https://www.spelthorne.gov.uk/media/1436/Core-Strategy-and-Policies-Development-Plan-Document/pdf/core_strategy_and_policies.pdf?m=634775453393900000</t>
  </si>
  <si>
    <t>https://s3.eu-west-2.amazonaws.com/local-plans/plan-documents/6299f130-8216-43d3-8858-89fb9dad5652.pdf</t>
  </si>
  <si>
    <t>78cb97103f874d3d1c0a2e62d02ee7e6</t>
  </si>
  <si>
    <t>https://s3.eu-west-2.amazonaws.com/local-plans/images/6299f130-8216-43d3-8858-89fb9dad5652/6db87cb7-b20f-4795-be3c-284af7919ef7.jpg</t>
  </si>
  <si>
    <t>Spelthorne Local Plan</t>
  </si>
  <si>
    <t>4eb91c4f-9be4-436a-af7d-3459099a482e</t>
  </si>
  <si>
    <t>https://s3.eu-west-2.amazonaws.com/local-plans/plan-documents/4eb91c4f-9be4-436a-af7d-3459099a482e.pdf</t>
  </si>
  <si>
    <t>local-authority-eng:SUR</t>
  </si>
  <si>
    <t>Surrey Heath Borough Council</t>
  </si>
  <si>
    <t>Core Strategy and DM Policies DPD</t>
  </si>
  <si>
    <t>d18d4eb8-3872-47bb-8fa0-e198affdcf1a</t>
  </si>
  <si>
    <t>https://www.surreyheath.gov.uk/sites/default/files/documents/residents/planning/planning-policy/CSFinalAdoptedCSDMPSmallFileSize.pdf</t>
  </si>
  <si>
    <t>https://s3.eu-west-2.amazonaws.com/local-plans/plan-documents/d18d4eb8-3872-47bb-8fa0-e198affdcf1a.pdf</t>
  </si>
  <si>
    <t>36e3b69b3bb04f841af832f4d93b97ff</t>
  </si>
  <si>
    <t>https://s3.eu-west-2.amazonaws.com/local-plans/images/d18d4eb8-3872-47bb-8fa0-e198affdcf1a/ef1fcd5f-5f8e-4617-ac44-65f5b32b6bdd.jpg</t>
  </si>
  <si>
    <t>Draft Local Plan (2016-2032)</t>
  </si>
  <si>
    <t>ff812dc1-c45d-4dce-a607-72ddeec6ffb4</t>
  </si>
  <si>
    <t>local-authority-eng:TAN</t>
  </si>
  <si>
    <t>Tandridge District Council</t>
  </si>
  <si>
    <t>Tandridge District Core Strategy</t>
  </si>
  <si>
    <t>6617edd1-f845-417c-9f11-cb50ba744750</t>
  </si>
  <si>
    <t>https://www.tandridge.gov.uk/Portals/0/Documents/Planning%20and%20building/Planning%20strategies%20and%20policies/Current%20and%20adopted%20planning%20policies/Core%20strategy/Core-Strategy.pdf</t>
  </si>
  <si>
    <t>https://s3.eu-west-2.amazonaws.com/local-plans/plan-documents/6617edd1-f845-417c-9f11-cb50ba744750.pdf</t>
  </si>
  <si>
    <t>c6e348139fc16be63c4997a625a256e5</t>
  </si>
  <si>
    <t>https://s3.eu-west-2.amazonaws.com/local-plans/images/6617edd1-f845-417c-9f11-cb50ba744750/27c2c314-f4e6-4add-8d3f-d355119e87d6.jpg</t>
  </si>
  <si>
    <t>Our Local Plan 2033</t>
  </si>
  <si>
    <t>716c27fa-4e56-4fbc-8a1d-f86fe99a2b7e</t>
  </si>
  <si>
    <t>https://www.tandridge.gov.uk/Portals/0/Documents/Planning%20and%20building/Planning%20strategies%20and%20policies/Local%20plan/Local%20plan%202033/Examination%20library/MAIN%20DOCUMENTS/MD1-Our-Local-Plan-2033-Submission-2019.pdf</t>
  </si>
  <si>
    <t>https://s3.eu-west-2.amazonaws.com/local-plans/plan-documents/716c27fa-4e56-4fbc-8a1d-f86fe99a2b7e.pdf</t>
  </si>
  <si>
    <t>https://s3.eu-west-2.amazonaws.com/local-plans/images/716c27fa-4e56-4fbc-8a1d-f86fe99a2b7e/a4c228af-6b89-469b-bb26-6d59660c19a5.jpg</t>
  </si>
  <si>
    <t>local-authority-eng:WAE</t>
  </si>
  <si>
    <t>Waverley Borough Council</t>
  </si>
  <si>
    <t>Local Plan Part 1: Strategic Policies and Sites</t>
  </si>
  <si>
    <t>5e0e69fb-6794-428b-82e1-aa81dadad2c6</t>
  </si>
  <si>
    <t>https://www.waverley.gov.uk/download/downloads/id/5974/waverley_local_plan_part_1_chapters_only.pdf</t>
  </si>
  <si>
    <t>https://s3.eu-west-2.amazonaws.com/local-plans/plan-documents/5e0e69fb-6794-428b-82e1-aa81dadad2c6.pdf</t>
  </si>
  <si>
    <t>35828e30c6606ed4f72633307acb0942</t>
  </si>
  <si>
    <t>404 Client Error: Not Found for url: https://www.waverley.gov.uk/download/downloads/id/5974/waverley_local_plan_part_1_chapters_only.pdf</t>
  </si>
  <si>
    <t>https://s3.eu-west-2.amazonaws.com/local-plans/images/5e0e69fb-6794-428b-82e1-aa81dadad2c6/cbee9f7b-d267-4126-adf1-80da5855d1d9.jpg</t>
  </si>
  <si>
    <t>local-authority-eng:WOI</t>
  </si>
  <si>
    <t>Woking Borough Council</t>
  </si>
  <si>
    <t>Woking Borough Core Strategy</t>
  </si>
  <si>
    <t>a7e6d646-54de-45b6-9085-adb7808b9f56</t>
  </si>
  <si>
    <t>https://www.woking2027.info/developmentplan/corestrategy/adoptedcorestrategy.pdf</t>
  </si>
  <si>
    <t>https://s3.eu-west-2.amazonaws.com/local-plans/plan-documents/a7e6d646-54de-45b6-9085-adb7808b9f56.pdf</t>
  </si>
  <si>
    <t>1b5b2231a01424dec21de07ced4b58ee</t>
  </si>
  <si>
    <t>https://s3.eu-west-2.amazonaws.com/local-plans/images/a7e6d646-54de-45b6-9085-adb7808b9f56/70874e59-04a9-41b1-a5ca-9f1723e2a0ca.jpg</t>
  </si>
  <si>
    <t>local-authority-eng:NWA</t>
  </si>
  <si>
    <t>North Warwickshire Borough Council</t>
  </si>
  <si>
    <t>North Warwickshire Local Plan</t>
  </si>
  <si>
    <t>0da2ac86-8bf0-4c4b-bc48-2da92f46727f</t>
  </si>
  <si>
    <t>https://s3.eu-west-2.amazonaws.com/local-plans/plan-documents/0da2ac86-8bf0-4c4b-bc48-2da92f46727f.pdf</t>
  </si>
  <si>
    <t>local-authority-eng:NUN</t>
  </si>
  <si>
    <t>Nuneaton and Bedworth Borough Council</t>
  </si>
  <si>
    <t>Borough Plan 2011-2031</t>
  </si>
  <si>
    <t>0079694f-85e8-4ba5-a0d9-7dfd870a6643</t>
  </si>
  <si>
    <t>https://nuneatonbedworthboroughcouncil.sharefile.eu/share/view/s56969f3fadf4b108#</t>
  </si>
  <si>
    <t>Document at https://nuneatonbedworthboroughcouncil.sharefile.eu/share/view/s56969f3fadf4b108# might not be a pdf</t>
  </si>
  <si>
    <t>https://s3.eu-west-2.amazonaws.com/local-plans/images/0079694f-85e8-4ba5-a0d9-7dfd870a6643/d07952fe-3510-484c-9aa7-503204cc568b.jpg</t>
  </si>
  <si>
    <t>local-authority-eng:RUG</t>
  </si>
  <si>
    <t>Rugby Borough Council</t>
  </si>
  <si>
    <t>Local Plan - 2011 - 2031</t>
  </si>
  <si>
    <t>4e8dd423-dcbe-44af-96db-3a7eb554c3b9</t>
  </si>
  <si>
    <t>https://www.rugby.gov.uk/download/downloads/id/2319/local_plan_2011-31.pdf</t>
  </si>
  <si>
    <t>https://s3.eu-west-2.amazonaws.com/local-plans/plan-documents/4e8dd423-dcbe-44af-96db-3a7eb554c3b9.pdf</t>
  </si>
  <si>
    <t>5eea52a3b10aca8fe3fcef3ddfc096ac</t>
  </si>
  <si>
    <t>https://s3.eu-west-2.amazonaws.com/local-plans/images/4e8dd423-dcbe-44af-96db-3a7eb554c3b9/359fdb27-9841-44c8-bf36-9977a93a553f.jpg</t>
  </si>
  <si>
    <t>local-authority-eng:STR</t>
  </si>
  <si>
    <t>Stratford-on-Avon District Council</t>
  </si>
  <si>
    <t>Stratford-on-Avon Core Strategy</t>
  </si>
  <si>
    <t>fa1fa437-3953-4667-899a-d3182c55ccfe</t>
  </si>
  <si>
    <t>https://www.stratford.gov.uk/templates/server/document-relay.cfm?doc=173518&amp;name=SDC%20CORE%20STRATEGY%202011%202031%20July%202016.pdf</t>
  </si>
  <si>
    <t>Document at https://www.stratford.gov.uk/templates/server/document-relay.cfm?doc=173518&amp;name=SDC%20CORE%20STRATEGY%202011%202031%20July%202016.pdf might not be a pdf</t>
  </si>
  <si>
    <t>https://s3.eu-west-2.amazonaws.com/local-plans/images/d59f2526-3eee-4870-b8b2-b5824f133cb2.jpg</t>
  </si>
  <si>
    <t>local-authority-eng:WAW</t>
  </si>
  <si>
    <t>Warwick District Council</t>
  </si>
  <si>
    <t>Warwick District Local Plan</t>
  </si>
  <si>
    <t>52708857-29ec-4fc7-8c06-0e0654cc5303</t>
  </si>
  <si>
    <t>https://www.warwickdc.gov.uk/download/downloads/id/4623/new_local_plan.pdf</t>
  </si>
  <si>
    <t>https://s3.eu-west-2.amazonaws.com/local-plans/plan-documents/52708857-29ec-4fc7-8c06-0e0654cc5303.pdf</t>
  </si>
  <si>
    <t>f707f669222e3eef4fd5a7bc28d6cac4</t>
  </si>
  <si>
    <t>https://s3.eu-west-2.amazonaws.com/local-plans/images/52708857-29ec-4fc7-8c06-0e0654cc5303/53ec4f7e-1f5b-4172-8b66-73f131db705d.jpg</t>
  </si>
  <si>
    <t>local-authority-eng:ADU</t>
  </si>
  <si>
    <t>Adur District Council</t>
  </si>
  <si>
    <t>Adur Local Plan 2017 (adopted) - Part 1</t>
  </si>
  <si>
    <t>252e87cd-a0d3-4a20-bcc4-b2e104996fa6</t>
  </si>
  <si>
    <t>https://www.adur-worthing.gov.uk/media/media,147015,en.pdf</t>
  </si>
  <si>
    <t>https://s3.eu-west-2.amazonaws.com/local-plans/plan-documents/252e87cd-a0d3-4a20-bcc4-b2e104996fa6.pdf</t>
  </si>
  <si>
    <t>0aeecd1db905a0191eccb0a180386875</t>
  </si>
  <si>
    <t>404 Client Error: Not Found for url: https://www.adur-worthing.gov.uk/media/media,147015,en.pdf</t>
  </si>
  <si>
    <t>https://s3.eu-west-2.amazonaws.com/local-plans/images/252e87cd-a0d3-4a20-bcc4-b2e104996fa6/072788b5-ab3a-40a6-b88c-30903d53e805.jpg</t>
  </si>
  <si>
    <t>local-authority-eng:ARU</t>
  </si>
  <si>
    <t>Arun District Council</t>
  </si>
  <si>
    <t>Arun Local Plan 2011-2031</t>
  </si>
  <si>
    <t>b6fe3079-37c0-48cb-affe-b5b077ab5d15</t>
  </si>
  <si>
    <t>https://www.arun.gov.uk/download.cfm?doc=docm93jijm4n12864.pdf&amp;ver=13004</t>
  </si>
  <si>
    <t>https://s3.eu-west-2.amazonaws.com/local-plans/plan-documents/b6fe3079-37c0-48cb-affe-b5b077ab5d15.pdf</t>
  </si>
  <si>
    <t>9ec234bf0ce4c36c485df63a6e594555</t>
  </si>
  <si>
    <t>https://s3.eu-west-2.amazonaws.com/local-plans/images/b6fe3079-37c0-48cb-affe-b5b077ab5d15/2e861453-cea0-4e9a-a8d3-97d0b50828f5.jpg</t>
  </si>
  <si>
    <t>local-authority-eng:CHI</t>
  </si>
  <si>
    <t>Chichester District Council</t>
  </si>
  <si>
    <t>Chichester Local Plan: Key Policies</t>
  </si>
  <si>
    <t>09bbd8b4-75f5-48aa-954c-ac63018d376f</t>
  </si>
  <si>
    <t>http://www.chichester.gov.uk/CHttpHandler.ashx?id=24759&amp;p=0</t>
  </si>
  <si>
    <t>https://s3.eu-west-2.amazonaws.com/local-plans/plan-documents/09bbd8b4-75f5-48aa-954c-ac63018d376f.pdf</t>
  </si>
  <si>
    <t>80fc507800275dd6951c5e2c62cefacc</t>
  </si>
  <si>
    <t>https://s3.eu-west-2.amazonaws.com/local-plans/images/09bbd8b4-75f5-48aa-954c-ac63018d376f/d34e159c-6f0f-418a-a319-cbb0ab292ba6.jpg</t>
  </si>
  <si>
    <t>Chichester Local Plan Review</t>
  </si>
  <si>
    <t>680f8d8f-4eb0-41b3-ab50-d1adc16ab896</t>
  </si>
  <si>
    <t>http://www.chichester.gov.uk/CHttpHandler.ashx?id=31058&amp;p=0</t>
  </si>
  <si>
    <t>https://s3.eu-west-2.amazonaws.com/local-plans/plan-documents/680f8d8f-4eb0-41b3-ab50-d1adc16ab896.pdf</t>
  </si>
  <si>
    <t>90cba5da04de0a2d4ddc276ef8a5054c</t>
  </si>
  <si>
    <t>https://s3.eu-west-2.amazonaws.com/local-plans/images/680f8d8f-4eb0-41b3-ab50-d1adc16ab896/f1e7f021-8b18-4e34-8532-e2b96193421b.jpg</t>
  </si>
  <si>
    <t>local-authority-eng:CRW</t>
  </si>
  <si>
    <t>Crawley Borough Council</t>
  </si>
  <si>
    <t>CS Review/Local Plan</t>
  </si>
  <si>
    <t>034cf060-0268-4964-9fd0-6c10e3c3f405</t>
  </si>
  <si>
    <t>http://www.crawley.gov.uk/pw/web/PUB271853</t>
  </si>
  <si>
    <t>404 Client Error: Not Found for url: https://crawley.gov.uk/pw/web/PUB271853</t>
  </si>
  <si>
    <t>https://s3.eu-west-2.amazonaws.com/local-plans/images/034cf060-0268-4964-9fd0-6c10e3c3f405/be13ae52-36c6-4caa-b4bc-fa34004d8a85.jpg</t>
  </si>
  <si>
    <t>1f051964-74ab-49fa-809f-b24f8de9008b</t>
  </si>
  <si>
    <t>https://s3.eu-west-2.amazonaws.com/local-plans/plan-documents/1f051964-74ab-49fa-809f-b24f8de9008b.pdf</t>
  </si>
  <si>
    <t>local-authority-eng:HOR</t>
  </si>
  <si>
    <t>Horsham District Council</t>
  </si>
  <si>
    <t>Development Framework</t>
  </si>
  <si>
    <t>f7ab3008-a04e-4536-b285-10566f24f705</t>
  </si>
  <si>
    <t>https://www.horsham.gov.uk/__data/assets/pdf_file/0006/28563/Horsham-District-Planning-Framework-2015.pdf</t>
  </si>
  <si>
    <t>https://s3.eu-west-2.amazonaws.com/local-plans/plan-documents/f7ab3008-a04e-4536-b285-10566f24f705.pdf</t>
  </si>
  <si>
    <t>eed862f188aad0f8569108ac57ac2843</t>
  </si>
  <si>
    <t>404 Client Error: Not Found for url: https://www.horsham.gov.uk/__data/assets/pdf_file/0016/60190/Horsham-District-Planning-Framework-2015.pdf</t>
  </si>
  <si>
    <t>https://s3.eu-west-2.amazonaws.com/local-plans/images/f7ab3008-a04e-4536-b285-10566f24f705/a343546c-027d-4c01-a612-8c89cc561432.jpg</t>
  </si>
  <si>
    <t>Horsham District Local Plan</t>
  </si>
  <si>
    <t>71b85b9c-b693-4aa7-afb3-fa6e3aeaba0d</t>
  </si>
  <si>
    <t>https://strategicplanning.horsham.gov.uk/consult.ti/LocalPlanReview/viewCompoundDoc?docid=10336756&amp;sessionid=&amp;voteid=&amp;partId=10338164</t>
  </si>
  <si>
    <t>Document at https://strategicplanning.horsham.gov.uk/consult.ti/LocalPlanReview/viewCompoundDoc?docid=10336756&amp;sessionid=&amp;voteid=&amp;partId=10338164 might not be a pdf</t>
  </si>
  <si>
    <t>Three options:-
A.  1,000 homes per year - this would meet the minimum local housing need as determined using the Governmentâ€™s standard formula. This would fully address the housing need in Horsham District, together with the 5% buffer that is required to provide flexibility, but would not provide any additional housing towards the unmet housing needs of Crawley and the Coastal Sussex area.
B  1,200 homes per year - this would meet the local housing need and 5% buffer.  It would also provide around 200 homes each year to help meet the unmet housing needs of Crawley in particular, and a small element in the Coastal Sussex area.
C.  1,400 homes per year - this would meet the local housing need and 5% buffer and provide around 400 homes each year to help meet the unmet housing needs of Crawley and the Coastal Sussex area.</t>
  </si>
  <si>
    <t>https://s3.eu-west-2.amazonaws.com/local-plans/images/71b85b9c-b693-4aa7-afb3-fa6e3aeaba0d/5ba7beb3-cea8-48c5-ba13-fd99054820df.jpg</t>
  </si>
  <si>
    <t>local-authority-eng:MSS</t>
  </si>
  <si>
    <t>Mid Sussex District Council</t>
  </si>
  <si>
    <t>Mid Sussex District Plan</t>
  </si>
  <si>
    <t>7c4e3e98-d750-446f-aaed-8ba26f1e2558</t>
  </si>
  <si>
    <t>https://www.midsussex.gov.uk/media/3406/mid-sussex-district-plan.pdf</t>
  </si>
  <si>
    <t>https://s3.eu-west-2.amazonaws.com/local-plans/plan-documents/7c4e3e98-d750-446f-aaed-8ba26f1e2558.pdf</t>
  </si>
  <si>
    <t>9c89c7481fde9429463e329ad4181331</t>
  </si>
  <si>
    <t>The Districtâ€™s OAN is 14,892 dwellings over the Plan period. Provision is also made of 1,498
dwellings to ensure unmet need is addressed in the Northern West Sussex Housing Market Area.
There is a minimum District housing requirement of 16,390 dwellings between 2014 â€“ 2031.</t>
  </si>
  <si>
    <t>https://s3.eu-west-2.amazonaws.com/local-plans/images/66edf8a0-9ef1-4c70-b43a-6bf1cbbb90d9.jpg</t>
  </si>
  <si>
    <t>local-authority-eng:WOT</t>
  </si>
  <si>
    <t>Worthing Borough Council</t>
  </si>
  <si>
    <t>88d1e45c-4d33-4a8c-bfd1-7845fd686e41</t>
  </si>
  <si>
    <t>https://www.adur-worthing.gov.uk/media/media,98859,en.pdf</t>
  </si>
  <si>
    <t>https://s3.eu-west-2.amazonaws.com/local-plans/plan-documents/88d1e45c-4d33-4a8c-bfd1-7845fd686e41.pdf</t>
  </si>
  <si>
    <t>16247dd35e3ba6c86d9f8b53a0bb6bd5</t>
  </si>
  <si>
    <t>404 Client Error: Not Found for url: https://www.adur-worthing.gov.uk/media/media,98859,en.pdf</t>
  </si>
  <si>
    <t xml:space="preserve">Annual average from 2006 - prior to plan adoption. </t>
  </si>
  <si>
    <t>https://s3.eu-west-2.amazonaws.com/local-plans/images/9d5bd4de-075c-4d32-ba1c-87755d7a9b7e.jpg</t>
  </si>
  <si>
    <t>Worthing Local Plan</t>
  </si>
  <si>
    <t>164953b0-78b8-44d6-a207-3fb2836c19e0</t>
  </si>
  <si>
    <t>https://s3.eu-west-2.amazonaws.com/local-plans/plan-documents/164953b0-78b8-44d6-a207-3fb2836c19e0.pdf</t>
  </si>
  <si>
    <t>local-authority-eng:BRM</t>
  </si>
  <si>
    <t>Bromsgrove District Council</t>
  </si>
  <si>
    <t>Bromsgrove District Plan</t>
  </si>
  <si>
    <t>602147fb-c091-4eee-b8a4-c19f09ca1509</t>
  </si>
  <si>
    <t>https://www.bromsgrove.gov.uk/media/2673698/Adopted-BDP-January-2017.pdf</t>
  </si>
  <si>
    <t>https://s3.eu-west-2.amazonaws.com/local-plans/plan-documents/602147fb-c091-4eee-b8a4-c19f09ca1509.pdf</t>
  </si>
  <si>
    <t>Includes unmet need of 3,400 from Redditch.</t>
  </si>
  <si>
    <t>https://s3.eu-west-2.amazonaws.com/local-plans/images/602147fb-c091-4eee-b8a4-c19f09ca1509/2a5145ef-11fe-48f0-a672-aebfa6263c82.jpg</t>
  </si>
  <si>
    <t>Bromsgrove District Plan Review</t>
  </si>
  <si>
    <t>f3ca442b-5c64-47f8-a728-d9208714fbde</t>
  </si>
  <si>
    <t>https://www.bromsgrove.gov.uk/media/3926027/Issues-and-Options-Consultation-Document-24-09-18.pdf</t>
  </si>
  <si>
    <t>https://s3.eu-west-2.amazonaws.com/local-plans/plan-documents/f3ca442b-5c64-47f8-a728-d9208714fbde.pdf</t>
  </si>
  <si>
    <t>0b7a7edc37c700d21ea05b5feb9b5c18</t>
  </si>
  <si>
    <t xml:space="preserve">From Issues and Options consultation document ( Sept 2018), depending on how long the Plan period is the authority will plan for about the following number of dwellings purely to meet Bromsgrove Districtâ€™s local housing needs:
1) 2018 - 2036 = about 6,500 dwellings
2) 2018 - 2041 = about 8,350 dwellings
3) 2018 - 2046 = about 10,200 dwellings
</t>
  </si>
  <si>
    <t>https://s3.eu-west-2.amazonaws.com/local-plans/images/f3ca442b-5c64-47f8-a728-d9208714fbde/3952e907-ac08-4ed6-adee-ced918200bef.jpg</t>
  </si>
  <si>
    <t>local-authority-eng:RED</t>
  </si>
  <si>
    <t>Redditch Borough Council</t>
  </si>
  <si>
    <t>b94bbcac-a9b9-48a2-a7c6-66430ecc983e</t>
  </si>
  <si>
    <t>https://www.redditchbc.gov.uk/media/2751956/Adopted-BORLP4-low-res-17-02-17.pdf</t>
  </si>
  <si>
    <t>https://s3.eu-west-2.amazonaws.com/local-plans/plan-documents/b94bbcac-a9b9-48a2-a7c6-66430ecc983e.pdf</t>
  </si>
  <si>
    <t>Reflecting 3,400 units of unmet need met in Bromsgrove.</t>
  </si>
  <si>
    <t>https://s3.eu-west-2.amazonaws.com/local-plans/images/b94bbcac-a9b9-48a2-a7c6-66430ecc983e/76eec16e-973f-48fe-836f-5c3aceabf1fc.jpg</t>
  </si>
  <si>
    <t>local-authority-eng:WYE</t>
  </si>
  <si>
    <t>Wyre Forest District Council</t>
  </si>
  <si>
    <t>Core Strategy (2006 - 2026)</t>
  </si>
  <si>
    <t>17e834e2-dc3d-4c40-9d5d-874fa2df71ca</t>
  </si>
  <si>
    <t>https://www.wyreforestdc.gov.uk/media/89829/Adopted-Core-Strategy-DPD.pdf</t>
  </si>
  <si>
    <t>https://s3.eu-west-2.amazonaws.com/local-plans/plan-documents/17e834e2-dc3d-4c40-9d5d-874fa2df71ca.pdf</t>
  </si>
  <si>
    <t>69782c4e85c8d3ddc8ebdf497b7f87bc</t>
  </si>
  <si>
    <t>https://s3.eu-west-2.amazonaws.com/local-plans/images/17e834e2-dc3d-4c40-9d5d-874fa2df71ca/21f21033-502a-4433-9669-bb169e8f8407.jpg</t>
  </si>
  <si>
    <t>Local plan Review</t>
  </si>
  <si>
    <t>a9608242-297d-4865-aa47-c0f44b51f93b</t>
  </si>
  <si>
    <t>https://www.wyreforestdc.gov.uk/media/5322485/SD01-Local-Plan-2016-2036-Submission-Document-January-2020-without-maps.pdf</t>
  </si>
  <si>
    <t>https://s3.eu-west-2.amazonaws.com/local-plans/plan-documents/a9608242-297d-4865-aa47-c0f44b51f93b.pdf</t>
  </si>
  <si>
    <t>c539b8ebb768a9c2a08d8988c37ee5cd</t>
  </si>
  <si>
    <t>https://s3.eu-west-2.amazonaws.com/local-plans/images/a9608242-297d-4865-aa47-c0f44b51f93b/46a7ac41-efb7-40d4-b3a5-5fee2194835f.jpg</t>
  </si>
  <si>
    <t>local-authority-eng:SAL</t>
  </si>
  <si>
    <t>St Albans City and District Council</t>
  </si>
  <si>
    <t>c9cd8aa4-cfe3-4e7f-b81b-bb6dae5b620b</t>
  </si>
  <si>
    <t>https://www.stalbans.gov.uk/Images/CD%20002%20St%20Albans%20City%20%26%20District%20Local%20Plan%20Publication%202020-2036_tcm15-67020.pdf</t>
  </si>
  <si>
    <t>https://s3.eu-west-2.amazonaws.com/local-plans/plan-documents/c9cd8aa4-cfe3-4e7f-b81b-bb6dae5b620b.pdf</t>
  </si>
  <si>
    <t>6946c333b7bd1be48d85628d2c7705e8</t>
  </si>
  <si>
    <t>404 Client Error: Not Found for url: https://www.stalbans.gov.uk/Images/CD%20002%20St%20Albans%20City%20%26%20District%20Local%20Plan%20Publication%202020-2036_tcm15-67020.pdf</t>
  </si>
  <si>
    <t>https://s3.eu-west-2.amazonaws.com/local-plans/images/c9cd8aa4-cfe3-4e7f-b81b-bb6dae5b620b/0f50a5ef-ed02-46a3-a693-1a67101668eb.jpg</t>
  </si>
  <si>
    <t>local-authority-eng:WEW</t>
  </si>
  <si>
    <t>Welwyn Hatfield Borough Council</t>
  </si>
  <si>
    <t>Welwyn Hatfield Local Plan</t>
  </si>
  <si>
    <t>9cd9b1e0-e19c-40ff-a367-b55da0a168ef</t>
  </si>
  <si>
    <t>https://welhat.gov.uk/media/14557/Draft-Local-Plan-Submission-Document-August-2016/pdf/Draft_Local_Plan_Submission_Document_August_2016_opt.pdf?m=636866922998770000</t>
  </si>
  <si>
    <t>https://s3.eu-west-2.amazonaws.com/local-plans/plan-documents/9cd9b1e0-e19c-40ff-a367-b55da0a168ef.pdf</t>
  </si>
  <si>
    <t>93864cee9462b4b9fa4fb28143244c82</t>
  </si>
  <si>
    <t>https://s3.eu-west-2.amazonaws.com/local-plans/images/9cd9b1e0-e19c-40ff-a367-b55da0a168ef/6583e545-1289-4945-80d6-b198328e7826.jpg</t>
  </si>
  <si>
    <t>local-authority-eng:EHE</t>
  </si>
  <si>
    <t>East Hertfordshire District Council</t>
  </si>
  <si>
    <t>East Herts District Plan 2018</t>
  </si>
  <si>
    <t>daf38f0d-dcf2-4d3c-abc6-7d71958088d5</t>
  </si>
  <si>
    <t>https://www.eastherts.gov.uk/media/33185/East-Herts-District-Plan-2018-web-view/PDF/District_Plan_Publish_web_view.pdf</t>
  </si>
  <si>
    <t>https://s3.eu-west-2.amazonaws.com/local-plans/plan-documents/daf38f0d-dcf2-4d3c-abc6-7d71958088d5.pdf</t>
  </si>
  <si>
    <t>746a6067b5fce3f439bf1793019e5c60</t>
  </si>
  <si>
    <t>https://s3.eu-west-2.amazonaws.com/local-plans/images/daf38f0d-dcf2-4d3c-abc6-7d71958088d5/c3f911e8-1279-47a5-b88f-2975d193920b.jpg</t>
  </si>
  <si>
    <t>local-authority-eng:STV</t>
  </si>
  <si>
    <t>Stevenage Borough Council</t>
  </si>
  <si>
    <t>Stevenage Borough Local Plan</t>
  </si>
  <si>
    <t>93a3b417-4093-4b7b-beff-14bd0a000eb5</t>
  </si>
  <si>
    <t>http://www.stevenage.gov.uk/content/15953/26379/161749/165485/1710-SBLP-Adoption-Version.pdf</t>
  </si>
  <si>
    <t>https://s3.eu-west-2.amazonaws.com/local-plans/plan-documents/93a3b417-4093-4b7b-beff-14bd0a000eb5.pdf</t>
  </si>
  <si>
    <t>c3e5134e02ab4ac966e9108f6719f556</t>
  </si>
  <si>
    <t>404 Client Error: Not Found for url: https://www.stevenage.gov.uk/content/15953/26379/161749/165485/1710-SBLP-Adoption-Version.pdf</t>
  </si>
  <si>
    <t>https://s3.eu-west-2.amazonaws.com/local-plans/images/93a3b417-4093-4b7b-beff-14bd0a000eb5/44094ddc-8827-437e-b4da-1ca2ffef94ff.jpg</t>
  </si>
  <si>
    <t>local-authority-eng:SWT</t>
  </si>
  <si>
    <t>Local Plan 2040</t>
  </si>
  <si>
    <t>47ec7f72-f011-45ee-a92b-06058b1a5e88</t>
  </si>
  <si>
    <t>https://www.somersetwestandtaunton.gov.uk/media/2167/issues-and-options.pdf</t>
  </si>
  <si>
    <t>https://s3.eu-west-2.amazonaws.com/local-plans/plan-documents/47ec7f72-f011-45ee-a92b-06058b1a5e88.pdf</t>
  </si>
  <si>
    <t>c067d67c1b01404ac231a9d8c9f68d3e</t>
  </si>
  <si>
    <t xml:space="preserve">Housing figures taken from Issues and Options Consultation document (Jan 2020).  Larger number used as this is the existing Local Plan requirement,  Note that at this early stage the figure is subject to change.  </t>
  </si>
  <si>
    <t>https://s3.eu-west-2.amazonaws.com/local-plans/images/47ec7f72-f011-45ee-a92b-06058b1a5e88/cb79b75d-c8a9-475c-828c-3d02c037363c.jpg</t>
  </si>
  <si>
    <t>local-authority-eng:BOL</t>
  </si>
  <si>
    <t>Bolton Metropolitan Borough Council</t>
  </si>
  <si>
    <t>Bolton Core Strategy</t>
  </si>
  <si>
    <t>03776d95-0e60-4c47-8d94-37cb160d2197</t>
  </si>
  <si>
    <t>https://www.bolton.gov.uk/downloads/file/666/core-strategy</t>
  </si>
  <si>
    <t>https://s3.eu-west-2.amazonaws.com/local-plans/plan-documents/03776d95-0e60-4c47-8d94-37cb160d2197.pdf</t>
  </si>
  <si>
    <t>8b333086b69dbf4516d5fa5e91c1bd1a</t>
  </si>
  <si>
    <t>https://s3.eu-west-2.amazonaws.com/local-plans/images/03776d95-0e60-4c47-8d94-37cb160d2197/7328fd1e-6d3f-4d2e-9ac8-a6823a4db963.jpg</t>
  </si>
  <si>
    <t>local-authority-eng:MAN</t>
  </si>
  <si>
    <t>Manchester's LDF: Core Strategy DPD</t>
  </si>
  <si>
    <t>58b14fc2-abb1-49dc-9052-d2833a799438</t>
  </si>
  <si>
    <t>http://www.manchester.gov.uk/download/downloads/id/18981/final_core_strategy.pdf</t>
  </si>
  <si>
    <t>https://s3.eu-west-2.amazonaws.com/local-plans/plan-documents/58b14fc2-abb1-49dc-9052-d2833a799438.pdf</t>
  </si>
  <si>
    <t>e7bad95ece04d821fb61eec832de479b</t>
  </si>
  <si>
    <t>https://s3.eu-west-2.amazonaws.com/local-plans/images/58b14fc2-abb1-49dc-9052-d2833a799438/bb2d129a-082e-46a6-b784-403a0af9856c.jpg</t>
  </si>
  <si>
    <t>local-authority-eng:OLD</t>
  </si>
  <si>
    <t>Oldham Metropolitan Borough Council</t>
  </si>
  <si>
    <t>Development Plan Document - Joint Core Strategy and Development Management Policies</t>
  </si>
  <si>
    <t>74b773dc-a0f4-4613-8316-af10f6e461bf</t>
  </si>
  <si>
    <t>https://www.oldham.gov.uk/download/downloads/id/1445/development_plan_document_-_joint_core_strategy_and_development_management_policies.pdf</t>
  </si>
  <si>
    <t>https://s3.eu-west-2.amazonaws.com/local-plans/plan-documents/74b773dc-a0f4-4613-8316-af10f6e461bf.pdf</t>
  </si>
  <si>
    <t>936354a55fc5124d245ad030111e76f6</t>
  </si>
  <si>
    <t>https://s3.eu-west-2.amazonaws.com/local-plans/images/74b773dc-a0f4-4613-8316-af10f6e461bf/a5ffc2ca-6eb7-4862-b6a1-1118863536c2.jpg</t>
  </si>
  <si>
    <t>local-authority-eng:RCH</t>
  </si>
  <si>
    <t>Rochdale Metropolitan Borough Council</t>
  </si>
  <si>
    <t>Adopted Core Strategy</t>
  </si>
  <si>
    <t>0516a876-6782-4d0c-b31e-e865d85d4bf2</t>
  </si>
  <si>
    <t>http://www.rochdale.gov.uk/pdf/2018-04-05-rochdale-core-strategy-v1.pdf</t>
  </si>
  <si>
    <t>https://s3.eu-west-2.amazonaws.com/local-plans/plan-documents/0516a876-6782-4d0c-b31e-e865d85d4bf2.pdf</t>
  </si>
  <si>
    <t>6e8f58fc959360d6c00ef498785266eb</t>
  </si>
  <si>
    <t>https://s3.eu-west-2.amazonaws.com/local-plans/images/b79557df-7fe8-4ea3-8384-cbb23c2d8e15.jpg</t>
  </si>
  <si>
    <t>local-authority-eng:SLF</t>
  </si>
  <si>
    <t>Salford City Council</t>
  </si>
  <si>
    <t>local-authority-eng:SKP</t>
  </si>
  <si>
    <t>Stockport Metropolitan Borough Council</t>
  </si>
  <si>
    <t>2259cad0-ee6d-44bf-99aa-1aba08dab7f0</t>
  </si>
  <si>
    <t>https://s3-eu-west-1.amazonaws.com/live-iag-static-assets/pdf/LDF/AdoptedPlans/Core+Strategy+DPD.pdf</t>
  </si>
  <si>
    <t>https://s3.eu-west-2.amazonaws.com/local-plans/plan-documents/2259cad0-ee6d-44bf-99aa-1aba08dab7f0.pdf</t>
  </si>
  <si>
    <t>179324a78b013cc2e3e1d68927289389</t>
  </si>
  <si>
    <t>https://s3.eu-west-2.amazonaws.com/local-plans/images/2259cad0-ee6d-44bf-99aa-1aba08dab7f0/29437686-81af-4816-a4bc-55a70fa656a0.jpg</t>
  </si>
  <si>
    <t>local-authority-eng:TRF</t>
  </si>
  <si>
    <t>Trafford Metropolitan Borough Council</t>
  </si>
  <si>
    <t>Trafford Local Plan: Core Strategy</t>
  </si>
  <si>
    <t>949e2438-8d71-4be0-b5dc-67400e8607fc</t>
  </si>
  <si>
    <t>https://www.trafford.gov.uk/planning/strategic-planning/docs/core-strategy-adopted-final.pdf</t>
  </si>
  <si>
    <t>https://s3.eu-west-2.amazonaws.com/local-plans/plan-documents/949e2438-8d71-4be0-b5dc-67400e8607fc.pdf</t>
  </si>
  <si>
    <t>16d1dc1d83fe1862da7c49ab31466a13</t>
  </si>
  <si>
    <t>HTTPSConnectionPool(host='www.trafford.gov.uk', port=443): Max retries exceeded with url: /planning/strategic-planning/docs/core-strategy-adopted-final.pdf (Caused by NewConnectionError('&lt;urllib3.connection.VerifiedHTTPSConnection object at 0x7f51dead5e80&gt;: Failed to establish a new connection: [Errno 110] Connection timed out'))</t>
  </si>
  <si>
    <t>https://s3.eu-west-2.amazonaws.com/local-plans/images/949e2438-8d71-4be0-b5dc-67400e8607fc/d0469f1d-43ea-4a24-87aa-f36029ed76ed.jpg</t>
  </si>
  <si>
    <t>local-authority-eng:WGN</t>
  </si>
  <si>
    <t>Wigan Metropolitan Borough Council</t>
  </si>
  <si>
    <t>Wigan Local Plan: Core Strategy</t>
  </si>
  <si>
    <t>1dc02551-0279-4da2-a0e0-14f22fce3893</t>
  </si>
  <si>
    <t>https://www.wigan.gov.uk/Docs/PDF/Council/Strategies-Plans-and-Policies/Planning/Adopted-Core-Strategy.pdf</t>
  </si>
  <si>
    <t>https://s3.eu-west-2.amazonaws.com/local-plans/plan-documents/1dc02551-0279-4da2-a0e0-14f22fce3893.pdf</t>
  </si>
  <si>
    <t>73c04b8fbf501d662e9a4432906fad14</t>
  </si>
  <si>
    <t>https://s3.eu-west-2.amazonaws.com/local-plans/images/1dc02551-0279-4da2-a0e0-14f22fce3893/3138141e-821f-4ae5-9fc1-643fe572d8d1.jpg</t>
  </si>
  <si>
    <t>local-authority-eng:KWL</t>
  </si>
  <si>
    <t>Knowsley Metropolitan Borough Council</t>
  </si>
  <si>
    <t>Knowsley Local Plan Core Strategy</t>
  </si>
  <si>
    <t>49b1a52a-614b-4ea3-a4a1-e2f421115fc8</t>
  </si>
  <si>
    <t>https://localplanmaps.knowsley.gov.uk/documents/knowsley-local-plan-adopted-core-strategy.pdf</t>
  </si>
  <si>
    <t>https://s3.eu-west-2.amazonaws.com/local-plans/plan-documents/49b1a52a-614b-4ea3-a4a1-e2f421115fc8.pdf</t>
  </si>
  <si>
    <t>eb50a0ca67dfa390b8504ac548f3236b</t>
  </si>
  <si>
    <t>https://s3.eu-west-2.amazonaws.com/local-plans/images/49b1a52a-614b-4ea3-a4a1-e2f421115fc8/bb3c66b3-2e02-4af7-86b2-f8e08f9e5f3c.jpg</t>
  </si>
  <si>
    <t>local-authority-eng:LIV</t>
  </si>
  <si>
    <t>Liverpool Local Plan 2013-2033</t>
  </si>
  <si>
    <t>81c562eb-d68f-406e-b15e-8b6a3f61f4d0</t>
  </si>
  <si>
    <t>local-authority-eng:SHN</t>
  </si>
  <si>
    <t>St Helens Council</t>
  </si>
  <si>
    <t>St.Helens Local Plan Core Strategy</t>
  </si>
  <si>
    <t>4f7371c0-5815-4ccc-a6ac-9a684de38898</t>
  </si>
  <si>
    <t>https://www.sthelens.gov.uk/media/3385/sthelens-local-plan-core-strategy-october-2012.pdf</t>
  </si>
  <si>
    <t>https://s3.eu-west-2.amazonaws.com/local-plans/plan-documents/4f7371c0-5815-4ccc-a6ac-9a684de38898.pdf</t>
  </si>
  <si>
    <t>0262456c879ec17e84769ec5ce53330f</t>
  </si>
  <si>
    <t>HTTPSConnectionPool(host='www.sthelens.gov.uk', port=443): Max retries exceeded with url: /media/3385/sthelens-local-plan-core-strategy-october-2012.pdf (Caused by SSLError(SSLCertVerificationError("hostname 'www.sthelens.gov.uk' doesn't match either of '*.sthelens.org.uk', 'sthelens.org.uk', 'cic-vmw-p-rdh01.cowley.sthelens.org.uk', 'cic-vmw-p-rdh02.cowley.sthelens.org.uk', 'hop-vmw-p-rdh01.hope.sthelens.org.uk', 'hop-vmw-p-rdh02.hope.sthelens.org.uk', 'aug-vmw-p-rdh01.staugs.sthelens.org.uk', 'aug-vmw-p-rdh02.staugs.sthelens.org.uk'")))</t>
  </si>
  <si>
    <t>https://s3.eu-west-2.amazonaws.com/local-plans/images/4f7371c0-5815-4ccc-a6ac-9a684de38898/d3fa0bc2-9b2d-4010-8e26-6c966574c306.jpg</t>
  </si>
  <si>
    <t>St Helens Borough Plan 2020-2035</t>
  </si>
  <si>
    <t>dabf2ff2-4aba-4065-b2a3-1601c2743ae3</t>
  </si>
  <si>
    <t>https://www.sthelens.gov.uk/media/9525/local-plan-written-plan-web.pdf</t>
  </si>
  <si>
    <t>https://s3.eu-west-2.amazonaws.com/local-plans/plan-documents/dabf2ff2-4aba-4065-b2a3-1601c2743ae3.pdf</t>
  </si>
  <si>
    <t>2cc091a776979e73a4b20048b5ad8408</t>
  </si>
  <si>
    <t>HTTPSConnectionPool(host='www.sthelens.gov.uk', port=443): Max retries exceeded with url: /media/9525/local-plan-written-plan-web.pdf (Caused by SSLError(SSLCertVerificationError("hostname 'www.sthelens.gov.uk' doesn't match either of '*.sthelens.org.uk', 'sthelens.org.uk', 'cic-vmw-p-rdh01.cowley.sthelens.org.uk', 'cic-vmw-p-rdh02.cowley.sthelens.org.uk', 'hop-vmw-p-rdh01.hope.sthelens.org.uk', 'hop-vmw-p-rdh02.hope.sthelens.org.uk', 'aug-vmw-p-rdh01.staugs.sthelens.org.uk', 'aug-vmw-p-rdh02.staugs.sthelens.org.uk'")))</t>
  </si>
  <si>
    <t>https://s3.eu-west-2.amazonaws.com/local-plans/images/dabf2ff2-4aba-4065-b2a3-1601c2743ae3/16383bdf-908e-45aa-9ef3-89dd4d22301f.jpg</t>
  </si>
  <si>
    <t>local-authority-eng:SFT</t>
  </si>
  <si>
    <t>Sefton Metropolitan Borough Council</t>
  </si>
  <si>
    <t>A Local Plan for Sefton</t>
  </si>
  <si>
    <t>8224e195-a24e-4e10-a1f0-e40721f2e250</t>
  </si>
  <si>
    <t>https://www.sefton.gov.uk/media/1270013/A-Local-Plan-for-Sefton-for-ADOPTION-FINAL.pdf</t>
  </si>
  <si>
    <t>https://s3.eu-west-2.amazonaws.com/local-plans/plan-documents/8224e195-a24e-4e10-a1f0-e40721f2e250.pdf</t>
  </si>
  <si>
    <t>665a3016237a2bc15126fa0df26a0833</t>
  </si>
  <si>
    <t xml:space="preserve">2012-2017: 500 dwellings per annum
2017-2030: 694 dwellings per annum
</t>
  </si>
  <si>
    <t>https://s3.eu-west-2.amazonaws.com/local-plans/images/8224e195-a24e-4e10-a1f0-e40721f2e250/40c7bcbe-5f26-4f95-8202-19a675515968.jpg</t>
  </si>
  <si>
    <t>local-authority-eng:WRL</t>
  </si>
  <si>
    <t>Wirral Metropolitan Borough Council</t>
  </si>
  <si>
    <t>Wirral Local Plan</t>
  </si>
  <si>
    <t>6701085e-c35c-4115-8f3d-d1cee602a560</t>
  </si>
  <si>
    <t>local-authority-eng:BNS</t>
  </si>
  <si>
    <t>Barnsley Metropolitan Borough Council</t>
  </si>
  <si>
    <t>Barnsley Local Plan</t>
  </si>
  <si>
    <t>9ff460cb-2bb8-48d2-80d4-359f6821b89b</t>
  </si>
  <si>
    <t>https://www.barnsley.gov.uk/media/9924/local-plan-adopted.pdf</t>
  </si>
  <si>
    <t>https://s3.eu-west-2.amazonaws.com/local-plans/plan-documents/9ff460cb-2bb8-48d2-80d4-359f6821b89b.pdf</t>
  </si>
  <si>
    <t>239c654bb55247e75084afa513c558f6</t>
  </si>
  <si>
    <t>https://s3.eu-west-2.amazonaws.com/local-plans/images/9ff460cb-2bb8-48d2-80d4-359f6821b89b/247eb1bd-94e4-43f2-8564-f74cb1a3542c.jpg</t>
  </si>
  <si>
    <t>local-authority-eng:DNC</t>
  </si>
  <si>
    <t>Doncaster Metropolitan Borough Council</t>
  </si>
  <si>
    <t>Doncaster Local Plan</t>
  </si>
  <si>
    <t>f0ae7dca-4f61-4a52-aeb9-9b155c37d5b9</t>
  </si>
  <si>
    <t>https://s3.eu-west-2.amazonaws.com/local-plans/plan-documents/f0ae7dca-4f61-4a52-aeb9-9b155c37d5b9.pdf</t>
  </si>
  <si>
    <t>local-authority-eng:ROT</t>
  </si>
  <si>
    <t>Rotherham Metropolitan Borough Council</t>
  </si>
  <si>
    <t>Rotherham Local Plan: Core Strategy</t>
  </si>
  <si>
    <t>2d208e84-641b-4bcc-9a6b-40627a3e8f68</t>
  </si>
  <si>
    <t>https://www.rotherham.gov.uk/download/downloads/id/1571/adopted_rotherham_core_strategy.pdf</t>
  </si>
  <si>
    <t>https://s3.eu-west-2.amazonaws.com/local-plans/plan-documents/2d208e84-641b-4bcc-9a6b-40627a3e8f68.pdf</t>
  </si>
  <si>
    <t>b81369295bb0f70a178d5843af1dfc30</t>
  </si>
  <si>
    <t>404 Client Error: Not Found for url: https://www.rotherham.gov.uk/download/downloads/id/1571/adopted_rotherham_core_strategy.pdf</t>
  </si>
  <si>
    <t>https://s3.eu-west-2.amazonaws.com/local-plans/images/2d208e84-641b-4bcc-9a6b-40627a3e8f68/9ba86eb4-744c-44d1-b150-ce690d4fa9ba.jpg</t>
  </si>
  <si>
    <t>local-authority-eng:SHF</t>
  </si>
  <si>
    <t>Sheffield Development Framework: Core Strategy</t>
  </si>
  <si>
    <t>de6cbb4d-42b0-4e30-8de6-9c03018ce068</t>
  </si>
  <si>
    <t>https://www.sheffield.gov.uk/content/dam/sheffield/docs/planning-and-development/core-strategy/Core-Strategy---adopted-March-2009--pdf--6-55-MB-.pdf</t>
  </si>
  <si>
    <t>https://s3.eu-west-2.amazonaws.com/local-plans/plan-documents/de6cbb4d-42b0-4e30-8de6-9c03018ce068.pdf</t>
  </si>
  <si>
    <t>18814143af3f163c846edc6184fb3c65</t>
  </si>
  <si>
    <t>HTTPSConnectionPool(host='www.sheffield.gov.uk', port=443): Max retries exceeded with url: /content/dam/sheffield/docs/planning-and-development/core-strategy/Core-Strategy---adopted-March-2009--pdf--6-55-MB-.pdf (Caused by SSLError(SSLCertVerificationError(1, '[SSL: CERTIFICATE_VERIFY_FAILED] certificate verify failed: unable to get local issuer certificate (_ssl.c:1056)')))</t>
  </si>
  <si>
    <t>https://s3.eu-west-2.amazonaws.com/local-plans/images/de6cbb4d-42b0-4e30-8de6-9c03018ce068/3fa338c3-9ee0-4a28-828a-ae0c0b60dcfc.jpg</t>
  </si>
  <si>
    <t>The Sheffield Plan</t>
  </si>
  <si>
    <t>319394a0-b436-4c33-82c7-8c6afd7175be</t>
  </si>
  <si>
    <t>https://www.sheffield.gov.uk/content/dam/sheffield/docs/planning-and-development/sheffield-plan/Citywide%20Options%20for%20Growth%20to%202034.pdf</t>
  </si>
  <si>
    <t>https://s3.eu-west-2.amazonaws.com/local-plans/plan-documents/319394a0-b436-4c33-82c7-8c6afd7175be.pdf</t>
  </si>
  <si>
    <t>1a2668ce23eff8cd85982fe9b445caa7</t>
  </si>
  <si>
    <t>HTTPSConnectionPool(host='www.sheffield.gov.uk', port=443): Max retries exceeded with url: /content/dam/sheffield/docs/planning-and-development/sheffield-plan/Citywide%20Options%20for%20Growth%20to%202034.pdf (Caused by SSLError(SSLCertVerificationError(1, '[SSL: CERTIFICATE_VERIFY_FAILED] certificate verify failed: unable to get local issuer certificate (_ssl.c:1056)')))</t>
  </si>
  <si>
    <t>Based on likely housing need (as opposed to requirement) in early stages Reg 18 consultation - November 2015.</t>
  </si>
  <si>
    <t>https://s3.eu-west-2.amazonaws.com/local-plans/images/319394a0-b436-4c33-82c7-8c6afd7175be/54b6788f-1fda-42f1-bcc2-2f232a811b23.jpg</t>
  </si>
  <si>
    <t>local-authority-eng:NTY</t>
  </si>
  <si>
    <t>North Tyneside Metropolitan Borough Council</t>
  </si>
  <si>
    <t>North Tyneside Local Plan 2017</t>
  </si>
  <si>
    <t>be9ad1c4-f2a8-4e68-b56e-872caf7be0a3</t>
  </si>
  <si>
    <t>https://my.northtyneside.gov.uk/sites/default/files/web-page-related-files/North%20Tyneside%20Local%20Plan%202017-2032.pdf</t>
  </si>
  <si>
    <t>https://s3.eu-west-2.amazonaws.com/local-plans/plan-documents/be9ad1c4-f2a8-4e68-b56e-872caf7be0a3.pdf</t>
  </si>
  <si>
    <t>HTTPSConnectionPool(host='my.northtyneside.gov.uk', port=443): Max retries exceeded with url: /sites/default/files/web-page-related-files/North%20Tyneside%20Local%20Plan%202017-2032.pdf (Caused by SSLError(SSLCertVerificationError(1, '[SSL: CERTIFICATE_VERIFY_FAILED] certificate verify failed: unable to get local issuer certificate (_ssl.c:1056)')))</t>
  </si>
  <si>
    <t>2755 between 2011 and 2016 (551 annual average), 3700 between 2016 and 2021 (740 annual average), 4690 between 2021 and 2026 (938 annual average), 4540 between 2026 and 2031 (908 annual average); 908 in 2032 (908 annual average).</t>
  </si>
  <si>
    <t>https://s3.eu-west-2.amazonaws.com/local-plans/images/be9ad1c4-f2a8-4e68-b56e-872caf7be0a3/2a38dc61-0f38-45b7-99c8-470bd293dced.jpg</t>
  </si>
  <si>
    <t>local-authority-eng:STY</t>
  </si>
  <si>
    <t>South Tyneside Council</t>
  </si>
  <si>
    <t>South Tyneside LDF: Core Strategy</t>
  </si>
  <si>
    <t>a9c0dfea-a696-4c82-9931-f6a5b7f8b106</t>
  </si>
  <si>
    <t>https://www.southtyneside.gov.uk/media/2468/Core-Strategy-Adopted-June-2007-/pdf/Core_Strategy_(Final_Adopted_Version_-_cWHS_modified_2014).pdf</t>
  </si>
  <si>
    <t>https://s3.eu-west-2.amazonaws.com/local-plans/plan-documents/a9c0dfea-a696-4c82-9931-f6a5b7f8b106.pdf</t>
  </si>
  <si>
    <t>7147bd8d2ff46bd6fd646ab892a98438</t>
  </si>
  <si>
    <t>https://s3.eu-west-2.amazonaws.com/local-plans/images/a9c0dfea-a696-4c82-9931-f6a5b7f8b106/1de6d2e1-03a8-47ee-ac5a-6b164a1fc6d0.jpg</t>
  </si>
  <si>
    <t>The South Tyneside Local Plan</t>
  </si>
  <si>
    <t>d012eae9-8efb-454c-a286-1bfb1d21ace9</t>
  </si>
  <si>
    <t>https://www.southtyneside.gov.uk/media/41633/Local-Plan-Pre-Publication-Draft-August-2019-/pdf/Local_Plan_Pre-Publication_Draft_August_2019.pdf</t>
  </si>
  <si>
    <t>https://s3.eu-west-2.amazonaws.com/local-plans/plan-documents/d012eae9-8efb-454c-a286-1bfb1d21ace9.pdf</t>
  </si>
  <si>
    <t>4c590dd3536bcc3780b1a36cb7f8602a</t>
  </si>
  <si>
    <t>https://s3.eu-west-2.amazonaws.com/local-plans/images/d012eae9-8efb-454c-a286-1bfb1d21ace9/cf927c27-a04b-4271-8456-63a48a1ee998.jpg</t>
  </si>
  <si>
    <t>local-authority-eng:SND</t>
  </si>
  <si>
    <t>Sunderland City Council</t>
  </si>
  <si>
    <t>Core Strategy and Development Plan 2015-2033</t>
  </si>
  <si>
    <t>75bd4998-b822-4f62-84bc-7e6170b7f87b</t>
  </si>
  <si>
    <t>https://www.sunderland.gov.uk/media/22171/Core-Strategy-and-Development-Plan-2015-2033/pdf/CSDP_2015-2033.pdf?m=637159725864470000</t>
  </si>
  <si>
    <t>https://s3.eu-west-2.amazonaws.com/local-plans/plan-documents/75bd4998-b822-4f62-84bc-7e6170b7f87b.pdf</t>
  </si>
  <si>
    <t>1b63a6aace3ffdf82f7228eabd3e20ba</t>
  </si>
  <si>
    <t>HTTPSConnectionPool(host='www.sunderland.gov.uk', port=443): Max retries exceeded with url: /media/22171/Core-Strategy-and-Development-Plan-2015-2033/pdf/CSDP_2015-2033.pdf?m=637159725864470000 (Caused by NewConnectionError('&lt;urllib3.connection.VerifiedHTTPSConnection object at 0x7fd9f52cdb70&gt;: Failed to establish a new connection: [Errno 110] Connection timed out'))</t>
  </si>
  <si>
    <t>https://s3.eu-west-2.amazonaws.com/local-plans/images/75bd4998-b822-4f62-84bc-7e6170b7f87b/9a2fa16c-0fc2-44fa-91aa-9ceb9035c1f2.jpg</t>
  </si>
  <si>
    <t>local-authority-eng:BIR</t>
  </si>
  <si>
    <t>Birmingham Plan 2031</t>
  </si>
  <si>
    <t>2a72a06b-823f-4146-94a5-2c35446404b5</t>
  </si>
  <si>
    <t>https://www.birmingham.gov.uk/download/downloads/id/5433/adopted_birmingham_development_plan_2031.pdf</t>
  </si>
  <si>
    <t>https://s3.eu-west-2.amazonaws.com/local-plans/plan-documents/2a72a06b-823f-4146-94a5-2c35446404b5.pdf</t>
  </si>
  <si>
    <t>a2d868fb0a89ab0111ae2edd06096a4b</t>
  </si>
  <si>
    <t>Unmet need of 37,900 homes to be met elsewhere in the Greater Birmingham Housing Market Area.</t>
  </si>
  <si>
    <t>https://s3.eu-west-2.amazonaws.com/local-plans/images/2a72a06b-823f-4146-94a5-2c35446404b5/7d8c6360-2d74-4a19-8769-9bd7bbcb4517.jpg</t>
  </si>
  <si>
    <t>local-authority-eng:COV</t>
  </si>
  <si>
    <t>Coventry City Council Local Plan</t>
  </si>
  <si>
    <t>1c40a6a9-a132-47a2-a580-0f80d473e61d</t>
  </si>
  <si>
    <t>http://www.coventry.gov.uk/download/downloads/id/25899/final_local_plan_december_2017.pdf</t>
  </si>
  <si>
    <t>https://s3.eu-west-2.amazonaws.com/local-plans/plan-documents/1c40a6a9-a132-47a2-a580-0f80d473e61d.pdf</t>
  </si>
  <si>
    <t>https://s3.eu-west-2.amazonaws.com/local-plans/images/1c40a6a9-a132-47a2-a580-0f80d473e61d/04b48ee5-f5d4-4901-9e70-06ffa444d8d5.jpg</t>
  </si>
  <si>
    <t>local-authority-eng:SOL</t>
  </si>
  <si>
    <t>Solihull Metropolitan Borough Council</t>
  </si>
  <si>
    <t>Solihull Local Plan</t>
  </si>
  <si>
    <t>a11d7559-1ec8-436c-b643-8a2b78660d80</t>
  </si>
  <si>
    <t>http://www.solihull.gov.uk/Portals/0/Planning/LDF/Local_Plan_Final.pdf</t>
  </si>
  <si>
    <t>https://s3.eu-west-2.amazonaws.com/local-plans/plan-documents/a11d7559-1ec8-436c-b643-8a2b78660d80.pdf</t>
  </si>
  <si>
    <t>bc3a0918a22c5e83cb1c8af54553f050</t>
  </si>
  <si>
    <t>Borough's housing target, set out in Policy P5, quashed by the ruling in Gallagher Homes Ltd &amp; Lioncourt Homes Ltd v Solihull Metropolitan Borough Council [2014] EWHC 1283 (Admin).</t>
  </si>
  <si>
    <t>https://s3.eu-west-2.amazonaws.com/local-plans/images/0ef4d6f0-3a10-4a8c-918c-9ff0fad74a63.jpg</t>
  </si>
  <si>
    <t>Solihull Local Plan Review</t>
  </si>
  <si>
    <t>4d9d0624-fda5-4a62-b37d-9cca77df0ebd</t>
  </si>
  <si>
    <t>https://s3.eu-west-2.amazonaws.com/local-plans/plan-documents/4d9d0624-fda5-4a62-b37d-9cca77df0ebd.pdf</t>
  </si>
  <si>
    <t>In terms of unmet need, the contribution to the HMA is 2,105 being the difference between 15,017 and 12,912.  15,017 will be the housing requirement for the plan equating to an average of 938 dwellings per annum.  (Published Plan Oct 2020).
Delivery Phase Stepped:
I â€“ 2020-2026 5,106 (851 DPA)
II and III â€“ 2026-2036 9,91130 (991 DPA)
Total 15,017 (938 DPA)</t>
  </si>
  <si>
    <t>local-authority-eng:BRD</t>
  </si>
  <si>
    <t>City of Bradford Metropolitan District Council</t>
  </si>
  <si>
    <t>Local Plan for the Bradford District</t>
  </si>
  <si>
    <t>c4960e3b-ad51-4d94-a886-0125d830ebba</t>
  </si>
  <si>
    <t>https://www.bradford.gov.uk/Documents/planningStrategy/10%20Adoption/Adopted%20core%20strategy//Section%205.3%20-%20Housing.pdf</t>
  </si>
  <si>
    <t>https://s3.eu-west-2.amazonaws.com/local-plans/images/c4960e3b-ad51-4d94-a886-0125d830ebba/36ea09e2-d596-4f33-8393-d2090b665b7b.jpg</t>
  </si>
  <si>
    <t>1011ee68-fcfd-4175-9199-6be5022705ae</t>
  </si>
  <si>
    <t>local-authority-eng:CLD</t>
  </si>
  <si>
    <t>Calderdale Metropolitan Borough Council</t>
  </si>
  <si>
    <t>Calderdale Local Plan</t>
  </si>
  <si>
    <t>74564582-cddd-45f4-b09c-35e08902cf91</t>
  </si>
  <si>
    <t>http://calderdale-consult.limehouse.co.uk/portal/planning_services/lpp18/lpp18?pointId=4796887</t>
  </si>
  <si>
    <t>Document at http://calderdale-consult.limehouse.co.uk/portal/planning_services/lpp18/lpp18?pointId=4796887 might not be a pdf</t>
  </si>
  <si>
    <t>https://s3.eu-west-2.amazonaws.com/local-plans/images/74564582-cddd-45f4-b09c-35e08902cf91/e1638855-b2dc-445d-b948-4496a50ee55e.jpg</t>
  </si>
  <si>
    <t>local-authority-eng:KIR</t>
  </si>
  <si>
    <t>Kirklees Council</t>
  </si>
  <si>
    <t>Kirklees Local Plan</t>
  </si>
  <si>
    <t>e5e55605-6881-471d-8f23-7222468ec3e0</t>
  </si>
  <si>
    <t>http://www.kirklees.gov.uk/beta/planning-policy/pdf/local-plan-inspectors-report/Inspectors-Report-Appendix-SD1-Main-modifications-Strategy-and-Policies.pdf</t>
  </si>
  <si>
    <t>https://s3.eu-west-2.amazonaws.com/local-plans/plan-documents/e5e55605-6881-471d-8f23-7222468ec3e0.pdf</t>
  </si>
  <si>
    <t>1121f917c2caf5fb980d71d066e8b346</t>
  </si>
  <si>
    <t>https://s3.eu-west-2.amazonaws.com/local-plans/images/e5e55605-6881-471d-8f23-7222468ec3e0/70d13ef4-1534-4c82-a3a2-ad6b491f6dcc.jpg</t>
  </si>
  <si>
    <t>local-authority-eng:LDS</t>
  </si>
  <si>
    <t>Selective Review</t>
  </si>
  <si>
    <t>d8fff231-e5a6-48b0-b47d-37968cb0573f</t>
  </si>
  <si>
    <t>https://www.leeds.gov.uk/Local%20Plans/Adopted%20Core%20Strategy/CSSR%20Polices%20Adoption%20Sept%202019%20Final.pdf</t>
  </si>
  <si>
    <t>https://s3.eu-west-2.amazonaws.com/local-plans/plan-documents/d8fff231-e5a6-48b0-b47d-37968cb0573f.pdf</t>
  </si>
  <si>
    <t>1e7b9a55e0e8c20794db70afb8fe81d1</t>
  </si>
  <si>
    <t>503 Server Error: Service Unavailable for url: https://www.leeds.gov.uk/Local%20Plans/Adopted%20Core%20Strategy/CSSR%20Polices%20Adoption%20Sept%202019%20Final.pdf</t>
  </si>
  <si>
    <t>The net requirement of 51,952 dwellings is converted to a gross requirement by taking account of the anticipated loss of dwellings over the plan period (estimated as 150 p/a). Gross requirement is 54,352.</t>
  </si>
  <si>
    <t>https://s3.eu-west-2.amazonaws.com/local-plans/images/d8fff231-e5a6-48b0-b47d-37968cb0573f/a526cec2-af56-486a-804d-2fd0bcfee36f.jpg</t>
  </si>
  <si>
    <t>Leeds Core Strategy</t>
  </si>
  <si>
    <t>721cea23-beb2-4cbf-8e8c-b1e1e7bde6cb</t>
  </si>
  <si>
    <t>https://www.leeds.gov.uk/Local%20Plans/Adopted%20Core%20Strategy/Adopted%20Core%20Strategy%20Final%20Nov%202014.pdf</t>
  </si>
  <si>
    <t>https://s3.eu-west-2.amazonaws.com/local-plans/plan-documents/721cea23-beb2-4cbf-8e8c-b1e1e7bde6cb.pdf</t>
  </si>
  <si>
    <t>268837d49df85855e86465426b147e84</t>
  </si>
  <si>
    <t>503 Server Error: Service Unavailable for url: https://www.leeds.gov.uk/Local%20Plans/Adopted%20Core%20Strategy/Adopted%20Core%20Strategy%20Final%20Nov%202014.pdf</t>
  </si>
  <si>
    <t>https://s3.eu-west-2.amazonaws.com/local-plans/images/721cea23-beb2-4cbf-8e8c-b1e1e7bde6cb/b5a28d53-23e3-40c2-be27-448aa1055112.jpg</t>
  </si>
  <si>
    <t>local-authority-eng:WKF</t>
  </si>
  <si>
    <t>Wakefield Metropolitan District Council</t>
  </si>
  <si>
    <t>Wakefield LDF: Core Strategy</t>
  </si>
  <si>
    <t>56ffcf42-1e88-4237-87a5-d6932011ae30</t>
  </si>
  <si>
    <t>https://www.wakefield.gov.uk/Documents/planning/planning-policy/local-plan/core-strategy/core-strategy.pdf</t>
  </si>
  <si>
    <t>https://s3.eu-west-2.amazonaws.com/local-plans/plan-documents/56ffcf42-1e88-4237-87a5-d6932011ae30.pdf</t>
  </si>
  <si>
    <t>05ad60fa4533a48423558ca1834b1689</t>
  </si>
  <si>
    <t>503 Server Error: Service Unavailable for url: https://www.wakefield.gov.uk/Documents/planning/planning-policy/local-plan/core-strategy/core-strategy.pdf</t>
  </si>
  <si>
    <t>https://s3.eu-west-2.amazonaws.com/local-plans/images/56ffcf42-1e88-4237-87a5-d6932011ae30/403e8177-425c-4174-90a2-00928d81e90e.jpg</t>
  </si>
  <si>
    <t>Wakefield Local Development Plan 2036</t>
  </si>
  <si>
    <t>e4defd69-6273-4f9e-8121-4b5f55020607</t>
  </si>
  <si>
    <t>http://www.wakefield.gov.uk/localplan2020/local-plan-2036-publication-draft-plan-volume-1-development-strategy-strategic-local-policies-october-2020.pdf</t>
  </si>
  <si>
    <t>https://s3.eu-west-2.amazonaws.com/local-plans/plan-documents/e4defd69-6273-4f9e-8121-4b5f55020607.pdf</t>
  </si>
  <si>
    <t>65066ce5fc56b02a762774e0a1d5172f</t>
  </si>
  <si>
    <t>Minimum target set at LHN, which will be reviewed throughout the plan period; maximum target set at an average of 1,400 homes/annum (total of 26,600 homes over the plan period).</t>
  </si>
  <si>
    <t>https://s3.eu-west-2.amazonaws.com/local-plans/images/e4defd69-6273-4f9e-8121-4b5f55020607/cb5549b6-6477-4e83-b7f3-635845495fa1.jpg</t>
  </si>
  <si>
    <t>local-authority-eng:LND</t>
  </si>
  <si>
    <t>City of London Corporation</t>
  </si>
  <si>
    <t>City of London Local Plan</t>
  </si>
  <si>
    <t>e8367ba9-56da-4507-9855-dcc6f2f5e903</t>
  </si>
  <si>
    <t>https://www.cityoflondon.gov.uk/services/environment-and-planning/planning/planning-policy/local-plan/Documents/local-plan-2015.pdf</t>
  </si>
  <si>
    <t>https://s3.eu-west-2.amazonaws.com/local-plans/plan-documents/e8367ba9-56da-4507-9855-dcc6f2f5e903.pdf</t>
  </si>
  <si>
    <t>2f20d81165a0189e13c93059c9c0a7b8</t>
  </si>
  <si>
    <t>404 Client Error: Not Found for url: https://www.cityoflondon.gov.uk/services/environment-and-planning/planning/planning-policy/local-plan/Documents/local-plan-2015.pdf</t>
  </si>
  <si>
    <t>https://s3.eu-west-2.amazonaws.com/local-plans/images/e8367ba9-56da-4507-9855-dcc6f2f5e903/8910ebba-55b6-4b50-8a56-5456f9701bc7.jpg</t>
  </si>
  <si>
    <t>City Plan 2036</t>
  </si>
  <si>
    <t>1cd130d1-3222-4bdf-b2f6-a5a13f6a7eb7</t>
  </si>
  <si>
    <t>https://s3.eu-west-2.amazonaws.com/local-plans/plan-documents/1cd130d1-3222-4bdf-b2f6-a5a13f6a7eb7.pdf</t>
  </si>
  <si>
    <t>local-authority-eng:BDG</t>
  </si>
  <si>
    <t>London Borough of Barking and Dagenham</t>
  </si>
  <si>
    <t>Planning for the future of Barking and Dagenham: Core Strategy</t>
  </si>
  <si>
    <t>d00b83a7-aabe-4bbd-866c-ef2cc11d59a3</t>
  </si>
  <si>
    <t>https://www.lbbd.gov.uk/sites/default/files/attachments/Adopted-Core-Strategy.pdf</t>
  </si>
  <si>
    <t>https://s3.eu-west-2.amazonaws.com/local-plans/plan-documents/d00b83a7-aabe-4bbd-866c-ef2cc11d59a3.pdf</t>
  </si>
  <si>
    <t>a38c65bc23a7e928ffc260cd65dea26e</t>
  </si>
  <si>
    <t>https://s3.eu-west-2.amazonaws.com/local-plans/images/d00b83a7-aabe-4bbd-866c-ef2cc11d59a3/ef016855-f6a3-4cf3-b7d8-72c50cedf449.jpg</t>
  </si>
  <si>
    <t>3bda3313-7fc4-41e1-ae6f-b29af6accb3c</t>
  </si>
  <si>
    <t>local-authority-eng:BNE</t>
  </si>
  <si>
    <t>London Borough of Barnet</t>
  </si>
  <si>
    <t>Barnet's Local Plan (Core Strategy)</t>
  </si>
  <si>
    <t>48647056-2c80-4d6f-a403-ace690639a61</t>
  </si>
  <si>
    <t>https://www.barnet.gov.uk/sites/default/files/assets/citizenportal/documents/planningconservationandbuildingcontrol/PlanningPolicy/LocalPlan/DPD/LocalPlanCoreStrategyDPDSeptember2012.pdf</t>
  </si>
  <si>
    <t>https://s3.eu-west-2.amazonaws.com/local-plans/plan-documents/48647056-2c80-4d6f-a403-ace690639a61.pdf</t>
  </si>
  <si>
    <t>5fda482c3ab17c24b29ec46f9419378e</t>
  </si>
  <si>
    <t>HTTPSConnectionPool(host='www.barnet.gov.uk', port=443): Max retries exceeded with url: /sites/default/files/assets/citizenportal/documents/planningconservationandbuildingcontrol/PlanningPolicy/LocalPlan/DPD/LocalPlanCoreStrategyDPDSeptember2012.pdf (Caused by NewConnectionError('&lt;urllib3.connection.VerifiedHTTPSConnection object at 0x7f6e48334588&gt;: Failed to establish a new connection: [Errno -3] Temporary failure in name resolution'))</t>
  </si>
  <si>
    <t>https://s3.eu-west-2.amazonaws.com/local-plans/images/48647056-2c80-4d6f-a403-ace690639a61/9d2a3108-c898-471d-b321-c4306e320238.jpg</t>
  </si>
  <si>
    <t>Local Plan for Barnet</t>
  </si>
  <si>
    <t>local-authority-eng:BEX</t>
  </si>
  <si>
    <t>London Borough of Bexley</t>
  </si>
  <si>
    <t>Bexley Core Strategy</t>
  </si>
  <si>
    <t>636d2ba4-c268-41a4-80eb-13fa2a9598fd</t>
  </si>
  <si>
    <t>http://www.bexley.gov.uk/sites/bexley-cms/files/2018-01/Bexley-Core-Strategy.pdf</t>
  </si>
  <si>
    <t>https://s3.eu-west-2.amazonaws.com/local-plans/plan-documents/636d2ba4-c268-41a4-80eb-13fa2a9598fd.pdf</t>
  </si>
  <si>
    <t>9dfb5ff1c6f98848d950dd22cc0a5522</t>
  </si>
  <si>
    <t>404 Client Error: Not Found for url: https://www.bexley.gov.uk/sites/bexley-cms/files/2018-01/Bexley-Core-Strategy.pdf</t>
  </si>
  <si>
    <t>https://s3.eu-west-2.amazonaws.com/local-plans/images/636d2ba4-c268-41a4-80eb-13fa2a9598fd/11e58735-09a1-4552-9cba-cae3142a71e4.jpg</t>
  </si>
  <si>
    <t>local-authority-eng:BEN</t>
  </si>
  <si>
    <t>London Borough of Brent</t>
  </si>
  <si>
    <t>a8dbb275-ef77-4be6-a77a-6cbe28dc4e70</t>
  </si>
  <si>
    <t>https://www.brent.gov.uk/media/16404211/core-strategy-small.pdf</t>
  </si>
  <si>
    <t>https://s3.eu-west-2.amazonaws.com/local-plans/plan-documents/a8dbb275-ef77-4be6-a77a-6cbe28dc4e70.pdf</t>
  </si>
  <si>
    <t>35f770cb9302b04ad4858c47927e3f85</t>
  </si>
  <si>
    <t>Reflecting overall requirement of 22,000, excluding 1,030 empty homes brought back into use.</t>
  </si>
  <si>
    <t>https://s3.eu-west-2.amazonaws.com/local-plans/images/a8dbb275-ef77-4be6-a77a-6cbe28dc4e70/c00f7541-7f38-4cab-85dd-fb5a63ac3b91.jpg</t>
  </si>
  <si>
    <t>3ab660ca-e4a2-4922-85da-155f8041c2c1</t>
  </si>
  <si>
    <t>https://s3.eu-west-2.amazonaws.com/local-plans/plan-documents/3ab660ca-e4a2-4922-85da-155f8041c2c1.pdf</t>
  </si>
  <si>
    <t>local-authority-eng:BRY</t>
  </si>
  <si>
    <t>London Borough of Bromley</t>
  </si>
  <si>
    <t>b0c67350-039c-4410-9d82-b814b1e29668</t>
  </si>
  <si>
    <t>https://www.bromley.gov.uk/download/downloads/id/4768/bromley_local_plan.pdf</t>
  </si>
  <si>
    <t>https://s3.eu-west-2.amazonaws.com/local-plans/plan-documents/b0c67350-039c-4410-9d82-b814b1e29668.pdf</t>
  </si>
  <si>
    <t>0bbdb0e4bc994af9ce694586bf6c0b84</t>
  </si>
  <si>
    <t>500 Server Error: Internal Server Error for url: https://www.bromley.gov.uk/download/downloads/id/4768/bromley_local_plan.pdf</t>
  </si>
  <si>
    <t>https://s3.eu-west-2.amazonaws.com/local-plans/images/b0c67350-039c-4410-9d82-b814b1e29668/8fbd7db0-af47-4198-b65e-b6313caf8174.jpg</t>
  </si>
  <si>
    <t>local-authority-eng:CMD</t>
  </si>
  <si>
    <t>London Borough of Camden</t>
  </si>
  <si>
    <t>Camden Local Plan 2017</t>
  </si>
  <si>
    <t>a1cfa4ac-822b-4727-a5fd-0c55909a15bb</t>
  </si>
  <si>
    <t>https://www.camden.gov.uk/documents/20142/4820180/Local+Plan.pdf/ce6e992a-91f9-3a60-720c-70290fab78a6</t>
  </si>
  <si>
    <t>https://s3.eu-west-2.amazonaws.com/local-plans/plan-documents/a1cfa4ac-822b-4727-a5fd-0c55909a15bb.pdf</t>
  </si>
  <si>
    <t>1d46e008a832aafe87a1aecd8c1fd47a</t>
  </si>
  <si>
    <t>400 Client Error:  for url: https://www.camden.gov.uk/documents/20142/4820180/Local+Plan.pdf/ce6e992a-91f9-3a60-720c-70290fab78a6</t>
  </si>
  <si>
    <t>1,120 new homes per annum.</t>
  </si>
  <si>
    <t>https://s3.eu-west-2.amazonaws.com/local-plans/images/a1cfa4ac-822b-4727-a5fd-0c55909a15bb/3cc9330d-2e7d-4752-a3a8-bdf82d6a01c1.jpg</t>
  </si>
  <si>
    <t>local-authority-eng:CRY</t>
  </si>
  <si>
    <t>London Borough of Croydon</t>
  </si>
  <si>
    <t>Strategic Policies Partial Review</t>
  </si>
  <si>
    <t>91ac26b7-d253-4569-9a70-92763649a92a</t>
  </si>
  <si>
    <t>https://www.croydon.gov.uk/sites/default/files/articles/downloads/Croydon%20Local%20Plan%202018_0.pdf</t>
  </si>
  <si>
    <t>https://s3.eu-west-2.amazonaws.com/local-plans/plan-documents/91ac26b7-d253-4569-9a70-92763649a92a.pdf</t>
  </si>
  <si>
    <t>8e3b975b6fd28f297ce6176a6454328d</t>
  </si>
  <si>
    <t>404 Client Error: Not Found for url: https://www.croydon.gov.uk/sites/default/files/articles/downloads/Croydon%20Local%20Plan%202018_0.pdf</t>
  </si>
  <si>
    <t>https://s3.eu-west-2.amazonaws.com/local-plans/images/91ac26b7-d253-4569-9a70-92763649a92a/c70efc90-bda8-4fc8-a489-36c47e75fa87.jpg</t>
  </si>
  <si>
    <t>local-authority-eng:EAL</t>
  </si>
  <si>
    <t>London Borough of Ealing</t>
  </si>
  <si>
    <t>Development Strategy 2026</t>
  </si>
  <si>
    <t>a6e0dc08-d86e-43b2-8b7b-5d59308e59a0</t>
  </si>
  <si>
    <t>https://www.ealing.gov.uk/download/downloads/id/3559/adopted_development_strategy_3_april_2012.pdf</t>
  </si>
  <si>
    <t>https://s3.eu-west-2.amazonaws.com/local-plans/plan-documents/a6e0dc08-d86e-43b2-8b7b-5d59308e59a0.pdf</t>
  </si>
  <si>
    <t>7407fc039b45a5a1e8221470e58d15e9</t>
  </si>
  <si>
    <t>https://s3.eu-west-2.amazonaws.com/local-plans/images/a6e0dc08-d86e-43b2-8b7b-5d59308e59a0/d9341175-23a9-4694-b2d3-0017ae1b179e.jpg</t>
  </si>
  <si>
    <t>local-authority-eng:ENF</t>
  </si>
  <si>
    <t>London Borough of Enfield</t>
  </si>
  <si>
    <t>The Enfield Plan Core Strategy</t>
  </si>
  <si>
    <t>a418a33c-0b10-4493-8adf-12a820a125aa</t>
  </si>
  <si>
    <t>https://new.enfield.gov.uk/services/planning/local-plan/planning-policy-information-enfield-core-strategy.pdf</t>
  </si>
  <si>
    <t>https://s3.eu-west-2.amazonaws.com/local-plans/plan-documents/a418a33c-0b10-4493-8adf-12a820a125aa.pdf</t>
  </si>
  <si>
    <t>cfd026fc1b86c41d85e3b2d811dc77ef</t>
  </si>
  <si>
    <t>404 Client Error: Not Found for url: https://new.enfield.gov.uk/services/planning/local-plan/planning-policy-information-enfield-core-strategy.pdf</t>
  </si>
  <si>
    <t>https://s3.eu-west-2.amazonaws.com/local-plans/images/b9e381a4-5e68-4c78-b2d7-8adb96f4eb2e.jpg</t>
  </si>
  <si>
    <t>Enfield Local Plan</t>
  </si>
  <si>
    <t>b9825a05-7185-40bc-a7ca-1e67fe8a4ace</t>
  </si>
  <si>
    <t>https://new.enfield.gov.uk/services/planning/enfield-draft-local-plan-2036-planning.pdf</t>
  </si>
  <si>
    <t>https://s3.eu-west-2.amazonaws.com/local-plans/plan-documents/b9825a05-7185-40bc-a7ca-1e67fe8a4ace.pdf</t>
  </si>
  <si>
    <t>11d48500a6126c7e629f49481184bef2</t>
  </si>
  <si>
    <t>https://s3.eu-west-2.amazonaws.com/local-plans/images/b9825a05-7185-40bc-a7ca-1e67fe8a4ace/f85b6ae3-ee17-4eb7-87d5-986d952ce33b.jpg</t>
  </si>
  <si>
    <t>local-authority-eng:GRE</t>
  </si>
  <si>
    <t>Royal Borough of Greenwich</t>
  </si>
  <si>
    <t xml:space="preserve">Core Strategy </t>
  </si>
  <si>
    <t>d78c2bb3-f734-4adc-9cf9-3146a5c9f929</t>
  </si>
  <si>
    <t>https://www.royalgreenwich.gov.uk/download/downloads/id/2869/royal_greenwich_local_plan_core_strategy_with_detailed_policies_main_document.pdf</t>
  </si>
  <si>
    <t>https://s3.eu-west-2.amazonaws.com/local-plans/plan-documents/d78c2bb3-f734-4adc-9cf9-3146a5c9f929.pdf</t>
  </si>
  <si>
    <t>34d071517a6f37f5b3de7ca9e88359b1</t>
  </si>
  <si>
    <t xml:space="preserve">Housing requirement timetable set out in Policy H1 : New Housing, page 49. </t>
  </si>
  <si>
    <t>https://s3.eu-west-2.amazonaws.com/local-plans/images/d78c2bb3-f734-4adc-9cf9-3146a5c9f929/55471293-599e-4b52-ac58-b1a314c31573.jpg</t>
  </si>
  <si>
    <t>local-authority-eng:HCK</t>
  </si>
  <si>
    <t>London Borough of Hackney</t>
  </si>
  <si>
    <t>Local Plan 2033</t>
  </si>
  <si>
    <t>e564f51e-3ef2-4caf-a6fe-0941988a59ec</t>
  </si>
  <si>
    <t>https://drive.google.com/file/d/1HRu0A_fdoWUi3OBfzUT03TT4S9gYwHDq/view?usp=sharing</t>
  </si>
  <si>
    <t>Document at https://drive.google.com/file/d/1HRu0A_fdoWUi3OBfzUT03TT4S9gYwHDq/view?usp=sharing might not be a pdf</t>
  </si>
  <si>
    <t>https://s3.eu-west-2.amazonaws.com/local-plans/images/e564f51e-3ef2-4caf-a6fe-0941988a59ec/69b71c6c-4ce5-40bf-b9b1-e6ad786f7adc.jpg</t>
  </si>
  <si>
    <t>local-authority-eng:HMF</t>
  </si>
  <si>
    <t>London Borough of Hammersmith &amp; Fulham</t>
  </si>
  <si>
    <t>Hammersmith and Fulham Local Plan</t>
  </si>
  <si>
    <t>ba0cf7b4-31fb-4ac0-a2e0-eac7c34db0da</t>
  </si>
  <si>
    <t>https://www.lbhf.gov.uk/sites/default/files/section_attachments/local_plan_2018_web_version.pdf</t>
  </si>
  <si>
    <t>https://s3.eu-west-2.amazonaws.com/local-plans/plan-documents/ba0cf7b4-31fb-4ac0-a2e0-eac7c34db0da.pdf</t>
  </si>
  <si>
    <t>https://s3.eu-west-2.amazonaws.com/local-plans/images/ba0cf7b4-31fb-4ac0-a2e0-eac7c34db0da/bf7d6814-95a5-4628-9447-fda9876f8940.jpg</t>
  </si>
  <si>
    <t>local-authority-eng:HRY</t>
  </si>
  <si>
    <t>London Borough of Haringey</t>
  </si>
  <si>
    <t>Alterations to Strategic Policies</t>
  </si>
  <si>
    <t>b1f7862a-5ab5-43ec-851d-3810d6aaa0f8</t>
  </si>
  <si>
    <t>https://www.haringey.gov.uk/sites/haringeygovuk/files/final_haringey_local_plan_2017_online.pdf</t>
  </si>
  <si>
    <t>https://s3.eu-west-2.amazonaws.com/local-plans/plan-documents/b1f7862a-5ab5-43ec-851d-3810d6aaa0f8.pdf</t>
  </si>
  <si>
    <t>503 Server Error: Service Unavailable for url: https://www.haringey.gov.uk/sites/haringeygovuk/files/final_haringey_local_plan_2017_online.pdf</t>
  </si>
  <si>
    <t>https://s3.eu-west-2.amazonaws.com/local-plans/images/b1f7862a-5ab5-43ec-851d-3810d6aaa0f8/9f5fcca6-3649-475b-98b8-0d2b4e5b1f57.jpg</t>
  </si>
  <si>
    <t>local-authority-eng:HRW</t>
  </si>
  <si>
    <t>London Borough of Harrow</t>
  </si>
  <si>
    <t>Harrow Core Strategy</t>
  </si>
  <si>
    <t>cc2ab3d9-4427-476e-b241-e79fcf7c37af</t>
  </si>
  <si>
    <t>http://www.harrow.gov.uk/download/downloads/id/1793/harrow_core_strategy</t>
  </si>
  <si>
    <t>https://s3.eu-west-2.amazonaws.com/local-plans/plan-documents/cc2ab3d9-4427-476e-b241-e79fcf7c37af.pdf</t>
  </si>
  <si>
    <t>994e8db9218487e3e9aee4084ea0b47d</t>
  </si>
  <si>
    <t>404 Client Error: Not Found for url: https://www.harrow.gov.uk/download/downloads/id/1793/harrow_core_strategy</t>
  </si>
  <si>
    <t>https://s3.eu-west-2.amazonaws.com/local-plans/images/cc2ab3d9-4427-476e-b241-e79fcf7c37af/0538bac0-efd5-4112-af4e-cc76d1673f5a.jpg</t>
  </si>
  <si>
    <t>local-authority-eng:HAV</t>
  </si>
  <si>
    <t>London Borough of Havering</t>
  </si>
  <si>
    <t>Havering Local Plan</t>
  </si>
  <si>
    <t>local-authority-eng:HIL</t>
  </si>
  <si>
    <t>London Borough of Hillingdon</t>
  </si>
  <si>
    <t>Local Plan: Part 1 Strategic Policies</t>
  </si>
  <si>
    <t>d299fb9a-a499-4518-8b24-595185cd55ea</t>
  </si>
  <si>
    <t>https://www.hillingdon.gov.uk/media/27633/Hillingdon-Local-Plan-Part-1--Strategic-Policies-Published-version/pdf/Local_Plan_Part_1_Strategic_Policies_15_feb_2013_a.pdf</t>
  </si>
  <si>
    <t>https://s3.eu-west-2.amazonaws.com/local-plans/plan-documents/d299fb9a-a499-4518-8b24-595185cd55ea.pdf</t>
  </si>
  <si>
    <t>edab0339ac1e421889e2091ca1d5616c</t>
  </si>
  <si>
    <t>404 Client Error: 404 for url: https://www.hillingdon.gov.uk/media/27633/Hillingdon-Local-Plan-Part-1--Strategic-Policies-Published-version/pdf/Local_Plan_Part_1_Strategic_Policies_15_feb_2013_a.pdf</t>
  </si>
  <si>
    <t>https://s3.eu-west-2.amazonaws.com/local-plans/images/d299fb9a-a499-4518-8b24-595185cd55ea/3df46b86-2957-46f8-9f7a-c94700ca4f92.jpg</t>
  </si>
  <si>
    <t>local-authority-eng:HNS</t>
  </si>
  <si>
    <t>London Borough of Hounslow</t>
  </si>
  <si>
    <t>Local Plan 2015-2030</t>
  </si>
  <si>
    <t>c131e54c-78e3-476d-85cd-505e4e7247b3</t>
  </si>
  <si>
    <t>https://hounslow.box.com/shared/static/i1jpu00afbftgbd1fdubkl6z0ivgdugo.pdf</t>
  </si>
  <si>
    <t>https://s3.eu-west-2.amazonaws.com/local-plans/plan-documents/c131e54c-78e3-476d-85cd-505e4e7247b3.pdf</t>
  </si>
  <si>
    <t>3f4e53f4547e52c8916386e90f661df9</t>
  </si>
  <si>
    <t>404 Client Error: Not Found for url: https://hounslow.app.box.com/public/static/i1jpu00afbftgbd1fdubkl6z0ivgdugo.pdf</t>
  </si>
  <si>
    <t>https://s3.eu-west-2.amazonaws.com/local-plans/images/c131e54c-78e3-476d-85cd-505e4e7247b3/525df2ac-6964-405c-95bf-99cfd11adc3c.jpg</t>
  </si>
  <si>
    <t>046494dc-631a-4785-b469-ac29d1cb00fe</t>
  </si>
  <si>
    <t>local-authority-eng:ISL</t>
  </si>
  <si>
    <t>London Borough of Islington</t>
  </si>
  <si>
    <t>Islington Council Core Strategy</t>
  </si>
  <si>
    <t>c6eb3467-ba83-40a3-9d52-767e7f340c61</t>
  </si>
  <si>
    <t>https://www.islington.gov.uk/-/media/sharepoint-lists/public-records/environmentalprotection/qualityandperformance/reporting/20112012/20120303corestrategyfebruary2011.pdf?la=en&amp;hash=4BF296068818C93ECF9F4FD45EE49B6545DF3CF8</t>
  </si>
  <si>
    <t>https://s3.eu-west-2.amazonaws.com/local-plans/plan-documents/c6eb3467-ba83-40a3-9d52-767e7f340c61.pdf</t>
  </si>
  <si>
    <t>16bb6224efb94161af908cf782fa8355</t>
  </si>
  <si>
    <t>Yearly average housing requirement calculated based on target of 1,160/annum in 2010/11 and 1,170/annum from 2011-12 - 2024/25, as set out in Table 3.5.</t>
  </si>
  <si>
    <t>https://s3.eu-west-2.amazonaws.com/local-plans/images/c6eb3467-ba83-40a3-9d52-767e7f340c61/9829aebc-0e8f-4e3d-95b6-ce372c97426a.jpg</t>
  </si>
  <si>
    <t>Islington Local Plan</t>
  </si>
  <si>
    <t>e33a9a80-ca91-4189-a41b-8fecb2b02abd</t>
  </si>
  <si>
    <t>https://www.islington.gov.uk/-/media/sharepoint-lists/public-records/planningandbuildingcontrol/publicity/publicconsultation/20192020/20190904localplanstrategicanddmpoliciesdpdproposedsubmissionregulation19.pdf?la=en&amp;hash=FF3732C05A253BDA47D04FB825CCD3730779D15A</t>
  </si>
  <si>
    <t>https://s3.eu-west-2.amazonaws.com/local-plans/plan-documents/e33a9a80-ca91-4189-a41b-8fecb2b02abd.pdf</t>
  </si>
  <si>
    <t>aacba33ef849d3af316cf46611253b9e</t>
  </si>
  <si>
    <t>https://s3.eu-west-2.amazonaws.com/local-plans/images/e33a9a80-ca91-4189-a41b-8fecb2b02abd/5b3e8826-0798-42f4-8102-861b8dfdefe6.jpg</t>
  </si>
  <si>
    <t>local-authority-eng:KEC</t>
  </si>
  <si>
    <t>Royal Borough of Kensington and Chelsea</t>
  </si>
  <si>
    <t>Local Plan Partial Review</t>
  </si>
  <si>
    <t>12c410f7-7d60-4e7e-b636-de6d45944548</t>
  </si>
  <si>
    <t>local-authority-eng:KTT</t>
  </si>
  <si>
    <t>Royal Borough of Kingston upon Thames</t>
  </si>
  <si>
    <t>55685acf-e02f-4be0-80ae-4e98d50c7fcf</t>
  </si>
  <si>
    <t>https://www.kingston.gov.uk/download/downloads/id/1901/core_strategy.pdf</t>
  </si>
  <si>
    <t>https://s3.eu-west-2.amazonaws.com/local-plans/plan-documents/55685acf-e02f-4be0-80ae-4e98d50c7fcf.pdf</t>
  </si>
  <si>
    <t>cb0c49a726bdb43e979d89fca8db16f3</t>
  </si>
  <si>
    <t>https://s3.eu-west-2.amazonaws.com/local-plans/images/c6a20cd6-ac48-4497-bff2-5005b51541b8.jpg</t>
  </si>
  <si>
    <t>ca9edb36-e6c0-4f82-b472-5af6e8828069</t>
  </si>
  <si>
    <t>local-authority-eng:LBH</t>
  </si>
  <si>
    <t>London Borough of Lambeth</t>
  </si>
  <si>
    <t>Lambeth Local Plan Review</t>
  </si>
  <si>
    <t>695bb2ed-e6c1-401d-a735-dc4ea2b88a70</t>
  </si>
  <si>
    <t>https://s3.eu-west-2.amazonaws.com/local-plans/plan-documents/695bb2ed-e6c1-401d-a735-dc4ea2b88a70.pdf</t>
  </si>
  <si>
    <t>local-authority-eng:LEW</t>
  </si>
  <si>
    <t>London Borough of Lewisham</t>
  </si>
  <si>
    <t>Lewisham Core Strategy 2011</t>
  </si>
  <si>
    <t>330ea240-d27f-4214-86e2-f7b841604812</t>
  </si>
  <si>
    <t>https://lewisham.gov.uk/-/media/files/imported/corestrategyadoptedversion.ashx</t>
  </si>
  <si>
    <t>https://s3.eu-west-2.amazonaws.com/local-plans/plan-documents/330ea240-d27f-4214-86e2-f7b841604812.pdf</t>
  </si>
  <si>
    <t>dd1810210d6b90ca25e8d9467fb75924</t>
  </si>
  <si>
    <t>https://s3.eu-west-2.amazonaws.com/local-plans/images/330ea240-d27f-4214-86e2-f7b841604812/67d9af49-b81c-4e6b-a706-f85d2a95bae9.jpg</t>
  </si>
  <si>
    <t>local-authority-eng:MRT</t>
  </si>
  <si>
    <t>London Borough of Merton</t>
  </si>
  <si>
    <t>Core Planning Strategy</t>
  </si>
  <si>
    <t>947c00eb-7d3e-417a-9240-05057ac08a86</t>
  </si>
  <si>
    <t>https://www.merton.gov.uk/assets/Documents/0328_merton_core_strategy_adopted.pdf</t>
  </si>
  <si>
    <t>https://s3.eu-west-2.amazonaws.com/local-plans/plan-documents/947c00eb-7d3e-417a-9240-05057ac08a86.pdf</t>
  </si>
  <si>
    <t>9f9be356c50d96bfe82826625a38636d</t>
  </si>
  <si>
    <t>https://s3.eu-west-2.amazonaws.com/local-plans/images/87bd0daf-2aa2-4344-a4a0-045214381006.jpg</t>
  </si>
  <si>
    <t>Local Plan 2020</t>
  </si>
  <si>
    <t>local-authority-eng:NWM</t>
  </si>
  <si>
    <t>London Borough of Newham</t>
  </si>
  <si>
    <t>cce851d7-7c70-41e5-87f4-767f9fc85bbe</t>
  </si>
  <si>
    <t>https://www.newham.gov.uk/Documents/Environment%20and%20planning/NewhamLocalPlan2018.pdf</t>
  </si>
  <si>
    <t>https://s3.eu-west-2.amazonaws.com/local-plans/plan-documents/cce851d7-7c70-41e5-87f4-767f9fc85bbe.pdf</t>
  </si>
  <si>
    <t>490fb90b9dec17db00e3a53bd80ece96</t>
  </si>
  <si>
    <t>404 Client Error: Not Found for url: https://www.newham.gov.uk/Documents/Environment%20and%20planning/NewhamLocalPlan2018.pdf</t>
  </si>
  <si>
    <t>https://s3.eu-west-2.amazonaws.com/local-plans/images/cce851d7-7c70-41e5-87f4-767f9fc85bbe/36b81ae1-9415-441c-8064-f3ffd7217564.jpg</t>
  </si>
  <si>
    <t>local-authority-eng:RDB</t>
  </si>
  <si>
    <t>London Borough of Redbridge</t>
  </si>
  <si>
    <t>15403182-0a1c-4078-a043-413a644bc4a7</t>
  </si>
  <si>
    <t>https://www.redbridge.gov.uk/media/4934/10-redbridgelocal-plan_070318_web-1.pdf</t>
  </si>
  <si>
    <t>https://s3.eu-west-2.amazonaws.com/local-plans/plan-documents/15403182-0a1c-4078-a043-413a644bc4a7.pdf</t>
  </si>
  <si>
    <t>cf5a24d805a7119cabfb5da3c7740985</t>
  </si>
  <si>
    <t>https://s3.eu-west-2.amazonaws.com/local-plans/images/15403182-0a1c-4078-a043-413a644bc4a7/d3399607-1eab-47c3-a95f-7b5b2cf677bb.jpg</t>
  </si>
  <si>
    <t>local-authority-eng:RIC</t>
  </si>
  <si>
    <t>London Borough of Richmond upon Thames</t>
  </si>
  <si>
    <t>London Borough of Richmond Upon Thames</t>
  </si>
  <si>
    <t>f4e01c41-d817-4a06-a17e-436572c7c435</t>
  </si>
  <si>
    <t>https://www.richmond.gov.uk/media/15935/adopted_local_plan_interim.pdf</t>
  </si>
  <si>
    <t>https://s3.eu-west-2.amazonaws.com/local-plans/plan-documents/f4e01c41-d817-4a06-a17e-436572c7c435.pdf</t>
  </si>
  <si>
    <t>382835449a0aec1d9ff12a1f18c47035</t>
  </si>
  <si>
    <t>https://s3.eu-west-2.amazonaws.com/local-plans/images/f4e01c41-d817-4a06-a17e-436572c7c435/8a74b613-16bb-432b-a9ae-e34667a3f249.jpg</t>
  </si>
  <si>
    <t>local-authority-eng:SWK</t>
  </si>
  <si>
    <t>London Borough of Southwark</t>
  </si>
  <si>
    <t>f150ab0a-4484-4661-810d-f33c11212694</t>
  </si>
  <si>
    <t>https://www.southwark.gov.uk/assets/attach/1675/1.0.2-DL-Core_Strategy_2011.pdf</t>
  </si>
  <si>
    <t>https://s3.eu-west-2.amazonaws.com/local-plans/plan-documents/f150ab0a-4484-4661-810d-f33c11212694.pdf</t>
  </si>
  <si>
    <t>3025e4105d72ed3256bea88a6d190724</t>
  </si>
  <si>
    <t>https://s3.eu-west-2.amazonaws.com/local-plans/images/f150ab0a-4484-4661-810d-f33c11212694/83940441-6b34-418a-9e9a-7e24268b4a9c.jpg</t>
  </si>
  <si>
    <t>New Southwark Plan</t>
  </si>
  <si>
    <t>2e3ad928-7219-42c1-aab7-899c1569af05</t>
  </si>
  <si>
    <t>https://www.southwark.gov.uk/assets/attach/11656/NSP01-New-Southwark-Plan-Submission-Version-Proposed-Modifications-for-Examination.pdf</t>
  </si>
  <si>
    <t>https://s3.eu-west-2.amazonaws.com/local-plans/plan-documents/2e3ad928-7219-42c1-aab7-899c1569af05.pdf</t>
  </si>
  <si>
    <t>f134c08de4cfb19ae079315f1dd13223</t>
  </si>
  <si>
    <t>local-authority-eng:STN</t>
  </si>
  <si>
    <t>London Borough of Sutton</t>
  </si>
  <si>
    <t>Sutton Local Plan 2016-2031</t>
  </si>
  <si>
    <t>83699784-e72d-4388-abd9-a17c4c8c54df</t>
  </si>
  <si>
    <t>https://drive.google.com/open?id=1MdX6GlaHDoBdG6CTsvjFaIuPtIa9id5O</t>
  </si>
  <si>
    <t>https://s3.eu-west-2.amazonaws.com/local-plans/images/83699784-e72d-4388-abd9-a17c4c8c54df/5aaa56f9-c3df-4cea-95e4-675d0cb8afe3.jpg</t>
  </si>
  <si>
    <t>local-authority-eng:TWH</t>
  </si>
  <si>
    <t>London Borough of Tower Hamlets</t>
  </si>
  <si>
    <t>Tower Hamlets Local Plan 2031</t>
  </si>
  <si>
    <t>228cdd2a-b858-4c87-b6a7-899488ecedb1</t>
  </si>
  <si>
    <t>https://www.towerhamlets.gov.uk/Documents/Planning-and-building-control/Strategic-Planning/Local-Plan/Final-Local-Plan-v10.pdf</t>
  </si>
  <si>
    <t>https://s3.eu-west-2.amazonaws.com/local-plans/plan-documents/228cdd2a-b858-4c87-b6a7-899488ecedb1.pdf</t>
  </si>
  <si>
    <t>5d2c65ea8f37281fcfce09b553267aa6</t>
  </si>
  <si>
    <t>https://s3.eu-west-2.amazonaws.com/local-plans/images/228cdd2a-b858-4c87-b6a7-899488ecedb1/4b6ce9b8-0dad-4725-91a4-7255546cdc49.jpg</t>
  </si>
  <si>
    <t>local-authority-eng:WFT</t>
  </si>
  <si>
    <t>London Borough of Waltham Forest</t>
  </si>
  <si>
    <t>Waltham Forest Local Plan - Core Strategy</t>
  </si>
  <si>
    <t>85edc099-3eee-4b89-9184-294530b10434</t>
  </si>
  <si>
    <t>http://static.walthamforest.gov.uk/sp/documents/adopted-core-strategy.pdf</t>
  </si>
  <si>
    <t>https://s3.eu-west-2.amazonaws.com/local-plans/plan-documents/85edc099-3eee-4b89-9184-294530b10434.pdf</t>
  </si>
  <si>
    <t>b264493e6501ab4c3c4e84231abc9cbd</t>
  </si>
  <si>
    <t>HTTPConnectionPool(host='static.walthamforest.gov.uk', port=80): Max retries exceeded with url: /sp/documents/adopted-core-strategy.pdf (Caused by NewConnectionError('&lt;urllib3.connection.HTTPConnection object at 0x7fd75f90b5f8&gt;: Failed to establish a new connection: [Errno 113] No route to host'))</t>
  </si>
  <si>
    <t>Comprising 10,320 new homes and 45 non-self contained units.</t>
  </si>
  <si>
    <t>https://s3.eu-west-2.amazonaws.com/local-plans/images/85edc099-3eee-4b89-9184-294530b10434/571558f1-fb59-4f66-94dd-7e7775930abb.jpg</t>
  </si>
  <si>
    <t>Shaping the Borough: New Local Plan</t>
  </si>
  <si>
    <t>bc8402a6-ac41-41d7-8484-d098325bcdbb</t>
  </si>
  <si>
    <t>https://www.walthamforest.gov.uk/sites/default/files/Proposed%20Submission%20Local%20Plan%20-%20LP1%2023Oct20_compress2%20%28002%29.pdf</t>
  </si>
  <si>
    <t>https://s3.eu-west-2.amazonaws.com/local-plans/plan-documents/bc8402a6-ac41-41d7-8484-d098325bcdbb.pdf</t>
  </si>
  <si>
    <t>17c154842df99b94c388a0131effa888</t>
  </si>
  <si>
    <t xml:space="preserve">The housing requirement will be set at 1264 for the five (financial) years from 2019/20 to 2023/24, and then increase to 1770 in 2024/25 and again to 2267 for the five years to 2029/20, before reducing to 1770 for the remainder of the plan period to 2035/36.
</t>
  </si>
  <si>
    <t>local-authority-eng:WND</t>
  </si>
  <si>
    <t>London Borough of Wandsworth</t>
  </si>
  <si>
    <t>Local Plan review</t>
  </si>
  <si>
    <t>90acde0a-70aa-4da3-a861-79f7970ff5dc</t>
  </si>
  <si>
    <t>https://www.wandsworth.gov.uk/media/1425/local_plan_core_strategy_adopted_march_2016.pdf</t>
  </si>
  <si>
    <t>https://s3.eu-west-2.amazonaws.com/local-plans/plan-documents/90acde0a-70aa-4da3-a861-79f7970ff5dc.pdf</t>
  </si>
  <si>
    <t>ff1211d4e37da5399081f29a2c695265</t>
  </si>
  <si>
    <t>Housing requirement reflects 25,860 conventional homes and 1,320 non-self contained accommodation.</t>
  </si>
  <si>
    <t>https://s3.eu-west-2.amazonaws.com/local-plans/images/90acde0a-70aa-4da3-a861-79f7970ff5dc/6953f428-79f4-46f8-8a6b-1e067e9eaeb3.jpg</t>
  </si>
  <si>
    <t>local-authority-eng:WSM</t>
  </si>
  <si>
    <t>City of Westminster</t>
  </si>
  <si>
    <t>http://transact.westminster.gov.uk/docstores/publications_store/cityplan/Westminster_City_Plan_consolidated_version_Nov_2016.pdf</t>
  </si>
  <si>
    <t>c0fd447f9b3ce36cdcbe76c53ea193f4</t>
  </si>
  <si>
    <t>City Plan 2019-2040</t>
  </si>
  <si>
    <t>230c6f1d-7a1c-4765-981f-4ef2850d3e5a</t>
  </si>
  <si>
    <t>https://s3.eu-west-2.amazonaws.com/local-plans/plan-documents/230c6f1d-7a1c-4765-981f-4ef2850d3e5a.pdf</t>
  </si>
  <si>
    <t>Includes stepped requirement of 1,495 homes/annum in the first 10 years of the plan.</t>
  </si>
  <si>
    <t>government-organisation:OT217</t>
  </si>
  <si>
    <t>Dartmoor National Park Authority</t>
  </si>
  <si>
    <t>E26000001</t>
  </si>
  <si>
    <t>a37f5aa7-26df-4435-9f54-b4b15ff03b9d</t>
  </si>
  <si>
    <t>https://s3.eu-west-2.amazonaws.com/local-plans/plan-documents/a37f5aa7-26df-4435-9f54-b4b15ff03b9d.pdf</t>
  </si>
  <si>
    <t>government-organisation:OT219</t>
  </si>
  <si>
    <t>Exmoor National Park Authority</t>
  </si>
  <si>
    <t>E26000002</t>
  </si>
  <si>
    <t>Exmoor National Park Local Plan</t>
  </si>
  <si>
    <t>fa593a9c-6a8a-401b-b688-cb7aafdd3182</t>
  </si>
  <si>
    <t>http://www.exmoor-nationalpark.gov.uk/__data/assets/pdf_file/0011/1493498/Local-Plan-2011-2031-for-web.pdf</t>
  </si>
  <si>
    <t>https://s3.eu-west-2.amazonaws.com/local-plans/plan-documents/fa593a9c-6a8a-401b-b688-cb7aafdd3182.pdf</t>
  </si>
  <si>
    <t>de8727453ea98439020b3b5311ea8393</t>
  </si>
  <si>
    <t>404 Client Error: Not Found for url: https://www.exmoor-nationalpark.gov.uk/__data/assets/pdf_file/0011/1493498/Local-Plan-2011-2031-for-web.pdf</t>
  </si>
  <si>
    <t>government-organisation:OT543</t>
  </si>
  <si>
    <t>Northumberland National Park Authority</t>
  </si>
  <si>
    <t>E26000004</t>
  </si>
  <si>
    <t>Northumberland National Park Local Plan 2017-2037</t>
  </si>
  <si>
    <t>78180781-4d4a-46c6-a525-b55512385655</t>
  </si>
  <si>
    <t>https://nnp-tacdesign.netdna-ssl.com/wp-content/uploads/2020/07/NNP-Local-Plan-July-2020-Adopted-1.pdf</t>
  </si>
  <si>
    <t>https://s3.eu-west-2.amazonaws.com/local-plans/plan-documents/78180781-4d4a-46c6-a525-b55512385655.pdf</t>
  </si>
  <si>
    <t>192d9ea237e10bd915056fcc8b2069da</t>
  </si>
  <si>
    <t>404 Client Error: Not Found for url: https://nnp-tacdesign.netdna-ssl.com/wp-content/uploads/2020/07/NNP-Local-Plan-July-2020-Adopted-1.pdf</t>
  </si>
  <si>
    <t>Formerly the local plan did not establish a housing requirement for the national park.  However the IR of 18 June 2020 sets a provision of 160 over the plan period equating to an annualised average of 8 DPA.</t>
  </si>
  <si>
    <t>https://s3.eu-west-2.amazonaws.com/local-plans/images/78180781-4d4a-46c6-a525-b55512385655/4ca064d2-e18f-4c1b-a9f4-975e56dd5f40.jpg</t>
  </si>
  <si>
    <t>government-organisation:OT223</t>
  </si>
  <si>
    <t>North York Moors National Park Authority</t>
  </si>
  <si>
    <t>E26000005</t>
  </si>
  <si>
    <t>North York Moors Local Plan</t>
  </si>
  <si>
    <t>0f521478-8e31-4bd4-b667-7370f2e7a34d</t>
  </si>
  <si>
    <t>https://www.northyorkmoors.org.uk/planning/framework/Local-Plan-FINAL-Web-July-2020.pdf</t>
  </si>
  <si>
    <t>https://s3.eu-west-2.amazonaws.com/local-plans/plan-documents/0f521478-8e31-4bd4-b667-7370f2e7a34d.pdf</t>
  </si>
  <si>
    <t>8163dabbe472f60403c4a41d71063025</t>
  </si>
  <si>
    <t>https://s3.eu-west-2.amazonaws.com/local-plans/images/0f521478-8e31-4bd4-b667-7370f2e7a34d/7056ee5c-c589-42cd-8a15-1806b4f56a23.jpg</t>
  </si>
  <si>
    <t>government-organisation:OT545</t>
  </si>
  <si>
    <t>Peak District National Park Authority</t>
  </si>
  <si>
    <t>E26000006</t>
  </si>
  <si>
    <t xml:space="preserve">Core Strategy DPD </t>
  </si>
  <si>
    <t>2ed5ae6b-8b7a-4a54-8d9f-89af587810fd</t>
  </si>
  <si>
    <t>government-organisation:OT216</t>
  </si>
  <si>
    <t>Broads Authority</t>
  </si>
  <si>
    <t>E26000007</t>
  </si>
  <si>
    <t>Local Plan for the Broads</t>
  </si>
  <si>
    <t>7dd9e611-a2f6-4904-9b54-ddf987d87945</t>
  </si>
  <si>
    <t>https://www.broads-authority.gov.uk/__data/assets/pdf_file/0004/1581916/Local-Plan-for-the-Broads.pdf</t>
  </si>
  <si>
    <t>https://s3.eu-west-2.amazonaws.com/local-plans/plan-documents/7dd9e611-a2f6-4904-9b54-ddf987d87945.pdf</t>
  </si>
  <si>
    <t>36d8e46bce57431d5bbced89b27d3d46</t>
  </si>
  <si>
    <t>404 Client Error: Not Found for url: https://www.broads-authority.gov.uk/__data/assets/pdf_file/0004/1581916/Local-Plan-for-the-Broads.pdf</t>
  </si>
  <si>
    <t>Total requirement of 286, minus 38 unmet need to be delivered by Great Yarmouth outside the Broads.</t>
  </si>
  <si>
    <t>https://s3.eu-west-2.amazonaws.com/local-plans/images/7dd9e611-a2f6-4904-9b54-ddf987d87945/854ce2d4-eb75-4353-aca3-d51ecbade849.jpg</t>
  </si>
  <si>
    <t>government-organisation:OT222</t>
  </si>
  <si>
    <t>New Forest National Park Authority</t>
  </si>
  <si>
    <t>E26000009</t>
  </si>
  <si>
    <t>New Forest National Park Local Plan 2016-2036</t>
  </si>
  <si>
    <t>9a026ec2-d842-4206-8366-5f2255ce11a6</t>
  </si>
  <si>
    <t>https://www.newforestnpa.gov.uk/app/uploads/2018/03/Submission_draft_Local_Plan__January_2018_.docx.pdf</t>
  </si>
  <si>
    <t>https://s3.eu-west-2.amazonaws.com/local-plans/plan-documents/9a026ec2-d842-4206-8366-5f2255ce11a6.pdf</t>
  </si>
  <si>
    <t>8ccd153481ec7fe7e3ae30b54720dca0</t>
  </si>
  <si>
    <t>HTTPSConnectionPool(host='www.newforestnpa.gov.uk', port=443): Max retries exceeded with url: /app/uploads/2018/03/Submission_draft_Local_Plan__January_2018_.docx.pdf (Caused by NewConnectionError('&lt;urllib3.connection.VerifiedHTTPSConnection object at 0x7f91e1149c18&gt;: Failed to establish a new connection: [Errno 110] Connection timed out'))</t>
  </si>
  <si>
    <t>https://s3.eu-west-2.amazonaws.com/local-plans/images/9a026ec2-d842-4206-8366-5f2255ce11a6/d69c5f90-db89-49cd-b948-c1415c2d7ccf.jpg</t>
  </si>
  <si>
    <t>government-organisation:OT546</t>
  </si>
  <si>
    <t>South Downs National Park Authority</t>
  </si>
  <si>
    <t>E26000010</t>
  </si>
  <si>
    <t>South Downs Local Plan</t>
  </si>
  <si>
    <t>6a2d40d5-1f4c-4d69-a634-2be64dc0bae9</t>
  </si>
  <si>
    <t>https://www.southdowns.gov.uk/wp-content/uploads/2018/04/SDLP-01-Pre-Submission_South_Downs_Local_Plan.pdf</t>
  </si>
  <si>
    <t>https://s3.eu-west-2.amazonaws.com/local-plans/plan-documents/6a2d40d5-1f4c-4d69-a634-2be64dc0bae9.pdf</t>
  </si>
  <si>
    <t>9de2bc28cb62a4270a21e0a09124c5a9</t>
  </si>
  <si>
    <t>HTTPSConnectionPool(host='www.southdowns.gov.uk', port=443): Max retries exceeded with url: /wp-content/uploads/2018/04/SDLP-01-Pre-Submission_South_Downs_Local_Plan.pdf (Caused by SSLError(SSLCertVerificationError(1, '[SSL: CERTIFICATE_VERIFY_FAILED] certificate verify failed: unable to get local issuer certificate (_ssl.c:1056)')))</t>
  </si>
  <si>
    <t>https://s3.eu-west-2.amazonaws.com/local-plans/images/6a2d40d5-1f4c-4d69-a634-2be64dc0bae9/7a6b6547-1be8-429a-8591-0520a36b58ed.jpg</t>
  </si>
  <si>
    <t>government-organisation:OT220</t>
  </si>
  <si>
    <t>Lake District National Park Authority</t>
  </si>
  <si>
    <t>E26000011</t>
  </si>
  <si>
    <t>Living Lakes: Your Local Plan</t>
  </si>
  <si>
    <t>fb4d0cb4-4018-47cb-8afa-c8b261516f24</t>
  </si>
  <si>
    <t>https://s3.eu-west-2.amazonaws.com/local-plans/plan-documents/fb4d0cb4-4018-47cb-8afa-c8b261516f24.pdf</t>
  </si>
  <si>
    <t>government-organisation:OT547</t>
  </si>
  <si>
    <t>Yorkshire Dales National Park Authority</t>
  </si>
  <si>
    <t>E26000012</t>
  </si>
  <si>
    <t>Yorkshire Dales National Park Local Plan 2015-2030</t>
  </si>
  <si>
    <t>ea1e8cf6-0017-412a-bacf-3816a3f8df5d</t>
  </si>
  <si>
    <t>https://www.yorkshiredales.org.uk/__data/assets/pdf_file/0011/857558/Yorkshire-Dales-National-Park-Local-Plan-2015-30.pdf</t>
  </si>
  <si>
    <t>https://s3.eu-west-2.amazonaws.com/local-plans/plan-documents/ea1e8cf6-0017-412a-bacf-3816a3f8df5d.pdf</t>
  </si>
  <si>
    <t>cda8e8935599c87f12af6bcd4ab9a4d7</t>
  </si>
  <si>
    <t>404 Client Error: Not Found for url: https://www.yorkshiredales.org.uk/__data/assets/pdf_file/0011/857558/Yorkshire-Dales-National-Park-Local-Plan-2015-30.pdf</t>
  </si>
  <si>
    <t>https://s3.eu-west-2.amazonaws.com/local-plans/images/ea1e8cf6-0017-412a-bacf-3816a3f8df5d/0abe141b-256d-4acb-b346-1350aea5d56a.jpg</t>
  </si>
  <si>
    <t>development-corporation:1</t>
  </si>
  <si>
    <t>London Legacy Development Corporation</t>
  </si>
  <si>
    <t>E51000001</t>
  </si>
  <si>
    <t>4c19e2f5-5e6e-4b18-afb6-056c7263e7f8</t>
  </si>
  <si>
    <t>https://www.queenelizabetholympicpark.co.uk/-/media/lldc/local-plan/adoption-local-plan-2020/local-plan_july-2020.ashx?la=en</t>
  </si>
  <si>
    <t>https://s3.eu-west-2.amazonaws.com/local-plans/plan-documents/4c19e2f5-5e6e-4b18-afb6-056c7263e7f8.pdf</t>
  </si>
  <si>
    <t>d3e725012011b2044ac3dc59691d14dc</t>
  </si>
  <si>
    <t>development-corporation:2</t>
  </si>
  <si>
    <t>Old Oak and Park Royal Development Corporation</t>
  </si>
  <si>
    <t>E51000002</t>
  </si>
  <si>
    <t>07c4c137-0337-42cd-ad8f-10a773954b6d</t>
  </si>
  <si>
    <t>https://www.london.gov.uk/sites/default/files/kd1_opdc_local_plan_and_appendix2018.pdf</t>
  </si>
  <si>
    <t>https://s3.eu-west-2.amazonaws.com/local-plans/plan-documents/07c4c137-0337-42cd-ad8f-10a773954b6d.pdf</t>
  </si>
  <si>
    <t>https://s3.eu-west-2.amazonaws.com/local-plans/images/85cb6c79-ad1a-4031-bd26-9cff3c42df14.jpg</t>
  </si>
  <si>
    <t>local-authority-eng:NGM</t>
  </si>
  <si>
    <t>Greater Nottingham Aligned Core Strategies - Part 1 Local Plan</t>
  </si>
  <si>
    <t>1ac65a2e-3457-4033-a5db-f06dc73a257e</t>
  </si>
  <si>
    <t>https://www.broxtowe.gov.uk/media/2160/broxtowe-aligned-core-strategy.pdf</t>
  </si>
  <si>
    <t>https://s3.eu-west-2.amazonaws.com/local-plans/plan-documents/1ac65a2e-3457-4033-a5db-f06dc73a257e.pdf</t>
  </si>
  <si>
    <t>4b09cd79fd190fbd4099b8d419946f3e</t>
  </si>
  <si>
    <t>500 Server Error: Internal Server Error for url: https://www.broxtowe.gov.uk/media/2160/broxtowe-aligned-core-strategy.pdf</t>
  </si>
  <si>
    <t>https://s3.eu-west-2.amazonaws.com/local-plans/images/1ac65a2e-3457-4033-a5db-f06dc73a257e/8e67d046-b72b-417c-8a8e-9879d74a016b.jpg</t>
  </si>
  <si>
    <t>Greater Nottingham Strategic Plan</t>
  </si>
  <si>
    <t>072c043b-b3e1-4c46-a384-bdc7d24bde1e</t>
  </si>
  <si>
    <t>http://documents.nottinghamcity.gov.uk/download/8483</t>
  </si>
  <si>
    <t>https://s3.eu-west-2.amazonaws.com/local-plans/plan-documents/072c043b-b3e1-4c46-a384-bdc7d24bde1e.pdf</t>
  </si>
  <si>
    <t>1c583e75d1c7cd9937d631ad896c8330</t>
  </si>
  <si>
    <t>Nottingham Housing Market Area Local Housing Need (according to the  Standard Methodology) provides illustrative housing numbers given here.  Final housing need figures and their distribution between council areas will be established as part of the Plan Review.</t>
  </si>
  <si>
    <t>https://s3.eu-west-2.amazonaws.com/local-plans/images/072c043b-b3e1-4c46-a384-bdc7d24bde1e/dbc817da-aff6-4fd9-8566-f69939a07ab1.jpg</t>
  </si>
  <si>
    <t>local-authority-eng:STE</t>
  </si>
  <si>
    <t>Newcastle-under-Lyme and Stoke-on-Trent Core Spatial Strategy 2006-2026</t>
  </si>
  <si>
    <t>54ee799a-3874-4a32-82ee-c5632b7c4b69</t>
  </si>
  <si>
    <t>https://www.newcastle-staffs.gov.uk/sites/default/files/IMCE/Planning/Planning_Policy/SpatialStrategy/Core%20Strategy%20Final%20Version%20-%2028th%20October.pdf</t>
  </si>
  <si>
    <t>https://s3.eu-west-2.amazonaws.com/local-plans/plan-documents/54ee799a-3874-4a32-82ee-c5632b7c4b69.pdf</t>
  </si>
  <si>
    <t>54a01845d810da30b4a43f41a39ece1a</t>
  </si>
  <si>
    <t>https://s3.eu-west-2.amazonaws.com/local-plans/images/54ee799a-3874-4a32-82ee-c5632b7c4b69/18e3dcc3-ed54-41f8-a8e6-86b05055c1b0.jpg</t>
  </si>
  <si>
    <t>West of England JSP (Plan Withdrawn 7 April 2020)</t>
  </si>
  <si>
    <t>fc42cabb-a43b-4985-85a7-6bf3b4b90f27</t>
  </si>
  <si>
    <t>https://www.jointplanningwofe.org.uk/gf2.ti/f/845730/35827877.1/PDF/-/SD1A_The_Publication_Plan_November_2017.pdf</t>
  </si>
  <si>
    <t>HTTPSConnectionPool(host='www.jointplanningwofe.org.uk', port=443): Max retries exceeded with url: /gf2.ti/f/845730/35827877.1/PDF/-/SD1A_The_Publication_Plan_November_2017.pdf (Caused by SSLError(SSLCertVerificationError("hostname 'www.jointplanningwofe.org.uk' doesn't match '*.hosting.inovem.com'")))</t>
  </si>
  <si>
    <t>Joint Plan with:
Bath and North East Somerset (14500)
Bristol  (33500)
North Somerset (25000) 
South Gloucestershire (32500)
As at 20/01/2020, all authorities have withdrawn from the Plan except Bristol.</t>
  </si>
  <si>
    <t>https://s3.eu-west-2.amazonaws.com/local-plans/images/fc42cabb-a43b-4985-85a7-6bf3b4b90f27/892db10a-3f5a-4fce-98b4-91159eae7b1e.jpg</t>
  </si>
  <si>
    <t>local-authority-eng:PLY</t>
  </si>
  <si>
    <t>ac0c21f8-0035-4190-ac6d-31803fc784f4</t>
  </si>
  <si>
    <t>https://www.plymouth.gov.uk/plymouthandsouthwestdevonjointlocalplan/plymouthandsouthwestdevonjointlocalplanadoption</t>
  </si>
  <si>
    <t>Document at https://www.plymouth.gov.uk/plymouthandsouthwestdevonjointlocalplan/plymouthandsouthwestdevonjointlocalplanadoption might not be a pdf</t>
  </si>
  <si>
    <t>https://s3.eu-west-2.amazonaws.com/local-plans/images/ac0c21f8-0035-4190-ac6d-31803fc784f4/4e17ef02-c0b9-4f3e-8702-324a50460e6c.jpg</t>
  </si>
  <si>
    <t>Chiltern and South Bucks Local Plan - Withdrawn 21 October 2020</t>
  </si>
  <si>
    <t>e44f3ac6-d9bd-4f26-a318-3f187eea80d3</t>
  </si>
  <si>
    <t>https://www.southbucks.gov.uk/media/13288/Draft-Chiltern-and-South-Bucks-Local-Plan-2036/pdf/draft_Chiltern_and_South_Bucks_Local_Plan_2036_Final.pdf?m=636954976691670000</t>
  </si>
  <si>
    <t>https://s3.eu-west-2.amazonaws.com/local-plans/plan-documents/e44f3ac6-d9bd-4f26-a318-3f187eea80d3.pdf</t>
  </si>
  <si>
    <t>820565794c26e7ee2009f2aa5d705577</t>
  </si>
  <si>
    <t>500 Server Error: Internal Server Error for url: https://www.southbucks.gov.uk/media/13288/Draft-Chiltern-and-South-Bucks-Local-Plan-2036/pdf/draft_Chiltern_and_South_Bucks_Local_Plan_2036_Final.pdf?m=636954976691670000</t>
  </si>
  <si>
    <t>Excludes 4,161 unmet need to be met through Aylesbury Vale Local Plan.</t>
  </si>
  <si>
    <t>https://s3.eu-west-2.amazonaws.com/local-plans/images/e44f3ac6-d9bd-4f26-a318-3f187eea80d3/2cecb3c5-08a1-4441-8336-3a957fbd9c6d.jpg</t>
  </si>
  <si>
    <t>local-authority-eng:NDE</t>
  </si>
  <si>
    <t>North Devon District Council</t>
  </si>
  <si>
    <t>bfad269b-2eb1-4d33-ac9c-8f1fc83a35f7</t>
  </si>
  <si>
    <t>file:///Users/pebdesign/Downloads/North%20Devon%20and%20Torridge%20Local%20Plan%20-%20Adopted%20October%202018%20(Reduced).pdf</t>
  </si>
  <si>
    <t>No connection adapters were found for 'file:///Users/pebdesign/Downloads/North%20Devon%20and%20Torridge%20Local%20Plan%20-%20Adopted%20October%202018%20(Reduced).pdf'</t>
  </si>
  <si>
    <t>https://s3.eu-west-2.amazonaws.com/local-plans/images/bfad269b-2eb1-4d33-ac9c-8f1fc83a35f7/288a7f72-6c3b-4f3d-b2d1-c53f99c51f22.jpg</t>
  </si>
  <si>
    <t>local-authority-eng:SHA</t>
  </si>
  <si>
    <t>South Hams District Council</t>
  </si>
  <si>
    <t>local-authority-eng:TOR</t>
  </si>
  <si>
    <t>Torridge District Council</t>
  </si>
  <si>
    <t>local-authority-eng:WDE</t>
  </si>
  <si>
    <t>West Devon Borough Council</t>
  </si>
  <si>
    <t>Christchurch and East Dorset Local Plan Part 1 - Core Strategy</t>
  </si>
  <si>
    <t>8b48f728-8835-4b44-8f1a-d41101baeda1</t>
  </si>
  <si>
    <t>https://www.dorsetforyou.gov.uk/planning-buildings-land/planning-policy/christchurch/local-development-framework/local-plan-part-1/pdfs/local-plan-part-1/christchurch-and-east-dorset-adopted-core-strategy.pdf</t>
  </si>
  <si>
    <t>https://s3.eu-west-2.amazonaws.com/local-plans/plan-documents/8b48f728-8835-4b44-8f1a-d41101baeda1.pdf</t>
  </si>
  <si>
    <t>b8a787890fa8be74c4bfcbfe7503f19a</t>
  </si>
  <si>
    <t>https://s3.eu-west-2.amazonaws.com/local-plans/images/8ffc1244-d35f-46e5-870b-33d86c245a5f.jpg</t>
  </si>
  <si>
    <t>local-authority-eng:WDO</t>
  </si>
  <si>
    <t>West Dorset District Council</t>
  </si>
  <si>
    <t>E07000052</t>
  </si>
  <si>
    <t>West Dorset, Weymouth and Portland Local Plan 2015</t>
  </si>
  <si>
    <t>e25988ed-d64e-4bcd-914f-38ddb7b0c83e</t>
  </si>
  <si>
    <t>https://www.dorsetcouncil.gov.uk/planning-buildings-land/planning-policy/west-dorset-and-weymouth-portland/adopted-local-plan/pdfs/alp/west-dorset-weymouth-portland-local-plan-2015.pdf</t>
  </si>
  <si>
    <t>https://s3.eu-west-2.amazonaws.com/local-plans/plan-documents/e25988ed-d64e-4bcd-914f-38ddb7b0c83e.pdf</t>
  </si>
  <si>
    <t>de39304cdb831a3abceb8f6315741631</t>
  </si>
  <si>
    <t>https://s3.eu-west-2.amazonaws.com/local-plans/images/e25988ed-d64e-4bcd-914f-38ddb7b0c83e/d96796d5-11ff-4121-9714-d8539a959289.jpg</t>
  </si>
  <si>
    <t>local-authority-eng:WEY</t>
  </si>
  <si>
    <t>Weymouth and Portland Borough Council</t>
  </si>
  <si>
    <t>E07000053</t>
  </si>
  <si>
    <t>local-authority-eng:CHT</t>
  </si>
  <si>
    <t>Cheltenham Borough Council</t>
  </si>
  <si>
    <t>Gloucester, Cheltenham and Tewkesbury Joint Core Strategy</t>
  </si>
  <si>
    <t>8cecfc29-1e2c-442c-9525-6138c62b00d8</t>
  </si>
  <si>
    <t>https://jointcorestrategy-my.sharepoint.com/personal/website_jointcorestrategy_onmicrosoft_com/_layouts/15/onedrive.aspx?id=%2Fpersonal%2Fwebsite_jointcorestrategy_onmicrosoft_com%2FDocuments%2FJoint%20Core%20Strategy%20%28JCS%29%20website%2FJCS%20Adoption%2FJCS%20Plan%20Adopted%20Verison%20%28PDF%2E%2010MB%29%20Formatted%2Epdf&amp;parent=%2Fpersonal%2Fwebsite_jointcorestrategy_onmicrosoft_com%2FDocuments%2FJoint%20Core%20Strategy%20%28JCS%29%20website%2FJCS%20Adoption&amp;cid=d5523cc5-0d82-4116-9adf-f9010ea91a63</t>
  </si>
  <si>
    <t>Document at https://jointcorestrategy-my.sharepoint.com/personal/website_jointcorestrategy_onmicrosoft_com/_layouts/15/onedrive.aspx?id=%2Fpersonal%2Fwebsite_jointcorestrategy_onmicrosoft_com%2FDocuments%2FJoint%20Core%20Strategy%20%28JCS%29%20website%2FJCS%20Adoption%2FJCS%20Plan%20Adopted%20Verison%20%28PDF%2E%2010MB%29%20Formatted%2Epdf&amp;parent=%2Fpersonal%2Fwebsite_jointcorestrategy_onmicrosoft_com%2FDocuments%2FJoint%20Core%20Strategy%20%28JCS%29%20website%2FJCS%20Adoption&amp;cid=d5523cc5-0d82-4116-9adf-f9010ea91a63 might not be a pdf</t>
  </si>
  <si>
    <t>https://s3.eu-west-2.amazonaws.com/local-plans/images/8cecfc29-1e2c-442c-9525-6138c62b00d8/e802e5b1-ed61-4970-9d8e-07bf34fb798a.jpg</t>
  </si>
  <si>
    <t>Gloucester, Cheltenham and Tewkesbury Joint Core Strategy Review</t>
  </si>
  <si>
    <t>0677afdc-f4da-48c2-9d13-5f80dd479cd3</t>
  </si>
  <si>
    <t>https://www.jointcorestrategy.org/joint-core-strategy-review</t>
  </si>
  <si>
    <t>https://s3.eu-west-2.amazonaws.com/local-plans/images/0677afdc-f4da-48c2-9d13-5f80dd479cd3/a2c6bdce-6538-4397-bb99-1f60e5f98c30.jpg</t>
  </si>
  <si>
    <t>local-authority-eng:GLO</t>
  </si>
  <si>
    <t>Gloucester City Council</t>
  </si>
  <si>
    <t>local-authority-eng:TEW</t>
  </si>
  <si>
    <t>Tewkesbury Borough Council</t>
  </si>
  <si>
    <t>local-authority-eng:CHO</t>
  </si>
  <si>
    <t>Chorley Borough Council</t>
  </si>
  <si>
    <t>Central Lancashire Core Strategy</t>
  </si>
  <si>
    <t>43a07557-8479-4374-b7b5-50099a966ce5</t>
  </si>
  <si>
    <t>https://centrallocalplan.lancashire.gov.uk/media/1032/central-lancashire-core-strategy-july-2012-v1.pdf</t>
  </si>
  <si>
    <t>https://s3.eu-west-2.amazonaws.com/local-plans/plan-documents/43a07557-8479-4374-b7b5-50099a966ce5.pdf</t>
  </si>
  <si>
    <t>8da1f9de86a253b604f32359abaa0376</t>
  </si>
  <si>
    <t>Excludes previous under-provision of 702 across the plan area, which will be made up over the plan period.</t>
  </si>
  <si>
    <t>https://s3.eu-west-2.amazonaws.com/local-plans/images/43a07557-8479-4374-b7b5-50099a966ce5/a04c0220-6cec-4a07-95c7-9e915feeebed.jpg</t>
  </si>
  <si>
    <t xml:space="preserve">Central Lancashire Local Plan </t>
  </si>
  <si>
    <t>3af4f732-5261-4ef0-83db-8e73bfff3b2e</t>
  </si>
  <si>
    <t>https://centrallocalplan.citizenspace.com/central-team/issuesandoptions/supporting_documents/smaller%20%20Main%20IO%20Consultation%20Paper%20FINAL%20111119.pdf</t>
  </si>
  <si>
    <t>https://s3.eu-west-2.amazonaws.com/local-plans/plan-documents/3af4f732-5261-4ef0-83db-8e73bfff3b2e.pdf</t>
  </si>
  <si>
    <t>907013bf61474a208ec98f7bdf32fd8d</t>
  </si>
  <si>
    <t>Housing numbers taken from Issues and Options Paper, published November 2019.   This consultation ran for 13 weeks from Monday 18th November 2019 until Friday 14th February 2020</t>
  </si>
  <si>
    <t>https://s3.eu-west-2.amazonaws.com/local-plans/images/3af4f732-5261-4ef0-83db-8e73bfff3b2e/1c781c2a-52ab-47a4-9cfe-e993a12a3334.jpg</t>
  </si>
  <si>
    <t>local-authority-eng:PRE</t>
  </si>
  <si>
    <t>Preston City Council</t>
  </si>
  <si>
    <t>local-authority-eng:SRI</t>
  </si>
  <si>
    <t>South Ribble Borough Council</t>
  </si>
  <si>
    <t>local-authority-eng:BOT</t>
  </si>
  <si>
    <t>Boston Borough Council</t>
  </si>
  <si>
    <t>South East Lincs Local Plan</t>
  </si>
  <si>
    <t>5a9b2069-4901-4bbc-9a8f-8a784211ed03</t>
  </si>
  <si>
    <t>http://www.southeastlincslocalplan.org/wp-content/uploads/2019/02/Local-Plan-text-March-2019.pdf</t>
  </si>
  <si>
    <t>https://s3.eu-west-2.amazonaws.com/local-plans/plan-documents/5a9b2069-4901-4bbc-9a8f-8a784211ed03.pdf</t>
  </si>
  <si>
    <t>80b2c6d29e3345b27fb999ab6167f16a</t>
  </si>
  <si>
    <t>https://s3.eu-west-2.amazonaws.com/local-plans/images/5a9b2069-4901-4bbc-9a8f-8a784211ed03/cf4b7ea7-f6cd-4fdf-b011-39f2baf052d5.jpg</t>
  </si>
  <si>
    <t>local-authority-eng:LIC</t>
  </si>
  <si>
    <t>City of Lincoln Council</t>
  </si>
  <si>
    <t>13ed529a-72eb-484c-a96b-dc2d46d9913e</t>
  </si>
  <si>
    <t>https://www.n-kesteven.gov.uk/EasySiteWeb/GatewayLink.aspx?alId=54815</t>
  </si>
  <si>
    <t>https://s3.eu-west-2.amazonaws.com/local-plans/plan-documents/13ed529a-72eb-484c-a96b-dc2d46d9913e.pdf</t>
  </si>
  <si>
    <t>104e6c34689e1015431464e6c71db252</t>
  </si>
  <si>
    <t>HTTPSConnectionPool(host='www.n-kesteven.gov.uk', port=443): Max retries exceeded with url: /EasySiteWeb/GatewayLink.aspx?alId=54815 (Caused by SSLError(SSLCertVerificationError(1, '[SSL: CERTIFICATE_VERIFY_FAILED] certificate verify failed: unable to get local issuer certificate (_ssl.c:1056)')))</t>
  </si>
  <si>
    <t xml:space="preserve">No disaggregation to District level. </t>
  </si>
  <si>
    <t>https://s3.eu-west-2.amazonaws.com/local-plans/images/13ed529a-72eb-484c-a96b-dc2d46d9913e/a77a930f-a7b8-4613-bee5-3560ed6b03e2.jpg</t>
  </si>
  <si>
    <t>Central Lincolnshire Local Plan Review</t>
  </si>
  <si>
    <t>037fba2c-eaf5-451a-ac49-4702ac2a61bf</t>
  </si>
  <si>
    <t>https://central-lincs.inconsult.uk/consult.ti/CLLP.Issues.Options/consultationHome</t>
  </si>
  <si>
    <t>Document at https://central-lincs.inconsult.uk/consult.ti/CLLP.Issues.Options/consultationHome might not be a pdf</t>
  </si>
  <si>
    <t>Yearly range 1,083 - 1,300 for whole of Joint Plan.  No disaggregation to District level.  Numbers taken from Issues &amp; Options document (June 2019).</t>
  </si>
  <si>
    <t>https://s3.eu-west-2.amazonaws.com/local-plans/images/037fba2c-eaf5-451a-ac49-4702ac2a61bf/991d0a60-c2ff-43e1-bda4-2be1578ecbea.jpg</t>
  </si>
  <si>
    <t>local-authority-eng:NKE</t>
  </si>
  <si>
    <t>North Kesteven District Council</t>
  </si>
  <si>
    <t>local-authority-eng:SHO</t>
  </si>
  <si>
    <t>South Holland District Council</t>
  </si>
  <si>
    <t>local-authority-eng:WLI</t>
  </si>
  <si>
    <t>West Lindsey District Council</t>
  </si>
  <si>
    <t>local-authority-eng:BRO</t>
  </si>
  <si>
    <t>Broadland District Council</t>
  </si>
  <si>
    <t>a72eca2f-24ac-4362-b612-43ebcf7479de</t>
  </si>
  <si>
    <t>http://www.greaternorwichgrowth.org.uk/dmsdocument/1953</t>
  </si>
  <si>
    <t>https://s3.eu-west-2.amazonaws.com/local-plans/plan-documents/a72eca2f-24ac-4362-b612-43ebcf7479de.pdf</t>
  </si>
  <si>
    <t>bb42c6683c5f03bdfd301ced60c4e63f</t>
  </si>
  <si>
    <t>Allocations distributed as follows: Norwich - 8,592; South Norfolk - 15,524; Broadland - 12,704.</t>
  </si>
  <si>
    <t>https://s3.eu-west-2.amazonaws.com/local-plans/images/a72eca2f-24ac-4362-b612-43ebcf7479de/6f5e60a0-6d9f-4f26-a9da-de833bd23128.jpg</t>
  </si>
  <si>
    <t>Greater Norwich Local Plan</t>
  </si>
  <si>
    <t>b428be92-9a52-48d4-9bd5-6c99a3f63c79</t>
  </si>
  <si>
    <t>https://s3.eu-west-2.amazonaws.com/local-plans/plan-documents/b428be92-9a52-48d4-9bd5-6c99a3f63c79.pdf</t>
  </si>
  <si>
    <t>local-authority-eng:NOW</t>
  </si>
  <si>
    <t>Norwich City Council</t>
  </si>
  <si>
    <t>local-authority-eng:SNO</t>
  </si>
  <si>
    <t>South Norfolk District Council</t>
  </si>
  <si>
    <t>local-authority-eng:COR</t>
  </si>
  <si>
    <t>Corby Borough Council</t>
  </si>
  <si>
    <t>North Northamptonshire Joint Core Strategy 2011-2031</t>
  </si>
  <si>
    <t>b818aff3-bd8a-4243-8e7a-e4ac402182de</t>
  </si>
  <si>
    <t>http://www.nnjpdu.org.uk/site/assets/files/1086/joint_core_strategy_2011-2031_high_res_version_for_website.pdf</t>
  </si>
  <si>
    <t>https://s3.eu-west-2.amazonaws.com/local-plans/plan-documents/b818aff3-bd8a-4243-8e7a-e4ac402182de.pdf</t>
  </si>
  <si>
    <t>6ed68a77e7b4a3719d390cef841e8e9a</t>
  </si>
  <si>
    <t>9,200 requirement for Corby excludes 'strategic opportunity'.</t>
  </si>
  <si>
    <t>https://s3.eu-west-2.amazonaws.com/local-plans/images/b818aff3-bd8a-4243-8e7a-e4ac402182de/d93d6e2c-d2f7-4669-95ca-49e06522d306.jpg</t>
  </si>
  <si>
    <t>local-authority-eng:DAV</t>
  </si>
  <si>
    <t>Daventry District Council</t>
  </si>
  <si>
    <t>West Northamptonshire Joint Core Strategy Local Plan (Part 1)</t>
  </si>
  <si>
    <t>194c957b-2fd6-499d-b6d6-4f8344b4db32</t>
  </si>
  <si>
    <t>http://www.westnorthamptonshirejpu.org/connect.ti/website/view?objectId=14087653#14087653</t>
  </si>
  <si>
    <t>Document at http://www.westnorthamptonshirejpu.org/connect.ti/website/view?objectId=14087653#14087653 might not be a pdf</t>
  </si>
  <si>
    <t>https://s3.eu-west-2.amazonaws.com/local-plans/images/194c957b-2fd6-499d-b6d6-4f8344b4db32/96dacb09-6df6-496b-9e66-61f090be6863.jpg</t>
  </si>
  <si>
    <t>West Northamptonshire Strategic Plan</t>
  </si>
  <si>
    <t>1a4d17a9-c599-4a20-8c5d-b226c768b4ee</t>
  </si>
  <si>
    <t>https://westnorthantsplan.inconsult.uk/gf2.ti/f/1046082/54068613.1/PDF/-/WNSP_FINAL_smaller_003.pdf</t>
  </si>
  <si>
    <t>Document at https://westnorthantsplan.inconsult.uk/gf2.ti/f/1046082/54068613.1/PDF/-/WNSP_FINAL_smaller_003.pdf might not be a pdf</t>
  </si>
  <si>
    <t>To facilitate increased levels of growth to match aspirations
for the Ox-Cam Arc, a potential Arc-related growth scenario would be to plan for LHN +10% for 2019-29 and then apply a further uplift of  40% to LHN from 2029 to 41. This results in
a requirement for 61700 dwellings.</t>
  </si>
  <si>
    <t>https://s3.eu-west-2.amazonaws.com/local-plans/images/1a4d17a9-c599-4a20-8c5d-b226c768b4ee/46efd4f8-8ec3-473a-8fed-5387899965e0.jpg</t>
  </si>
  <si>
    <t>local-authority-eng:ENO</t>
  </si>
  <si>
    <t>East Northamptonshire Council</t>
  </si>
  <si>
    <t>local-authority-eng:KET</t>
  </si>
  <si>
    <t>Kettering Borough Council</t>
  </si>
  <si>
    <t>local-authority-eng:NOR</t>
  </si>
  <si>
    <t>Northampton Borough Council</t>
  </si>
  <si>
    <t>local-authority-eng:SNR</t>
  </si>
  <si>
    <t>South Northamptonshire Council</t>
  </si>
  <si>
    <t>local-authority-eng:WEL</t>
  </si>
  <si>
    <t>Wellingborough Borough Council</t>
  </si>
  <si>
    <t>local-authority-eng:BRT</t>
  </si>
  <si>
    <t>Broxtowe Borough Council</t>
  </si>
  <si>
    <t>local-authority-eng:GED</t>
  </si>
  <si>
    <t>Gedling Borough Council</t>
  </si>
  <si>
    <t>Oxfordshire Plan 2050</t>
  </si>
  <si>
    <t>80dbd4a8-a6aa-4b9a-a285-663be0bfac7b</t>
  </si>
  <si>
    <t>local-authority-eng:NEC</t>
  </si>
  <si>
    <t>Newcastle-under-Lyme Borough Council</t>
  </si>
  <si>
    <t>Babergh &amp; Mid Suffolk Joint Local Plan</t>
  </si>
  <si>
    <t>c5fa3dc2-5ea9-4f54-989b-f8dc71612e09</t>
  </si>
  <si>
    <t>https://s3.eu-west-2.amazonaws.com/local-plans/plan-documents/c5fa3dc2-5ea9-4f54-989b-f8dc71612e09.pdf</t>
  </si>
  <si>
    <t>local-authority-eng:MAV</t>
  </si>
  <si>
    <t>Malvern Hills District Council</t>
  </si>
  <si>
    <t>South Worcestershire Development Plan</t>
  </si>
  <si>
    <t>868e439e-f1c0-41a1-b952-d9db2beb06c2</t>
  </si>
  <si>
    <t>http://www.swdevelopmentplan.org/wp-content/uploads/2016/06/The-Adopted-SWDP-February-2016.pdf</t>
  </si>
  <si>
    <t>https://s3.eu-west-2.amazonaws.com/local-plans/plan-documents/868e439e-f1c0-41a1-b952-d9db2beb06c2.pdf</t>
  </si>
  <si>
    <t>6c851762c881598a7cd9e5d3d2f309da</t>
  </si>
  <si>
    <t>Malvern Hills: Comprises 4,450 in the Wider Worcester Area (WWA) and 5,650 outside the WWA. Wychavon: Comprises 900 in the WWA and 10,600 outside the WWA.</t>
  </si>
  <si>
    <t>https://s3.eu-west-2.amazonaws.com/local-plans/images/868e439e-f1c0-41a1-b952-d9db2beb06c2/b6038b1e-ec1e-4db9-8988-51f1d7101634.jpg</t>
  </si>
  <si>
    <t>South Worcestershire Development Plan Review</t>
  </si>
  <si>
    <t>2458d797-2eb5-4c29-a1cc-93c10bf58b9f</t>
  </si>
  <si>
    <t>https://swjcs-consult.objective.co.uk/portal/swdpr_i_and_o/swdp_review_io?pointId=s15294084535961#section-s15294084535961</t>
  </si>
  <si>
    <t>Document at https://swjcs-consult.objective.co.uk/portal/swdpr_i_and_o/swdp_review_io?pointId=s15294084535961#section-s15294084535961 might not be a pdf</t>
  </si>
  <si>
    <t>https://s3.eu-west-2.amazonaws.com/local-plans/images/2458d797-2eb5-4c29-a1cc-93c10bf58b9f/3884f315-d3fb-4c8e-aa77-1d520e98aaf6.jpg</t>
  </si>
  <si>
    <t>local-authority-eng:WOC</t>
  </si>
  <si>
    <t>Worcester City Council</t>
  </si>
  <si>
    <t>local-authority-eng:WYC</t>
  </si>
  <si>
    <t>Wychavon District Council</t>
  </si>
  <si>
    <t>local-authority-eng:BUR</t>
  </si>
  <si>
    <t>Bury Metropolitan Borough Council</t>
  </si>
  <si>
    <t>local-authority-eng:TAM</t>
  </si>
  <si>
    <t>Tameside Metropolitan Borough Council</t>
  </si>
  <si>
    <t>local-authority-eng:NET</t>
  </si>
  <si>
    <t>Newcastle City Council</t>
  </si>
  <si>
    <t>Core Strategy and Urban Core Plan for Gateshead and Newcastle upon Tyne</t>
  </si>
  <si>
    <t>6f3b7d3c-a04c-46a6-9f98-c23bd794cf30</t>
  </si>
  <si>
    <t>https://www.newcastle.gov.uk/sites/default/files/2019-01/planning_for_the_future_core_strategy_and_urban_core_plan_2010-2030.pdf</t>
  </si>
  <si>
    <t>https://s3.eu-west-2.amazonaws.com/local-plans/plan-documents/6f3b7d3c-a04c-46a6-9f98-c23bd794cf30.pdf</t>
  </si>
  <si>
    <t>acb529aaffcf986205bf50f4cf07fcd7</t>
  </si>
  <si>
    <t>https://s3.eu-west-2.amazonaws.com/local-plans/images/6f3b7d3c-a04c-46a6-9f98-c23bd794cf30/e91a6110-a10b-4413-bd33-f4890891e3fd.jpg</t>
  </si>
  <si>
    <t>local-authority-eng:DUD</t>
  </si>
  <si>
    <t>Dudley Metropolitan Borough Council</t>
  </si>
  <si>
    <t>Black Country Core Strategy 2011</t>
  </si>
  <si>
    <t>95690c16-7ad0-4b4d-9581-fc267e0f0537</t>
  </si>
  <si>
    <t>http://blackcountrycorestrategy.dudley.gov.uk/EasysiteWeb/getresource.axd?AssetID=198681&amp;type=full&amp;servicetype=Attachment</t>
  </si>
  <si>
    <t>https://s3.eu-west-2.amazonaws.com/local-plans/plan-documents/95690c16-7ad0-4b4d-9581-fc267e0f0537.pdf</t>
  </si>
  <si>
    <t>8da567165bbf412e3fbd50edbfc54b8c</t>
  </si>
  <si>
    <t>Document at http://blackcountrycorestrategy.dudley.gov.uk/EasysiteWeb/getresource.axd?AssetID=198681&amp;type=full&amp;servicetype=Attachment might not be a pdf</t>
  </si>
  <si>
    <t>https://s3.eu-west-2.amazonaws.com/local-plans/images/95690c16-7ad0-4b4d-9581-fc267e0f0537/e00ac111-9f61-4285-b906-656832bb9166.jpg</t>
  </si>
  <si>
    <t>6995ac69-d63a-4c3d-89ad-a7f9c4a8c8da</t>
  </si>
  <si>
    <t>https://s3.eu-west-2.amazonaws.com/local-plans/plan-documents/6995ac69-d63a-4c3d-89ad-a7f9c4a8c8da.pdf</t>
  </si>
  <si>
    <t>local-authority-eng:SAW</t>
  </si>
  <si>
    <t>Sandwell Metropolitan Borough Council</t>
  </si>
  <si>
    <t>local-authority-eng:WLL</t>
  </si>
  <si>
    <t>Walsall Metropolitan Borough Council</t>
  </si>
  <si>
    <t>local-authority-eng:WLV</t>
  </si>
  <si>
    <t>City of Wolverhampton Council</t>
  </si>
  <si>
    <t>local-authority-eng:GAT</t>
  </si>
  <si>
    <t>Gateshead Metropolitan Borough Council</t>
  </si>
  <si>
    <t>LAD18CD</t>
  </si>
  <si>
    <t>LAD18NM</t>
  </si>
  <si>
    <t>Total Rural population 2011</t>
  </si>
  <si>
    <t>Urban City and Town population 2011</t>
  </si>
  <si>
    <t>Urban Minor Conurbation population 2011</t>
  </si>
  <si>
    <t>Urban Major Conurbation population 2011</t>
  </si>
  <si>
    <t>Total Urban population 2011</t>
  </si>
  <si>
    <t>Total population 2011</t>
  </si>
  <si>
    <t>Hub towns (rural related) population included in Urban population 2011</t>
  </si>
  <si>
    <t>Rural including hub towns (rural &amp; rural related) population 2011</t>
  </si>
  <si>
    <t>Rural including hub towns (rural &amp; rural related) population as % of Total population 2011</t>
  </si>
  <si>
    <t>RUC11CD</t>
  </si>
  <si>
    <t>RUC11</t>
  </si>
  <si>
    <t>Broad RUC11</t>
  </si>
  <si>
    <t>Urban with City and Town</t>
  </si>
  <si>
    <t>Predominantly Urban</t>
  </si>
  <si>
    <t>Urban with Significant Rural (rural including hub towns 26-49%)</t>
  </si>
  <si>
    <t>Urban with Significant Rural</t>
  </si>
  <si>
    <t xml:space="preserve">Largely Rural (rural including hub towns 50-79%) </t>
  </si>
  <si>
    <t>Predominantly Rural</t>
  </si>
  <si>
    <t xml:space="preserve">Mainly Rural (rural including hub towns &gt;=80%) </t>
  </si>
  <si>
    <t>Urban with Minor Conurbation</t>
  </si>
  <si>
    <t>Bournemouth</t>
  </si>
  <si>
    <t>Poole</t>
  </si>
  <si>
    <t>Urban with Major Conurbation</t>
  </si>
  <si>
    <t>County Durham</t>
  </si>
  <si>
    <t>Bedford</t>
  </si>
  <si>
    <t>Aylesbury Vale</t>
  </si>
  <si>
    <t>Chiltern</t>
  </si>
  <si>
    <t>South Bucks</t>
  </si>
  <si>
    <t>Wycombe</t>
  </si>
  <si>
    <t>Christchurch</t>
  </si>
  <si>
    <t>East Dorset</t>
  </si>
  <si>
    <t>North Dorset</t>
  </si>
  <si>
    <t>Purbeck</t>
  </si>
  <si>
    <t>West Dorset</t>
  </si>
  <si>
    <t>Weymouth and Portland</t>
  </si>
  <si>
    <t>Taunton Deane</t>
  </si>
  <si>
    <t>West Somerset</t>
  </si>
  <si>
    <t>Forest Heath</t>
  </si>
  <si>
    <t>St Edmundsbury</t>
  </si>
  <si>
    <t>Suffolk Coastal</t>
  </si>
  <si>
    <t>Waveney</t>
  </si>
  <si>
    <t>E10000003</t>
  </si>
  <si>
    <t>Cambridgeshire</t>
  </si>
  <si>
    <t>E10000006</t>
  </si>
  <si>
    <t>Cumbria</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</si>
  <si>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</si>
  <si>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</si>
  <si>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</si>
  <si>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</si>
  <si>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</si>
  <si>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</si>
  <si>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</si>
  <si>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</si>
  <si>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</si>
  <si>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</si>
  <si>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</si>
  <si>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</si>
  <si>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</si>
  <si>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</si>
  <si>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</si>
  <si>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</si>
  <si>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</si>
  <si>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</si>
  <si>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</si>
  <si>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</si>
  <si>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</si>
  <si>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</si>
  <si>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</si>
  <si>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</si>
  <si>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</si>
  <si>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</si>
  <si>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</si>
  <si>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</si>
  <si>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</si>
  <si>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</si>
  <si>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</si>
  <si>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</si>
  <si>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</si>
  <si>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</si>
  <si>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</si>
  <si>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</si>
  <si>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</si>
  <si>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</si>
  <si>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</si>
  <si>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</si>
  <si>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</si>
  <si>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</si>
  <si>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</si>
  <si>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</si>
  <si>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</si>
  <si>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</si>
  <si>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Source: https://geoportal.statistics.gov.uk/search?collection=Dataset&amp;sort=name&amp;tags=all(PRD_RUC)</t>
  </si>
  <si>
    <t>CODE</t>
  </si>
  <si>
    <t>NAME</t>
  </si>
  <si>
    <t>CON</t>
  </si>
  <si>
    <t>LAB</t>
  </si>
  <si>
    <t>LD</t>
  </si>
  <si>
    <t>IND/OTHER</t>
  </si>
  <si>
    <t>PC</t>
  </si>
  <si>
    <t>UKIP</t>
  </si>
  <si>
    <t>GREEN</t>
  </si>
  <si>
    <t>TOTAL SEATS</t>
  </si>
  <si>
    <t>CONTROL</t>
  </si>
  <si>
    <t>TOTAL ELECTORATE</t>
  </si>
  <si>
    <t>NOC</t>
  </si>
  <si>
    <t>W06000001</t>
  </si>
  <si>
    <t>Anglesey</t>
  </si>
  <si>
    <t>W06000019</t>
  </si>
  <si>
    <t>Blaenau Gwent</t>
  </si>
  <si>
    <t>W06000013</t>
  </si>
  <si>
    <t>Bridgend</t>
  </si>
  <si>
    <t>W06000018</t>
  </si>
  <si>
    <t>Caerphilly</t>
  </si>
  <si>
    <t>W06000015</t>
  </si>
  <si>
    <t>W06000010</t>
  </si>
  <si>
    <t>Carmarthenshire</t>
  </si>
  <si>
    <t>W06000008</t>
  </si>
  <si>
    <t>Ceredigion</t>
  </si>
  <si>
    <t>W06000003</t>
  </si>
  <si>
    <t>Conwy</t>
  </si>
  <si>
    <t>W06000004</t>
  </si>
  <si>
    <t>Denbighshire</t>
  </si>
  <si>
    <t>W06000005</t>
  </si>
  <si>
    <t>Flintshire</t>
  </si>
  <si>
    <t>W06000002</t>
  </si>
  <si>
    <t>Gwynedd</t>
  </si>
  <si>
    <t>W06000024</t>
  </si>
  <si>
    <t>Merthyr Tydfil</t>
  </si>
  <si>
    <t>W06000021</t>
  </si>
  <si>
    <t>Monmouthshire</t>
  </si>
  <si>
    <t>W06000012</t>
  </si>
  <si>
    <t>Neath Port Talbot</t>
  </si>
  <si>
    <t>W06000022</t>
  </si>
  <si>
    <t>Newport</t>
  </si>
  <si>
    <t>W06000009</t>
  </si>
  <si>
    <t>Pembrokeshire</t>
  </si>
  <si>
    <t>W06000023</t>
  </si>
  <si>
    <t>Powys</t>
  </si>
  <si>
    <t>W06000016</t>
  </si>
  <si>
    <t>Rhondda Cynon Taf</t>
  </si>
  <si>
    <t>St Helens</t>
  </si>
  <si>
    <t>W06000011</t>
  </si>
  <si>
    <t>Swansea</t>
  </si>
  <si>
    <t>W06000020</t>
  </si>
  <si>
    <t>Torfaen</t>
  </si>
  <si>
    <t>W06000014</t>
  </si>
  <si>
    <t>Vale of Glamorgan</t>
  </si>
  <si>
    <t>W06000006</t>
  </si>
  <si>
    <t>Wrexham</t>
  </si>
  <si>
    <t>Dashboard</t>
  </si>
  <si>
    <t>Summary graphs that automatically update with data</t>
  </si>
  <si>
    <t>Sourced internally from the LGA R&amp;I team</t>
  </si>
  <si>
    <t>Changes in HDT</t>
  </si>
  <si>
    <t>HDT Year</t>
  </si>
  <si>
    <t>HDT Classification</t>
  </si>
  <si>
    <t>Homes required versus net additional dwellings</t>
  </si>
  <si>
    <t>Year</t>
  </si>
  <si>
    <t>Net additional housing</t>
  </si>
  <si>
    <t>Type of measure</t>
  </si>
  <si>
    <t>2021/22</t>
  </si>
  <si>
    <t>2022/23</t>
  </si>
  <si>
    <t>2023/24</t>
  </si>
  <si>
    <t>2024/25</t>
  </si>
  <si>
    <t>2025/26</t>
  </si>
  <si>
    <t>Comparison of housing need calculations based on government policy adjustments</t>
  </si>
  <si>
    <t>HTTPSConnectionPool(host='www.basingstoke.gov.uk', port=443): Max retries exceeded with url: /content/doclib/1592.pdf (Caused by NewConnectionError('&lt;urllib3.connection.VerifiedHTTPSConnection object at 0x7fd099ac7780&gt;: Failed to establish a new connection: [Errno -3] Temporary failure in name resolution'))</t>
  </si>
  <si>
    <t>e9871f1b2ddcad57a8c78e4958e5c10e</t>
  </si>
  <si>
    <t>HTTPSConnectionPool(host='www.blackpool.gov.uk', port=443): Max retries exceeded with url: /Residents/Planning-environment-and-community/Documents/J118003-107575-2016-updated-17-Feb-2016-High-Res.pdf (Caused by NewConnectionError('&lt;urllib3.connection.VerifiedHTTPSConnection object at 0x7fa5110d0668&gt;: Failed to establish a new connection: [Errno 113] No route to host'))</t>
  </si>
  <si>
    <t>Copeland Local Plan 2021-2038</t>
  </si>
  <si>
    <t>https://www.copeland.gov.uk/sites/default/files/attachments/localplanpublicationdraft.pdf</t>
  </si>
  <si>
    <t>c67fdf1fd72edb9a7afad2ba3dd916ee</t>
  </si>
  <si>
    <t>https://s3.eu-west-2.amazonaws.com/local-plans/images/8ee21257-ede9-489f-9f60-73911898dc92/8c4d233c-f37f-4eaa-95e4-bb109d0a21b8.jpg</t>
  </si>
  <si>
    <t>HTTPSConnectionPool(host='www.dorsetforyou.gov.uk', port=443): Max retries exceeded with url: /planning-buildings-land/planning-policy/christchurch/local-development-framework/local-plan-part-1/pdfs/local-plan-part-1/christchurch-and-east-dorset-adopted-core-strategy.pdf (Caused by NewConnectionError('&lt;urllib3.connection.VerifiedHTTPSConnection object at 0x7fd2275a5278&gt;: Failed to establish a new connection: [Errno -3] Temporary failure in name resolution'))</t>
  </si>
  <si>
    <t>b28b1e89578ec13529923fda62b56510</t>
  </si>
  <si>
    <t>HTTPSConnectionPool(host='www.bromsgrove.gov.uk', port=443): Max retries exceeded with url: /media/2673698/Adopted-BDP-January-2017.pdf (Caused by NewConnectionError('&lt;urllib3.connection.VerifiedHTTPSConnection object at 0x7f2b083565c0&gt;: Failed to establish a new connection: [Errno 110] Connection timed out'))</t>
  </si>
  <si>
    <t>HTTPSConnectionPool(host='www.bromsgrove.gov.uk', port=443): Max retries exceeded with url: /media/3926027/Issues-and-Options-Consultation-Document-24-09-18.pdf (Caused by NewConnectionError('&lt;urllib3.connection.VerifiedHTTPSConnection object at 0x7f2b0d0067b8&gt;: Failed to establish a new connection: [Errno 110] Connection timed out'))</t>
  </si>
  <si>
    <t>6fabb14e-98ce-4597-b679-af48f4dd1919</t>
  </si>
  <si>
    <t>https://www.barnet.gov.uk/sites/default/files/local_plan_reg_19.pdf</t>
  </si>
  <si>
    <t>404 Client Error: Not Found for url: https://www.barnet.gov.uk/sites/default/files/local_plan_reg_19.pdf</t>
  </si>
  <si>
    <t>Housing had been 46,000 (total for 2021-2036) from Jan 2020 Reg 18 'Preferred Approach' document. In June 2021 Publication Reg 19 document it is now 35,460 for same period.</t>
  </si>
  <si>
    <t>https://s3.eu-west-2.amazonaws.com/local-plans/images/6fabb14e-98ce-4597-b679-af48f4dd1919/598bc67c-15b7-4d13-ba3b-a66abc979b01.jpg</t>
  </si>
  <si>
    <t>Dartford New Local Plan (Sept 2021 Publication)</t>
  </si>
  <si>
    <t>24f1e624-6b8a-4914-9dc9-6fb5f3c28dd9</t>
  </si>
  <si>
    <t>https://www.dartford.gov.uk/__data/assets/pdf_file/0004/1190218/Revised-Draft-Publication-Plan-CLEAN-FINAL-Sept-21.pdf</t>
  </si>
  <si>
    <t>https://s3.eu-west-2.amazonaws.com/local-plans/plan-documents/24f1e624-6b8a-4914-9dc9-6fb5f3c28dd9.pdf</t>
  </si>
  <si>
    <t>21f624cd52de0ef29fd7d5b8ecfa7d8d</t>
  </si>
  <si>
    <t>404 Client Error: Not Found for url: https://www.dartford.gov.uk/__data/assets/pdf_file/0004/1190218/Revised-Draft-Publication-Plan-CLEAN-FINAL-Sept-21.pdf</t>
  </si>
  <si>
    <t>https://s3.eu-west-2.amazonaws.com/local-plans/images/24f1e624-6b8a-4914-9dc9-6fb5f3c28dd9/7ee6bd29-3862-4351-90cb-e8c90a5e1ba1.jpg</t>
  </si>
  <si>
    <t>Document at https://www.cornwall.gov.uk/media/22936789/adopted-local-plan-strategic-policies-2016.pdf might not be a pdf</t>
  </si>
  <si>
    <t>404 Client Error: Not Found for url: https://www.canterbury.gov.uk/download/downloads/id/868/canterbury_district_local_plan_adopted_july_2017.pdf</t>
  </si>
  <si>
    <t>Croydon Local Plan Review</t>
  </si>
  <si>
    <t>a57b9cf1-4d95-497a-87f9-8b6eebcf0ed9</t>
  </si>
  <si>
    <t>https://www.croydon.gov.uk/sites/default/files/2022-01/proposed-submission-of-croydon-local-plan-2019-to-2039-tracked-changes.pdf</t>
  </si>
  <si>
    <t>https://s3.eu-west-2.amazonaws.com/local-plans/plan-documents/a57b9cf1-4d95-497a-87f9-8b6eebcf0ed9.pdf</t>
  </si>
  <si>
    <t>0f6d7d026439401bfebbe36dbeb07f80</t>
  </si>
  <si>
    <t>https://s3.eu-west-2.amazonaws.com/local-plans/images/a57b9cf1-4d95-497a-87f9-8b6eebcf0ed9/4e754e30-923b-416e-a71d-65bafa63da22.jpg</t>
  </si>
  <si>
    <t>HTTPConnectionPool(host='www.greaternorwichgrowth.org.uk', port=80): Max retries exceeded with url: /dmsdocument/1953 (Caused by NewConnectionError('&lt;urllib3.connection.HTTPConnection object at 0x7f639315b6d8&gt;: Failed to establish a new connection: [Errno 111] Connection refused'))</t>
  </si>
  <si>
    <t>https://www.gnlp.org.uk/sites/gnlp/files/2021-01/Reg%2019%20final%20formatted_0.pdf</t>
  </si>
  <si>
    <t>05670bafddc81cf3c8aaab3098b6b823</t>
  </si>
  <si>
    <t>https://s3.eu-west-2.amazonaws.com/local-plans/images/b428be92-9a52-48d4-9bd5-6c99a3f63c79/81e2349e-6706-4c7b-85a9-22767830ce21.jpg</t>
  </si>
  <si>
    <t>HTTPSConnectionPool(host='www.lbbd.gov.uk', port=443): Max retries exceeded with url: /sites/default/files/attachments/Adopted-Core-Strategy.pdf (Caused by SSLError(SSLCertVerificationError(1, '[SSL: CERTIFICATE_VERIFY_FAILED] certificate verify failed: unable to get local issuer certificate (_ssl.c:1056)')))</t>
  </si>
  <si>
    <t>https://local-plans-prototype.herokuapp.com/local-plans/local-authority-eng:BDG</t>
  </si>
  <si>
    <t>Document at https://local-plans-prototype.herokuapp.com/local-plans/local-authority-eng:BDG might not be a pdf</t>
  </si>
  <si>
    <t>https://s3.eu-west-2.amazonaws.com/local-plans/images/3bda3313-7fc4-41e1-ae6f-b29af6accb3c/74b14388-ba0f-4f94-93ad-e3072cdee985.jpg</t>
  </si>
  <si>
    <t>https://cbccrmdata.blob.core.windows.net/noteattachment/CBC-Local-Plan-North-Essex-Authorities-Shared-Strategic-Section-1-Post%20Committee%20Colchester%2028th%20Jan%2021.pdf</t>
  </si>
  <si>
    <t>75a24b1d2396acb96e32ad068a58cdbc</t>
  </si>
  <si>
    <t>https://s3.eu-west-2.amazonaws.com/local-plans/images/63778fb0-7e0d-4c36-b9a1-bac42546f982/d61fc83d-29bd-4cce-991d-98372226a203.jpg</t>
  </si>
  <si>
    <t>HTTPSConnectionPool(host='www.brent.gov.uk', port=443): Max retries exceeded with url: /media/16404211/core-strategy-small.pdf (Caused by NewConnectionError('&lt;urllib3.connection.VerifiedHTTPSConnection object at 0x7f8c29a7a4e0&gt;: Failed to establish a new connection: [Errno 110] Connection timed out'))</t>
  </si>
  <si>
    <t>https://www.brent.gov.uk/media/16419966/2_brent-lp-main-mods-appendix-final_accessible.pdf</t>
  </si>
  <si>
    <t>48fe77d3e23381f48bc1a5452134653a</t>
  </si>
  <si>
    <t>Following publication of the Inspector Panelâ€™s report on the adopted London Plan, the London Planâ€™s housing requirement for Brent has been revised to 23,250 new homes for the period 2019-29. To take account of the requirement for Brent in the ten-year period of the London Plan, MM97 amends Policy BH1 to state that the housing target in Brent is to provide a minimum of 23,250 homes in the period 2019/20â€“2028/29 and a minimum of 46,018 homes over the Plan period, 2019â€“2041._x000D_
_x000D_
Period Housing Delivery Target Per Annum_x000D_
First 5 years (2019/20 - 2023/24) 2,325_x000D_
6-10 years (2024/25 - 2028/29) 2,325_x000D_
Total First 10 years â€“ consistent with London Plan_x000D_
2021:  23,250_x000D_
11-15 years (2029/30 - 2033/34) 1,897_x000D_
16-22 years (2034/35 - 2040/41) 1,897_x000D_
Total for the next 12 years 22,768_x000D_
Whole plan period 46,018</t>
  </si>
  <si>
    <t>https://s3.eu-west-2.amazonaws.com/local-plans/images/3ab660ca-e4a2-4922-85da-155f8041c2c1/eec0f53c-318a-450c-b7a6-1d1b3e3f0ebd.jpg</t>
  </si>
  <si>
    <t>https://www.braintree.gov.uk/downloads/file/3022/local-plan-2013-2033-section-1-adopted-febraury-2021-</t>
  </si>
  <si>
    <t>bb9c79165bc46cf146e7606350d3b97f</t>
  </si>
  <si>
    <t>403 Client Error: Forbidden for url: https://www.braintree.gov.uk/downloads/file/3022/local-plan-2013-2033-section-1-adopted-febraury-2021-</t>
  </si>
  <si>
    <t>https://s3.eu-west-2.amazonaws.com/local-plans/images/f4c4af01-5d24-4b7a-8c79-7d77f3ce2812/b4475d14-9c84-4347-a1e9-5db3e1f6877f.jpg</t>
  </si>
  <si>
    <t>Bexley Local Plan</t>
  </si>
  <si>
    <t>69c9ee91-3267-4f08-bea5-e8dd394c9197</t>
  </si>
  <si>
    <t>https://www.bexley.gov.uk/sites/default/files/2021-05/Draft-local-plan-proposed-submission-document-reg-19-may-2021.pdf</t>
  </si>
  <si>
    <t>https://s3.eu-west-2.amazonaws.com/local-plans/plan-documents/69c9ee91-3267-4f08-bea5-e8dd394c9197.pdf</t>
  </si>
  <si>
    <t>b7d8695674b28fa329da1117b8c26094</t>
  </si>
  <si>
    <t>404 Client Error: Not Found for url: https://www.bexley.gov.uk/sites/default/files/2021-05/Draft-local-plan-proposed-submission-document-reg-19-may-2021.pdf</t>
  </si>
  <si>
    <t>6850 is net ten year target for housing completions 2019-2029 taken from London Plan (see Table 4.1), but housing requirement over plan period is 12,330 dwellings taken from Table 41 of the Draft Plan.</t>
  </si>
  <si>
    <t>https://s3.eu-west-2.amazonaws.com/local-plans/images/69c9ee91-3267-4f08-bea5-e8dd394c9197/10cf7a28-f8a8-4aa7-ac2f-917719e0acca.jpg</t>
  </si>
  <si>
    <t>Para 12.1.9 says, "The planned housing for the District is 20,000 units up to 2031 which is equivalent to a delivery of 1,000 homes per annum. This surplus is an additional 81
homes per annum or 1,620 up to 2031, which will contribute to the overall supply to meet the needs of the local HMA around Arun, Chichester and Worthing as well as the greater Coastal West Sussex HMA."</t>
  </si>
  <si>
    <t>The remaining unmet housing need from Crawley, of 5,000 over the Plan period, will be delivered through
the Local/District Plans covering the remainder of the Northern West Sussex and East Surrey Housing Market Areas, as far as is consistent with planning policies to do so, as agreed through the Northern West Sussex Position
Statement with Horsham and Mid Sussex DCs and the SoCG on meeting strategic housing needs with Reigate and Banstead BC.</t>
  </si>
  <si>
    <t>Crawley Borough Local Plan 2021 â€“ 2037</t>
  </si>
  <si>
    <t>https://crawley.gov.uk/sites/default/files/2021-01/Submission%20Draft%20Local%20Plan%20January%202021.pdf</t>
  </si>
  <si>
    <t>7108d2921b49e251eae100d03539b482</t>
  </si>
  <si>
    <t>The Local Plan makes provision for the development of a minimum of 5,320 net dwellings
in the borough in the period 2021 to 2037.
This minimum requirement will be broken down into an annual average requirement on a
stepped basis as follows:
â€¢ Years 1-5 (2021-26): 350 dwellings per annum (dpa)
â€¢ Years 6-10 (2026-31): 450dpa
â€¢ Years 11-16 (2031-37): 220dpa.</t>
  </si>
  <si>
    <t>https://s3.eu-west-2.amazonaws.com/local-plans/images/1f051964-74ab-49fa-809f-b24f8de9008b/a6ea1155-7c7e-4e75-8d82-8222aef4f4cc.jpg</t>
  </si>
  <si>
    <t>522 Server Error:  for url: http://www.carlisle.gov.uk/Portals/24/Documents/Local_Plan/Carlisle%20District%20Local%20Plan%202015-2030/Carlisle%20District%20Local%20Plan%202015-2030.pdf?timestamp=1481284170512</t>
  </si>
  <si>
    <t>New Single Local Plan 2020-2038</t>
  </si>
  <si>
    <t>https://www.dacorum.gov.uk/docs/default-source/strategic-planning/part-1---local-plan-emerging-strategy-for-growth-2020-2038---pages-1-to-187.pdf?sfvrsn=93bf0c9e_10</t>
  </si>
  <si>
    <t>f71c0d08867c95d5d41cc362b6ec583f</t>
  </si>
  <si>
    <t xml:space="preserve">Housing and plan period updated from Options Reg 18 consultation Nov 2020.
</t>
  </si>
  <si>
    <t>https://s3.eu-west-2.amazonaws.com/local-plans/images/e13bb6fc-01df-4c95-8ab8-5cb3270e8be0/e80fa543-3073-4b2b-82bd-b49189510dcc.jpg</t>
  </si>
  <si>
    <t>HTTPSConnectionPool(host='www.barrowbc.gov.uk', port=443): Max retries exceeded with url: /_resources/assets/attachment/full/0/7819.pdf (Caused by NewConnectionError('&lt;urllib3.connection.VerifiedHTTPSConnection object at 0x7f6de5f24f60&gt;: Failed to establish a new connection: [Errno 111] Connection refused'))</t>
  </si>
  <si>
    <t>A strategic development allocation to the east of Rugeley
within the Lichfield District Local Plan contributes 500 houses to assist in meeting the housing needs arising in Rugeley and Brereton in line with the south-east Staffordshire strategy. [see page 9 section 1 "Executive Summary"]</t>
  </si>
  <si>
    <t>Cannock Chase District Local Plan</t>
  </si>
  <si>
    <t>6a96ddab-5f9b-45d8-9fe0-b82b787ed92f</t>
  </si>
  <si>
    <t>https://www.cannockchasedc.gov.uk/sites/default/files/cannock_chase_local_plan_review_preferred_options_consultation_document_21.03.21_0.pdf</t>
  </si>
  <si>
    <t>https://s3.eu-west-2.amazonaws.com/local-plans/plan-documents/6a96ddab-5f9b-45d8-9fe0-b82b787ed92f.pdf</t>
  </si>
  <si>
    <t>8206edadb694542c69c8195f5106be11</t>
  </si>
  <si>
    <t xml:space="preserve">Preferred Options (Feb 2021) : 5515 (267 DPA) plus 500 
 (25 DPA) to meet unmet need of neighbouring areas. 
</t>
  </si>
  <si>
    <t>https://s3.eu-west-2.amazonaws.com/local-plans/images/6a96ddab-5f9b-45d8-9fe0-b82b787ed92f/f5086181-8e94-46fb-a012-79dc278d773b.jpg</t>
  </si>
  <si>
    <t>HTTPConnectionPool(host='www.chichester.gov.uk', port=80): Max retries exceeded with url: /CHttpHandler.ashx?id=24759&amp;p=0 (Caused by NewConnectionError('&lt;urllib3.connection.HTTPConnection object at 0x7f3bc5ae0b70&gt;: Failed to establish a new connection: [Errno 110] Connection timed out'))</t>
  </si>
  <si>
    <t>HTTPConnectionPool(host='www.chichester.gov.uk', port=80): Max retries exceeded with url: /CHttpHandler.ashx?id=31058&amp;p=0 (Caused by NewConnectionError('&lt;urllib3.connection.HTTPConnection object at 0x7f3bc5b20128&gt;: Failed to establish a new connection: [Errno 110] Connection timed out'))</t>
  </si>
  <si>
    <t>https://centralbedfordshire.app.box.com/s/gaut5b6wyx5q3icyipfo97t45vyeh9j0/file/837468948612</t>
  </si>
  <si>
    <t>Document at https://centralbedfordshire.app.box.com/s/gaut5b6wyx5q3icyipfo97t45vyeh9j0/file/837468948612 might not be a pdf</t>
  </si>
  <si>
    <t>Housing requirement includes contribution of 7,350 homes towards Luton's unmet need.  
Early review required to consider implications of new infrastructure proposed by East-West Rail and the Oxford-Cambridge Arc.</t>
  </si>
  <si>
    <t>https://s3.eu-west-2.amazonaws.com/local-plans/images/1d4759cb-5018-43e5-9c6a-ca0372b083c6/faa51ba4-f954-42d0-8e3a-b12fa95a1ea3.jpg</t>
  </si>
  <si>
    <t>404 Client Error: Not Found for url: https://www.derby.gov.uk/media/derbycitycouncil/contentassets/documents/policiesandguidance/planning/Core%20Strategy_ADOPTED_DEC%202016_V3_WEB.pdf</t>
  </si>
  <si>
    <t>https://www.charnwood.gov.uk/files/documents/charnwood_local_plan_2021_37_pre_submission_draft_july_2021/Charnwood%20Local%20Plan%202021-37%20Pre-Submission%20Draft%20July%202021.pdf</t>
  </si>
  <si>
    <t>https://s3.eu-west-2.amazonaws.com/local-plans/plan-documents/d877f907-b0ba-44ca-9a83-f8dbb7cf86d8.pdf</t>
  </si>
  <si>
    <t>15a17b826459f5ba652e373b2451095e</t>
  </si>
  <si>
    <t xml:space="preserve">Policy DS1: Development Strategy , New Homes
The housing requirement for Charnwood is 17,776 homes between 2021 and 2037 and provision for at least 19,461 new homes will be made. </t>
  </si>
  <si>
    <t>https://s3.eu-west-2.amazonaws.com/local-plans/images/d877f907-b0ba-44ca-9a83-f8dbb7cf86d8/f251f546-1e77-46dd-b17e-1d1f3f90d936.jpg</t>
  </si>
  <si>
    <t>403 Client Error: Forbidden for url: https://www.bolton.gov.uk/downloads/file/666/core-strategy</t>
  </si>
  <si>
    <t>Places for Everyone Joint Plan (replaces GMSF)</t>
  </si>
  <si>
    <t>ddc370cb-b819-4d3e-8f17-1364dcd9e1bf</t>
  </si>
  <si>
    <t>https://www.greatermanchester-ca.gov.uk/media/4682/places-for-everyone-compressed.pdf</t>
  </si>
  <si>
    <t>https://s3.eu-west-2.amazonaws.com/local-plans/plan-documents/ddc370cb-b819-4d3e-8f17-1364dcd9e1bf.pdf</t>
  </si>
  <si>
    <t>7a4916d645c74742fb437df1a28d1886</t>
  </si>
  <si>
    <t xml:space="preserve">Phasing set out in table (see screenshot).  </t>
  </si>
  <si>
    <t>https://s3.eu-west-2.amazonaws.com/local-plans/images/ddc370cb-b819-4d3e-8f17-1364dcd9e1bf/86a718f5-67a3-4833-8409-97f95a13a50e.jpg</t>
  </si>
  <si>
    <t>HTTPSConnectionPool(host='www.bristol.gov.uk', port=443): Max retries exceeded with url: /documents/20182/34540/Core%20Strategy%20WEB%20PDF%20(low%20res%20with%20links)_0.pdf/f350d129-d39c-4d48-9451-1f84713a0ed8 (Caused by NewConnectionError('&lt;urllib3.connection.VerifiedHTTPSConnection object at 0x7f318041d128&gt;: Failed to establish a new connection: [Errno -2] Name or service not known'))</t>
  </si>
  <si>
    <t>HTTPSConnectionPool(host='www.bristol.gov.uk', port=443): Max retries exceeded with url: /documents/20182/34536/Local+Plan+Review+-+Draft+Policies+and+Development+Allocations+-+Web.pdf/2077eef6-c9ae-3582-e921-b5d846762645 (Caused by NewConnectionError('&lt;urllib3.connection.VerifiedHTTPSConnection object at 0x7f318100ce80&gt;: Failed to establish a new connection: [Errno -2] Name or service not known'))</t>
  </si>
  <si>
    <t>Document at https://www.jointcorestrategy.org/joint-core-strategy-review might not be a pdf</t>
  </si>
  <si>
    <t>404 Client Error: Not Found for url: https://www.bracknell-forest.gov.uk/sites/default/files/documents/core-strategy-development-plan-document-february-2008.pdf</t>
  </si>
  <si>
    <t>https://consult.bracknell-forest.gov.uk/resources/portal/supportingfiles/714771</t>
  </si>
  <si>
    <t>https://s3.eu-west-2.amazonaws.com/local-plans/plan-documents/300160d0-9a3c-4344-ad27-8e97d9380a3f.pdf</t>
  </si>
  <si>
    <t>f250275f7fded508603596b49230436d</t>
  </si>
  <si>
    <t>HTTPSConnectionPool(host='consult.bracknell-forest.gov.uk', port=443): Max retries exceeded with url: /resources/portal/supportingfiles/714771 (Caused by SSLError(SSLCertVerificationError(1, '[SSL: CERTIFICATE_VERIFY_FAILED] certificate verify failed: certificate has expired (_ssl.c:1056)')))</t>
  </si>
  <si>
    <t xml:space="preserve">Provision will be made in Bracknell Forest for the period 2020/21 to 2036/37 for:
1. sufficient land to accommodate at least 10,438 homes to meet the Boroughâ€™s
Local Housing Need, and,
2. an additional supply of land for 1,044 homes (amounting to a buffer of 10%) to
allow for flexibility. </t>
  </si>
  <si>
    <t>https://s3.eu-west-2.amazonaws.com/local-plans/images/300160d0-9a3c-4344-ad27-8e97d9380a3f/4ba80b8c-371e-4890-9af9-c3a44278f84f.jpg</t>
  </si>
  <si>
    <t>c5dbf6dc2cbece597016ee4976ebee03</t>
  </si>
  <si>
    <t>HTTPSConnectionPool(host='www.chesterfield.gov.uk', port=443): Max retries exceeded with url: /media/1312966/chesterfield-borough-local-plan-2018-2035.pdf (Caused by NewConnectionError('&lt;urllib3.connection.VerifiedHTTPSConnection object at 0x7ff65f75ea20&gt;: Failed to establish a new connection: [Errno 111] Connection refused'))</t>
  </si>
  <si>
    <t>HTTPSConnectionPool(host='www.bassetlaw.gov.uk', port=443): Max retries exceeded with url: /media/1543/cs1adoptedcorestrategy.pdf (Caused by SSLError(SSLCertVerificationError(1, '[SSL: CERTIFICATE_VERIFY_FAILED] certificate verify failed: unable to get local issuer certificate (_ssl.c:1056)')))</t>
  </si>
  <si>
    <t>https://www.bassetlaw.gov.uk/media/6527/local-plan-publication-version-2020-2037.pdf</t>
  </si>
  <si>
    <t>https://s3.eu-west-2.amazonaws.com/local-plans/plan-documents/b56768ad-1ecd-48f6-9935-f7e9352c88f7.pdf</t>
  </si>
  <si>
    <t>bf5ccd2c8ecd529f3ce476fe21ce2370</t>
  </si>
  <si>
    <t>https://s3.eu-west-2.amazonaws.com/local-plans/images/b56768ad-1ecd-48f6-9935-f7e9352c88f7/186a1bb5-4d54-4155-98eb-5dbe51c4d791.jpg</t>
  </si>
  <si>
    <t>Greater Cambridge Local Plan 2017-2040</t>
  </si>
  <si>
    <t>65311c83-692c-47e7-b6a3-63879d175828</t>
  </si>
  <si>
    <t>HTTPSConnectionPool(host='www.babergh.gov.uk', port=443): Max retries exceeded with url: /assets/Strategic-Planning/Babergh-Core-Strategy/CORE-STRATEGY-AND-POLICIES-FINAL-Feb-2014.pdf (Caused by NewConnectionError('&lt;urllib3.connection.VerifiedHTTPSConnection object at 0x7fe9633042b0&gt;: Failed to establish a new connection: [Errno -3] Temporary failure in name resolution'))</t>
  </si>
  <si>
    <t>https://www.babergh.gov.uk/assets/Strategic-Planning/JLPReg19/Part-1-Objective-and-Strategic-Policies-Part-2-Local-Policies.pdf</t>
  </si>
  <si>
    <t>c3db873ca41312cb8e591c27e115b9d6</t>
  </si>
  <si>
    <t>12 Nov 2020 changes: Plan period from 2014-2036 to 2018-2037; Housing numbers: Babergh 7820 to 7904; Mid Suffolk 9951 to 10165.  DPAs Babergh now 416 (was 355); Mid Suffolk now 535 (was 452).</t>
  </si>
  <si>
    <t>https://s3.eu-west-2.amazonaws.com/local-plans/images/c5fa3dc2-5ea9-4f54-989b-f8dc71612e09/2b3e2e5b-0056-4f53-8134-94ea2c4df5b6.jpg</t>
  </si>
  <si>
    <t>502 Server Error: Bad Gateway for url: http://www.nnjpdu.org.uk/site/assets/files/1086/joint_core_strategy_2011-2031_high_res_version_for_website.pdf</t>
  </si>
  <si>
    <t>Cherwell Local Plan 2011-2031 (Part 1 - Incorporating Partial Review, September 2020)</t>
  </si>
  <si>
    <t>403 Client Error: Forbidden for url: https://www.cherwell.gov.uk/download/downloads/id/8144/final-adopted-local-plan-2011-2031-incorporating-re-adopted-policy-bicester-13.pdf</t>
  </si>
  <si>
    <t>Overall target incorporates 22,840 homes in adopted Local Plan 2011-31 (Policy BSC 1) and additional 4,400 homes (set out in the Partial Review, adopted 7 September 2020) to meet Oxford's unmet needs. See: https://www.cherwell.gov.uk/info/83/local-plans/215/partial-review-of-cherwell-local-plan-2011-2031-part-1-oxfords-unmet-housing-need</t>
  </si>
  <si>
    <t>404 Client Error: Not Found for url: https://www.barnsley.gov.uk/media/9924/local-plan-adopted.pdf</t>
  </si>
  <si>
    <t>HTTPSConnectionPool(host='www.burnley.gov.uk', port=443): Max retries exceeded with url: /sites/default/files/Burnley%27s%20Local%20Plan%20Adopted%20Version%20-%20Final.pdf (Caused by NewConnectionError('&lt;urllib3.connection.VerifiedHTTPSConnection object at 0x7fecbc33c7b8&gt;: Failed to establish a new connection: [Errno 110] Connection timed out'))</t>
  </si>
  <si>
    <t>4b7ff80a6032e2648e38a436db461e00</t>
  </si>
  <si>
    <t>403 Client Error: Forbidden for url: http://www.coventry.gov.uk/download/downloads/id/25899/final_local_plan_december_2017.pdf</t>
  </si>
  <si>
    <t>https://www.aylesburyvaledc.gov.uk/sites/default/files/VALP/AppendixA/Adopted%20Vale%20of%20Aylesbury%20Local%20Plan%201.pdf</t>
  </si>
  <si>
    <t>4e91d71753adc918b17059fa73f9dbed</t>
  </si>
  <si>
    <t>503 Server Error: Service Unavailable for url: https://www.aylesburyvaledc.gov.uk/sites/default/files/VALP/AppendixA/Adopted%20Vale%20of%20Aylesbury%20Local%20Plan%201.pdf</t>
  </si>
  <si>
    <t>Previous references to 19,400 homes to meet the needs of Aylesbury Vale District; 2,250 homes to meet the needs of Wycombe District; 5,750 homes to meet the needs of Chiltern/South Bucks Districts all deleted from Adopted Plan.</t>
  </si>
  <si>
    <t>https://s3.eu-west-2.amazonaws.com/local-plans/images/6ec9e814-2154-404d-bbc0-1dd04e3b95df/a95fb67b-95b2-4fff-b339-50ac047a62c0.jpg</t>
  </si>
  <si>
    <t>https://microsites.darlington.gov.uk/media/2276/inspectors-report-dblp-appendix-main-modifications.pdf</t>
  </si>
  <si>
    <t>e3f8f98933f7dcad5715594d8694b3f4</t>
  </si>
  <si>
    <t>As modified by the Inspector (IR Jan 2022).  "Housing will be delivered to meet a minimum requirement of  492 net additional dwellings per annum over the plan period from 2016 to 2036. This results in a total net minimum requirement of  9,840 dwellings. "</t>
  </si>
  <si>
    <t>https://s3.eu-west-2.amazonaws.com/local-plans/images/c60389a1-db50-48c2-8daf-d67ceb5de91b/4a818048-edb6-47bd-8e88-80317de13b9c.jpg</t>
  </si>
  <si>
    <t>HTTPSConnectionPool(host='www.blackburn.gov.uk', port=443): Max retries exceeded with url: /planningdocs/corestrategy/Adopted_Core_Strategy_final_A4.pdf (Caused by SSLError(SSLCertVerificationError(1, '[SSL: CERTIFICATE_VERIFY_FAILED] certificate verify failed: unable to get local issuer certificate (_ssl.c:1056)')))</t>
  </si>
  <si>
    <t>Local Plan Review 2018-2036</t>
  </si>
  <si>
    <t>https://www.dartmoor.gov.uk/__data/assets/pdf_file/0015/410127/LP_Adopted.pdf</t>
  </si>
  <si>
    <t>4293af2907702be555c65be5c2b2bc97</t>
  </si>
  <si>
    <t>Housing Trajectory may be found at Appendix B of Adopted Local Plan.</t>
  </si>
  <si>
    <t>https://s3.eu-west-2.amazonaws.com/local-plans/images/a37f5aa7-26df-4435-9f54-b4b15ff03b9d/0d7b9c76-1f5d-4ed1-9acb-8728f78af9d7.jpg</t>
  </si>
  <si>
    <t>404 Client Error: NOT FOUND for url: https://www4.halton.gov.uk/Pages/planning/policyguidance/pdf/CoreStrategy.pdf</t>
  </si>
  <si>
    <t>404 Client Error: NOT FOUND for url: https://www4.halton.gov.uk/Pages/planning/policyguidance/pdf/eip/SD01.pdf</t>
  </si>
  <si>
    <t>East Devon Local Plan 2021-2040</t>
  </si>
  <si>
    <t>8f1741dc-6378-40fa-978b-413c2af4be94</t>
  </si>
  <si>
    <t>e714da98c67d354889507aa612def245</t>
  </si>
  <si>
    <t>403 Client Error: Forbidden for url: https://www.lbhf.gov.uk/sites/default/files/section_attachments/local_plan_2018_web_version.pdf</t>
  </si>
  <si>
    <t>HTTPSConnectionPool(host='www.hyndburnbc.gov.uk', port=443): Max retries exceeded with url: /download-package/adopted-core-strategy/?wpdmdl=5821&amp;ind=GuxGxU8bJO9766UxhJADQV19024NU_O86J6h-ANPxoUuWAYGvgpmq6KzwkTGwe3F (Caused by SSLError(SSLCertVerificationError(1, '[SSL: CERTIFICATE_VERIFY_FAILED] certificate verify failed: unable to get local issuer certificate (_ssl.c:1056)')))</t>
  </si>
  <si>
    <t>HTTPSConnectionPool(host='www.hyndburnbc.gov.uk', port=443): Max retries exceeded with url: /download-package/core-strategy-review-reg18-feb19/?wpdmdl=19706&amp;ind=KHBupY4mKijR-VabIw3M-56i6eo0HprNK2raRYtx7E98MCEKI691Wonzj5-podiN (Caused by SSLError(SSLCertVerificationError(1, '[SSL: CERTIFICATE_VERIFY_FAILED] certificate verify failed: unable to get local issuer certificate (_ssl.c:1056)')))</t>
  </si>
  <si>
    <t>Based on total requirement of 5,680 homes (set out in Policy S5), excluding 400 homes to be delivered in the Peak District National Park. However we have agreed with PPR to the higher annual average of 268 DPA rather than 264 DPA.</t>
  </si>
  <si>
    <t>29844ed493aa219999c40b47122d1f5c</t>
  </si>
  <si>
    <t>403 Client Error: Forbidden for url: https://www.hinckley-bosworth.gov.uk/download/downloads/id/487/core_strategy_adopted_document.pdf</t>
  </si>
  <si>
    <t>403 Client Error: Forbidden for url: https://www.hinckley-bosworth.gov.uk/download/downloads/id/6096/scope_issues_and_options_consultation_document.pdf</t>
  </si>
  <si>
    <t>HTTPSConnectionPool(host='www.folkestone-hythe.gov.uk', port=443): Max retries exceeded with url: /media/1811/Core-Strategy-Local-Plan-2013/pdf/Core_Strategy_Local_Plan_2013_v2.pdf (Caused by NewConnectionError('&lt;urllib3.connection.VerifiedHTTPSConnection object at 0x7f31a71726a0&gt;: Failed to establish a new connection: [Errno 110] Connection timed out'))</t>
  </si>
  <si>
    <t>Partial Review of the Fylde Local Plan to 2032</t>
  </si>
  <si>
    <t>HTTPSConnectionPool(host='new.fylde.gov.uk', port=443): Max retries exceeded with url: /wp-content/uploads/2020/07/1.-SDPR01-Schedule-of-Revisions-to-FLP32.pdf (Caused by SSLError(SSLCertVerificationError(1, '[SSL: CERTIFICATE_VERIFY_FAILED] certificate verify failed: certificate has expired (_ssl.c:1056)')))</t>
  </si>
  <si>
    <t xml:space="preserve">The shortfall in Wyre, established through the Wyre Local Plan (2011-2031) (30 dwellings per annum), is provided for through the new housing requirement of 305 dwellings per annum for the period 2019-2032 in the Partial Review of the Fylde Local Plan to 2032. </t>
  </si>
  <si>
    <t>403 Client Error: Forbidden for url: https://www.west-norfolk.gov.uk/site/custom_scripts/static_content/_large_files/20190221_local_plan_review_document.pdf</t>
  </si>
  <si>
    <t>East Cambridgeshire Local Plan - Single Issue Review</t>
  </si>
  <si>
    <t>bb8a8f61-a4d3-4015-bf12-c62dc5e05cd1</t>
  </si>
  <si>
    <t>https://www.eastcambs.gov.uk/sites/default/files/East%20Cambridgeshire%20Local%20Plan%20-%20Stage%201%20consultation%20%28Reg%2018%29%20March%202021.pdf</t>
  </si>
  <si>
    <t>https://s3.eu-west-2.amazonaws.com/local-plans/plan-documents/bb8a8f61-a4d3-4015-bf12-c62dc5e05cd1.pdf</t>
  </si>
  <si>
    <t>c39a75a158210f304ae3d6d3d2e58b9b</t>
  </si>
  <si>
    <t>Single Issue Review: no change to plan period proposed. No proposed taking of additional housing requirement or "offloading" of housing requirement with any neighbouring districts. The council propose to update policy GROWTH1 with a housing requirement of approximately 8,922, though this figure will be firmed up over the coming months. However, GROWTH1 will split this requirement into two elements, first for the period 2011-21, and second for the period 2021-31.</t>
  </si>
  <si>
    <t>https://s3.eu-west-2.amazonaws.com/local-plans/images/bb8a8f61-a4d3-4015-bf12-c62dc5e05cd1/d38e1e16-7804-4818-8b48-c545e5c0280e.jpg</t>
  </si>
  <si>
    <t xml:space="preserve">No change to plan period proposed.  No proposed taking of additional housing requirement or "offloading" of housing requirement with any neighbouring districts.  The council propose to update policy GROWTH1 with a housing requirement of approximately 8,922, though this figure will be firmed up over the coming months. However, GROWTH1 will split this requirement into two elements, first for the period 2011-21, and second for the period 2021-31. </t>
  </si>
  <si>
    <t>https://www.harlow.gov.uk/sites/default/files/documents/EX0091%20-%20Main%20Modifications%20schedule%20%28final%20version%29.pdf</t>
  </si>
  <si>
    <t>0f727e5efef2b1d918728d106964b032</t>
  </si>
  <si>
    <t>No change to overall housing requirement total from MMs - Policy HS1 still  identifies sites to deliver at least 9,200 dwellings during the Local Plan period (1 April 2011 to 31 March 2033).   However, in view of the lead time for bringing forward the Strategic Housing Site East of Harlow, together with the sites at Newhall and the Princess Alexandra Hospital, this will be provided in accordance with a stepped requirement of 361 dwellings per annum from April 2011 to March 2024 and 501 dwellings per annum from April 2024 to March 2033.</t>
  </si>
  <si>
    <t>https://s3.eu-west-2.amazonaws.com/local-plans/images/82cf9340-c857-43f2-a3d8-b15b81296f44/376008d5-6c27-4394-85f4-ee85176a65f5.jpg</t>
  </si>
  <si>
    <t>Document at http://www.kirklees.gov.uk/beta/planning-policy/pdf/local-plan-inspectors-report/Inspectors-Report-Appendix-SD1-Main-modifications-Strategy-and-Policies.pdf might not be a pdf</t>
  </si>
  <si>
    <t>500 Server Error: Internal Server Error for url: https://www.fdean.gov.uk/media/metf0tlh/issue-and-options-document.pdf</t>
  </si>
  <si>
    <t>HTTPSConnectionPool(host='www.newcastle.gov.uk', port=443): Max retries exceeded with url: /sites/default/files/2019-01/planning_for_the_future_core_strategy_and_urban_core_plan_2010-2030.pdf (Caused by NewConnectionError('&lt;urllib3.connection.VerifiedHTTPSConnection object at 0x7ff919f8a4a8&gt;: Failed to establish a new connection: [Errno 110] Connection timed out'))</t>
  </si>
  <si>
    <t xml:space="preserve">New Exeter Local Plan </t>
  </si>
  <si>
    <t>100815de-de44-46a7-be6d-ed1e06e4da00</t>
  </si>
  <si>
    <t>Document at https://www.erewash.gov.uk/images/Planning_Policy/item_10_Appendix_1_-_Erewash_Core_Strategy_Review_Final_Website.pdf might not be a pdf</t>
  </si>
  <si>
    <t>503 Server Error: Service Temporarily Unavailable for url: https://www.havant.gov.uk/sites/default/files/documents/ADOPTED%20CORE%20STRATEGY%20.pdf</t>
  </si>
  <si>
    <t>https://cdn.havant.gov.uk/public/documents/CD01%20Submission%20Havant%20Borough%20Local%20Plan.pdf</t>
  </si>
  <si>
    <t>97cfb05c24eac6417327836d52ef4f3f</t>
  </si>
  <si>
    <t>403 Client Error: Forbidden for url: https://cdn.havant.gov.uk/public/documents/CD01%20Submission%20Havant%20Borough%20Local%20Plan.pdf</t>
  </si>
  <si>
    <t>https://s3.eu-west-2.amazonaws.com/local-plans/images/718f5f8d-1799-4783-92e0-e682f37be1ce/2a9a765f-c988-48a4-9d5d-94962e6135c0.jpg</t>
  </si>
  <si>
    <t>Black Country Plan 2039</t>
  </si>
  <si>
    <t>https://blackcountryplan.dudley.gov.uk/media/18612/draft-bcp-jdi-version-v2-2907.pdf</t>
  </si>
  <si>
    <t>92dc55b587542bcaf2325674b5c31e91</t>
  </si>
  <si>
    <t>Data is from the Reg 18 version of the Draft Plan published in August 2021 and consulted upon Aug - Oct 2021.   Overall housing provision for whole of joint plan area over 2020-2039 is 47,837.  Table 4 provides a disaggregated provision by authority.</t>
  </si>
  <si>
    <t>https://s3.eu-west-2.amazonaws.com/local-plans/images/6995ac69-d63a-4c3d-89ad-a7f9c4a8c8da/da9a8a62-da58-40e5-8be6-a3625455ddfd.jpg</t>
  </si>
  <si>
    <t>https://dmbcwebstolive01.blob.core.windows.net/media/Default/Planning/Documents/Local%20Plan/Submission/Doncaster%20Local%20Plan%20Adopted%2023%20Sept%202021.pdf</t>
  </si>
  <si>
    <t>16f811e2406eaece758a8ef02893561b</t>
  </si>
  <si>
    <t>MM removed references to housing requirement range.  Yearly average 920 DPA.  Overall housing requirement changed from 18,400 (2015-2035) to 15,640 (2018-2035).</t>
  </si>
  <si>
    <t>https://s3.eu-west-2.amazonaws.com/local-plans/images/f0ae7dca-4f61-4a52-aeb9-9b155c37d5b9/82ec42b6-43f2-4a17-8354-29c3491a6eaa.jpg</t>
  </si>
  <si>
    <t>Epsom and Ewell Local Plan 2017-2037: A New Local Plan</t>
  </si>
  <si>
    <t>https://storymaps.arcgis.com/stories/3224261f8b5a4117b79cb2fe897ff740</t>
  </si>
  <si>
    <t>Document at https://storymaps.arcgis.com/stories/3224261f8b5a4117b79cb2fe897ff740 might not be a pdf</t>
  </si>
  <si>
    <t>Housing figure of 12,160 (760 DPA) taken from online version of (reg 18) draft plan consulted upon in October - November 2021.</t>
  </si>
  <si>
    <t>https://s3.eu-west-2.amazonaws.com/local-plans/images/8bf40faf-712e-41c1-9ec2-900e44da938d/7e6956a3-bc32-4d9c-b47d-e04e5e465345.jpg</t>
  </si>
  <si>
    <t>404 Client Error: Not Found for url: https://www.hambleton.gov.uk/download/downloads/id/750/core_strategy_local_development_framework_-_development_plan_document.pdf</t>
  </si>
  <si>
    <t>https://www.hambleton.gov.uk/downloads/file/2673/hambleton-local-plan-appendix-1-main-mods</t>
  </si>
  <si>
    <t>https://s3.eu-west-2.amazonaws.com/local-plans/plan-documents/b3a6f957-a015-4ac6-8e92-c0aab6b423b2.pdf</t>
  </si>
  <si>
    <t>ff862b2ef27ec3171377cd4c86a0404e</t>
  </si>
  <si>
    <t xml:space="preserve">Plan period extended to 2036 and housing requirement changed from 6615 to 6930 in MMs. </t>
  </si>
  <si>
    <t>https://s3.eu-west-2.amazonaws.com/local-plans/images/b3a6f957-a015-4ac6-8e92-c0aab6b423b2/a2dd7b5d-2b6d-451f-b41f-19111f8d2c91.jpg</t>
  </si>
  <si>
    <t>403 Client Error: Forbidden for url: https://www.herefordshire.gov.uk/download/downloads/id/1788/core_strategy_sections_combined.pdf</t>
  </si>
  <si>
    <t>403 Client Error: Forbidden for url: https://cdn.easthants.gov.uk/public/documents/DP01EastHampshireDistrictLocalPlanJointCoreStrategy.pdf</t>
  </si>
  <si>
    <t>Local Plan 2038</t>
  </si>
  <si>
    <t>503 Server Error: Service Temporarily Unavailable for url: https://www.easthants.gov.uk/sites/default/files/documents/Draft%20Local%20Plan.pdf</t>
  </si>
  <si>
    <t>Housing requirement subject to change - especially as plan period has now been extended to 2038 (from 2036).  The previous average DPA is provided, assuming this stays the same,</t>
  </si>
  <si>
    <t>HTTPSConnectionPool(host='cdn-eastherts.onwebcurl.com', port=443): Max retries exceeded with url: /s3fs-public/documents/District_Plan_Publish_web_view.pdf (Caused by SSLError(SSLCertVerificationError(1, '[SSL: CERTIFICATE_VERIFY_FAILED] certificate verify failed: certificate has expired (_ssl.c:1056)')))</t>
  </si>
  <si>
    <t xml:space="preserve">The minimum requirement is 10,100 (vs. 14k allocated).  </t>
  </si>
  <si>
    <t>https://www.doverdistrictlocalplan.co.uk/the-local-plan/new-homes</t>
  </si>
  <si>
    <t>Document at https://www.doverdistrictlocalplan.co.uk/the-local-plan/new-homes might not be a pdf</t>
  </si>
  <si>
    <t>https://s3.eu-west-2.amazonaws.com/local-plans/images/fa79d9ed-c6eb-4908-82ce-5c260707132d/d7577f5d-e914-4e14-bae2-1d114a05fe7d.jpg</t>
  </si>
  <si>
    <t>500 Server Error: Internal Server Error for url: https://www.fenland.gov.uk/media/12064/Fenland-Local-Plan---Adopted-2014/pdf/Fenland_Local_Plan-Adopted_2014.pdf</t>
  </si>
  <si>
    <t>East Lindsey Local Plan Partial Review 2022-2041</t>
  </si>
  <si>
    <t>8b4260ee-009c-498c-ac3b-25c4750bf766</t>
  </si>
  <si>
    <t>Local Plan: Strategy and Sites (2015-2034)</t>
  </si>
  <si>
    <t>HTTPSConnectionPool(host='localplanmaps.knowsley.gov.uk', port=443): Max retries exceeded with url: /documents/knowsley-local-plan-adopted-core-strategy.pdf (Caused by NewConnectionError('&lt;urllib3.connection.VerifiedHTTPSConnection object at 0x7fa6832bc780&gt;: Failed to establish a new connection: [Errno 111] Connection refused'))</t>
  </si>
  <si>
    <t>3ba43d462f36ce791140288c6d1c1693</t>
  </si>
  <si>
    <t>c644649c-a4fd-43b8-9c67-e9ca3d1cbc93</t>
  </si>
  <si>
    <t>e3777db3-14bd-4852-8703-58d8f663dc06</t>
  </si>
  <si>
    <t>https://www.havering.gov.uk/downloads/file/5300/havering_local_plan_2016_-_2031</t>
  </si>
  <si>
    <t>Document at https://www.havering.gov.uk/downloads/file/5300/havering_local_plan_2016_-_2031 might not be a pdf</t>
  </si>
  <si>
    <t>The 10 year target of 12,505 derived from the London Plan comprises of an annual target of 1,170 units per annum for the first three years of the Local Plan period (2016/17-2018/19) in accordance with the previous London Plan and an annual target of 1, 285 units per annum for the following 7 years (2019/20 - 2025/26). The London Plan Housing Target will be rolled forward for the remainder of the Plan period. The Havering Local Plan will undergo an immediate update which will provide the opportunity to review housing delivery including for the later Plan periods.</t>
  </si>
  <si>
    <t>https://s3.eu-west-2.amazonaws.com/local-plans/images/e3777db3-14bd-4852-8703-58d8f663dc06/0d17ec3a-0789-46cc-a6e8-4a9ec45251c8.jpg</t>
  </si>
  <si>
    <t>Document at https://www.islington.gov.uk/-/media/sharepoint-lists/public-records/environmentalprotection/qualityandperformance/reporting/20112012/20120303corestrategyfebruary2011.pdf?la=en&amp;hash=4BF296068818C93ECF9F4FD45EE49B6545DF3CF8 might not be a pdf</t>
  </si>
  <si>
    <t>https://www.rbkc.gov.uk/sites/default/files/media/documents/Local%20plan%202019%20%28full%20document%29.pdf</t>
  </si>
  <si>
    <t>https://s3.eu-west-2.amazonaws.com/local-plans/plan-documents/12c410f7-7d60-4e7e-b636-de6d45944548.pdf</t>
  </si>
  <si>
    <t>8b7c242a144010c9ca1640d5f31268da</t>
  </si>
  <si>
    <t>DPA figure agreed with PPR.   The document has been produced to include all the Main Modifications recommended by the Local Plan Partial Review (LPPR) Planning Inspector as well as the Councilâ€™s Minor and
Additional modifications as adopted. It incorporates all the extant policies and their supporting text from the Consolidated Local Plan 2015.</t>
  </si>
  <si>
    <t>https://s3.eu-west-2.amazonaws.com/local-plans/images/12c410f7-7d60-4e7e-b636-de6d45944548/c1814765-fd9f-4f8f-b9b0-bf9ec7aa2636.jpg</t>
  </si>
  <si>
    <t>Document at https://www.kingston.gov.uk/download/downloads/id/1901/core_strategy.pdf might not be a pdf</t>
  </si>
  <si>
    <t>HTTPSConnectionPool(host='www.westsuffolk.gov.uk', port=443): Max retries exceeded with url: /planning/Planning_Policies/local_plans/upload/FH-CoreStrategyDevelopmentPlanDocument20012026withhousingprojectedto2031AdoptedMay2010.pdf (Caused by NewConnectionError('&lt;urllib3.connection.VerifiedHTTPSConnection object at 0x7f5baf7ab828&gt;: Failed to establish a new connection: [Errno 110] Connection timed out'))</t>
  </si>
  <si>
    <t>HTTPSConnectionPool(host='www.westsuffolk.gov.uk', port=443): Max retries exceeded with url: /planning/Planning_Policies/local_plans/upload/Final-SIR-September-2019.pdf (Caused by NewConnectionError('&lt;urllib3.connection.VerifiedHTTPSConnection object at 0x7f1c8216a048&gt;: Failed to establish a new connection: [Errno 110] Connection timed out'))</t>
  </si>
  <si>
    <t>HTTPSConnectionPool(host='www.ealing.gov.uk', port=443): Max retries exceeded with url: /download/downloads/id/3559/adopted_development_strategy_3_april_2012.pdf (Caused by SSLError(SSLCertVerificationError(1, '[SSL: CERTIFICATE_VERIFY_FAILED] certificate verify failed: unable to get local issuer certificate (_ssl.c:1056)')))</t>
  </si>
  <si>
    <t>https://www.rossendale.gov.uk/download/downloads/id/17076/rossendale_local_plan_2019_to_2036_-_written_statement.pdf</t>
  </si>
  <si>
    <t>45c17c1a93b38da767e7c9e965705d81</t>
  </si>
  <si>
    <t>403 Client Error: Forbidden for url: https://www.rossendale.gov.uk/download/downloads/id/17076/rossendale_local_plan_2019_to_2036_-_written_statement.pdf</t>
  </si>
  <si>
    <t xml:space="preserve">The net housing requirement for the period 2019 - 2036 will be achieved through providing at least 3,191 additional dwellings over the plan period equating to 208 dwellings a year between 2019/20 and 2020/21 and 185 dwellings a year from 2021/22 to 2035/36._x000D_
</t>
  </si>
  <si>
    <t>https://s3.eu-west-2.amazonaws.com/local-plans/images/e3787097-4490-41c4-8bb5-233cb51ac116/8cf6c294-3f5a-427a-b345-3fed469406ba.jpg</t>
  </si>
  <si>
    <t>7e5f967d98c2e7db2ca4e2e746c16c5e</t>
  </si>
  <si>
    <t>HTTPSConnectionPool(host='www.north-norfolk.gov.uk', port=443): Max retries exceeded with url: /media/1370/3-_core_strategy_-incorporating_development_control_policies-_adopted_2008_-updated_2012.pdf (Caused by NewConnectionError('&lt;urllib3.connection.VerifiedHTTPSConnection object at 0x7f9d61608cf8&gt;: Failed to establish a new connection: [Errno 110] Connection timed out'))</t>
  </si>
  <si>
    <t>https://www.north-norfolk.gov.uk/media/7466/local-plan-proposed-submission-version-reg-19-publication.pdf</t>
  </si>
  <si>
    <t>51a7c58542374a0efe2f12861bd4bdc1</t>
  </si>
  <si>
    <t>https://s3.eu-west-2.amazonaws.com/local-plans/images/b7c4c499-0e59-485a-9b00-5f381faa9ebf/51180d33-86e9-46e2-808c-32006bbf4ce2.jpg</t>
  </si>
  <si>
    <t>404 Client Error: Not Found for url: https://www.merton.gov.uk/assets/Documents/0328_merton_core_strategy_adopted.pdf</t>
  </si>
  <si>
    <t>dd3010df-868f-4132-bebe-37a7ba454822</t>
  </si>
  <si>
    <t>https://www.merton.gov.uk/Documents/11%20Housing%20Merton%20Local%20Plan%20Reg19%20July21.pdf</t>
  </si>
  <si>
    <t>https://s3.eu-west-2.amazonaws.com/local-plans/plan-documents/dd3010df-868f-4132-bebe-37a7ba454822.pdf</t>
  </si>
  <si>
    <t>908b2c1179e6a35b33d72b4618415ad7</t>
  </si>
  <si>
    <t>Mertonâ€™s annual housing target will be set at 775 homes per annum for the period 2021/22 â€“ 2023/24, and then increase to 1,080 for the period 2024/25 â€“ 2026/27, then further increase to 1,350 for the period 2027/28 â€“ 2028/29. In accordance with London Plan paragraph 4.1.11, Mertonâ€™s target for the period 2029/30 to 2035/36 (3,466 total) is drawn from the 2017 SHLAA findings. This sets a target for the period 2029/30 to 2033/34 of 2,370 and for 2034/35 to 2035/36 of 1,096.</t>
  </si>
  <si>
    <t>https://s3.eu-west-2.amazonaws.com/local-plans/images/dd3010df-868f-4132-bebe-37a7ba454822/6820cbb6-09bc-4688-a1d4-7422c8cc8ff6.jpg</t>
  </si>
  <si>
    <t>404 Client Error: Not Found for url: https://www.middlesbrough.gov.uk/sites/default/files/Middlesbrough%20Publication%20Local%20Plan.pdf</t>
  </si>
  <si>
    <t>HTTPSConnectionPool(host='www.ribblevalley.gov.uk', port=443): Max retries exceeded with url: /download/downloads/id/10010/adopted_core_strategy.pdf (Caused by NewConnectionError('&lt;urllib3.connection.VerifiedHTTPSConnection object at 0x7f2ce81c8470&gt;: Failed to establish a new connection: [Errno 110] Connection timed out'))</t>
  </si>
  <si>
    <t>404 Client Error: Not Found for url: https://www.newcastle-staffs.gov.uk/sites/default/files/IMCE/Planning/Planning_Policy/SpatialStrategy/Core%20Strategy%20Final%20Version%20-%2028th%20October.pdf</t>
  </si>
  <si>
    <t>https://liverpool.gov.uk/media/1361302/01-liverpool-local-plan-main-document.pdf</t>
  </si>
  <si>
    <t>https://s3.eu-west-2.amazonaws.com/local-plans/plan-documents/81c562eb-d68f-406e-b15e-8b6a3f61f4d0.pdf</t>
  </si>
  <si>
    <t>3f7a9947c46486880acf9a68a6400aaf</t>
  </si>
  <si>
    <t>https://s3.eu-west-2.amazonaws.com/local-plans/images/81c562eb-d68f-406e-b15e-8b6a3f61f4d0/1b7a176e-ae31-4e13-87ff-bd8d37b43618.jpg</t>
  </si>
  <si>
    <t>9b92ea9ab9f20ea2c411f68b840a30b8</t>
  </si>
  <si>
    <t>Mendip Plan Review 2020-2040</t>
  </si>
  <si>
    <t>1e70ab0f-4ebb-401b-b133-875f70b8601f</t>
  </si>
  <si>
    <t>Rochford New Local Plan</t>
  </si>
  <si>
    <t>29ca6d64-4c35-47e3-9ce6-dd12c8cbf1b3</t>
  </si>
  <si>
    <t>https://rochford.oc2.uk/docfiles/214/New%20Local%20Plan%20-%20Spatial%20Options%20Document%20(Stylised)%20-%20new%20date.pdf</t>
  </si>
  <si>
    <t>https://s3.eu-west-2.amazonaws.com/local-plans/plan-documents/29ca6d64-4c35-47e3-9ce6-dd12c8cbf1b3.pdf</t>
  </si>
  <si>
    <t>cab100b35db9de6267f59de4d628f49c</t>
  </si>
  <si>
    <t>404 Client Error: Not Found for url: https://rochford.oc2.uk/docfiles/214/New%20Local%20Plan%20-%20Spatial%20Options%20Document%20(Stylised)%20-%20new%20date.pdf</t>
  </si>
  <si>
    <t>Standard method calculation provided here.   Numbers subject to change as plan progresses.  Options taken from Spatial Options document July 2021.</t>
  </si>
  <si>
    <t>https://s3.eu-west-2.amazonaws.com/local-plans/images/29ca6d64-4c35-47e3-9ce6-dd12c8cbf1b3/1b5b8930-680e-4b24-bb6f-61c79c066d34.jpg</t>
  </si>
  <si>
    <t xml:space="preserve">Committed to immediate review (commencing 2020).   As part of the redistribution of housing, the borough has agreed to take an additional 4,020 dwellings (for Coventry) .
</t>
  </si>
  <si>
    <t>404 Client Error: Not Found for url: https://www.dorsetcouncil.gov.uk/planning-buildings-land/planning-policy/purbeck/adopted-local-plan-purbeck/pdfs/alp/purbeck-local-plan-part-1-planning-purbecks-future.pdf</t>
  </si>
  <si>
    <t>HTTPSConnectionPool(host='www.dorsetforyou.gov.uk', port=443): Max retries exceeded with url: /planning-buildings-land/planning-policy/purbeck/local-plan-review-purbeck/pdfs/pre-submission-documents/purbeck-local-plan-pre-submission.pdf (Caused by NewConnectionError('&lt;urllib3.connection.VerifiedHTTPSConnection object at 0x7fd22c209e10&gt;: Failed to establish a new connection: [Errno -3] Temporary failure in name resolution'))</t>
  </si>
  <si>
    <t>503 Server Error: Service Unavailable for url: https://www.midsussex.gov.uk/media/3406/mid-sussex-district-plan.pdf</t>
  </si>
  <si>
    <t>HTTPSConnectionPool(host='centrallocalplan.lancashire.gov.uk', port=443): Max retries exceeded with url: /media/1032/central-lancashire-core-strategy-july-2012-v1.pdf (Caused by SSLError(SSLCertVerificationError(1, '[SSL: CERTIFICATE_VERIFY_FAILED] certificate verify failed: unable to get local issuer certificate (_ssl.c:1056)')))</t>
  </si>
  <si>
    <t>503 Server Error: Service Unavailable for url: https://centrallocalplan.citizenspace.com/central-team/issuesandoptions/supporting_documents/smaller%20%20Main%20IO%20Consultation%20Paper%20FINAL%20111119.pdf</t>
  </si>
  <si>
    <t>404 Client Error: Not Found for url: http://www.planning.northlincs.gov.uk/application</t>
  </si>
  <si>
    <t>https://m.northlincs.gov.uk/public/localplan/stage_4_doc/North%20Lincolnshire%20Local%20Plan%20-%20Final.pdf</t>
  </si>
  <si>
    <t>692bee8c5a44721da87af1b63e115afc</t>
  </si>
  <si>
    <t>https://s3.eu-west-2.amazonaws.com/local-plans/images/a506cb38-7ee1-448e-8841-102a7f6bc4a7/268a6b59-4ccf-4480-9cbd-30ff157726ed.jpg</t>
  </si>
  <si>
    <t>Policy SP6 to delivers 10,440 dwellings over the period 2011-2031, but for housing provision period is extended to 2034 with 522 DPA over 23 years._x000D_
_x000D_
Trajectory:_x000D_
2011/12 to 2018/19 - 400 dwellings per annum_x000D_
2019/20 to 2023/24 - 485 dwellings per annum_x000D_
2024/25 to 2028/29 - 685 dwellings per annum_x000D_
2029/30 to 2030/31 - 695 dwellings per annum_x000D_
_x000D_
Beyond the Plan period (2011-31) the annualised average rate of 522 dwellings has been rolled forward to cover a longer trajectory of 23 years.</t>
  </si>
  <si>
    <t>https://s3.eu-west-2.amazonaws.com/local-plans/images/72209839-2460-4c35-9d63-79e389f0062c/fe144054-eaff-424d-b619-2f7290e3d0f0.jpg</t>
  </si>
  <si>
    <t>225976f3ac2d1ce30c3e2e37ddc347e1</t>
  </si>
  <si>
    <t>Maidstone Borough Local Plan Review</t>
  </si>
  <si>
    <t>54d59982-6bc7-4e4f-b3e3-7ed6c97f6778</t>
  </si>
  <si>
    <t>https://localplan.maidstone.gov.uk/home/documents/local-plan-review-documents/regulation-19/LPR-Regulation-19-Document-25.10.21-Final-Copy.pdf</t>
  </si>
  <si>
    <t>https://s3.eu-west-2.amazonaws.com/local-plans/plan-documents/54d59982-6bc7-4e4f-b3e3-7ed6c97f6778.pdf</t>
  </si>
  <si>
    <t>41c2abee86516c955652e3e0de27e16e</t>
  </si>
  <si>
    <t>Comprises the total housing requirement for the plan period (noting the residual is lower taking into consideration supply remaining in the current local plan).</t>
  </si>
  <si>
    <t>https://s3.eu-west-2.amazonaws.com/local-plans/images/54d59982-6bc7-4e4f-b3e3-7ed6c97f6778/59394e6c-c3f6-44f1-90c5-22d0213daf23.jpg</t>
  </si>
  <si>
    <t>North West Leicestershire Local Plan (incorporating partial review, March 2021)</t>
  </si>
  <si>
    <t xml:space="preserve">The partial review doesnâ€™t change anything apart from the need for the early review by a specified time to allow the Council to progress the full substantive review.  The Partial Review focussed solely on limited changes to Policy S1 and supporting text, whilst simultaneously undertaking a Substantive Review to complete the work on a Local Plan to 2039.  This will include site allocations and other policy changes as necessary. The Substantive Review will be a full replacement of the Local Plan including a further replacement to Policy S1 setting out new housing and employment requirements. A key strategic issue relates to the consideration of redistributing potential unmet housing and employment needs for Leicester City.
The Partial Review does not change the overall strategy of delivering housing and employment within Policy S1, with provision continuing to meet the Objectively Assessed Need and housing requirement for the District identified in the 2017 Local Plan. There is no effect on the plan period or other policies of the 2017 Plan.
</t>
  </si>
  <si>
    <t>dfcde127-3138-4ad3-8fac-792430c079e6</t>
  </si>
  <si>
    <t>Richmondshire Revised Local Plan (2018-2039)</t>
  </si>
  <si>
    <t>https://www.richmondshire.gov.uk/media/12295/housing.pdf</t>
  </si>
  <si>
    <t>29bb70a9c46f52c359fe994181828415</t>
  </si>
  <si>
    <t>https://s3.eu-west-2.amazonaws.com/local-plans/images/25f47afe-dd9e-4f00-b7d6-4e5db7c499ac/c67623a8-3d05-476d-a969-c856d74343e4.jpg</t>
  </si>
  <si>
    <t>Unmet need taken from Tamworth and Cannock Chase.  500 homes to meet needs arising within Tamworth Borough and 500 homes to meet needs arising in Rugeley within Cannock Chase District.</t>
  </si>
  <si>
    <t>https://www.lichfielddc.gov.uk/downloads/file/1928/local-plan-2040-publication-document</t>
  </si>
  <si>
    <t>032b4cbd2f7f41fe737055026ed4e3a6</t>
  </si>
  <si>
    <t>403 Client Error: Forbidden for url: https://www.lichfielddc.gov.uk/downloads/file/1928/local-plan-2040-publication-document</t>
  </si>
  <si>
    <t>Housing provision had been 11,800 homes in Preferred Options document (which also extended plan period from 2038 to 2040) or 536 DPA.  
Plan seeks to deliver 321 homes per year between 2018 and 2027, and 526 homes per year between 2027 and 2040.</t>
  </si>
  <si>
    <t>https://s3.eu-west-2.amazonaws.com/local-plans/images/04441017-1b67-4a2b-b2bc-fb4925a880cd/ba29e2f4-d3a1-4788-a522-dc8e7647eec0.jpg</t>
  </si>
  <si>
    <t>404 Client Error: Not Found for url: https://www.dorsetcouncil.gov.uk/planning-buildings-land/planning-policy/north-dorset/the-north-dorset-local-plan/pdfs/pdfs-north-dorset-local-plan/north-dorset-local-plan-part-1-policy-1-to-21.pdf</t>
  </si>
  <si>
    <t>500 Server Error: Internal Server Error for url: https://www.mansfield.gov.uk/downloads/file/1645/mdc-adopted-local-plan-2020</t>
  </si>
  <si>
    <t>HTTPSConnectionPool(host='www.oldham.gov.uk', port=443): Max retries exceeded with url: /download/downloads/id/1445/development_plan_document_-_joint_core_strategy_and_development_management_policies.pdf (Caused by NewConnectionError('&lt;urllib3.connection.VerifiedHTTPSConnection object at 0x7fa89d054fd0&gt;: Failed to establish a new connection: [Errno 110] Connection timed out'))</t>
  </si>
  <si>
    <t>Oldham Local Plan Review</t>
  </si>
  <si>
    <t>53acc208-7b54-4945-8f82-7393f427e32b</t>
  </si>
  <si>
    <t>Legacy Development Corporation Local Plan 2020-2036</t>
  </si>
  <si>
    <t>https://s3.eu-west-2.amazonaws.com/local-plans/images/4c19e2f5-5e6e-4b18-afb6-056c7263e7f8/c743224c-7d4e-47b0-92e2-2c99b3376df4.jpg</t>
  </si>
  <si>
    <t>403 Client Error: Forbidden for url: http://www.reigate-banstead.gov.uk/download/downloads/id/3073/adopted_core_strategy_july_2014.pdf</t>
  </si>
  <si>
    <t>Leicester New Local Plan 2020</t>
  </si>
  <si>
    <t>28d47c2a-bad8-4b18-9dc7-35c86012cd9d</t>
  </si>
  <si>
    <t>https://consultations.leicester.gov.uk/sec/draft-local-plan/supporting_documents/Draft%20Local%20Plan.pdf</t>
  </si>
  <si>
    <t>https://s3.eu-west-2.amazonaws.com/local-plans/plan-documents/28d47c2a-bad8-4b18-9dc7-35c86012cd9d.pdf</t>
  </si>
  <si>
    <t>f2558a0558fb9b3c6b72de32a2051174</t>
  </si>
  <si>
    <t>503 Server Error: Service Unavailable for url: https://consultations.leicester.gov.uk/sec/draft-local-plan/supporting_documents/Draft%20Local%20Plan.pdf</t>
  </si>
  <si>
    <t xml:space="preserve">Draft Plan (March 2020) states that the provision needs to be made for a minimum of 29,104 dwellings during the plan period 2019 - 2036 (1,712 dwellings per year). This will  be revisited with 2020 as the base date before the next consultation.
Leicester has an unmet need of 7,742 homes for the plan period (2020-2036) which would need to be accommodated in neighbouring Leicestershire authorities. 
</t>
  </si>
  <si>
    <t>https://s3.eu-west-2.amazonaws.com/local-plans/images/28d47c2a-bad8-4b18-9dc7-35c86012cd9d/a6a4c600-8afe-4973-9931-cf3c6a83348f.jpg</t>
  </si>
  <si>
    <t>d16a85ce16b25557aff8617f96d0f144</t>
  </si>
  <si>
    <t>('Connection aborted.', RemoteDisconnected('Remote end closed connection without response'))</t>
  </si>
  <si>
    <t>The Council is committed to undertaking an early and partial update of the Local Plan in so far as it relates to open space, sport and recreation and sites allocated as Protected Open Space in Policy INF 5, and to produce a separate Gypsies, Travellers and Travelling Showpeople Local Plan (GTTSLP). _x000D_
When adopted, the policies in the GTTSLP will supersede Policy HOU 12 in the Northumberland Local Plan. In addition, the Council is committed to an early partial update of the plan, to reflect recent changes in national planning policy, where necessary. The partial update, and the GTTSLP will be submitted within 18 months of the adoption date of this Local Plan.</t>
  </si>
  <si>
    <t xml:space="preserve">The adopted local plan includes a policy trigger that a local plan review must be commenced within 6 months (and submitted 24 months after) if an area within the Housing Market Area cannot be met and it is considered through a Duty to Cooperate that the need can be best met in Oadby and Wigston.  </t>
  </si>
  <si>
    <t>https://www.middevon.gov.uk/media/350631/local-plan-review-final-adopted-version_accessible.pdf</t>
  </si>
  <si>
    <t>cce753361677c6f4870163b940f8da8c</t>
  </si>
  <si>
    <t xml:space="preserve"> </t>
  </si>
  <si>
    <t>https://s3.eu-west-2.amazonaws.com/local-plans/images/e21c636d-aee8-43e1-abb6-5b094b158ba7/8200dde8-56a2-4143-adb9-74e66abcc5ce.jpg</t>
  </si>
  <si>
    <t>403 Client Error: Forbidden for url: http://www.manchester.gov.uk/download/downloads/id/18981/final_core_strategy.pdf</t>
  </si>
  <si>
    <t>Manchester Local Plan Review</t>
  </si>
  <si>
    <t>334cdac6-acb8-4300-8f0a-b869ddb7decf</t>
  </si>
  <si>
    <t>Oxford Local Plan 2040</t>
  </si>
  <si>
    <t>32f0cdb3-c486-4ab8-b4cf-5efdcaef0a43</t>
  </si>
  <si>
    <t>https://beta.lambeth.gov.uk/sites/default/files/2021-09/Lambeth%20Local%20Plan%202021.pdf</t>
  </si>
  <si>
    <t>b86e5acfb9e13f2f53d000b41a18c8fe</t>
  </si>
  <si>
    <t xml:space="preserve">The new London Plan requires at least 13,350 additional dwellings in Lambeth
over the period 2019/20 to 2028/29, with an annual target of at least 1,335
net additional dwellings per annum (dpa). These targets are derived from
an assessment of housing sites within the borough, carried out as part of
the London-wide Strategic Housing Land Availability Assessment (SHLAA
2017). The housing trajectory for this ten year period is included in Annex 12,
along with the indicative housing requirement figures for the five designated
neighbourhood planning areas in Lambeth (or the part of those cross-border
areas that fall within Lambeth). The indicative target for years 11-15 of the plan
period is 5,066 net additional dwellings (or 1,013 dpa), based on the 2017
SHLAA findings and by rolling forward the boroughâ€™s small housing sites figure
in accordance with paragraph 4.1.12 of the London Plan. 
</t>
  </si>
  <si>
    <t>https://s3.eu-west-2.amazonaws.com/local-plans/images/695bb2ed-e6c1-401d-a735-dc4ea2b88a70/7a964dca-ad1d-4268-b93a-f2a118ffb9fb.jpg</t>
  </si>
  <si>
    <t>https://www.ne-derbyshire.gov.uk/component/edocman/adopted-ned-local-plan-2014-2034/download?Itemid=0</t>
  </si>
  <si>
    <t>https://s3.eu-west-2.amazonaws.com/local-plans/plan-documents/269fe47a-004f-4a5e-8ac6-bb37482c33f2.pdf</t>
  </si>
  <si>
    <t>47aa194e0cac4a3e08178a1c10922b24</t>
  </si>
  <si>
    <t>https://s3.eu-west-2.amazonaws.com/local-plans/images/269fe47a-004f-4a5e-8ac6-bb37482c33f2/a8ddfb61-5f09-4a03-bf75-251dbbf05755.jpg</t>
  </si>
  <si>
    <t>https://www.lakedistrict.gov.uk/__data/assets/pdf_file/0043/388987/Lake-District-Local-PLan-2020-2035-FINAL-ADOPTED.pdf</t>
  </si>
  <si>
    <t>9b99a5db041c4fb85d99ef1570bd0422</t>
  </si>
  <si>
    <t>https://s3.eu-west-2.amazonaws.com/local-plans/images/fb4d0cb4-4018-47cb-8afa-c8b261516f24/69d2bdca-f850-4595-9cb1-1e5b8ced6846.jpg</t>
  </si>
  <si>
    <t>404 Client Error: Not Found for url: https://www.northyorkmoors.org.uk/planning/framework/Local-Plan-FINAL-Web-July-2020.pdf</t>
  </si>
  <si>
    <t>504 Server Error: Gateway Time-out for url: https://www.southtyneside.gov.uk/media/2468/Core-Strategy-Adopted-June-2007-/pdf/Core_Strategy_(Final_Adopted_Version_-_cWHS_modified_2014).pdf</t>
  </si>
  <si>
    <t>504 Server Error: Gateway Time-out for url: https://www.southtyneside.gov.uk/media/41633/Local-Plan-Pre-Publication-Draft-August-2019-/pdf/Local_Plan_Pre-Publication_Draft_August_2019.pdf</t>
  </si>
  <si>
    <t>Stoke-on-Trent Local Plan 2020-2040</t>
  </si>
  <si>
    <t>72b36302-8466-43d7-94ba-860bad3da60b</t>
  </si>
  <si>
    <t>https://secureapps.stoke.gov.uk/ConsultationPortal/ConsultationPortal/ComposeDocument.aspx</t>
  </si>
  <si>
    <t>Document at https://secureapps.stoke.gov.uk/ConsultationPortal/ConsultationPortal/ComposeDocument.aspx might not be a pdf</t>
  </si>
  <si>
    <t>There are four options for housing requirement at this early stage: A1 10,140 (507 DPA); A2 13,680 (684 DPA); B 16,220 (811 DPA); C 21,480 (1,074 DPA). Source: Issues and Options consultation document May 2021.</t>
  </si>
  <si>
    <t>https://s3.eu-west-2.amazonaws.com/local-plans/images/72b36302-8466-43d7-94ba-860bad3da60b/656a0b15-2fd2-40d5-8a9f-ddfc24a57e2d.jpg</t>
  </si>
  <si>
    <t>404 Client Error: Not Found for url: https://www.tmbc.gov.uk/__data/assets/pdf_file/0020/13808/Core_Strategy.pdf</t>
  </si>
  <si>
    <t>Tonbridge &amp; Malling Borough Local Plan - found not legally compliant 7 May 2021</t>
  </si>
  <si>
    <t>404 Client Error: Not Found for url: https://www.tmbc.gov.uk/__data/assets/pdf_file/0005/618890/Local_Plan_Submission_January_2019.pdf</t>
  </si>
  <si>
    <t>f001429c-3d3b-40d1-94d2-42f76a8e7ccd</t>
  </si>
  <si>
    <t>https://swindon-consult.objective.co.uk/portal/lpr/lps/local_plan_submission_revised_draft_plan?pointId=s15740038570481#section-s15740038570481</t>
  </si>
  <si>
    <t>Document at https://swindon-consult.objective.co.uk/portal/lpr/lps/local_plan_submission_revised_draft_plan?pointId=s15740038570481#section-s15740038570481 might not be a pdf</t>
  </si>
  <si>
    <t>https://s3.eu-west-2.amazonaws.com/local-plans/images/f001429c-3d3b-40d1-94d2-42f76a8e7ccd/20a76f94-cd92-4c69-8a20-fcd78d3ee8a0.jpg</t>
  </si>
  <si>
    <t>403 Client Error: Forbidden for url: https://www.southwark.gov.uk/assets/attach/1675/1.0.2-DL-Core_Strategy_2011.pdf</t>
  </si>
  <si>
    <t>403 Client Error: Forbidden for url: https://www.southwark.gov.uk/assets/attach/11656/NSP01-New-Southwark-Plan-Submission-Version-Proposed-Modifications-for-Examination.pdf</t>
  </si>
  <si>
    <t>Housing provision 40,035 between 2019-2036 as modified by MM8</t>
  </si>
  <si>
    <t>https://s3.eu-west-2.amazonaws.com/local-plans/images/2e3ad928-7219-42c1-aab7-899c1569af05/f0f0ae2b-30ca-4d3c-b57f-d6a8c33f23dc.jpg</t>
  </si>
  <si>
    <t>HTTPSConnectionPool(host='www.tandridge.gov.uk', port=443): Max retries exceeded with url: /Portals/0/Documents/Planning%20and%20building/Planning%20strategies%20and%20policies/Current%20and%20adopted%20planning%20policies/Core%20strategy/Core-Strategy.pdf (Caused by NewConnectionError('&lt;urllib3.connection.VerifiedHTTPSConnection object at 0x7ffbb2a57da0&gt;: Failed to establish a new connection: [Errno 110] Connection timed out'))</t>
  </si>
  <si>
    <t>2224e72dff9aa4eac5fa2ac88789af78</t>
  </si>
  <si>
    <t>HTTPSConnectionPool(host='www.tandridge.gov.uk', port=443): Max retries exceeded with url: /Portals/0/Documents/Planning%20and%20building/Planning%20strategies%20and%20policies/Local%20plan/Local%20plan%202033/Examination%20library/MAIN%20DOCUMENTS/MD1-Our-Local-Plan-2033-Submission-2019.pdf (Caused by SSLError(SSLCertVerificationError(1, '[SSL: CERTIFICATE_VERIFY_FAILED] certificate verify failed: certificate has expired (_ssl.c:1056)')))</t>
  </si>
  <si>
    <t>HTTPSConnectionPool(host='www.somersetwestandtaunton.gov.uk', port=443): Max retries exceeded with url: /media/1061/adopted-core-strategy-2011-2028.pdf (Caused by SSLError(SSLCertVerificationError(1, '[SSL: CERTIFICATE_VERIFY_FAILED] certificate verify failed: unable to get local issuer certificate (_ssl.c:1056)')))</t>
  </si>
  <si>
    <t>404 Client Error: Not Found for url: http://services.swale.gov.uk/media/files/localplan/adoptedlocalplanfinalwebversion.pdf</t>
  </si>
  <si>
    <t>https://services.swale.gov.uk/assets/Planning%20Policy%202019/FINAL%20Reg%2019%20(RGB)%20119MB.pdf</t>
  </si>
  <si>
    <t>https://s3.eu-west-2.amazonaws.com/local-plans/plan-documents/37c09e6b-8a19-4926-b82c-082c65236689.pdf</t>
  </si>
  <si>
    <t>300fe2713b4f280eb728847586acc50c</t>
  </si>
  <si>
    <t>HTTPSConnectionPool(host='services.swale.gov.uk', port=443): Max retries exceeded with url: /assets/Planning%20Policy%202019/FINAL%20Reg%2019%20(RGB)%20119MB.pdf (Caused by SSLError(SSLCertVerificationError(1, '[SSL: CERTIFICATE_VERIFY_FAILED] certificate verify failed: certificate has expired (_ssl.c:1056)')))</t>
  </si>
  <si>
    <t>https://s3.eu-west-2.amazonaws.com/local-plans/images/37c09e6b-8a19-4926-b82c-082c65236689/62d6ab68-9f34-4e2c-a438-d3470e7278ab.jpg</t>
  </si>
  <si>
    <t>South Oxfordshire Local Plan 2035</t>
  </si>
  <si>
    <t>https://www.southoxon.gov.uk/wp-content/uploads/sites/2/2021/02/SODC-LP2035-Publication-Feb-2021.pdf</t>
  </si>
  <si>
    <t>https://s3.eu-west-2.amazonaws.com/local-plans/plan-documents/d9cd6156-7cb2-445d-9101-9111b8e2102c.pdf</t>
  </si>
  <si>
    <t>2e6e2de8c6a67b782c184d6a4342fa25</t>
  </si>
  <si>
    <t>MM1 extended plan period to 2035 (was 2034)._x000D_
MM5 provides an updated overall housing requirement for plan period (but retains same DPA). Total requirement is made up of: (1) South Oxfordshire Minimum housing requirement - 18,600; and (2) 4,950 homes addressing Oxford's unmet housing need. Total requirement is 23,550.  Annual requirement is 2011/12 to 2025/26 - 900 DPA; 2026/27 to 2031/32 1,120 DPA; 2032/33 to 2034/5 1,110 DPA.</t>
  </si>
  <si>
    <t>https://s3.eu-west-2.amazonaws.com/local-plans/images/d9cd6156-7cb2-445d-9101-9111b8e2102c/d9d9653a-2b5f-4a25-85e9-a7320e368e18.jpg</t>
  </si>
  <si>
    <t>Plan period adjusted from 2026-2036 to 2020-2040.  Yet to reach publication stage.</t>
  </si>
  <si>
    <t>HTTPSConnectionPool(host='www.shropshire.gov.uk', port=443): Max retries exceeded with url: /media/8534/core-strategy.pdf (Caused by SSLError(SSLCertVerificationError(1, '[SSL: CERTIFICATE_VERIFY_FAILED] certificate verify failed: unable to get local issuer certificate (_ssl.c:1056)')))</t>
  </si>
  <si>
    <t>https://shropshire.gov.uk/media/21100/sd002-draft-shropshire-local-plan.pdf</t>
  </si>
  <si>
    <t>2fb22cd45f2a3160214aa83ecc460346</t>
  </si>
  <si>
    <t>HTTPSConnectionPool(host='shropshire.gov.uk', port=443): Max retries exceeded with url: /media/21100/sd002-draft-shropshire-local-plan.pdf (Caused by SSLError(SSLCertVerificationError(1, '[SSL: CERTIFICATE_VERIFY_FAILED] certificate verify failed: unable to get local issuer certificate (_ssl.c:1056)')))</t>
  </si>
  <si>
    <t>Based on version as Submitted (3 Sept 2021)</t>
  </si>
  <si>
    <t>https://s3.eu-west-2.amazonaws.com/local-plans/images/7402de6b-c08f-43ee-a25f-160c3ecce97c/f68a1688-1ea6-45db-b309-d4aa2a70300f.jpg</t>
  </si>
  <si>
    <t>404 Client Error: Not Found for url: https://drive.google.com/open?id=1MdX6GlaHDoBdG6CTsvjFaIuPtIa9id5O</t>
  </si>
  <si>
    <t>404 Client Error: Not Found for url: https://www.scambs.gov.uk/media/12740/south-cambridgeshire-adopted-local-plan-270918_sml.pdf</t>
  </si>
  <si>
    <t>404 Client Error: Not Found for url: https://www.torbay.gov.uk/media/6836/lp-2012to2030.pdf</t>
  </si>
  <si>
    <t>HTTPSConnectionPool(host='uttlesford.gov.uk', port=443): Max retries exceeded with url: /media/8248/Uttlesford-Regulation-19-Pre-submission-Local-Plan/pdf/Reg_19_local_plan_21.06.18_low_res_for_web.pdf (Caused by SSLError(SSLCertVerificationError("hostname 'uttlesford.gov.uk' doesn't match either of '*.uttlesford.gov.uk', 'autodiscover.uttlesford.gov.uk', 'legacy.uttlesford.gov.uk', 'discoverreceiver.uttlesford.gov.uk', 'nscallback.uttlesford.gov.uk'")))</t>
  </si>
  <si>
    <t>404 Client Error: Not Found for url: https://www.ryedale.gov.uk/planning/planning-policy.htmlattachments/category/12/Local_Plan_Strategy_FINAL.pdf</t>
  </si>
  <si>
    <t>Scarborough Local Plan Review</t>
  </si>
  <si>
    <t>6d98ab37-7d78-43b4-9c1b-39b446e03ef2</t>
  </si>
  <si>
    <t>https://www.scarborough.gov.uk/sites/scarborough.gov.uk/files/Local%20Plan%20Issues%20and%20Options%202020.pdf</t>
  </si>
  <si>
    <t>https://s3.eu-west-2.amazonaws.com/local-plans/plan-documents/6d98ab37-7d78-43b4-9c1b-39b446e03ef2.pdf</t>
  </si>
  <si>
    <t>92b949c5bbc3ef1cd1252b5ea82045cc</t>
  </si>
  <si>
    <t xml:space="preserve">Various Options in Issues and Options Document (Aug 2020): 
Option 1 - 2800 dwellings;
Option 2 - 5600 dwellings;
Option 3 - 7200 (or as amended by updated economic evidence); and
Option 4 - 25,408 (or as amended by the updated SHMA).
</t>
  </si>
  <si>
    <t>https://s3.eu-west-2.amazonaws.com/local-plans/images/6d98ab37-7d78-43b4-9c1b-39b446e03ef2/3ce29e23-b60a-4cbf-96c0-5b19f67eac46.jpg</t>
  </si>
  <si>
    <t>HTTPSConnectionPool(host='www.selby.gov.uk', port=443): Max retries exceeded with url: /sites/default/files/Documents/CS_Adoption_Ver_OCT_2013_REDUCED.pdf (Caused by NewConnectionError('&lt;urllib3.connection.VerifiedHTTPSConnection object at 0x7f10e9aef198&gt;: Failed to establish a new connection: [Errno 111] Connection refused'))</t>
  </si>
  <si>
    <t>Selby Local Plan 2020-2040</t>
  </si>
  <si>
    <t>https://www.selby.gov.uk/sites/default/files/Local_Plan_Preferred_Options_29-01-2021_%28Web%20Version%29.pdf</t>
  </si>
  <si>
    <t>caa1f4a137dacd591739c849e0fb9712</t>
  </si>
  <si>
    <t>Housing figure from Preferred Options document and subject to change.</t>
  </si>
  <si>
    <t>https://s3.eu-west-2.amazonaws.com/local-plans/images/6921ebed-4ed8-42a4-96db-045c82b2872f/3890e1e2-4788-4062-b11b-427064c8a2c6.jpg</t>
  </si>
  <si>
    <t>https://www.spelthorne.gov.uk/media/21635/Spelthorne-Local-Plan-Preferred-Options-Consultation-Policies-Document/pdf/Final_Policies_document.pdf?m=637371351181570000</t>
  </si>
  <si>
    <t>6c720f92293d0a962a3a5bd7b2944fc8</t>
  </si>
  <si>
    <t>Emerging housing number taken from Preferred Options (Reg 18) November 2019</t>
  </si>
  <si>
    <t>https://s3.eu-west-2.amazonaws.com/local-plans/images/4eb91c4f-9be4-436a-af7d-3459099a482e/eebee392-1d4d-44f4-ad35-34f3bd83e004.jpg</t>
  </si>
  <si>
    <t>HTTPSConnectionPool(host='www.tamworth.gov.uk', port=443): Max retries exceeded with url: /sites/default/files/planning_docs/Local-Plan-2006-2031.pdf (Caused by NewConnectionError('&lt;urllib3.connection.VerifiedHTTPSConnection object at 0x7f9d615e6320&gt;: Failed to establish a new connection: [Errno 110] Connection timed out'))</t>
  </si>
  <si>
    <t>Unmet need given to Lichfield and North Warwickshire.  These respective plans make  provision for Tamworth's unmet need with Lichfield and North Warwickshire's plans both providing 500 dwellings each.</t>
  </si>
  <si>
    <t>HTTPSConnectionPool(host='www.towerhamlets.gov.uk', port=443): Max retries exceeded with url: /Documents/Planning-and-building-control/Strategic-Planning/Local-Plan/Final-Local-Plan-v10.pdf (Caused by NewConnectionError('&lt;urllib3.connection.VerifiedHTTPSConnection object at 0x7f7eba654048&gt;: Failed to establish a new connection: [Errno -3] Temporary failure in name resolution'))</t>
  </si>
  <si>
    <t>404 Client Error: Not Found for url: https://www.southampton.gov.uk/policies/amended-core-strategy-inc-cspr-final-13-03-2015_tcm63-371354.pdf</t>
  </si>
  <si>
    <t>Southampton City Vision 2016-2036</t>
  </si>
  <si>
    <t>https://www.southampton.gov.uk/media/jejk04en/southampton-city-vision-consultation-results-final-03-11-2020_tcm63-433062.pdf</t>
  </si>
  <si>
    <t>https://s3.eu-west-2.amazonaws.com/local-plans/plan-documents/439dfb09-86cd-4837-9547-6c885db855ac.pdf</t>
  </si>
  <si>
    <t>efedf6141f4893ddbede61fea63f7d63</t>
  </si>
  <si>
    <t>Note: Housing requirement included albeit it's at a very early stage and subject to change as the plan progresses.  Use as more of a guideline.</t>
  </si>
  <si>
    <t>https://s3.eu-west-2.amazonaws.com/local-plans/images/439dfb09-86cd-4837-9547-6c885db855ac/ed7fb0b8-4164-450b-bae5-10a229b5f79f.jpg</t>
  </si>
  <si>
    <t>403 Client Error: Forbidden for url: https://www.rugby.gov.uk/download/downloads/id/2319/local_plan_2011-31.pdf</t>
  </si>
  <si>
    <t xml:space="preserve">12,400 homes includes 2,800 dwellings to contribute to Coventry's unmet need.  Phased annual requirement: Phase 1 2011-2018, 540 DPA; Phase 2 2018-2031, 663 DPA.
</t>
  </si>
  <si>
    <t>f7358120e71cbd7c22a37f2ba8d73237</t>
  </si>
  <si>
    <t>404 Client Error: Not Found for url: https://www.testvalley.gov.uk/assets/attach/7403/Local%20Plan%20Issues%20and%20Options%20FINAL.pdf</t>
  </si>
  <si>
    <t>404 Client Error: Not Found for url: https://www.sefton.gov.uk/media/1270013/A-Local-Plan-for-Sefton-for-ADOPTION-FINAL.pdf</t>
  </si>
  <si>
    <t>Rutland Local Plan (2018 - 2036) WITHDRAWN 1 SEPTEMBER 2021</t>
  </si>
  <si>
    <t>Housing figures taken from Reg 19 Plan (August 2020).  Plan now withdrawn (1 September 2021).</t>
  </si>
  <si>
    <t>Trafford Local Plan</t>
  </si>
  <si>
    <t>6952bb0a-ab71-4e87-906c-74e27ee25a47</t>
  </si>
  <si>
    <t>Telford &amp; Wrekin Local Plan Review</t>
  </si>
  <si>
    <t>2a5eeaba-edc4-404b-835a-1fdbc3127fdb</t>
  </si>
  <si>
    <t>91fc3b94d108cd9b6143a51f90484aa5</t>
  </si>
  <si>
    <t>4c110684fc8a2ec96ba5b5935f078709</t>
  </si>
  <si>
    <t>St Albans City &amp; District Local Plan 2020-2036 - WITHDRAWN 23 NOVEMBER 2020</t>
  </si>
  <si>
    <t>404 Client Error: Not Found for url: https://www.slough.gov.uk/downloads/Adopted_Core_Strategy_16-12-08.pdf</t>
  </si>
  <si>
    <t>https://s3.eu-west-2.amazonaws.com/local-plans/plan-documents/e16df853-5eff-4b7a-b1cf-4390ef7ea592.pdf</t>
  </si>
  <si>
    <t>84b8aa265968b86efbbd35144dd2b5b8</t>
  </si>
  <si>
    <t>Figure of 320 DPA comes direct from Policy SS3 of Plan BUT figure of 314.74 arrives from 5980 / 19 years with the subtraction of 100 homes for Peak District NP.</t>
  </si>
  <si>
    <t>Council's preferred option. Would meet South Staffordshireâ€™s objectively assessed housing needs and accommodate min. additional 4,000 dwellings shortfall from the HMA. 
Regulation 18 consultation October 2018.
June 2020 LDS says Plan period end to be rolled forward to 2038
***PINS advisory note 11 November gives housing provision as 8,881 and plan period may be extended to 2039.</t>
  </si>
  <si>
    <t>404 Client Error: Not Found for url: https://www.staffordbc.gov.uk/sites/default/files/cme/DocMan1/Planning%20Policy/New%20Stafford%20Borough%20Local%20Plan%202020-2040/Issues%20and%20Options%20report%20non-technical%20Summary%20FINAL_0.pdf</t>
  </si>
  <si>
    <t>Stockport Plan</t>
  </si>
  <si>
    <t>59104b7a-70e5-496c-a1ac-7dfc34dedadf</t>
  </si>
  <si>
    <t>HTTPSConnectionPool(host='www.somersetwestandtaunton.gov.uk', port=443): Max retries exceeded with url: /media/1074/adopted-west-somerset-council-local-plan-to-2032-document.pdf (Caused by SSLError(SSLCertVerificationError(1, '[SSL: CERTIFICATE_VERIFY_FAILED] certificate verify failed: unable to get local issuer certificate (_ssl.c:1056)')))</t>
  </si>
  <si>
    <t>HTTPSConnectionPool(host='www.bathnes.gov.uk', port=443): Max retries exceeded with url: /sites/default/files/sitedocuments/Planning-and-Building-Control/Planning-Policy/Core-Strategy/core_strategy_-_adopted_interactive_version.pdf (Caused by NewConnectionError('&lt;urllib3.connection.VerifiedHTTPSConnection object at 0x7fb71480bd68&gt;: Failed to establish a new connection: [Errno 110] Connection timed out'))</t>
  </si>
  <si>
    <t>404 Client Error: Not Found for url: https://www.watford.gov.uk/download/downloads/id/114/watford_local_plan_core_strategy_2006-31_adopted_2013.pdf</t>
  </si>
  <si>
    <t>Watford Local Plan 2018 - 2036</t>
  </si>
  <si>
    <t>https://watford.oc2.uk/document/40/1603#d1603</t>
  </si>
  <si>
    <t>Document at https://watford.oc2.uk/document/40/1603#d1603 might not be a pdf</t>
  </si>
  <si>
    <t>The Spatial Strategy to 2036 seeks to deliver at least 14,988 new homes. This figure includes the amount of housing required to meet local need as determined using the government's standard method (14,274 homes) and an additional 5% allowance (714 homes) to reduce the risk of sites identified in the plan not coming forward as anticipated. The figures that make up this housing target are set out in Figure 3.1.</t>
  </si>
  <si>
    <t>https://s3.eu-west-2.amazonaws.com/local-plans/images/0903925b-45bb-4c6c-8938-14aa113cdff1/e5d85a3f-f63f-4d1d-8cdb-5c25f6febd8a.jpg</t>
  </si>
  <si>
    <t>404 Client Error: Not Found for url: https://www.dorsetcouncil.gov.uk/planning-buildings-land/planning-policy/west-dorset-and-weymouth-portland/adopted-local-plan/pdfs/alp/west-dorset-weymouth-portland-local-plan-2015.pdf</t>
  </si>
  <si>
    <t>HTTPSConnectionPool(host='www.westlancs.gov.uk', port=443): Max retries exceeded with url: /media/79104/chapter-4.pdf (Caused by SSLError(SSLCertVerificationError(1, '[SSL: CERTIFICATE_VERIFY_FAILED] certificate verify failed: unable to get local issuer certificate (_ssl.c:1056)')))</t>
  </si>
  <si>
    <t>404 Client Error: Not Found for url: https://www.bournemouth.gov.uk/planningbuilding/CoreStrategyDocuments/Core-Strategy-(1).pdf</t>
  </si>
  <si>
    <t>Borough of Redditch Local Plan No. 4 (2011-2030)</t>
  </si>
  <si>
    <t>026098b0f2287dadcad3c9941c3859fa</t>
  </si>
  <si>
    <t>HTTPSConnectionPool(host='www.redditchbc.gov.uk', port=443): Max retries exceeded with url: /media/2751956/Adopted-BORLP4-low-res-17-02-17.pdf (Caused by NewConnectionError('&lt;urllib3.connection.VerifiedHTTPSConnection object at 0x7f2b077d6c50&gt;: Failed to establish a new connection: [Errno 110] Connection timed out'))</t>
  </si>
  <si>
    <t>404 Client Error: Not Found for url: https://www.walthamforest.gov.uk/sites/default/files/Proposed%20Submission%20Local%20Plan%20-%20LP1%2023Oct20_compress2%20%28002%29.pdf</t>
  </si>
  <si>
    <t>https://s3.eu-west-2.amazonaws.com/local-plans/images/bc8402a6-ac41-41d7-8484-d098325bcdbb/9b9ed5bd-8c9e-4069-893a-7b4c8bfb7ec9.jpg</t>
  </si>
  <si>
    <t>https://s3.eu-west-2.amazonaws.com/local-plans/plan-documents/8f711fa3-3fd0-4fd3-8c24-1e553d858690.pdf</t>
  </si>
  <si>
    <t>9547d8dad2387fe877220be55d0bd8a6</t>
  </si>
  <si>
    <t>Document at https://www.bradford.gov.uk/Documents/planningStrategy/10%20Adoption/Adopted%20core%20strategy//Section%205.3%20-%20Housing.pdf might not be a pdf</t>
  </si>
  <si>
    <t>We have agreed with PPR to the higher number of 2476.47 (rather than 2159) since Bradford pre-populated it in DELTA.</t>
  </si>
  <si>
    <t>Bradford District Local Plan 2020-2038</t>
  </si>
  <si>
    <t>https://bradford.oc2.uk/document/20/39562#d40433</t>
  </si>
  <si>
    <t>Document at https://bradford.oc2.uk/document/20/39562#d40433 might not be a pdf</t>
  </si>
  <si>
    <t>Housing requirement taken from Preferred Options document (February 2021) and subject to change.</t>
  </si>
  <si>
    <t>https://s3.eu-west-2.amazonaws.com/local-plans/images/1011ee68-fcfd-4175-9199-6be5022705ae/3ac0067b-91cb-4833-b74d-33f96696c99f.jpg</t>
  </si>
  <si>
    <t>https://www.stroud.gov.uk/media/1485600/part-2_pre-submission-draft-plan-2021_final-25-05-21.pdf</t>
  </si>
  <si>
    <t>https://s3.eu-west-2.amazonaws.com/local-plans/plan-documents/6bdea091-e756-48f8-b498-22ee065e6abc.pdf</t>
  </si>
  <si>
    <t>8c44f05f90bc65c48b72af6e73c24b49</t>
  </si>
  <si>
    <t>In addition to meeting Stroudâ€™s housing needs, the Local Plan addresses unmet needs from 
neighbouring Gloucester by allocating a site for 3,000 dwellings at Whaddon for delivery by
2040.</t>
  </si>
  <si>
    <t>https://s3.eu-west-2.amazonaws.com/local-plans/images/6bdea091-e756-48f8-b498-22ee065e6abc/b0bd2c20-f184-4f13-af8b-3f962c621b19.jpg</t>
  </si>
  <si>
    <t>404 Client Error: Not Found for url: https://www.warrington.gov.uk/info/200564/planning-policy/1903/local-plan</t>
  </si>
  <si>
    <t>Local Plan: Full Review</t>
  </si>
  <si>
    <t>0a826f3f-f7ce-42e0-9695-0f236c11cc89</t>
  </si>
  <si>
    <t>https://www.wandsworth.gov.uk/media/10136/wandsworth_local_plan_2023_38.pdf</t>
  </si>
  <si>
    <t>https://s3.eu-west-2.amazonaws.com/local-plans/plan-documents/0a826f3f-f7ce-42e0-9695-0f236c11cc89.pdf</t>
  </si>
  <si>
    <t>cc70712b72293afb845526896e7ca6c5</t>
  </si>
  <si>
    <t>Within the period 2023 â€“ 2038 the Local Plan will provide for a minimum of 20,311 new homes. This includes the provision of a minimum of 1,950 new homes per year up until 2028/2029, including on small sites.</t>
  </si>
  <si>
    <t>https://s3.eu-west-2.amazonaws.com/local-plans/images/0a826f3f-f7ce-42e0-9695-0f236c11cc89/374cb8b5-9ad7-47d8-a2a4-fe8ae726287a.jpg</t>
  </si>
  <si>
    <t>West Berkshire Local Plan Review to 2037</t>
  </si>
  <si>
    <t>Wyre Local Plan Partial Review (2011-2031)</t>
  </si>
  <si>
    <t>7d71a80f-3f1a-4e5b-9620-63ddb21772b4</t>
  </si>
  <si>
    <t>https://www.wyre.gov.uk/downloads/file/1283/local-plan-partial-review-schedule-of-revisions</t>
  </si>
  <si>
    <t>https://s3.eu-west-2.amazonaws.com/local-plans/plan-documents/7d71a80f-3f1a-4e5b-9620-63ddb21772b4.pdf</t>
  </si>
  <si>
    <t>82f6a9b37458840dac9725d2ef6dd436</t>
  </si>
  <si>
    <t>403 Client Error: Forbidden for url: https://www.wyre.gov.uk/downloads/file/1283/local-plan-partial-review-schedule-of-revisions</t>
  </si>
  <si>
    <t>The total housing requirement for the Plan
Period is a minimum of 7,232 net dwellings. This consists of 460 net dwellings between 2011 and 2018/2019; and 296 net dwellings between 2019/2020 and 2031.</t>
  </si>
  <si>
    <t>https://s3.eu-west-2.amazonaws.com/local-plans/images/7d71a80f-3f1a-4e5b-9620-63ddb21772b4/3ffbff24-b985-44a4-9530-f515693ac16f.jpg</t>
  </si>
  <si>
    <t>403 Client Error: Forbidden for url: http://www.wyre.gov.uk/download/downloads/id/5592/adopted_wyre_local_plan_2011-2031.pdf</t>
  </si>
  <si>
    <t>HTTPSConnectionPool(host='www.swdevelopmentplan.org', port=443): Max retries exceeded with url: /wp-content/uploads/2016/06/The-Adopted-SWDP-February-2016.pdf (Caused by SSLError(SSLCertVerificationError(1, '[SSL: CERTIFICATE_VERIFY_FAILED] certificate verify failed: unable to get local issuer certificate (_ssl.c:1056)')))</t>
  </si>
  <si>
    <t>Westminster City Plan</t>
  </si>
  <si>
    <t>eebf5dd2-7687-486d-8efd-3e34f4948c91</t>
  </si>
  <si>
    <t>https://s3.eu-west-2.amazonaws.com/local-plans/plan-documents/eebf5dd2-7687-486d-8efd-3e34f4948c91.pdf</t>
  </si>
  <si>
    <t>HTTPConnectionPool(host='transact.westminster.gov.uk', port=80): Max retries exceeded with url: /docstores/publications_store/cityplan/Westminster_City_Plan_consolidated_version_Nov_2016.pdf (Caused by NewConnectionError('&lt;urllib3.connection.HTTPConnection object at 0x7ff4de3ce5f8&gt;: Failed to establish a new connection: [Errno 110] Connection timed out'))</t>
  </si>
  <si>
    <t>https://s3.eu-west-2.amazonaws.com/local-plans/images/eebf5dd2-7687-486d-8efd-3e34f4948c91/ef37016c-2a0c-4bb8-8da1-40256a73c05b.jpg</t>
  </si>
  <si>
    <t>https://www.westminster.gov.uk/media/document/city-plan-2019-2040</t>
  </si>
  <si>
    <t>534684033ae47bff0bd42e66606dae3c</t>
  </si>
  <si>
    <t>https://s3.eu-west-2.amazonaws.com/local-plans/images/230c6f1d-7a1c-4765-981f-4ef2850d3e5a/e9227774-1717-4484-a417-93969b7754a8.jpg</t>
  </si>
  <si>
    <t>Fareham LDF: Core Strategy (as modified by Part 2 Plan)</t>
  </si>
  <si>
    <t>https://www.fareham.gov.uk/PDF/planning/LP2DSPAdopted.pdf</t>
  </si>
  <si>
    <t>71a599984b92ee2f63a8de6b3e40bfd1</t>
  </si>
  <si>
    <t>HTTPSConnectionPool(host='www.fareham.gov.uk', port=443): Max retries exceeded with url: /PDF/planning/LP2DSPAdopted.pdf (Caused by SSLError(SSLCertVerificationError(1, '[SSL: CERTIFICATE_VERIFY_FAILED] certificate verify failed: certificate has expired (_ssl.c:1056)')))</t>
  </si>
  <si>
    <t>We consider that the Local Plan Part 2: Development Sites and Policies adopted 8 June 2015 re-visits the housing requirement set out in the 2011 Core Strategy (see from Page 74). We have agreed with PPR that the annualised figure is 338.  [Part 2 Plan was adopted 8 June 2015]</t>
  </si>
  <si>
    <t>https://s3.eu-west-2.amazonaws.com/local-plans/images/44070104-6c42-4d20-8c1a-a4591317abf0/8b881576-6a9b-46e6-8812-660cb10d264e.jpg</t>
  </si>
  <si>
    <t>Fareham Local Plan 2037</t>
  </si>
  <si>
    <t>https://www.fareham.gov.uk/PDF/planning/local_plan/CD001_Revised_Publication_Local_Plan.pdf</t>
  </si>
  <si>
    <t>92c94761ffd841d2e01e8deda22dfa8e</t>
  </si>
  <si>
    <t>The Council will make provision for at least 9,560 net new homes across the Borough during the Plan period of 2021-2037, phased as follows,
â€¢ Approximately 900 dwellings (averaging 300 dwellings per
annum) between 2021/22 and 2023/24,
â€¢ Approximately 2,180 dwellings (averaging 545 dwellings per
annum) between 2024/25 and 2027/28,
â€¢ Approximately 6,480 dwellings (averaging 720 dwellings per
annum) between 2028/29 and 2036/2037.
Taken from Submission version 30 Sept 2021.</t>
  </si>
  <si>
    <t>https://s3.eu-west-2.amazonaws.com/local-plans/images/808859ce-cbc7-4a34-86eb-67b002c2db8f/a14732b6-20d7-4098-a384-b9770d6489dd.jpg</t>
  </si>
  <si>
    <t>Local Plan 2031 Part 1: Strategic Sites and Policies (as modified by Part 2 Plan)</t>
  </si>
  <si>
    <t>https://www.whitehorsedc.gov.uk/wp-content/uploads/sites/3/2021/03/VOWHDC-Master-1.pdf</t>
  </si>
  <si>
    <t>https://s3.eu-west-2.amazonaws.com/local-plans/plan-documents/5c914e72-2d3c-4d5a-b85c-038d82b79e64.pdf</t>
  </si>
  <si>
    <t>0a7d0d4139a9566d95537740936c6d34</t>
  </si>
  <si>
    <t>The Council have defined the unmet need (to be added to the housing requirement of 20560) as 2,200 â€“ and that this applies to the whole plan period (See Core Policy 4a).  We consider that this revisits the housing requirement because there is an increase in the housing requirement set out in the adopted development plan; i.e. they havenâ€™t simply just factored completions since adoption of the previous plan, but through duty to cooperate clarified the quantum of unmet need to be met and increased the housing requirement accordingly [Part 2 plan adopted 9 October 2019]</t>
  </si>
  <si>
    <t>https://s3.eu-west-2.amazonaws.com/local-plans/images/5c914e72-2d3c-4d5a-b85c-038d82b79e64/8c446262-316b-4b72-9ba5-af9f8c1edb0f.jpg</t>
  </si>
  <si>
    <t>Hastings Local Plan 2019-2039</t>
  </si>
  <si>
    <t>8bac4cda-14b7-4a52-916b-1449ce7ed64f</t>
  </si>
  <si>
    <t>404 Client Error: Not Found for url: https://www.wyreforestdc.gov.uk/media/89829/Adopted-Core-Strategy-DPD.pdf</t>
  </si>
  <si>
    <t>404 Client Error: Not Found for url: https://www.wyreforestdc.gov.uk/media/5322485/SD01-Local-Plan-2016-2036-Submission-Document-January-2020-without-maps.pdf</t>
  </si>
  <si>
    <t>HTTPSConnectionPool(host='www.warwickdc.gov.uk', port=443): Max retries exceeded with url: /download/downloads/id/4623/new_local_plan.pdf (Caused by NewConnectionError('&lt;urllib3.connection.VerifiedHTTPSConnection object at 0x7f3e1d6bada0&gt;: Failed to establish a new connection: [Errno 110] Connection timed out'))</t>
  </si>
  <si>
    <t>503 Server Error: Service Unavailable for url: http://www.wakefield.gov.uk/localplan2020/local-plan-2036-publication-draft-plan-volume-1-development-strategy-strategic-local-policies-october-2020.pdf</t>
  </si>
  <si>
    <t>404 Client Error: Not Found for url: https://www.welhat.gov.uk/media/14557/Draft-Local-Plan-Submission-Document-August-2016/pdf/Draft_Local_Plan_Submission_Document_August_2016_opt.pdf?m=636866922998770000</t>
  </si>
  <si>
    <t>Yorkshire Dales National Park Local Plan 2023-2040</t>
  </si>
  <si>
    <t>39c75fee-757e-476f-ba12-a65335a27bf4</t>
  </si>
  <si>
    <t>https://www.yorkshiredales.org.uk/wp-content/uploads/sites/13/2020/07/Ambitions-Consultation.pdf</t>
  </si>
  <si>
    <t>https://s3.eu-west-2.amazonaws.com/local-plans/plan-documents/39c75fee-757e-476f-ba12-a65335a27bf4.pdf</t>
  </si>
  <si>
    <t>3f4ec118815fb980314bbcf73f42a22d</t>
  </si>
  <si>
    <t>HTTPSConnectionPool(host='www.yorkshiredales.org.uk', port=443): Max retries exceeded with url: /wp-content/uploads/sites/13/2020/07/Ambitions-Consultation.pdf (Caused by NewConnectionError('&lt;urllib3.connection.VerifiedHTTPSConnection object at 0x7fc86a573518&gt;: Failed to establish a new connection: [Errno 110] Connection timed out'))</t>
  </si>
  <si>
    <t>Ambitions consultation document provides three options for housing:-
Option 1: No new homes
Option 2: 30 new homes per year; 510 over the Plan period
Option 3: 70 new homes per year; 1190 over the Plan period</t>
  </si>
  <si>
    <t>https://s3.eu-west-2.amazonaws.com/local-plans/images/39c75fee-757e-476f-ba12-a65335a27bf4/0286bc33-5df1-41c5-94e7-a7e9e152c778.jpg</t>
  </si>
  <si>
    <t>Document at http://www.wealden.gov.uk/nmsruntime/saveasdialog.aspx?lID=14756&amp;sID=2829 might not be a pdf</t>
  </si>
  <si>
    <t>Document at http://www.wealden.gov.uk/nmsruntime/saveasdialog.aspx?lID=25367&amp;amp;sID=6726 might not be a pdf</t>
  </si>
  <si>
    <t>HTTPSConnectionPool(host='www.westsuffolk.gov.uk', port=443): Max retries exceeded with url: /planning/Planning_Policies/local_plans/upload/Core-Strategy-December-2010.pdf (Caused by NewConnectionError('&lt;urllib3.connection.VerifiedHTTPSConnection object at 0x7f5bb4389198&gt;: Failed to establish a new connection: [Errno 110] Connection timed out'))</t>
  </si>
  <si>
    <t>HTTPSConnectionPool(host='www.hartlepool.gov.uk', port=443): Max retries exceeded with url: /download/downloads/id/4393/hartlepool_local_plan_-_adopted_may_2018pdf.pdf (Caused by NewConnectionError('&lt;urllib3.connection.VerifiedHTTPSConnection object at 0x7fa400aa8748&gt;: Failed to establish a new connection: [Errno 110] Connection timed out'))</t>
  </si>
  <si>
    <t>HTTPSConnectionPool(host='www.redcar-cleveland.gov.uk', port=443): Max retries exceeded with url: /resident/planning-and-building/strategic%20planning/Documents/Local%20Plan%20Adopted%20May%202018.pdf (Caused by SSLError(SSLCertVerificationError(1, '[SSL: CERTIFICATE_VERIFY_FAILED] certificate verify failed: unable to get local issuer certificate (_ssl.c:1056)')))</t>
  </si>
  <si>
    <t>404 Client Error: Not Found for url: http://www.planvu.co.uk/mvdc/contents_written_cs.htm</t>
  </si>
  <si>
    <t>Future Mole Valley (Local Plan 2020-2037)</t>
  </si>
  <si>
    <t>https://www.molevalley.gov.uk/sites/default/files/2021-09/Draft%20Local%20Plan%20%28Proposed%20Submission%20Version%20-%20Regulation%2019%29%20%28MVDC%2C%202021%29.pdf</t>
  </si>
  <si>
    <t>https://s3.eu-west-2.amazonaws.com/local-plans/plan-documents/af69967a-3ec2-467a-91c7-b1ecdf098fea.pdf</t>
  </si>
  <si>
    <t>5be574c9d0391d8e83c12e7149a94e35</t>
  </si>
  <si>
    <t>https://s3.eu-west-2.amazonaws.com/local-plans/images/af69967a-3ec2-467a-91c7-b1ecdf098fea/5dfb397b-3b02-4bf7-bf6f-69f3fba25dd0.jpg</t>
  </si>
  <si>
    <t>https://www.northwarks.gov.uk/download/downloads/id/8839/local_plan_adopted_september_2021.pdf</t>
  </si>
  <si>
    <t>f7d6d1fca4afa87cdd26883c5e429604</t>
  </si>
  <si>
    <t xml:space="preserve">Meeting need:
Commitment towards accommodating CWHMA needs
(540 in total to 2031) DPA: 27; and 
Commitment towards accommodating Birminghamâ€™s
needs (3,790 to 2031) DPA: 190
Stepped Trajectory:
Years Dwelling per annum (dpa)
2011-16: 203
2016-24: 265
2024-25: 390
2025-26: 700
2026-27: 725
2027-33: 775
</t>
  </si>
  <si>
    <t>https://s3.eu-west-2.amazonaws.com/local-plans/images/0da2ac86-8bf0-4c4b-bc48-2da92f46727f/86aa5707-b84e-4263-b091-18d86258fefd.jpg</t>
  </si>
  <si>
    <t>502 Server Error: Bad Gateway for url: https://new.enfield.gov.uk/services/planning/enfield-draft-local-plan-2036-planning.pdf</t>
  </si>
  <si>
    <t>403 Client Error: Forbidden for url: https://www.royalgreenwich.gov.uk/download/downloads/id/2869/royal_greenwich_local_plan_core_strategy_with_detailed_policies_main_document.pdf</t>
  </si>
  <si>
    <t>HTTPConnectionPool(host='www.wokingham.gov.uk', port=80): Max retries exceeded with url: /EasySiteWeb/GatewayLink.aspx?alId=268860 (Caused by NewConnectionError('&lt;urllib3.connection.HTTPConnection object at 0x7f08480e0c88&gt;: Failed to establish a new connection: [Errno 110] Connection timed out'))</t>
  </si>
  <si>
    <t>Wokingham Local Plan Update</t>
  </si>
  <si>
    <t>d0b4e24b-7d66-4b79-baf6-83e78d414f5c</t>
  </si>
  <si>
    <t>https://www.wokingham.gov.uk/_resources/assets/attachment/full/0/508528.pdf</t>
  </si>
  <si>
    <t>https://s3.eu-west-2.amazonaws.com/local-plans/plan-documents/d0b4e24b-7d66-4b79-baf6-83e78d414f5c.pdf</t>
  </si>
  <si>
    <t>551c123c03f02799c03f2de4e2d552b8</t>
  </si>
  <si>
    <t>Housing requirement subject to change - plan period has changed (15 yr period to 2037 was 2018-2036).  Next iteration of draft plan to be consulted on this autumn (2021).</t>
  </si>
  <si>
    <t>https://s3.eu-west-2.amazonaws.com/local-plans/images/d0b4e24b-7d66-4b79-baf6-83e78d414f5c/e612d389-3ee7-4da5-b75d-5f98ba0e8e18.jpg</t>
  </si>
  <si>
    <t>HTTPSConnectionPool(host='www.portsmouth.gov.uk', port=443): Max retries exceeded with url: /ext/documents-external/pln-portsmouth-plan-post-adoption.pdf (Caused by NewConnectionError('&lt;urllib3.connection.VerifiedHTTPSConnection object at 0x7f69febd2f98&gt;: Failed to establish a new connection: [Errno 113] No route to host'))</t>
  </si>
  <si>
    <t>HTTPSConnectionPool(host='www.portsmouth.gov.uk', port=443): Max retries exceeded with url: /wp-content/uploads/2020/05/Local-Plan-Update.pdf (Caused by NewConnectionError('&lt;urllib3.connection.VerifiedHTTPSConnection object at 0x7f69f9fb4c18&gt;: Failed to establish a new connection: [Errno 113] No route to host'))</t>
  </si>
  <si>
    <t>ddf20ca070d2df05fa058f562d3f679d</t>
  </si>
  <si>
    <t>edb5c1d347c9a330de9514e695138f74</t>
  </si>
  <si>
    <t>HTTPSConnectionPool(host='www.southderbyshire.gov.uk', port=443): Max retries exceeded with url: /assets/attach/1770/Local%20Plan%20Part%201%20Chapters%201%20-%204.pdf (Caused by NewConnectionError('&lt;urllib3.connection.VerifiedHTTPSConnection object at 0x7fa080f36390&gt;: Failed to establish a new connection: [Errno 110] Connection timed out'))</t>
  </si>
  <si>
    <t>http://www.harborough.gov.uk/download/downloads/id/5714/harborough_local_plan_2011-2031_-_adopted_april_2019.pdf</t>
  </si>
  <si>
    <t>d926ac5cea366bf1364233f0b9e5aabe</t>
  </si>
  <si>
    <t>403 Client Error: Forbidden for url: http://www.harborough.gov.uk/download/downloads/id/5714/harborough_local_plan_2011-2031_-_adopted_april_2019.pdf</t>
  </si>
  <si>
    <t xml:space="preserve">Reflects the full plan requirement; lower figure in Policy H1 (3,975) reflects the residual requirement taking into account existing commitments and completions.    â€¢	The  plan includes a policy trigger that a Local Plan review must be commenced within six months if the publication version of the Leicester Local Plan provides evidence of unmet need.  â€¢	In July 2021 the Councilâ€™s Cabinet agreed to review the Local Plan to take into account Leicesterâ€™s unmet housing need (no TT yet). </t>
  </si>
  <si>
    <t>Tendring District Local Plan 2013-2033 and Beyond: North Essex Authoritiesâ€™ Shared Strategic Section 1 Plan</t>
  </si>
  <si>
    <t>https://www.tendringdc.gov.uk/sites/default/files/documents/planning/Planning_Policy/Section_1/Tendring%20District%20Local%20Plan%202013-2033%20and%20Beyond%20-%20Section%201.pdf</t>
  </si>
  <si>
    <t>e7fee90c7f69ded1b296aaa76e24c65f</t>
  </si>
  <si>
    <t>HTTPSConnectionPool(host='www.tendringdc.gov.uk', port=443): Max retries exceeded with url: /sites/default/files/documents/planning/Planning_Policy/Section_1/Tendring%20District%20Local%20Plan%202013-2033%20and%20Beyond%20-%20Section%201.pdf (Caused by NewConnectionError('&lt;urllib3.connection.VerifiedHTTPSConnection object at 0x7f7b8a62ed30&gt;: Failed to establish a new connection: [Errno 111] Connection refused'))</t>
  </si>
  <si>
    <t>https://s3.eu-west-2.amazonaws.com/local-plans/images/51cae130-b31a-4abb-ab25-9ed9a2273ecb/38015475-effe-4357-8975-3405810a8b5e.jpg</t>
  </si>
  <si>
    <t>HTTPSConnectionPool(host='www.winchester.gov.uk', port=443): Max retries exceeded with url: /assets/attach/3250/LPP1chap-7-10-appendices.pdf (Caused by NewConnectionError('&lt;urllib3.connection.VerifiedHTTPSConnection object at 0x7fc34d43d4a8&gt;: Failed to establish a new connection: [Errno 113] No route to host'))</t>
  </si>
  <si>
    <t>Winchester District Local Plan 2018-2039</t>
  </si>
  <si>
    <t>403 Client Error: 403 for url: https://localplan.gravesham.gov.uk/gf2.ti/f/1210690/83755045.1/PDF/-/Regulation_18_Stage_2_LPCS_Partial_Review_and_Site_Allocations_Main_Document_Final.pdf</t>
  </si>
  <si>
    <t>Sevenoaks District Local Plan - found not legally compliant 2 March 2020</t>
  </si>
  <si>
    <t xml:space="preserve">Proposed housing requirement excludes unmet need of 3,392 (based on housing need of 698/annum over the twenty year plan period).  Plan found not legally compliant in respect of the DtC on 2 March 2020.  Sevenoaks' Judicial Review proceedings failed (8 April 2021). </t>
  </si>
  <si>
    <t>404 Client Error: Not Found for url: https://tunbridgewells.gov.uk/residents/planning/planning-policy/development-plan-documents/core-strategy</t>
  </si>
  <si>
    <t>https://tunbridgewells.gov.uk/__data/assets/pdf_file/0010/387793/Pre-Submission-Local-Plan_final-compressed.pdf</t>
  </si>
  <si>
    <t>https://s3.eu-west-2.amazonaws.com/local-plans/plan-documents/e48491e3-38dc-4b7a-9aee-0b6f4f917707.pdf</t>
  </si>
  <si>
    <t>2318c13f04ec24dafa43bc0f742d33de</t>
  </si>
  <si>
    <t>May be meeting unmet need from Sevenoaks who have a shortfall of 1,900 homes.</t>
  </si>
  <si>
    <t>https://s3.eu-west-2.amazonaws.com/local-plans/images/e48491e3-38dc-4b7a-9aee-0b6f4f917707/cc500587-0e3d-4000-8b63-1cc53faf48ec.jpg</t>
  </si>
  <si>
    <t>500 Server Error: Internal Server Error for url: https://www.pendle.gov.uk/download/downloads/id/8723/pendle_local_plan_part_1_core_strategy.pdf</t>
  </si>
  <si>
    <t>Pendle Local Plan Part 2: Site Allocations and Development Policies</t>
  </si>
  <si>
    <t>a89b5e05-485f-40be-b37f-eab5caba3c6c</t>
  </si>
  <si>
    <t>https://www.pendle.gov.uk/downloads/file/10853/pendle_local_plan_part_2_site_allocations_and_development_policies_preferred_options_report</t>
  </si>
  <si>
    <t>Document at https://www.pendle.gov.uk/downloads/file/10853/pendle_local_plan_part_2_site_allocations_and_development_policies_preferred_options_report might not be a pdf</t>
  </si>
  <si>
    <t xml:space="preserve">Pendle self-reviewed in December 2020. The review concluded that most of the policies of the Core Strategy are considered to remain up-to-date and relevant. Some policies were however acknowledged as being out-of-date, in need or revision or refreshed, which is to be addressed through the emerging Local Plan Part 2: Site Allocations &amp; Development Policies.  This includes policy LIV1 on housing requirement.   Policy LIV6 in the Part 2 Plan will replace Policy LIV1 in the Part 1 Plan.
</t>
  </si>
  <si>
    <t>https://s3.eu-west-2.amazonaws.com/local-plans/images/a89b5e05-485f-40be-b37f-eab5caba3c6c/b0c64731-622b-43d7-9c67-337bdd39ec9c.jpg</t>
  </si>
  <si>
    <t>404 Client Error: Not Found for url: https://www.solihull.gov.uk/Portals/0/Planning/LDF/Local_Plan_Final.pdf</t>
  </si>
  <si>
    <t>https://www.solihull.gov.uk/sites/default/files/2021-05/003-Draft-Submission-Plan-Incorporating-Post-Publication-Minor-Modifications-as-Tracked-Changes.pdf</t>
  </si>
  <si>
    <t>52a490d0a61457f94ce294bbdbb8514d</t>
  </si>
  <si>
    <t>https://s3.eu-west-2.amazonaws.com/local-plans/images/4d9d0624-fda5-4a62-b37d-9cca77df0ebd/0306d535-c5f3-4a04-b1bb-88dc576cf49f.jpg</t>
  </si>
  <si>
    <t>https://www.hounslow.gov.uk/info/20167/local_plan/1545/local_plan_reviews</t>
  </si>
  <si>
    <t>Document at https://www.hounslow.gov.uk/info/20167/local_plan/1545/local_plan_reviews might not be a pdf</t>
  </si>
  <si>
    <t>Local Plan Review comprises West of Borough, Great West Corridor and Site Allocation DPDs. While not cited in any policy in the submitted DPDs, supporting text confirms that 26,700 constitutes their proposed housing requirement. This has since been clarified with the Council directly.</t>
  </si>
  <si>
    <t>https://s3.eu-west-2.amazonaws.com/local-plans/images/046494dc-631a-4785-b469-ac29d1cb00fe/b1842d56-ef39-46df-8810-306d9e8568c5.jpg</t>
  </si>
  <si>
    <t>503 Server Error: Service Unavailable for url: https://lewisham.gov.uk/-/media/files/imported/corestrategyadoptedversion.ashx</t>
  </si>
  <si>
    <t>Lewisham Local Plan 2020-2040</t>
  </si>
  <si>
    <t>bc9c888b-6337-4577-9d8a-66628a5f8d97</t>
  </si>
  <si>
    <t>https://www.adur-worthing.gov.uk/media/Media,159076,smxx.pdf</t>
  </si>
  <si>
    <t>7a65251cc65da3bd178ff9cd329cac15</t>
  </si>
  <si>
    <t>403 Client Error: Forbidden for url: https://www.adur-worthing.gov.uk/media/Media,159076,smxx.pdf</t>
  </si>
  <si>
    <t>https://s3.eu-west-2.amazonaws.com/local-plans/images/164953b0-78b8-44d6-a207-3fb2836c19e0/9ea74b5b-9c59-47d1-acb2-8da088ab93cb.jpg</t>
  </si>
  <si>
    <t>https://www.cityoflondon.gov.uk/assets/Services-Environment/cityplan-2036-march-2021.pdf</t>
  </si>
  <si>
    <t>393acc432c70c0c38d9a7f7d459716ab</t>
  </si>
  <si>
    <t>503 Server Error: Service Unavailable for url: https://www.cityoflondon.gov.uk/assets/Services-Environment/cityplan-2036-march-2021.pdf</t>
  </si>
  <si>
    <t>Plan makes provision for  a minimum of 2,482 net additional dwellings between 2019/20 and 2035/36.</t>
  </si>
  <si>
    <t>https://s3.eu-west-2.amazonaws.com/local-plans/images/1cd130d1-3222-4bdf-b2f6-a5a13f6a7eb7/0ef8fd4f-cb67-4462-8f86-de804bbfe858.jpg</t>
  </si>
  <si>
    <t>https://www.scilly.gov.uk/sites/default/files/planning-apps/Modified%20Local%20Plan%20-%20No%20Maps%2C%20No%20pitcures%20March%202021_0.pdf</t>
  </si>
  <si>
    <t>da184e593ab33a4b4f108c66367b02bb</t>
  </si>
  <si>
    <t>https://s3.eu-west-2.amazonaws.com/local-plans/images/9b81c32f-c7e1-4ecd-b529-7a5279a3be78/2131f1e6-d9d5-480e-8393-399b373e6d1d.jpg</t>
  </si>
  <si>
    <t>ad0d96d4e581d29cadbbff9273de60bc</t>
  </si>
  <si>
    <t>local-authority-eng:ASH</t>
  </si>
  <si>
    <t>Ashfield District Council</t>
  </si>
  <si>
    <t>Ashfield Local Plan 2018-2037</t>
  </si>
  <si>
    <t>a3a89d92-db1c-48d7-a9fb-7d0ee6d88986</t>
  </si>
  <si>
    <t>404 Client Error:  for url: https://www.brentwood.gov.uk:443/pdf/31012019170028000000.pdf</t>
  </si>
  <si>
    <t>local-authority-eng:BPC</t>
  </si>
  <si>
    <t xml:space="preserve">Bournemouth, Christchurch and Poole (BCP) Plan </t>
  </si>
  <si>
    <t>dcf5aafb-e815-4a53-98b7-ee9f612c93fa</t>
  </si>
  <si>
    <t>local-authority-eng:DST</t>
  </si>
  <si>
    <t>Dorset Council</t>
  </si>
  <si>
    <t>Dorset Council Local Plan</t>
  </si>
  <si>
    <t>22735b52-51db-409f-a65b-507fb3464f71</t>
  </si>
  <si>
    <t>https://www.dorsetcouncil.gov.uk/planning-buildings-land/planning-policy/dorset-council-local-plan/the-plan/pdfs/dclp-jan-2021-dorsetcouncillocalplan-vol1.pdf</t>
  </si>
  <si>
    <t>https://s3.eu-west-2.amazonaws.com/local-plans/plan-documents/22735b52-51db-409f-a65b-507fb3464f71.pdf</t>
  </si>
  <si>
    <t>6dcdf62d58fc17ef6db8169b3da0348a</t>
  </si>
  <si>
    <t>404 Client Error: Not Found for url: https://www.dorsetcouncil.gov.uk/planning-buildings-land/planning-policy/dorset-council-local-plan/the-plan/pdfs/dclp-jan-2021-dorsetcouncillocalplan-vol1.pdf</t>
  </si>
  <si>
    <t xml:space="preserve">The local housing need figure for Dorset of 30,481 dwellings will need to be added to a figure for unmet need from neighbouring areas (as yet unknown). In establishing the amount of housing to be planned for. It is anticipated that East Devon, South Somerset and Wiltshire will be able to meet their own housing needs, but there may be a level of unmet need (as yet unquantified) from Bournemouth, Christchurch and Poole Council, New Forest District Council and / or New Forest National Park Authority.
 </t>
  </si>
  <si>
    <t>https://s3.eu-west-2.amazonaws.com/local-plans/images/22735b52-51db-409f-a65b-507fb3464f71/2c893520-6943-48fb-bc20-529afe6add94.jpg</t>
  </si>
  <si>
    <t>HTTPSConnectionPool(host='www.somersetwestandtaunton.gov.uk', port=443): Max retries exceeded with url: /media/2167/issues-and-options.pdf (Caused by SSLError(SSLCertVerificationError(1, '[SSL: CERTIFICATE_VERIFY_FAILED] certificate verify failed: unable to get local issuer certificate (_ssl.c:1056)')))</t>
  </si>
  <si>
    <t>local-authority-eng:WSK</t>
  </si>
  <si>
    <t>West Suffolk Local Plan Review</t>
  </si>
  <si>
    <t>35cf6979-c4f2-4518-9503-d0298cedd904</t>
  </si>
  <si>
    <t>Per cent</t>
  </si>
  <si>
    <t>Date of update</t>
  </si>
  <si>
    <t>Key</t>
  </si>
  <si>
    <t>is needed in addition to action plan (HDT &lt; 85%)</t>
  </si>
  <si>
    <t>development applies in addition to action plan and</t>
  </si>
  <si>
    <t>20% buffer (HDT &lt; 75%)</t>
  </si>
  <si>
    <r>
      <rPr>
        <b/>
        <sz val="11"/>
        <color theme="1"/>
        <rFont val="Arial"/>
        <family val="2"/>
      </rPr>
      <t>Pass</t>
    </r>
    <r>
      <rPr>
        <sz val="11"/>
        <color theme="1"/>
        <rFont val="Arial"/>
        <family val="2"/>
      </rPr>
      <t xml:space="preserve"> = no action required (HDT &gt;=95%)</t>
    </r>
  </si>
  <si>
    <r>
      <rPr>
        <b/>
        <sz val="11"/>
        <color theme="1"/>
        <rFont val="Arial"/>
        <family val="2"/>
      </rPr>
      <t>Action plan</t>
    </r>
    <r>
      <rPr>
        <sz val="11"/>
        <color theme="1"/>
        <rFont val="Arial"/>
        <family val="2"/>
      </rPr>
      <t xml:space="preserve"> = action plan needed (HDT &lt; 95%)</t>
    </r>
  </si>
  <si>
    <r>
      <rPr>
        <b/>
        <sz val="11"/>
        <color theme="1"/>
        <rFont val="Arial"/>
        <family val="2"/>
      </rPr>
      <t>Presumption</t>
    </r>
    <r>
      <rPr>
        <sz val="11"/>
        <color theme="1"/>
        <rFont val="Arial"/>
        <family val="2"/>
      </rPr>
      <t xml:space="preserve"> = presumption in favour of sustainable</t>
    </r>
  </si>
  <si>
    <t>Next date of update</t>
  </si>
  <si>
    <t>Source: https://developertools.esd.org.uk/data?value.valueType=raw&amp;metricType=13453&amp;area=AllSingleTierAndDistrictLaInCountry_England&amp;period=latest%3A49&amp;columnGrouping=metricType&amp;columnGrouping=period&amp;rowGrouping=area&amp;includeMissing=true</t>
  </si>
  <si>
    <t>Source: https://developertools.esd.org.uk/data?value.valueType=raw&amp;metricType=13453&amp;area=AllSingleTierAndDistrictLaInCountry_England&amp;period=cal_2014&amp;rowGrouping=area&amp;includeMissing=true</t>
  </si>
  <si>
    <t>-</t>
  </si>
  <si>
    <t>01/03/2022-31/03/2022</t>
  </si>
  <si>
    <r>
      <rPr>
        <b/>
        <sz val="11"/>
        <color theme="1"/>
        <rFont val="Arial"/>
        <family val="2"/>
      </rPr>
      <t xml:space="preserve">Buffer and action plan </t>
    </r>
    <r>
      <rPr>
        <sz val="11"/>
        <color theme="1"/>
        <rFont val="Arial"/>
        <family val="2"/>
      </rPr>
      <t>= 20% buffer to housing supply</t>
    </r>
  </si>
  <si>
    <t>Individual Local Authority Graphs</t>
  </si>
  <si>
    <t>Regional Benchmarking</t>
  </si>
  <si>
    <t>Selected region</t>
  </si>
  <si>
    <t>Individual Local Authority</t>
  </si>
  <si>
    <t>Select region</t>
  </si>
  <si>
    <t>Mean</t>
  </si>
  <si>
    <t xml:space="preserve">HDT calculation page for individual local authorities </t>
  </si>
  <si>
    <t>HDT calculation page for individual local authorities with sensitivity tests</t>
  </si>
  <si>
    <t xml:space="preserve">Please adjust the following values to see how your HDT figure changes…. </t>
  </si>
  <si>
    <t>Sensitivity Testing</t>
  </si>
  <si>
    <t xml:space="preserve">Affordability ratio </t>
  </si>
  <si>
    <t>Plan adoption date</t>
  </si>
  <si>
    <t>Net additional dwellings 2024/5</t>
  </si>
  <si>
    <t>Net additional dwellings 2025/6</t>
  </si>
  <si>
    <t>Net additional dwellings 2027/28</t>
  </si>
  <si>
    <t>:</t>
  </si>
  <si>
    <t>Source: ratioofhousepricetoworkplacebasedearnings workbook ONS</t>
  </si>
  <si>
    <t>https://www.ons.gov.uk/peoplepopulationandcommunity/housing/datasets/ratioofhousepricetoworkplacebasedearningslowerquartileandmedian</t>
  </si>
  <si>
    <t xml:space="preserve">Financial year dates used for model </t>
  </si>
  <si>
    <t>Cells where LA can change and/or input information</t>
  </si>
  <si>
    <t>Minimum LHN figure as calculated using the standard method</t>
  </si>
  <si>
    <t>Latest adopted housing requirement (and other data) from local plan</t>
  </si>
  <si>
    <t>Origin of Housing Requirement Used</t>
  </si>
  <si>
    <t>i.e., whether the adopted housing requirement, apportioned housing requirement, or calculated LHN figure is used</t>
  </si>
  <si>
    <t xml:space="preserve">Homes required </t>
  </si>
  <si>
    <t>Homes delivered</t>
  </si>
  <si>
    <t>A rolling three year Housing Delivery Test period may span more than one plan and
housing requirement. Where a previous housing requirement (less than five years 
old unless it has been reviewed and does not need updating) exists for one or more of 
those years, that previous housing requirement will be used for the calculation until 
the new housing requirement is adopted. Figures will be apportioned within a 
Housing Delivery Test year.</t>
  </si>
  <si>
    <t xml:space="preserve">The number of net homes delivered is the National Statistic for net additional 
dwellings over a rolling three year period, with adjustments for net student and net 
other communal accommodation
. </t>
  </si>
  <si>
    <t>HDT test result</t>
  </si>
  <si>
    <t xml:space="preserve">The Housing Delivery Test is a percentage measurement of the number of net homes 
delivered against the number of homes required, as set out in the relevant strategic 
policies for the areas covered by the Housing Delivery Test, over a rolling three year 
period. </t>
  </si>
  <si>
    <t>Status of HDT result/action to take</t>
  </si>
  <si>
    <t xml:space="preserve">See legend B below to understand the HDT status </t>
  </si>
  <si>
    <t>Legend B</t>
  </si>
  <si>
    <t>Legend A</t>
  </si>
  <si>
    <r>
      <t xml:space="preserve">Capped
</t>
    </r>
    <r>
      <rPr>
        <b/>
        <sz val="11"/>
        <color theme="1"/>
        <rFont val="Arial"/>
        <family val="2"/>
      </rPr>
      <t>Local Housing Need figure</t>
    </r>
  </si>
  <si>
    <r>
      <t xml:space="preserve">Minimum annual 
</t>
    </r>
    <r>
      <rPr>
        <b/>
        <sz val="11"/>
        <color theme="1"/>
        <rFont val="Arial"/>
        <family val="2"/>
      </rPr>
      <t>Local Housing Need figure</t>
    </r>
  </si>
  <si>
    <r>
      <t xml:space="preserve">Apportioned
</t>
    </r>
    <r>
      <rPr>
        <b/>
        <sz val="11"/>
        <color theme="1"/>
        <rFont val="Arial"/>
        <family val="2"/>
      </rPr>
      <t>Local Housing Need figure</t>
    </r>
  </si>
  <si>
    <t>Minimum local housing need figure using the standard method</t>
  </si>
  <si>
    <r>
      <rPr>
        <b/>
        <sz val="11"/>
        <color theme="1"/>
        <rFont val="Arial"/>
        <family val="2"/>
      </rPr>
      <t>Covid-19 adjustment</t>
    </r>
    <r>
      <rPr>
        <sz val="11"/>
        <color theme="1"/>
        <rFont val="Arial"/>
        <family val="2"/>
      </rPr>
      <t xml:space="preserve">
Homes required rolling 3 years</t>
    </r>
  </si>
  <si>
    <r>
      <t xml:space="preserve">Post-cap 35% uplift
</t>
    </r>
    <r>
      <rPr>
        <b/>
        <sz val="11"/>
        <color theme="1"/>
        <rFont val="Arial"/>
        <family val="2"/>
      </rPr>
      <t>Local Housing Need figure</t>
    </r>
  </si>
  <si>
    <r>
      <t>However, in order to meet our principles of delivering more homes on brownfield land we will apply a 35 per cent uplift to the post-cap number generated by the standard method to Greater London and to the local authorities which contain the largest proportion of the other 19 most populated cities and urban centres in England. 
This also applies where the relevant strategic policies have been reviewed by the authority within the 5 year period and found to not require updating.
Where the relevant strategic policies for housing were adopted more than 5 years ago (at the point of making the calculation), the local housing need figure is capped at 40% above whichever is the</t>
    </r>
    <r>
      <rPr>
        <b/>
        <u/>
        <sz val="11"/>
        <color rgb="FFFF0000"/>
        <rFont val="Arial"/>
        <family val="2"/>
      </rPr>
      <t xml:space="preserve"> higher of:</t>
    </r>
    <r>
      <rPr>
        <sz val="11"/>
        <color rgb="FFFF0000"/>
        <rFont val="Arial"/>
        <family val="2"/>
      </rPr>
      <t xml:space="preserve">
a. the projected household growth for the area over the 10 year period identified in step 1; or
b. the average annual housing requirement figure set out in the most recently adopted strategic policies (if a figure exists).</t>
    </r>
  </si>
  <si>
    <t>PlanningPolicy@communities.gov.uk</t>
  </si>
  <si>
    <t>Contact</t>
  </si>
  <si>
    <t>For the recently reorganised local authorities, Bournemouth, Christchurch and Poole; and Dorset, the 2021 Housing Delivery Test has been published at the predecessor authority boundaries as the predecessor authorities East Dorset and Christchurch have a joint plan straddling the two new areas. This requirement cannot be disaggregated, and we have published HDT results at former boundaries. As a result, a separate data collection was provided by the local authorities to DLUHC, which disaggregated the net additional dwelling statistics for the 2020/21 year.</t>
  </si>
  <si>
    <t>Recently reorganised local authorities have a choice for their Housing Delivery Test to be scored based on their predecessor authority boundaries or the new reorganised authority boundaries for the first 5 years of existance. More details are available in planning practice guidance: https://www.gov.uk/guidance/housing-supply-and-delivery and the Written Ministerial Statement: https://questions-statements.parliament.uk/written-statements/detail/2021-09-06/hlws253</t>
  </si>
  <si>
    <t xml:space="preserve">Values for each authority in a joint plan being measured jointly refer to the whole joint plan area. </t>
  </si>
  <si>
    <t>The final Housing Delivery Test 2021 measurement result has been rounded to the nearest 1%</t>
  </si>
  <si>
    <t xml:space="preserve">Housing requirement and homes delivered figures have been rounded to the nearest one decimal place in this spreadsheet. Unrounded figures have been used to calculate the HDT 2021 measurement figure. Therefore the percentages shown may be different to a calculation using the number of homes rquired and the number of homes delivered in this table. These have been included for context only. </t>
  </si>
  <si>
    <t>All results have been calculated in line with the Housing Delivery Test: 2021 measurement technical note</t>
  </si>
  <si>
    <t xml:space="preserve">The local authorities: Barrow-in-Furness, Isles of Scilly and Redditch has zero final housing requirement. Therefore they do not have a Housing Delivery Test: 2021 measurement. </t>
  </si>
  <si>
    <t>Housing Delivery Test: 2021 consequences are concurrent (i.e. where the buffer applies, the action plan also applies)</t>
  </si>
  <si>
    <t>Notes:</t>
  </si>
  <si>
    <t>Buffer</t>
  </si>
  <si>
    <t>Presumption</t>
  </si>
  <si>
    <t>2020-21</t>
  </si>
  <si>
    <t>2019-20</t>
  </si>
  <si>
    <t>2018-19</t>
  </si>
  <si>
    <t>Housing Delivery Test: 2021 consequence</t>
  </si>
  <si>
    <t>Housing Delivery Test: 2021 measurement</t>
  </si>
  <si>
    <t>Total number of homes delivered</t>
  </si>
  <si>
    <t>Number of homes delivered</t>
  </si>
  <si>
    <t>Total number of homes required</t>
  </si>
  <si>
    <t>Number of homes required</t>
  </si>
  <si>
    <t>Area Name</t>
  </si>
  <si>
    <t>Recently Reorganised local planning authorities scored at former local authority boundaries for Housing Delivery Test: 2021 measurement</t>
  </si>
  <si>
    <t>None</t>
  </si>
  <si>
    <t>Recently Reorganised local planning authorities scored jointly for Housing Delivery Test: 2021 measurement</t>
  </si>
  <si>
    <t>Action plan</t>
  </si>
  <si>
    <t>Local Planning Authorities with Joint plans being measured jointly for Housing Delivery Test: 2021 measurement</t>
  </si>
  <si>
    <t>Development corporations</t>
  </si>
  <si>
    <t>Local Planning Authorities</t>
  </si>
  <si>
    <t>Apportioned LHN figure 2018</t>
  </si>
  <si>
    <t>Apportioned LHN figure 2019</t>
  </si>
  <si>
    <t>Apportioned LHN figure 2020</t>
  </si>
  <si>
    <t>Apportioned LHN figure 2021</t>
  </si>
  <si>
    <t>Apportioned LHN figure 2022</t>
  </si>
  <si>
    <t>Apportioned LHN figure 2023</t>
  </si>
  <si>
    <t>Apportioned LHN figure 2024</t>
  </si>
  <si>
    <t>Apportioned LHN figure 2025</t>
  </si>
  <si>
    <t>Homes required 2018/19-2020/21</t>
  </si>
  <si>
    <t>Homes required 2019/20-2021/22</t>
  </si>
  <si>
    <r>
      <t>COVID-19 adj.</t>
    </r>
    <r>
      <rPr>
        <sz val="11"/>
        <color theme="1"/>
        <rFont val="Arial"/>
        <family val="2"/>
      </rPr>
      <t xml:space="preserve"> Homes required 2018/19-2020/21</t>
    </r>
  </si>
  <si>
    <r>
      <t xml:space="preserve">COVID-19 adj. </t>
    </r>
    <r>
      <rPr>
        <sz val="11"/>
        <color theme="1"/>
        <rFont val="Arial"/>
        <family val="2"/>
      </rPr>
      <t>Homes required 2019/20-2021/22</t>
    </r>
  </si>
  <si>
    <r>
      <t xml:space="preserve">COVID-19 adj. </t>
    </r>
    <r>
      <rPr>
        <sz val="11"/>
        <color theme="1"/>
        <rFont val="Arial"/>
        <family val="2"/>
      </rPr>
      <t>Homes required 2020/21-2022/23</t>
    </r>
  </si>
  <si>
    <t>Homes delivered 2018/19-2020/21</t>
  </si>
  <si>
    <t>Homes delivered 2019/20-2020/22</t>
  </si>
  <si>
    <t>Homes delivered 2020/21-2020/23</t>
  </si>
  <si>
    <t>Published HDT measurement 2021</t>
  </si>
  <si>
    <t>Changes in HDT Calculation</t>
  </si>
  <si>
    <t>Minimum local housing need figure</t>
  </si>
  <si>
    <t>HDT published results (2021)</t>
  </si>
  <si>
    <t>https://www.google.com/url?sa=t&amp;rct=j&amp;q=&amp;esrc=s&amp;source=web&amp;cd=&amp;ved=2ahUKEwjkp8K4vub2AhV0oVwKHSWQARsQFnoECAMQAQ&amp;url=https%3A%2F%2Fassets.publishing.service.gov.uk%2Fgovernment%2Fuploads%2Fsystem%2Fuploads%2Fattachment_data%2Ffile%2F1046293%2F2021_HDT_Final_Results_.ods&amp;usg=AOvVaw3ZgZCfISkKUJIdHFMBWTyi</t>
  </si>
  <si>
    <t>How to use the sensitivity testing</t>
  </si>
  <si>
    <r>
      <t xml:space="preserve">1. In the </t>
    </r>
    <r>
      <rPr>
        <b/>
        <sz val="11"/>
        <color theme="1"/>
        <rFont val="Arial"/>
        <family val="2"/>
      </rPr>
      <t xml:space="preserve">Sensitivity Test </t>
    </r>
    <r>
      <rPr>
        <sz val="11"/>
        <color theme="1"/>
        <rFont val="Arial"/>
        <family val="2"/>
      </rPr>
      <t>sheet, input numbers into the provided boxes to see how your HDT figure changes with these variables.</t>
    </r>
  </si>
  <si>
    <t>HDT 2024</t>
  </si>
  <si>
    <t>HDT 2025</t>
  </si>
  <si>
    <t>HDT 2026</t>
  </si>
  <si>
    <t>HDT 2024 classification</t>
  </si>
  <si>
    <t>HDT 2025 classification</t>
  </si>
  <si>
    <t>HDT 2026 classification</t>
  </si>
  <si>
    <t>homes required 2021/22-2023/24</t>
  </si>
  <si>
    <t>homes required 2022/23-2024/25</t>
  </si>
  <si>
    <t>homes required 2023/24-2025/26</t>
  </si>
  <si>
    <r>
      <rPr>
        <b/>
        <sz val="11"/>
        <color theme="1"/>
        <rFont val="Arial"/>
        <family val="2"/>
      </rPr>
      <t xml:space="preserve">COVID-19 adj. 
</t>
    </r>
    <r>
      <rPr>
        <sz val="11"/>
        <color theme="1"/>
        <rFont val="Arial"/>
        <family val="2"/>
      </rPr>
      <t>homes required 2022/23-2024/25</t>
    </r>
  </si>
  <si>
    <r>
      <rPr>
        <b/>
        <sz val="11"/>
        <color theme="1"/>
        <rFont val="Arial"/>
        <family val="2"/>
      </rPr>
      <t xml:space="preserve">COVID-19 adj. 
</t>
    </r>
    <r>
      <rPr>
        <sz val="11"/>
        <color theme="1"/>
        <rFont val="Arial"/>
        <family val="2"/>
      </rPr>
      <t>homes required 2023/24-2025/26</t>
    </r>
  </si>
  <si>
    <r>
      <rPr>
        <b/>
        <sz val="11"/>
        <color theme="1"/>
        <rFont val="Arial"/>
        <family val="2"/>
      </rPr>
      <t xml:space="preserve">COVID-19 adj. </t>
    </r>
    <r>
      <rPr>
        <sz val="11"/>
        <color theme="1"/>
        <rFont val="Arial"/>
        <family val="2"/>
      </rPr>
      <t>homes required 2021/22-2023/24</t>
    </r>
  </si>
  <si>
    <t>Homes delivered 2021/22-2023/24</t>
  </si>
  <si>
    <t>Homes delivered 2022/23-2024/25</t>
  </si>
  <si>
    <t>Homes delivered 2023/24-2025/26</t>
  </si>
  <si>
    <t>HDT 2021: 
HDT 2018/19-2020/21</t>
  </si>
  <si>
    <t>HDT 2022: 
HDT 2019/20-2021/22</t>
  </si>
  <si>
    <t>HDT 2023: 
HDT 2020/21-2022/23</t>
  </si>
  <si>
    <t>HDT 2024: 
HDT 2020/21-2022/24</t>
  </si>
  <si>
    <t>HDT 2025: 
HDT 2020/21-2022/25</t>
  </si>
  <si>
    <t>HDT 2026: 
HDT 2020/21-2022/26</t>
  </si>
  <si>
    <t>Latest adopted housing requirement 2020/21</t>
  </si>
  <si>
    <t>* Please note that the HDT 2021 figure is from published Government data. All other HDT figures are calculated using this model.</t>
  </si>
  <si>
    <t>Covid-19 adj. homes required</t>
  </si>
  <si>
    <t xml:space="preserve">* Please note that the HDT 2021 regional average is from 
</t>
  </si>
  <si>
    <t>published Government figures.</t>
  </si>
  <si>
    <t>The Housing Delivery Test (HDT) is one of the government's checks and balances, producing an annual sum on housing delivery, with consequences if not reached. This workbook is a tool to help councils predict their HDT performance, avoid consequences, and forward plan.</t>
  </si>
  <si>
    <t>Minimum Local Housing Need (LHN) calculation</t>
  </si>
  <si>
    <r>
      <rPr>
        <u/>
        <sz val="11"/>
        <color theme="1"/>
        <rFont val="Arial"/>
        <family val="2"/>
      </rPr>
      <t>Net homes delivered</t>
    </r>
    <r>
      <rPr>
        <sz val="11"/>
        <color theme="1"/>
        <rFont val="Arial"/>
        <family val="2"/>
      </rPr>
      <t xml:space="preserve"> = data published by the Government based on how Councils record the number of new homes built/created each financial year. This data is produced by Councils and submitted to Government via the Housing Reconcilliation Flow data return undertaken annually.
</t>
    </r>
    <r>
      <rPr>
        <u/>
        <sz val="11"/>
        <color theme="1"/>
        <rFont val="Arial"/>
        <family val="2"/>
      </rPr>
      <t>Net homes required</t>
    </r>
    <r>
      <rPr>
        <sz val="11"/>
        <color theme="1"/>
        <rFont val="Arial"/>
        <family val="2"/>
      </rPr>
      <t xml:space="preserve"> = the lower of the following figures is used: 1) a figure set by the council in their local plan OR 2) the minimum local housing need (LHN) is used, which is the government's mathematical formula. This LHN figure will also be used if the council's local plan is out of data (over 5 years old). This figure has been adjusted in response to the COVID-19 pandemic (i.e., 8 month period used for 2020/21 and 11 month for 2019/20).</t>
    </r>
  </si>
  <si>
    <t>How to use the dashboard</t>
  </si>
  <si>
    <t>1. Select your authority in D4
2. Automatically, all of the graphs on the sheet will be updated
3. Select a region of interest in R14 to compare and benchmark your local authority to others - again, all graphs will automatically update</t>
  </si>
  <si>
    <t>HDT Rulebook</t>
  </si>
  <si>
    <t>HDT 2021 Measurement Technical Note</t>
  </si>
  <si>
    <t>Caveat and limitations</t>
  </si>
  <si>
    <t xml:space="preserve">Please note that this model is based on published data available at the time of the model’s publication (April 2022). As and when new data releases become available, data will need to be updated. Authorities may wish to edit and change variables contained in this model, which they can do in the sensitivity testing. This model has been built in consultation with the sector, based on the needs of local authorities. Please note that whilst the HDT figures produced are a good estimate, these figures cannot be completely guaranteed and may be subject to a small degree of error. </t>
  </si>
  <si>
    <t>Uses: 2014 projections for all years</t>
  </si>
  <si>
    <t>Different components needed to calculate the LHN include:
- The projected average annual growth over a 10-year period, based on 2014 housing projections for all test years (but you can change this in the sensitivity testing)
- Then we adjust this LHN for affordability ratio – this data has been updated for 2020 data which was the most recent dataset available 
- Then, where the policy was adopted in the last 5 yrs, the LHN is capped at 40% above the average annual housing requirement figure
- This figure is adjusted for the 35% uplift to major cities and towns for relevant local authorities
- Then the housing requirement accounts for any local authorities who adopted their plan part way through the year – by apportioning the figure based on the number of days in the year</t>
  </si>
  <si>
    <t>Uses published figures where available, future years based on average of previous 3yrs (shown by the pale green cells from N15 down)</t>
  </si>
  <si>
    <t>VARIABLE TO CHANGE</t>
  </si>
  <si>
    <t>INPUT IN THIS COLUMN</t>
  </si>
  <si>
    <t>NOTES (if relevant)</t>
  </si>
  <si>
    <t>Use this to predict if the affordability ratios go up or down</t>
  </si>
  <si>
    <t>Use this cell to use a new or alternative adopted hosuing requirement</t>
  </si>
  <si>
    <t>Use these calls to forecast HDT using figures from the 5YHLS (C36:C46)</t>
  </si>
  <si>
    <t>Year of housing projections dataset</t>
  </si>
  <si>
    <t>Pick from 2014 (default), 2016, or 2018 housing projections</t>
  </si>
  <si>
    <t>See above</t>
  </si>
  <si>
    <t xml:space="preserve">* Please note that the HDT 2021 figure is from Government published data. </t>
  </si>
  <si>
    <r>
      <t xml:space="preserve">1. In the </t>
    </r>
    <r>
      <rPr>
        <b/>
        <sz val="11"/>
        <color theme="1"/>
        <rFont val="Arial"/>
        <family val="2"/>
      </rPr>
      <t xml:space="preserve">Individual Test sheet </t>
    </r>
    <r>
      <rPr>
        <sz val="11"/>
        <color theme="1"/>
        <rFont val="Arial"/>
        <family val="2"/>
      </rPr>
      <t>select authority name in D3. This will draw the adoption date of your most recent 'housing requirement'. If you have reviewed your 'housing requirement' and found it not to need updating, specify the date of review in D7.
2. If relevant, councils can manually put in data on predictions about the delivery of student or other communal dwellings in columns O-P of the same sheet.
3. Read off column U of the same sheet to see the HDT result (%) for different financial years. Read off column V to see the required action/status of housing delivery given the result in U.</t>
    </r>
  </si>
  <si>
    <t>Use this if you anticipate a plan (containing a new adopted housing requirement figure) will be adopted</t>
  </si>
  <si>
    <t>2015</t>
  </si>
  <si>
    <t>2016</t>
  </si>
  <si>
    <t>2017</t>
  </si>
  <si>
    <t>2018</t>
  </si>
  <si>
    <t>2019</t>
  </si>
  <si>
    <t>2020</t>
  </si>
  <si>
    <t>2021</t>
  </si>
  <si>
    <t>https://local-plans-prototype.herokuapp.com/</t>
  </si>
  <si>
    <t>Data on affordability ratios (2022)</t>
  </si>
  <si>
    <t>Minimum Local Housing Need (LHN) figure 2021/22</t>
  </si>
  <si>
    <t>Area code</t>
  </si>
  <si>
    <t>Area</t>
  </si>
  <si>
    <t>https://www.ons.gov.uk/peoplepopulationandcommunity/populationandmigration/populationprojections/bulletins/householdprojectionsforengland/2018based</t>
  </si>
  <si>
    <t>https://www.ons.gov.uk/peoplepopulationandcommunity/populationandmigration/populationprojections/datasets/householdprojectionsforengland</t>
  </si>
  <si>
    <t>https://www.gov.uk/government/statistical-data-sets/live-tables-on-household-projections#based-live-tables</t>
  </si>
  <si>
    <t>https://www.gov.uk/government/statistical-data-sets/live-tables-on-affordable-housing-supply</t>
  </si>
  <si>
    <t xml:space="preserve">NB: The most recent data as per April 2022 was used. Data may need to be updated over time as per new releases of datasets and/or updates to the Government methodology for HDT delivery. </t>
  </si>
  <si>
    <t>HDT 2024: 
HDT 2020/21-2023/24</t>
  </si>
  <si>
    <t>HDT 2025: 
HDT 2020/21-2024/25</t>
  </si>
  <si>
    <t>HDT 2026: 
HDT 2020/21-2025/26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</si>
</sst>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
    <numFmt numFmtId="165" formatCode="#,##0.0"/>
    <numFmt numFmtId="166" formatCode="0.0"/>
    <numFmt numFmtId="167" formatCode="&quot; &quot;#,##0.00&quot; &quot;;&quot;-&quot;#,##0.00&quot; &quot;;&quot; -&quot;#&quot; &quot;;&quot; &quot;@&quot; &quot;"/>
    <numFmt numFmtId="168" formatCode="#,##0&quot; &quot;;&quot;-&quot;#,##0&quot; &quot;"/>
    <numFmt numFmtId="169" formatCode="0.0%"/>
  </numFmts>
  <fonts count="66">
    <font>
      <sz val="11"/>
      <color theme="1"/>
      <name val="Calibri"/>
      <charset val="134"/>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0"/>
      <name val="Arial"/>
      <family val="2"/>
    </font>
    <font>
      <sz val="10"/>
      <color indexed="8"/>
      <name val="Arial"/>
      <family val="2"/>
    </font>
    <font>
      <b/>
      <sz val="8"/>
      <name val="Arial"/>
      <family val="2"/>
    </font>
    <font>
      <sz val="11"/>
      <color theme="1"/>
      <name val="Calibri"/>
      <family val="2"/>
      <scheme val="minor"/>
    </font>
    <font>
      <sz val="10"/>
      <color rgb="FF000000"/>
      <name val="Arial"/>
      <family val="2"/>
    </font>
    <font>
      <sz val="10"/>
      <color theme="1"/>
      <name val="Arial"/>
      <family val="2"/>
    </font>
    <font>
      <sz val="11"/>
      <color rgb="FFFF0000"/>
      <name val="Arial"/>
      <family val="2"/>
    </font>
    <font>
      <sz val="10"/>
      <color theme="1"/>
      <name val="Ebrima"/>
      <family val="2"/>
    </font>
    <font>
      <b/>
      <sz val="10"/>
      <name val="Arial"/>
      <family val="2"/>
    </font>
    <font>
      <b/>
      <sz val="11"/>
      <color theme="1"/>
      <name val="Arial"/>
      <family val="2"/>
    </font>
    <font>
      <u/>
      <sz val="11"/>
      <color theme="10"/>
      <name val="Calibri"/>
      <family val="2"/>
      <scheme val="minor"/>
    </font>
    <font>
      <u/>
      <sz val="11"/>
      <color theme="10"/>
      <name val="Arial"/>
      <family val="2"/>
    </font>
    <font>
      <sz val="8"/>
      <name val="Calibri"/>
      <family val="2"/>
      <scheme val="minor"/>
    </font>
    <font>
      <sz val="11"/>
      <color theme="0"/>
      <name val="Arial"/>
      <family val="2"/>
    </font>
    <font>
      <b/>
      <u/>
      <sz val="11"/>
      <color theme="1"/>
      <name val="Arial"/>
      <family val="2"/>
    </font>
    <font>
      <sz val="11"/>
      <name val="Arial"/>
      <family val="2"/>
    </font>
    <font>
      <b/>
      <sz val="11"/>
      <name val="Arial"/>
      <family val="2"/>
    </font>
    <font>
      <b/>
      <sz val="11"/>
      <color rgb="FFFF0000"/>
      <name val="Arial"/>
      <family val="2"/>
    </font>
    <font>
      <b/>
      <u/>
      <sz val="11"/>
      <color rgb="FFFF0000"/>
      <name val="Arial"/>
      <family val="2"/>
    </font>
    <font>
      <sz val="11"/>
      <color rgb="FFC00000"/>
      <name val="Arial"/>
      <family val="2"/>
    </font>
    <font>
      <u/>
      <sz val="11"/>
      <color theme="1"/>
      <name val="Arial"/>
      <family val="2"/>
    </font>
    <font>
      <i/>
      <sz val="11"/>
      <color theme="1"/>
      <name val="Arial"/>
      <family val="2"/>
    </font>
    <font>
      <sz val="8"/>
      <name val="Calibri"/>
      <family val="2"/>
      <scheme val="minor"/>
    </font>
    <font>
      <b/>
      <sz val="11"/>
      <color theme="0"/>
      <name val="Arial"/>
      <family val="2"/>
    </font>
    <font>
      <i/>
      <sz val="9"/>
      <color theme="1"/>
      <name val="Arial"/>
      <family val="2"/>
    </font>
    <font>
      <sz val="11"/>
      <name val="Calibri"/>
      <family val="2"/>
      <scheme val="minor"/>
    </font>
    <font>
      <b/>
      <i/>
      <sz val="11"/>
      <color theme="0" tint="-0.499984740745262"/>
      <name val="Calibri"/>
      <family val="2"/>
      <scheme val="minor"/>
    </font>
    <font>
      <sz val="11"/>
      <color rgb="FF000000"/>
      <name val="Calibri"/>
      <family val="2"/>
    </font>
    <font>
      <sz val="10"/>
      <color rgb="FF000000"/>
      <name val="Calibri"/>
      <family val="2"/>
    </font>
    <font>
      <b/>
      <sz val="11"/>
      <color rgb="FF000000"/>
      <name val="Calibri"/>
      <family val="2"/>
    </font>
    <font>
      <b/>
      <sz val="10"/>
      <color rgb="FF000000"/>
      <name val="Calibri"/>
      <family val="2"/>
    </font>
    <font>
      <b/>
      <sz val="12"/>
      <color rgb="FF000000"/>
      <name val="Calibri"/>
      <family val="2"/>
    </font>
    <font>
      <b/>
      <u/>
      <sz val="12"/>
      <color rgb="FF000000"/>
      <name val="Calibri"/>
      <family val="2"/>
    </font>
    <font>
      <b/>
      <i/>
      <u/>
      <sz val="14"/>
      <color theme="1"/>
      <name val="Calibri"/>
      <family val="2"/>
    </font>
    <font>
      <sz val="8"/>
      <name val="Calibri"/>
      <charset val="134"/>
      <scheme val="minor"/>
    </font>
    <font>
      <b/>
      <sz val="11"/>
      <color theme="4" tint="-0.499984740745262"/>
      <name val="Arial"/>
      <family val="2"/>
    </font>
    <font>
      <b/>
      <sz val="10"/>
      <color theme="4" tint="-0.499984740745262"/>
      <name val="Arial"/>
      <family val="2"/>
    </font>
    <font>
      <i/>
      <sz val="11"/>
      <color rgb="FFFF0000"/>
      <name val="Arial"/>
      <family val="2"/>
    </font>
    <font>
      <b/>
      <sz val="11"/>
      <color rgb="FF002060"/>
      <name val="Arial"/>
      <family val="2"/>
    </font>
    <font>
      <sz val="11"/>
      <color rgb="FF002060"/>
      <name val="Arial"/>
      <family val="2"/>
    </font>
    <font>
      <b/>
      <sz val="11"/>
      <color theme="4" tint="0.39997558519241921"/>
      <name val="Calibri"/>
      <family val="2"/>
      <scheme val="minor"/>
    </font>
    <font>
      <b/>
      <sz val="11"/>
      <color theme="4" tint="0.39997558519241921"/>
      <name val="Arial"/>
      <family val="2"/>
    </font>
    <font>
      <sz val="12"/>
      <color theme="1"/>
      <name val="Arial"/>
      <family val="2"/>
    </font>
    <font>
      <sz val="11"/>
      <color theme="10"/>
      <name val="Arial"/>
      <family val="2"/>
    </font>
    <font>
      <b/>
      <sz val="10"/>
      <color rgb="FF000000"/>
      <name val="Arial"/>
      <family val="2"/>
    </font>
    <font>
      <b/>
      <sz val="11"/>
      <color rgb="FF000000"/>
      <name val="Arial"/>
      <family val="2"/>
    </font>
    <font>
      <sz val="11"/>
      <color rgb="FF000000"/>
      <name val="Arial"/>
      <family val="2"/>
    </font>
  </fonts>
  <fills count="2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rgb="FFC4BD97"/>
        <bgColor rgb="FF000000"/>
      </patternFill>
    </fill>
    <fill>
      <patternFill patternType="solid">
        <fgColor rgb="FFB1A0C7"/>
        <bgColor rgb="FF000000"/>
      </patternFill>
    </fill>
    <fill>
      <patternFill patternType="solid">
        <fgColor theme="5" tint="0.39997558519241921"/>
        <bgColor indexed="64"/>
      </patternFill>
    </fill>
    <fill>
      <patternFill patternType="solid">
        <fgColor rgb="FF7030A0"/>
        <bgColor indexed="64"/>
      </patternFill>
    </fill>
    <fill>
      <patternFill patternType="solid">
        <fgColor indexed="65"/>
        <bgColor indexed="64"/>
      </patternFill>
    </fill>
    <fill>
      <patternFill patternType="solid">
        <fgColor theme="5" tint="-0.249977111117893"/>
        <bgColor indexed="64"/>
      </patternFill>
    </fill>
    <fill>
      <patternFill patternType="solid">
        <fgColor theme="4"/>
        <bgColor theme="4"/>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rgb="FF68A042"/>
        <bgColor indexed="64"/>
      </patternFill>
    </fill>
    <fill>
      <patternFill patternType="solid">
        <fgColor rgb="FFD9D9D9"/>
        <bgColor rgb="FFD9D9D9"/>
      </patternFill>
    </fill>
    <fill>
      <patternFill patternType="solid">
        <fgColor theme="4" tint="0.59999389629810485"/>
        <bgColor indexed="64"/>
      </patternFill>
    </fill>
    <fill>
      <patternFill patternType="solid">
        <fgColor theme="9" tint="-0.249977111117893"/>
        <bgColor indexed="64"/>
      </patternFill>
    </fill>
    <fill>
      <patternFill patternType="solid">
        <fgColor theme="8" tint="0.79998168889431442"/>
        <bgColor theme="4" tint="0.79998168889431442"/>
      </patternFill>
    </fill>
    <fill>
      <patternFill patternType="solid">
        <fgColor rgb="FFE0FCE7"/>
        <bgColor indexed="64"/>
      </patternFill>
    </fill>
  </fills>
  <borders count="6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double">
        <color auto="1"/>
      </left>
      <right style="double">
        <color auto="1"/>
      </right>
      <top style="double">
        <color auto="1"/>
      </top>
      <bottom style="double">
        <color auto="1"/>
      </bottom>
      <diagonal/>
    </border>
    <border>
      <left/>
      <right/>
      <top style="thin">
        <color auto="1"/>
      </top>
      <bottom style="thin">
        <color auto="1"/>
      </bottom>
      <diagonal/>
    </border>
    <border>
      <left/>
      <right/>
      <top/>
      <bottom style="double">
        <color auto="1"/>
      </bottom>
      <diagonal/>
    </border>
    <border>
      <left/>
      <right/>
      <top style="double">
        <color auto="1"/>
      </top>
      <bottom style="double">
        <color auto="1"/>
      </bottom>
      <diagonal/>
    </border>
    <border>
      <left/>
      <right style="thin">
        <color auto="1"/>
      </right>
      <top style="thin">
        <color auto="1"/>
      </top>
      <bottom style="thin">
        <color auto="1"/>
      </bottom>
      <diagonal/>
    </border>
    <border>
      <left/>
      <right style="thin">
        <color auto="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medium">
        <color rgb="FF000000"/>
      </bottom>
      <diagonal/>
    </border>
    <border>
      <left/>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double">
        <color auto="1"/>
      </left>
      <right style="double">
        <color auto="1"/>
      </right>
      <top/>
      <bottom style="double">
        <color auto="1"/>
      </bottom>
      <diagonal/>
    </border>
    <border>
      <left style="mediumDashed">
        <color indexed="64"/>
      </left>
      <right style="mediumDashed">
        <color indexed="64"/>
      </right>
      <top style="mediumDashed">
        <color indexed="64"/>
      </top>
      <bottom style="mediumDashed">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medium">
        <color indexed="64"/>
      </bottom>
      <diagonal/>
    </border>
    <border>
      <left/>
      <right style="thin">
        <color theme="4" tint="0.39997558519241921"/>
      </right>
      <top style="thin">
        <color theme="4" tint="0.39997558519241921"/>
      </top>
      <bottom style="medium">
        <color indexed="64"/>
      </bottom>
      <diagonal/>
    </border>
    <border>
      <left/>
      <right style="thin">
        <color theme="4" tint="0.39997558519241921"/>
      </right>
      <top/>
      <bottom style="thin">
        <color theme="4" tint="0.39997558519241921"/>
      </bottom>
      <diagonal/>
    </border>
    <border>
      <left/>
      <right/>
      <top style="medium">
        <color indexed="64"/>
      </top>
      <bottom style="double">
        <color indexed="64"/>
      </bottom>
      <diagonal/>
    </border>
    <border>
      <left/>
      <right style="thin">
        <color theme="4" tint="0.39997558519241921"/>
      </right>
      <top style="medium">
        <color indexed="64"/>
      </top>
      <bottom style="double">
        <color indexed="64"/>
      </bottom>
      <diagonal/>
    </border>
  </borders>
  <cellStyleXfs count="16">
    <xf numFmtId="0" fontId="0" fillId="0" borderId="0">
      <alignment vertical="center"/>
    </xf>
    <xf numFmtId="9" fontId="22" fillId="0" borderId="0" applyFont="0" applyFill="0" applyBorder="0" applyAlignment="0" applyProtection="0">
      <alignment vertical="center"/>
    </xf>
    <xf numFmtId="0" fontId="21" fillId="0" borderId="0">
      <alignment horizontal="left"/>
    </xf>
    <xf numFmtId="0" fontId="20" fillId="0" borderId="0"/>
    <xf numFmtId="0" fontId="19" fillId="0" borderId="0" applyNumberFormat="0" applyFill="0" applyBorder="0" applyAlignment="0" applyProtection="0"/>
    <xf numFmtId="9" fontId="22" fillId="0" borderId="0" applyFont="0" applyFill="0" applyBorder="0" applyAlignment="0" applyProtection="0"/>
    <xf numFmtId="0" fontId="23" fillId="0" borderId="0"/>
    <xf numFmtId="0" fontId="18" fillId="0" borderId="0"/>
    <xf numFmtId="0" fontId="18" fillId="0" borderId="0">
      <alignment vertical="center"/>
    </xf>
    <xf numFmtId="0" fontId="17" fillId="0" borderId="0"/>
    <xf numFmtId="0" fontId="26" fillId="0" borderId="0"/>
    <xf numFmtId="0" fontId="29" fillId="0" borderId="0" applyNumberFormat="0" applyFill="0" applyBorder="0" applyAlignment="0" applyProtection="0">
      <alignment vertical="center"/>
    </xf>
    <xf numFmtId="0" fontId="16" fillId="0" borderId="0"/>
    <xf numFmtId="0" fontId="46" fillId="0" borderId="0"/>
    <xf numFmtId="167" fontId="46" fillId="0" borderId="0" applyFont="0" applyFill="0" applyBorder="0" applyAlignment="0" applyProtection="0"/>
    <xf numFmtId="9" fontId="46" fillId="0" borderId="0" applyFont="0" applyFill="0" applyBorder="0" applyAlignment="0" applyProtection="0"/>
  </cellStyleXfs>
  <cellXfs count="477">
    <xf numFmtId="0" fontId="0" fillId="0" borderId="0" xfId="0">
      <alignment vertical="center"/>
    </xf>
    <xf numFmtId="0" fontId="24" fillId="0" borderId="0" xfId="7" applyFont="1"/>
    <xf numFmtId="0" fontId="25" fillId="0" borderId="0" xfId="9" applyFont="1"/>
    <xf numFmtId="0" fontId="0" fillId="0" borderId="0" xfId="0" applyAlignment="1"/>
    <xf numFmtId="0" fontId="19" fillId="8" borderId="0" xfId="0" applyFont="1" applyFill="1" applyAlignment="1"/>
    <xf numFmtId="0" fontId="27" fillId="8" borderId="0" xfId="0" applyFont="1" applyFill="1" applyAlignment="1"/>
    <xf numFmtId="0" fontId="19" fillId="9" borderId="0" xfId="0" applyFont="1" applyFill="1" applyAlignment="1"/>
    <xf numFmtId="0" fontId="33" fillId="0" borderId="0" xfId="0" quotePrefix="1" applyFont="1">
      <alignment vertical="center"/>
    </xf>
    <xf numFmtId="0" fontId="15" fillId="0" borderId="0" xfId="0" applyFont="1">
      <alignment vertical="center"/>
    </xf>
    <xf numFmtId="0" fontId="28" fillId="0" borderId="0" xfId="0" applyFont="1">
      <alignment vertical="center"/>
    </xf>
    <xf numFmtId="0" fontId="25" fillId="0" borderId="0" xfId="0" applyFont="1">
      <alignment vertical="center"/>
    </xf>
    <xf numFmtId="0" fontId="34" fillId="0" borderId="0" xfId="0" applyFont="1">
      <alignment vertical="center"/>
    </xf>
    <xf numFmtId="0" fontId="15" fillId="0" borderId="0" xfId="0" applyFont="1" applyAlignment="1">
      <alignment vertical="center" wrapText="1"/>
    </xf>
    <xf numFmtId="0" fontId="25" fillId="0" borderId="0" xfId="0" applyFont="1" applyAlignment="1">
      <alignment vertical="center" wrapText="1"/>
    </xf>
    <xf numFmtId="0" fontId="34" fillId="0" borderId="0" xfId="0" applyFont="1" applyAlignment="1">
      <alignment vertical="center" wrapText="1"/>
    </xf>
    <xf numFmtId="0" fontId="28" fillId="0" borderId="0" xfId="0" applyFont="1" applyAlignment="1">
      <alignment vertical="center" wrapText="1"/>
    </xf>
    <xf numFmtId="0" fontId="15" fillId="0" borderId="0" xfId="0" applyFont="1" applyAlignment="1"/>
    <xf numFmtId="0" fontId="15" fillId="0" borderId="0" xfId="9" applyFont="1"/>
    <xf numFmtId="0" fontId="38" fillId="0" borderId="0" xfId="0" applyFont="1">
      <alignment vertical="center"/>
    </xf>
    <xf numFmtId="0" fontId="33" fillId="0" borderId="0" xfId="0" applyFont="1" applyAlignment="1"/>
    <xf numFmtId="3" fontId="25" fillId="0" borderId="0" xfId="0" applyNumberFormat="1" applyFont="1">
      <alignment vertical="center"/>
    </xf>
    <xf numFmtId="0" fontId="15" fillId="0" borderId="0" xfId="8" applyFont="1">
      <alignment vertical="center"/>
    </xf>
    <xf numFmtId="0" fontId="25" fillId="0" borderId="0" xfId="8" applyFont="1">
      <alignment vertical="center"/>
    </xf>
    <xf numFmtId="0" fontId="28" fillId="0" borderId="0" xfId="0" applyFont="1" applyAlignment="1"/>
    <xf numFmtId="0" fontId="28" fillId="0" borderId="0" xfId="0" applyFont="1" applyAlignment="1">
      <alignment horizontal="left"/>
    </xf>
    <xf numFmtId="0" fontId="28" fillId="0" borderId="0" xfId="0" applyFont="1" applyAlignment="1">
      <alignment horizontal="left" wrapText="1"/>
    </xf>
    <xf numFmtId="0" fontId="15" fillId="0" borderId="0" xfId="9" applyFont="1" applyAlignment="1">
      <alignment wrapText="1"/>
    </xf>
    <xf numFmtId="0" fontId="15" fillId="10" borderId="0" xfId="9" applyFont="1" applyFill="1"/>
    <xf numFmtId="0" fontId="15" fillId="11" borderId="0" xfId="9" applyFont="1" applyFill="1"/>
    <xf numFmtId="0" fontId="15" fillId="6" borderId="0" xfId="9" applyFont="1" applyFill="1"/>
    <xf numFmtId="0" fontId="24" fillId="0" borderId="0" xfId="10" applyFont="1" applyAlignment="1">
      <alignment wrapText="1"/>
    </xf>
    <xf numFmtId="0" fontId="24" fillId="0" borderId="0" xfId="10" applyFont="1"/>
    <xf numFmtId="0" fontId="24" fillId="7" borderId="0" xfId="10" applyFont="1" applyFill="1"/>
    <xf numFmtId="0" fontId="30" fillId="0" borderId="0" xfId="11" applyFont="1" applyAlignment="1">
      <alignment vertical="center" wrapText="1"/>
    </xf>
    <xf numFmtId="0" fontId="14" fillId="0" borderId="0" xfId="0" applyFont="1">
      <alignment vertical="center"/>
    </xf>
    <xf numFmtId="0" fontId="14" fillId="0" borderId="0" xfId="0" applyFont="1" applyAlignment="1">
      <alignment vertical="center" wrapText="1"/>
    </xf>
    <xf numFmtId="14" fontId="14" fillId="2" borderId="1" xfId="0" applyNumberFormat="1" applyFont="1" applyFill="1" applyBorder="1">
      <alignment vertical="center"/>
    </xf>
    <xf numFmtId="14" fontId="14" fillId="0" borderId="0" xfId="0" applyNumberFormat="1" applyFont="1">
      <alignment vertical="center"/>
    </xf>
    <xf numFmtId="0" fontId="14" fillId="0" borderId="0" xfId="0" applyFont="1" applyAlignment="1"/>
    <xf numFmtId="1" fontId="14" fillId="6" borderId="1" xfId="0" applyNumberFormat="1" applyFont="1" applyFill="1" applyBorder="1">
      <alignment vertical="center"/>
    </xf>
    <xf numFmtId="0" fontId="14" fillId="7" borderId="0" xfId="0" applyFont="1" applyFill="1" applyAlignment="1"/>
    <xf numFmtId="3" fontId="14" fillId="0" borderId="0" xfId="0" applyNumberFormat="1" applyFont="1" applyAlignment="1"/>
    <xf numFmtId="0" fontId="14" fillId="10" borderId="0" xfId="9" applyFont="1" applyFill="1"/>
    <xf numFmtId="0" fontId="14" fillId="11" borderId="0" xfId="9" applyFont="1" applyFill="1"/>
    <xf numFmtId="0" fontId="13" fillId="0" borderId="0" xfId="0" applyFont="1">
      <alignment vertical="center"/>
    </xf>
    <xf numFmtId="0" fontId="13" fillId="0" borderId="0" xfId="0" applyFont="1" applyAlignment="1">
      <alignment vertical="center" wrapText="1"/>
    </xf>
    <xf numFmtId="0" fontId="14" fillId="0" borderId="0" xfId="0" applyFont="1" applyFill="1" applyAlignment="1"/>
    <xf numFmtId="0" fontId="15" fillId="0" borderId="0" xfId="0" applyFont="1" applyFill="1">
      <alignment vertical="center"/>
    </xf>
    <xf numFmtId="0" fontId="25" fillId="0" borderId="0" xfId="0" applyFont="1" applyFill="1">
      <alignment vertical="center"/>
    </xf>
    <xf numFmtId="0" fontId="14" fillId="0" borderId="0" xfId="0" applyFont="1" applyFill="1">
      <alignment vertical="center"/>
    </xf>
    <xf numFmtId="1" fontId="14" fillId="0" borderId="0" xfId="0" applyNumberFormat="1" applyFont="1" applyFill="1">
      <alignment vertical="center"/>
    </xf>
    <xf numFmtId="0" fontId="14" fillId="0" borderId="0" xfId="0" applyFont="1" applyFill="1" applyAlignment="1">
      <alignment vertical="center" wrapText="1"/>
    </xf>
    <xf numFmtId="0" fontId="25" fillId="0" borderId="0" xfId="0" applyFont="1" applyFill="1" applyAlignment="1">
      <alignment vertical="center" wrapText="1"/>
    </xf>
    <xf numFmtId="0" fontId="12" fillId="0" borderId="0" xfId="0" applyFont="1">
      <alignment vertical="center"/>
    </xf>
    <xf numFmtId="0" fontId="28" fillId="0" borderId="1" xfId="0" applyFont="1" applyBorder="1">
      <alignment vertical="center"/>
    </xf>
    <xf numFmtId="0" fontId="12" fillId="0" borderId="0" xfId="9" applyFont="1"/>
    <xf numFmtId="0" fontId="12" fillId="0" borderId="0" xfId="0" applyFont="1" applyAlignment="1"/>
    <xf numFmtId="0" fontId="12" fillId="4" borderId="0" xfId="0" applyFont="1" applyFill="1" applyAlignment="1"/>
    <xf numFmtId="0" fontId="12" fillId="13" borderId="0" xfId="0" applyFont="1" applyFill="1" applyAlignment="1"/>
    <xf numFmtId="0" fontId="13" fillId="0" borderId="0" xfId="0" applyFont="1" applyProtection="1">
      <alignment vertical="center"/>
    </xf>
    <xf numFmtId="0" fontId="0" fillId="0" borderId="0" xfId="0" applyProtection="1">
      <alignment vertical="center"/>
    </xf>
    <xf numFmtId="0" fontId="28" fillId="0" borderId="0" xfId="0" applyFont="1" applyAlignment="1" applyProtection="1">
      <alignment vertical="center" wrapText="1"/>
    </xf>
    <xf numFmtId="1" fontId="12" fillId="15" borderId="1" xfId="0" applyNumberFormat="1" applyFont="1" applyFill="1" applyBorder="1" applyAlignment="1" applyProtection="1">
      <alignment horizontal="right" vertical="center"/>
    </xf>
    <xf numFmtId="0" fontId="0" fillId="0" borderId="0" xfId="0" applyFill="1" applyProtection="1">
      <alignment vertical="center"/>
    </xf>
    <xf numFmtId="0" fontId="12" fillId="0" borderId="0" xfId="0" applyFont="1" applyFill="1" applyBorder="1" applyProtection="1">
      <alignment vertical="center"/>
    </xf>
    <xf numFmtId="0" fontId="13" fillId="0" borderId="0" xfId="0" applyFont="1" applyFill="1" applyBorder="1" applyProtection="1">
      <alignment vertical="center"/>
    </xf>
    <xf numFmtId="0" fontId="39" fillId="0" borderId="0" xfId="0" applyFont="1" applyProtection="1">
      <alignment vertical="center"/>
    </xf>
    <xf numFmtId="0" fontId="12" fillId="0" borderId="0" xfId="0" applyFont="1" applyProtection="1">
      <alignment vertical="center"/>
    </xf>
    <xf numFmtId="0" fontId="42" fillId="14" borderId="18" xfId="0" applyFont="1" applyFill="1" applyBorder="1" applyProtection="1">
      <alignment vertical="center"/>
    </xf>
    <xf numFmtId="0" fontId="33" fillId="15" borderId="9" xfId="0" applyFont="1" applyFill="1" applyBorder="1" applyProtection="1">
      <alignment vertical="center"/>
    </xf>
    <xf numFmtId="0" fontId="13" fillId="15" borderId="10" xfId="0" applyFont="1" applyFill="1" applyBorder="1" applyProtection="1">
      <alignment vertical="center"/>
    </xf>
    <xf numFmtId="0" fontId="13" fillId="15" borderId="11" xfId="0" applyFont="1" applyFill="1" applyBorder="1" applyProtection="1">
      <alignment vertical="center"/>
    </xf>
    <xf numFmtId="0" fontId="33" fillId="15" borderId="12" xfId="0" applyFont="1" applyFill="1" applyBorder="1" applyProtection="1">
      <alignment vertical="center"/>
    </xf>
    <xf numFmtId="0" fontId="13" fillId="15" borderId="0" xfId="0" applyFont="1" applyFill="1" applyBorder="1" applyProtection="1">
      <alignment vertical="center"/>
    </xf>
    <xf numFmtId="0" fontId="13" fillId="15" borderId="8" xfId="0" applyFont="1" applyFill="1" applyBorder="1" applyProtection="1">
      <alignment vertical="center"/>
    </xf>
    <xf numFmtId="0" fontId="12" fillId="15" borderId="12" xfId="0" applyFont="1" applyFill="1" applyBorder="1" applyProtection="1">
      <alignment vertical="center"/>
    </xf>
    <xf numFmtId="0" fontId="12" fillId="15" borderId="0" xfId="0" applyFont="1" applyFill="1" applyBorder="1" applyProtection="1">
      <alignment vertical="center"/>
    </xf>
    <xf numFmtId="0" fontId="12" fillId="15" borderId="8" xfId="0" applyFont="1" applyFill="1" applyBorder="1" applyProtection="1">
      <alignment vertical="center"/>
    </xf>
    <xf numFmtId="0" fontId="12" fillId="15" borderId="13" xfId="0" applyFont="1" applyFill="1" applyBorder="1" applyProtection="1">
      <alignment vertical="center"/>
    </xf>
    <xf numFmtId="0" fontId="13" fillId="15" borderId="2" xfId="0" applyFont="1" applyFill="1" applyBorder="1" applyProtection="1">
      <alignment vertical="center"/>
    </xf>
    <xf numFmtId="0" fontId="13" fillId="15" borderId="14" xfId="0" applyFont="1" applyFill="1" applyBorder="1" applyProtection="1">
      <alignment vertical="center"/>
    </xf>
    <xf numFmtId="0" fontId="13" fillId="0" borderId="0" xfId="0" applyFont="1" applyFill="1" applyProtection="1">
      <alignment vertical="center"/>
    </xf>
    <xf numFmtId="0" fontId="43" fillId="0" borderId="0" xfId="0" applyFont="1" applyProtection="1">
      <alignment vertical="center"/>
    </xf>
    <xf numFmtId="0" fontId="33" fillId="0" borderId="0" xfId="0" quotePrefix="1" applyFont="1" applyProtection="1">
      <alignment vertical="center"/>
      <protection locked="0"/>
    </xf>
    <xf numFmtId="0" fontId="13" fillId="0" borderId="0" xfId="0" applyFont="1" applyProtection="1">
      <alignment vertical="center"/>
      <protection locked="0"/>
    </xf>
    <xf numFmtId="0" fontId="0" fillId="0" borderId="0" xfId="0" applyProtection="1">
      <alignment vertical="center"/>
      <protection locked="0"/>
    </xf>
    <xf numFmtId="0" fontId="28" fillId="0" borderId="0" xfId="0" applyFont="1" applyAlignment="1" applyProtection="1">
      <alignment vertical="center" wrapText="1"/>
      <protection locked="0"/>
    </xf>
    <xf numFmtId="0" fontId="12" fillId="15" borderId="1" xfId="0" applyFont="1" applyFill="1" applyBorder="1" applyAlignment="1" applyProtection="1">
      <alignment horizontal="right" vertical="center"/>
      <protection locked="0"/>
    </xf>
    <xf numFmtId="0" fontId="0" fillId="0" borderId="0" xfId="0" applyFill="1" applyProtection="1">
      <alignment vertical="center"/>
      <protection locked="0"/>
    </xf>
    <xf numFmtId="0" fontId="28" fillId="0" borderId="0" xfId="0" applyFont="1" applyProtection="1">
      <alignment vertical="center"/>
      <protection locked="0"/>
    </xf>
    <xf numFmtId="0" fontId="12" fillId="0" borderId="0" xfId="0" applyFont="1" applyFill="1" applyBorder="1" applyProtection="1">
      <alignment vertical="center"/>
      <protection locked="0"/>
    </xf>
    <xf numFmtId="0" fontId="13" fillId="0" borderId="0" xfId="0" applyFont="1" applyFill="1" applyBorder="1" applyProtection="1">
      <alignment vertical="center"/>
      <protection locked="0"/>
    </xf>
    <xf numFmtId="0" fontId="33" fillId="0" borderId="0" xfId="0" applyFont="1" applyProtection="1">
      <alignment vertical="center"/>
      <protection locked="0"/>
    </xf>
    <xf numFmtId="0" fontId="39" fillId="0" borderId="0" xfId="0" applyFont="1" applyProtection="1">
      <alignment vertical="center"/>
      <protection locked="0"/>
    </xf>
    <xf numFmtId="0" fontId="12" fillId="0" borderId="0" xfId="0" applyFont="1" applyFill="1" applyBorder="1" applyAlignment="1" applyProtection="1">
      <alignment horizontal="right" vertical="center"/>
      <protection locked="0"/>
    </xf>
    <xf numFmtId="0" fontId="18" fillId="0" borderId="0" xfId="0" applyFont="1" applyProtection="1">
      <alignment vertical="center"/>
      <protection locked="0"/>
    </xf>
    <xf numFmtId="0" fontId="14" fillId="0" borderId="0" xfId="0" applyFont="1" applyProtection="1">
      <alignment vertical="center"/>
    </xf>
    <xf numFmtId="0" fontId="25" fillId="0" borderId="0" xfId="0" applyFont="1" applyAlignment="1" applyProtection="1">
      <alignment vertical="center" wrapText="1"/>
    </xf>
    <xf numFmtId="0" fontId="25" fillId="0" borderId="0" xfId="0" applyFont="1" applyProtection="1">
      <alignment vertical="center"/>
    </xf>
    <xf numFmtId="0" fontId="25" fillId="0" borderId="4" xfId="0" applyFont="1" applyBorder="1" applyAlignment="1" applyProtection="1">
      <alignment vertical="top" wrapText="1"/>
    </xf>
    <xf numFmtId="0" fontId="25" fillId="0" borderId="0" xfId="0" applyFont="1" applyAlignment="1" applyProtection="1">
      <alignment vertical="top" wrapText="1"/>
    </xf>
    <xf numFmtId="0" fontId="14" fillId="0" borderId="0" xfId="0" applyFont="1" applyAlignment="1" applyProtection="1">
      <alignment vertical="center" wrapText="1"/>
    </xf>
    <xf numFmtId="0" fontId="14" fillId="0" borderId="8" xfId="0" applyFont="1" applyBorder="1" applyAlignment="1" applyProtection="1">
      <alignment vertical="center" wrapText="1"/>
    </xf>
    <xf numFmtId="0" fontId="25" fillId="0" borderId="5" xfId="0" applyFont="1" applyBorder="1" applyAlignment="1" applyProtection="1">
      <alignment vertical="top" wrapText="1"/>
    </xf>
    <xf numFmtId="0" fontId="36" fillId="0" borderId="0" xfId="0" applyFont="1" applyAlignment="1" applyProtection="1">
      <alignment vertical="center" wrapText="1"/>
    </xf>
    <xf numFmtId="0" fontId="25" fillId="12" borderId="0" xfId="0" applyFont="1" applyFill="1" applyAlignment="1" applyProtection="1">
      <alignment vertical="center" wrapText="1"/>
    </xf>
    <xf numFmtId="1" fontId="14" fillId="0" borderId="0" xfId="0" applyNumberFormat="1" applyFont="1" applyProtection="1">
      <alignment vertical="center"/>
    </xf>
    <xf numFmtId="9" fontId="14" fillId="0" borderId="0" xfId="1" applyFont="1" applyFill="1" applyBorder="1" applyProtection="1">
      <alignment vertical="center"/>
    </xf>
    <xf numFmtId="164" fontId="12" fillId="15" borderId="1" xfId="0" applyNumberFormat="1" applyFont="1" applyFill="1" applyBorder="1" applyAlignment="1" applyProtection="1">
      <alignment horizontal="right" vertical="center"/>
    </xf>
    <xf numFmtId="0" fontId="34" fillId="0" borderId="1" xfId="11" applyNumberFormat="1" applyFont="1" applyBorder="1">
      <alignment vertical="center"/>
    </xf>
    <xf numFmtId="0" fontId="34" fillId="0" borderId="1" xfId="11" applyFont="1" applyBorder="1">
      <alignment vertical="center"/>
    </xf>
    <xf numFmtId="1" fontId="14" fillId="6" borderId="3" xfId="0" applyNumberFormat="1" applyFont="1" applyFill="1" applyBorder="1" applyProtection="1">
      <alignment vertical="center"/>
    </xf>
    <xf numFmtId="0" fontId="32" fillId="0" borderId="0" xfId="0" applyFont="1" applyProtection="1">
      <alignment vertical="center"/>
    </xf>
    <xf numFmtId="0" fontId="15" fillId="0" borderId="0" xfId="0" applyFont="1" applyProtection="1">
      <alignment vertical="center"/>
    </xf>
    <xf numFmtId="164" fontId="14" fillId="0" borderId="0" xfId="0" applyNumberFormat="1" applyFont="1" applyProtection="1">
      <alignment vertical="center"/>
    </xf>
    <xf numFmtId="0" fontId="35" fillId="0" borderId="0" xfId="0" applyFont="1" applyAlignment="1" applyProtection="1">
      <alignment vertical="center" wrapText="1"/>
    </xf>
    <xf numFmtId="0" fontId="15" fillId="0" borderId="0" xfId="0" applyFont="1" applyAlignment="1" applyProtection="1">
      <alignment vertical="center" wrapText="1"/>
    </xf>
    <xf numFmtId="0" fontId="14" fillId="12" borderId="0" xfId="0" applyFont="1" applyFill="1" applyAlignment="1" applyProtection="1">
      <alignment vertical="center" wrapText="1"/>
    </xf>
    <xf numFmtId="0" fontId="15" fillId="12" borderId="0" xfId="0" applyFont="1" applyFill="1" applyProtection="1">
      <alignment vertical="center"/>
    </xf>
    <xf numFmtId="0" fontId="28" fillId="0" borderId="0" xfId="0" applyFont="1" applyProtection="1">
      <alignment vertical="center"/>
    </xf>
    <xf numFmtId="0" fontId="33" fillId="0" borderId="0" xfId="0" applyFont="1" applyProtection="1">
      <alignment vertical="center"/>
    </xf>
    <xf numFmtId="0" fontId="11" fillId="0" borderId="0" xfId="0" applyFont="1" applyProtection="1">
      <alignment vertical="center"/>
    </xf>
    <xf numFmtId="0" fontId="12" fillId="15" borderId="1" xfId="0" applyFont="1" applyFill="1" applyBorder="1" applyAlignment="1" applyProtection="1">
      <alignment horizontal="right" vertical="center"/>
    </xf>
    <xf numFmtId="0" fontId="10" fillId="0" borderId="0" xfId="0" applyFont="1" applyAlignment="1" applyProtection="1">
      <alignment horizontal="left" vertical="center" indent="1"/>
    </xf>
    <xf numFmtId="0" fontId="10" fillId="0" borderId="0" xfId="0" applyFont="1" applyProtection="1">
      <alignment vertical="center"/>
    </xf>
    <xf numFmtId="0" fontId="14" fillId="5" borderId="1" xfId="0" applyFont="1" applyFill="1" applyBorder="1" applyAlignment="1" applyProtection="1">
      <alignment vertical="center" wrapText="1"/>
    </xf>
    <xf numFmtId="14" fontId="14" fillId="5" borderId="1" xfId="0" applyNumberFormat="1" applyFont="1" applyFill="1" applyBorder="1" applyProtection="1">
      <alignment vertical="center"/>
    </xf>
    <xf numFmtId="164" fontId="14" fillId="5" borderId="1" xfId="0" applyNumberFormat="1" applyFont="1" applyFill="1" applyBorder="1" applyProtection="1">
      <alignment vertical="center"/>
    </xf>
    <xf numFmtId="164" fontId="10" fillId="17" borderId="1" xfId="0" applyNumberFormat="1" applyFont="1" applyFill="1" applyBorder="1" applyProtection="1">
      <alignment vertical="center"/>
      <protection locked="0"/>
    </xf>
    <xf numFmtId="0" fontId="14" fillId="10" borderId="1" xfId="0" applyFont="1" applyFill="1" applyBorder="1" applyAlignment="1" applyProtection="1">
      <alignment vertical="center" wrapText="1"/>
    </xf>
    <xf numFmtId="1" fontId="34" fillId="10" borderId="1" xfId="0" applyNumberFormat="1" applyFont="1" applyFill="1" applyBorder="1" applyProtection="1">
      <alignment vertical="center"/>
    </xf>
    <xf numFmtId="1" fontId="14" fillId="10" borderId="1" xfId="0" applyNumberFormat="1" applyFont="1" applyFill="1" applyBorder="1" applyProtection="1">
      <alignment vertical="center"/>
    </xf>
    <xf numFmtId="0" fontId="15" fillId="0" borderId="2" xfId="0" applyFont="1" applyBorder="1" applyProtection="1">
      <alignment vertical="center"/>
    </xf>
    <xf numFmtId="0" fontId="15" fillId="17" borderId="0" xfId="0" applyFont="1" applyFill="1" applyBorder="1" applyProtection="1">
      <alignment vertical="center"/>
    </xf>
    <xf numFmtId="0" fontId="15" fillId="5" borderId="0" xfId="0" applyFont="1" applyFill="1" applyBorder="1" applyProtection="1">
      <alignment vertical="center"/>
    </xf>
    <xf numFmtId="0" fontId="15" fillId="10" borderId="0" xfId="0" applyFont="1" applyFill="1" applyBorder="1" applyProtection="1">
      <alignment vertical="center"/>
    </xf>
    <xf numFmtId="0" fontId="14" fillId="0" borderId="0" xfId="0" applyFont="1" applyFill="1" applyProtection="1">
      <alignment vertical="center"/>
    </xf>
    <xf numFmtId="0" fontId="25" fillId="0" borderId="0" xfId="0" applyFont="1" applyFill="1" applyAlignment="1" applyProtection="1">
      <alignment vertical="top" wrapText="1"/>
    </xf>
    <xf numFmtId="0" fontId="15" fillId="0" borderId="0" xfId="0" applyFont="1" applyFill="1" applyProtection="1">
      <alignment vertical="center"/>
    </xf>
    <xf numFmtId="0" fontId="25" fillId="0" borderId="0" xfId="0" applyFont="1" applyBorder="1" applyAlignment="1" applyProtection="1">
      <alignment vertical="top" wrapText="1"/>
    </xf>
    <xf numFmtId="1" fontId="14" fillId="5" borderId="1" xfId="0" applyNumberFormat="1" applyFont="1" applyFill="1" applyBorder="1" applyProtection="1">
      <alignment vertical="center"/>
    </xf>
    <xf numFmtId="0" fontId="25" fillId="0" borderId="0" xfId="0" applyFont="1" applyBorder="1" applyProtection="1">
      <alignment vertical="center"/>
    </xf>
    <xf numFmtId="0" fontId="14" fillId="5" borderId="1" xfId="0" applyFont="1" applyFill="1" applyBorder="1" applyProtection="1">
      <alignment vertical="center"/>
    </xf>
    <xf numFmtId="0" fontId="9" fillId="5" borderId="7" xfId="0" applyFont="1" applyFill="1" applyBorder="1" applyAlignment="1" applyProtection="1">
      <alignment horizontal="left" vertical="center" wrapText="1"/>
    </xf>
    <xf numFmtId="1" fontId="9" fillId="5" borderId="3" xfId="0" applyNumberFormat="1" applyFont="1" applyFill="1" applyBorder="1" applyAlignment="1" applyProtection="1">
      <alignment horizontal="center" vertical="center"/>
    </xf>
    <xf numFmtId="0" fontId="14" fillId="10" borderId="16" xfId="0" applyFont="1" applyFill="1" applyBorder="1" applyProtection="1">
      <alignment vertical="center"/>
    </xf>
    <xf numFmtId="1" fontId="14" fillId="17" borderId="3" xfId="0" applyNumberFormat="1" applyFont="1" applyFill="1" applyBorder="1" applyProtection="1">
      <alignment vertical="center"/>
      <protection locked="0"/>
    </xf>
    <xf numFmtId="9" fontId="28" fillId="0" borderId="3" xfId="1" applyFont="1" applyFill="1" applyBorder="1" applyProtection="1">
      <alignment vertical="center"/>
    </xf>
    <xf numFmtId="0" fontId="15" fillId="18" borderId="0" xfId="0" applyFont="1" applyFill="1" applyBorder="1" applyProtection="1">
      <alignment vertical="center"/>
    </xf>
    <xf numFmtId="14" fontId="14" fillId="18" borderId="1" xfId="0" applyNumberFormat="1" applyFont="1" applyFill="1" applyBorder="1" applyProtection="1">
      <alignment vertical="center"/>
    </xf>
    <xf numFmtId="0" fontId="14" fillId="6" borderId="1" xfId="0" applyFont="1" applyFill="1" applyBorder="1" applyAlignment="1" applyProtection="1">
      <alignment vertical="center" wrapText="1"/>
    </xf>
    <xf numFmtId="0" fontId="15" fillId="6" borderId="0" xfId="0" applyFont="1" applyFill="1" applyBorder="1" applyProtection="1">
      <alignment vertical="center"/>
    </xf>
    <xf numFmtId="0" fontId="15" fillId="19" borderId="0" xfId="0" applyFont="1" applyFill="1" applyBorder="1" applyProtection="1">
      <alignment vertical="center"/>
    </xf>
    <xf numFmtId="1" fontId="14" fillId="19" borderId="6" xfId="0" applyNumberFormat="1" applyFont="1" applyFill="1" applyBorder="1" applyProtection="1">
      <alignment vertical="center"/>
    </xf>
    <xf numFmtId="0" fontId="14" fillId="19" borderId="1" xfId="0" applyFont="1" applyFill="1" applyBorder="1" applyAlignment="1" applyProtection="1">
      <alignment vertical="center" wrapText="1"/>
    </xf>
    <xf numFmtId="1" fontId="14" fillId="19" borderId="1" xfId="0" applyNumberFormat="1" applyFont="1" applyFill="1" applyBorder="1" applyProtection="1">
      <alignment vertical="center"/>
    </xf>
    <xf numFmtId="0" fontId="9" fillId="19" borderId="1" xfId="0" applyFont="1" applyFill="1" applyBorder="1" applyAlignment="1" applyProtection="1">
      <alignment horizontal="left" vertical="center" wrapText="1"/>
    </xf>
    <xf numFmtId="0" fontId="9" fillId="6" borderId="1" xfId="0" applyFont="1" applyFill="1" applyBorder="1" applyAlignment="1" applyProtection="1">
      <alignment vertical="center" wrapText="1"/>
    </xf>
    <xf numFmtId="0" fontId="9" fillId="17" borderId="1" xfId="0" applyFont="1" applyFill="1" applyBorder="1" applyAlignment="1" applyProtection="1">
      <alignment vertical="center" wrapText="1"/>
    </xf>
    <xf numFmtId="0" fontId="14" fillId="0" borderId="0" xfId="0" applyFont="1" applyBorder="1" applyAlignment="1" applyProtection="1">
      <alignment vertical="center" wrapText="1"/>
    </xf>
    <xf numFmtId="0" fontId="14" fillId="0" borderId="0" xfId="0" applyFont="1" applyFill="1" applyBorder="1" applyAlignment="1" applyProtection="1">
      <alignment vertical="center" wrapText="1"/>
    </xf>
    <xf numFmtId="0" fontId="25" fillId="0" borderId="0" xfId="0" applyFont="1" applyFill="1" applyAlignment="1" applyProtection="1">
      <alignment vertical="center" wrapText="1"/>
    </xf>
    <xf numFmtId="1" fontId="14" fillId="0" borderId="0" xfId="0" applyNumberFormat="1" applyFont="1" applyFill="1" applyProtection="1">
      <alignment vertical="center"/>
    </xf>
    <xf numFmtId="1" fontId="14" fillId="0" borderId="0" xfId="0" applyNumberFormat="1" applyFont="1" applyFill="1" applyBorder="1" applyProtection="1">
      <alignment vertical="center"/>
    </xf>
    <xf numFmtId="0" fontId="9" fillId="0" borderId="3" xfId="0" applyFont="1" applyFill="1" applyBorder="1" applyAlignment="1" applyProtection="1">
      <alignment vertical="center" wrapText="1"/>
    </xf>
    <xf numFmtId="0" fontId="33" fillId="16" borderId="9" xfId="0" applyFont="1" applyFill="1" applyBorder="1" applyProtection="1">
      <alignment vertical="center"/>
    </xf>
    <xf numFmtId="0" fontId="13" fillId="16" borderId="10" xfId="0" applyFont="1" applyFill="1" applyBorder="1" applyProtection="1">
      <alignment vertical="center"/>
    </xf>
    <xf numFmtId="0" fontId="13" fillId="16" borderId="11" xfId="0" applyFont="1" applyFill="1" applyBorder="1" applyProtection="1">
      <alignment vertical="center"/>
    </xf>
    <xf numFmtId="0" fontId="33" fillId="16" borderId="12" xfId="0" applyFont="1" applyFill="1" applyBorder="1" applyProtection="1">
      <alignment vertical="center"/>
    </xf>
    <xf numFmtId="0" fontId="13" fillId="16" borderId="0" xfId="0" applyFont="1" applyFill="1" applyBorder="1" applyProtection="1">
      <alignment vertical="center"/>
    </xf>
    <xf numFmtId="0" fontId="13" fillId="16" borderId="8" xfId="0" applyFont="1" applyFill="1" applyBorder="1" applyProtection="1">
      <alignment vertical="center"/>
    </xf>
    <xf numFmtId="0" fontId="12" fillId="16" borderId="12" xfId="0" applyFont="1" applyFill="1" applyBorder="1" applyProtection="1">
      <alignment vertical="center"/>
    </xf>
    <xf numFmtId="0" fontId="12" fillId="16" borderId="0" xfId="0" applyFont="1" applyFill="1" applyBorder="1" applyProtection="1">
      <alignment vertical="center"/>
    </xf>
    <xf numFmtId="0" fontId="12" fillId="16" borderId="8" xfId="0" applyFont="1" applyFill="1" applyBorder="1" applyProtection="1">
      <alignment vertical="center"/>
    </xf>
    <xf numFmtId="0" fontId="12" fillId="16" borderId="13" xfId="0" applyFont="1" applyFill="1" applyBorder="1" applyProtection="1">
      <alignment vertical="center"/>
    </xf>
    <xf numFmtId="0" fontId="13" fillId="16" borderId="2" xfId="0" applyFont="1" applyFill="1" applyBorder="1" applyProtection="1">
      <alignment vertical="center"/>
    </xf>
    <xf numFmtId="0" fontId="13" fillId="16" borderId="14" xfId="0" applyFont="1" applyFill="1" applyBorder="1" applyProtection="1">
      <alignment vertical="center"/>
    </xf>
    <xf numFmtId="0" fontId="15" fillId="16" borderId="10" xfId="0" applyFont="1" applyFill="1" applyBorder="1" applyProtection="1">
      <alignment vertical="center"/>
    </xf>
    <xf numFmtId="0" fontId="15" fillId="16" borderId="11" xfId="0" applyFont="1" applyFill="1" applyBorder="1" applyProtection="1">
      <alignment vertical="center"/>
    </xf>
    <xf numFmtId="0" fontId="15" fillId="16" borderId="0" xfId="0" applyFont="1" applyFill="1" applyBorder="1" applyProtection="1">
      <alignment vertical="center"/>
    </xf>
    <xf numFmtId="0" fontId="15" fillId="16" borderId="8" xfId="0" applyFont="1" applyFill="1" applyBorder="1" applyProtection="1">
      <alignment vertical="center"/>
    </xf>
    <xf numFmtId="0" fontId="9" fillId="16" borderId="0" xfId="0" applyFont="1" applyFill="1" applyBorder="1" applyProtection="1">
      <alignment vertical="center"/>
    </xf>
    <xf numFmtId="0" fontId="15" fillId="16" borderId="2" xfId="0" applyFont="1" applyFill="1" applyBorder="1" applyProtection="1">
      <alignment vertical="center"/>
    </xf>
    <xf numFmtId="0" fontId="15" fillId="16" borderId="14" xfId="0" applyFont="1" applyFill="1" applyBorder="1" applyProtection="1">
      <alignment vertical="center"/>
    </xf>
    <xf numFmtId="0" fontId="15" fillId="16" borderId="9" xfId="0" applyFont="1" applyFill="1" applyBorder="1" applyProtection="1">
      <alignment vertical="center"/>
    </xf>
    <xf numFmtId="0" fontId="28" fillId="16" borderId="10" xfId="0" applyFont="1" applyFill="1" applyBorder="1" applyProtection="1">
      <alignment vertical="center"/>
    </xf>
    <xf numFmtId="0" fontId="15" fillId="16" borderId="12" xfId="0" applyFont="1" applyFill="1" applyBorder="1" applyProtection="1">
      <alignment vertical="center"/>
    </xf>
    <xf numFmtId="0" fontId="15" fillId="16" borderId="13" xfId="0" applyFont="1" applyFill="1" applyBorder="1" applyProtection="1">
      <alignment vertical="center"/>
    </xf>
    <xf numFmtId="1" fontId="14" fillId="6" borderId="1" xfId="0" applyNumberFormat="1" applyFont="1" applyFill="1" applyBorder="1" applyProtection="1">
      <alignment vertical="center"/>
    </xf>
    <xf numFmtId="0" fontId="8" fillId="10" borderId="1" xfId="0" applyFont="1" applyFill="1" applyBorder="1" applyAlignment="1" applyProtection="1">
      <alignment vertical="center" wrapText="1"/>
    </xf>
    <xf numFmtId="0" fontId="8" fillId="10" borderId="1" xfId="0" applyFont="1" applyFill="1" applyBorder="1" applyAlignment="1" applyProtection="1">
      <alignment horizontal="left" vertical="center" wrapText="1"/>
    </xf>
    <xf numFmtId="0" fontId="7" fillId="19" borderId="1" xfId="0" applyFont="1" applyFill="1" applyBorder="1" applyAlignment="1" applyProtection="1">
      <alignment vertical="center" wrapText="1"/>
    </xf>
    <xf numFmtId="0" fontId="15" fillId="0" borderId="0" xfId="0" applyFont="1" applyFill="1" applyAlignment="1" applyProtection="1">
      <alignment horizontal="left" vertical="center"/>
    </xf>
    <xf numFmtId="164" fontId="7" fillId="17" borderId="1" xfId="0" applyNumberFormat="1" applyFont="1" applyFill="1" applyBorder="1" applyProtection="1">
      <alignment vertical="center"/>
      <protection locked="0"/>
    </xf>
    <xf numFmtId="0" fontId="7" fillId="10" borderId="1" xfId="0" applyFont="1" applyFill="1" applyBorder="1" applyAlignment="1" applyProtection="1">
      <alignment horizontal="left" vertical="center" wrapText="1"/>
    </xf>
    <xf numFmtId="0" fontId="14" fillId="0" borderId="0" xfId="0" applyFont="1" applyFill="1" applyBorder="1" applyProtection="1">
      <alignment vertical="center"/>
    </xf>
    <xf numFmtId="0" fontId="46" fillId="0" borderId="0" xfId="13"/>
    <xf numFmtId="0" fontId="47" fillId="0" borderId="0" xfId="13" applyFont="1"/>
    <xf numFmtId="0" fontId="46" fillId="0" borderId="19" xfId="13" applyBorder="1" applyAlignment="1">
      <alignment horizontal="center" vertical="center"/>
    </xf>
    <xf numFmtId="9" fontId="46" fillId="0" borderId="20" xfId="13" applyNumberFormat="1" applyBorder="1" applyAlignment="1">
      <alignment horizontal="center" vertical="center"/>
    </xf>
    <xf numFmtId="1" fontId="47" fillId="0" borderId="21" xfId="13" applyNumberFormat="1" applyFont="1" applyBorder="1" applyAlignment="1">
      <alignment horizontal="center" vertical="center"/>
    </xf>
    <xf numFmtId="1" fontId="47" fillId="20" borderId="19" xfId="13" applyNumberFormat="1" applyFont="1" applyFill="1" applyBorder="1" applyAlignment="1">
      <alignment horizontal="center" vertical="center"/>
    </xf>
    <xf numFmtId="1" fontId="47" fillId="20" borderId="22" xfId="13" applyNumberFormat="1" applyFont="1" applyFill="1" applyBorder="1" applyAlignment="1">
      <alignment horizontal="center" vertical="center"/>
    </xf>
    <xf numFmtId="1" fontId="47" fillId="20" borderId="20" xfId="13" applyNumberFormat="1" applyFont="1" applyFill="1" applyBorder="1" applyAlignment="1">
      <alignment horizontal="center" vertical="center"/>
    </xf>
    <xf numFmtId="1" fontId="47" fillId="20" borderId="23" xfId="13" applyNumberFormat="1" applyFont="1" applyFill="1" applyBorder="1" applyAlignment="1">
      <alignment horizontal="center" vertical="center"/>
    </xf>
    <xf numFmtId="0" fontId="47" fillId="0" borderId="19" xfId="13" applyFont="1" applyBorder="1"/>
    <xf numFmtId="0" fontId="47" fillId="0" borderId="20" xfId="13" applyFont="1" applyBorder="1"/>
    <xf numFmtId="0" fontId="46" fillId="0" borderId="24" xfId="13" applyBorder="1" applyAlignment="1">
      <alignment horizontal="center" vertical="center"/>
    </xf>
    <xf numFmtId="9" fontId="46" fillId="0" borderId="25" xfId="13" applyNumberFormat="1" applyBorder="1" applyAlignment="1">
      <alignment horizontal="center" vertical="center"/>
    </xf>
    <xf numFmtId="1" fontId="47" fillId="0" borderId="26" xfId="13" applyNumberFormat="1" applyFont="1" applyBorder="1" applyAlignment="1">
      <alignment horizontal="center" vertical="center"/>
    </xf>
    <xf numFmtId="1" fontId="47" fillId="20" borderId="24" xfId="13" applyNumberFormat="1" applyFont="1" applyFill="1" applyBorder="1" applyAlignment="1">
      <alignment horizontal="center" vertical="center"/>
    </xf>
    <xf numFmtId="1" fontId="47" fillId="20" borderId="27" xfId="13" applyNumberFormat="1" applyFont="1" applyFill="1" applyBorder="1" applyAlignment="1">
      <alignment horizontal="center" vertical="center"/>
    </xf>
    <xf numFmtId="1" fontId="47" fillId="20" borderId="25" xfId="13" applyNumberFormat="1" applyFont="1" applyFill="1" applyBorder="1" applyAlignment="1">
      <alignment horizontal="center" vertical="center"/>
    </xf>
    <xf numFmtId="1" fontId="47" fillId="20" borderId="28" xfId="13" applyNumberFormat="1" applyFont="1" applyFill="1" applyBorder="1" applyAlignment="1">
      <alignment horizontal="center" vertical="center"/>
    </xf>
    <xf numFmtId="0" fontId="47" fillId="0" borderId="24" xfId="13" applyFont="1" applyBorder="1"/>
    <xf numFmtId="0" fontId="47" fillId="0" borderId="25" xfId="13" applyFont="1" applyBorder="1"/>
    <xf numFmtId="1" fontId="47" fillId="20" borderId="29" xfId="13" applyNumberFormat="1" applyFont="1" applyFill="1" applyBorder="1" applyAlignment="1">
      <alignment horizontal="center" vertical="center"/>
    </xf>
    <xf numFmtId="1" fontId="47" fillId="20" borderId="30" xfId="13" applyNumberFormat="1" applyFont="1" applyFill="1" applyBorder="1" applyAlignment="1">
      <alignment horizontal="center" vertical="center"/>
    </xf>
    <xf numFmtId="1" fontId="47" fillId="20" borderId="31" xfId="13" applyNumberFormat="1" applyFont="1" applyFill="1" applyBorder="1" applyAlignment="1">
      <alignment horizontal="center" vertical="center"/>
    </xf>
    <xf numFmtId="1" fontId="47" fillId="0" borderId="32" xfId="13" applyNumberFormat="1" applyFont="1" applyBorder="1" applyAlignment="1">
      <alignment horizontal="center" vertical="center"/>
    </xf>
    <xf numFmtId="1" fontId="47" fillId="20" borderId="33" xfId="13" applyNumberFormat="1" applyFont="1" applyFill="1" applyBorder="1" applyAlignment="1">
      <alignment horizontal="center" vertical="center"/>
    </xf>
    <xf numFmtId="0" fontId="47" fillId="0" borderId="29" xfId="13" applyFont="1" applyBorder="1"/>
    <xf numFmtId="0" fontId="47" fillId="0" borderId="31" xfId="13" applyFont="1" applyBorder="1"/>
    <xf numFmtId="0" fontId="46" fillId="0" borderId="0" xfId="13" applyAlignment="1">
      <alignment vertical="center"/>
    </xf>
    <xf numFmtId="0" fontId="48" fillId="20" borderId="37" xfId="13" applyFont="1" applyFill="1" applyBorder="1" applyAlignment="1">
      <alignment horizontal="center" vertical="center"/>
    </xf>
    <xf numFmtId="0" fontId="48" fillId="20" borderId="38" xfId="13" applyFont="1" applyFill="1" applyBorder="1" applyAlignment="1">
      <alignment horizontal="center" vertical="center"/>
    </xf>
    <xf numFmtId="0" fontId="48" fillId="20" borderId="39" xfId="13" applyFont="1" applyFill="1" applyBorder="1" applyAlignment="1">
      <alignment horizontal="center" vertical="center"/>
    </xf>
    <xf numFmtId="0" fontId="46" fillId="0" borderId="0" xfId="13" applyAlignment="1">
      <alignment horizontal="center" vertical="center"/>
    </xf>
    <xf numFmtId="1" fontId="47" fillId="0" borderId="0" xfId="13" applyNumberFormat="1" applyFont="1"/>
    <xf numFmtId="0" fontId="48" fillId="0" borderId="0" xfId="13" applyFont="1"/>
    <xf numFmtId="9" fontId="46" fillId="0" borderId="0" xfId="13" applyNumberFormat="1" applyAlignment="1">
      <alignment horizontal="center" vertical="center"/>
    </xf>
    <xf numFmtId="1" fontId="47" fillId="0" borderId="0" xfId="13" applyNumberFormat="1" applyFont="1" applyAlignment="1">
      <alignment horizontal="center" vertical="center"/>
    </xf>
    <xf numFmtId="9" fontId="46" fillId="0" borderId="43" xfId="13" applyNumberFormat="1" applyBorder="1" applyAlignment="1">
      <alignment horizontal="center" vertical="center"/>
    </xf>
    <xf numFmtId="0" fontId="46" fillId="0" borderId="44" xfId="13" applyBorder="1" applyAlignment="1">
      <alignment horizontal="center" vertical="center"/>
    </xf>
    <xf numFmtId="0" fontId="46" fillId="0" borderId="29" xfId="13" applyBorder="1" applyAlignment="1">
      <alignment horizontal="center" vertical="center"/>
    </xf>
    <xf numFmtId="9" fontId="46" fillId="0" borderId="45" xfId="13" applyNumberFormat="1" applyBorder="1" applyAlignment="1">
      <alignment horizontal="center" vertical="center"/>
    </xf>
    <xf numFmtId="0" fontId="47" fillId="0" borderId="46" xfId="13" applyFont="1" applyBorder="1"/>
    <xf numFmtId="0" fontId="47" fillId="0" borderId="43" xfId="13" applyFont="1" applyBorder="1"/>
    <xf numFmtId="0" fontId="46" fillId="0" borderId="0" xfId="13" applyAlignment="1">
      <alignment horizontal="center"/>
    </xf>
    <xf numFmtId="9" fontId="46" fillId="0" borderId="0" xfId="13" applyNumberFormat="1" applyAlignment="1">
      <alignment horizontal="center"/>
    </xf>
    <xf numFmtId="168" fontId="46" fillId="0" borderId="0" xfId="14" applyNumberFormat="1" applyAlignment="1">
      <alignment horizontal="center"/>
    </xf>
    <xf numFmtId="168" fontId="46" fillId="0" borderId="0" xfId="14" applyNumberFormat="1" applyFill="1" applyAlignment="1">
      <alignment horizontal="center"/>
    </xf>
    <xf numFmtId="0" fontId="46" fillId="0" borderId="37" xfId="13" applyBorder="1" applyAlignment="1">
      <alignment horizontal="center"/>
    </xf>
    <xf numFmtId="9" fontId="46" fillId="0" borderId="38" xfId="13" applyNumberFormat="1" applyBorder="1" applyAlignment="1">
      <alignment horizontal="center"/>
    </xf>
    <xf numFmtId="168" fontId="46" fillId="0" borderId="47" xfId="14" applyNumberFormat="1" applyBorder="1" applyAlignment="1">
      <alignment horizontal="center"/>
    </xf>
    <xf numFmtId="168" fontId="46" fillId="20" borderId="37" xfId="14" applyNumberFormat="1" applyFill="1" applyBorder="1" applyAlignment="1">
      <alignment horizontal="center"/>
    </xf>
    <xf numFmtId="168" fontId="46" fillId="20" borderId="38" xfId="14" applyNumberFormat="1" applyFill="1" applyBorder="1" applyAlignment="1">
      <alignment horizontal="center"/>
    </xf>
    <xf numFmtId="168" fontId="46" fillId="20" borderId="39" xfId="14" applyNumberFormat="1" applyFill="1" applyBorder="1" applyAlignment="1">
      <alignment horizontal="center"/>
    </xf>
    <xf numFmtId="168" fontId="46" fillId="0" borderId="37" xfId="14" applyNumberFormat="1" applyBorder="1" applyAlignment="1">
      <alignment horizontal="center"/>
    </xf>
    <xf numFmtId="0" fontId="46" fillId="0" borderId="48" xfId="13" applyBorder="1"/>
    <xf numFmtId="0" fontId="46" fillId="0" borderId="35" xfId="13" applyBorder="1"/>
    <xf numFmtId="0" fontId="49" fillId="0" borderId="0" xfId="13" applyFont="1"/>
    <xf numFmtId="0" fontId="50" fillId="0" borderId="0" xfId="13" applyFont="1"/>
    <xf numFmtId="0" fontId="51" fillId="0" borderId="0" xfId="13" applyFont="1"/>
    <xf numFmtId="0" fontId="52" fillId="0" borderId="0" xfId="13" applyFont="1"/>
    <xf numFmtId="0" fontId="28" fillId="21" borderId="1" xfId="0" applyFont="1" applyFill="1" applyBorder="1" applyAlignment="1" applyProtection="1">
      <alignment vertical="center" wrapText="1"/>
    </xf>
    <xf numFmtId="0" fontId="35" fillId="21" borderId="1" xfId="0" applyFont="1" applyFill="1" applyBorder="1" applyAlignment="1" applyProtection="1">
      <alignment vertical="center" wrapText="1"/>
    </xf>
    <xf numFmtId="0" fontId="34" fillId="21" borderId="1" xfId="0" applyFont="1" applyFill="1" applyBorder="1" applyAlignment="1" applyProtection="1">
      <alignment vertical="center" wrapText="1"/>
    </xf>
    <xf numFmtId="164" fontId="14" fillId="21" borderId="1" xfId="0" applyNumberFormat="1" applyFont="1" applyFill="1" applyBorder="1">
      <alignment vertical="center"/>
    </xf>
    <xf numFmtId="1" fontId="14" fillId="21" borderId="1" xfId="0" applyNumberFormat="1" applyFont="1" applyFill="1" applyBorder="1">
      <alignment vertical="center"/>
    </xf>
    <xf numFmtId="1" fontId="14" fillId="21" borderId="1" xfId="0" applyNumberFormat="1" applyFont="1" applyFill="1" applyBorder="1" applyAlignment="1">
      <alignment horizontal="right" vertical="center"/>
    </xf>
    <xf numFmtId="164" fontId="34" fillId="21" borderId="1" xfId="0" applyNumberFormat="1" applyFont="1" applyFill="1" applyBorder="1">
      <alignment vertical="center"/>
    </xf>
    <xf numFmtId="164" fontId="0" fillId="21" borderId="1" xfId="0" applyNumberFormat="1" applyFill="1" applyBorder="1">
      <alignment vertical="center"/>
    </xf>
    <xf numFmtId="1" fontId="0" fillId="21" borderId="1" xfId="0" applyNumberFormat="1" applyFill="1" applyBorder="1">
      <alignment vertical="center"/>
    </xf>
    <xf numFmtId="1" fontId="0" fillId="21" borderId="1" xfId="0" applyNumberFormat="1" applyFill="1" applyBorder="1" applyAlignment="1">
      <alignment horizontal="right" vertical="center"/>
    </xf>
    <xf numFmtId="14" fontId="14" fillId="21" borderId="1" xfId="0" applyNumberFormat="1" applyFont="1" applyFill="1" applyBorder="1">
      <alignment vertical="center"/>
    </xf>
    <xf numFmtId="0" fontId="34" fillId="10" borderId="1" xfId="0" applyFont="1" applyFill="1" applyBorder="1" applyAlignment="1" applyProtection="1">
      <alignment vertical="center" wrapText="1"/>
    </xf>
    <xf numFmtId="1" fontId="14" fillId="10" borderId="1" xfId="0" applyNumberFormat="1" applyFont="1" applyFill="1" applyBorder="1">
      <alignment vertical="center"/>
    </xf>
    <xf numFmtId="2" fontId="14" fillId="10" borderId="1" xfId="0" applyNumberFormat="1" applyFont="1" applyFill="1" applyBorder="1">
      <alignment vertical="center"/>
    </xf>
    <xf numFmtId="1" fontId="7" fillId="10" borderId="1" xfId="0" applyNumberFormat="1" applyFont="1" applyFill="1" applyBorder="1">
      <alignment vertical="center"/>
    </xf>
    <xf numFmtId="0" fontId="7" fillId="10" borderId="1" xfId="0" applyFont="1" applyFill="1" applyBorder="1">
      <alignment vertical="center"/>
    </xf>
    <xf numFmtId="14" fontId="25" fillId="10" borderId="1" xfId="0" applyNumberFormat="1" applyFont="1" applyFill="1" applyBorder="1" applyAlignment="1">
      <alignment vertical="center" wrapText="1"/>
    </xf>
    <xf numFmtId="14" fontId="14" fillId="10" borderId="1" xfId="0" applyNumberFormat="1" applyFont="1" applyFill="1" applyBorder="1">
      <alignment vertical="center"/>
    </xf>
    <xf numFmtId="14" fontId="25" fillId="10" borderId="1" xfId="0" applyNumberFormat="1" applyFont="1" applyFill="1" applyBorder="1" applyAlignment="1">
      <alignment wrapText="1"/>
    </xf>
    <xf numFmtId="14" fontId="25" fillId="10" borderId="1" xfId="0" applyNumberFormat="1" applyFont="1" applyFill="1" applyBorder="1" applyAlignment="1"/>
    <xf numFmtId="0" fontId="34" fillId="6" borderId="1" xfId="0" applyFont="1" applyFill="1" applyBorder="1" applyAlignment="1" applyProtection="1">
      <alignment vertical="center" wrapText="1"/>
    </xf>
    <xf numFmtId="1" fontId="14" fillId="19" borderId="1" xfId="0" applyNumberFormat="1" applyFont="1" applyFill="1" applyBorder="1">
      <alignment vertical="center"/>
    </xf>
    <xf numFmtId="1" fontId="14" fillId="6" borderId="16" xfId="0" applyNumberFormat="1" applyFont="1" applyFill="1" applyBorder="1">
      <alignment vertical="center"/>
    </xf>
    <xf numFmtId="9" fontId="7" fillId="0" borderId="3" xfId="1" applyFont="1" applyFill="1" applyBorder="1">
      <alignment vertical="center"/>
    </xf>
    <xf numFmtId="0" fontId="7" fillId="0" borderId="3" xfId="0" applyFont="1" applyFill="1" applyBorder="1">
      <alignment vertical="center"/>
    </xf>
    <xf numFmtId="0" fontId="28" fillId="0" borderId="3" xfId="0" applyFont="1" applyFill="1" applyBorder="1" applyProtection="1">
      <alignment vertical="center"/>
    </xf>
    <xf numFmtId="0" fontId="28" fillId="19" borderId="1" xfId="0" applyFont="1" applyFill="1" applyBorder="1" applyAlignment="1" applyProtection="1">
      <alignment vertical="center" wrapText="1"/>
    </xf>
    <xf numFmtId="0" fontId="7" fillId="17" borderId="1" xfId="0" applyFont="1" applyFill="1" applyBorder="1" applyAlignment="1" applyProtection="1">
      <alignment vertical="center" wrapText="1"/>
    </xf>
    <xf numFmtId="0" fontId="7" fillId="6" borderId="1" xfId="0" applyFont="1" applyFill="1" applyBorder="1" applyAlignment="1" applyProtection="1">
      <alignment vertical="center" wrapText="1"/>
    </xf>
    <xf numFmtId="0" fontId="25" fillId="22" borderId="1" xfId="0" applyFont="1" applyFill="1" applyBorder="1">
      <alignment vertical="center"/>
    </xf>
    <xf numFmtId="0" fontId="14" fillId="22" borderId="1" xfId="0" applyFont="1" applyFill="1" applyBorder="1">
      <alignment vertical="center"/>
    </xf>
    <xf numFmtId="0" fontId="14" fillId="6" borderId="1" xfId="0" applyFont="1" applyFill="1" applyBorder="1">
      <alignment vertical="center"/>
    </xf>
    <xf numFmtId="0" fontId="13" fillId="15" borderId="1" xfId="0" applyFont="1" applyFill="1" applyBorder="1" applyProtection="1">
      <alignment vertical="center"/>
      <protection locked="0"/>
    </xf>
    <xf numFmtId="0" fontId="40" fillId="0" borderId="0" xfId="0" applyFont="1" applyProtection="1">
      <alignment vertical="center"/>
    </xf>
    <xf numFmtId="0" fontId="7" fillId="0" borderId="0" xfId="0" applyFont="1" applyAlignment="1">
      <alignment vertical="center" wrapText="1"/>
    </xf>
    <xf numFmtId="0" fontId="13" fillId="15" borderId="1" xfId="0" applyFont="1" applyFill="1" applyBorder="1" applyProtection="1">
      <alignment vertical="center"/>
    </xf>
    <xf numFmtId="0" fontId="28" fillId="0" borderId="53" xfId="0" applyFont="1" applyFill="1" applyBorder="1" applyProtection="1">
      <alignment vertical="center"/>
    </xf>
    <xf numFmtId="0" fontId="7" fillId="0" borderId="53" xfId="0" applyFont="1" applyFill="1" applyBorder="1">
      <alignment vertical="center"/>
    </xf>
    <xf numFmtId="0" fontId="15" fillId="0" borderId="3" xfId="0" applyFont="1" applyBorder="1">
      <alignment vertical="center"/>
    </xf>
    <xf numFmtId="0" fontId="6" fillId="19" borderId="1" xfId="0" applyFont="1" applyFill="1" applyBorder="1" applyAlignment="1" applyProtection="1">
      <alignment vertical="center" wrapText="1"/>
    </xf>
    <xf numFmtId="0" fontId="7" fillId="6" borderId="16" xfId="0" applyFont="1" applyFill="1" applyBorder="1" applyAlignment="1" applyProtection="1">
      <alignment vertical="center" wrapText="1"/>
    </xf>
    <xf numFmtId="0" fontId="28" fillId="0" borderId="54" xfId="0" applyFont="1" applyFill="1" applyBorder="1" applyProtection="1">
      <alignment vertical="center"/>
    </xf>
    <xf numFmtId="9" fontId="7" fillId="0" borderId="54" xfId="1" applyFont="1" applyFill="1" applyBorder="1">
      <alignment vertical="center"/>
    </xf>
    <xf numFmtId="0" fontId="6" fillId="6" borderId="1" xfId="0" applyFont="1" applyFill="1" applyBorder="1" applyAlignment="1" applyProtection="1">
      <alignment vertical="center" wrapText="1"/>
    </xf>
    <xf numFmtId="10" fontId="15" fillId="0" borderId="3" xfId="0" applyNumberFormat="1" applyFont="1" applyBorder="1">
      <alignment vertical="center"/>
    </xf>
    <xf numFmtId="0" fontId="28" fillId="0" borderId="0" xfId="0" applyFont="1" applyFill="1" applyAlignment="1" applyProtection="1">
      <alignment vertical="center" wrapText="1"/>
      <protection locked="0"/>
    </xf>
    <xf numFmtId="0" fontId="6" fillId="0" borderId="0" xfId="0" applyFont="1" applyAlignment="1" applyProtection="1">
      <alignment vertical="center" wrapText="1"/>
    </xf>
    <xf numFmtId="0" fontId="13" fillId="0" borderId="0" xfId="0" applyFont="1" applyAlignment="1" applyProtection="1">
      <alignment vertical="center" wrapText="1"/>
    </xf>
    <xf numFmtId="0" fontId="55" fillId="0" borderId="0" xfId="0" applyFont="1" applyProtection="1">
      <alignment vertical="center"/>
    </xf>
    <xf numFmtId="0" fontId="54" fillId="0" borderId="0" xfId="0" applyFont="1" applyProtection="1">
      <alignment vertical="center"/>
    </xf>
    <xf numFmtId="0" fontId="54" fillId="0" borderId="0" xfId="0" applyFont="1" applyAlignment="1" applyProtection="1">
      <alignment vertical="center"/>
    </xf>
    <xf numFmtId="0" fontId="54" fillId="3" borderId="0" xfId="0" applyFont="1" applyFill="1" applyAlignment="1" applyProtection="1">
      <alignment vertical="center" wrapText="1"/>
    </xf>
    <xf numFmtId="169" fontId="54" fillId="23" borderId="17" xfId="0" applyNumberFormat="1" applyFont="1" applyFill="1" applyBorder="1" applyProtection="1">
      <alignment vertical="center"/>
    </xf>
    <xf numFmtId="0" fontId="54" fillId="23" borderId="17" xfId="0" applyFont="1" applyFill="1" applyBorder="1" applyProtection="1">
      <alignment vertical="center"/>
    </xf>
    <xf numFmtId="0" fontId="6" fillId="3" borderId="0" xfId="0" applyFont="1" applyFill="1" applyAlignment="1" applyProtection="1">
      <alignment vertical="center" wrapText="1"/>
    </xf>
    <xf numFmtId="169" fontId="12" fillId="23" borderId="17" xfId="0" applyNumberFormat="1" applyFont="1" applyFill="1" applyBorder="1" applyProtection="1">
      <alignment vertical="center"/>
    </xf>
    <xf numFmtId="169" fontId="6" fillId="3" borderId="0" xfId="0" applyNumberFormat="1" applyFont="1" applyFill="1" applyProtection="1">
      <alignment vertical="center"/>
    </xf>
    <xf numFmtId="10" fontId="12" fillId="23" borderId="17" xfId="0" applyNumberFormat="1" applyFont="1" applyFill="1" applyBorder="1" applyProtection="1">
      <alignment vertical="center"/>
    </xf>
    <xf numFmtId="169" fontId="54" fillId="3" borderId="0" xfId="0" applyNumberFormat="1" applyFont="1" applyFill="1" applyProtection="1">
      <alignment vertical="center"/>
    </xf>
    <xf numFmtId="2" fontId="54" fillId="3" borderId="0" xfId="0" applyNumberFormat="1" applyFont="1" applyFill="1" applyProtection="1">
      <alignment vertical="center"/>
    </xf>
    <xf numFmtId="169" fontId="13" fillId="3" borderId="0" xfId="0" applyNumberFormat="1" applyFont="1" applyFill="1" applyProtection="1">
      <alignment vertical="center"/>
    </xf>
    <xf numFmtId="2" fontId="13" fillId="3" borderId="0" xfId="0" applyNumberFormat="1" applyFont="1" applyFill="1" applyProtection="1">
      <alignment vertical="center"/>
    </xf>
    <xf numFmtId="2" fontId="6" fillId="3" borderId="0" xfId="0" applyNumberFormat="1" applyFont="1" applyFill="1" applyProtection="1">
      <alignment vertical="center"/>
    </xf>
    <xf numFmtId="166" fontId="13" fillId="3" borderId="0" xfId="0" applyNumberFormat="1" applyFont="1" applyFill="1" applyProtection="1">
      <alignment vertical="center"/>
    </xf>
    <xf numFmtId="0" fontId="12" fillId="3" borderId="0" xfId="0" applyFont="1" applyFill="1" applyProtection="1">
      <alignment vertical="center"/>
    </xf>
    <xf numFmtId="0" fontId="7" fillId="3" borderId="0" xfId="0" applyFont="1" applyFill="1" applyProtection="1">
      <alignment vertical="center"/>
    </xf>
    <xf numFmtId="0" fontId="6" fillId="0" borderId="0" xfId="0" applyFont="1" applyAlignment="1">
      <alignment vertical="center" wrapText="1"/>
    </xf>
    <xf numFmtId="0" fontId="6" fillId="0" borderId="0" xfId="0" applyFont="1">
      <alignment vertical="center"/>
    </xf>
    <xf numFmtId="0" fontId="30" fillId="0" borderId="0" xfId="11" applyFont="1">
      <alignment vertical="center"/>
    </xf>
    <xf numFmtId="164" fontId="7" fillId="17" borderId="1" xfId="0" applyNumberFormat="1" applyFont="1" applyFill="1" applyBorder="1" applyProtection="1">
      <alignment vertical="center"/>
    </xf>
    <xf numFmtId="164" fontId="10" fillId="17" borderId="1" xfId="0" applyNumberFormat="1" applyFont="1" applyFill="1" applyBorder="1" applyProtection="1">
      <alignment vertical="center"/>
    </xf>
    <xf numFmtId="0" fontId="14" fillId="17" borderId="1" xfId="0" applyFont="1" applyFill="1" applyBorder="1" applyProtection="1">
      <alignment vertical="center"/>
    </xf>
    <xf numFmtId="1" fontId="14" fillId="17" borderId="3" xfId="0" applyNumberFormat="1" applyFont="1" applyFill="1" applyBorder="1" applyProtection="1">
      <alignment vertical="center"/>
    </xf>
    <xf numFmtId="0" fontId="14" fillId="0" borderId="0" xfId="0" applyFont="1" applyFill="1" applyBorder="1" applyProtection="1">
      <alignment vertical="center"/>
      <protection locked="0"/>
    </xf>
    <xf numFmtId="1" fontId="9" fillId="5" borderId="55" xfId="0" applyNumberFormat="1" applyFont="1" applyFill="1" applyBorder="1" applyAlignment="1" applyProtection="1">
      <alignment horizontal="center" vertical="center"/>
    </xf>
    <xf numFmtId="0" fontId="9" fillId="5" borderId="14" xfId="0" applyFont="1" applyFill="1" applyBorder="1" applyAlignment="1" applyProtection="1">
      <alignment horizontal="left" vertical="center" wrapText="1"/>
    </xf>
    <xf numFmtId="0" fontId="14" fillId="5" borderId="15" xfId="0" applyFont="1" applyFill="1" applyBorder="1" applyAlignment="1" applyProtection="1">
      <alignment vertical="center" wrapText="1"/>
    </xf>
    <xf numFmtId="0" fontId="14" fillId="10" borderId="15" xfId="0" applyFont="1" applyFill="1" applyBorder="1" applyAlignment="1" applyProtection="1">
      <alignment vertical="center" wrapText="1"/>
    </xf>
    <xf numFmtId="0" fontId="8" fillId="10" borderId="15" xfId="0" applyFont="1" applyFill="1" applyBorder="1" applyAlignment="1" applyProtection="1">
      <alignment vertical="center" wrapText="1"/>
    </xf>
    <xf numFmtId="0" fontId="8" fillId="10" borderId="15" xfId="0" applyFont="1" applyFill="1" applyBorder="1" applyAlignment="1" applyProtection="1">
      <alignment horizontal="left" vertical="center" wrapText="1"/>
    </xf>
    <xf numFmtId="0" fontId="7" fillId="10" borderId="15" xfId="0" applyFont="1" applyFill="1" applyBorder="1" applyAlignment="1" applyProtection="1">
      <alignment horizontal="left" vertical="center" wrapText="1"/>
    </xf>
    <xf numFmtId="1" fontId="14" fillId="24" borderId="3" xfId="0" applyNumberFormat="1" applyFont="1" applyFill="1" applyBorder="1" applyProtection="1">
      <alignment vertical="center"/>
    </xf>
    <xf numFmtId="2" fontId="13" fillId="15" borderId="0" xfId="0" applyNumberFormat="1" applyFont="1" applyFill="1" applyProtection="1">
      <alignment vertical="center"/>
    </xf>
    <xf numFmtId="0" fontId="6" fillId="15" borderId="0" xfId="0" applyFont="1" applyFill="1" applyAlignment="1" applyProtection="1">
      <alignment vertical="center" wrapText="1"/>
    </xf>
    <xf numFmtId="2" fontId="6" fillId="15" borderId="0" xfId="0" applyNumberFormat="1" applyFont="1" applyFill="1" applyProtection="1">
      <alignment vertical="center"/>
    </xf>
    <xf numFmtId="9" fontId="13" fillId="15" borderId="0" xfId="0" applyNumberFormat="1" applyFont="1" applyFill="1" applyProtection="1">
      <alignment vertical="center"/>
    </xf>
    <xf numFmtId="9" fontId="6" fillId="15" borderId="0" xfId="0" applyNumberFormat="1" applyFont="1" applyFill="1" applyProtection="1">
      <alignment vertical="center"/>
    </xf>
    <xf numFmtId="0" fontId="28" fillId="0" borderId="56" xfId="0" applyFont="1" applyBorder="1" applyAlignment="1" applyProtection="1">
      <alignment horizontal="center" vertical="center" wrapText="1"/>
    </xf>
    <xf numFmtId="0" fontId="56" fillId="0" borderId="0" xfId="0" applyFont="1" applyAlignment="1" applyProtection="1">
      <alignment vertical="center" wrapText="1"/>
    </xf>
    <xf numFmtId="0" fontId="57" fillId="15" borderId="0" xfId="0" applyFont="1" applyFill="1" applyAlignment="1" applyProtection="1">
      <alignment vertical="center" wrapText="1"/>
    </xf>
    <xf numFmtId="9" fontId="58" fillId="15" borderId="0" xfId="0" applyNumberFormat="1" applyFont="1" applyFill="1" applyProtection="1">
      <alignment vertical="center"/>
    </xf>
    <xf numFmtId="2" fontId="58" fillId="15" borderId="0" xfId="0" applyNumberFormat="1" applyFont="1" applyFill="1" applyProtection="1">
      <alignment vertical="center"/>
    </xf>
    <xf numFmtId="0" fontId="5" fillId="0" borderId="0" xfId="0" applyFont="1" applyAlignment="1">
      <alignment vertical="center" wrapText="1"/>
    </xf>
    <xf numFmtId="164" fontId="7" fillId="4" borderId="1" xfId="0" applyNumberFormat="1" applyFont="1" applyFill="1" applyBorder="1" applyAlignment="1" applyProtection="1">
      <alignment horizontal="right" vertical="center"/>
      <protection locked="0"/>
    </xf>
    <xf numFmtId="164" fontId="12" fillId="4" borderId="1" xfId="0" applyNumberFormat="1" applyFont="1" applyFill="1" applyBorder="1" applyAlignment="1" applyProtection="1">
      <alignment horizontal="right" vertical="center"/>
      <protection locked="0"/>
    </xf>
    <xf numFmtId="0" fontId="10" fillId="4" borderId="1" xfId="0" applyFont="1" applyFill="1" applyBorder="1" applyProtection="1">
      <alignment vertical="center"/>
      <protection locked="0"/>
    </xf>
    <xf numFmtId="14" fontId="0" fillId="4" borderId="1" xfId="0" applyNumberFormat="1" applyFill="1" applyBorder="1" applyProtection="1">
      <alignment vertical="center"/>
      <protection locked="0"/>
    </xf>
    <xf numFmtId="0" fontId="0" fillId="4" borderId="1" xfId="0" applyFill="1" applyBorder="1" applyProtection="1">
      <alignment vertical="center"/>
      <protection locked="0"/>
    </xf>
    <xf numFmtId="0" fontId="0" fillId="16" borderId="17" xfId="0" applyFill="1" applyBorder="1" applyAlignment="1"/>
    <xf numFmtId="0" fontId="4" fillId="0" borderId="0" xfId="0" applyFont="1" applyAlignment="1"/>
    <xf numFmtId="0" fontId="15" fillId="0" borderId="0" xfId="0" applyFont="1" applyFill="1" applyBorder="1" applyProtection="1">
      <alignment vertical="center"/>
    </xf>
    <xf numFmtId="4" fontId="0" fillId="16" borderId="17" xfId="0" applyNumberFormat="1" applyFill="1" applyBorder="1" applyAlignment="1">
      <alignment horizontal="center"/>
    </xf>
    <xf numFmtId="4" fontId="0" fillId="16" borderId="60" xfId="0" applyNumberFormat="1" applyFill="1" applyBorder="1" applyAlignment="1">
      <alignment horizontal="center"/>
    </xf>
    <xf numFmtId="4" fontId="44" fillId="16" borderId="17" xfId="0" applyNumberFormat="1" applyFont="1" applyFill="1" applyBorder="1" applyAlignment="1">
      <alignment horizontal="center"/>
    </xf>
    <xf numFmtId="4" fontId="44" fillId="0" borderId="0" xfId="0" applyNumberFormat="1" applyFont="1" applyFill="1" applyAlignment="1">
      <alignment horizontal="center"/>
    </xf>
    <xf numFmtId="2" fontId="0" fillId="0" borderId="0" xfId="0" applyNumberFormat="1" applyFill="1" applyAlignment="1">
      <alignment horizontal="center"/>
    </xf>
    <xf numFmtId="4" fontId="44" fillId="16" borderId="0" xfId="0" applyNumberFormat="1" applyFont="1" applyFill="1" applyAlignment="1">
      <alignment horizontal="center"/>
    </xf>
    <xf numFmtId="2" fontId="0" fillId="16" borderId="0" xfId="0" applyNumberFormat="1" applyFill="1" applyAlignment="1">
      <alignment horizontal="center"/>
    </xf>
    <xf numFmtId="4" fontId="45" fillId="16" borderId="0" xfId="0" applyNumberFormat="1" applyFont="1" applyFill="1" applyAlignment="1">
      <alignment horizontal="center"/>
    </xf>
    <xf numFmtId="2" fontId="45" fillId="16" borderId="0" xfId="0" applyNumberFormat="1" applyFont="1" applyFill="1" applyAlignment="1">
      <alignment horizontal="center"/>
    </xf>
    <xf numFmtId="4" fontId="44" fillId="16" borderId="61" xfId="0" applyNumberFormat="1" applyFont="1" applyFill="1" applyBorder="1" applyAlignment="1">
      <alignment horizontal="center"/>
    </xf>
    <xf numFmtId="4" fontId="0" fillId="16" borderId="61" xfId="0" applyNumberFormat="1" applyFill="1" applyBorder="1" applyAlignment="1">
      <alignment horizontal="center"/>
    </xf>
    <xf numFmtId="4" fontId="0" fillId="16" borderId="62" xfId="0" applyNumberFormat="1" applyFill="1" applyBorder="1" applyAlignment="1">
      <alignment horizontal="center"/>
    </xf>
    <xf numFmtId="165" fontId="25" fillId="0" borderId="0" xfId="0" applyNumberFormat="1" applyFont="1" applyAlignment="1">
      <alignment horizontal="center" vertical="center"/>
    </xf>
    <xf numFmtId="0" fontId="15" fillId="0" borderId="0" xfId="0" applyFont="1" applyAlignment="1">
      <alignment horizontal="center" vertical="center"/>
    </xf>
    <xf numFmtId="0" fontId="14" fillId="0" borderId="0" xfId="0" applyFont="1" applyAlignment="1">
      <alignment horizontal="center" vertical="center"/>
    </xf>
    <xf numFmtId="3" fontId="25" fillId="0" borderId="0" xfId="0" applyNumberFormat="1" applyFont="1" applyAlignment="1">
      <alignment horizontal="center" vertical="center"/>
    </xf>
    <xf numFmtId="4" fontId="44" fillId="16" borderId="18" xfId="0" applyNumberFormat="1" applyFont="1" applyFill="1" applyBorder="1" applyAlignment="1">
      <alignment horizontal="center"/>
    </xf>
    <xf numFmtId="4" fontId="0" fillId="16" borderId="18" xfId="0" applyNumberFormat="1" applyFill="1" applyBorder="1" applyAlignment="1">
      <alignment horizontal="center"/>
    </xf>
    <xf numFmtId="4" fontId="0" fillId="16" borderId="63" xfId="0" applyNumberFormat="1" applyFill="1" applyBorder="1" applyAlignment="1">
      <alignment horizontal="center"/>
    </xf>
    <xf numFmtId="0" fontId="60" fillId="0" borderId="5" xfId="0" applyFont="1" applyBorder="1" applyAlignment="1"/>
    <xf numFmtId="0" fontId="59" fillId="16" borderId="64" xfId="0" applyFont="1" applyFill="1" applyBorder="1" applyAlignment="1">
      <alignment horizontal="center"/>
    </xf>
    <xf numFmtId="0" fontId="59" fillId="16" borderId="65" xfId="0" applyFont="1" applyFill="1" applyBorder="1" applyAlignment="1">
      <alignment horizontal="center"/>
    </xf>
    <xf numFmtId="0" fontId="28" fillId="0" borderId="7" xfId="0" applyFont="1" applyBorder="1">
      <alignment vertical="center"/>
    </xf>
    <xf numFmtId="0" fontId="40" fillId="0" borderId="0" xfId="0" applyFont="1">
      <alignment vertical="center"/>
    </xf>
    <xf numFmtId="14" fontId="3" fillId="3" borderId="0" xfId="0" applyNumberFormat="1" applyFont="1" applyFill="1" applyBorder="1" applyProtection="1">
      <alignment vertical="center"/>
    </xf>
    <xf numFmtId="0" fontId="3" fillId="3" borderId="0" xfId="0" applyFont="1" applyFill="1" applyAlignment="1" applyProtection="1">
      <alignment vertical="center" wrapText="1"/>
    </xf>
    <xf numFmtId="164" fontId="42" fillId="14" borderId="18" xfId="0" applyNumberFormat="1" applyFont="1" applyFill="1" applyBorder="1" applyProtection="1">
      <alignment vertical="center"/>
    </xf>
    <xf numFmtId="164" fontId="13" fillId="0" borderId="0" xfId="0" applyNumberFormat="1" applyFont="1" applyProtection="1">
      <alignment vertical="center"/>
    </xf>
    <xf numFmtId="164" fontId="61" fillId="0" borderId="0" xfId="0" applyNumberFormat="1" applyFont="1" applyAlignment="1" applyProtection="1">
      <alignment horizontal="right" vertical="center"/>
      <protection locked="0"/>
    </xf>
    <xf numFmtId="164" fontId="61" fillId="0" borderId="0" xfId="0" applyNumberFormat="1" applyFont="1" applyAlignment="1" applyProtection="1">
      <alignment horizontal="center" vertical="center"/>
    </xf>
    <xf numFmtId="164" fontId="61" fillId="0" borderId="0" xfId="0" applyNumberFormat="1" applyFont="1" applyProtection="1">
      <alignment vertical="center"/>
    </xf>
    <xf numFmtId="0" fontId="2" fillId="0" borderId="0" xfId="0" applyFont="1">
      <alignment vertical="center"/>
    </xf>
    <xf numFmtId="0" fontId="2" fillId="0" borderId="1" xfId="0" applyFont="1" applyBorder="1" applyAlignment="1">
      <alignment horizontal="left" vertical="center"/>
    </xf>
    <xf numFmtId="0" fontId="2" fillId="0" borderId="1" xfId="0" applyFont="1" applyBorder="1">
      <alignment vertical="center"/>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16" xfId="0" applyFont="1" applyBorder="1" applyAlignment="1">
      <alignment vertical="center" wrapText="1"/>
    </xf>
    <xf numFmtId="14" fontId="2" fillId="0" borderId="7" xfId="0" applyNumberFormat="1" applyFont="1" applyBorder="1" applyAlignment="1">
      <alignment horizontal="right" vertical="center" wrapText="1"/>
    </xf>
    <xf numFmtId="0" fontId="2" fillId="0" borderId="1" xfId="0" applyFont="1" applyBorder="1" applyAlignment="1">
      <alignment horizontal="right" vertical="center" wrapText="1"/>
    </xf>
    <xf numFmtId="0" fontId="2" fillId="0" borderId="7" xfId="0" applyFont="1" applyBorder="1" applyAlignment="1">
      <alignment horizontal="right" vertical="center" wrapText="1"/>
    </xf>
    <xf numFmtId="17" fontId="2" fillId="0" borderId="1" xfId="0" applyNumberFormat="1" applyFont="1" applyBorder="1" applyAlignment="1">
      <alignment horizontal="right" vertical="center" wrapText="1"/>
    </xf>
    <xf numFmtId="0" fontId="2" fillId="0" borderId="1" xfId="11" applyFont="1" applyBorder="1">
      <alignment vertical="center"/>
    </xf>
    <xf numFmtId="0" fontId="62" fillId="0" borderId="1" xfId="11" applyFont="1" applyBorder="1" applyAlignment="1">
      <alignment vertical="center" wrapText="1"/>
    </xf>
    <xf numFmtId="0" fontId="30" fillId="0" borderId="1" xfId="11" applyFont="1" applyBorder="1" applyAlignment="1">
      <alignment vertical="center" wrapText="1"/>
    </xf>
    <xf numFmtId="0" fontId="30" fillId="0" borderId="1" xfId="11" applyFont="1" applyFill="1" applyBorder="1" applyAlignment="1">
      <alignment vertical="center" wrapText="1"/>
    </xf>
    <xf numFmtId="0" fontId="14" fillId="5" borderId="9" xfId="0" applyFont="1" applyFill="1" applyBorder="1" applyAlignment="1" applyProtection="1">
      <alignment horizontal="left" vertical="top" wrapText="1"/>
      <protection locked="0"/>
    </xf>
    <xf numFmtId="0" fontId="14" fillId="5" borderId="10" xfId="0" applyFont="1" applyFill="1" applyBorder="1" applyAlignment="1" applyProtection="1">
      <alignment horizontal="left" vertical="top" wrapText="1"/>
      <protection locked="0"/>
    </xf>
    <xf numFmtId="0" fontId="14" fillId="5" borderId="11" xfId="0" applyFont="1" applyFill="1" applyBorder="1" applyAlignment="1" applyProtection="1">
      <alignment horizontal="left" vertical="top" wrapText="1"/>
      <protection locked="0"/>
    </xf>
    <xf numFmtId="0" fontId="14" fillId="5" borderId="12" xfId="0" applyFont="1" applyFill="1" applyBorder="1" applyAlignment="1" applyProtection="1">
      <alignment horizontal="left" vertical="top" wrapText="1"/>
      <protection locked="0"/>
    </xf>
    <xf numFmtId="0" fontId="14" fillId="5" borderId="0" xfId="0" applyFont="1" applyFill="1" applyAlignment="1" applyProtection="1">
      <alignment horizontal="left" vertical="top" wrapText="1"/>
      <protection locked="0"/>
    </xf>
    <xf numFmtId="0" fontId="14" fillId="5" borderId="8" xfId="0" applyFont="1" applyFill="1" applyBorder="1" applyAlignment="1" applyProtection="1">
      <alignment horizontal="left" vertical="top" wrapText="1"/>
      <protection locked="0"/>
    </xf>
    <xf numFmtId="0" fontId="14" fillId="5" borderId="13" xfId="0" applyFont="1" applyFill="1" applyBorder="1" applyAlignment="1" applyProtection="1">
      <alignment horizontal="left" vertical="top" wrapText="1"/>
      <protection locked="0"/>
    </xf>
    <xf numFmtId="0" fontId="14" fillId="5" borderId="2" xfId="0" applyFont="1" applyFill="1" applyBorder="1" applyAlignment="1" applyProtection="1">
      <alignment horizontal="left" vertical="top" wrapText="1"/>
      <protection locked="0"/>
    </xf>
    <xf numFmtId="0" fontId="14" fillId="5" borderId="14" xfId="0" applyFont="1" applyFill="1" applyBorder="1" applyAlignment="1" applyProtection="1">
      <alignment horizontal="left" vertical="top" wrapText="1"/>
      <protection locked="0"/>
    </xf>
    <xf numFmtId="0" fontId="28" fillId="5" borderId="57" xfId="0" applyFont="1" applyFill="1" applyBorder="1" applyAlignment="1" applyProtection="1">
      <alignment horizontal="center" vertical="center" wrapText="1"/>
    </xf>
    <xf numFmtId="0" fontId="28" fillId="5" borderId="58" xfId="0" applyFont="1" applyFill="1" applyBorder="1" applyAlignment="1" applyProtection="1">
      <alignment horizontal="center" vertical="center" wrapText="1"/>
    </xf>
    <xf numFmtId="0" fontId="28" fillId="10" borderId="57" xfId="0" applyFont="1" applyFill="1" applyBorder="1" applyAlignment="1" applyProtection="1">
      <alignment horizontal="center" vertical="center" wrapText="1"/>
    </xf>
    <xf numFmtId="0" fontId="28" fillId="10" borderId="58" xfId="0" applyFont="1" applyFill="1" applyBorder="1" applyAlignment="1" applyProtection="1">
      <alignment horizontal="center" vertical="center" wrapText="1"/>
    </xf>
    <xf numFmtId="0" fontId="28" fillId="10" borderId="59" xfId="0" applyFont="1" applyFill="1" applyBorder="1" applyAlignment="1" applyProtection="1">
      <alignment horizontal="center" vertical="center" wrapText="1"/>
    </xf>
    <xf numFmtId="0" fontId="28" fillId="0" borderId="0" xfId="0" applyFont="1" applyAlignment="1" applyProtection="1">
      <alignment horizontal="center" vertical="center" wrapText="1"/>
    </xf>
    <xf numFmtId="0" fontId="14" fillId="5" borderId="9" xfId="0" applyFont="1" applyFill="1" applyBorder="1" applyAlignment="1" applyProtection="1">
      <alignment horizontal="left" vertical="top" wrapText="1"/>
    </xf>
    <xf numFmtId="0" fontId="14" fillId="5" borderId="10" xfId="0" applyFont="1" applyFill="1" applyBorder="1" applyAlignment="1" applyProtection="1">
      <alignment horizontal="left" vertical="top" wrapText="1"/>
    </xf>
    <xf numFmtId="0" fontId="14" fillId="5" borderId="11" xfId="0" applyFont="1" applyFill="1" applyBorder="1" applyAlignment="1" applyProtection="1">
      <alignment horizontal="left" vertical="top" wrapText="1"/>
    </xf>
    <xf numFmtId="0" fontId="14" fillId="5" borderId="12" xfId="0" applyFont="1" applyFill="1" applyBorder="1" applyAlignment="1" applyProtection="1">
      <alignment horizontal="left" vertical="top" wrapText="1"/>
    </xf>
    <xf numFmtId="0" fontId="14" fillId="5" borderId="0" xfId="0" applyFont="1" applyFill="1" applyAlignment="1" applyProtection="1">
      <alignment horizontal="left" vertical="top" wrapText="1"/>
    </xf>
    <xf numFmtId="0" fontId="14" fillId="5" borderId="8" xfId="0" applyFont="1" applyFill="1" applyBorder="1" applyAlignment="1" applyProtection="1">
      <alignment horizontal="left" vertical="top" wrapText="1"/>
    </xf>
    <xf numFmtId="0" fontId="14" fillId="5" borderId="13" xfId="0" applyFont="1" applyFill="1" applyBorder="1" applyAlignment="1" applyProtection="1">
      <alignment horizontal="left" vertical="top" wrapText="1"/>
    </xf>
    <xf numFmtId="0" fontId="14" fillId="5" borderId="2" xfId="0" applyFont="1" applyFill="1" applyBorder="1" applyAlignment="1" applyProtection="1">
      <alignment horizontal="left" vertical="top" wrapText="1"/>
    </xf>
    <xf numFmtId="0" fontId="14" fillId="5" borderId="14" xfId="0" applyFont="1" applyFill="1" applyBorder="1" applyAlignment="1" applyProtection="1">
      <alignment horizontal="left" vertical="top" wrapText="1"/>
    </xf>
    <xf numFmtId="0" fontId="48" fillId="0" borderId="36" xfId="13" applyFont="1" applyBorder="1" applyAlignment="1">
      <alignment horizontal="center" vertical="center" wrapText="1"/>
    </xf>
    <xf numFmtId="0" fontId="48" fillId="0" borderId="35" xfId="13" applyFont="1" applyBorder="1" applyAlignment="1">
      <alignment horizontal="center" vertical="center" wrapText="1"/>
    </xf>
    <xf numFmtId="0" fontId="48" fillId="0" borderId="34" xfId="13" applyFont="1" applyBorder="1" applyAlignment="1">
      <alignment horizontal="center" vertical="center" wrapText="1"/>
    </xf>
    <xf numFmtId="0" fontId="49" fillId="0" borderId="41" xfId="13" applyFont="1" applyBorder="1" applyAlignment="1">
      <alignment horizontal="center" vertical="center"/>
    </xf>
    <xf numFmtId="0" fontId="49" fillId="0" borderId="40" xfId="13" applyFont="1" applyBorder="1" applyAlignment="1">
      <alignment horizontal="center" vertical="center"/>
    </xf>
    <xf numFmtId="0" fontId="48" fillId="20" borderId="42" xfId="13" applyFont="1" applyFill="1" applyBorder="1" applyAlignment="1">
      <alignment horizontal="center" vertical="center"/>
    </xf>
    <xf numFmtId="0" fontId="1" fillId="0" borderId="0" xfId="0" applyFont="1" applyAlignment="1"/>
    <xf numFmtId="47" fontId="1" fillId="0" borderId="0" xfId="0" applyNumberFormat="1" applyFont="1" applyAlignment="1"/>
    <xf numFmtId="14" fontId="1" fillId="0" borderId="0" xfId="0" applyNumberFormat="1" applyFont="1" applyAlignment="1"/>
    <xf numFmtId="11" fontId="1" fillId="0" borderId="0" xfId="0" applyNumberFormat="1" applyFont="1" applyAlignment="1"/>
    <xf numFmtId="0" fontId="28" fillId="6" borderId="0" xfId="0" applyFont="1" applyFill="1" applyAlignment="1">
      <alignment vertical="top"/>
    </xf>
    <xf numFmtId="1" fontId="1" fillId="6" borderId="0" xfId="9" applyNumberFormat="1" applyFont="1" applyFill="1" applyAlignment="1"/>
    <xf numFmtId="1" fontId="1" fillId="10" borderId="0" xfId="9" applyNumberFormat="1" applyFont="1" applyFill="1" applyAlignment="1"/>
    <xf numFmtId="1" fontId="1" fillId="11" borderId="0" xfId="9" applyNumberFormat="1" applyFont="1" applyFill="1" applyAlignment="1"/>
    <xf numFmtId="0" fontId="63" fillId="0" borderId="41" xfId="13" applyFont="1" applyBorder="1" applyAlignment="1">
      <alignment horizontal="center" vertical="center"/>
    </xf>
    <xf numFmtId="0" fontId="63" fillId="0" borderId="40" xfId="13" applyFont="1" applyBorder="1" applyAlignment="1">
      <alignment horizontal="center" vertical="center"/>
    </xf>
    <xf numFmtId="0" fontId="64" fillId="20" borderId="42" xfId="13" applyFont="1" applyFill="1" applyBorder="1" applyAlignment="1">
      <alignment horizontal="center" vertical="center"/>
    </xf>
    <xf numFmtId="0" fontId="64" fillId="0" borderId="36" xfId="13" applyFont="1" applyBorder="1" applyAlignment="1">
      <alignment horizontal="center" vertical="center" wrapText="1"/>
    </xf>
    <xf numFmtId="0" fontId="64" fillId="0" borderId="35" xfId="13" applyFont="1" applyBorder="1" applyAlignment="1">
      <alignment horizontal="center" vertical="center" wrapText="1"/>
    </xf>
    <xf numFmtId="0" fontId="64" fillId="0" borderId="34" xfId="13" applyFont="1" applyBorder="1" applyAlignment="1">
      <alignment horizontal="center" vertical="center" wrapText="1"/>
    </xf>
    <xf numFmtId="0" fontId="64" fillId="0" borderId="36" xfId="13" applyFont="1" applyBorder="1" applyAlignment="1">
      <alignment horizontal="center"/>
    </xf>
    <xf numFmtId="0" fontId="64" fillId="20" borderId="38" xfId="13" applyFont="1" applyFill="1" applyBorder="1" applyAlignment="1">
      <alignment horizontal="center" vertical="center"/>
    </xf>
    <xf numFmtId="0" fontId="64" fillId="20" borderId="37" xfId="13" applyFont="1" applyFill="1" applyBorder="1" applyAlignment="1">
      <alignment horizontal="center" vertical="center"/>
    </xf>
    <xf numFmtId="0" fontId="65" fillId="0" borderId="36" xfId="13" applyFont="1" applyBorder="1" applyAlignment="1">
      <alignment horizontal="center"/>
    </xf>
    <xf numFmtId="0" fontId="23" fillId="0" borderId="43" xfId="13" applyFont="1" applyBorder="1"/>
    <xf numFmtId="0" fontId="23" fillId="0" borderId="46" xfId="13" applyFont="1" applyBorder="1"/>
    <xf numFmtId="1" fontId="23" fillId="20" borderId="52" xfId="13" applyNumberFormat="1" applyFont="1" applyFill="1" applyBorder="1" applyAlignment="1">
      <alignment horizontal="center" vertical="center"/>
    </xf>
    <xf numFmtId="1" fontId="23" fillId="20" borderId="51" xfId="13" applyNumberFormat="1" applyFont="1" applyFill="1" applyBorder="1" applyAlignment="1">
      <alignment horizontal="center" vertical="center"/>
    </xf>
    <xf numFmtId="1" fontId="23" fillId="20" borderId="50" xfId="13" applyNumberFormat="1" applyFont="1" applyFill="1" applyBorder="1" applyAlignment="1">
      <alignment horizontal="center" vertical="center"/>
    </xf>
    <xf numFmtId="1" fontId="23" fillId="0" borderId="32" xfId="13" applyNumberFormat="1" applyFont="1" applyBorder="1" applyAlignment="1">
      <alignment horizontal="center" vertical="center"/>
    </xf>
    <xf numFmtId="1" fontId="23" fillId="20" borderId="31" xfId="13" applyNumberFormat="1" applyFont="1" applyFill="1" applyBorder="1" applyAlignment="1">
      <alignment horizontal="center" vertical="center"/>
    </xf>
    <xf numFmtId="1" fontId="23" fillId="20" borderId="30" xfId="13" applyNumberFormat="1" applyFont="1" applyFill="1" applyBorder="1" applyAlignment="1">
      <alignment horizontal="center" vertical="center"/>
    </xf>
    <xf numFmtId="1" fontId="23" fillId="20" borderId="29" xfId="13" applyNumberFormat="1" applyFont="1" applyFill="1" applyBorder="1" applyAlignment="1">
      <alignment horizontal="center" vertical="center"/>
    </xf>
    <xf numFmtId="9" fontId="65" fillId="0" borderId="43" xfId="15" applyFont="1" applyBorder="1" applyAlignment="1">
      <alignment horizontal="center" vertical="center"/>
    </xf>
    <xf numFmtId="0" fontId="65" fillId="0" borderId="46" xfId="13" applyFont="1" applyBorder="1" applyAlignment="1">
      <alignment horizontal="center" vertical="center"/>
    </xf>
    <xf numFmtId="0" fontId="65" fillId="0" borderId="36" xfId="13" applyFont="1" applyBorder="1"/>
    <xf numFmtId="0" fontId="23" fillId="0" borderId="25" xfId="13" applyFont="1" applyBorder="1"/>
    <xf numFmtId="1" fontId="23" fillId="20" borderId="28" xfId="13" applyNumberFormat="1" applyFont="1" applyFill="1" applyBorder="1" applyAlignment="1">
      <alignment horizontal="center" vertical="center"/>
    </xf>
    <xf numFmtId="1" fontId="23" fillId="20" borderId="27" xfId="13" applyNumberFormat="1" applyFont="1" applyFill="1" applyBorder="1" applyAlignment="1">
      <alignment horizontal="center" vertical="center"/>
    </xf>
    <xf numFmtId="1" fontId="23" fillId="20" borderId="49" xfId="13" applyNumberFormat="1" applyFont="1" applyFill="1" applyBorder="1" applyAlignment="1">
      <alignment horizontal="center" vertical="center"/>
    </xf>
    <xf numFmtId="1" fontId="23" fillId="0" borderId="26" xfId="13" applyNumberFormat="1" applyFont="1" applyBorder="1" applyAlignment="1">
      <alignment horizontal="center" vertical="center"/>
    </xf>
    <xf numFmtId="1" fontId="23" fillId="20" borderId="25" xfId="13" applyNumberFormat="1" applyFont="1" applyFill="1" applyBorder="1" applyAlignment="1">
      <alignment horizontal="center" vertical="center"/>
    </xf>
    <xf numFmtId="1" fontId="23" fillId="20" borderId="24" xfId="13" applyNumberFormat="1" applyFont="1" applyFill="1" applyBorder="1" applyAlignment="1">
      <alignment horizontal="center" vertical="center"/>
    </xf>
    <xf numFmtId="9" fontId="65" fillId="0" borderId="25" xfId="15" applyFont="1" applyBorder="1" applyAlignment="1">
      <alignment horizontal="center" vertical="center"/>
    </xf>
    <xf numFmtId="0" fontId="65" fillId="0" borderId="24" xfId="13" applyFont="1" applyBorder="1" applyAlignment="1">
      <alignment horizontal="center" vertical="center"/>
    </xf>
    <xf numFmtId="0" fontId="23" fillId="0" borderId="20" xfId="13" applyFont="1" applyBorder="1"/>
    <xf numFmtId="1" fontId="23" fillId="20" borderId="20" xfId="13" applyNumberFormat="1" applyFont="1" applyFill="1" applyBorder="1" applyAlignment="1">
      <alignment horizontal="center" vertical="center"/>
    </xf>
    <xf numFmtId="1" fontId="23" fillId="20" borderId="22" xfId="13" applyNumberFormat="1" applyFont="1" applyFill="1" applyBorder="1" applyAlignment="1">
      <alignment horizontal="center" vertical="center"/>
    </xf>
    <xf numFmtId="1" fontId="23" fillId="20" borderId="19" xfId="13" applyNumberFormat="1" applyFont="1" applyFill="1" applyBorder="1" applyAlignment="1">
      <alignment horizontal="center" vertical="center"/>
    </xf>
    <xf numFmtId="1" fontId="23" fillId="0" borderId="21" xfId="13" applyNumberFormat="1" applyFont="1" applyBorder="1" applyAlignment="1">
      <alignment horizontal="center" vertical="center"/>
    </xf>
    <xf numFmtId="9" fontId="65" fillId="0" borderId="20" xfId="15" applyFont="1" applyBorder="1" applyAlignment="1">
      <alignment horizontal="center" vertical="center"/>
    </xf>
    <xf numFmtId="0" fontId="65" fillId="0" borderId="19" xfId="13" applyFont="1" applyBorder="1" applyAlignment="1">
      <alignment horizontal="center" vertical="center"/>
    </xf>
  </cellXfs>
  <cellStyles count="16">
    <cellStyle name="Comma 2" xfId="14" xr:uid="{1CDA6550-F3B5-4E53-9B17-57AE5F0E1565}"/>
    <cellStyle name="Hyperlink" xfId="11" builtinId="8"/>
    <cellStyle name="Normal" xfId="0" builtinId="0"/>
    <cellStyle name="Normal 2" xfId="6" xr:uid="{00000000-0005-0000-0000-000001000000}"/>
    <cellStyle name="Normal 2 6" xfId="3" xr:uid="{00000000-0005-0000-0000-000002000000}"/>
    <cellStyle name="Normal 2 7" xfId="4" xr:uid="{00000000-0005-0000-0000-000003000000}"/>
    <cellStyle name="Normal 3" xfId="7" xr:uid="{00000000-0005-0000-0000-000004000000}"/>
    <cellStyle name="Normal 4" xfId="8" xr:uid="{00000000-0005-0000-0000-000005000000}"/>
    <cellStyle name="Normal 5" xfId="9" xr:uid="{595BE66D-6708-4D7B-A53C-1E12D5453DAE}"/>
    <cellStyle name="Normal 5 2" xfId="12" xr:uid="{9762E373-B3FD-4CD6-BF3F-BA10F061C61C}"/>
    <cellStyle name="Normal 6" xfId="10" xr:uid="{9C94F04F-B173-447F-A122-C7EF0D06F064}"/>
    <cellStyle name="Normal 7" xfId="13" xr:uid="{D1171564-711F-4E28-BA74-777138DC28FC}"/>
    <cellStyle name="Percent" xfId="1" builtinId="5"/>
    <cellStyle name="Percent 2" xfId="5" xr:uid="{00000000-0005-0000-0000-000007000000}"/>
    <cellStyle name="Percent 3" xfId="15" xr:uid="{294DDAB6-3708-451C-AF66-475FF584F07A}"/>
    <cellStyle name="Style1" xfId="2" xr:uid="{00000000-0005-0000-0000-000008000000}"/>
  </cellStyles>
  <dxfs count="60">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ill>
        <patternFill>
          <bgColor theme="5" tint="0.79998168889431442"/>
        </patternFill>
      </fill>
    </dxf>
    <dxf>
      <font>
        <b val="0"/>
        <i val="0"/>
        <strike val="0"/>
        <condense val="0"/>
        <extend val="0"/>
        <outline val="0"/>
        <shadow val="0"/>
        <u val="none"/>
        <vertAlign val="baseline"/>
        <sz val="11"/>
        <color theme="1"/>
        <name val="Arial"/>
        <family val="2"/>
        <scheme val="none"/>
      </font>
      <numFmt numFmtId="2" formatCode="0.00"/>
      <fill>
        <patternFill>
          <fgColor indexed="64"/>
          <bgColor theme="4" tint="0.79998168889431442"/>
        </patternFill>
      </fill>
      <protection locked="1" hidden="0"/>
    </dxf>
    <dxf>
      <font>
        <b val="0"/>
        <i val="0"/>
        <strike val="0"/>
        <condense val="0"/>
        <extend val="0"/>
        <outline val="0"/>
        <shadow val="0"/>
        <u val="none"/>
        <vertAlign val="baseline"/>
        <sz val="11"/>
        <color theme="1"/>
        <name val="Arial"/>
        <family val="2"/>
        <scheme val="none"/>
      </font>
      <numFmt numFmtId="13" formatCode="0%"/>
      <fill>
        <patternFill>
          <fgColor indexed="64"/>
          <bgColor theme="4" tint="0.79998168889431442"/>
        </patternFill>
      </fill>
      <protection locked="1" hidden="0"/>
    </dxf>
    <dxf>
      <font>
        <b val="0"/>
        <i val="0"/>
        <strike val="0"/>
        <condense val="0"/>
        <extend val="0"/>
        <outline val="0"/>
        <shadow val="0"/>
        <u val="none"/>
        <vertAlign val="baseline"/>
        <sz val="11"/>
        <color theme="1"/>
        <name val="Arial"/>
        <family val="2"/>
        <scheme val="none"/>
      </font>
      <fill>
        <patternFill>
          <fgColor indexed="64"/>
          <bgColor theme="4" tint="0.79998168889431442"/>
        </patternFill>
      </fill>
      <protection locked="1" hidden="0"/>
    </dxf>
    <dxf>
      <font>
        <b val="0"/>
        <i val="0"/>
        <strike val="0"/>
        <condense val="0"/>
        <extend val="0"/>
        <outline val="0"/>
        <shadow val="0"/>
        <u val="none"/>
        <vertAlign val="baseline"/>
        <sz val="11"/>
        <color theme="1"/>
        <name val="Arial"/>
        <family val="2"/>
        <scheme val="none"/>
      </font>
      <fill>
        <patternFill>
          <fgColor indexed="64"/>
          <bgColor theme="4" tint="0.79998168889431442"/>
        </patternFill>
      </fill>
      <protection locked="1" hidden="0"/>
    </dxf>
    <dxf>
      <font>
        <b val="0"/>
        <i val="0"/>
        <strike val="0"/>
        <condense val="0"/>
        <extend val="0"/>
        <outline val="0"/>
        <shadow val="0"/>
        <u val="none"/>
        <vertAlign val="baseline"/>
        <sz val="11"/>
        <color theme="1"/>
        <name val="Arial"/>
        <family val="2"/>
        <scheme val="none"/>
      </font>
      <protection locked="1" hidden="0"/>
    </dxf>
    <dxf>
      <font>
        <strike val="0"/>
        <outline val="0"/>
        <shadow val="0"/>
        <u val="none"/>
        <vertAlign val="baseline"/>
        <sz val="11"/>
        <name val="Arial"/>
        <family val="2"/>
        <scheme val="none"/>
      </font>
      <numFmt numFmtId="14" formatCode="0.00%"/>
      <fill>
        <patternFill>
          <bgColor theme="8" tint="0.79998168889431442"/>
        </patternFill>
      </fill>
      <protection locked="1" hidden="0"/>
    </dxf>
    <dxf>
      <font>
        <strike val="0"/>
        <outline val="0"/>
        <shadow val="0"/>
        <u val="none"/>
        <vertAlign val="baseline"/>
        <sz val="11"/>
        <name val="Arial"/>
        <family val="2"/>
        <scheme val="none"/>
      </font>
      <numFmt numFmtId="14" formatCode="0.00%"/>
      <fill>
        <patternFill>
          <bgColor theme="8" tint="0.79998168889431442"/>
        </patternFill>
      </fill>
      <protection locked="1" hidden="0"/>
    </dxf>
    <dxf>
      <font>
        <strike val="0"/>
        <outline val="0"/>
        <shadow val="0"/>
        <u val="none"/>
        <vertAlign val="baseline"/>
        <sz val="11"/>
        <name val="Arial"/>
        <family val="2"/>
        <scheme val="none"/>
      </font>
      <fill>
        <patternFill>
          <bgColor theme="8" tint="0.79998168889431442"/>
        </patternFill>
      </fill>
      <protection locked="1" hidden="0"/>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strike val="0"/>
        <outline val="0"/>
        <shadow val="0"/>
        <u val="none"/>
        <vertAlign val="baseline"/>
        <sz val="11"/>
        <name val="Arial"/>
        <family val="2"/>
        <scheme val="none"/>
      </font>
      <fill>
        <patternFill>
          <bgColor theme="8" tint="0.79998168889431442"/>
        </patternFill>
      </fill>
      <protection locked="1" hidden="0"/>
    </dxf>
    <dxf>
      <border outline="0">
        <bottom style="thin">
          <color theme="4" tint="0.39997558519241921"/>
        </bottom>
      </border>
    </dxf>
    <dxf>
      <font>
        <b/>
        <i val="0"/>
        <strike val="0"/>
        <condense val="0"/>
        <extend val="0"/>
        <outline val="0"/>
        <shadow val="0"/>
        <u val="none"/>
        <vertAlign val="baseline"/>
        <sz val="11"/>
        <color theme="0"/>
        <name val="Arial"/>
        <family val="2"/>
        <scheme val="none"/>
      </font>
      <fill>
        <patternFill patternType="solid">
          <fgColor theme="4"/>
          <bgColor theme="4"/>
        </patternFill>
      </fill>
      <protection locked="1" hidden="0"/>
    </dxf>
    <dxf>
      <font>
        <strike val="0"/>
        <outline val="0"/>
        <shadow val="0"/>
        <u val="none"/>
        <vertAlign val="baseline"/>
        <sz val="11"/>
        <name val="Arial"/>
        <family val="2"/>
        <scheme val="none"/>
      </font>
      <fill>
        <patternFill>
          <bgColor theme="8" tint="0.79998168889431442"/>
        </patternFill>
      </fill>
      <protection locked="1" hidden="0"/>
    </dxf>
    <dxf>
      <font>
        <strike val="0"/>
        <outline val="0"/>
        <shadow val="0"/>
        <u val="none"/>
        <vertAlign val="baseline"/>
        <sz val="11"/>
        <name val="Arial"/>
        <family val="2"/>
        <scheme val="none"/>
      </font>
      <numFmt numFmtId="169" formatCode="0.0%"/>
      <fill>
        <patternFill>
          <bgColor theme="8" tint="0.79998168889431442"/>
        </patternFill>
      </fill>
      <protection locked="1" hidden="0"/>
    </dxf>
    <dxf>
      <font>
        <strike val="0"/>
        <outline val="0"/>
        <shadow val="0"/>
        <u val="none"/>
        <vertAlign val="baseline"/>
        <sz val="11"/>
        <name val="Arial"/>
        <family val="2"/>
        <scheme val="none"/>
      </font>
      <fill>
        <patternFill>
          <bgColor theme="8" tint="0.79998168889431442"/>
        </patternFill>
      </fill>
      <protection locked="1" hidden="0"/>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strike val="0"/>
        <outline val="0"/>
        <shadow val="0"/>
        <u val="none"/>
        <vertAlign val="baseline"/>
        <sz val="11"/>
        <name val="Arial"/>
        <family val="2"/>
        <scheme val="none"/>
      </font>
      <fill>
        <patternFill>
          <bgColor theme="8" tint="0.79998168889431442"/>
        </patternFill>
      </fill>
      <protection locked="1" hidden="0"/>
    </dxf>
    <dxf>
      <border outline="0">
        <bottom style="thin">
          <color theme="4" tint="0.39997558519241921"/>
        </bottom>
      </border>
    </dxf>
    <dxf>
      <font>
        <b/>
        <i val="0"/>
        <strike val="0"/>
        <condense val="0"/>
        <extend val="0"/>
        <outline val="0"/>
        <shadow val="0"/>
        <u val="none"/>
        <vertAlign val="baseline"/>
        <sz val="11"/>
        <color theme="0"/>
        <name val="Arial"/>
        <family val="2"/>
        <scheme val="none"/>
      </font>
      <fill>
        <patternFill patternType="solid">
          <fgColor theme="4"/>
          <bgColor theme="4"/>
        </patternFill>
      </fill>
      <protection locked="1" hidden="0"/>
    </dxf>
    <dxf>
      <font>
        <b val="0"/>
        <i val="0"/>
        <strike val="0"/>
        <condense val="0"/>
        <extend val="0"/>
        <outline val="0"/>
        <shadow val="0"/>
        <u val="none"/>
        <vertAlign val="baseline"/>
        <sz val="11"/>
        <color theme="1"/>
        <name val="Arial"/>
        <family val="2"/>
        <scheme val="none"/>
      </font>
      <numFmt numFmtId="166"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numFmt numFmtId="166"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numFmt numFmtId="166"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numFmt numFmtId="166"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numFmt numFmtId="166"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numFmt numFmtId="166"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numFmt numFmtId="166"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numFmt numFmtId="166"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protection locked="1" hidden="0"/>
    </dxf>
    <dxf>
      <font>
        <strike val="0"/>
        <outline val="0"/>
        <shadow val="0"/>
        <vertAlign val="baseline"/>
        <sz val="11"/>
        <color theme="1"/>
        <name val="Arial"/>
        <family val="2"/>
        <scheme val="none"/>
      </font>
      <numFmt numFmtId="166" formatCode="0.0"/>
      <fill>
        <patternFill patternType="solid">
          <fgColor indexed="64"/>
          <bgColor theme="8" tint="0.79998168889431442"/>
        </patternFill>
      </fill>
      <protection locked="1" hidden="0"/>
    </dxf>
    <dxf>
      <font>
        <strike val="0"/>
        <outline val="0"/>
        <shadow val="0"/>
        <vertAlign val="baseline"/>
        <sz val="11"/>
        <color theme="1"/>
        <name val="Arial"/>
        <family val="2"/>
        <scheme val="none"/>
      </font>
      <numFmt numFmtId="166"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numFmt numFmtId="19" formatCode="dd/mm/yyyy"/>
      <fill>
        <patternFill patternType="solid">
          <fgColor indexed="64"/>
          <bgColor theme="8" tint="0.79998168889431442"/>
        </patternFill>
      </fill>
      <protection locked="1" hidden="0"/>
    </dxf>
    <dxf>
      <font>
        <strike val="0"/>
        <outline val="0"/>
        <shadow val="0"/>
        <vertAlign val="baseline"/>
        <sz val="11"/>
        <color theme="1"/>
        <name val="Arial"/>
        <family val="2"/>
        <scheme val="none"/>
      </font>
      <fill>
        <patternFill patternType="solid">
          <fgColor indexed="64"/>
          <bgColor theme="8" tint="0.79998168889431442"/>
        </patternFill>
      </fill>
      <protection locked="1" hidden="0"/>
    </dxf>
    <dxf>
      <font>
        <strike val="0"/>
        <outline val="0"/>
        <shadow val="0"/>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numFmt numFmtId="169" formatCode="0.0%"/>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8" tint="0.79998168889431442"/>
        </patternFill>
      </fil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alignment horizontal="righ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center" textRotation="0" wrapText="1" indent="0" justifyLastLine="0" shrinkToFit="0" readingOrder="0"/>
      <border diagonalUp="0" diagonalDown="0" outline="0">
        <left/>
        <right style="thin">
          <color auto="1"/>
        </right>
        <top style="thin">
          <color indexed="64"/>
        </top>
        <bottom style="thin">
          <color indexed="64"/>
        </bottom>
      </border>
    </dxf>
    <dxf>
      <font>
        <strike val="0"/>
        <outline val="0"/>
        <shadow val="0"/>
        <vertAlign val="baseline"/>
        <sz val="1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0" formatCode="Genera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rial"/>
        <family val="2"/>
        <scheme val="none"/>
      </font>
    </dxf>
    <dxf>
      <border outline="0">
        <bottom style="thin">
          <color indexed="64"/>
        </bottom>
      </border>
    </dxf>
    <dxf>
      <font>
        <b/>
        <i val="0"/>
        <strike val="0"/>
        <condense val="0"/>
        <extend val="0"/>
        <outline val="0"/>
        <shadow val="0"/>
        <u val="none"/>
        <vertAlign val="baseline"/>
        <sz val="11"/>
        <color theme="1"/>
        <name val="Arial"/>
        <family val="2"/>
        <scheme val="none"/>
      </font>
      <border diagonalUp="0" diagonalDown="0" outline="0">
        <left style="thin">
          <color auto="1"/>
        </left>
        <right style="thin">
          <color auto="1"/>
        </right>
        <top/>
        <bottom/>
      </border>
    </dxf>
    <dxf>
      <fill>
        <patternFill>
          <bgColor theme="5" tint="0.59996337778862885"/>
        </patternFill>
      </fill>
    </dxf>
  </dxfs>
  <tableStyles count="0" defaultTableStyle="TableStyleMedium2" defaultPivotStyle="PivotStyleLight16"/>
  <colors>
    <mruColors>
      <color rgb="FFE0FCE7"/>
      <color rgb="FF68A042"/>
      <color rgb="FF996633"/>
      <color rgb="FFA3C397"/>
      <color rgb="FFB2F0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 Id="rId30"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t>Changes in HDT over time for local authority</a:t>
            </a:r>
          </a:p>
        </c:rich>
      </c:tx>
      <c:layout>
        <c:manualLayout>
          <c:xMode val="edge"/>
          <c:yMode val="edge"/>
          <c:x val="0.25425543573056464"/>
          <c:y val="1.87334468976846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cked"/>
        <c:varyColors val="0"/>
        <c:ser>
          <c:idx val="0"/>
          <c:order val="0"/>
          <c:tx>
            <c:strRef>
              <c:f>Dashboard!$C$15</c:f>
              <c:strCache>
                <c:ptCount val="1"/>
                <c:pt idx="0">
                  <c:v>Per cent</c:v>
                </c:pt>
              </c:strCache>
            </c:strRef>
          </c:tx>
          <c:spPr>
            <a:ln w="31750" cap="rnd">
              <a:solidFill>
                <a:schemeClr val="accent1"/>
              </a:solidFill>
              <a:round/>
            </a:ln>
            <a:effectLst>
              <a:glow>
                <a:schemeClr val="accent1">
                  <a:alpha val="40000"/>
                </a:schemeClr>
              </a:glow>
            </a:effectLst>
          </c:spPr>
          <c:marker>
            <c:symbol val="circle"/>
            <c:size val="5"/>
            <c:spPr>
              <a:solidFill>
                <a:schemeClr val="accent1"/>
              </a:solidFill>
              <a:ln w="9525">
                <a:solidFill>
                  <a:schemeClr val="accent1"/>
                </a:solidFill>
              </a:ln>
              <a:effectLst>
                <a:glow>
                  <a:schemeClr val="accent1">
                    <a:alpha val="40000"/>
                  </a:schemeClr>
                </a:glow>
              </a:effectLst>
            </c:spPr>
          </c:marker>
          <c:dPt>
            <c:idx val="0"/>
            <c:marker>
              <c:symbol val="circle"/>
              <c:size val="5"/>
              <c:spPr>
                <a:solidFill>
                  <a:srgbClr val="FF0000"/>
                </a:solidFill>
                <a:ln w="9525">
                  <a:solidFill>
                    <a:schemeClr val="accent1"/>
                  </a:solidFill>
                </a:ln>
                <a:effectLst>
                  <a:glow>
                    <a:schemeClr val="accent1">
                      <a:alpha val="40000"/>
                    </a:schemeClr>
                  </a:glow>
                </a:effectLst>
              </c:spPr>
            </c:marker>
            <c:bubble3D val="0"/>
            <c:extLst>
              <c:ext xmlns:c16="http://schemas.microsoft.com/office/drawing/2014/chart" uri="{C3380CC4-5D6E-409C-BE32-E72D297353CC}">
                <c16:uniqueId val="{0000000C-5ADE-4913-B3E7-B6D1DC4EBFCC}"/>
              </c:ext>
            </c:extLst>
          </c:dPt>
          <c:dLbls>
            <c:dLbl>
              <c:idx val="0"/>
              <c:tx>
                <c:rich>
                  <a:bodyPr rot="0" spcFirstLastPara="1" vertOverflow="ellipsis" vert="horz" wrap="square" lIns="38100" tIns="19050" rIns="38100" bIns="19050" anchor="ctr" anchorCtr="1">
                    <a:spAutoFit/>
                  </a:bodyPr>
                  <a:lstStyle/>
                  <a:p>
                    <a:pPr>
                      <a:defRPr sz="900" b="1" i="0" u="none" strike="noStrike" kern="1200" baseline="0">
                        <a:solidFill>
                          <a:schemeClr val="accent1">
                            <a:lumMod val="50000"/>
                          </a:schemeClr>
                        </a:solidFill>
                        <a:latin typeface="Arial" panose="020B0604020202020204" pitchFamily="34" charset="0"/>
                        <a:ea typeface="+mn-ea"/>
                        <a:cs typeface="Arial" panose="020B0604020202020204" pitchFamily="34" charset="0"/>
                      </a:defRPr>
                    </a:pPr>
                    <a:fld id="{B20DABE8-46DE-4AFB-8575-D31A1BE407B7}" type="CELLRANGE">
                      <a:rPr lang="en-US"/>
                      <a:pPr>
                        <a:defRPr b="1">
                          <a:solidFill>
                            <a:schemeClr val="accent1">
                              <a:lumMod val="50000"/>
                            </a:schemeClr>
                          </a:solidFill>
                        </a:defRPr>
                      </a:pPr>
                      <a:t>[CELLRANGE]</a:t>
                    </a:fld>
                    <a:r>
                      <a:rPr lang="en-US" baseline="0"/>
                      <a:t>, </a:t>
                    </a:r>
                    <a:fld id="{3B49C2B0-1A8B-4E6B-BF6C-F23BB21C4279}" type="VALUE">
                      <a:rPr lang="en-US" baseline="0"/>
                      <a:pPr>
                        <a:defRPr b="1">
                          <a:solidFill>
                            <a:schemeClr val="accent1">
                              <a:lumMod val="50000"/>
                            </a:schemeClr>
                          </a:solidFill>
                        </a:defRPr>
                      </a:pPr>
                      <a:t>[VALUE]</a:t>
                    </a:fld>
                    <a:endParaRPr lang="en-US" baseline="0"/>
                  </a:p>
                </c:rich>
              </c:tx>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lumMod val="50000"/>
                        </a:schemeClr>
                      </a:solidFill>
                      <a:latin typeface="Arial" panose="020B0604020202020204" pitchFamily="34" charset="0"/>
                      <a:ea typeface="+mn-ea"/>
                      <a:cs typeface="Arial" panose="020B0604020202020204" pitchFamily="34" charset="0"/>
                    </a:defRPr>
                  </a:pPr>
                  <a:endParaRPr lang="en-US"/>
                </a:p>
              </c:txPr>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ADE-4913-B3E7-B6D1DC4EBFCC}"/>
                </c:ext>
              </c:extLst>
            </c:dLbl>
            <c:dLbl>
              <c:idx val="1"/>
              <c:tx>
                <c:rich>
                  <a:bodyPr/>
                  <a:lstStyle/>
                  <a:p>
                    <a:fld id="{84E7CD96-8064-46D7-B007-0AD4B43C6151}" type="CELLRANGE">
                      <a:rPr lang="en-US"/>
                      <a:pPr/>
                      <a:t>[CELLRANGE]</a:t>
                    </a:fld>
                    <a:r>
                      <a:rPr lang="en-US" baseline="0"/>
                      <a:t>, </a:t>
                    </a:r>
                    <a:fld id="{CD01EB64-DEDF-4165-A5A3-E70BB96DF8AF}" type="VALUE">
                      <a:rPr lang="en-US" baseline="0"/>
                      <a:pPr/>
                      <a:t>[VALUE]</a:t>
                    </a:fld>
                    <a:endParaRPr lang="en-US"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ADE-4913-B3E7-B6D1DC4EBFCC}"/>
                </c:ext>
              </c:extLst>
            </c:dLbl>
            <c:dLbl>
              <c:idx val="2"/>
              <c:tx>
                <c:rich>
                  <a:bodyPr/>
                  <a:lstStyle/>
                  <a:p>
                    <a:fld id="{3D2A2B95-F0B6-4515-954F-EFE4562FC8EF}" type="CELLRANGE">
                      <a:rPr lang="en-US"/>
                      <a:pPr/>
                      <a:t>[CELLRANGE]</a:t>
                    </a:fld>
                    <a:r>
                      <a:rPr lang="en-US" baseline="0"/>
                      <a:t>, </a:t>
                    </a:r>
                    <a:fld id="{35A17333-5224-4185-9AB7-E010808581D1}" type="VALUE">
                      <a:rPr lang="en-US" baseline="0"/>
                      <a:pPr/>
                      <a:t>[VALUE]</a:t>
                    </a:fld>
                    <a:endParaRPr lang="en-US"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ADE-4913-B3E7-B6D1DC4EBFCC}"/>
                </c:ext>
              </c:extLst>
            </c:dLbl>
            <c:dLbl>
              <c:idx val="3"/>
              <c:tx>
                <c:rich>
                  <a:bodyPr/>
                  <a:lstStyle/>
                  <a:p>
                    <a:fld id="{A89362F8-DC04-4B92-B04F-02574FF63ECF}" type="CELLRANGE">
                      <a:rPr lang="en-US"/>
                      <a:pPr/>
                      <a:t>[CELLRANGE]</a:t>
                    </a:fld>
                    <a:r>
                      <a:rPr lang="en-US" baseline="0"/>
                      <a:t>, </a:t>
                    </a:r>
                    <a:fld id="{0DC64797-284C-4BE9-A792-542502E99A26}" type="VALUE">
                      <a:rPr lang="en-US" baseline="0"/>
                      <a:pPr/>
                      <a:t>[VALUE]</a:t>
                    </a:fld>
                    <a:endParaRPr lang="en-US"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580-4D37-AF83-7F8AA0955879}"/>
                </c:ext>
              </c:extLst>
            </c:dLbl>
            <c:dLbl>
              <c:idx val="4"/>
              <c:tx>
                <c:rich>
                  <a:bodyPr/>
                  <a:lstStyle/>
                  <a:p>
                    <a:fld id="{ADC06BA3-7EB8-41D0-8B46-9032CEAF3A09}" type="CELLRANGE">
                      <a:rPr lang="en-US"/>
                      <a:pPr/>
                      <a:t>[CELLRANGE]</a:t>
                    </a:fld>
                    <a:r>
                      <a:rPr lang="en-US" baseline="0"/>
                      <a:t>, </a:t>
                    </a:r>
                    <a:fld id="{2F8172AA-5F15-46FB-9D53-31B3F6230BA1}" type="VALUE">
                      <a:rPr lang="en-US" baseline="0"/>
                      <a:pPr/>
                      <a:t>[VALUE]</a:t>
                    </a:fld>
                    <a:endParaRPr lang="en-US"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580-4D37-AF83-7F8AA0955879}"/>
                </c:ext>
              </c:extLst>
            </c:dLbl>
            <c:dLbl>
              <c:idx val="5"/>
              <c:tx>
                <c:rich>
                  <a:bodyPr/>
                  <a:lstStyle/>
                  <a:p>
                    <a:fld id="{E6843C67-89D0-4D39-B578-C5157656BE71}" type="CELLRANGE">
                      <a:rPr lang="en-US"/>
                      <a:pPr/>
                      <a:t>[CELLRANGE]</a:t>
                    </a:fld>
                    <a:r>
                      <a:rPr lang="en-US" baseline="0"/>
                      <a:t>, </a:t>
                    </a:r>
                    <a:fld id="{D8F6A6A4-EF76-44F5-AB45-7A0026A287CD}" type="VALUE">
                      <a:rPr lang="en-US" baseline="0"/>
                      <a:pPr/>
                      <a:t>[VALUE]</a:t>
                    </a:fld>
                    <a:endParaRPr lang="en-US"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580-4D37-AF83-7F8AA095587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Dashboard!$B$16:$B$21</c:f>
              <c:strCache>
                <c:ptCount val="6"/>
                <c:pt idx="0">
                  <c:v>HDT 2021: 
HDT 2018/19-2020/21</c:v>
                </c:pt>
                <c:pt idx="1">
                  <c:v>HDT 2022: 
HDT 2019/20-2021/22</c:v>
                </c:pt>
                <c:pt idx="2">
                  <c:v>HDT 2023: 
HDT 2020/21-2022/23</c:v>
                </c:pt>
                <c:pt idx="3">
                  <c:v>HDT 2024: 
HDT 2020/21-2023/24</c:v>
                </c:pt>
                <c:pt idx="4">
                  <c:v>HDT 2025: 
HDT 2020/21-2024/25</c:v>
                </c:pt>
                <c:pt idx="5">
                  <c:v>HDT 2026: 
HDT 2020/21-2025/26</c:v>
                </c:pt>
              </c:strCache>
            </c:strRef>
          </c:cat>
          <c:val>
            <c:numRef>
              <c:f>Dashboard!$C$16:$C$21</c:f>
              <c:numCache>
                <c:formatCode>0.0%</c:formatCode>
                <c:ptCount val="6"/>
                <c:pt idx="0">
                  <c:v>0.77</c:v>
                </c:pt>
                <c:pt idx="1">
                  <c:v>0.729528535980149</c:v>
                </c:pt>
                <c:pt idx="2">
                  <c:v>0.90935136796408877</c:v>
                </c:pt>
                <c:pt idx="3">
                  <c:v>0.59409438986098684</c:v>
                </c:pt>
                <c:pt idx="4">
                  <c:v>0.55392054276766167</c:v>
                </c:pt>
                <c:pt idx="5">
                  <c:v>0.54004126563049115</c:v>
                </c:pt>
              </c:numCache>
            </c:numRef>
          </c:val>
          <c:smooth val="0"/>
          <c:extLst>
            <c:ext xmlns:c15="http://schemas.microsoft.com/office/drawing/2012/chart" uri="{02D57815-91ED-43cb-92C2-25804820EDAC}">
              <c15:datalabelsRange>
                <c15:f>Dashboard!$D$16:$D$22</c15:f>
                <c15:dlblRangeCache>
                  <c:ptCount val="7"/>
                  <c:pt idx="0">
                    <c:v>Buffer and Action Plan</c:v>
                  </c:pt>
                  <c:pt idx="1">
                    <c:v>Buffer and Action Plan</c:v>
                  </c:pt>
                  <c:pt idx="2">
                    <c:v>Action Plan</c:v>
                  </c:pt>
                  <c:pt idx="3">
                    <c:v>Presumption</c:v>
                  </c:pt>
                  <c:pt idx="4">
                    <c:v>Presumption</c:v>
                  </c:pt>
                  <c:pt idx="5">
                    <c:v>Presumption</c:v>
                  </c:pt>
                </c15:dlblRangeCache>
              </c15:datalabelsRange>
            </c:ext>
            <c:ext xmlns:c16="http://schemas.microsoft.com/office/drawing/2014/chart" uri="{C3380CC4-5D6E-409C-BE32-E72D297353CC}">
              <c16:uniqueId val="{00000000-5ADE-4913-B3E7-B6D1DC4EBFCC}"/>
            </c:ext>
          </c:extLst>
        </c:ser>
        <c:dLbls>
          <c:dLblPos val="b"/>
          <c:showLegendKey val="0"/>
          <c:showVal val="1"/>
          <c:showCatName val="0"/>
          <c:showSerName val="0"/>
          <c:showPercent val="0"/>
          <c:showBubbleSize val="0"/>
        </c:dLbls>
        <c:marker val="1"/>
        <c:smooth val="0"/>
        <c:axId val="332760464"/>
        <c:axId val="332760136"/>
      </c:lineChart>
      <c:catAx>
        <c:axId val="332760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2760136"/>
        <c:crosses val="autoZero"/>
        <c:auto val="1"/>
        <c:lblAlgn val="ctr"/>
        <c:lblOffset val="100"/>
        <c:noMultiLvlLbl val="0"/>
      </c:catAx>
      <c:valAx>
        <c:axId val="332760136"/>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2760464"/>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600"/>
              <a:t>Homes required versus</a:t>
            </a:r>
            <a:r>
              <a:rPr lang="en-US" sz="1600" baseline="0"/>
              <a:t> net additional dwellings for local authority</a:t>
            </a:r>
            <a:endParaRPr lang="en-US" sz="1600"/>
          </a:p>
        </c:rich>
      </c:tx>
      <c:layout>
        <c:manualLayout>
          <c:xMode val="edge"/>
          <c:yMode val="edge"/>
          <c:x val="0.19544507085376872"/>
          <c:y val="1.4258707214288348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Dashboard!$C$47</c:f>
              <c:strCache>
                <c:ptCount val="1"/>
                <c:pt idx="0">
                  <c:v>Net additional housing</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elete val="1"/>
          </c:dLbls>
          <c:cat>
            <c:strRef>
              <c:f>Dashboard!$B$48:$B$53</c:f>
              <c:strCache>
                <c:ptCount val="6"/>
                <c:pt idx="0">
                  <c:v>2018/19</c:v>
                </c:pt>
                <c:pt idx="1">
                  <c:v>2019/20</c:v>
                </c:pt>
                <c:pt idx="2">
                  <c:v>2020/21</c:v>
                </c:pt>
                <c:pt idx="3">
                  <c:v>2022/23</c:v>
                </c:pt>
                <c:pt idx="4">
                  <c:v>2023/24</c:v>
                </c:pt>
                <c:pt idx="5">
                  <c:v>2024/25</c:v>
                </c:pt>
              </c:strCache>
            </c:strRef>
          </c:cat>
          <c:val>
            <c:numRef>
              <c:f>Dashboard!$C$48:$C$53</c:f>
              <c:numCache>
                <c:formatCode>0.0</c:formatCode>
                <c:ptCount val="6"/>
                <c:pt idx="0">
                  <c:v>113</c:v>
                </c:pt>
                <c:pt idx="1">
                  <c:v>13</c:v>
                </c:pt>
                <c:pt idx="2">
                  <c:v>209</c:v>
                </c:pt>
                <c:pt idx="3">
                  <c:v>111.66666666666667</c:v>
                </c:pt>
                <c:pt idx="4">
                  <c:v>111.22222222222223</c:v>
                </c:pt>
                <c:pt idx="5">
                  <c:v>143.96296296296296</c:v>
                </c:pt>
              </c:numCache>
            </c:numRef>
          </c:val>
          <c:smooth val="0"/>
          <c:extLst>
            <c:ext xmlns:c16="http://schemas.microsoft.com/office/drawing/2014/chart" uri="{C3380CC4-5D6E-409C-BE32-E72D297353CC}">
              <c16:uniqueId val="{00000003-13A9-4C52-BA45-E0D9CB2FBCB4}"/>
            </c:ext>
          </c:extLst>
        </c:ser>
        <c:ser>
          <c:idx val="1"/>
          <c:order val="1"/>
          <c:tx>
            <c:strRef>
              <c:f>Dashboard!$D$47</c:f>
              <c:strCache>
                <c:ptCount val="1"/>
                <c:pt idx="0">
                  <c:v>Covid-19 adj. homes required</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delete val="1"/>
          </c:dLbls>
          <c:cat>
            <c:strRef>
              <c:f>Dashboard!$B$48:$B$53</c:f>
              <c:strCache>
                <c:ptCount val="6"/>
                <c:pt idx="0">
                  <c:v>2018/19</c:v>
                </c:pt>
                <c:pt idx="1">
                  <c:v>2019/20</c:v>
                </c:pt>
                <c:pt idx="2">
                  <c:v>2020/21</c:v>
                </c:pt>
                <c:pt idx="3">
                  <c:v>2022/23</c:v>
                </c:pt>
                <c:pt idx="4">
                  <c:v>2023/24</c:v>
                </c:pt>
                <c:pt idx="5">
                  <c:v>2024/25</c:v>
                </c:pt>
              </c:strCache>
            </c:strRef>
          </c:cat>
          <c:val>
            <c:numRef>
              <c:f>Dashboard!$D$48:$D$53</c:f>
              <c:numCache>
                <c:formatCode>0.0</c:formatCode>
                <c:ptCount val="6"/>
                <c:pt idx="0">
                  <c:v>457.37301587301585</c:v>
                </c:pt>
                <c:pt idx="1">
                  <c:v>457.37301587301585</c:v>
                </c:pt>
                <c:pt idx="2">
                  <c:v>474.9417047184171</c:v>
                </c:pt>
                <c:pt idx="3">
                  <c:v>617.49758643183304</c:v>
                </c:pt>
                <c:pt idx="4">
                  <c:v>681.44996738421401</c:v>
                </c:pt>
                <c:pt idx="5">
                  <c:v>726</c:v>
                </c:pt>
              </c:numCache>
            </c:numRef>
          </c:val>
          <c:smooth val="0"/>
          <c:extLst>
            <c:ext xmlns:c16="http://schemas.microsoft.com/office/drawing/2014/chart" uri="{C3380CC4-5D6E-409C-BE32-E72D297353CC}">
              <c16:uniqueId val="{0000001D-13A9-4C52-BA45-E0D9CB2FBCB4}"/>
            </c:ext>
          </c:extLst>
        </c:ser>
        <c:dLbls>
          <c:dLblPos val="b"/>
          <c:showLegendKey val="0"/>
          <c:showVal val="1"/>
          <c:showCatName val="0"/>
          <c:showSerName val="0"/>
          <c:showPercent val="0"/>
          <c:showBubbleSize val="0"/>
        </c:dLbls>
        <c:marker val="1"/>
        <c:smooth val="0"/>
        <c:axId val="332760464"/>
        <c:axId val="332760136"/>
      </c:lineChart>
      <c:catAx>
        <c:axId val="332760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2760136"/>
        <c:crosses val="autoZero"/>
        <c:auto val="1"/>
        <c:lblAlgn val="ctr"/>
        <c:lblOffset val="100"/>
        <c:noMultiLvlLbl val="0"/>
      </c:catAx>
      <c:valAx>
        <c:axId val="332760136"/>
        <c:scaling>
          <c:orientation val="minMax"/>
          <c:max val="12000"/>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27604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6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600"/>
              <a:t>Latest</a:t>
            </a:r>
            <a:r>
              <a:rPr lang="en-GB" sz="1600" baseline="0"/>
              <a:t> adopted housing requirement versus capped LHN adjusted for</a:t>
            </a:r>
          </a:p>
          <a:p>
            <a:pPr algn="l">
              <a:defRPr sz="1600"/>
            </a:pPr>
            <a:r>
              <a:rPr lang="en-GB" sz="1600" baseline="0"/>
              <a:t> changes in government policy for local authority                                                      </a:t>
            </a:r>
            <a:endParaRPr lang="en-GB" sz="1600"/>
          </a:p>
        </c:rich>
      </c:tx>
      <c:overlay val="0"/>
      <c:spPr>
        <a:noFill/>
        <a:ln>
          <a:noFill/>
        </a:ln>
        <a:effectLst/>
      </c:spPr>
      <c:txPr>
        <a:bodyPr rot="0" spcFirstLastPara="1" vertOverflow="ellipsis" vert="horz" wrap="square" anchor="ctr" anchorCtr="1"/>
        <a:lstStyle/>
        <a:p>
          <a:pPr algn="l">
            <a:defRPr sz="16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Dashboard!$B$90</c:f>
              <c:strCache>
                <c:ptCount val="1"/>
                <c:pt idx="0">
                  <c:v>Latest adopted housing requirement</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Dashboard!$C$89:$J$89</c:f>
              <c:strCache>
                <c:ptCount val="8"/>
                <c:pt idx="0">
                  <c:v>2018/19</c:v>
                </c:pt>
                <c:pt idx="1">
                  <c:v>2019/20</c:v>
                </c:pt>
                <c:pt idx="2">
                  <c:v>2020/21</c:v>
                </c:pt>
                <c:pt idx="3">
                  <c:v>2021/22</c:v>
                </c:pt>
                <c:pt idx="4">
                  <c:v>2022/23</c:v>
                </c:pt>
                <c:pt idx="5">
                  <c:v>2023/24</c:v>
                </c:pt>
                <c:pt idx="6">
                  <c:v>2024/25</c:v>
                </c:pt>
                <c:pt idx="7">
                  <c:v>2025/26</c:v>
                </c:pt>
              </c:strCache>
            </c:strRef>
          </c:cat>
          <c:val>
            <c:numRef>
              <c:f>Dashboard!$C$90:$J$90</c:f>
              <c:numCache>
                <c:formatCode>0.0</c:formatCode>
                <c:ptCount val="8"/>
                <c:pt idx="0">
                  <c:v>177.04761904761904</c:v>
                </c:pt>
                <c:pt idx="1">
                  <c:v>177.04761904761904</c:v>
                </c:pt>
                <c:pt idx="2">
                  <c:v>177.04761904761904</c:v>
                </c:pt>
                <c:pt idx="3">
                  <c:v>177.04761904761904</c:v>
                </c:pt>
                <c:pt idx="4">
                  <c:v>177.04761904761904</c:v>
                </c:pt>
                <c:pt idx="5">
                  <c:v>0</c:v>
                </c:pt>
                <c:pt idx="6">
                  <c:v>0</c:v>
                </c:pt>
                <c:pt idx="7">
                  <c:v>0</c:v>
                </c:pt>
              </c:numCache>
            </c:numRef>
          </c:val>
          <c:smooth val="0"/>
          <c:extLst>
            <c:ext xmlns:c16="http://schemas.microsoft.com/office/drawing/2014/chart" uri="{C3380CC4-5D6E-409C-BE32-E72D297353CC}">
              <c16:uniqueId val="{00000000-3A31-4E6A-B8D3-E1D130484CC7}"/>
            </c:ext>
          </c:extLst>
        </c:ser>
        <c:ser>
          <c:idx val="1"/>
          <c:order val="1"/>
          <c:tx>
            <c:strRef>
              <c:f>Dashboard!$B$91</c:f>
              <c:strCache>
                <c:ptCount val="1"/>
                <c:pt idx="0">
                  <c:v>Minimum local housing need figure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Dashboard!$C$89:$J$89</c:f>
              <c:strCache>
                <c:ptCount val="8"/>
                <c:pt idx="0">
                  <c:v>2018/19</c:v>
                </c:pt>
                <c:pt idx="1">
                  <c:v>2019/20</c:v>
                </c:pt>
                <c:pt idx="2">
                  <c:v>2020/21</c:v>
                </c:pt>
                <c:pt idx="3">
                  <c:v>2021/22</c:v>
                </c:pt>
                <c:pt idx="4">
                  <c:v>2022/23</c:v>
                </c:pt>
                <c:pt idx="5">
                  <c:v>2023/24</c:v>
                </c:pt>
                <c:pt idx="6">
                  <c:v>2024/25</c:v>
                </c:pt>
                <c:pt idx="7">
                  <c:v>2025/26</c:v>
                </c:pt>
              </c:strCache>
            </c:strRef>
          </c:cat>
          <c:val>
            <c:numRef>
              <c:f>Dashboard!$C$91:$J$91</c:f>
              <c:numCache>
                <c:formatCode>0.0</c:formatCode>
                <c:ptCount val="8"/>
                <c:pt idx="0">
                  <c:v>177.04761904761904</c:v>
                </c:pt>
                <c:pt idx="1">
                  <c:v>177.04761904761904</c:v>
                </c:pt>
                <c:pt idx="2">
                  <c:v>177.04761904761904</c:v>
                </c:pt>
                <c:pt idx="3">
                  <c:v>177.04761904761904</c:v>
                </c:pt>
                <c:pt idx="4">
                  <c:v>197.44996738421395</c:v>
                </c:pt>
                <c:pt idx="5">
                  <c:v>243</c:v>
                </c:pt>
                <c:pt idx="6">
                  <c:v>241</c:v>
                </c:pt>
                <c:pt idx="7">
                  <c:v>242</c:v>
                </c:pt>
              </c:numCache>
            </c:numRef>
          </c:val>
          <c:smooth val="0"/>
          <c:extLst>
            <c:ext xmlns:c16="http://schemas.microsoft.com/office/drawing/2014/chart" uri="{C3380CC4-5D6E-409C-BE32-E72D297353CC}">
              <c16:uniqueId val="{00000001-3A31-4E6A-B8D3-E1D130484CC7}"/>
            </c:ext>
          </c:extLst>
        </c:ser>
        <c:dLbls>
          <c:showLegendKey val="0"/>
          <c:showVal val="0"/>
          <c:showCatName val="0"/>
          <c:showSerName val="0"/>
          <c:showPercent val="0"/>
          <c:showBubbleSize val="0"/>
        </c:dLbls>
        <c:marker val="1"/>
        <c:smooth val="0"/>
        <c:axId val="1442411728"/>
        <c:axId val="1442408776"/>
      </c:lineChart>
      <c:catAx>
        <c:axId val="1442411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42408776"/>
        <c:crosses val="autoZero"/>
        <c:auto val="1"/>
        <c:lblAlgn val="ctr"/>
        <c:lblOffset val="100"/>
        <c:noMultiLvlLbl val="0"/>
      </c:catAx>
      <c:valAx>
        <c:axId val="1442408776"/>
        <c:scaling>
          <c:orientation val="minMax"/>
          <c:max val="50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442411728"/>
        <c:crosses val="autoZero"/>
        <c:crossBetween val="between"/>
      </c:valAx>
      <c:spPr>
        <a:noFill/>
        <a:ln>
          <a:noFill/>
        </a:ln>
        <a:effectLst/>
      </c:spPr>
    </c:plotArea>
    <c:legend>
      <c:legendPos val="r"/>
      <c:layout>
        <c:manualLayout>
          <c:xMode val="edge"/>
          <c:yMode val="edge"/>
          <c:x val="0.73004502745966493"/>
          <c:y val="0.27381854911185433"/>
          <c:w val="0.18316569745601288"/>
          <c:h val="0.365390188997845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Dashboard!$R$14</c:f>
          <c:strCache>
            <c:ptCount val="1"/>
            <c:pt idx="0">
              <c:v>EM</c:v>
            </c:pt>
          </c:strCache>
        </c:strRef>
      </c:tx>
      <c:layout>
        <c:manualLayout>
          <c:xMode val="edge"/>
          <c:yMode val="edge"/>
          <c:x val="0.61297701357778522"/>
          <c:y val="1.7008101420870468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0414465191466213E-2"/>
          <c:y val="0.12029846132177335"/>
          <c:w val="0.90879485808019156"/>
          <c:h val="0.75777365835614974"/>
        </c:manualLayout>
      </c:layout>
      <c:lineChart>
        <c:grouping val="stacked"/>
        <c:varyColors val="0"/>
        <c:ser>
          <c:idx val="0"/>
          <c:order val="0"/>
          <c:tx>
            <c:strRef>
              <c:f>Dashboard!$Q$17</c:f>
              <c:strCache>
                <c:ptCount val="1"/>
                <c:pt idx="0">
                  <c:v>Per cent</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tx>
                <c:rich>
                  <a:bodyPr wrap="square" lIns="38100" tIns="19050" rIns="38100" bIns="19050" anchor="ctr">
                    <a:spAutoFit/>
                  </a:bodyPr>
                  <a:lstStyle/>
                  <a:p>
                    <a:pPr>
                      <a:defRPr b="1">
                        <a:solidFill>
                          <a:schemeClr val="accent1">
                            <a:lumMod val="50000"/>
                          </a:schemeClr>
                        </a:solidFill>
                      </a:defRPr>
                    </a:pPr>
                    <a:fld id="{70CDC03A-2FC0-425D-9658-1B84B545EE11}" type="CELLRANGE">
                      <a:rPr lang="en-GB"/>
                      <a:pPr>
                        <a:defRPr b="1">
                          <a:solidFill>
                            <a:schemeClr val="accent1">
                              <a:lumMod val="50000"/>
                            </a:schemeClr>
                          </a:solidFill>
                        </a:defRPr>
                      </a:pPr>
                      <a:t>[CELLRANGE]</a:t>
                    </a:fld>
                    <a:r>
                      <a:rPr lang="en-GB" baseline="0"/>
                      <a:t>, </a:t>
                    </a:r>
                    <a:fld id="{A1BCE9D8-C959-4AB9-B9A4-AA74659C4F7E}" type="VALUE">
                      <a:rPr lang="en-GB" baseline="0"/>
                      <a:pPr>
                        <a:defRPr b="1">
                          <a:solidFill>
                            <a:schemeClr val="accent1">
                              <a:lumMod val="50000"/>
                            </a:schemeClr>
                          </a:solidFill>
                        </a:defRPr>
                      </a:pPr>
                      <a:t>[VALUE]</a:t>
                    </a:fld>
                    <a:endParaRPr lang="en-GB" baseline="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3BC-4E85-A223-8B7206658374}"/>
                </c:ext>
              </c:extLst>
            </c:dLbl>
            <c:dLbl>
              <c:idx val="1"/>
              <c:tx>
                <c:rich>
                  <a:bodyPr/>
                  <a:lstStyle/>
                  <a:p>
                    <a:fld id="{2277E25F-A1D8-4258-8D29-96DDA417B521}" type="CELLRANGE">
                      <a:rPr lang="en-GB"/>
                      <a:pPr/>
                      <a:t>[CELLRANGE]</a:t>
                    </a:fld>
                    <a:r>
                      <a:rPr lang="en-GB" baseline="0"/>
                      <a:t>, </a:t>
                    </a:r>
                    <a:fld id="{CFC9CA47-9B7E-406F-872B-AE512123683A}" type="VALUE">
                      <a:rPr lang="en-GB" baseline="0"/>
                      <a:pPr/>
                      <a:t>[VALUE]</a:t>
                    </a:fld>
                    <a:endParaRPr lang="en-GB"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3BC-4E85-A223-8B7206658374}"/>
                </c:ext>
              </c:extLst>
            </c:dLbl>
            <c:dLbl>
              <c:idx val="2"/>
              <c:tx>
                <c:rich>
                  <a:bodyPr/>
                  <a:lstStyle/>
                  <a:p>
                    <a:fld id="{8ECD9D0D-A3FE-469F-8070-F99A273F6E60}" type="CELLRANGE">
                      <a:rPr lang="en-GB"/>
                      <a:pPr/>
                      <a:t>[CELLRANGE]</a:t>
                    </a:fld>
                    <a:r>
                      <a:rPr lang="en-GB" baseline="0"/>
                      <a:t>, </a:t>
                    </a:r>
                    <a:fld id="{86FBA336-86C3-4724-B5FF-9896E505823F}" type="VALUE">
                      <a:rPr lang="en-GB" baseline="0"/>
                      <a:pPr/>
                      <a:t>[VALUE]</a:t>
                    </a:fld>
                    <a:endParaRPr lang="en-GB"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3BC-4E85-A223-8B7206658374}"/>
                </c:ext>
              </c:extLst>
            </c:dLbl>
            <c:dLbl>
              <c:idx val="3"/>
              <c:tx>
                <c:rich>
                  <a:bodyPr/>
                  <a:lstStyle/>
                  <a:p>
                    <a:fld id="{04CEEBCC-1E8F-4100-B49B-8FCA4E0FD23C}" type="CELLRANGE">
                      <a:rPr lang="en-GB"/>
                      <a:pPr/>
                      <a:t>[CELLRANGE]</a:t>
                    </a:fld>
                    <a:r>
                      <a:rPr lang="en-GB" baseline="0"/>
                      <a:t>, </a:t>
                    </a:r>
                    <a:fld id="{5FEAEC5D-C2C3-4C6B-8A44-E60103D88D75}" type="VALUE">
                      <a:rPr lang="en-GB" baseline="0"/>
                      <a:pPr/>
                      <a:t>[VALUE]</a:t>
                    </a:fld>
                    <a:endParaRPr lang="en-GB"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E8A-4219-8CF1-639FE8E0C010}"/>
                </c:ext>
              </c:extLst>
            </c:dLbl>
            <c:dLbl>
              <c:idx val="4"/>
              <c:tx>
                <c:rich>
                  <a:bodyPr/>
                  <a:lstStyle/>
                  <a:p>
                    <a:fld id="{EF45E32C-4A21-49C5-BD37-6A2C121C1950}" type="CELLRANGE">
                      <a:rPr lang="en-GB"/>
                      <a:pPr/>
                      <a:t>[CELLRANGE]</a:t>
                    </a:fld>
                    <a:r>
                      <a:rPr lang="en-GB" baseline="0"/>
                      <a:t>, </a:t>
                    </a:r>
                    <a:fld id="{7A39B2A5-F9E4-4EF6-9C60-71A3DE1C800A}" type="VALUE">
                      <a:rPr lang="en-GB" baseline="0"/>
                      <a:pPr/>
                      <a:t>[VALUE]</a:t>
                    </a:fld>
                    <a:endParaRPr lang="en-GB"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E8A-4219-8CF1-639FE8E0C010}"/>
                </c:ext>
              </c:extLst>
            </c:dLbl>
            <c:dLbl>
              <c:idx val="5"/>
              <c:tx>
                <c:rich>
                  <a:bodyPr/>
                  <a:lstStyle/>
                  <a:p>
                    <a:fld id="{613C3C7E-1B11-49B6-9603-8E5B86805F89}" type="CELLRANGE">
                      <a:rPr lang="en-GB"/>
                      <a:pPr/>
                      <a:t>[CELLRANGE]</a:t>
                    </a:fld>
                    <a:r>
                      <a:rPr lang="en-GB" baseline="0"/>
                      <a:t>, </a:t>
                    </a:r>
                    <a:fld id="{E16529C5-4066-466E-B346-477DDE233E9C}" type="VALUE">
                      <a:rPr lang="en-GB" baseline="0"/>
                      <a:pPr/>
                      <a:t>[VALUE]</a:t>
                    </a:fld>
                    <a:endParaRPr lang="en-GB" baseline="0"/>
                  </a:p>
                </c:rich>
              </c:tx>
              <c:dLblPos val="b"/>
              <c:showLegendKey val="0"/>
              <c:showVal val="1"/>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E8A-4219-8CF1-639FE8E0C010}"/>
                </c:ext>
              </c:extLst>
            </c:dLbl>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Dashboard!$P$18:$P$23</c:f>
              <c:strCache>
                <c:ptCount val="6"/>
                <c:pt idx="0">
                  <c:v>HDT 2021: 
HDT 2018/19-2020/21</c:v>
                </c:pt>
                <c:pt idx="1">
                  <c:v>HDT 2022: 
HDT 2019/20-2021/22</c:v>
                </c:pt>
                <c:pt idx="2">
                  <c:v>HDT 2023: 
HDT 2020/21-2022/23</c:v>
                </c:pt>
                <c:pt idx="3">
                  <c:v>HDT 2024: 
HDT 2020/21-2022/24</c:v>
                </c:pt>
                <c:pt idx="4">
                  <c:v>HDT 2025: 
HDT 2020/21-2022/25</c:v>
                </c:pt>
                <c:pt idx="5">
                  <c:v>HDT 2026: 
HDT 2020/21-2022/26</c:v>
                </c:pt>
              </c:strCache>
            </c:strRef>
          </c:cat>
          <c:val>
            <c:numRef>
              <c:f>Dashboard!$Q$18:$Q$23</c:f>
              <c:numCache>
                <c:formatCode>0.0%</c:formatCode>
                <c:ptCount val="6"/>
                <c:pt idx="0">
                  <c:v>1.4240540540540543</c:v>
                </c:pt>
                <c:pt idx="1">
                  <c:v>1.3542660952212808</c:v>
                </c:pt>
                <c:pt idx="2">
                  <c:v>1.2282309928186947</c:v>
                </c:pt>
                <c:pt idx="3">
                  <c:v>1.6807875262382703</c:v>
                </c:pt>
                <c:pt idx="4">
                  <c:v>1.2131524957610389</c:v>
                </c:pt>
                <c:pt idx="5">
                  <c:v>1.8006920863457396</c:v>
                </c:pt>
              </c:numCache>
            </c:numRef>
          </c:val>
          <c:smooth val="0"/>
          <c:extLst>
            <c:ext xmlns:c15="http://schemas.microsoft.com/office/drawing/2012/chart" uri="{02D57815-91ED-43cb-92C2-25804820EDAC}">
              <c15:datalabelsRange>
                <c15:f>Dashboard!$R$18:$R$24</c15:f>
                <c15:dlblRangeCache>
                  <c:ptCount val="7"/>
                  <c:pt idx="0">
                    <c:v>Pass</c:v>
                  </c:pt>
                  <c:pt idx="1">
                    <c:v>Pass</c:v>
                  </c:pt>
                  <c:pt idx="2">
                    <c:v>Pass</c:v>
                  </c:pt>
                  <c:pt idx="3">
                    <c:v>Pass</c:v>
                  </c:pt>
                  <c:pt idx="4">
                    <c:v>Pass</c:v>
                  </c:pt>
                  <c:pt idx="5">
                    <c:v>Pass</c:v>
                  </c:pt>
                </c15:dlblRangeCache>
              </c15:datalabelsRange>
            </c:ext>
            <c:ext xmlns:c16="http://schemas.microsoft.com/office/drawing/2014/chart" uri="{C3380CC4-5D6E-409C-BE32-E72D297353CC}">
              <c16:uniqueId val="{00000006-93BC-4E85-A223-8B7206658374}"/>
            </c:ext>
          </c:extLst>
        </c:ser>
        <c:dLbls>
          <c:dLblPos val="b"/>
          <c:showLegendKey val="0"/>
          <c:showVal val="1"/>
          <c:showCatName val="0"/>
          <c:showSerName val="0"/>
          <c:showPercent val="0"/>
          <c:showBubbleSize val="0"/>
        </c:dLbls>
        <c:marker val="1"/>
        <c:smooth val="0"/>
        <c:axId val="332760464"/>
        <c:axId val="332760136"/>
      </c:lineChart>
      <c:catAx>
        <c:axId val="332760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2760136"/>
        <c:crosses val="autoZero"/>
        <c:auto val="1"/>
        <c:lblAlgn val="ctr"/>
        <c:lblOffset val="100"/>
        <c:noMultiLvlLbl val="0"/>
      </c:catAx>
      <c:valAx>
        <c:axId val="332760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2760464"/>
        <c:crosses val="autoZero"/>
        <c:crossBetween val="between"/>
      </c:valAx>
    </c:plotArea>
    <c:plotVisOnly val="1"/>
    <c:dispBlanksAs val="zero"/>
    <c:showDLblsOverMax val="0"/>
    <c:extLst/>
  </c:chart>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Dashboard!$R$14</c:f>
          <c:strCache>
            <c:ptCount val="1"/>
            <c:pt idx="0">
              <c:v>EM</c:v>
            </c:pt>
          </c:strCache>
        </c:strRef>
      </c:tx>
      <c:layout>
        <c:manualLayout>
          <c:xMode val="edge"/>
          <c:yMode val="edge"/>
          <c:x val="0.35562462479731033"/>
          <c:y val="2.9374661932104609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6.1572032341648909E-2"/>
          <c:y val="0.161372875359133"/>
          <c:w val="0.73983792737769172"/>
          <c:h val="0.77253735448109406"/>
        </c:manualLayout>
      </c:layout>
      <c:lineChart>
        <c:grouping val="standard"/>
        <c:varyColors val="0"/>
        <c:ser>
          <c:idx val="0"/>
          <c:order val="0"/>
          <c:tx>
            <c:strRef>
              <c:f>Dashboard!$Q$39</c:f>
              <c:strCache>
                <c:ptCount val="1"/>
                <c:pt idx="0">
                  <c:v>Selected region</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Dashboard!$P$40:$P$45</c:f>
              <c:strCache>
                <c:ptCount val="6"/>
                <c:pt idx="0">
                  <c:v>HDT 2021: 
HDT 2018/19-2020/21</c:v>
                </c:pt>
                <c:pt idx="1">
                  <c:v>HDT 2022: 
HDT 2019/20-2021/22</c:v>
                </c:pt>
                <c:pt idx="2">
                  <c:v>HDT 2023: 
HDT 2020/21-2022/23</c:v>
                </c:pt>
                <c:pt idx="3">
                  <c:v>HDT 2024: 
HDT 2020/21-2022/24</c:v>
                </c:pt>
                <c:pt idx="4">
                  <c:v>HDT 2025: 
HDT 2020/21-2022/25</c:v>
                </c:pt>
                <c:pt idx="5">
                  <c:v>HDT 2026: 
HDT 2020/21-2022/26</c:v>
                </c:pt>
              </c:strCache>
            </c:strRef>
          </c:cat>
          <c:val>
            <c:numRef>
              <c:f>Dashboard!$Q$40:$Q$45</c:f>
              <c:numCache>
                <c:formatCode>0.00%</c:formatCode>
                <c:ptCount val="6"/>
                <c:pt idx="0">
                  <c:v>1.4240540540540543</c:v>
                </c:pt>
                <c:pt idx="1">
                  <c:v>1.3542660952212808</c:v>
                </c:pt>
                <c:pt idx="2">
                  <c:v>1.2282309928186947</c:v>
                </c:pt>
                <c:pt idx="3">
                  <c:v>1.6807875262382703</c:v>
                </c:pt>
                <c:pt idx="4">
                  <c:v>1.2131524957610389</c:v>
                </c:pt>
                <c:pt idx="5">
                  <c:v>1.8006920863457396</c:v>
                </c:pt>
              </c:numCache>
            </c:numRef>
          </c:val>
          <c:smooth val="0"/>
          <c:extLst>
            <c:ext xmlns:c16="http://schemas.microsoft.com/office/drawing/2014/chart" uri="{C3380CC4-5D6E-409C-BE32-E72D297353CC}">
              <c16:uniqueId val="{00000007-4312-46DD-AD44-E47CD40D2111}"/>
            </c:ext>
          </c:extLst>
        </c:ser>
        <c:ser>
          <c:idx val="1"/>
          <c:order val="1"/>
          <c:tx>
            <c:strRef>
              <c:f>Dashboard!$R$39</c:f>
              <c:strCache>
                <c:ptCount val="1"/>
                <c:pt idx="0">
                  <c:v>Individual Local Authority</c:v>
                </c:pt>
              </c:strCache>
            </c:strRef>
          </c:tx>
          <c:dLbls>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Dashboard!$P$40:$P$45</c:f>
              <c:strCache>
                <c:ptCount val="6"/>
                <c:pt idx="0">
                  <c:v>HDT 2021: 
HDT 2018/19-2020/21</c:v>
                </c:pt>
                <c:pt idx="1">
                  <c:v>HDT 2022: 
HDT 2019/20-2021/22</c:v>
                </c:pt>
                <c:pt idx="2">
                  <c:v>HDT 2023: 
HDT 2020/21-2022/23</c:v>
                </c:pt>
                <c:pt idx="3">
                  <c:v>HDT 2024: 
HDT 2020/21-2022/24</c:v>
                </c:pt>
                <c:pt idx="4">
                  <c:v>HDT 2025: 
HDT 2020/21-2022/25</c:v>
                </c:pt>
                <c:pt idx="5">
                  <c:v>HDT 2026: 
HDT 2020/21-2022/26</c:v>
                </c:pt>
              </c:strCache>
            </c:strRef>
          </c:cat>
          <c:val>
            <c:numRef>
              <c:f>Dashboard!$R$40:$R$45</c:f>
              <c:numCache>
                <c:formatCode>0.00%</c:formatCode>
                <c:ptCount val="6"/>
                <c:pt idx="0">
                  <c:v>0.77</c:v>
                </c:pt>
                <c:pt idx="1">
                  <c:v>0.729528535980149</c:v>
                </c:pt>
                <c:pt idx="2">
                  <c:v>0.90935136796408877</c:v>
                </c:pt>
                <c:pt idx="3">
                  <c:v>0.59409438986098684</c:v>
                </c:pt>
                <c:pt idx="4">
                  <c:v>0.55392054276766167</c:v>
                </c:pt>
                <c:pt idx="5">
                  <c:v>0.54004126563049115</c:v>
                </c:pt>
              </c:numCache>
            </c:numRef>
          </c:val>
          <c:smooth val="0"/>
          <c:extLst>
            <c:ext xmlns:c16="http://schemas.microsoft.com/office/drawing/2014/chart" uri="{C3380CC4-5D6E-409C-BE32-E72D297353CC}">
              <c16:uniqueId val="{00000008-4312-46DD-AD44-E47CD40D2111}"/>
            </c:ext>
          </c:extLst>
        </c:ser>
        <c:dLbls>
          <c:dLblPos val="b"/>
          <c:showLegendKey val="0"/>
          <c:showVal val="1"/>
          <c:showCatName val="0"/>
          <c:showSerName val="0"/>
          <c:showPercent val="0"/>
          <c:showBubbleSize val="0"/>
        </c:dLbls>
        <c:marker val="1"/>
        <c:smooth val="0"/>
        <c:axId val="332760464"/>
        <c:axId val="332760136"/>
      </c:lineChart>
      <c:catAx>
        <c:axId val="332760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2760136"/>
        <c:crosses val="autoZero"/>
        <c:auto val="1"/>
        <c:lblAlgn val="ctr"/>
        <c:lblOffset val="100"/>
        <c:noMultiLvlLbl val="0"/>
      </c:catAx>
      <c:valAx>
        <c:axId val="332760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2760464"/>
        <c:crosses val="autoZero"/>
        <c:crossBetween val="between"/>
      </c:valAx>
    </c:plotArea>
    <c:legend>
      <c:legendPos val="r"/>
      <c:layout>
        <c:manualLayout>
          <c:xMode val="edge"/>
          <c:yMode val="edge"/>
          <c:x val="0.8096735266418047"/>
          <c:y val="0.30000703168115661"/>
          <c:w val="0.19032652245403736"/>
          <c:h val="8.1361813453498355E-2"/>
        </c:manualLayout>
      </c:layout>
      <c:overlay val="0"/>
    </c:legend>
    <c:plotVisOnly val="1"/>
    <c:dispBlanksAs val="zero"/>
    <c:showDLblsOverMax val="0"/>
    <c:extLst/>
  </c:chart>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456050</xdr:colOff>
      <xdr:row>23</xdr:row>
      <xdr:rowOff>71378</xdr:rowOff>
    </xdr:from>
    <xdr:to>
      <xdr:col>6</xdr:col>
      <xdr:colOff>763667</xdr:colOff>
      <xdr:row>42</xdr:row>
      <xdr:rowOff>118762</xdr:rowOff>
    </xdr:to>
    <xdr:graphicFrame macro="">
      <xdr:nvGraphicFramePr>
        <xdr:cNvPr id="4" name="Chart 3">
          <a:extLst>
            <a:ext uri="{FF2B5EF4-FFF2-40B4-BE49-F238E27FC236}">
              <a16:creationId xmlns:a16="http://schemas.microsoft.com/office/drawing/2014/main" id="{FF4B9259-594F-474A-B2FE-043C9F6714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585162</xdr:colOff>
      <xdr:row>55</xdr:row>
      <xdr:rowOff>32231</xdr:rowOff>
    </xdr:from>
    <xdr:to>
      <xdr:col>9</xdr:col>
      <xdr:colOff>718458</xdr:colOff>
      <xdr:row>84</xdr:row>
      <xdr:rowOff>42334</xdr:rowOff>
    </xdr:to>
    <xdr:graphicFrame macro="">
      <xdr:nvGraphicFramePr>
        <xdr:cNvPr id="5" name="Chart 4">
          <a:extLst>
            <a:ext uri="{FF2B5EF4-FFF2-40B4-BE49-F238E27FC236}">
              <a16:creationId xmlns:a16="http://schemas.microsoft.com/office/drawing/2014/main" id="{5B49C02A-67E1-4126-A2CF-90314171BE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560916</xdr:colOff>
      <xdr:row>92</xdr:row>
      <xdr:rowOff>174625</xdr:rowOff>
    </xdr:from>
    <xdr:to>
      <xdr:col>9</xdr:col>
      <xdr:colOff>665238</xdr:colOff>
      <xdr:row>118</xdr:row>
      <xdr:rowOff>180975</xdr:rowOff>
    </xdr:to>
    <xdr:graphicFrame macro="">
      <xdr:nvGraphicFramePr>
        <xdr:cNvPr id="6" name="Chart 5">
          <a:extLst>
            <a:ext uri="{FF2B5EF4-FFF2-40B4-BE49-F238E27FC236}">
              <a16:creationId xmlns:a16="http://schemas.microsoft.com/office/drawing/2014/main" id="{264FC7EB-F9DA-4C15-9D69-F81CD5EB3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704026</xdr:colOff>
      <xdr:row>16</xdr:row>
      <xdr:rowOff>39981</xdr:rowOff>
    </xdr:from>
    <xdr:to>
      <xdr:col>28</xdr:col>
      <xdr:colOff>142051</xdr:colOff>
      <xdr:row>35</xdr:row>
      <xdr:rowOff>44214</xdr:rowOff>
    </xdr:to>
    <xdr:graphicFrame macro="">
      <xdr:nvGraphicFramePr>
        <xdr:cNvPr id="7" name="Chart 6">
          <a:extLst>
            <a:ext uri="{FF2B5EF4-FFF2-40B4-BE49-F238E27FC236}">
              <a16:creationId xmlns:a16="http://schemas.microsoft.com/office/drawing/2014/main" id="{ACA99D28-A218-4C00-AEB6-5A11D44A29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632758</xdr:colOff>
      <xdr:row>37</xdr:row>
      <xdr:rowOff>98422</xdr:rowOff>
    </xdr:from>
    <xdr:to>
      <xdr:col>29</xdr:col>
      <xdr:colOff>422272</xdr:colOff>
      <xdr:row>60</xdr:row>
      <xdr:rowOff>12491</xdr:rowOff>
    </xdr:to>
    <xdr:graphicFrame macro="">
      <xdr:nvGraphicFramePr>
        <xdr:cNvPr id="8" name="Chart 7">
          <a:extLst>
            <a:ext uri="{FF2B5EF4-FFF2-40B4-BE49-F238E27FC236}">
              <a16:creationId xmlns:a16="http://schemas.microsoft.com/office/drawing/2014/main" id="{80CC08B5-F54F-406E-87EE-624DC09684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22</xdr:col>
      <xdr:colOff>25456</xdr:colOff>
      <xdr:row>38</xdr:row>
      <xdr:rowOff>30989</xdr:rowOff>
    </xdr:from>
    <xdr:ext cx="2818977" cy="298800"/>
    <xdr:sp macro="" textlink="">
      <xdr:nvSpPr>
        <xdr:cNvPr id="2" name="TextBox 1">
          <a:extLst>
            <a:ext uri="{FF2B5EF4-FFF2-40B4-BE49-F238E27FC236}">
              <a16:creationId xmlns:a16="http://schemas.microsoft.com/office/drawing/2014/main" id="{D756E2CE-C3C4-4DAF-872F-BD1BC000B2D5}"/>
            </a:ext>
          </a:extLst>
        </xdr:cNvPr>
        <xdr:cNvSpPr txBox="1"/>
      </xdr:nvSpPr>
      <xdr:spPr>
        <a:xfrm>
          <a:off x="25357071" y="9077297"/>
          <a:ext cx="2818977"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400">
              <a:latin typeface="Arial" panose="020B0604020202020204" pitchFamily="34" charset="0"/>
              <a:cs typeface="Arial" panose="020B0604020202020204" pitchFamily="34" charset="0"/>
            </a:rPr>
            <a:t>region versus the local authority </a:t>
          </a:r>
          <a:r>
            <a:rPr lang="en-GB" sz="1400" baseline="0">
              <a:latin typeface="Arial" panose="020B0604020202020204" pitchFamily="34" charset="0"/>
              <a:cs typeface="Arial" panose="020B0604020202020204" pitchFamily="34" charset="0"/>
            </a:rPr>
            <a:t> </a:t>
          </a:r>
          <a:endParaRPr lang="en-GB" sz="1400">
            <a:latin typeface="Arial" panose="020B0604020202020204" pitchFamily="34" charset="0"/>
            <a:cs typeface="Arial" panose="020B0604020202020204" pitchFamily="34" charset="0"/>
          </a:endParaRPr>
        </a:p>
      </xdr:txBody>
    </xdr:sp>
    <xdr:clientData/>
  </xdr:oneCellAnchor>
  <xdr:oneCellAnchor>
    <xdr:from>
      <xdr:col>19</xdr:col>
      <xdr:colOff>940188</xdr:colOff>
      <xdr:row>38</xdr:row>
      <xdr:rowOff>33203</xdr:rowOff>
    </xdr:from>
    <xdr:ext cx="1461747" cy="298800"/>
    <xdr:sp macro="" textlink="">
      <xdr:nvSpPr>
        <xdr:cNvPr id="9" name="TextBox 8">
          <a:extLst>
            <a:ext uri="{FF2B5EF4-FFF2-40B4-BE49-F238E27FC236}">
              <a16:creationId xmlns:a16="http://schemas.microsoft.com/office/drawing/2014/main" id="{D2A73D06-B7F1-48D2-AD50-D83C898B9D74}"/>
            </a:ext>
          </a:extLst>
        </xdr:cNvPr>
        <xdr:cNvSpPr txBox="1"/>
      </xdr:nvSpPr>
      <xdr:spPr>
        <a:xfrm>
          <a:off x="23665717" y="8863438"/>
          <a:ext cx="1461747"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400">
              <a:latin typeface="Arial" panose="020B0604020202020204" pitchFamily="34" charset="0"/>
              <a:cs typeface="Arial" panose="020B0604020202020204" pitchFamily="34" charset="0"/>
            </a:rPr>
            <a:t>Average</a:t>
          </a:r>
          <a:r>
            <a:rPr lang="en-GB" sz="1400" baseline="0">
              <a:latin typeface="Arial" panose="020B0604020202020204" pitchFamily="34" charset="0"/>
              <a:cs typeface="Arial" panose="020B0604020202020204" pitchFamily="34" charset="0"/>
            </a:rPr>
            <a:t> HDT in</a:t>
          </a:r>
          <a:endParaRPr lang="en-GB" sz="1400">
            <a:latin typeface="Arial" panose="020B0604020202020204" pitchFamily="34" charset="0"/>
            <a:cs typeface="Arial" panose="020B0604020202020204" pitchFamily="34" charset="0"/>
          </a:endParaRPr>
        </a:p>
      </xdr:txBody>
    </xdr:sp>
    <xdr:clientData/>
  </xdr:oneCellAnchor>
  <xdr:oneCellAnchor>
    <xdr:from>
      <xdr:col>26</xdr:col>
      <xdr:colOff>177855</xdr:colOff>
      <xdr:row>38</xdr:row>
      <xdr:rowOff>36850</xdr:rowOff>
    </xdr:from>
    <xdr:ext cx="912814" cy="298800"/>
    <xdr:sp macro="" textlink="$D$4">
      <xdr:nvSpPr>
        <xdr:cNvPr id="10" name="TextBox 9">
          <a:extLst>
            <a:ext uri="{FF2B5EF4-FFF2-40B4-BE49-F238E27FC236}">
              <a16:creationId xmlns:a16="http://schemas.microsoft.com/office/drawing/2014/main" id="{5769475B-F66F-4C1A-9FAC-3045ED907794}"/>
            </a:ext>
          </a:extLst>
        </xdr:cNvPr>
        <xdr:cNvSpPr txBox="1"/>
      </xdr:nvSpPr>
      <xdr:spPr>
        <a:xfrm>
          <a:off x="27912027" y="9088884"/>
          <a:ext cx="912814"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CFD7C25E-B383-4165-AC98-2B8B74F8474B}" type="TxLink">
            <a:rPr lang="en-US" sz="1400" b="1" i="0" u="none" strike="noStrike">
              <a:solidFill>
                <a:srgbClr val="000000"/>
              </a:solidFill>
              <a:latin typeface="Arial"/>
              <a:cs typeface="Arial"/>
            </a:rPr>
            <a:pPr/>
            <a:t>Adur</a:t>
          </a:fld>
          <a:endParaRPr lang="en-GB" sz="1800" b="1">
            <a:latin typeface="Arial" panose="020B0604020202020204" pitchFamily="34" charset="0"/>
            <a:cs typeface="Arial" panose="020B0604020202020204" pitchFamily="34" charset="0"/>
          </a:endParaRPr>
        </a:p>
      </xdr:txBody>
    </xdr:sp>
    <xdr:clientData/>
  </xdr:oneCellAnchor>
</xdr:wsDr>
</file>

<file path=xl/drawings/drawing2.xml><?xml version="1.0" encoding="utf-8"?>
<c:userShapes xmlns:c="http://schemas.openxmlformats.org/drawingml/2006/chart">
  <cdr:relSizeAnchor xmlns:cdr="http://schemas.openxmlformats.org/drawingml/2006/chartDrawing">
    <cdr:from>
      <cdr:x>0.60603</cdr:x>
      <cdr:y>0.01572</cdr:y>
    </cdr:from>
    <cdr:to>
      <cdr:x>0.69681</cdr:x>
      <cdr:y>0.08918</cdr:y>
    </cdr:to>
    <cdr:sp macro="" textlink="Dashboard!$D$4">
      <cdr:nvSpPr>
        <cdr:cNvPr id="2" name="TextBox 9">
          <a:extLst xmlns:a="http://schemas.openxmlformats.org/drawingml/2006/main">
            <a:ext uri="{FF2B5EF4-FFF2-40B4-BE49-F238E27FC236}">
              <a16:creationId xmlns:a16="http://schemas.microsoft.com/office/drawing/2014/main" id="{5769475B-F66F-4C1A-9FAC-3045ED907794}"/>
            </a:ext>
          </a:extLst>
        </cdr:cNvPr>
        <cdr:cNvSpPr txBox="1"/>
      </cdr:nvSpPr>
      <cdr:spPr>
        <a:xfrm xmlns:a="http://schemas.openxmlformats.org/drawingml/2006/main">
          <a:off x="6094248" y="63938"/>
          <a:ext cx="912814" cy="29880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fld id="{795318C8-397D-41E5-A244-E207924A16C0}" type="TxLink">
            <a:rPr lang="en-US" sz="1400" b="1" i="0" u="none" strike="noStrike">
              <a:solidFill>
                <a:srgbClr val="000000"/>
              </a:solidFill>
              <a:latin typeface="Arial"/>
              <a:cs typeface="Arial"/>
            </a:rPr>
            <a:pPr/>
            <a:t>Adur</a:t>
          </a:fld>
          <a:endParaRPr lang="en-GB" sz="2400" b="1">
            <a:latin typeface="Arial" panose="020B0604020202020204" pitchFamily="34" charset="0"/>
            <a:cs typeface="Arial" panose="020B0604020202020204" pitchFamily="34" charset="0"/>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0.66537</cdr:x>
      <cdr:y>0.01442</cdr:y>
    </cdr:from>
    <cdr:to>
      <cdr:x>0.73842</cdr:x>
      <cdr:y>0.07033</cdr:y>
    </cdr:to>
    <cdr:sp macro="" textlink="Dashboard!$D$4">
      <cdr:nvSpPr>
        <cdr:cNvPr id="2" name="TextBox 9">
          <a:extLst xmlns:a="http://schemas.openxmlformats.org/drawingml/2006/main">
            <a:ext uri="{FF2B5EF4-FFF2-40B4-BE49-F238E27FC236}">
              <a16:creationId xmlns:a16="http://schemas.microsoft.com/office/drawing/2014/main" id="{0193F789-FC14-4697-B31A-FA03800B4FEF}"/>
            </a:ext>
          </a:extLst>
        </cdr:cNvPr>
        <cdr:cNvSpPr txBox="1"/>
      </cdr:nvSpPr>
      <cdr:spPr>
        <a:xfrm xmlns:a="http://schemas.openxmlformats.org/drawingml/2006/main">
          <a:off x="8314559" y="77076"/>
          <a:ext cx="912814" cy="29880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fld id="{00A5F069-CD85-49A6-8AC0-C48928B2823B}" type="TxLink">
            <a:rPr lang="en-US" sz="1400" b="1" i="0" u="none" strike="noStrike">
              <a:solidFill>
                <a:srgbClr val="000000"/>
              </a:solidFill>
              <a:latin typeface="Arial"/>
              <a:cs typeface="Arial"/>
            </a:rPr>
            <a:pPr/>
            <a:t>Adur</a:t>
          </a:fld>
          <a:endParaRPr lang="en-GB" sz="3200" b="1">
            <a:latin typeface="Arial" panose="020B0604020202020204" pitchFamily="34" charset="0"/>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0.59737</cdr:x>
      <cdr:y>0.05999</cdr:y>
    </cdr:from>
    <cdr:to>
      <cdr:x>0.64578</cdr:x>
      <cdr:y>0.12239</cdr:y>
    </cdr:to>
    <cdr:sp macro="" textlink="Dashboard!$D$4">
      <cdr:nvSpPr>
        <cdr:cNvPr id="2" name="TextBox 9">
          <a:extLst xmlns:a="http://schemas.openxmlformats.org/drawingml/2006/main">
            <a:ext uri="{FF2B5EF4-FFF2-40B4-BE49-F238E27FC236}">
              <a16:creationId xmlns:a16="http://schemas.microsoft.com/office/drawing/2014/main" id="{66A8A039-C637-4FA4-9E0E-110C459FE22C}"/>
            </a:ext>
          </a:extLst>
        </cdr:cNvPr>
        <cdr:cNvSpPr txBox="1"/>
      </cdr:nvSpPr>
      <cdr:spPr>
        <a:xfrm xmlns:a="http://schemas.openxmlformats.org/drawingml/2006/main">
          <a:off x="7447455" y="287283"/>
          <a:ext cx="603499" cy="29880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fld id="{44C2E382-7859-4899-B278-8275F7AAC153}" type="TxLink">
            <a:rPr lang="en-US" sz="1400" b="1" i="0" u="none" strike="noStrike">
              <a:solidFill>
                <a:srgbClr val="000000"/>
              </a:solidFill>
              <a:latin typeface="Arial"/>
              <a:cs typeface="Arial"/>
            </a:rPr>
            <a:pPr/>
            <a:t>Adur</a:t>
          </a:fld>
          <a:endParaRPr lang="en-GB" sz="4000" b="1">
            <a:latin typeface="Arial" panose="020B0604020202020204" pitchFamily="34" charset="0"/>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0.20283</cdr:x>
      <cdr:y>0.01036</cdr:y>
    </cdr:from>
    <cdr:to>
      <cdr:x>0.62079</cdr:x>
      <cdr:y>0.07677</cdr:y>
    </cdr:to>
    <cdr:sp macro="" textlink="">
      <cdr:nvSpPr>
        <cdr:cNvPr id="2" name="TextBox 1">
          <a:extLst xmlns:a="http://schemas.openxmlformats.org/drawingml/2006/main">
            <a:ext uri="{FF2B5EF4-FFF2-40B4-BE49-F238E27FC236}">
              <a16:creationId xmlns:a16="http://schemas.microsoft.com/office/drawing/2014/main" id="{042BE976-EFB3-4EB9-BCEE-1BDA55D6B911}"/>
            </a:ext>
          </a:extLst>
        </cdr:cNvPr>
        <cdr:cNvSpPr txBox="1"/>
      </cdr:nvSpPr>
      <cdr:spPr>
        <a:xfrm xmlns:a="http://schemas.openxmlformats.org/drawingml/2006/main">
          <a:off x="1362866" y="46047"/>
          <a:ext cx="2808426" cy="29517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400">
              <a:latin typeface="Arial" panose="020B0604020202020204" pitchFamily="34" charset="0"/>
              <a:cs typeface="Arial" panose="020B0604020202020204" pitchFamily="34" charset="0"/>
            </a:rPr>
            <a:t>Changes in HDT over time in the</a:t>
          </a:r>
        </a:p>
      </cdr:txBody>
    </cdr:sp>
  </cdr:relSizeAnchor>
  <cdr:relSizeAnchor xmlns:cdr="http://schemas.openxmlformats.org/drawingml/2006/chartDrawing">
    <cdr:from>
      <cdr:x>0.65685</cdr:x>
      <cdr:y>0.01005</cdr:y>
    </cdr:from>
    <cdr:to>
      <cdr:x>0.993</cdr:x>
      <cdr:y>0.08894</cdr:y>
    </cdr:to>
    <cdr:sp macro="" textlink="">
      <cdr:nvSpPr>
        <cdr:cNvPr id="3" name="TextBox 1">
          <a:extLst xmlns:a="http://schemas.openxmlformats.org/drawingml/2006/main">
            <a:ext uri="{FF2B5EF4-FFF2-40B4-BE49-F238E27FC236}">
              <a16:creationId xmlns:a16="http://schemas.microsoft.com/office/drawing/2014/main" id="{9CCD9D41-1545-4213-B2DF-1DB8D3B48846}"/>
            </a:ext>
          </a:extLst>
        </cdr:cNvPr>
        <cdr:cNvSpPr txBox="1"/>
      </cdr:nvSpPr>
      <cdr:spPr>
        <a:xfrm xmlns:a="http://schemas.openxmlformats.org/drawingml/2006/main">
          <a:off x="4413603" y="44685"/>
          <a:ext cx="2258717" cy="35059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400">
              <a:latin typeface="Arial" panose="020B0604020202020204" pitchFamily="34" charset="0"/>
              <a:cs typeface="Arial" panose="020B0604020202020204" pitchFamily="34" charset="0"/>
            </a:rPr>
            <a:t>region</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Z:\ASCT\P006%20Housing%20Markets\008%20Housing%20Supply\Monitoring%20cumulative%20impacts%20of%20policy\201700807%20Master%20Cumulative%20Supply%20Mode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hclg.sharepoint.com/sites/PlanningandLandUseAnalysisteamarea/Shared%20Documents/Planning%20Analysis/HDT/HDT%202021/SRO%20Sign%20off/Final/2021%20HDT%20(Master)%20FO%20Unlock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Output Table"/>
      <sheetName val="IU Output"/>
      <sheetName val="Historic Net Additions"/>
      <sheetName val="Economic Scenarios Input"/>
      <sheetName val="Programme Assumptions"/>
      <sheetName val="Programme Trajectory Input"/>
      <sheetName val="Private Baseline Calculation"/>
      <sheetName val="IU data"/>
    </sheetNames>
    <sheetDataSet>
      <sheetData sheetId="0" refreshError="1"/>
      <sheetData sheetId="1" refreshError="1"/>
      <sheetData sheetId="2" refreshError="1"/>
      <sheetData sheetId="3" refreshError="1"/>
      <sheetData sheetId="4" refreshError="1"/>
      <sheetData sheetId="5" refreshError="1"/>
      <sheetData sheetId="6">
        <row r="11">
          <cell r="E11">
            <v>808</v>
          </cell>
          <cell r="F11">
            <v>3167</v>
          </cell>
          <cell r="G11">
            <v>4382</v>
          </cell>
          <cell r="H11">
            <v>7128</v>
          </cell>
          <cell r="I11">
            <v>1772</v>
          </cell>
          <cell r="J11">
            <v>843</v>
          </cell>
          <cell r="K11">
            <v>154</v>
          </cell>
        </row>
        <row r="12">
          <cell r="E12">
            <v>0</v>
          </cell>
          <cell r="F12">
            <v>0</v>
          </cell>
          <cell r="G12">
            <v>16</v>
          </cell>
          <cell r="H12">
            <v>133</v>
          </cell>
          <cell r="I12">
            <v>622</v>
          </cell>
          <cell r="J12">
            <v>1692</v>
          </cell>
          <cell r="K12">
            <v>3047</v>
          </cell>
        </row>
        <row r="14">
          <cell r="E14">
            <v>808</v>
          </cell>
          <cell r="F14">
            <v>3167</v>
          </cell>
          <cell r="G14">
            <v>4398</v>
          </cell>
          <cell r="H14">
            <v>7261</v>
          </cell>
          <cell r="I14">
            <v>2394</v>
          </cell>
          <cell r="J14">
            <v>2535</v>
          </cell>
          <cell r="K14">
            <v>3201</v>
          </cell>
        </row>
        <row r="16">
          <cell r="D16">
            <v>23764</v>
          </cell>
        </row>
        <row r="17">
          <cell r="D17">
            <v>14254</v>
          </cell>
        </row>
        <row r="21">
          <cell r="C21">
            <v>0.25</v>
          </cell>
        </row>
        <row r="23">
          <cell r="D23">
            <v>0</v>
          </cell>
          <cell r="E23">
            <v>202</v>
          </cell>
          <cell r="F23">
            <v>791.75</v>
          </cell>
          <cell r="G23">
            <v>1099.5</v>
          </cell>
          <cell r="H23">
            <v>1815.25</v>
          </cell>
          <cell r="I23">
            <v>598.5</v>
          </cell>
          <cell r="J23">
            <v>633.75</v>
          </cell>
          <cell r="K23">
            <v>800.25</v>
          </cell>
        </row>
        <row r="29">
          <cell r="D29">
            <v>20676</v>
          </cell>
        </row>
        <row r="30">
          <cell r="D30">
            <v>0</v>
          </cell>
          <cell r="E30">
            <v>0</v>
          </cell>
          <cell r="F30">
            <v>0</v>
          </cell>
          <cell r="G30">
            <v>0</v>
          </cell>
          <cell r="H30">
            <v>0.25</v>
          </cell>
          <cell r="I30">
            <v>0.25</v>
          </cell>
          <cell r="J30">
            <v>0.25</v>
          </cell>
          <cell r="K30">
            <v>0.25</v>
          </cell>
        </row>
        <row r="31">
          <cell r="D31">
            <v>0</v>
          </cell>
          <cell r="E31">
            <v>0</v>
          </cell>
          <cell r="F31">
            <v>0</v>
          </cell>
          <cell r="G31">
            <v>0</v>
          </cell>
          <cell r="H31">
            <v>5169</v>
          </cell>
          <cell r="I31">
            <v>5169</v>
          </cell>
          <cell r="J31">
            <v>5169</v>
          </cell>
          <cell r="K31">
            <v>5169</v>
          </cell>
        </row>
        <row r="34">
          <cell r="C34">
            <v>0.1</v>
          </cell>
        </row>
        <row r="36">
          <cell r="D36">
            <v>0</v>
          </cell>
          <cell r="E36">
            <v>0</v>
          </cell>
          <cell r="F36">
            <v>0</v>
          </cell>
          <cell r="G36">
            <v>0</v>
          </cell>
          <cell r="H36">
            <v>516.9</v>
          </cell>
          <cell r="I36">
            <v>516.9</v>
          </cell>
          <cell r="J36">
            <v>516.9</v>
          </cell>
          <cell r="K36">
            <v>516.9</v>
          </cell>
        </row>
        <row r="42">
          <cell r="D42">
            <v>5742</v>
          </cell>
        </row>
        <row r="43">
          <cell r="D43">
            <v>1409</v>
          </cell>
        </row>
        <row r="44">
          <cell r="D44">
            <v>0</v>
          </cell>
          <cell r="E44">
            <v>0</v>
          </cell>
          <cell r="F44">
            <v>0</v>
          </cell>
          <cell r="G44">
            <v>0.42798353909465014</v>
          </cell>
          <cell r="H44">
            <v>0.28600823045267487</v>
          </cell>
          <cell r="I44">
            <v>0.28600823045267487</v>
          </cell>
        </row>
        <row r="45">
          <cell r="D45">
            <v>0</v>
          </cell>
          <cell r="E45">
            <v>0</v>
          </cell>
          <cell r="F45">
            <v>0</v>
          </cell>
          <cell r="G45">
            <v>3060.5102880658433</v>
          </cell>
          <cell r="H45">
            <v>2045.2448559670779</v>
          </cell>
          <cell r="I45">
            <v>2045.2448559670779</v>
          </cell>
        </row>
        <row r="48">
          <cell r="C48">
            <v>0.1</v>
          </cell>
        </row>
        <row r="50">
          <cell r="D50">
            <v>0</v>
          </cell>
          <cell r="E50">
            <v>0</v>
          </cell>
          <cell r="F50">
            <v>0</v>
          </cell>
          <cell r="G50">
            <v>306.05102880658433</v>
          </cell>
          <cell r="H50">
            <v>204.52448559670779</v>
          </cell>
          <cell r="I50">
            <v>204.52448559670779</v>
          </cell>
        </row>
        <row r="59">
          <cell r="H59">
            <v>700</v>
          </cell>
          <cell r="I59">
            <v>1500</v>
          </cell>
        </row>
        <row r="60">
          <cell r="F60">
            <v>200</v>
          </cell>
          <cell r="G60">
            <v>200</v>
          </cell>
          <cell r="H60">
            <v>200</v>
          </cell>
          <cell r="I60">
            <v>200</v>
          </cell>
        </row>
        <row r="61">
          <cell r="G61">
            <v>500</v>
          </cell>
          <cell r="H61">
            <v>1000</v>
          </cell>
          <cell r="I61">
            <v>1000</v>
          </cell>
        </row>
        <row r="63">
          <cell r="D63">
            <v>0</v>
          </cell>
          <cell r="E63">
            <v>0</v>
          </cell>
          <cell r="F63">
            <v>200</v>
          </cell>
          <cell r="G63">
            <v>700</v>
          </cell>
          <cell r="H63">
            <v>1900</v>
          </cell>
          <cell r="I63">
            <v>2700</v>
          </cell>
        </row>
        <row r="65">
          <cell r="C65">
            <v>1</v>
          </cell>
        </row>
        <row r="67">
          <cell r="D67">
            <v>0</v>
          </cell>
          <cell r="E67">
            <v>0</v>
          </cell>
          <cell r="F67">
            <v>200</v>
          </cell>
          <cell r="G67">
            <v>700</v>
          </cell>
          <cell r="H67">
            <v>1900</v>
          </cell>
          <cell r="I67">
            <v>2700</v>
          </cell>
        </row>
        <row r="76">
          <cell r="D76">
            <v>33714</v>
          </cell>
          <cell r="E76">
            <v>30731</v>
          </cell>
          <cell r="F76">
            <v>48000</v>
          </cell>
          <cell r="G76">
            <v>48000</v>
          </cell>
          <cell r="H76">
            <v>38545.454545454544</v>
          </cell>
          <cell r="I76">
            <v>24000</v>
          </cell>
          <cell r="J76">
            <v>0</v>
          </cell>
          <cell r="K76">
            <v>0</v>
          </cell>
        </row>
        <row r="78">
          <cell r="C78">
            <v>0.43</v>
          </cell>
        </row>
        <row r="90">
          <cell r="C90">
            <v>0.74</v>
          </cell>
        </row>
        <row r="91">
          <cell r="E91">
            <v>91</v>
          </cell>
          <cell r="F91">
            <v>447</v>
          </cell>
          <cell r="G91">
            <v>396</v>
          </cell>
          <cell r="H91">
            <v>392</v>
          </cell>
          <cell r="I91">
            <v>678</v>
          </cell>
          <cell r="J91">
            <v>0</v>
          </cell>
          <cell r="K91">
            <v>0</v>
          </cell>
        </row>
        <row r="101">
          <cell r="E101">
            <v>0</v>
          </cell>
          <cell r="F101">
            <v>58.32440476607357</v>
          </cell>
          <cell r="G101">
            <v>659.39084852244059</v>
          </cell>
          <cell r="H101">
            <v>2412.6699477349548</v>
          </cell>
          <cell r="I101">
            <v>3978.1220511473043</v>
          </cell>
          <cell r="J101">
            <v>4445.4428490356013</v>
          </cell>
          <cell r="K101">
            <v>2278.5709069256236</v>
          </cell>
        </row>
        <row r="105">
          <cell r="D105">
            <v>0</v>
          </cell>
          <cell r="E105">
            <v>0</v>
          </cell>
          <cell r="F105">
            <v>17.497321429822069</v>
          </cell>
          <cell r="G105">
            <v>197.81725455673217</v>
          </cell>
          <cell r="H105">
            <v>723.80098432048646</v>
          </cell>
          <cell r="I105">
            <v>1193.4366153441913</v>
          </cell>
          <cell r="J105">
            <v>1333.6328547106802</v>
          </cell>
          <cell r="K105">
            <v>683.57127207768701</v>
          </cell>
        </row>
      </sheetData>
      <sheetData sheetId="7">
        <row r="7">
          <cell r="AB7">
            <v>0.24299999999999999</v>
          </cell>
        </row>
        <row r="8">
          <cell r="AB8">
            <v>0.28499999999999998</v>
          </cell>
        </row>
        <row r="9">
          <cell r="AB9">
            <v>0.122</v>
          </cell>
        </row>
        <row r="10">
          <cell r="AB10">
            <v>3.9199999999999999E-2</v>
          </cell>
        </row>
        <row r="11">
          <cell r="AB11">
            <v>1.2866</v>
          </cell>
        </row>
        <row r="18">
          <cell r="AB18">
            <v>4</v>
          </cell>
        </row>
      </sheetData>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HDT_Cover"/>
      <sheetName val="Changes_Log"/>
      <sheetName val="QA_LOG"/>
      <sheetName val="QA_LPAs"/>
      <sheetName val="Inputs_&gt;&gt;"/>
      <sheetName val="I;_Assumptions"/>
      <sheetName val="I;_LPA_Names"/>
      <sheetName val="I;_Treatment_of_JP-RO"/>
      <sheetName val="I;_Net_Additions"/>
      <sheetName val="I;_Communal_Accomodation_18-19"/>
      <sheetName val="I;_Communal_Accomodation_19-20"/>
      <sheetName val="I;_Communal_Accomodation_20-21"/>
      <sheetName val="National_Park_student_accom"/>
      <sheetName val="I;_National_Parks_Data"/>
      <sheetName val="I;_National_Park_Input"/>
      <sheetName val="I;_London_Plan"/>
      <sheetName val="I;_2018_LHN"/>
      <sheetName val="I;_2020_LHN"/>
      <sheetName val="I;_QA_LHN_Comparator"/>
      <sheetName val="I;_Local_Plans_data"/>
      <sheetName val="I;_20_Modified_Delta"/>
      <sheetName val="I;_21_Modified_Delta"/>
      <sheetName val="I;_Delta_Catalogue"/>
      <sheetName val="I;_London_HFR_2020"/>
      <sheetName val="I;_London_HFR_2021"/>
      <sheetName val="I;_LLDC_additions"/>
      <sheetName val="I;_BCP_HFR_20"/>
      <sheetName val="I;_Dorset_HFR_20"/>
      <sheetName val="I;_BCP_HFR_21"/>
      <sheetName val="I;_Dorset_HFR_21"/>
      <sheetName val="I;_Land_Constraints"/>
      <sheetName val="Calculation_&gt;&gt;"/>
      <sheetName val="C;_HDT_Calcs"/>
      <sheetName val="C;_London_Calcs"/>
      <sheetName val="C;_Net_Additions_Forecast"/>
      <sheetName val="C;_G&amp;T_Cals"/>
      <sheetName val="C;_National_Park_+_Student_calc"/>
      <sheetName val="Outputs&gt;&gt;"/>
      <sheetName val="O;_HDT_Outputs"/>
      <sheetName val="O;_Publication_Template_(Raw)"/>
      <sheetName val="O;_Publication_Template_(Round)"/>
      <sheetName val="O;_2021_Publication_(HC)_"/>
      <sheetName val="O;_Regional_Distribution"/>
      <sheetName val="O;_Regional_distn_below_75"/>
      <sheetName val="O;_Wealden_compare"/>
      <sheetName val="O;_not_rounded_Copy_Paste"/>
      <sheetName val="O_Rounded"/>
      <sheetName val="O;_HDT_Compare"/>
      <sheetName val="QA_Checks&gt;&gt;"/>
      <sheetName val="Alternative_HDT_&gt;&gt;"/>
      <sheetName val="A;_HDT-_No_Lower_Off_Policy"/>
      <sheetName val="A;_HDT-_No_Lower_Off_Output"/>
      <sheetName val="A;_HDT_Main_Vs_No_Lower_Off_"/>
      <sheetName val="O;_Presump_and_Others_Breakdown"/>
      <sheetName val="Previous_HDT_&gt;&gt;"/>
      <sheetName val="2018_published"/>
      <sheetName val="2019_published"/>
      <sheetName val="2020_published"/>
      <sheetName val="2018;_HDT"/>
      <sheetName val="O;_2019_vs_2018_HDT_Resilts"/>
    </sheetNames>
    <sheetDataSet>
      <sheetData sheetId="0"/>
      <sheetData sheetId="1"/>
      <sheetData sheetId="2"/>
      <sheetData sheetId="3"/>
      <sheetData sheetId="4"/>
      <sheetData sheetId="5"/>
      <sheetData sheetId="6">
        <row r="10">
          <cell r="E10">
            <v>43191</v>
          </cell>
          <cell r="F10">
            <v>43556</v>
          </cell>
          <cell r="G10">
            <v>43891</v>
          </cell>
          <cell r="H10">
            <v>44044</v>
          </cell>
          <cell r="I10">
            <v>44287</v>
          </cell>
        </row>
        <row r="12">
          <cell r="E12">
            <v>365</v>
          </cell>
          <cell r="F12">
            <v>335</v>
          </cell>
          <cell r="H12">
            <v>243</v>
          </cell>
        </row>
        <row r="16">
          <cell r="F16">
            <v>366</v>
          </cell>
        </row>
        <row r="17">
          <cell r="F17">
            <v>365</v>
          </cell>
        </row>
        <row r="22">
          <cell r="E22">
            <v>41365</v>
          </cell>
        </row>
        <row r="26">
          <cell r="F26">
            <v>2.5</v>
          </cell>
        </row>
        <row r="27">
          <cell r="F27">
            <v>1.8</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0">
          <cell r="I10" t="str">
            <v>organisation-id</v>
          </cell>
          <cell r="GZ10" t="str">
            <v>Final start date T1</v>
          </cell>
          <cell r="HA10" t="str">
            <v>Final end date T1</v>
          </cell>
          <cell r="HB10" t="str">
            <v>Annual average T1</v>
          </cell>
          <cell r="HC10" t="str">
            <v>Calculated annual average T1 (inc Gypsies and Travellers)</v>
          </cell>
          <cell r="HD10" t="str">
            <v>Final start date T2</v>
          </cell>
          <cell r="HE10" t="str">
            <v>Final end date T2</v>
          </cell>
          <cell r="HF10" t="str">
            <v>Annual average T2</v>
          </cell>
          <cell r="HG10" t="str">
            <v>Calculated annual average T2 (inc Gypsies and Travellers)</v>
          </cell>
          <cell r="HH10" t="str">
            <v>Final start date T3</v>
          </cell>
          <cell r="HI10" t="str">
            <v>Final end date T3</v>
          </cell>
          <cell r="HJ10" t="str">
            <v>Annual average T3</v>
          </cell>
          <cell r="HK10" t="str">
            <v>Calculated annual average T3 (inc Gypsies and Travellers)</v>
          </cell>
          <cell r="HL10" t="str">
            <v>Final start date T4</v>
          </cell>
          <cell r="HM10" t="str">
            <v>Final end date T4</v>
          </cell>
          <cell r="HN10" t="str">
            <v>Annual average T4</v>
          </cell>
          <cell r="HO10" t="str">
            <v>Calculated annual average T4 (inc Gypsies and Travellers)</v>
          </cell>
          <cell r="HP10" t="str">
            <v>Final start date T5</v>
          </cell>
          <cell r="HQ10" t="str">
            <v>Final end date T5</v>
          </cell>
          <cell r="HR10" t="str">
            <v>Annual average T5</v>
          </cell>
          <cell r="HS10" t="str">
            <v>Calculated annual average T5 (inc Gypsies and Travellers)</v>
          </cell>
          <cell r="HT10" t="str">
            <v>Final start date T6</v>
          </cell>
          <cell r="HU10" t="str">
            <v>Final end date T6</v>
          </cell>
          <cell r="HV10" t="str">
            <v>Annual average T6</v>
          </cell>
          <cell r="HW10" t="str">
            <v>Calculated annual average T6 (inc Gypsies and Travellers)</v>
          </cell>
          <cell r="MN10" t="str">
            <v>Final start date T1 (previous plan)</v>
          </cell>
          <cell r="MO10" t="str">
            <v>Final end date T1 (previous plan)</v>
          </cell>
          <cell r="MP10" t="str">
            <v>Annual average T1</v>
          </cell>
          <cell r="MQ10" t="str">
            <v>Calculated annual average (inc Gypsies and Travellers)</v>
          </cell>
          <cell r="MR10" t="str">
            <v>Final start date T2 (previous plan)</v>
          </cell>
          <cell r="MS10" t="str">
            <v>Final end date T2 (previous plan)</v>
          </cell>
          <cell r="MT10" t="str">
            <v>Annual average T2</v>
          </cell>
          <cell r="MU10" t="str">
            <v>Calculated annual average (inc Gypsies and Travellers)</v>
          </cell>
          <cell r="MV10" t="str">
            <v>Final start date T3 (previous plan)</v>
          </cell>
          <cell r="MW10" t="str">
            <v>Final end date T3 (previous plan)</v>
          </cell>
          <cell r="MX10" t="str">
            <v>Annual average T3</v>
          </cell>
          <cell r="MY10" t="str">
            <v>Calculated annual average (inc Gypsies and Travellers)</v>
          </cell>
          <cell r="MZ10" t="str">
            <v>Final start date T4 (previous plan)</v>
          </cell>
          <cell r="NA10" t="str">
            <v>Final end date T4 (previous plan)</v>
          </cell>
          <cell r="NB10" t="str">
            <v>Annual average T4</v>
          </cell>
          <cell r="NC10" t="str">
            <v>Calculated annual average (inc Gypsies and Travellers)</v>
          </cell>
          <cell r="ND10" t="str">
            <v>Final start date T5 (previous plan)</v>
          </cell>
          <cell r="NE10" t="str">
            <v>Final end date T5 (previous plan)</v>
          </cell>
          <cell r="NF10" t="str">
            <v>Annual average T5</v>
          </cell>
          <cell r="NG10" t="str">
            <v>Calculated annual average (inc Gypsies and Travellers)</v>
          </cell>
          <cell r="NH10" t="str">
            <v>Final start date T6 (previous plan)</v>
          </cell>
          <cell r="NI10" t="str">
            <v>Final end date T6 (previous plan)</v>
          </cell>
          <cell r="NJ10" t="str">
            <v>Final annual requirement T6 (previous plan)</v>
          </cell>
        </row>
        <row r="11">
          <cell r="I11" t="str">
            <v>E06000050</v>
          </cell>
          <cell r="GZ11" t="str">
            <v/>
          </cell>
          <cell r="HA11" t="str">
            <v/>
          </cell>
          <cell r="HB11" t="str">
            <v/>
          </cell>
          <cell r="HC11" t="str">
            <v/>
          </cell>
          <cell r="HD11" t="str">
            <v/>
          </cell>
          <cell r="HE11" t="str">
            <v/>
          </cell>
          <cell r="HF11" t="str">
            <v/>
          </cell>
          <cell r="HG11" t="str">
            <v/>
          </cell>
          <cell r="HH11" t="str">
            <v/>
          </cell>
          <cell r="HI11" t="str">
            <v/>
          </cell>
          <cell r="HJ11" t="str">
            <v/>
          </cell>
          <cell r="HK11" t="str">
            <v/>
          </cell>
          <cell r="HL11" t="str">
            <v/>
          </cell>
          <cell r="HM11" t="str">
            <v/>
          </cell>
          <cell r="HN11" t="str">
            <v/>
          </cell>
          <cell r="HO11" t="str">
            <v/>
          </cell>
          <cell r="HP11" t="str">
            <v/>
          </cell>
          <cell r="HQ11" t="str">
            <v/>
          </cell>
          <cell r="HR11" t="str">
            <v/>
          </cell>
          <cell r="HS11" t="str">
            <v/>
          </cell>
          <cell r="HT11" t="str">
            <v/>
          </cell>
          <cell r="HU11" t="str">
            <v/>
          </cell>
          <cell r="HV11" t="str">
            <v/>
          </cell>
          <cell r="HW11" t="str">
            <v/>
          </cell>
          <cell r="MN11" t="str">
            <v/>
          </cell>
          <cell r="MO11" t="str">
            <v/>
          </cell>
          <cell r="MP11" t="str">
            <v/>
          </cell>
          <cell r="MQ11" t="str">
            <v/>
          </cell>
          <cell r="MR11" t="str">
            <v/>
          </cell>
          <cell r="MS11" t="str">
            <v/>
          </cell>
          <cell r="MT11" t="str">
            <v/>
          </cell>
          <cell r="MU11" t="str">
            <v/>
          </cell>
          <cell r="MV11" t="str">
            <v/>
          </cell>
          <cell r="MW11" t="str">
            <v/>
          </cell>
          <cell r="MX11" t="str">
            <v/>
          </cell>
          <cell r="MY11" t="str">
            <v/>
          </cell>
          <cell r="MZ11" t="str">
            <v/>
          </cell>
          <cell r="NA11" t="str">
            <v/>
          </cell>
          <cell r="NB11" t="str">
            <v/>
          </cell>
          <cell r="NC11" t="str">
            <v/>
          </cell>
          <cell r="ND11" t="str">
            <v/>
          </cell>
          <cell r="NE11" t="str">
            <v/>
          </cell>
          <cell r="NF11" t="str">
            <v/>
          </cell>
          <cell r="NG11" t="str">
            <v/>
          </cell>
          <cell r="NH11" t="str">
            <v/>
          </cell>
          <cell r="NI11" t="str">
            <v/>
          </cell>
          <cell r="NJ11" t="str">
            <v/>
          </cell>
        </row>
        <row r="12">
          <cell r="I12" t="str">
            <v>E07000030</v>
          </cell>
          <cell r="GZ12" t="str">
            <v/>
          </cell>
          <cell r="HA12" t="str">
            <v/>
          </cell>
          <cell r="HB12" t="str">
            <v/>
          </cell>
          <cell r="HC12" t="str">
            <v/>
          </cell>
          <cell r="HD12" t="str">
            <v/>
          </cell>
          <cell r="HE12" t="str">
            <v/>
          </cell>
          <cell r="HF12" t="str">
            <v/>
          </cell>
          <cell r="HG12" t="str">
            <v/>
          </cell>
          <cell r="HH12" t="str">
            <v/>
          </cell>
          <cell r="HI12" t="str">
            <v/>
          </cell>
          <cell r="HJ12" t="str">
            <v/>
          </cell>
          <cell r="HK12" t="str">
            <v/>
          </cell>
          <cell r="HL12" t="str">
            <v/>
          </cell>
          <cell r="HM12" t="str">
            <v/>
          </cell>
          <cell r="HN12" t="str">
            <v/>
          </cell>
          <cell r="HO12" t="str">
            <v/>
          </cell>
          <cell r="HP12" t="str">
            <v/>
          </cell>
          <cell r="HQ12" t="str">
            <v/>
          </cell>
          <cell r="HR12" t="str">
            <v/>
          </cell>
          <cell r="HS12" t="str">
            <v/>
          </cell>
          <cell r="HT12" t="str">
            <v/>
          </cell>
          <cell r="HU12" t="str">
            <v/>
          </cell>
          <cell r="HV12" t="str">
            <v/>
          </cell>
          <cell r="HW12" t="str">
            <v/>
          </cell>
          <cell r="MN12" t="str">
            <v/>
          </cell>
          <cell r="MO12" t="str">
            <v/>
          </cell>
          <cell r="MP12" t="str">
            <v/>
          </cell>
          <cell r="MQ12" t="str">
            <v/>
          </cell>
          <cell r="MR12" t="str">
            <v/>
          </cell>
          <cell r="MS12" t="str">
            <v/>
          </cell>
          <cell r="MT12" t="str">
            <v/>
          </cell>
          <cell r="MU12" t="str">
            <v/>
          </cell>
          <cell r="MV12" t="str">
            <v/>
          </cell>
          <cell r="MW12" t="str">
            <v/>
          </cell>
          <cell r="MX12" t="str">
            <v/>
          </cell>
          <cell r="MY12" t="str">
            <v/>
          </cell>
          <cell r="MZ12" t="str">
            <v/>
          </cell>
          <cell r="NA12" t="str">
            <v/>
          </cell>
          <cell r="NB12" t="str">
            <v/>
          </cell>
          <cell r="NC12" t="str">
            <v/>
          </cell>
          <cell r="ND12" t="str">
            <v/>
          </cell>
          <cell r="NE12" t="str">
            <v/>
          </cell>
          <cell r="NF12" t="str">
            <v/>
          </cell>
          <cell r="NG12" t="str">
            <v/>
          </cell>
          <cell r="NH12" t="str">
            <v/>
          </cell>
          <cell r="NI12" t="str">
            <v/>
          </cell>
          <cell r="NJ12" t="str">
            <v/>
          </cell>
        </row>
        <row r="13">
          <cell r="I13" t="str">
            <v>E07000201</v>
          </cell>
          <cell r="GZ13" t="str">
            <v/>
          </cell>
          <cell r="HA13" t="str">
            <v/>
          </cell>
          <cell r="HB13" t="str">
            <v/>
          </cell>
          <cell r="HC13" t="str">
            <v/>
          </cell>
          <cell r="HD13" t="str">
            <v/>
          </cell>
          <cell r="HE13" t="str">
            <v/>
          </cell>
          <cell r="HF13" t="str">
            <v/>
          </cell>
          <cell r="HG13" t="str">
            <v/>
          </cell>
          <cell r="HH13" t="str">
            <v/>
          </cell>
          <cell r="HI13" t="str">
            <v/>
          </cell>
          <cell r="HJ13" t="str">
            <v/>
          </cell>
          <cell r="HK13" t="str">
            <v/>
          </cell>
          <cell r="HL13" t="str">
            <v/>
          </cell>
          <cell r="HM13" t="str">
            <v/>
          </cell>
          <cell r="HN13" t="str">
            <v/>
          </cell>
          <cell r="HO13" t="str">
            <v/>
          </cell>
          <cell r="HP13" t="str">
            <v/>
          </cell>
          <cell r="HQ13" t="str">
            <v/>
          </cell>
          <cell r="HR13" t="str">
            <v/>
          </cell>
          <cell r="HS13" t="str">
            <v/>
          </cell>
          <cell r="HT13" t="str">
            <v/>
          </cell>
          <cell r="HU13" t="str">
            <v/>
          </cell>
          <cell r="HV13" t="str">
            <v/>
          </cell>
          <cell r="HW13" t="str">
            <v/>
          </cell>
          <cell r="MN13" t="str">
            <v/>
          </cell>
          <cell r="MO13" t="str">
            <v/>
          </cell>
          <cell r="MP13" t="str">
            <v/>
          </cell>
          <cell r="MQ13" t="str">
            <v/>
          </cell>
          <cell r="MR13" t="str">
            <v/>
          </cell>
          <cell r="MS13" t="str">
            <v/>
          </cell>
          <cell r="MT13" t="str">
            <v/>
          </cell>
          <cell r="MU13" t="str">
            <v/>
          </cell>
          <cell r="MV13" t="str">
            <v/>
          </cell>
          <cell r="MW13" t="str">
            <v/>
          </cell>
          <cell r="MX13" t="str">
            <v/>
          </cell>
          <cell r="MY13" t="str">
            <v/>
          </cell>
          <cell r="MZ13" t="str">
            <v/>
          </cell>
          <cell r="NA13" t="str">
            <v/>
          </cell>
          <cell r="NB13" t="str">
            <v/>
          </cell>
          <cell r="NC13" t="str">
            <v/>
          </cell>
          <cell r="ND13" t="str">
            <v/>
          </cell>
          <cell r="NE13" t="str">
            <v/>
          </cell>
          <cell r="NF13" t="str">
            <v/>
          </cell>
          <cell r="NG13" t="str">
            <v/>
          </cell>
          <cell r="NH13" t="str">
            <v/>
          </cell>
          <cell r="NI13" t="str">
            <v/>
          </cell>
          <cell r="NJ13" t="str">
            <v/>
          </cell>
        </row>
        <row r="14">
          <cell r="I14" t="str">
            <v>E07000204</v>
          </cell>
          <cell r="GZ14" t="str">
            <v/>
          </cell>
          <cell r="HA14" t="str">
            <v/>
          </cell>
          <cell r="HB14" t="str">
            <v/>
          </cell>
          <cell r="HC14" t="str">
            <v/>
          </cell>
          <cell r="HD14" t="str">
            <v/>
          </cell>
          <cell r="HE14" t="str">
            <v/>
          </cell>
          <cell r="HF14" t="str">
            <v/>
          </cell>
          <cell r="HG14" t="str">
            <v/>
          </cell>
          <cell r="HH14" t="str">
            <v/>
          </cell>
          <cell r="HI14" t="str">
            <v/>
          </cell>
          <cell r="HJ14" t="str">
            <v/>
          </cell>
          <cell r="HK14" t="str">
            <v/>
          </cell>
          <cell r="HL14" t="str">
            <v/>
          </cell>
          <cell r="HM14" t="str">
            <v/>
          </cell>
          <cell r="HN14" t="str">
            <v/>
          </cell>
          <cell r="HO14" t="str">
            <v/>
          </cell>
          <cell r="HP14" t="str">
            <v/>
          </cell>
          <cell r="HQ14" t="str">
            <v/>
          </cell>
          <cell r="HR14" t="str">
            <v/>
          </cell>
          <cell r="HS14" t="str">
            <v/>
          </cell>
          <cell r="HT14" t="str">
            <v/>
          </cell>
          <cell r="HU14" t="str">
            <v/>
          </cell>
          <cell r="HV14" t="str">
            <v/>
          </cell>
          <cell r="HW14" t="str">
            <v/>
          </cell>
          <cell r="MN14" t="str">
            <v/>
          </cell>
          <cell r="MO14" t="str">
            <v/>
          </cell>
          <cell r="MP14" t="str">
            <v/>
          </cell>
          <cell r="MQ14" t="str">
            <v/>
          </cell>
          <cell r="MR14" t="str">
            <v/>
          </cell>
          <cell r="MS14" t="str">
            <v/>
          </cell>
          <cell r="MT14" t="str">
            <v/>
          </cell>
          <cell r="MU14" t="str">
            <v/>
          </cell>
          <cell r="MV14" t="str">
            <v/>
          </cell>
          <cell r="MW14" t="str">
            <v/>
          </cell>
          <cell r="MX14" t="str">
            <v/>
          </cell>
          <cell r="MY14" t="str">
            <v/>
          </cell>
          <cell r="MZ14" t="str">
            <v/>
          </cell>
          <cell r="NA14" t="str">
            <v/>
          </cell>
          <cell r="NB14" t="str">
            <v/>
          </cell>
          <cell r="NC14" t="str">
            <v/>
          </cell>
          <cell r="ND14" t="str">
            <v/>
          </cell>
          <cell r="NE14" t="str">
            <v/>
          </cell>
          <cell r="NF14" t="str">
            <v/>
          </cell>
          <cell r="NG14" t="str">
            <v/>
          </cell>
          <cell r="NH14" t="str">
            <v/>
          </cell>
          <cell r="NI14" t="str">
            <v/>
          </cell>
          <cell r="NJ14" t="str">
            <v/>
          </cell>
        </row>
        <row r="15">
          <cell r="I15" t="str">
            <v>E07000095</v>
          </cell>
          <cell r="GZ15" t="str">
            <v/>
          </cell>
          <cell r="HA15" t="str">
            <v/>
          </cell>
          <cell r="HB15" t="str">
            <v/>
          </cell>
          <cell r="HC15" t="str">
            <v/>
          </cell>
          <cell r="HD15" t="str">
            <v/>
          </cell>
          <cell r="HE15" t="str">
            <v/>
          </cell>
          <cell r="HF15" t="str">
            <v/>
          </cell>
          <cell r="HG15" t="str">
            <v/>
          </cell>
          <cell r="HH15" t="str">
            <v/>
          </cell>
          <cell r="HI15" t="str">
            <v/>
          </cell>
          <cell r="HJ15" t="str">
            <v/>
          </cell>
          <cell r="HK15" t="str">
            <v/>
          </cell>
          <cell r="HL15" t="str">
            <v/>
          </cell>
          <cell r="HM15" t="str">
            <v/>
          </cell>
          <cell r="HN15" t="str">
            <v/>
          </cell>
          <cell r="HO15" t="str">
            <v/>
          </cell>
          <cell r="HP15" t="str">
            <v/>
          </cell>
          <cell r="HQ15" t="str">
            <v/>
          </cell>
          <cell r="HR15" t="str">
            <v/>
          </cell>
          <cell r="HS15" t="str">
            <v/>
          </cell>
          <cell r="HT15" t="str">
            <v/>
          </cell>
          <cell r="HU15" t="str">
            <v/>
          </cell>
          <cell r="HV15" t="str">
            <v/>
          </cell>
          <cell r="HW15" t="str">
            <v/>
          </cell>
          <cell r="MN15" t="str">
            <v/>
          </cell>
          <cell r="MO15" t="str">
            <v/>
          </cell>
          <cell r="MP15" t="str">
            <v/>
          </cell>
          <cell r="MQ15" t="str">
            <v/>
          </cell>
          <cell r="MR15" t="str">
            <v/>
          </cell>
          <cell r="MS15" t="str">
            <v/>
          </cell>
          <cell r="MT15" t="str">
            <v/>
          </cell>
          <cell r="MU15" t="str">
            <v/>
          </cell>
          <cell r="MV15" t="str">
            <v/>
          </cell>
          <cell r="MW15" t="str">
            <v/>
          </cell>
          <cell r="MX15" t="str">
            <v/>
          </cell>
          <cell r="MY15" t="str">
            <v/>
          </cell>
          <cell r="MZ15" t="str">
            <v/>
          </cell>
          <cell r="NA15" t="str">
            <v/>
          </cell>
          <cell r="NB15" t="str">
            <v/>
          </cell>
          <cell r="NC15" t="str">
            <v/>
          </cell>
          <cell r="ND15" t="str">
            <v/>
          </cell>
          <cell r="NE15" t="str">
            <v/>
          </cell>
          <cell r="NF15" t="str">
            <v/>
          </cell>
          <cell r="NG15" t="str">
            <v/>
          </cell>
          <cell r="NH15" t="str">
            <v/>
          </cell>
          <cell r="NI15" t="str">
            <v/>
          </cell>
          <cell r="NJ15" t="str">
            <v/>
          </cell>
        </row>
        <row r="16">
          <cell r="I16" t="str">
            <v>E09000024</v>
          </cell>
          <cell r="GZ16" t="str">
            <v/>
          </cell>
          <cell r="HA16" t="str">
            <v/>
          </cell>
          <cell r="HB16" t="str">
            <v/>
          </cell>
          <cell r="HC16" t="str">
            <v/>
          </cell>
          <cell r="HD16" t="str">
            <v/>
          </cell>
          <cell r="HE16" t="str">
            <v/>
          </cell>
          <cell r="HF16" t="str">
            <v/>
          </cell>
          <cell r="HG16" t="str">
            <v/>
          </cell>
          <cell r="HH16" t="str">
            <v/>
          </cell>
          <cell r="HI16" t="str">
            <v/>
          </cell>
          <cell r="HJ16" t="str">
            <v/>
          </cell>
          <cell r="HK16" t="str">
            <v/>
          </cell>
          <cell r="HL16" t="str">
            <v/>
          </cell>
          <cell r="HM16" t="str">
            <v/>
          </cell>
          <cell r="HN16" t="str">
            <v/>
          </cell>
          <cell r="HO16" t="str">
            <v/>
          </cell>
          <cell r="HP16" t="str">
            <v/>
          </cell>
          <cell r="HQ16" t="str">
            <v/>
          </cell>
          <cell r="HR16" t="str">
            <v/>
          </cell>
          <cell r="HS16" t="str">
            <v/>
          </cell>
          <cell r="HT16" t="str">
            <v/>
          </cell>
          <cell r="HU16" t="str">
            <v/>
          </cell>
          <cell r="HV16" t="str">
            <v/>
          </cell>
          <cell r="HW16" t="str">
            <v/>
          </cell>
          <cell r="MQ16" t="str">
            <v>Analysts to manually calculate</v>
          </cell>
          <cell r="MU16" t="str">
            <v>Analysts to manually calculate</v>
          </cell>
          <cell r="MY16" t="str">
            <v>Analysts to manually calculate</v>
          </cell>
          <cell r="NC16" t="str">
            <v>Analysts to manually calculate</v>
          </cell>
          <cell r="NG16" t="str">
            <v>Analysts to manually calculate</v>
          </cell>
        </row>
        <row r="17">
          <cell r="I17" t="str">
            <v>E07000205</v>
          </cell>
          <cell r="GZ17" t="str">
            <v/>
          </cell>
          <cell r="HA17" t="str">
            <v/>
          </cell>
          <cell r="HB17" t="str">
            <v/>
          </cell>
          <cell r="HC17" t="str">
            <v/>
          </cell>
          <cell r="HD17" t="str">
            <v/>
          </cell>
          <cell r="HE17" t="str">
            <v/>
          </cell>
          <cell r="HF17" t="str">
            <v/>
          </cell>
          <cell r="HG17" t="str">
            <v/>
          </cell>
          <cell r="HH17" t="str">
            <v/>
          </cell>
          <cell r="HI17" t="str">
            <v/>
          </cell>
          <cell r="HJ17" t="str">
            <v/>
          </cell>
          <cell r="HK17" t="str">
            <v/>
          </cell>
          <cell r="HL17" t="str">
            <v/>
          </cell>
          <cell r="HM17" t="str">
            <v/>
          </cell>
          <cell r="HN17" t="str">
            <v/>
          </cell>
          <cell r="HO17" t="str">
            <v/>
          </cell>
          <cell r="HP17" t="str">
            <v/>
          </cell>
          <cell r="HQ17" t="str">
            <v/>
          </cell>
          <cell r="HR17" t="str">
            <v/>
          </cell>
          <cell r="HS17" t="str">
            <v/>
          </cell>
          <cell r="HT17" t="str">
            <v/>
          </cell>
          <cell r="HU17" t="str">
            <v/>
          </cell>
          <cell r="HV17" t="str">
            <v/>
          </cell>
          <cell r="HW17" t="str">
            <v/>
          </cell>
          <cell r="MQ17" t="str">
            <v>Analysts to manually calculate</v>
          </cell>
          <cell r="MU17" t="str">
            <v>Analysts to manually calculate</v>
          </cell>
          <cell r="MY17" t="str">
            <v>Analysts to manually calculate</v>
          </cell>
          <cell r="NC17" t="str">
            <v>Analysts to manually calculate</v>
          </cell>
          <cell r="NG17" t="str">
            <v>Analysts to manually calculate</v>
          </cell>
        </row>
        <row r="18">
          <cell r="I18" t="str">
            <v>E07000037</v>
          </cell>
          <cell r="GZ18" t="str">
            <v/>
          </cell>
          <cell r="HA18" t="str">
            <v/>
          </cell>
          <cell r="HB18" t="str">
            <v/>
          </cell>
          <cell r="HC18" t="str">
            <v/>
          </cell>
          <cell r="HD18" t="str">
            <v/>
          </cell>
          <cell r="HE18" t="str">
            <v/>
          </cell>
          <cell r="HF18" t="str">
            <v/>
          </cell>
          <cell r="HG18" t="str">
            <v/>
          </cell>
          <cell r="HH18" t="str">
            <v/>
          </cell>
          <cell r="HI18" t="str">
            <v/>
          </cell>
          <cell r="HJ18" t="str">
            <v/>
          </cell>
          <cell r="HK18" t="str">
            <v/>
          </cell>
          <cell r="HL18" t="str">
            <v/>
          </cell>
          <cell r="HM18" t="str">
            <v/>
          </cell>
          <cell r="HN18" t="str">
            <v/>
          </cell>
          <cell r="HO18" t="str">
            <v/>
          </cell>
          <cell r="HP18" t="str">
            <v/>
          </cell>
          <cell r="HQ18" t="str">
            <v/>
          </cell>
          <cell r="HR18" t="str">
            <v/>
          </cell>
          <cell r="HS18" t="str">
            <v/>
          </cell>
          <cell r="HT18" t="str">
            <v/>
          </cell>
          <cell r="HU18" t="str">
            <v/>
          </cell>
          <cell r="HV18" t="str">
            <v/>
          </cell>
          <cell r="HW18" t="str">
            <v/>
          </cell>
          <cell r="MN18" t="str">
            <v/>
          </cell>
          <cell r="MO18" t="str">
            <v/>
          </cell>
          <cell r="MP18" t="str">
            <v/>
          </cell>
          <cell r="MQ18" t="str">
            <v/>
          </cell>
          <cell r="MR18" t="str">
            <v/>
          </cell>
          <cell r="MS18" t="str">
            <v/>
          </cell>
          <cell r="MT18" t="str">
            <v/>
          </cell>
          <cell r="MU18" t="str">
            <v/>
          </cell>
          <cell r="MV18" t="str">
            <v/>
          </cell>
          <cell r="MW18" t="str">
            <v/>
          </cell>
          <cell r="MX18" t="str">
            <v/>
          </cell>
          <cell r="MY18" t="str">
            <v/>
          </cell>
          <cell r="MZ18" t="str">
            <v/>
          </cell>
          <cell r="NA18" t="str">
            <v/>
          </cell>
          <cell r="NB18" t="str">
            <v/>
          </cell>
          <cell r="NC18" t="str">
            <v/>
          </cell>
          <cell r="ND18" t="str">
            <v/>
          </cell>
          <cell r="NE18" t="str">
            <v/>
          </cell>
          <cell r="NF18" t="str">
            <v/>
          </cell>
          <cell r="NG18" t="str">
            <v/>
          </cell>
          <cell r="NH18" t="str">
            <v/>
          </cell>
          <cell r="NI18" t="str">
            <v/>
          </cell>
          <cell r="NJ18" t="str">
            <v/>
          </cell>
        </row>
        <row r="19">
          <cell r="I19" t="str">
            <v>E07000041</v>
          </cell>
          <cell r="GZ19" t="str">
            <v/>
          </cell>
          <cell r="HA19" t="str">
            <v/>
          </cell>
          <cell r="HB19" t="str">
            <v/>
          </cell>
          <cell r="HC19" t="str">
            <v/>
          </cell>
          <cell r="HD19" t="str">
            <v/>
          </cell>
          <cell r="HE19" t="str">
            <v/>
          </cell>
          <cell r="HF19" t="str">
            <v/>
          </cell>
          <cell r="HG19" t="str">
            <v/>
          </cell>
          <cell r="HH19" t="str">
            <v/>
          </cell>
          <cell r="HI19" t="str">
            <v/>
          </cell>
          <cell r="HJ19" t="str">
            <v/>
          </cell>
          <cell r="HK19" t="str">
            <v/>
          </cell>
          <cell r="HL19" t="str">
            <v/>
          </cell>
          <cell r="HM19" t="str">
            <v/>
          </cell>
          <cell r="HN19" t="str">
            <v/>
          </cell>
          <cell r="HO19" t="str">
            <v/>
          </cell>
          <cell r="HP19" t="str">
            <v/>
          </cell>
          <cell r="HQ19" t="str">
            <v/>
          </cell>
          <cell r="HR19" t="str">
            <v/>
          </cell>
          <cell r="HS19" t="str">
            <v/>
          </cell>
          <cell r="HT19" t="str">
            <v/>
          </cell>
          <cell r="HU19" t="str">
            <v/>
          </cell>
          <cell r="HV19" t="str">
            <v/>
          </cell>
          <cell r="HW19" t="str">
            <v/>
          </cell>
          <cell r="MN19" t="str">
            <v/>
          </cell>
          <cell r="MO19" t="str">
            <v/>
          </cell>
          <cell r="MP19" t="str">
            <v/>
          </cell>
          <cell r="MQ19" t="str">
            <v/>
          </cell>
          <cell r="MR19" t="str">
            <v/>
          </cell>
          <cell r="MS19" t="str">
            <v/>
          </cell>
          <cell r="MT19" t="str">
            <v/>
          </cell>
          <cell r="MU19" t="str">
            <v/>
          </cell>
          <cell r="MV19" t="str">
            <v/>
          </cell>
          <cell r="MW19" t="str">
            <v/>
          </cell>
          <cell r="MX19" t="str">
            <v/>
          </cell>
          <cell r="MY19" t="str">
            <v/>
          </cell>
          <cell r="MZ19" t="str">
            <v/>
          </cell>
          <cell r="NA19" t="str">
            <v/>
          </cell>
          <cell r="NB19" t="str">
            <v/>
          </cell>
          <cell r="NC19" t="str">
            <v/>
          </cell>
          <cell r="ND19" t="str">
            <v/>
          </cell>
          <cell r="NE19" t="str">
            <v/>
          </cell>
          <cell r="NF19" t="str">
            <v/>
          </cell>
          <cell r="NG19" t="str">
            <v/>
          </cell>
          <cell r="NH19" t="str">
            <v/>
          </cell>
          <cell r="NI19" t="str">
            <v/>
          </cell>
          <cell r="NJ19" t="str">
            <v/>
          </cell>
        </row>
        <row r="20">
          <cell r="I20" t="str">
            <v>E07000052</v>
          </cell>
          <cell r="GZ20" t="str">
            <v/>
          </cell>
          <cell r="HA20" t="str">
            <v/>
          </cell>
          <cell r="HB20" t="str">
            <v/>
          </cell>
          <cell r="HC20" t="str">
            <v/>
          </cell>
          <cell r="HD20" t="str">
            <v/>
          </cell>
          <cell r="HE20" t="str">
            <v/>
          </cell>
          <cell r="HF20" t="str">
            <v/>
          </cell>
          <cell r="HG20" t="str">
            <v/>
          </cell>
          <cell r="HH20" t="str">
            <v/>
          </cell>
          <cell r="HI20" t="str">
            <v/>
          </cell>
          <cell r="HJ20" t="str">
            <v/>
          </cell>
          <cell r="HK20" t="str">
            <v/>
          </cell>
          <cell r="HL20" t="str">
            <v/>
          </cell>
          <cell r="HM20" t="str">
            <v/>
          </cell>
          <cell r="HN20" t="str">
            <v/>
          </cell>
          <cell r="HO20" t="str">
            <v/>
          </cell>
          <cell r="HP20" t="str">
            <v/>
          </cell>
          <cell r="HQ20" t="str">
            <v/>
          </cell>
          <cell r="HR20" t="str">
            <v/>
          </cell>
          <cell r="HS20" t="str">
            <v/>
          </cell>
          <cell r="HT20" t="str">
            <v/>
          </cell>
          <cell r="HU20" t="str">
            <v/>
          </cell>
          <cell r="HV20" t="str">
            <v/>
          </cell>
          <cell r="HW20" t="str">
            <v/>
          </cell>
          <cell r="MN20" t="str">
            <v/>
          </cell>
          <cell r="MO20" t="str">
            <v/>
          </cell>
          <cell r="MP20" t="str">
            <v/>
          </cell>
          <cell r="MQ20" t="str">
            <v/>
          </cell>
          <cell r="MR20" t="str">
            <v/>
          </cell>
          <cell r="MS20" t="str">
            <v/>
          </cell>
          <cell r="MT20" t="str">
            <v/>
          </cell>
          <cell r="MU20" t="str">
            <v/>
          </cell>
          <cell r="MV20" t="str">
            <v/>
          </cell>
          <cell r="MW20" t="str">
            <v/>
          </cell>
          <cell r="MX20" t="str">
            <v/>
          </cell>
          <cell r="MY20" t="str">
            <v/>
          </cell>
          <cell r="MZ20" t="str">
            <v/>
          </cell>
          <cell r="NA20" t="str">
            <v/>
          </cell>
          <cell r="NB20" t="str">
            <v/>
          </cell>
          <cell r="NC20" t="str">
            <v/>
          </cell>
          <cell r="ND20" t="str">
            <v/>
          </cell>
          <cell r="NE20" t="str">
            <v/>
          </cell>
          <cell r="NF20" t="str">
            <v/>
          </cell>
          <cell r="NG20" t="str">
            <v/>
          </cell>
          <cell r="NH20" t="str">
            <v/>
          </cell>
          <cell r="NI20" t="str">
            <v/>
          </cell>
          <cell r="NJ20" t="str">
            <v/>
          </cell>
        </row>
        <row r="21">
          <cell r="I21" t="str">
            <v>E07000032</v>
          </cell>
          <cell r="HC21">
            <v>0</v>
          </cell>
          <cell r="HG21">
            <v>0</v>
          </cell>
          <cell r="HK21">
            <v>0</v>
          </cell>
          <cell r="HO21">
            <v>0</v>
          </cell>
          <cell r="HS21">
            <v>0</v>
          </cell>
          <cell r="HW21">
            <v>0</v>
          </cell>
          <cell r="MN21" t="str">
            <v/>
          </cell>
          <cell r="MO21" t="str">
            <v/>
          </cell>
          <cell r="MP21" t="str">
            <v/>
          </cell>
          <cell r="MQ21" t="str">
            <v/>
          </cell>
          <cell r="MR21" t="str">
            <v/>
          </cell>
          <cell r="MS21" t="str">
            <v/>
          </cell>
          <cell r="MT21" t="str">
            <v/>
          </cell>
          <cell r="MU21" t="str">
            <v/>
          </cell>
          <cell r="MV21" t="str">
            <v/>
          </cell>
          <cell r="MW21" t="str">
            <v/>
          </cell>
          <cell r="MX21" t="str">
            <v/>
          </cell>
          <cell r="MY21" t="str">
            <v/>
          </cell>
          <cell r="MZ21" t="str">
            <v/>
          </cell>
          <cell r="NA21" t="str">
            <v/>
          </cell>
          <cell r="NB21" t="str">
            <v/>
          </cell>
          <cell r="NC21" t="str">
            <v/>
          </cell>
          <cell r="ND21" t="str">
            <v/>
          </cell>
          <cell r="NE21" t="str">
            <v/>
          </cell>
          <cell r="NF21" t="str">
            <v/>
          </cell>
          <cell r="NG21" t="str">
            <v/>
          </cell>
          <cell r="NH21" t="str">
            <v/>
          </cell>
          <cell r="NI21" t="str">
            <v/>
          </cell>
          <cell r="NJ21" t="str">
            <v/>
          </cell>
        </row>
        <row r="22">
          <cell r="I22" t="str">
            <v>E09000022</v>
          </cell>
          <cell r="GZ22" t="str">
            <v/>
          </cell>
          <cell r="HA22" t="str">
            <v/>
          </cell>
          <cell r="HB22" t="str">
            <v/>
          </cell>
          <cell r="HC22" t="str">
            <v/>
          </cell>
          <cell r="HD22" t="str">
            <v/>
          </cell>
          <cell r="HE22" t="str">
            <v/>
          </cell>
          <cell r="HF22" t="str">
            <v/>
          </cell>
          <cell r="HG22" t="str">
            <v/>
          </cell>
          <cell r="HH22" t="str">
            <v/>
          </cell>
          <cell r="HI22" t="str">
            <v/>
          </cell>
          <cell r="HJ22" t="str">
            <v/>
          </cell>
          <cell r="HK22" t="str">
            <v/>
          </cell>
          <cell r="HL22" t="str">
            <v/>
          </cell>
          <cell r="HM22" t="str">
            <v/>
          </cell>
          <cell r="HN22" t="str">
            <v/>
          </cell>
          <cell r="HO22" t="str">
            <v/>
          </cell>
          <cell r="HP22" t="str">
            <v/>
          </cell>
          <cell r="HQ22" t="str">
            <v/>
          </cell>
          <cell r="HR22" t="str">
            <v/>
          </cell>
          <cell r="HS22" t="str">
            <v/>
          </cell>
          <cell r="HT22" t="str">
            <v/>
          </cell>
          <cell r="HU22" t="str">
            <v/>
          </cell>
          <cell r="HV22" t="str">
            <v/>
          </cell>
          <cell r="HW22" t="str">
            <v/>
          </cell>
          <cell r="MQ22" t="str">
            <v>Analysts to manually calculate</v>
          </cell>
          <cell r="MU22" t="str">
            <v>Analysts to manually calculate</v>
          </cell>
          <cell r="MY22" t="str">
            <v>Analysts to manually calculate</v>
          </cell>
          <cell r="NC22" t="str">
            <v>Analysts to manually calculate</v>
          </cell>
          <cell r="NG22" t="str">
            <v>Analysts to manually calculate</v>
          </cell>
        </row>
        <row r="23">
          <cell r="I23" t="str">
            <v>E08000025</v>
          </cell>
          <cell r="GZ23">
            <v>40634</v>
          </cell>
          <cell r="HA23">
            <v>42094</v>
          </cell>
          <cell r="HB23">
            <v>1650</v>
          </cell>
          <cell r="HC23">
            <v>1650</v>
          </cell>
          <cell r="HD23">
            <v>42095</v>
          </cell>
          <cell r="HE23">
            <v>43190</v>
          </cell>
          <cell r="HF23">
            <v>2500</v>
          </cell>
          <cell r="HG23">
            <v>2500</v>
          </cell>
          <cell r="HH23">
            <v>43191</v>
          </cell>
          <cell r="HI23">
            <v>47938</v>
          </cell>
          <cell r="HJ23">
            <v>2850</v>
          </cell>
          <cell r="HK23">
            <v>2850</v>
          </cell>
          <cell r="HL23" t="str">
            <v/>
          </cell>
          <cell r="HM23" t="str">
            <v/>
          </cell>
          <cell r="HN23" t="str">
            <v/>
          </cell>
          <cell r="HO23" t="str">
            <v/>
          </cell>
          <cell r="HP23" t="str">
            <v/>
          </cell>
          <cell r="HQ23" t="str">
            <v/>
          </cell>
          <cell r="HR23" t="str">
            <v/>
          </cell>
          <cell r="HS23" t="str">
            <v/>
          </cell>
          <cell r="HT23" t="str">
            <v/>
          </cell>
          <cell r="HU23" t="str">
            <v/>
          </cell>
          <cell r="HV23" t="str">
            <v/>
          </cell>
          <cell r="HW23" t="str">
            <v/>
          </cell>
          <cell r="MN23" t="str">
            <v/>
          </cell>
          <cell r="MO23" t="str">
            <v/>
          </cell>
          <cell r="MP23" t="str">
            <v/>
          </cell>
          <cell r="MQ23" t="str">
            <v/>
          </cell>
          <cell r="MR23" t="str">
            <v/>
          </cell>
          <cell r="MS23" t="str">
            <v/>
          </cell>
          <cell r="MT23" t="str">
            <v/>
          </cell>
          <cell r="MU23" t="str">
            <v/>
          </cell>
          <cell r="MV23" t="str">
            <v/>
          </cell>
          <cell r="MW23" t="str">
            <v/>
          </cell>
          <cell r="MX23" t="str">
            <v/>
          </cell>
          <cell r="MY23" t="str">
            <v/>
          </cell>
          <cell r="MZ23" t="str">
            <v/>
          </cell>
          <cell r="NA23" t="str">
            <v/>
          </cell>
          <cell r="NB23" t="str">
            <v/>
          </cell>
          <cell r="NC23" t="str">
            <v/>
          </cell>
          <cell r="ND23" t="str">
            <v/>
          </cell>
          <cell r="NE23" t="str">
            <v/>
          </cell>
          <cell r="NF23" t="str">
            <v/>
          </cell>
          <cell r="NG23" t="str">
            <v/>
          </cell>
          <cell r="NH23" t="str">
            <v/>
          </cell>
          <cell r="NI23" t="str">
            <v/>
          </cell>
          <cell r="NJ23" t="str">
            <v/>
          </cell>
        </row>
        <row r="24">
          <cell r="I24" t="str">
            <v>E07000029</v>
          </cell>
          <cell r="GZ24">
            <v>41365</v>
          </cell>
          <cell r="HA24">
            <v>43190</v>
          </cell>
          <cell r="HB24">
            <v>230</v>
          </cell>
          <cell r="HC24">
            <v>230</v>
          </cell>
          <cell r="HD24">
            <v>43191</v>
          </cell>
          <cell r="HE24">
            <v>46843</v>
          </cell>
          <cell r="HF24">
            <v>300</v>
          </cell>
          <cell r="HG24">
            <v>300</v>
          </cell>
          <cell r="HH24" t="str">
            <v/>
          </cell>
          <cell r="HI24" t="str">
            <v/>
          </cell>
          <cell r="HJ24" t="str">
            <v/>
          </cell>
          <cell r="HK24" t="str">
            <v/>
          </cell>
          <cell r="HL24" t="str">
            <v/>
          </cell>
          <cell r="HM24" t="str">
            <v/>
          </cell>
          <cell r="HN24" t="str">
            <v/>
          </cell>
          <cell r="HO24" t="str">
            <v/>
          </cell>
          <cell r="HP24" t="str">
            <v/>
          </cell>
          <cell r="HQ24" t="str">
            <v/>
          </cell>
          <cell r="HR24" t="str">
            <v/>
          </cell>
          <cell r="HS24" t="str">
            <v/>
          </cell>
          <cell r="HT24" t="str">
            <v/>
          </cell>
          <cell r="HU24" t="str">
            <v/>
          </cell>
          <cell r="HV24" t="str">
            <v/>
          </cell>
          <cell r="HW24" t="str">
            <v/>
          </cell>
          <cell r="MN24" t="str">
            <v/>
          </cell>
          <cell r="MO24" t="str">
            <v/>
          </cell>
          <cell r="MP24" t="str">
            <v/>
          </cell>
          <cell r="MQ24" t="str">
            <v/>
          </cell>
          <cell r="MR24" t="str">
            <v/>
          </cell>
          <cell r="MS24" t="str">
            <v/>
          </cell>
          <cell r="MT24" t="str">
            <v/>
          </cell>
          <cell r="MU24" t="str">
            <v/>
          </cell>
          <cell r="MV24" t="str">
            <v/>
          </cell>
          <cell r="MW24" t="str">
            <v/>
          </cell>
          <cell r="MX24" t="str">
            <v/>
          </cell>
          <cell r="MY24" t="str">
            <v/>
          </cell>
          <cell r="MZ24" t="str">
            <v/>
          </cell>
          <cell r="NA24" t="str">
            <v/>
          </cell>
          <cell r="NB24" t="str">
            <v/>
          </cell>
          <cell r="NC24" t="str">
            <v/>
          </cell>
          <cell r="ND24" t="str">
            <v/>
          </cell>
          <cell r="NE24" t="str">
            <v/>
          </cell>
          <cell r="NF24" t="str">
            <v/>
          </cell>
          <cell r="NG24" t="str">
            <v/>
          </cell>
          <cell r="NH24" t="str">
            <v/>
          </cell>
          <cell r="NI24" t="str">
            <v/>
          </cell>
          <cell r="NJ24" t="str">
            <v/>
          </cell>
        </row>
        <row r="25">
          <cell r="I25" t="str">
            <v>E07000146</v>
          </cell>
          <cell r="GZ25" t="str">
            <v/>
          </cell>
          <cell r="HA25" t="str">
            <v/>
          </cell>
          <cell r="HB25" t="str">
            <v/>
          </cell>
          <cell r="HC25" t="str">
            <v/>
          </cell>
          <cell r="HD25" t="str">
            <v/>
          </cell>
          <cell r="HE25" t="str">
            <v/>
          </cell>
          <cell r="HF25" t="str">
            <v/>
          </cell>
          <cell r="HG25" t="str">
            <v/>
          </cell>
          <cell r="HH25" t="str">
            <v/>
          </cell>
          <cell r="HI25" t="str">
            <v/>
          </cell>
          <cell r="HJ25" t="str">
            <v/>
          </cell>
          <cell r="HK25" t="str">
            <v/>
          </cell>
          <cell r="HL25" t="str">
            <v/>
          </cell>
          <cell r="HM25" t="str">
            <v/>
          </cell>
          <cell r="HN25" t="str">
            <v/>
          </cell>
          <cell r="HO25" t="str">
            <v/>
          </cell>
          <cell r="HP25" t="str">
            <v/>
          </cell>
          <cell r="HQ25" t="str">
            <v/>
          </cell>
          <cell r="HR25" t="str">
            <v/>
          </cell>
          <cell r="HS25" t="str">
            <v/>
          </cell>
          <cell r="HT25" t="str">
            <v/>
          </cell>
          <cell r="HU25" t="str">
            <v/>
          </cell>
          <cell r="HV25" t="str">
            <v/>
          </cell>
          <cell r="HW25" t="str">
            <v/>
          </cell>
          <cell r="MN25" t="str">
            <v/>
          </cell>
          <cell r="MO25" t="str">
            <v/>
          </cell>
          <cell r="MP25" t="str">
            <v/>
          </cell>
          <cell r="MQ25" t="str">
            <v/>
          </cell>
          <cell r="MR25" t="str">
            <v/>
          </cell>
          <cell r="MS25" t="str">
            <v/>
          </cell>
          <cell r="MT25" t="str">
            <v/>
          </cell>
          <cell r="MU25" t="str">
            <v/>
          </cell>
          <cell r="MV25" t="str">
            <v/>
          </cell>
          <cell r="MW25" t="str">
            <v/>
          </cell>
          <cell r="MX25" t="str">
            <v/>
          </cell>
          <cell r="MY25" t="str">
            <v/>
          </cell>
          <cell r="MZ25" t="str">
            <v/>
          </cell>
          <cell r="NA25" t="str">
            <v/>
          </cell>
          <cell r="NB25" t="str">
            <v/>
          </cell>
          <cell r="NC25" t="str">
            <v/>
          </cell>
          <cell r="ND25" t="str">
            <v/>
          </cell>
          <cell r="NE25" t="str">
            <v/>
          </cell>
          <cell r="NF25" t="str">
            <v/>
          </cell>
          <cell r="NG25" t="str">
            <v/>
          </cell>
          <cell r="NH25" t="str">
            <v/>
          </cell>
          <cell r="NI25" t="str">
            <v/>
          </cell>
          <cell r="NJ25" t="str">
            <v/>
          </cell>
        </row>
        <row r="26">
          <cell r="I26" t="str">
            <v>E07000081</v>
          </cell>
          <cell r="GZ26" t="str">
            <v/>
          </cell>
          <cell r="HA26" t="str">
            <v/>
          </cell>
          <cell r="HB26" t="str">
            <v/>
          </cell>
          <cell r="HC26" t="str">
            <v/>
          </cell>
          <cell r="HD26" t="str">
            <v/>
          </cell>
          <cell r="HE26" t="str">
            <v/>
          </cell>
          <cell r="HF26" t="str">
            <v/>
          </cell>
          <cell r="HG26" t="str">
            <v/>
          </cell>
          <cell r="HH26" t="str">
            <v/>
          </cell>
          <cell r="HI26" t="str">
            <v/>
          </cell>
          <cell r="HJ26" t="str">
            <v/>
          </cell>
          <cell r="HK26" t="str">
            <v/>
          </cell>
          <cell r="HL26" t="str">
            <v/>
          </cell>
          <cell r="HM26" t="str">
            <v/>
          </cell>
          <cell r="HN26" t="str">
            <v/>
          </cell>
          <cell r="HO26" t="str">
            <v/>
          </cell>
          <cell r="HP26" t="str">
            <v/>
          </cell>
          <cell r="HQ26" t="str">
            <v/>
          </cell>
          <cell r="HR26" t="str">
            <v/>
          </cell>
          <cell r="HS26" t="str">
            <v/>
          </cell>
          <cell r="HT26" t="str">
            <v/>
          </cell>
          <cell r="HU26" t="str">
            <v/>
          </cell>
          <cell r="HV26" t="str">
            <v/>
          </cell>
          <cell r="HW26" t="str">
            <v/>
          </cell>
          <cell r="MN26" t="str">
            <v/>
          </cell>
          <cell r="MO26" t="str">
            <v/>
          </cell>
          <cell r="MP26" t="str">
            <v/>
          </cell>
          <cell r="MQ26" t="str">
            <v/>
          </cell>
          <cell r="MR26" t="str">
            <v/>
          </cell>
          <cell r="MS26" t="str">
            <v/>
          </cell>
          <cell r="MT26" t="str">
            <v/>
          </cell>
          <cell r="MU26" t="str">
            <v/>
          </cell>
          <cell r="MV26" t="str">
            <v/>
          </cell>
          <cell r="MW26" t="str">
            <v/>
          </cell>
          <cell r="MX26" t="str">
            <v/>
          </cell>
          <cell r="MY26" t="str">
            <v/>
          </cell>
          <cell r="MZ26" t="str">
            <v/>
          </cell>
          <cell r="NA26" t="str">
            <v/>
          </cell>
          <cell r="NB26" t="str">
            <v/>
          </cell>
          <cell r="NC26" t="str">
            <v/>
          </cell>
          <cell r="ND26" t="str">
            <v/>
          </cell>
          <cell r="NE26" t="str">
            <v/>
          </cell>
          <cell r="NF26" t="str">
            <v/>
          </cell>
          <cell r="NG26" t="str">
            <v/>
          </cell>
          <cell r="NH26" t="str">
            <v/>
          </cell>
          <cell r="NI26" t="str">
            <v/>
          </cell>
          <cell r="NJ26" t="str">
            <v/>
          </cell>
        </row>
        <row r="27">
          <cell r="I27" t="str">
            <v>E07000238</v>
          </cell>
          <cell r="GZ27">
            <v>38808</v>
          </cell>
          <cell r="HA27">
            <v>41729</v>
          </cell>
          <cell r="HB27">
            <v>960</v>
          </cell>
          <cell r="HC27" t="str">
            <v>Analyst To Calculate</v>
          </cell>
          <cell r="HD27">
            <v>41730</v>
          </cell>
          <cell r="HE27">
            <v>42094</v>
          </cell>
          <cell r="HF27">
            <v>1016</v>
          </cell>
          <cell r="HG27" t="str">
            <v>Analyst To Calculate</v>
          </cell>
          <cell r="HH27">
            <v>42095</v>
          </cell>
          <cell r="HI27">
            <v>47573</v>
          </cell>
          <cell r="HJ27">
            <v>1314</v>
          </cell>
          <cell r="HK27" t="str">
            <v>Analyst To Calculate</v>
          </cell>
          <cell r="HL27" t="str">
            <v/>
          </cell>
          <cell r="HM27" t="str">
            <v/>
          </cell>
          <cell r="HN27" t="str">
            <v/>
          </cell>
          <cell r="HO27" t="str">
            <v>Analyst To Calculate</v>
          </cell>
          <cell r="HP27" t="str">
            <v/>
          </cell>
          <cell r="HQ27" t="str">
            <v/>
          </cell>
          <cell r="HR27" t="str">
            <v/>
          </cell>
          <cell r="HS27" t="str">
            <v>Analyst To Calculate</v>
          </cell>
          <cell r="HT27" t="str">
            <v/>
          </cell>
          <cell r="HU27" t="str">
            <v/>
          </cell>
          <cell r="HV27" t="str">
            <v/>
          </cell>
          <cell r="HW27" t="str">
            <v>Analyst To Calculate</v>
          </cell>
          <cell r="MN27" t="str">
            <v/>
          </cell>
          <cell r="MO27" t="str">
            <v/>
          </cell>
          <cell r="MP27" t="str">
            <v/>
          </cell>
          <cell r="MQ27" t="str">
            <v/>
          </cell>
          <cell r="MR27" t="str">
            <v/>
          </cell>
          <cell r="MS27" t="str">
            <v/>
          </cell>
          <cell r="MT27" t="str">
            <v/>
          </cell>
          <cell r="MU27" t="str">
            <v/>
          </cell>
          <cell r="MV27" t="str">
            <v/>
          </cell>
          <cell r="MW27" t="str">
            <v/>
          </cell>
          <cell r="MX27" t="str">
            <v/>
          </cell>
          <cell r="MY27" t="str">
            <v/>
          </cell>
          <cell r="MZ27" t="str">
            <v/>
          </cell>
          <cell r="NA27" t="str">
            <v/>
          </cell>
          <cell r="NB27" t="str">
            <v/>
          </cell>
          <cell r="NC27" t="str">
            <v/>
          </cell>
          <cell r="ND27" t="str">
            <v/>
          </cell>
          <cell r="NE27" t="str">
            <v/>
          </cell>
          <cell r="NF27" t="str">
            <v/>
          </cell>
          <cell r="NG27" t="str">
            <v/>
          </cell>
          <cell r="NH27" t="str">
            <v/>
          </cell>
          <cell r="NI27" t="str">
            <v/>
          </cell>
          <cell r="NJ27" t="str">
            <v/>
          </cell>
        </row>
        <row r="28">
          <cell r="I28" t="str">
            <v>E07000210</v>
          </cell>
          <cell r="GZ28" t="str">
            <v/>
          </cell>
          <cell r="HA28" t="str">
            <v/>
          </cell>
          <cell r="HB28" t="str">
            <v/>
          </cell>
          <cell r="HC28" t="str">
            <v/>
          </cell>
          <cell r="HD28" t="str">
            <v/>
          </cell>
          <cell r="HE28" t="str">
            <v/>
          </cell>
          <cell r="HF28" t="str">
            <v/>
          </cell>
          <cell r="HG28" t="str">
            <v/>
          </cell>
          <cell r="HH28" t="str">
            <v/>
          </cell>
          <cell r="HI28" t="str">
            <v/>
          </cell>
          <cell r="HJ28" t="str">
            <v/>
          </cell>
          <cell r="HK28" t="str">
            <v/>
          </cell>
          <cell r="HL28" t="str">
            <v/>
          </cell>
          <cell r="HM28" t="str">
            <v/>
          </cell>
          <cell r="HN28" t="str">
            <v/>
          </cell>
          <cell r="HO28" t="str">
            <v/>
          </cell>
          <cell r="HP28" t="str">
            <v/>
          </cell>
          <cell r="HQ28" t="str">
            <v/>
          </cell>
          <cell r="HR28" t="str">
            <v/>
          </cell>
          <cell r="HS28" t="str">
            <v/>
          </cell>
          <cell r="HT28" t="str">
            <v/>
          </cell>
          <cell r="HU28" t="str">
            <v/>
          </cell>
          <cell r="HV28" t="str">
            <v/>
          </cell>
          <cell r="HW28" t="str">
            <v/>
          </cell>
          <cell r="MN28" t="str">
            <v/>
          </cell>
          <cell r="MO28" t="str">
            <v/>
          </cell>
          <cell r="MP28" t="str">
            <v/>
          </cell>
          <cell r="MQ28" t="str">
            <v/>
          </cell>
          <cell r="MR28" t="str">
            <v/>
          </cell>
          <cell r="MS28" t="str">
            <v/>
          </cell>
          <cell r="MT28" t="str">
            <v/>
          </cell>
          <cell r="MU28" t="str">
            <v/>
          </cell>
          <cell r="MV28" t="str">
            <v/>
          </cell>
          <cell r="MW28" t="str">
            <v/>
          </cell>
          <cell r="MX28" t="str">
            <v/>
          </cell>
          <cell r="MY28" t="str">
            <v/>
          </cell>
          <cell r="MZ28" t="str">
            <v/>
          </cell>
          <cell r="NA28" t="str">
            <v/>
          </cell>
          <cell r="NB28" t="str">
            <v/>
          </cell>
          <cell r="NC28" t="str">
            <v/>
          </cell>
          <cell r="ND28" t="str">
            <v/>
          </cell>
          <cell r="NE28" t="str">
            <v/>
          </cell>
          <cell r="NF28" t="str">
            <v/>
          </cell>
          <cell r="NG28" t="str">
            <v/>
          </cell>
          <cell r="NH28" t="str">
            <v/>
          </cell>
          <cell r="NI28" t="str">
            <v/>
          </cell>
          <cell r="NJ28" t="str">
            <v/>
          </cell>
        </row>
        <row r="29">
          <cell r="I29" t="str">
            <v>E08000028</v>
          </cell>
          <cell r="GZ29" t="str">
            <v/>
          </cell>
          <cell r="HA29" t="str">
            <v/>
          </cell>
          <cell r="HB29" t="str">
            <v/>
          </cell>
          <cell r="HC29" t="str">
            <v/>
          </cell>
          <cell r="HD29" t="str">
            <v/>
          </cell>
          <cell r="HE29" t="str">
            <v/>
          </cell>
          <cell r="HF29" t="str">
            <v/>
          </cell>
          <cell r="HG29" t="str">
            <v/>
          </cell>
          <cell r="HH29" t="str">
            <v/>
          </cell>
          <cell r="HI29" t="str">
            <v/>
          </cell>
          <cell r="HJ29" t="str">
            <v/>
          </cell>
          <cell r="HK29" t="str">
            <v/>
          </cell>
          <cell r="HL29" t="str">
            <v/>
          </cell>
          <cell r="HM29" t="str">
            <v/>
          </cell>
          <cell r="HN29" t="str">
            <v/>
          </cell>
          <cell r="HO29" t="str">
            <v/>
          </cell>
          <cell r="HP29" t="str">
            <v/>
          </cell>
          <cell r="HQ29" t="str">
            <v/>
          </cell>
          <cell r="HR29" t="str">
            <v/>
          </cell>
          <cell r="HS29" t="str">
            <v/>
          </cell>
          <cell r="HT29" t="str">
            <v/>
          </cell>
          <cell r="HU29" t="str">
            <v/>
          </cell>
          <cell r="HV29" t="str">
            <v/>
          </cell>
          <cell r="HW29" t="str">
            <v/>
          </cell>
          <cell r="MN29" t="str">
            <v/>
          </cell>
          <cell r="MO29" t="str">
            <v/>
          </cell>
          <cell r="MP29" t="str">
            <v/>
          </cell>
          <cell r="MQ29" t="str">
            <v/>
          </cell>
          <cell r="MR29" t="str">
            <v/>
          </cell>
          <cell r="MS29" t="str">
            <v/>
          </cell>
          <cell r="MT29" t="str">
            <v/>
          </cell>
          <cell r="MU29" t="str">
            <v/>
          </cell>
          <cell r="MV29" t="str">
            <v/>
          </cell>
          <cell r="MW29" t="str">
            <v/>
          </cell>
          <cell r="MX29" t="str">
            <v/>
          </cell>
          <cell r="MY29" t="str">
            <v/>
          </cell>
          <cell r="MZ29" t="str">
            <v/>
          </cell>
          <cell r="NA29" t="str">
            <v/>
          </cell>
          <cell r="NB29" t="str">
            <v/>
          </cell>
          <cell r="NC29" t="str">
            <v/>
          </cell>
          <cell r="ND29" t="str">
            <v/>
          </cell>
          <cell r="NE29" t="str">
            <v/>
          </cell>
          <cell r="NF29" t="str">
            <v/>
          </cell>
          <cell r="NG29" t="str">
            <v/>
          </cell>
          <cell r="NH29" t="str">
            <v/>
          </cell>
          <cell r="NI29" t="str">
            <v/>
          </cell>
          <cell r="NJ29" t="str">
            <v/>
          </cell>
        </row>
        <row r="30">
          <cell r="I30" t="str">
            <v>E06000008</v>
          </cell>
          <cell r="GZ30" t="str">
            <v/>
          </cell>
          <cell r="HA30" t="str">
            <v/>
          </cell>
          <cell r="HB30" t="str">
            <v/>
          </cell>
          <cell r="HC30" t="str">
            <v/>
          </cell>
          <cell r="HD30" t="str">
            <v/>
          </cell>
          <cell r="HE30" t="str">
            <v/>
          </cell>
          <cell r="HF30" t="str">
            <v/>
          </cell>
          <cell r="HG30" t="str">
            <v/>
          </cell>
          <cell r="HH30" t="str">
            <v/>
          </cell>
          <cell r="HI30" t="str">
            <v/>
          </cell>
          <cell r="HJ30" t="str">
            <v/>
          </cell>
          <cell r="HK30" t="str">
            <v/>
          </cell>
          <cell r="HL30" t="str">
            <v/>
          </cell>
          <cell r="HM30" t="str">
            <v/>
          </cell>
          <cell r="HN30" t="str">
            <v/>
          </cell>
          <cell r="HO30" t="str">
            <v/>
          </cell>
          <cell r="HP30" t="str">
            <v/>
          </cell>
          <cell r="HQ30" t="str">
            <v/>
          </cell>
          <cell r="HR30" t="str">
            <v/>
          </cell>
          <cell r="HS30" t="str">
            <v/>
          </cell>
          <cell r="HT30" t="str">
            <v/>
          </cell>
          <cell r="HU30" t="str">
            <v/>
          </cell>
          <cell r="HV30" t="str">
            <v/>
          </cell>
          <cell r="HW30" t="str">
            <v/>
          </cell>
          <cell r="MN30" t="str">
            <v/>
          </cell>
          <cell r="MO30" t="str">
            <v/>
          </cell>
          <cell r="MP30" t="str">
            <v/>
          </cell>
          <cell r="MQ30" t="str">
            <v/>
          </cell>
          <cell r="MR30" t="str">
            <v/>
          </cell>
          <cell r="MS30" t="str">
            <v/>
          </cell>
          <cell r="MT30" t="str">
            <v/>
          </cell>
          <cell r="MU30" t="str">
            <v/>
          </cell>
          <cell r="MV30" t="str">
            <v/>
          </cell>
          <cell r="MW30" t="str">
            <v/>
          </cell>
          <cell r="MX30" t="str">
            <v/>
          </cell>
          <cell r="MY30" t="str">
            <v/>
          </cell>
          <cell r="MZ30" t="str">
            <v/>
          </cell>
          <cell r="NA30" t="str">
            <v/>
          </cell>
          <cell r="NB30" t="str">
            <v/>
          </cell>
          <cell r="NC30" t="str">
            <v/>
          </cell>
          <cell r="ND30" t="str">
            <v/>
          </cell>
          <cell r="NE30" t="str">
            <v/>
          </cell>
          <cell r="NF30" t="str">
            <v/>
          </cell>
          <cell r="NG30" t="str">
            <v/>
          </cell>
          <cell r="NH30" t="str">
            <v/>
          </cell>
          <cell r="NI30" t="str">
            <v/>
          </cell>
          <cell r="NJ30" t="str">
            <v/>
          </cell>
        </row>
        <row r="31">
          <cell r="I31" t="str">
            <v>E07000038</v>
          </cell>
          <cell r="GZ31" t="str">
            <v/>
          </cell>
          <cell r="HA31" t="str">
            <v/>
          </cell>
          <cell r="HB31" t="str">
            <v/>
          </cell>
          <cell r="HC31" t="str">
            <v/>
          </cell>
          <cell r="HD31" t="str">
            <v/>
          </cell>
          <cell r="HE31" t="str">
            <v/>
          </cell>
          <cell r="HF31" t="str">
            <v/>
          </cell>
          <cell r="HG31" t="str">
            <v/>
          </cell>
          <cell r="HH31" t="str">
            <v/>
          </cell>
          <cell r="HI31" t="str">
            <v/>
          </cell>
          <cell r="HJ31" t="str">
            <v/>
          </cell>
          <cell r="HK31" t="str">
            <v/>
          </cell>
          <cell r="HL31" t="str">
            <v/>
          </cell>
          <cell r="HM31" t="str">
            <v/>
          </cell>
          <cell r="HN31" t="str">
            <v/>
          </cell>
          <cell r="HO31" t="str">
            <v/>
          </cell>
          <cell r="HP31" t="str">
            <v/>
          </cell>
          <cell r="HQ31" t="str">
            <v/>
          </cell>
          <cell r="HR31" t="str">
            <v/>
          </cell>
          <cell r="HS31" t="str">
            <v/>
          </cell>
          <cell r="HT31" t="str">
            <v/>
          </cell>
          <cell r="HU31" t="str">
            <v/>
          </cell>
          <cell r="HV31" t="str">
            <v/>
          </cell>
          <cell r="HW31" t="str">
            <v/>
          </cell>
          <cell r="MN31" t="str">
            <v/>
          </cell>
          <cell r="MO31" t="str">
            <v/>
          </cell>
          <cell r="MP31" t="str">
            <v/>
          </cell>
          <cell r="MQ31" t="str">
            <v/>
          </cell>
          <cell r="MR31" t="str">
            <v/>
          </cell>
          <cell r="MS31" t="str">
            <v/>
          </cell>
          <cell r="MT31" t="str">
            <v/>
          </cell>
          <cell r="MU31" t="str">
            <v/>
          </cell>
          <cell r="MV31" t="str">
            <v/>
          </cell>
          <cell r="MW31" t="str">
            <v/>
          </cell>
          <cell r="MX31" t="str">
            <v/>
          </cell>
          <cell r="MY31" t="str">
            <v/>
          </cell>
          <cell r="MZ31" t="str">
            <v/>
          </cell>
          <cell r="NA31" t="str">
            <v/>
          </cell>
          <cell r="NB31" t="str">
            <v/>
          </cell>
          <cell r="NC31" t="str">
            <v/>
          </cell>
          <cell r="ND31" t="str">
            <v/>
          </cell>
          <cell r="NE31" t="str">
            <v/>
          </cell>
          <cell r="NF31" t="str">
            <v/>
          </cell>
          <cell r="NG31" t="str">
            <v/>
          </cell>
          <cell r="NH31" t="str">
            <v/>
          </cell>
          <cell r="NI31" t="str">
            <v/>
          </cell>
          <cell r="NJ31" t="str">
            <v/>
          </cell>
        </row>
        <row r="32">
          <cell r="I32" t="str">
            <v>E07000069</v>
          </cell>
          <cell r="GZ32" t="str">
            <v/>
          </cell>
          <cell r="HA32" t="str">
            <v/>
          </cell>
          <cell r="HB32" t="str">
            <v/>
          </cell>
          <cell r="HC32" t="str">
            <v/>
          </cell>
          <cell r="HD32" t="str">
            <v/>
          </cell>
          <cell r="HE32" t="str">
            <v/>
          </cell>
          <cell r="HF32" t="str">
            <v/>
          </cell>
          <cell r="HG32" t="str">
            <v/>
          </cell>
          <cell r="HH32" t="str">
            <v/>
          </cell>
          <cell r="HI32" t="str">
            <v/>
          </cell>
          <cell r="HJ32" t="str">
            <v/>
          </cell>
          <cell r="HK32" t="str">
            <v/>
          </cell>
          <cell r="HL32" t="str">
            <v/>
          </cell>
          <cell r="HM32" t="str">
            <v/>
          </cell>
          <cell r="HN32" t="str">
            <v/>
          </cell>
          <cell r="HO32" t="str">
            <v/>
          </cell>
          <cell r="HP32" t="str">
            <v/>
          </cell>
          <cell r="HQ32" t="str">
            <v/>
          </cell>
          <cell r="HR32" t="str">
            <v/>
          </cell>
          <cell r="HS32" t="str">
            <v/>
          </cell>
          <cell r="HT32" t="str">
            <v/>
          </cell>
          <cell r="HU32" t="str">
            <v/>
          </cell>
          <cell r="HV32" t="str">
            <v/>
          </cell>
          <cell r="HW32" t="str">
            <v/>
          </cell>
          <cell r="MN32" t="str">
            <v/>
          </cell>
          <cell r="MO32" t="str">
            <v/>
          </cell>
          <cell r="MP32" t="str">
            <v/>
          </cell>
          <cell r="MQ32" t="str">
            <v/>
          </cell>
          <cell r="MR32" t="str">
            <v/>
          </cell>
          <cell r="MS32" t="str">
            <v/>
          </cell>
          <cell r="MT32" t="str">
            <v/>
          </cell>
          <cell r="MU32" t="str">
            <v/>
          </cell>
          <cell r="MV32" t="str">
            <v/>
          </cell>
          <cell r="MW32" t="str">
            <v/>
          </cell>
          <cell r="MX32" t="str">
            <v/>
          </cell>
          <cell r="MY32" t="str">
            <v/>
          </cell>
          <cell r="MZ32" t="str">
            <v/>
          </cell>
          <cell r="NA32" t="str">
            <v/>
          </cell>
          <cell r="NB32" t="str">
            <v/>
          </cell>
          <cell r="NC32" t="str">
            <v/>
          </cell>
          <cell r="ND32" t="str">
            <v/>
          </cell>
          <cell r="NE32" t="str">
            <v/>
          </cell>
          <cell r="NF32" t="str">
            <v/>
          </cell>
          <cell r="NG32" t="str">
            <v/>
          </cell>
          <cell r="NH32" t="str">
            <v/>
          </cell>
          <cell r="NI32" t="str">
            <v/>
          </cell>
          <cell r="NJ32" t="str">
            <v/>
          </cell>
        </row>
        <row r="33">
          <cell r="I33" t="str">
            <v>E07000173</v>
          </cell>
          <cell r="GZ33">
            <v>40634</v>
          </cell>
          <cell r="HA33">
            <v>41364</v>
          </cell>
          <cell r="HB33">
            <v>250</v>
          </cell>
          <cell r="HC33" t="str">
            <v>Analyst To Calculate</v>
          </cell>
          <cell r="HD33">
            <v>41365</v>
          </cell>
          <cell r="HE33">
            <v>43190</v>
          </cell>
          <cell r="HF33">
            <v>440</v>
          </cell>
          <cell r="HG33" t="str">
            <v>Analyst To Calculate</v>
          </cell>
          <cell r="HH33">
            <v>43191</v>
          </cell>
          <cell r="HI33">
            <v>45016</v>
          </cell>
          <cell r="HJ33">
            <v>480</v>
          </cell>
          <cell r="HK33" t="str">
            <v>Analyst To Calculate</v>
          </cell>
          <cell r="HL33">
            <v>45017</v>
          </cell>
          <cell r="HM33">
            <v>46843</v>
          </cell>
          <cell r="HN33">
            <v>430</v>
          </cell>
          <cell r="HO33" t="str">
            <v>Analyst To Calculate</v>
          </cell>
          <cell r="HP33" t="str">
            <v/>
          </cell>
          <cell r="HQ33" t="str">
            <v/>
          </cell>
          <cell r="HR33" t="str">
            <v/>
          </cell>
          <cell r="HS33" t="str">
            <v>Analyst To Calculate</v>
          </cell>
          <cell r="HT33" t="str">
            <v/>
          </cell>
          <cell r="HU33" t="str">
            <v/>
          </cell>
          <cell r="HV33" t="str">
            <v/>
          </cell>
          <cell r="HW33" t="str">
            <v>Analyst To Calculate</v>
          </cell>
          <cell r="MN33" t="str">
            <v/>
          </cell>
          <cell r="MO33" t="str">
            <v/>
          </cell>
          <cell r="MP33" t="str">
            <v/>
          </cell>
          <cell r="MQ33" t="str">
            <v/>
          </cell>
          <cell r="MR33" t="str">
            <v/>
          </cell>
          <cell r="MS33" t="str">
            <v/>
          </cell>
          <cell r="MT33" t="str">
            <v/>
          </cell>
          <cell r="MU33" t="str">
            <v/>
          </cell>
          <cell r="MV33" t="str">
            <v/>
          </cell>
          <cell r="MW33" t="str">
            <v/>
          </cell>
          <cell r="MX33" t="str">
            <v/>
          </cell>
          <cell r="MY33" t="str">
            <v/>
          </cell>
          <cell r="MZ33" t="str">
            <v/>
          </cell>
          <cell r="NA33" t="str">
            <v/>
          </cell>
          <cell r="NB33" t="str">
            <v/>
          </cell>
          <cell r="NC33" t="str">
            <v/>
          </cell>
          <cell r="ND33" t="str">
            <v/>
          </cell>
          <cell r="NE33" t="str">
            <v/>
          </cell>
          <cell r="NF33" t="str">
            <v/>
          </cell>
          <cell r="NG33" t="str">
            <v/>
          </cell>
          <cell r="NH33" t="str">
            <v/>
          </cell>
          <cell r="NI33" t="str">
            <v/>
          </cell>
          <cell r="NJ33" t="str">
            <v/>
          </cell>
        </row>
        <row r="34">
          <cell r="I34" t="str">
            <v>E08000037</v>
          </cell>
          <cell r="GZ34">
            <v>40269</v>
          </cell>
          <cell r="HA34">
            <v>42094</v>
          </cell>
          <cell r="HB34">
            <v>96</v>
          </cell>
          <cell r="HC34">
            <v>96</v>
          </cell>
          <cell r="HD34">
            <v>42095</v>
          </cell>
          <cell r="HE34">
            <v>43921</v>
          </cell>
          <cell r="HF34">
            <v>484</v>
          </cell>
          <cell r="HG34">
            <v>484</v>
          </cell>
          <cell r="HH34">
            <v>43922</v>
          </cell>
          <cell r="HI34">
            <v>45747</v>
          </cell>
          <cell r="HJ34">
            <v>804</v>
          </cell>
          <cell r="HK34">
            <v>804</v>
          </cell>
          <cell r="HL34">
            <v>45748</v>
          </cell>
          <cell r="HM34">
            <v>47573</v>
          </cell>
          <cell r="HN34">
            <v>316</v>
          </cell>
          <cell r="HO34">
            <v>316</v>
          </cell>
          <cell r="HP34" t="str">
            <v/>
          </cell>
          <cell r="HQ34" t="str">
            <v/>
          </cell>
          <cell r="HR34" t="str">
            <v/>
          </cell>
          <cell r="HS34" t="str">
            <v/>
          </cell>
          <cell r="HT34" t="str">
            <v/>
          </cell>
          <cell r="HU34" t="str">
            <v/>
          </cell>
          <cell r="HV34" t="str">
            <v/>
          </cell>
          <cell r="HW34" t="str">
            <v/>
          </cell>
          <cell r="MN34" t="str">
            <v/>
          </cell>
          <cell r="MO34" t="str">
            <v/>
          </cell>
          <cell r="MP34" t="str">
            <v/>
          </cell>
          <cell r="MQ34" t="str">
            <v/>
          </cell>
          <cell r="MR34" t="str">
            <v/>
          </cell>
          <cell r="MS34" t="str">
            <v/>
          </cell>
          <cell r="MT34" t="str">
            <v/>
          </cell>
          <cell r="MU34" t="str">
            <v/>
          </cell>
          <cell r="MV34" t="str">
            <v/>
          </cell>
          <cell r="MW34" t="str">
            <v/>
          </cell>
          <cell r="MX34" t="str">
            <v/>
          </cell>
          <cell r="MY34" t="str">
            <v/>
          </cell>
          <cell r="MZ34" t="str">
            <v/>
          </cell>
          <cell r="NA34" t="str">
            <v/>
          </cell>
          <cell r="NB34" t="str">
            <v/>
          </cell>
          <cell r="NC34" t="str">
            <v/>
          </cell>
          <cell r="ND34" t="str">
            <v/>
          </cell>
          <cell r="NE34" t="str">
            <v/>
          </cell>
          <cell r="NF34" t="str">
            <v/>
          </cell>
          <cell r="NG34" t="str">
            <v/>
          </cell>
          <cell r="NH34" t="str">
            <v/>
          </cell>
          <cell r="NI34" t="str">
            <v/>
          </cell>
          <cell r="NJ34" t="str">
            <v/>
          </cell>
        </row>
        <row r="35">
          <cell r="I35" t="str">
            <v>E07000240</v>
          </cell>
          <cell r="GZ35" t="str">
            <v/>
          </cell>
          <cell r="HA35" t="str">
            <v/>
          </cell>
          <cell r="HB35" t="str">
            <v/>
          </cell>
          <cell r="HC35" t="str">
            <v/>
          </cell>
          <cell r="HD35" t="str">
            <v/>
          </cell>
          <cell r="HE35" t="str">
            <v/>
          </cell>
          <cell r="HF35" t="str">
            <v/>
          </cell>
          <cell r="HG35" t="str">
            <v/>
          </cell>
          <cell r="HH35" t="str">
            <v/>
          </cell>
          <cell r="HI35" t="str">
            <v/>
          </cell>
          <cell r="HJ35" t="str">
            <v/>
          </cell>
          <cell r="HK35" t="str">
            <v/>
          </cell>
          <cell r="HL35" t="str">
            <v/>
          </cell>
          <cell r="HM35" t="str">
            <v/>
          </cell>
          <cell r="HN35" t="str">
            <v/>
          </cell>
          <cell r="HO35" t="str">
            <v/>
          </cell>
          <cell r="HP35" t="str">
            <v/>
          </cell>
          <cell r="HQ35" t="str">
            <v/>
          </cell>
          <cell r="HR35" t="str">
            <v/>
          </cell>
          <cell r="HS35" t="str">
            <v/>
          </cell>
          <cell r="HT35" t="str">
            <v/>
          </cell>
          <cell r="HU35" t="str">
            <v/>
          </cell>
          <cell r="HV35" t="str">
            <v/>
          </cell>
          <cell r="HW35" t="str">
            <v/>
          </cell>
          <cell r="MN35" t="str">
            <v/>
          </cell>
          <cell r="MO35" t="str">
            <v/>
          </cell>
          <cell r="MP35" t="str">
            <v/>
          </cell>
          <cell r="MQ35" t="str">
            <v/>
          </cell>
          <cell r="MR35" t="str">
            <v/>
          </cell>
          <cell r="MS35" t="str">
            <v/>
          </cell>
          <cell r="MT35" t="str">
            <v/>
          </cell>
          <cell r="MU35" t="str">
            <v/>
          </cell>
          <cell r="MV35" t="str">
            <v/>
          </cell>
          <cell r="MW35" t="str">
            <v/>
          </cell>
          <cell r="MX35" t="str">
            <v/>
          </cell>
          <cell r="MY35" t="str">
            <v/>
          </cell>
          <cell r="MZ35" t="str">
            <v/>
          </cell>
          <cell r="NA35" t="str">
            <v/>
          </cell>
          <cell r="NB35" t="str">
            <v/>
          </cell>
          <cell r="NC35" t="str">
            <v/>
          </cell>
          <cell r="ND35" t="str">
            <v/>
          </cell>
          <cell r="NE35" t="str">
            <v/>
          </cell>
          <cell r="NF35" t="str">
            <v/>
          </cell>
          <cell r="NG35" t="str">
            <v/>
          </cell>
          <cell r="NH35" t="str">
            <v/>
          </cell>
          <cell r="NI35" t="str">
            <v/>
          </cell>
          <cell r="NJ35" t="str">
            <v/>
          </cell>
        </row>
        <row r="36">
          <cell r="I36" t="str">
            <v>E07000112</v>
          </cell>
          <cell r="GZ36">
            <v>38808</v>
          </cell>
          <cell r="HA36">
            <v>46112</v>
          </cell>
          <cell r="HB36">
            <v>400</v>
          </cell>
          <cell r="HC36">
            <v>400</v>
          </cell>
          <cell r="HD36">
            <v>46113</v>
          </cell>
          <cell r="HE36">
            <v>47938</v>
          </cell>
          <cell r="HF36">
            <v>1160</v>
          </cell>
          <cell r="HG36">
            <v>1160</v>
          </cell>
          <cell r="HH36" t="str">
            <v/>
          </cell>
          <cell r="HI36" t="str">
            <v/>
          </cell>
          <cell r="HJ36" t="str">
            <v/>
          </cell>
          <cell r="HK36" t="str">
            <v/>
          </cell>
          <cell r="HL36" t="str">
            <v/>
          </cell>
          <cell r="HM36" t="str">
            <v/>
          </cell>
          <cell r="HN36" t="str">
            <v/>
          </cell>
          <cell r="HO36" t="str">
            <v/>
          </cell>
          <cell r="HP36" t="str">
            <v/>
          </cell>
          <cell r="HQ36" t="str">
            <v/>
          </cell>
          <cell r="HR36" t="str">
            <v/>
          </cell>
          <cell r="HS36" t="str">
            <v/>
          </cell>
          <cell r="HT36" t="str">
            <v/>
          </cell>
          <cell r="HU36" t="str">
            <v/>
          </cell>
          <cell r="HV36" t="str">
            <v/>
          </cell>
          <cell r="HW36" t="str">
            <v/>
          </cell>
          <cell r="MN36" t="str">
            <v/>
          </cell>
          <cell r="MO36" t="str">
            <v/>
          </cell>
          <cell r="MP36" t="str">
            <v/>
          </cell>
          <cell r="MQ36" t="str">
            <v/>
          </cell>
          <cell r="MR36" t="str">
            <v/>
          </cell>
          <cell r="MS36" t="str">
            <v/>
          </cell>
          <cell r="MT36" t="str">
            <v/>
          </cell>
          <cell r="MU36" t="str">
            <v/>
          </cell>
          <cell r="MV36" t="str">
            <v/>
          </cell>
          <cell r="MW36" t="str">
            <v/>
          </cell>
          <cell r="MX36" t="str">
            <v/>
          </cell>
          <cell r="MY36" t="str">
            <v/>
          </cell>
          <cell r="MZ36" t="str">
            <v/>
          </cell>
          <cell r="NA36" t="str">
            <v/>
          </cell>
          <cell r="NB36" t="str">
            <v/>
          </cell>
          <cell r="NC36" t="str">
            <v/>
          </cell>
          <cell r="ND36" t="str">
            <v/>
          </cell>
          <cell r="NE36" t="str">
            <v/>
          </cell>
          <cell r="NF36" t="str">
            <v/>
          </cell>
          <cell r="NG36" t="str">
            <v/>
          </cell>
          <cell r="NH36" t="str">
            <v/>
          </cell>
          <cell r="NI36" t="str">
            <v/>
          </cell>
          <cell r="NJ36" t="str">
            <v/>
          </cell>
        </row>
        <row r="37">
          <cell r="I37" t="str">
            <v>E07000108</v>
          </cell>
          <cell r="GZ37" t="str">
            <v/>
          </cell>
          <cell r="HA37" t="str">
            <v/>
          </cell>
          <cell r="HB37" t="str">
            <v/>
          </cell>
          <cell r="HC37" t="str">
            <v/>
          </cell>
          <cell r="HD37" t="str">
            <v/>
          </cell>
          <cell r="HE37" t="str">
            <v/>
          </cell>
          <cell r="HF37" t="str">
            <v/>
          </cell>
          <cell r="HG37" t="str">
            <v/>
          </cell>
          <cell r="HH37" t="str">
            <v/>
          </cell>
          <cell r="HI37" t="str">
            <v/>
          </cell>
          <cell r="HJ37" t="str">
            <v/>
          </cell>
          <cell r="HK37" t="str">
            <v/>
          </cell>
          <cell r="HL37" t="str">
            <v/>
          </cell>
          <cell r="HM37" t="str">
            <v/>
          </cell>
          <cell r="HN37" t="str">
            <v/>
          </cell>
          <cell r="HO37" t="str">
            <v/>
          </cell>
          <cell r="HP37" t="str">
            <v/>
          </cell>
          <cell r="HQ37" t="str">
            <v/>
          </cell>
          <cell r="HR37" t="str">
            <v/>
          </cell>
          <cell r="HS37" t="str">
            <v/>
          </cell>
          <cell r="HT37" t="str">
            <v/>
          </cell>
          <cell r="HU37" t="str">
            <v/>
          </cell>
          <cell r="HV37" t="str">
            <v/>
          </cell>
          <cell r="HW37" t="str">
            <v/>
          </cell>
          <cell r="MN37" t="str">
            <v/>
          </cell>
          <cell r="MO37" t="str">
            <v/>
          </cell>
          <cell r="MP37" t="str">
            <v/>
          </cell>
          <cell r="MQ37" t="str">
            <v/>
          </cell>
          <cell r="MR37" t="str">
            <v/>
          </cell>
          <cell r="MS37" t="str">
            <v/>
          </cell>
          <cell r="MT37" t="str">
            <v/>
          </cell>
          <cell r="MU37" t="str">
            <v/>
          </cell>
          <cell r="MV37" t="str">
            <v/>
          </cell>
          <cell r="MW37" t="str">
            <v/>
          </cell>
          <cell r="MX37" t="str">
            <v/>
          </cell>
          <cell r="MY37" t="str">
            <v/>
          </cell>
          <cell r="MZ37" t="str">
            <v/>
          </cell>
          <cell r="NA37" t="str">
            <v/>
          </cell>
          <cell r="NB37" t="str">
            <v/>
          </cell>
          <cell r="NC37" t="str">
            <v/>
          </cell>
          <cell r="ND37" t="str">
            <v/>
          </cell>
          <cell r="NE37" t="str">
            <v/>
          </cell>
          <cell r="NF37" t="str">
            <v/>
          </cell>
          <cell r="NG37" t="str">
            <v/>
          </cell>
          <cell r="NH37" t="str">
            <v/>
          </cell>
          <cell r="NI37" t="str">
            <v/>
          </cell>
          <cell r="NJ37" t="str">
            <v/>
          </cell>
        </row>
        <row r="38">
          <cell r="I38" t="str">
            <v>E06000030</v>
          </cell>
          <cell r="GZ38">
            <v>40634</v>
          </cell>
          <cell r="HA38">
            <v>42460</v>
          </cell>
          <cell r="HB38">
            <v>1150</v>
          </cell>
          <cell r="HC38" t="str">
            <v>Analyst To Calculate</v>
          </cell>
          <cell r="HD38">
            <v>42461</v>
          </cell>
          <cell r="HE38">
            <v>46112</v>
          </cell>
          <cell r="HF38">
            <v>1625</v>
          </cell>
          <cell r="HG38" t="str">
            <v>Analyst To Calculate</v>
          </cell>
          <cell r="HH38" t="str">
            <v/>
          </cell>
          <cell r="HI38" t="str">
            <v/>
          </cell>
          <cell r="HJ38" t="str">
            <v/>
          </cell>
          <cell r="HK38" t="str">
            <v>Analyst To Calculate</v>
          </cell>
          <cell r="HL38" t="str">
            <v/>
          </cell>
          <cell r="HM38" t="str">
            <v/>
          </cell>
          <cell r="HN38" t="str">
            <v/>
          </cell>
          <cell r="HO38" t="str">
            <v>Analyst To Calculate</v>
          </cell>
          <cell r="HP38" t="str">
            <v/>
          </cell>
          <cell r="HQ38" t="str">
            <v/>
          </cell>
          <cell r="HR38" t="str">
            <v/>
          </cell>
          <cell r="HS38" t="str">
            <v>Analyst To Calculate</v>
          </cell>
          <cell r="HT38" t="str">
            <v/>
          </cell>
          <cell r="HU38" t="str">
            <v/>
          </cell>
          <cell r="HV38" t="str">
            <v/>
          </cell>
          <cell r="HW38" t="str">
            <v>Analyst To Calculate</v>
          </cell>
          <cell r="MN38" t="str">
            <v/>
          </cell>
          <cell r="MO38" t="str">
            <v/>
          </cell>
          <cell r="MP38" t="str">
            <v/>
          </cell>
          <cell r="MQ38" t="str">
            <v/>
          </cell>
          <cell r="MR38" t="str">
            <v/>
          </cell>
          <cell r="MS38" t="str">
            <v/>
          </cell>
          <cell r="MT38" t="str">
            <v/>
          </cell>
          <cell r="MU38" t="str">
            <v/>
          </cell>
          <cell r="MV38" t="str">
            <v/>
          </cell>
          <cell r="MW38" t="str">
            <v/>
          </cell>
          <cell r="MX38" t="str">
            <v/>
          </cell>
          <cell r="MY38" t="str">
            <v/>
          </cell>
          <cell r="MZ38" t="str">
            <v/>
          </cell>
          <cell r="NA38" t="str">
            <v/>
          </cell>
          <cell r="NB38" t="str">
            <v/>
          </cell>
          <cell r="NC38" t="str">
            <v/>
          </cell>
          <cell r="ND38" t="str">
            <v/>
          </cell>
          <cell r="NE38" t="str">
            <v/>
          </cell>
          <cell r="NF38" t="str">
            <v/>
          </cell>
          <cell r="NG38" t="str">
            <v/>
          </cell>
          <cell r="NH38" t="str">
            <v/>
          </cell>
          <cell r="NI38" t="str">
            <v/>
          </cell>
          <cell r="NJ38" t="str">
            <v/>
          </cell>
        </row>
        <row r="39">
          <cell r="I39" t="str">
            <v>E07000131</v>
          </cell>
          <cell r="GZ39" t="str">
            <v/>
          </cell>
          <cell r="HA39" t="str">
            <v/>
          </cell>
          <cell r="HB39" t="str">
            <v/>
          </cell>
          <cell r="HC39" t="str">
            <v/>
          </cell>
          <cell r="HD39" t="str">
            <v/>
          </cell>
          <cell r="HE39" t="str">
            <v/>
          </cell>
          <cell r="HF39" t="str">
            <v/>
          </cell>
          <cell r="HG39" t="str">
            <v/>
          </cell>
          <cell r="HH39" t="str">
            <v/>
          </cell>
          <cell r="HI39" t="str">
            <v/>
          </cell>
          <cell r="HJ39" t="str">
            <v/>
          </cell>
          <cell r="HK39" t="str">
            <v/>
          </cell>
          <cell r="HL39" t="str">
            <v/>
          </cell>
          <cell r="HM39" t="str">
            <v/>
          </cell>
          <cell r="HN39" t="str">
            <v/>
          </cell>
          <cell r="HO39" t="str">
            <v/>
          </cell>
          <cell r="HP39" t="str">
            <v/>
          </cell>
          <cell r="HQ39" t="str">
            <v/>
          </cell>
          <cell r="HR39" t="str">
            <v/>
          </cell>
          <cell r="HS39" t="str">
            <v/>
          </cell>
          <cell r="HT39" t="str">
            <v/>
          </cell>
          <cell r="HU39" t="str">
            <v/>
          </cell>
          <cell r="HV39" t="str">
            <v/>
          </cell>
          <cell r="HW39" t="str">
            <v/>
          </cell>
          <cell r="MQ39" t="str">
            <v>Analysts to manually calculate</v>
          </cell>
          <cell r="MU39" t="str">
            <v>Analysts to manually calculate</v>
          </cell>
          <cell r="MY39" t="str">
            <v>Analysts to manually calculate</v>
          </cell>
          <cell r="NC39" t="str">
            <v>Analysts to manually calculate</v>
          </cell>
          <cell r="NG39" t="str">
            <v>Analysts to manually calculate</v>
          </cell>
        </row>
        <row r="40">
          <cell r="I40" t="str">
            <v>E07000065</v>
          </cell>
          <cell r="GZ40" t="str">
            <v/>
          </cell>
          <cell r="HA40" t="str">
            <v/>
          </cell>
          <cell r="HB40" t="str">
            <v/>
          </cell>
          <cell r="HC40" t="str">
            <v/>
          </cell>
          <cell r="HD40" t="str">
            <v/>
          </cell>
          <cell r="HE40" t="str">
            <v/>
          </cell>
          <cell r="HF40" t="str">
            <v/>
          </cell>
          <cell r="HG40" t="str">
            <v/>
          </cell>
          <cell r="HH40" t="str">
            <v/>
          </cell>
          <cell r="HI40" t="str">
            <v/>
          </cell>
          <cell r="HJ40" t="str">
            <v/>
          </cell>
          <cell r="HK40" t="str">
            <v/>
          </cell>
          <cell r="HL40" t="str">
            <v/>
          </cell>
          <cell r="HM40" t="str">
            <v/>
          </cell>
          <cell r="HN40" t="str">
            <v/>
          </cell>
          <cell r="HO40" t="str">
            <v/>
          </cell>
          <cell r="HP40" t="str">
            <v/>
          </cell>
          <cell r="HQ40" t="str">
            <v/>
          </cell>
          <cell r="HR40" t="str">
            <v/>
          </cell>
          <cell r="HS40" t="str">
            <v/>
          </cell>
          <cell r="HT40" t="str">
            <v/>
          </cell>
          <cell r="HU40" t="str">
            <v/>
          </cell>
          <cell r="HV40" t="str">
            <v/>
          </cell>
          <cell r="HW40" t="str">
            <v/>
          </cell>
          <cell r="MN40" t="str">
            <v/>
          </cell>
          <cell r="MO40" t="str">
            <v/>
          </cell>
          <cell r="MP40" t="str">
            <v/>
          </cell>
          <cell r="MQ40" t="str">
            <v/>
          </cell>
          <cell r="MR40" t="str">
            <v/>
          </cell>
          <cell r="MS40" t="str">
            <v/>
          </cell>
          <cell r="MT40" t="str">
            <v/>
          </cell>
          <cell r="MU40" t="str">
            <v/>
          </cell>
          <cell r="MV40" t="str">
            <v/>
          </cell>
          <cell r="MW40" t="str">
            <v/>
          </cell>
          <cell r="MX40" t="str">
            <v/>
          </cell>
          <cell r="MY40" t="str">
            <v/>
          </cell>
          <cell r="MZ40" t="str">
            <v/>
          </cell>
          <cell r="NA40" t="str">
            <v/>
          </cell>
          <cell r="NB40" t="str">
            <v/>
          </cell>
          <cell r="NC40" t="str">
            <v/>
          </cell>
          <cell r="ND40" t="str">
            <v/>
          </cell>
          <cell r="NE40" t="str">
            <v/>
          </cell>
          <cell r="NF40" t="str">
            <v/>
          </cell>
          <cell r="NG40" t="str">
            <v/>
          </cell>
          <cell r="NH40" t="str">
            <v/>
          </cell>
          <cell r="NI40" t="str">
            <v/>
          </cell>
          <cell r="NJ40" t="str">
            <v/>
          </cell>
        </row>
        <row r="41">
          <cell r="I41" t="str">
            <v>E07000087</v>
          </cell>
          <cell r="GZ41">
            <v>40634</v>
          </cell>
          <cell r="HA41">
            <v>42460</v>
          </cell>
          <cell r="HB41">
            <v>147</v>
          </cell>
          <cell r="HC41" t="str">
            <v>Analyst To Calculate</v>
          </cell>
          <cell r="HD41">
            <v>42461</v>
          </cell>
          <cell r="HE41">
            <v>42825</v>
          </cell>
          <cell r="HF41">
            <v>267</v>
          </cell>
          <cell r="HG41" t="str">
            <v>Analyst To Calculate</v>
          </cell>
          <cell r="HH41">
            <v>42826</v>
          </cell>
          <cell r="HI41">
            <v>43190</v>
          </cell>
          <cell r="HJ41">
            <v>327</v>
          </cell>
          <cell r="HK41" t="str">
            <v>Analyst To Calculate</v>
          </cell>
          <cell r="HL41">
            <v>43191</v>
          </cell>
          <cell r="HM41">
            <v>43555</v>
          </cell>
          <cell r="HN41">
            <v>347</v>
          </cell>
          <cell r="HO41" t="str">
            <v>Analyst To Calculate</v>
          </cell>
          <cell r="HP41">
            <v>43556</v>
          </cell>
          <cell r="HQ41">
            <v>43921</v>
          </cell>
          <cell r="HR41">
            <v>467</v>
          </cell>
          <cell r="HS41" t="str">
            <v>Analyst To Calculate</v>
          </cell>
          <cell r="HT41">
            <v>43922</v>
          </cell>
          <cell r="HU41">
            <v>46112</v>
          </cell>
          <cell r="HV41">
            <v>487</v>
          </cell>
          <cell r="HW41" t="str">
            <v>Analyst To Calculate</v>
          </cell>
          <cell r="MN41" t="str">
            <v/>
          </cell>
          <cell r="MO41" t="str">
            <v/>
          </cell>
          <cell r="MP41" t="str">
            <v/>
          </cell>
          <cell r="MQ41" t="str">
            <v/>
          </cell>
          <cell r="MR41" t="str">
            <v/>
          </cell>
          <cell r="MS41" t="str">
            <v/>
          </cell>
          <cell r="MT41" t="str">
            <v/>
          </cell>
          <cell r="MU41" t="str">
            <v/>
          </cell>
          <cell r="MV41" t="str">
            <v/>
          </cell>
          <cell r="MW41" t="str">
            <v/>
          </cell>
          <cell r="MX41" t="str">
            <v/>
          </cell>
          <cell r="MY41" t="str">
            <v/>
          </cell>
          <cell r="MZ41" t="str">
            <v/>
          </cell>
          <cell r="NA41" t="str">
            <v/>
          </cell>
          <cell r="NB41" t="str">
            <v/>
          </cell>
          <cell r="NC41" t="str">
            <v/>
          </cell>
          <cell r="ND41" t="str">
            <v/>
          </cell>
          <cell r="NE41" t="str">
            <v/>
          </cell>
          <cell r="NF41" t="str">
            <v/>
          </cell>
          <cell r="NG41" t="str">
            <v/>
          </cell>
          <cell r="NH41" t="str">
            <v/>
          </cell>
          <cell r="NI41" t="str">
            <v/>
          </cell>
          <cell r="NJ41" t="str">
            <v/>
          </cell>
        </row>
        <row r="42">
          <cell r="I42" t="str">
            <v>E07000062</v>
          </cell>
          <cell r="GZ42" t="str">
            <v/>
          </cell>
          <cell r="HA42" t="str">
            <v/>
          </cell>
          <cell r="HB42" t="str">
            <v/>
          </cell>
          <cell r="HC42" t="str">
            <v/>
          </cell>
          <cell r="HD42" t="str">
            <v/>
          </cell>
          <cell r="HE42" t="str">
            <v/>
          </cell>
          <cell r="HF42" t="str">
            <v/>
          </cell>
          <cell r="HG42" t="str">
            <v/>
          </cell>
          <cell r="HH42" t="str">
            <v/>
          </cell>
          <cell r="HI42" t="str">
            <v/>
          </cell>
          <cell r="HJ42" t="str">
            <v/>
          </cell>
          <cell r="HK42" t="str">
            <v/>
          </cell>
          <cell r="HL42" t="str">
            <v/>
          </cell>
          <cell r="HM42" t="str">
            <v/>
          </cell>
          <cell r="HN42" t="str">
            <v/>
          </cell>
          <cell r="HO42" t="str">
            <v/>
          </cell>
          <cell r="HP42" t="str">
            <v/>
          </cell>
          <cell r="HQ42" t="str">
            <v/>
          </cell>
          <cell r="HR42" t="str">
            <v/>
          </cell>
          <cell r="HS42" t="str">
            <v/>
          </cell>
          <cell r="HT42" t="str">
            <v/>
          </cell>
          <cell r="HU42" t="str">
            <v/>
          </cell>
          <cell r="HV42" t="str">
            <v/>
          </cell>
          <cell r="HW42" t="str">
            <v/>
          </cell>
          <cell r="MN42" t="str">
            <v/>
          </cell>
          <cell r="MO42" t="str">
            <v/>
          </cell>
          <cell r="MP42" t="str">
            <v/>
          </cell>
          <cell r="MQ42" t="str">
            <v/>
          </cell>
          <cell r="MR42" t="str">
            <v/>
          </cell>
          <cell r="MS42" t="str">
            <v/>
          </cell>
          <cell r="MT42" t="str">
            <v/>
          </cell>
          <cell r="MU42" t="str">
            <v/>
          </cell>
          <cell r="MV42" t="str">
            <v/>
          </cell>
          <cell r="MW42" t="str">
            <v/>
          </cell>
          <cell r="MX42" t="str">
            <v/>
          </cell>
          <cell r="MY42" t="str">
            <v/>
          </cell>
          <cell r="MZ42" t="str">
            <v/>
          </cell>
          <cell r="NA42" t="str">
            <v/>
          </cell>
          <cell r="NB42" t="str">
            <v/>
          </cell>
          <cell r="NC42" t="str">
            <v/>
          </cell>
          <cell r="ND42" t="str">
            <v/>
          </cell>
          <cell r="NE42" t="str">
            <v/>
          </cell>
          <cell r="NF42" t="str">
            <v/>
          </cell>
          <cell r="NG42" t="str">
            <v/>
          </cell>
          <cell r="NH42" t="str">
            <v/>
          </cell>
          <cell r="NI42" t="str">
            <v/>
          </cell>
          <cell r="NJ42" t="str">
            <v/>
          </cell>
        </row>
        <row r="43">
          <cell r="I43" t="str">
            <v>E07000151</v>
          </cell>
          <cell r="GZ43" t="str">
            <v/>
          </cell>
          <cell r="HA43" t="str">
            <v/>
          </cell>
          <cell r="HB43" t="str">
            <v/>
          </cell>
          <cell r="HC43" t="str">
            <v/>
          </cell>
          <cell r="HD43" t="str">
            <v/>
          </cell>
          <cell r="HE43" t="str">
            <v/>
          </cell>
          <cell r="HF43" t="str">
            <v/>
          </cell>
          <cell r="HG43" t="str">
            <v/>
          </cell>
          <cell r="HH43" t="str">
            <v/>
          </cell>
          <cell r="HI43" t="str">
            <v/>
          </cell>
          <cell r="HJ43" t="str">
            <v/>
          </cell>
          <cell r="HK43" t="str">
            <v/>
          </cell>
          <cell r="HL43" t="str">
            <v/>
          </cell>
          <cell r="HM43" t="str">
            <v/>
          </cell>
          <cell r="HN43" t="str">
            <v/>
          </cell>
          <cell r="HO43" t="str">
            <v/>
          </cell>
          <cell r="HP43" t="str">
            <v/>
          </cell>
          <cell r="HQ43" t="str">
            <v/>
          </cell>
          <cell r="HR43" t="str">
            <v/>
          </cell>
          <cell r="HS43" t="str">
            <v/>
          </cell>
          <cell r="HT43" t="str">
            <v/>
          </cell>
          <cell r="HU43" t="str">
            <v/>
          </cell>
          <cell r="HV43" t="str">
            <v/>
          </cell>
          <cell r="HW43" t="str">
            <v/>
          </cell>
          <cell r="MN43" t="str">
            <v/>
          </cell>
          <cell r="MO43" t="str">
            <v/>
          </cell>
          <cell r="MP43" t="str">
            <v/>
          </cell>
          <cell r="MQ43" t="str">
            <v/>
          </cell>
          <cell r="MR43" t="str">
            <v/>
          </cell>
          <cell r="MS43" t="str">
            <v/>
          </cell>
          <cell r="MT43" t="str">
            <v/>
          </cell>
          <cell r="MU43" t="str">
            <v/>
          </cell>
          <cell r="MV43" t="str">
            <v/>
          </cell>
          <cell r="MW43" t="str">
            <v/>
          </cell>
          <cell r="MX43" t="str">
            <v/>
          </cell>
          <cell r="MY43" t="str">
            <v/>
          </cell>
          <cell r="MZ43" t="str">
            <v/>
          </cell>
          <cell r="NA43" t="str">
            <v/>
          </cell>
          <cell r="NB43" t="str">
            <v/>
          </cell>
          <cell r="NC43" t="str">
            <v/>
          </cell>
          <cell r="ND43" t="str">
            <v/>
          </cell>
          <cell r="NE43" t="str">
            <v/>
          </cell>
          <cell r="NF43" t="str">
            <v/>
          </cell>
          <cell r="NG43" t="str">
            <v/>
          </cell>
          <cell r="NH43" t="str">
            <v/>
          </cell>
          <cell r="NI43" t="str">
            <v/>
          </cell>
          <cell r="NJ43" t="str">
            <v/>
          </cell>
        </row>
        <row r="44">
          <cell r="I44" t="str">
            <v>E07000121</v>
          </cell>
          <cell r="GZ44">
            <v>40634</v>
          </cell>
          <cell r="HA44">
            <v>43555</v>
          </cell>
          <cell r="HB44">
            <v>400</v>
          </cell>
          <cell r="HC44">
            <v>400</v>
          </cell>
          <cell r="HD44">
            <v>43556</v>
          </cell>
          <cell r="HE44">
            <v>45382</v>
          </cell>
          <cell r="HF44">
            <v>485</v>
          </cell>
          <cell r="HG44">
            <v>485</v>
          </cell>
          <cell r="HH44">
            <v>45383</v>
          </cell>
          <cell r="HI44">
            <v>47208</v>
          </cell>
          <cell r="HJ44">
            <v>685</v>
          </cell>
          <cell r="HK44">
            <v>685</v>
          </cell>
          <cell r="HL44">
            <v>47209</v>
          </cell>
          <cell r="HM44">
            <v>47938</v>
          </cell>
          <cell r="HN44">
            <v>695</v>
          </cell>
          <cell r="HO44">
            <v>695</v>
          </cell>
          <cell r="HP44" t="str">
            <v/>
          </cell>
          <cell r="HQ44" t="str">
            <v/>
          </cell>
          <cell r="HR44" t="str">
            <v/>
          </cell>
          <cell r="HS44" t="str">
            <v/>
          </cell>
          <cell r="HT44" t="str">
            <v/>
          </cell>
          <cell r="HU44" t="str">
            <v/>
          </cell>
          <cell r="HV44" t="str">
            <v/>
          </cell>
          <cell r="HW44" t="str">
            <v/>
          </cell>
          <cell r="MN44" t="str">
            <v/>
          </cell>
          <cell r="MO44" t="str">
            <v/>
          </cell>
          <cell r="MP44" t="str">
            <v/>
          </cell>
          <cell r="MQ44" t="str">
            <v/>
          </cell>
          <cell r="MR44" t="str">
            <v/>
          </cell>
          <cell r="MS44" t="str">
            <v/>
          </cell>
          <cell r="MT44" t="str">
            <v/>
          </cell>
          <cell r="MU44" t="str">
            <v/>
          </cell>
          <cell r="MV44" t="str">
            <v/>
          </cell>
          <cell r="MW44" t="str">
            <v/>
          </cell>
          <cell r="MX44" t="str">
            <v/>
          </cell>
          <cell r="MY44" t="str">
            <v/>
          </cell>
          <cell r="MZ44" t="str">
            <v/>
          </cell>
          <cell r="NA44" t="str">
            <v/>
          </cell>
          <cell r="NB44" t="str">
            <v/>
          </cell>
          <cell r="NC44" t="str">
            <v/>
          </cell>
          <cell r="ND44" t="str">
            <v/>
          </cell>
          <cell r="NE44" t="str">
            <v/>
          </cell>
          <cell r="NF44" t="str">
            <v/>
          </cell>
          <cell r="NG44" t="str">
            <v/>
          </cell>
          <cell r="NH44" t="str">
            <v/>
          </cell>
          <cell r="NI44" t="str">
            <v/>
          </cell>
          <cell r="NJ44" t="str">
            <v/>
          </cell>
        </row>
        <row r="45">
          <cell r="I45" t="str">
            <v>E06000051</v>
          </cell>
          <cell r="GZ45" t="str">
            <v/>
          </cell>
          <cell r="HA45" t="str">
            <v/>
          </cell>
          <cell r="HB45" t="str">
            <v/>
          </cell>
          <cell r="HC45" t="str">
            <v/>
          </cell>
          <cell r="HD45" t="str">
            <v/>
          </cell>
          <cell r="HE45" t="str">
            <v/>
          </cell>
          <cell r="HF45" t="str">
            <v/>
          </cell>
          <cell r="HG45" t="str">
            <v/>
          </cell>
          <cell r="HH45" t="str">
            <v/>
          </cell>
          <cell r="HI45" t="str">
            <v/>
          </cell>
          <cell r="HJ45" t="str">
            <v/>
          </cell>
          <cell r="HK45" t="str">
            <v/>
          </cell>
          <cell r="HL45" t="str">
            <v/>
          </cell>
          <cell r="HM45" t="str">
            <v/>
          </cell>
          <cell r="HN45" t="str">
            <v/>
          </cell>
          <cell r="HO45" t="str">
            <v/>
          </cell>
          <cell r="HP45" t="str">
            <v/>
          </cell>
          <cell r="HQ45" t="str">
            <v/>
          </cell>
          <cell r="HR45" t="str">
            <v/>
          </cell>
          <cell r="HS45" t="str">
            <v/>
          </cell>
          <cell r="HT45" t="str">
            <v/>
          </cell>
          <cell r="HU45" t="str">
            <v/>
          </cell>
          <cell r="HV45" t="str">
            <v/>
          </cell>
          <cell r="HW45" t="str">
            <v/>
          </cell>
          <cell r="MN45" t="str">
            <v/>
          </cell>
          <cell r="MO45" t="str">
            <v/>
          </cell>
          <cell r="MP45" t="str">
            <v/>
          </cell>
          <cell r="MQ45" t="str">
            <v/>
          </cell>
          <cell r="MR45" t="str">
            <v/>
          </cell>
          <cell r="MS45" t="str">
            <v/>
          </cell>
          <cell r="MT45" t="str">
            <v/>
          </cell>
          <cell r="MU45" t="str">
            <v/>
          </cell>
          <cell r="MV45" t="str">
            <v/>
          </cell>
          <cell r="MW45" t="str">
            <v/>
          </cell>
          <cell r="MX45" t="str">
            <v/>
          </cell>
          <cell r="MY45" t="str">
            <v/>
          </cell>
          <cell r="MZ45" t="str">
            <v/>
          </cell>
          <cell r="NA45" t="str">
            <v/>
          </cell>
          <cell r="NB45" t="str">
            <v/>
          </cell>
          <cell r="NC45" t="str">
            <v/>
          </cell>
          <cell r="ND45" t="str">
            <v/>
          </cell>
          <cell r="NE45" t="str">
            <v/>
          </cell>
          <cell r="NF45" t="str">
            <v/>
          </cell>
          <cell r="NG45" t="str">
            <v/>
          </cell>
          <cell r="NH45" t="str">
            <v/>
          </cell>
          <cell r="NI45" t="str">
            <v/>
          </cell>
          <cell r="NJ45" t="str">
            <v/>
          </cell>
        </row>
        <row r="46">
          <cell r="I46" t="str">
            <v>E07000130</v>
          </cell>
          <cell r="GZ46" t="str">
            <v/>
          </cell>
          <cell r="HA46" t="str">
            <v/>
          </cell>
          <cell r="HB46" t="str">
            <v/>
          </cell>
          <cell r="HC46" t="str">
            <v/>
          </cell>
          <cell r="HD46" t="str">
            <v/>
          </cell>
          <cell r="HE46" t="str">
            <v/>
          </cell>
          <cell r="HF46" t="str">
            <v/>
          </cell>
          <cell r="HG46" t="str">
            <v/>
          </cell>
          <cell r="HH46" t="str">
            <v/>
          </cell>
          <cell r="HI46" t="str">
            <v/>
          </cell>
          <cell r="HJ46" t="str">
            <v/>
          </cell>
          <cell r="HK46" t="str">
            <v/>
          </cell>
          <cell r="HL46" t="str">
            <v/>
          </cell>
          <cell r="HM46" t="str">
            <v/>
          </cell>
          <cell r="HN46" t="str">
            <v/>
          </cell>
          <cell r="HO46" t="str">
            <v/>
          </cell>
          <cell r="HP46" t="str">
            <v/>
          </cell>
          <cell r="HQ46" t="str">
            <v/>
          </cell>
          <cell r="HR46" t="str">
            <v/>
          </cell>
          <cell r="HS46" t="str">
            <v/>
          </cell>
          <cell r="HT46" t="str">
            <v/>
          </cell>
          <cell r="HU46" t="str">
            <v/>
          </cell>
          <cell r="HV46" t="str">
            <v/>
          </cell>
          <cell r="HW46" t="str">
            <v/>
          </cell>
          <cell r="MN46" t="str">
            <v/>
          </cell>
          <cell r="MO46" t="str">
            <v/>
          </cell>
          <cell r="MP46" t="str">
            <v/>
          </cell>
          <cell r="MQ46" t="str">
            <v/>
          </cell>
          <cell r="MR46" t="str">
            <v/>
          </cell>
          <cell r="MS46" t="str">
            <v/>
          </cell>
          <cell r="MT46" t="str">
            <v/>
          </cell>
          <cell r="MU46" t="str">
            <v/>
          </cell>
          <cell r="MV46" t="str">
            <v/>
          </cell>
          <cell r="MW46" t="str">
            <v/>
          </cell>
          <cell r="MX46" t="str">
            <v/>
          </cell>
          <cell r="MY46" t="str">
            <v/>
          </cell>
          <cell r="MZ46" t="str">
            <v/>
          </cell>
          <cell r="NA46" t="str">
            <v/>
          </cell>
          <cell r="NB46" t="str">
            <v/>
          </cell>
          <cell r="NC46" t="str">
            <v/>
          </cell>
          <cell r="ND46" t="str">
            <v/>
          </cell>
          <cell r="NE46" t="str">
            <v/>
          </cell>
          <cell r="NF46" t="str">
            <v/>
          </cell>
          <cell r="NG46" t="str">
            <v/>
          </cell>
          <cell r="NH46" t="str">
            <v/>
          </cell>
          <cell r="NI46" t="str">
            <v/>
          </cell>
          <cell r="NJ46" t="str">
            <v/>
          </cell>
        </row>
        <row r="47">
          <cell r="I47" t="str">
            <v>E06000018</v>
          </cell>
          <cell r="GZ47">
            <v>40634</v>
          </cell>
          <cell r="HA47">
            <v>41364</v>
          </cell>
          <cell r="HB47">
            <v>475</v>
          </cell>
          <cell r="HC47">
            <v>475</v>
          </cell>
          <cell r="HD47">
            <v>41365</v>
          </cell>
          <cell r="HE47">
            <v>43190</v>
          </cell>
          <cell r="HF47">
            <v>880</v>
          </cell>
          <cell r="HG47">
            <v>880</v>
          </cell>
          <cell r="HH47">
            <v>43191</v>
          </cell>
          <cell r="HI47">
            <v>45016</v>
          </cell>
          <cell r="HJ47">
            <v>1190</v>
          </cell>
          <cell r="HK47">
            <v>1190</v>
          </cell>
          <cell r="HL47">
            <v>45017</v>
          </cell>
          <cell r="HM47">
            <v>46843</v>
          </cell>
          <cell r="HN47">
            <v>1170</v>
          </cell>
          <cell r="HO47">
            <v>1170</v>
          </cell>
          <cell r="HP47" t="str">
            <v/>
          </cell>
          <cell r="HQ47" t="str">
            <v/>
          </cell>
          <cell r="HR47" t="str">
            <v/>
          </cell>
          <cell r="HS47" t="str">
            <v/>
          </cell>
          <cell r="HT47" t="str">
            <v/>
          </cell>
          <cell r="HU47" t="str">
            <v/>
          </cell>
          <cell r="HV47" t="str">
            <v/>
          </cell>
          <cell r="HW47" t="str">
            <v/>
          </cell>
          <cell r="MN47" t="str">
            <v/>
          </cell>
          <cell r="MO47" t="str">
            <v/>
          </cell>
          <cell r="MP47" t="str">
            <v/>
          </cell>
          <cell r="MQ47" t="str">
            <v/>
          </cell>
          <cell r="MR47" t="str">
            <v/>
          </cell>
          <cell r="MS47" t="str">
            <v/>
          </cell>
          <cell r="MT47" t="str">
            <v/>
          </cell>
          <cell r="MU47" t="str">
            <v/>
          </cell>
          <cell r="MV47" t="str">
            <v/>
          </cell>
          <cell r="MW47" t="str">
            <v/>
          </cell>
          <cell r="MX47" t="str">
            <v/>
          </cell>
          <cell r="MY47" t="str">
            <v/>
          </cell>
          <cell r="MZ47" t="str">
            <v/>
          </cell>
          <cell r="NA47" t="str">
            <v/>
          </cell>
          <cell r="NB47" t="str">
            <v/>
          </cell>
          <cell r="NC47" t="str">
            <v/>
          </cell>
          <cell r="ND47" t="str">
            <v/>
          </cell>
          <cell r="NE47" t="str">
            <v/>
          </cell>
          <cell r="NF47" t="str">
            <v/>
          </cell>
          <cell r="NG47" t="str">
            <v/>
          </cell>
          <cell r="NH47" t="str">
            <v/>
          </cell>
          <cell r="NI47" t="str">
            <v/>
          </cell>
          <cell r="NJ47" t="str">
            <v/>
          </cell>
        </row>
        <row r="48">
          <cell r="I48" t="str">
            <v>E09000014</v>
          </cell>
          <cell r="GZ48">
            <v>40634</v>
          </cell>
          <cell r="HA48">
            <v>42094</v>
          </cell>
          <cell r="HB48">
            <v>820</v>
          </cell>
          <cell r="HC48">
            <v>820</v>
          </cell>
          <cell r="HD48">
            <v>42095</v>
          </cell>
          <cell r="HE48">
            <v>46112</v>
          </cell>
          <cell r="HF48">
            <v>1502</v>
          </cell>
          <cell r="HG48">
            <v>1502</v>
          </cell>
          <cell r="HH48" t="str">
            <v/>
          </cell>
          <cell r="HI48" t="str">
            <v/>
          </cell>
          <cell r="HJ48" t="str">
            <v/>
          </cell>
          <cell r="HK48" t="str">
            <v/>
          </cell>
          <cell r="HL48" t="str">
            <v/>
          </cell>
          <cell r="HM48" t="str">
            <v/>
          </cell>
          <cell r="HN48" t="str">
            <v/>
          </cell>
          <cell r="HO48" t="str">
            <v/>
          </cell>
          <cell r="HP48" t="str">
            <v/>
          </cell>
          <cell r="HQ48" t="str">
            <v/>
          </cell>
          <cell r="HR48" t="str">
            <v/>
          </cell>
          <cell r="HS48" t="str">
            <v/>
          </cell>
          <cell r="HT48" t="str">
            <v/>
          </cell>
          <cell r="HU48" t="str">
            <v/>
          </cell>
          <cell r="HV48" t="str">
            <v/>
          </cell>
          <cell r="HW48" t="str">
            <v/>
          </cell>
          <cell r="MN48" t="str">
            <v/>
          </cell>
          <cell r="MO48" t="str">
            <v/>
          </cell>
          <cell r="MP48" t="str">
            <v/>
          </cell>
          <cell r="MQ48" t="str">
            <v/>
          </cell>
          <cell r="MR48" t="str">
            <v/>
          </cell>
          <cell r="MS48" t="str">
            <v/>
          </cell>
          <cell r="MT48" t="str">
            <v/>
          </cell>
          <cell r="MU48" t="str">
            <v/>
          </cell>
          <cell r="MV48" t="str">
            <v/>
          </cell>
          <cell r="MW48" t="str">
            <v/>
          </cell>
          <cell r="MX48" t="str">
            <v/>
          </cell>
          <cell r="MY48" t="str">
            <v/>
          </cell>
          <cell r="MZ48" t="str">
            <v/>
          </cell>
          <cell r="NA48" t="str">
            <v/>
          </cell>
          <cell r="NB48" t="str">
            <v/>
          </cell>
          <cell r="NC48" t="str">
            <v/>
          </cell>
          <cell r="ND48" t="str">
            <v/>
          </cell>
          <cell r="NE48" t="str">
            <v/>
          </cell>
          <cell r="NF48" t="str">
            <v/>
          </cell>
          <cell r="NG48" t="str">
            <v/>
          </cell>
          <cell r="NH48" t="str">
            <v/>
          </cell>
          <cell r="NI48" t="str">
            <v/>
          </cell>
          <cell r="NJ48" t="str">
            <v/>
          </cell>
        </row>
        <row r="49">
          <cell r="I49" t="str">
            <v>E07000011</v>
          </cell>
          <cell r="GZ49" t="str">
            <v/>
          </cell>
          <cell r="HA49" t="str">
            <v/>
          </cell>
          <cell r="HB49" t="str">
            <v/>
          </cell>
          <cell r="HC49" t="str">
            <v/>
          </cell>
          <cell r="HD49" t="str">
            <v/>
          </cell>
          <cell r="HE49" t="str">
            <v/>
          </cell>
          <cell r="HF49" t="str">
            <v/>
          </cell>
          <cell r="HG49" t="str">
            <v/>
          </cell>
          <cell r="HH49" t="str">
            <v/>
          </cell>
          <cell r="HI49" t="str">
            <v/>
          </cell>
          <cell r="HJ49" t="str">
            <v/>
          </cell>
          <cell r="HK49" t="str">
            <v/>
          </cell>
          <cell r="HL49" t="str">
            <v/>
          </cell>
          <cell r="HM49" t="str">
            <v/>
          </cell>
          <cell r="HN49" t="str">
            <v/>
          </cell>
          <cell r="HO49" t="str">
            <v/>
          </cell>
          <cell r="HP49" t="str">
            <v/>
          </cell>
          <cell r="HQ49" t="str">
            <v/>
          </cell>
          <cell r="HR49" t="str">
            <v/>
          </cell>
          <cell r="HS49" t="str">
            <v/>
          </cell>
          <cell r="HT49" t="str">
            <v/>
          </cell>
          <cell r="HU49" t="str">
            <v/>
          </cell>
          <cell r="HV49" t="str">
            <v/>
          </cell>
          <cell r="HW49" t="str">
            <v/>
          </cell>
          <cell r="MN49" t="str">
            <v/>
          </cell>
          <cell r="MO49" t="str">
            <v/>
          </cell>
          <cell r="MP49" t="str">
            <v/>
          </cell>
          <cell r="MQ49" t="str">
            <v/>
          </cell>
          <cell r="MR49" t="str">
            <v/>
          </cell>
          <cell r="MS49" t="str">
            <v/>
          </cell>
          <cell r="MT49" t="str">
            <v/>
          </cell>
          <cell r="MU49" t="str">
            <v/>
          </cell>
          <cell r="MV49" t="str">
            <v/>
          </cell>
          <cell r="MW49" t="str">
            <v/>
          </cell>
          <cell r="MX49" t="str">
            <v/>
          </cell>
          <cell r="MY49" t="str">
            <v/>
          </cell>
          <cell r="MZ49" t="str">
            <v/>
          </cell>
          <cell r="NA49" t="str">
            <v/>
          </cell>
          <cell r="NB49" t="str">
            <v/>
          </cell>
          <cell r="NC49" t="str">
            <v/>
          </cell>
          <cell r="ND49" t="str">
            <v/>
          </cell>
          <cell r="NE49" t="str">
            <v/>
          </cell>
          <cell r="NF49" t="str">
            <v/>
          </cell>
          <cell r="NG49" t="str">
            <v/>
          </cell>
          <cell r="NH49" t="str">
            <v/>
          </cell>
          <cell r="NI49" t="str">
            <v/>
          </cell>
          <cell r="NJ49" t="str">
            <v/>
          </cell>
        </row>
        <row r="50">
          <cell r="I50" t="str">
            <v>E07000075</v>
          </cell>
          <cell r="GZ50" t="str">
            <v/>
          </cell>
          <cell r="HA50" t="str">
            <v/>
          </cell>
          <cell r="HB50" t="str">
            <v/>
          </cell>
          <cell r="HC50" t="str">
            <v/>
          </cell>
          <cell r="HD50" t="str">
            <v/>
          </cell>
          <cell r="HE50" t="str">
            <v/>
          </cell>
          <cell r="HF50" t="str">
            <v/>
          </cell>
          <cell r="HG50" t="str">
            <v/>
          </cell>
          <cell r="HH50" t="str">
            <v/>
          </cell>
          <cell r="HI50" t="str">
            <v/>
          </cell>
          <cell r="HJ50" t="str">
            <v/>
          </cell>
          <cell r="HK50" t="str">
            <v/>
          </cell>
          <cell r="HL50" t="str">
            <v/>
          </cell>
          <cell r="HM50" t="str">
            <v/>
          </cell>
          <cell r="HN50" t="str">
            <v/>
          </cell>
          <cell r="HO50" t="str">
            <v/>
          </cell>
          <cell r="HP50" t="str">
            <v/>
          </cell>
          <cell r="HQ50" t="str">
            <v/>
          </cell>
          <cell r="HR50" t="str">
            <v/>
          </cell>
          <cell r="HS50" t="str">
            <v/>
          </cell>
          <cell r="HT50" t="str">
            <v/>
          </cell>
          <cell r="HU50" t="str">
            <v/>
          </cell>
          <cell r="HV50" t="str">
            <v/>
          </cell>
          <cell r="HW50" t="str">
            <v/>
          </cell>
          <cell r="MN50" t="str">
            <v/>
          </cell>
          <cell r="MO50" t="str">
            <v/>
          </cell>
          <cell r="MP50" t="str">
            <v/>
          </cell>
          <cell r="MQ50" t="str">
            <v/>
          </cell>
          <cell r="MR50" t="str">
            <v/>
          </cell>
          <cell r="MS50" t="str">
            <v/>
          </cell>
          <cell r="MT50" t="str">
            <v/>
          </cell>
          <cell r="MU50" t="str">
            <v/>
          </cell>
          <cell r="MV50" t="str">
            <v/>
          </cell>
          <cell r="MW50" t="str">
            <v/>
          </cell>
          <cell r="MX50" t="str">
            <v/>
          </cell>
          <cell r="MY50" t="str">
            <v/>
          </cell>
          <cell r="MZ50" t="str">
            <v/>
          </cell>
          <cell r="NA50" t="str">
            <v/>
          </cell>
          <cell r="NB50" t="str">
            <v/>
          </cell>
          <cell r="NC50" t="str">
            <v/>
          </cell>
          <cell r="ND50" t="str">
            <v/>
          </cell>
          <cell r="NE50" t="str">
            <v/>
          </cell>
          <cell r="NF50" t="str">
            <v/>
          </cell>
          <cell r="NG50" t="str">
            <v/>
          </cell>
          <cell r="NH50" t="str">
            <v/>
          </cell>
          <cell r="NI50" t="str">
            <v/>
          </cell>
          <cell r="NJ50" t="str">
            <v/>
          </cell>
        </row>
        <row r="51">
          <cell r="I51" t="str">
            <v>E07000110</v>
          </cell>
          <cell r="GZ51" t="str">
            <v/>
          </cell>
          <cell r="HA51" t="str">
            <v/>
          </cell>
          <cell r="HB51" t="str">
            <v/>
          </cell>
          <cell r="HC51" t="str">
            <v/>
          </cell>
          <cell r="HD51" t="str">
            <v/>
          </cell>
          <cell r="HE51" t="str">
            <v/>
          </cell>
          <cell r="HF51" t="str">
            <v/>
          </cell>
          <cell r="HG51" t="str">
            <v/>
          </cell>
          <cell r="HH51" t="str">
            <v/>
          </cell>
          <cell r="HI51" t="str">
            <v/>
          </cell>
          <cell r="HJ51" t="str">
            <v/>
          </cell>
          <cell r="HK51" t="str">
            <v/>
          </cell>
          <cell r="HL51" t="str">
            <v/>
          </cell>
          <cell r="HM51" t="str">
            <v/>
          </cell>
          <cell r="HN51" t="str">
            <v/>
          </cell>
          <cell r="HO51" t="str">
            <v/>
          </cell>
          <cell r="HP51" t="str">
            <v/>
          </cell>
          <cell r="HQ51" t="str">
            <v/>
          </cell>
          <cell r="HR51" t="str">
            <v/>
          </cell>
          <cell r="HS51" t="str">
            <v/>
          </cell>
          <cell r="HT51" t="str">
            <v/>
          </cell>
          <cell r="HU51" t="str">
            <v/>
          </cell>
          <cell r="HV51" t="str">
            <v/>
          </cell>
          <cell r="HW51" t="str">
            <v/>
          </cell>
          <cell r="MN51" t="str">
            <v/>
          </cell>
          <cell r="MO51" t="str">
            <v/>
          </cell>
          <cell r="MP51" t="str">
            <v/>
          </cell>
          <cell r="MQ51" t="str">
            <v/>
          </cell>
          <cell r="MR51" t="str">
            <v/>
          </cell>
          <cell r="MS51" t="str">
            <v/>
          </cell>
          <cell r="MT51" t="str">
            <v/>
          </cell>
          <cell r="MU51" t="str">
            <v/>
          </cell>
          <cell r="MV51" t="str">
            <v/>
          </cell>
          <cell r="MW51" t="str">
            <v/>
          </cell>
          <cell r="MX51" t="str">
            <v/>
          </cell>
          <cell r="MY51" t="str">
            <v/>
          </cell>
          <cell r="MZ51" t="str">
            <v/>
          </cell>
          <cell r="NA51" t="str">
            <v/>
          </cell>
          <cell r="NB51" t="str">
            <v/>
          </cell>
          <cell r="NC51" t="str">
            <v/>
          </cell>
          <cell r="ND51" t="str">
            <v/>
          </cell>
          <cell r="NE51" t="str">
            <v/>
          </cell>
          <cell r="NF51" t="str">
            <v/>
          </cell>
          <cell r="NG51" t="str">
            <v/>
          </cell>
          <cell r="NH51" t="str">
            <v/>
          </cell>
          <cell r="NI51" t="str">
            <v/>
          </cell>
          <cell r="NJ51" t="str">
            <v/>
          </cell>
        </row>
        <row r="52">
          <cell r="I52" t="str">
            <v>E07000092</v>
          </cell>
          <cell r="GZ52" t="str">
            <v/>
          </cell>
          <cell r="HA52" t="str">
            <v/>
          </cell>
          <cell r="HB52" t="str">
            <v/>
          </cell>
          <cell r="HC52" t="str">
            <v/>
          </cell>
          <cell r="HD52" t="str">
            <v/>
          </cell>
          <cell r="HE52" t="str">
            <v/>
          </cell>
          <cell r="HF52" t="str">
            <v/>
          </cell>
          <cell r="HG52" t="str">
            <v/>
          </cell>
          <cell r="HH52" t="str">
            <v/>
          </cell>
          <cell r="HI52" t="str">
            <v/>
          </cell>
          <cell r="HJ52" t="str">
            <v/>
          </cell>
          <cell r="HK52" t="str">
            <v/>
          </cell>
          <cell r="HL52" t="str">
            <v/>
          </cell>
          <cell r="HM52" t="str">
            <v/>
          </cell>
          <cell r="HN52" t="str">
            <v/>
          </cell>
          <cell r="HO52" t="str">
            <v/>
          </cell>
          <cell r="HP52" t="str">
            <v/>
          </cell>
          <cell r="HQ52" t="str">
            <v/>
          </cell>
          <cell r="HR52" t="str">
            <v/>
          </cell>
          <cell r="HS52" t="str">
            <v/>
          </cell>
          <cell r="HT52" t="str">
            <v/>
          </cell>
          <cell r="HU52" t="str">
            <v/>
          </cell>
          <cell r="HV52" t="str">
            <v/>
          </cell>
          <cell r="HW52" t="str">
            <v/>
          </cell>
          <cell r="MQ52" t="str">
            <v>Analysts to manually calculate</v>
          </cell>
          <cell r="MU52" t="str">
            <v>Analysts to manually calculate</v>
          </cell>
          <cell r="MY52" t="str">
            <v>Analysts to manually calculate</v>
          </cell>
          <cell r="NC52" t="str">
            <v>Analysts to manually calculate</v>
          </cell>
          <cell r="NG52" t="str">
            <v>Analysts to manually calculate</v>
          </cell>
        </row>
        <row r="53">
          <cell r="I53" t="str">
            <v>E07000155</v>
          </cell>
          <cell r="GZ53" t="str">
            <v/>
          </cell>
          <cell r="HA53" t="str">
            <v/>
          </cell>
          <cell r="HB53" t="str">
            <v/>
          </cell>
          <cell r="HC53" t="str">
            <v/>
          </cell>
          <cell r="HD53" t="str">
            <v/>
          </cell>
          <cell r="HE53" t="str">
            <v/>
          </cell>
          <cell r="HF53" t="str">
            <v/>
          </cell>
          <cell r="HG53" t="str">
            <v/>
          </cell>
          <cell r="HH53" t="str">
            <v/>
          </cell>
          <cell r="HI53" t="str">
            <v/>
          </cell>
          <cell r="HJ53" t="str">
            <v/>
          </cell>
          <cell r="HK53" t="str">
            <v/>
          </cell>
          <cell r="HL53" t="str">
            <v/>
          </cell>
          <cell r="HM53" t="str">
            <v/>
          </cell>
          <cell r="HN53" t="str">
            <v/>
          </cell>
          <cell r="HO53" t="str">
            <v/>
          </cell>
          <cell r="HP53" t="str">
            <v/>
          </cell>
          <cell r="HQ53" t="str">
            <v/>
          </cell>
          <cell r="HR53" t="str">
            <v/>
          </cell>
          <cell r="HS53" t="str">
            <v/>
          </cell>
          <cell r="HT53" t="str">
            <v/>
          </cell>
          <cell r="HU53" t="str">
            <v/>
          </cell>
          <cell r="HV53" t="str">
            <v/>
          </cell>
          <cell r="HW53" t="str">
            <v/>
          </cell>
          <cell r="MN53" t="str">
            <v/>
          </cell>
          <cell r="MO53" t="str">
            <v/>
          </cell>
          <cell r="MP53" t="str">
            <v/>
          </cell>
          <cell r="MQ53" t="str">
            <v/>
          </cell>
          <cell r="MR53" t="str">
            <v/>
          </cell>
          <cell r="MS53" t="str">
            <v/>
          </cell>
          <cell r="MT53" t="str">
            <v/>
          </cell>
          <cell r="MU53" t="str">
            <v/>
          </cell>
          <cell r="MV53" t="str">
            <v/>
          </cell>
          <cell r="MW53" t="str">
            <v/>
          </cell>
          <cell r="MX53" t="str">
            <v/>
          </cell>
          <cell r="MY53" t="str">
            <v/>
          </cell>
          <cell r="MZ53" t="str">
            <v/>
          </cell>
          <cell r="NA53" t="str">
            <v/>
          </cell>
          <cell r="NB53" t="str">
            <v/>
          </cell>
          <cell r="NC53" t="str">
            <v/>
          </cell>
          <cell r="ND53" t="str">
            <v/>
          </cell>
          <cell r="NE53" t="str">
            <v/>
          </cell>
          <cell r="NF53" t="str">
            <v/>
          </cell>
          <cell r="NG53" t="str">
            <v/>
          </cell>
          <cell r="NH53" t="str">
            <v/>
          </cell>
          <cell r="NI53" t="str">
            <v/>
          </cell>
          <cell r="NJ53" t="str">
            <v/>
          </cell>
        </row>
        <row r="54">
          <cell r="I54" t="str">
            <v>E07000071</v>
          </cell>
          <cell r="GZ54" t="str">
            <v/>
          </cell>
          <cell r="HA54" t="str">
            <v/>
          </cell>
          <cell r="HB54" t="str">
            <v/>
          </cell>
          <cell r="HC54" t="str">
            <v/>
          </cell>
          <cell r="HD54" t="str">
            <v/>
          </cell>
          <cell r="HE54" t="str">
            <v/>
          </cell>
          <cell r="HF54" t="str">
            <v/>
          </cell>
          <cell r="HG54" t="str">
            <v/>
          </cell>
          <cell r="HH54" t="str">
            <v/>
          </cell>
          <cell r="HI54" t="str">
            <v/>
          </cell>
          <cell r="HJ54" t="str">
            <v/>
          </cell>
          <cell r="HK54" t="str">
            <v/>
          </cell>
          <cell r="HL54" t="str">
            <v/>
          </cell>
          <cell r="HM54" t="str">
            <v/>
          </cell>
          <cell r="HN54" t="str">
            <v/>
          </cell>
          <cell r="HO54" t="str">
            <v/>
          </cell>
          <cell r="HP54" t="str">
            <v/>
          </cell>
          <cell r="HQ54" t="str">
            <v/>
          </cell>
          <cell r="HR54" t="str">
            <v/>
          </cell>
          <cell r="HS54" t="str">
            <v/>
          </cell>
          <cell r="HT54" t="str">
            <v/>
          </cell>
          <cell r="HU54" t="str">
            <v/>
          </cell>
          <cell r="HV54" t="str">
            <v/>
          </cell>
          <cell r="HW54" t="str">
            <v/>
          </cell>
          <cell r="MN54" t="str">
            <v/>
          </cell>
          <cell r="MO54" t="str">
            <v/>
          </cell>
          <cell r="MP54" t="str">
            <v/>
          </cell>
          <cell r="MQ54" t="str">
            <v/>
          </cell>
          <cell r="MR54" t="str">
            <v/>
          </cell>
          <cell r="MS54" t="str">
            <v/>
          </cell>
          <cell r="MT54" t="str">
            <v/>
          </cell>
          <cell r="MU54" t="str">
            <v/>
          </cell>
          <cell r="MV54" t="str">
            <v/>
          </cell>
          <cell r="MW54" t="str">
            <v/>
          </cell>
          <cell r="MX54" t="str">
            <v/>
          </cell>
          <cell r="MY54" t="str">
            <v/>
          </cell>
          <cell r="MZ54" t="str">
            <v/>
          </cell>
          <cell r="NA54" t="str">
            <v/>
          </cell>
          <cell r="NB54" t="str">
            <v/>
          </cell>
          <cell r="NC54" t="str">
            <v/>
          </cell>
          <cell r="ND54" t="str">
            <v/>
          </cell>
          <cell r="NE54" t="str">
            <v/>
          </cell>
          <cell r="NF54" t="str">
            <v/>
          </cell>
          <cell r="NG54" t="str">
            <v/>
          </cell>
          <cell r="NH54" t="str">
            <v/>
          </cell>
          <cell r="NI54" t="str">
            <v/>
          </cell>
          <cell r="NJ54" t="str">
            <v/>
          </cell>
        </row>
        <row r="55">
          <cell r="I55" t="str">
            <v>E07000223</v>
          </cell>
          <cell r="GZ55" t="str">
            <v/>
          </cell>
          <cell r="HA55" t="str">
            <v/>
          </cell>
          <cell r="HB55" t="str">
            <v/>
          </cell>
          <cell r="HC55" t="str">
            <v/>
          </cell>
          <cell r="HD55" t="str">
            <v/>
          </cell>
          <cell r="HE55" t="str">
            <v/>
          </cell>
          <cell r="HF55" t="str">
            <v/>
          </cell>
          <cell r="HG55" t="str">
            <v/>
          </cell>
          <cell r="HH55" t="str">
            <v/>
          </cell>
          <cell r="HI55" t="str">
            <v/>
          </cell>
          <cell r="HJ55" t="str">
            <v/>
          </cell>
          <cell r="HK55" t="str">
            <v/>
          </cell>
          <cell r="HL55" t="str">
            <v/>
          </cell>
          <cell r="HM55" t="str">
            <v/>
          </cell>
          <cell r="HN55" t="str">
            <v/>
          </cell>
          <cell r="HO55" t="str">
            <v/>
          </cell>
          <cell r="HP55" t="str">
            <v/>
          </cell>
          <cell r="HQ55" t="str">
            <v/>
          </cell>
          <cell r="HR55" t="str">
            <v/>
          </cell>
          <cell r="HS55" t="str">
            <v/>
          </cell>
          <cell r="HT55" t="str">
            <v/>
          </cell>
          <cell r="HU55" t="str">
            <v/>
          </cell>
          <cell r="HV55" t="str">
            <v/>
          </cell>
          <cell r="HW55" t="str">
            <v/>
          </cell>
          <cell r="MN55" t="str">
            <v/>
          </cell>
          <cell r="MO55" t="str">
            <v/>
          </cell>
          <cell r="MP55" t="str">
            <v/>
          </cell>
          <cell r="MQ55" t="str">
            <v/>
          </cell>
          <cell r="MR55" t="str">
            <v/>
          </cell>
          <cell r="MS55" t="str">
            <v/>
          </cell>
          <cell r="MT55" t="str">
            <v/>
          </cell>
          <cell r="MU55" t="str">
            <v/>
          </cell>
          <cell r="MV55" t="str">
            <v/>
          </cell>
          <cell r="MW55" t="str">
            <v/>
          </cell>
          <cell r="MX55" t="str">
            <v/>
          </cell>
          <cell r="MY55" t="str">
            <v/>
          </cell>
          <cell r="MZ55" t="str">
            <v/>
          </cell>
          <cell r="NA55" t="str">
            <v/>
          </cell>
          <cell r="NB55" t="str">
            <v/>
          </cell>
          <cell r="NC55" t="str">
            <v/>
          </cell>
          <cell r="ND55" t="str">
            <v/>
          </cell>
          <cell r="NE55" t="str">
            <v/>
          </cell>
          <cell r="NF55" t="str">
            <v/>
          </cell>
          <cell r="NG55" t="str">
            <v/>
          </cell>
          <cell r="NH55" t="str">
            <v/>
          </cell>
          <cell r="NI55" t="str">
            <v/>
          </cell>
          <cell r="NJ55" t="str">
            <v/>
          </cell>
        </row>
        <row r="56">
          <cell r="I56" t="str">
            <v>E07000241</v>
          </cell>
          <cell r="GZ56" t="str">
            <v/>
          </cell>
          <cell r="HA56" t="str">
            <v/>
          </cell>
          <cell r="HB56" t="str">
            <v/>
          </cell>
          <cell r="HC56" t="str">
            <v/>
          </cell>
          <cell r="HD56" t="str">
            <v/>
          </cell>
          <cell r="HE56" t="str">
            <v/>
          </cell>
          <cell r="HF56" t="str">
            <v/>
          </cell>
          <cell r="HG56" t="str">
            <v/>
          </cell>
          <cell r="HH56" t="str">
            <v/>
          </cell>
          <cell r="HI56" t="str">
            <v/>
          </cell>
          <cell r="HJ56" t="str">
            <v/>
          </cell>
          <cell r="HK56" t="str">
            <v/>
          </cell>
          <cell r="HL56" t="str">
            <v/>
          </cell>
          <cell r="HM56" t="str">
            <v/>
          </cell>
          <cell r="HN56" t="str">
            <v/>
          </cell>
          <cell r="HO56" t="str">
            <v/>
          </cell>
          <cell r="HP56" t="str">
            <v/>
          </cell>
          <cell r="HQ56" t="str">
            <v/>
          </cell>
          <cell r="HR56" t="str">
            <v/>
          </cell>
          <cell r="HS56" t="str">
            <v/>
          </cell>
          <cell r="HT56" t="str">
            <v/>
          </cell>
          <cell r="HU56" t="str">
            <v/>
          </cell>
          <cell r="HV56" t="str">
            <v/>
          </cell>
          <cell r="HW56" t="str">
            <v/>
          </cell>
          <cell r="MN56" t="str">
            <v/>
          </cell>
          <cell r="MO56" t="str">
            <v/>
          </cell>
          <cell r="MP56" t="str">
            <v/>
          </cell>
          <cell r="MQ56" t="str">
            <v/>
          </cell>
          <cell r="MR56" t="str">
            <v/>
          </cell>
          <cell r="MS56" t="str">
            <v/>
          </cell>
          <cell r="MT56" t="str">
            <v/>
          </cell>
          <cell r="MU56" t="str">
            <v/>
          </cell>
          <cell r="MV56" t="str">
            <v/>
          </cell>
          <cell r="MW56" t="str">
            <v/>
          </cell>
          <cell r="MX56" t="str">
            <v/>
          </cell>
          <cell r="MY56" t="str">
            <v/>
          </cell>
          <cell r="MZ56" t="str">
            <v/>
          </cell>
          <cell r="NA56" t="str">
            <v/>
          </cell>
          <cell r="NB56" t="str">
            <v/>
          </cell>
          <cell r="NC56" t="str">
            <v/>
          </cell>
          <cell r="ND56" t="str">
            <v/>
          </cell>
          <cell r="NE56" t="str">
            <v/>
          </cell>
          <cell r="NF56" t="str">
            <v/>
          </cell>
          <cell r="NG56" t="str">
            <v/>
          </cell>
          <cell r="NH56" t="str">
            <v/>
          </cell>
          <cell r="NI56" t="str">
            <v/>
          </cell>
          <cell r="NJ56" t="str">
            <v/>
          </cell>
        </row>
        <row r="57">
          <cell r="I57" t="str">
            <v>E06000014</v>
          </cell>
          <cell r="GZ57" t="str">
            <v/>
          </cell>
          <cell r="HA57" t="str">
            <v/>
          </cell>
          <cell r="HB57" t="str">
            <v/>
          </cell>
          <cell r="HC57" t="str">
            <v/>
          </cell>
          <cell r="HD57" t="str">
            <v/>
          </cell>
          <cell r="HE57" t="str">
            <v/>
          </cell>
          <cell r="HF57" t="str">
            <v/>
          </cell>
          <cell r="HG57" t="str">
            <v/>
          </cell>
          <cell r="HH57" t="str">
            <v/>
          </cell>
          <cell r="HI57" t="str">
            <v/>
          </cell>
          <cell r="HJ57" t="str">
            <v/>
          </cell>
          <cell r="HK57" t="str">
            <v/>
          </cell>
          <cell r="HL57" t="str">
            <v/>
          </cell>
          <cell r="HM57" t="str">
            <v/>
          </cell>
          <cell r="HN57" t="str">
            <v/>
          </cell>
          <cell r="HO57" t="str">
            <v/>
          </cell>
          <cell r="HP57" t="str">
            <v/>
          </cell>
          <cell r="HQ57" t="str">
            <v/>
          </cell>
          <cell r="HR57" t="str">
            <v/>
          </cell>
          <cell r="HS57" t="str">
            <v/>
          </cell>
          <cell r="HT57" t="str">
            <v/>
          </cell>
          <cell r="HU57" t="str">
            <v/>
          </cell>
          <cell r="HV57" t="str">
            <v/>
          </cell>
          <cell r="HW57" t="str">
            <v/>
          </cell>
          <cell r="MN57" t="str">
            <v/>
          </cell>
          <cell r="MO57" t="str">
            <v/>
          </cell>
          <cell r="MP57" t="str">
            <v/>
          </cell>
          <cell r="MQ57" t="str">
            <v/>
          </cell>
          <cell r="MR57" t="str">
            <v/>
          </cell>
          <cell r="MS57" t="str">
            <v/>
          </cell>
          <cell r="MT57" t="str">
            <v/>
          </cell>
          <cell r="MU57" t="str">
            <v/>
          </cell>
          <cell r="MV57" t="str">
            <v/>
          </cell>
          <cell r="MW57" t="str">
            <v/>
          </cell>
          <cell r="MX57" t="str">
            <v/>
          </cell>
          <cell r="MY57" t="str">
            <v/>
          </cell>
          <cell r="MZ57" t="str">
            <v/>
          </cell>
          <cell r="NA57" t="str">
            <v/>
          </cell>
          <cell r="NB57" t="str">
            <v/>
          </cell>
          <cell r="NC57" t="str">
            <v/>
          </cell>
          <cell r="ND57" t="str">
            <v/>
          </cell>
          <cell r="NE57" t="str">
            <v/>
          </cell>
          <cell r="NF57" t="str">
            <v/>
          </cell>
          <cell r="NG57" t="str">
            <v/>
          </cell>
          <cell r="NH57" t="str">
            <v/>
          </cell>
          <cell r="NI57" t="str">
            <v/>
          </cell>
          <cell r="NJ57" t="str">
            <v/>
          </cell>
        </row>
        <row r="58">
          <cell r="I58" t="str">
            <v>E07000085</v>
          </cell>
          <cell r="GZ58" t="str">
            <v/>
          </cell>
          <cell r="HA58" t="str">
            <v/>
          </cell>
          <cell r="HB58" t="str">
            <v/>
          </cell>
          <cell r="HC58" t="str">
            <v/>
          </cell>
          <cell r="HD58" t="str">
            <v/>
          </cell>
          <cell r="HE58" t="str">
            <v/>
          </cell>
          <cell r="HF58" t="str">
            <v/>
          </cell>
          <cell r="HG58" t="str">
            <v/>
          </cell>
          <cell r="HH58" t="str">
            <v/>
          </cell>
          <cell r="HI58" t="str">
            <v/>
          </cell>
          <cell r="HJ58" t="str">
            <v/>
          </cell>
          <cell r="HK58" t="str">
            <v/>
          </cell>
          <cell r="HL58" t="str">
            <v/>
          </cell>
          <cell r="HM58" t="str">
            <v/>
          </cell>
          <cell r="HN58" t="str">
            <v/>
          </cell>
          <cell r="HO58" t="str">
            <v/>
          </cell>
          <cell r="HP58" t="str">
            <v/>
          </cell>
          <cell r="HQ58" t="str">
            <v/>
          </cell>
          <cell r="HR58" t="str">
            <v/>
          </cell>
          <cell r="HS58" t="str">
            <v/>
          </cell>
          <cell r="HT58" t="str">
            <v/>
          </cell>
          <cell r="HU58" t="str">
            <v/>
          </cell>
          <cell r="HV58" t="str">
            <v/>
          </cell>
          <cell r="HW58" t="str">
            <v/>
          </cell>
          <cell r="MN58" t="str">
            <v/>
          </cell>
          <cell r="MO58" t="str">
            <v/>
          </cell>
          <cell r="MP58" t="str">
            <v/>
          </cell>
          <cell r="MQ58" t="str">
            <v/>
          </cell>
          <cell r="MR58" t="str">
            <v/>
          </cell>
          <cell r="MS58" t="str">
            <v/>
          </cell>
          <cell r="MT58" t="str">
            <v/>
          </cell>
          <cell r="MU58" t="str">
            <v/>
          </cell>
          <cell r="MV58" t="str">
            <v/>
          </cell>
          <cell r="MW58" t="str">
            <v/>
          </cell>
          <cell r="MX58" t="str">
            <v/>
          </cell>
          <cell r="MY58" t="str">
            <v/>
          </cell>
          <cell r="MZ58" t="str">
            <v/>
          </cell>
          <cell r="NA58" t="str">
            <v/>
          </cell>
          <cell r="NB58" t="str">
            <v/>
          </cell>
          <cell r="NC58" t="str">
            <v/>
          </cell>
          <cell r="ND58" t="str">
            <v/>
          </cell>
          <cell r="NE58" t="str">
            <v/>
          </cell>
          <cell r="NF58" t="str">
            <v/>
          </cell>
          <cell r="NG58" t="str">
            <v/>
          </cell>
          <cell r="NH58" t="str">
            <v/>
          </cell>
          <cell r="NI58" t="str">
            <v/>
          </cell>
          <cell r="NJ58" t="str">
            <v/>
          </cell>
        </row>
        <row r="59">
          <cell r="I59" t="str">
            <v>E07000235</v>
          </cell>
          <cell r="GZ59">
            <v>38808</v>
          </cell>
          <cell r="HA59">
            <v>41729</v>
          </cell>
          <cell r="HB59">
            <v>960</v>
          </cell>
          <cell r="HC59" t="str">
            <v>Analyst To Calculate</v>
          </cell>
          <cell r="HD59">
            <v>41730</v>
          </cell>
          <cell r="HE59">
            <v>42094</v>
          </cell>
          <cell r="HF59">
            <v>1016</v>
          </cell>
          <cell r="HG59" t="str">
            <v>Analyst To Calculate</v>
          </cell>
          <cell r="HH59">
            <v>42095</v>
          </cell>
          <cell r="HI59">
            <v>47573</v>
          </cell>
          <cell r="HJ59">
            <v>1314</v>
          </cell>
          <cell r="HK59" t="str">
            <v>Analyst To Calculate</v>
          </cell>
          <cell r="HL59" t="str">
            <v/>
          </cell>
          <cell r="HM59" t="str">
            <v/>
          </cell>
          <cell r="HN59" t="str">
            <v/>
          </cell>
          <cell r="HO59" t="str">
            <v>Analyst To Calculate</v>
          </cell>
          <cell r="HP59" t="str">
            <v/>
          </cell>
          <cell r="HQ59" t="str">
            <v/>
          </cell>
          <cell r="HR59" t="str">
            <v/>
          </cell>
          <cell r="HS59" t="str">
            <v>Analyst To Calculate</v>
          </cell>
          <cell r="HT59" t="str">
            <v/>
          </cell>
          <cell r="HU59" t="str">
            <v/>
          </cell>
          <cell r="HV59" t="str">
            <v/>
          </cell>
          <cell r="HW59" t="str">
            <v>Analyst To Calculate</v>
          </cell>
          <cell r="MN59" t="str">
            <v/>
          </cell>
          <cell r="MO59" t="str">
            <v/>
          </cell>
          <cell r="MP59" t="str">
            <v/>
          </cell>
          <cell r="MQ59" t="str">
            <v/>
          </cell>
          <cell r="MR59" t="str">
            <v/>
          </cell>
          <cell r="MS59" t="str">
            <v/>
          </cell>
          <cell r="MT59" t="str">
            <v/>
          </cell>
          <cell r="MU59" t="str">
            <v/>
          </cell>
          <cell r="MV59" t="str">
            <v/>
          </cell>
          <cell r="MW59" t="str">
            <v/>
          </cell>
          <cell r="MX59" t="str">
            <v/>
          </cell>
          <cell r="MY59" t="str">
            <v/>
          </cell>
          <cell r="MZ59" t="str">
            <v/>
          </cell>
          <cell r="NA59" t="str">
            <v/>
          </cell>
          <cell r="NB59" t="str">
            <v/>
          </cell>
          <cell r="NC59" t="str">
            <v/>
          </cell>
          <cell r="ND59" t="str">
            <v/>
          </cell>
          <cell r="NE59" t="str">
            <v/>
          </cell>
          <cell r="NF59" t="str">
            <v/>
          </cell>
          <cell r="NG59" t="str">
            <v/>
          </cell>
          <cell r="NH59" t="str">
            <v/>
          </cell>
          <cell r="NI59" t="str">
            <v/>
          </cell>
          <cell r="NJ59" t="str">
            <v/>
          </cell>
        </row>
        <row r="60">
          <cell r="I60" t="str">
            <v>E08000016</v>
          </cell>
          <cell r="GZ60" t="str">
            <v/>
          </cell>
          <cell r="HA60" t="str">
            <v/>
          </cell>
          <cell r="HB60" t="str">
            <v/>
          </cell>
          <cell r="HC60" t="str">
            <v/>
          </cell>
          <cell r="HD60" t="str">
            <v/>
          </cell>
          <cell r="HE60" t="str">
            <v/>
          </cell>
          <cell r="HF60" t="str">
            <v/>
          </cell>
          <cell r="HG60" t="str">
            <v/>
          </cell>
          <cell r="HH60" t="str">
            <v/>
          </cell>
          <cell r="HI60" t="str">
            <v/>
          </cell>
          <cell r="HJ60" t="str">
            <v/>
          </cell>
          <cell r="HK60" t="str">
            <v/>
          </cell>
          <cell r="HL60" t="str">
            <v/>
          </cell>
          <cell r="HM60" t="str">
            <v/>
          </cell>
          <cell r="HN60" t="str">
            <v/>
          </cell>
          <cell r="HO60" t="str">
            <v/>
          </cell>
          <cell r="HP60" t="str">
            <v/>
          </cell>
          <cell r="HQ60" t="str">
            <v/>
          </cell>
          <cell r="HR60" t="str">
            <v/>
          </cell>
          <cell r="HS60" t="str">
            <v/>
          </cell>
          <cell r="HT60" t="str">
            <v/>
          </cell>
          <cell r="HU60" t="str">
            <v/>
          </cell>
          <cell r="HV60" t="str">
            <v/>
          </cell>
          <cell r="HW60" t="str">
            <v/>
          </cell>
          <cell r="MQ60" t="str">
            <v>Analysts to manually calculate</v>
          </cell>
          <cell r="MU60" t="str">
            <v>Analysts to manually calculate</v>
          </cell>
          <cell r="MY60" t="str">
            <v>Analysts to manually calculate</v>
          </cell>
          <cell r="NC60" t="str">
            <v>Analysts to manually calculate</v>
          </cell>
          <cell r="NG60" t="str">
            <v>Analysts to manually calculate</v>
          </cell>
        </row>
        <row r="61">
          <cell r="I61" t="str">
            <v>E07000236</v>
          </cell>
          <cell r="GZ61" t="str">
            <v/>
          </cell>
          <cell r="HA61" t="str">
            <v/>
          </cell>
          <cell r="HB61" t="str">
            <v/>
          </cell>
          <cell r="HC61" t="str">
            <v/>
          </cell>
          <cell r="HD61" t="str">
            <v/>
          </cell>
          <cell r="HE61" t="str">
            <v/>
          </cell>
          <cell r="HF61" t="str">
            <v/>
          </cell>
          <cell r="HG61" t="str">
            <v/>
          </cell>
          <cell r="HH61" t="str">
            <v/>
          </cell>
          <cell r="HI61" t="str">
            <v/>
          </cell>
          <cell r="HJ61" t="str">
            <v/>
          </cell>
          <cell r="HK61" t="str">
            <v/>
          </cell>
          <cell r="HL61" t="str">
            <v/>
          </cell>
          <cell r="HM61" t="str">
            <v/>
          </cell>
          <cell r="HN61" t="str">
            <v/>
          </cell>
          <cell r="HO61" t="str">
            <v/>
          </cell>
          <cell r="HP61" t="str">
            <v/>
          </cell>
          <cell r="HQ61" t="str">
            <v/>
          </cell>
          <cell r="HR61" t="str">
            <v/>
          </cell>
          <cell r="HS61" t="str">
            <v/>
          </cell>
          <cell r="HT61" t="str">
            <v/>
          </cell>
          <cell r="HU61" t="str">
            <v/>
          </cell>
          <cell r="HV61" t="str">
            <v/>
          </cell>
          <cell r="HW61" t="str">
            <v/>
          </cell>
          <cell r="MN61" t="str">
            <v/>
          </cell>
          <cell r="MO61" t="str">
            <v/>
          </cell>
          <cell r="MP61" t="str">
            <v/>
          </cell>
          <cell r="MQ61" t="str">
            <v/>
          </cell>
          <cell r="MR61" t="str">
            <v/>
          </cell>
          <cell r="MS61" t="str">
            <v/>
          </cell>
          <cell r="MT61" t="str">
            <v/>
          </cell>
          <cell r="MU61" t="str">
            <v/>
          </cell>
          <cell r="MV61" t="str">
            <v/>
          </cell>
          <cell r="MW61" t="str">
            <v/>
          </cell>
          <cell r="MX61" t="str">
            <v/>
          </cell>
          <cell r="MY61" t="str">
            <v/>
          </cell>
          <cell r="MZ61" t="str">
            <v/>
          </cell>
          <cell r="NA61" t="str">
            <v/>
          </cell>
          <cell r="NB61" t="str">
            <v/>
          </cell>
          <cell r="NC61" t="str">
            <v/>
          </cell>
          <cell r="ND61" t="str">
            <v/>
          </cell>
          <cell r="NE61" t="str">
            <v/>
          </cell>
          <cell r="NF61" t="str">
            <v/>
          </cell>
          <cell r="NG61" t="str">
            <v/>
          </cell>
          <cell r="NH61" t="str">
            <v/>
          </cell>
          <cell r="NI61" t="str">
            <v/>
          </cell>
          <cell r="NJ61" t="str">
            <v/>
          </cell>
        </row>
        <row r="62">
          <cell r="I62" t="str">
            <v>E09000006</v>
          </cell>
          <cell r="GZ62" t="str">
            <v/>
          </cell>
          <cell r="HA62" t="str">
            <v/>
          </cell>
          <cell r="HB62" t="str">
            <v/>
          </cell>
          <cell r="HC62" t="str">
            <v/>
          </cell>
          <cell r="HD62" t="str">
            <v/>
          </cell>
          <cell r="HE62" t="str">
            <v/>
          </cell>
          <cell r="HF62" t="str">
            <v/>
          </cell>
          <cell r="HG62" t="str">
            <v/>
          </cell>
          <cell r="HH62" t="str">
            <v/>
          </cell>
          <cell r="HI62" t="str">
            <v/>
          </cell>
          <cell r="HJ62" t="str">
            <v/>
          </cell>
          <cell r="HK62" t="str">
            <v/>
          </cell>
          <cell r="HL62" t="str">
            <v/>
          </cell>
          <cell r="HM62" t="str">
            <v/>
          </cell>
          <cell r="HN62" t="str">
            <v/>
          </cell>
          <cell r="HO62" t="str">
            <v/>
          </cell>
          <cell r="HP62" t="str">
            <v/>
          </cell>
          <cell r="HQ62" t="str">
            <v/>
          </cell>
          <cell r="HR62" t="str">
            <v/>
          </cell>
          <cell r="HS62" t="str">
            <v/>
          </cell>
          <cell r="HT62" t="str">
            <v/>
          </cell>
          <cell r="HU62" t="str">
            <v/>
          </cell>
          <cell r="HV62" t="str">
            <v/>
          </cell>
          <cell r="HW62" t="str">
            <v/>
          </cell>
          <cell r="MQ62" t="str">
            <v>Analysts to manually calculate</v>
          </cell>
          <cell r="MU62" t="str">
            <v>Analysts to manually calculate</v>
          </cell>
          <cell r="MY62" t="str">
            <v>Analysts to manually calculate</v>
          </cell>
          <cell r="NC62" t="str">
            <v>Analysts to manually calculate</v>
          </cell>
          <cell r="NG62" t="str">
            <v>Analysts to manually calculate</v>
          </cell>
        </row>
        <row r="63">
          <cell r="I63" t="str">
            <v>E07000237</v>
          </cell>
          <cell r="GZ63">
            <v>38808</v>
          </cell>
          <cell r="HA63">
            <v>41729</v>
          </cell>
          <cell r="HB63">
            <v>960</v>
          </cell>
          <cell r="HC63" t="str">
            <v>Analyst To Calculate</v>
          </cell>
          <cell r="HD63">
            <v>41730</v>
          </cell>
          <cell r="HE63">
            <v>42094</v>
          </cell>
          <cell r="HF63">
            <v>1016</v>
          </cell>
          <cell r="HG63" t="str">
            <v>Analyst To Calculate</v>
          </cell>
          <cell r="HH63">
            <v>42095</v>
          </cell>
          <cell r="HI63">
            <v>47573</v>
          </cell>
          <cell r="HJ63">
            <v>1314</v>
          </cell>
          <cell r="HK63" t="str">
            <v>Analyst To Calculate</v>
          </cell>
          <cell r="HL63" t="str">
            <v/>
          </cell>
          <cell r="HM63" t="str">
            <v/>
          </cell>
          <cell r="HN63" t="str">
            <v/>
          </cell>
          <cell r="HO63" t="str">
            <v>Analyst To Calculate</v>
          </cell>
          <cell r="HP63" t="str">
            <v/>
          </cell>
          <cell r="HQ63" t="str">
            <v/>
          </cell>
          <cell r="HR63" t="str">
            <v/>
          </cell>
          <cell r="HS63" t="str">
            <v>Analyst To Calculate</v>
          </cell>
          <cell r="HT63" t="str">
            <v/>
          </cell>
          <cell r="HU63" t="str">
            <v/>
          </cell>
          <cell r="HV63" t="str">
            <v/>
          </cell>
          <cell r="HW63" t="str">
            <v>Analyst To Calculate</v>
          </cell>
          <cell r="MN63" t="str">
            <v/>
          </cell>
          <cell r="MO63" t="str">
            <v/>
          </cell>
          <cell r="MP63" t="str">
            <v/>
          </cell>
          <cell r="MQ63" t="str">
            <v/>
          </cell>
          <cell r="MR63" t="str">
            <v/>
          </cell>
          <cell r="MS63" t="str">
            <v/>
          </cell>
          <cell r="MT63" t="str">
            <v/>
          </cell>
          <cell r="MU63" t="str">
            <v/>
          </cell>
          <cell r="MV63" t="str">
            <v/>
          </cell>
          <cell r="MW63" t="str">
            <v/>
          </cell>
          <cell r="MX63" t="str">
            <v/>
          </cell>
          <cell r="MY63" t="str">
            <v/>
          </cell>
          <cell r="MZ63" t="str">
            <v/>
          </cell>
          <cell r="NA63" t="str">
            <v/>
          </cell>
          <cell r="NB63" t="str">
            <v/>
          </cell>
          <cell r="NC63" t="str">
            <v/>
          </cell>
          <cell r="ND63" t="str">
            <v/>
          </cell>
          <cell r="NE63" t="str">
            <v/>
          </cell>
          <cell r="NF63" t="str">
            <v/>
          </cell>
          <cell r="NG63" t="str">
            <v/>
          </cell>
          <cell r="NH63" t="str">
            <v/>
          </cell>
          <cell r="NI63" t="str">
            <v/>
          </cell>
          <cell r="NJ63" t="str">
            <v/>
          </cell>
        </row>
        <row r="64">
          <cell r="I64" t="str">
            <v>E06000052</v>
          </cell>
          <cell r="GZ64" t="str">
            <v/>
          </cell>
          <cell r="HA64" t="str">
            <v/>
          </cell>
          <cell r="HB64" t="str">
            <v/>
          </cell>
          <cell r="HC64" t="str">
            <v/>
          </cell>
          <cell r="HD64" t="str">
            <v/>
          </cell>
          <cell r="HE64" t="str">
            <v/>
          </cell>
          <cell r="HF64" t="str">
            <v/>
          </cell>
          <cell r="HG64" t="str">
            <v/>
          </cell>
          <cell r="HH64" t="str">
            <v/>
          </cell>
          <cell r="HI64" t="str">
            <v/>
          </cell>
          <cell r="HJ64" t="str">
            <v/>
          </cell>
          <cell r="HK64" t="str">
            <v/>
          </cell>
          <cell r="HL64" t="str">
            <v/>
          </cell>
          <cell r="HM64" t="str">
            <v/>
          </cell>
          <cell r="HN64" t="str">
            <v/>
          </cell>
          <cell r="HO64" t="str">
            <v/>
          </cell>
          <cell r="HP64" t="str">
            <v/>
          </cell>
          <cell r="HQ64" t="str">
            <v/>
          </cell>
          <cell r="HR64" t="str">
            <v/>
          </cell>
          <cell r="HS64" t="str">
            <v/>
          </cell>
          <cell r="HT64" t="str">
            <v/>
          </cell>
          <cell r="HU64" t="str">
            <v/>
          </cell>
          <cell r="HV64" t="str">
            <v/>
          </cell>
          <cell r="HW64" t="str">
            <v/>
          </cell>
          <cell r="MN64" t="str">
            <v/>
          </cell>
          <cell r="MO64" t="str">
            <v/>
          </cell>
          <cell r="MP64" t="str">
            <v/>
          </cell>
          <cell r="MQ64" t="str">
            <v/>
          </cell>
          <cell r="MR64" t="str">
            <v/>
          </cell>
          <cell r="MS64" t="str">
            <v/>
          </cell>
          <cell r="MT64" t="str">
            <v/>
          </cell>
          <cell r="MU64" t="str">
            <v/>
          </cell>
          <cell r="MV64" t="str">
            <v/>
          </cell>
          <cell r="MW64" t="str">
            <v/>
          </cell>
          <cell r="MX64" t="str">
            <v/>
          </cell>
          <cell r="MY64" t="str">
            <v/>
          </cell>
          <cell r="MZ64" t="str">
            <v/>
          </cell>
          <cell r="NA64" t="str">
            <v/>
          </cell>
          <cell r="NB64" t="str">
            <v/>
          </cell>
          <cell r="NC64" t="str">
            <v/>
          </cell>
          <cell r="ND64" t="str">
            <v/>
          </cell>
          <cell r="NE64" t="str">
            <v/>
          </cell>
          <cell r="NF64" t="str">
            <v/>
          </cell>
          <cell r="NG64" t="str">
            <v/>
          </cell>
          <cell r="NH64" t="str">
            <v/>
          </cell>
          <cell r="NI64" t="str">
            <v/>
          </cell>
          <cell r="NJ64" t="str">
            <v/>
          </cell>
        </row>
        <row r="65">
          <cell r="I65" t="str">
            <v>E07000154</v>
          </cell>
          <cell r="GZ65">
            <v>40634</v>
          </cell>
          <cell r="HA65">
            <v>41729</v>
          </cell>
          <cell r="HB65">
            <v>575</v>
          </cell>
          <cell r="HC65">
            <v>575</v>
          </cell>
          <cell r="HD65">
            <v>41730</v>
          </cell>
          <cell r="HE65">
            <v>42825</v>
          </cell>
          <cell r="HF65">
            <v>1154</v>
          </cell>
          <cell r="HG65">
            <v>1154</v>
          </cell>
          <cell r="HH65">
            <v>42826</v>
          </cell>
          <cell r="HI65">
            <v>43921</v>
          </cell>
          <cell r="HJ65">
            <v>1519</v>
          </cell>
          <cell r="HK65">
            <v>1519</v>
          </cell>
          <cell r="HL65">
            <v>43922</v>
          </cell>
          <cell r="HM65">
            <v>45016</v>
          </cell>
          <cell r="HN65">
            <v>1375</v>
          </cell>
          <cell r="HO65">
            <v>1375</v>
          </cell>
          <cell r="HP65">
            <v>45017</v>
          </cell>
          <cell r="HQ65">
            <v>46112</v>
          </cell>
          <cell r="HR65">
            <v>933</v>
          </cell>
          <cell r="HS65">
            <v>933</v>
          </cell>
          <cell r="HT65">
            <v>46113</v>
          </cell>
          <cell r="HU65">
            <v>47208</v>
          </cell>
          <cell r="HV65">
            <v>735</v>
          </cell>
          <cell r="HW65">
            <v>735</v>
          </cell>
          <cell r="MN65" t="str">
            <v/>
          </cell>
          <cell r="MO65" t="str">
            <v/>
          </cell>
          <cell r="MP65" t="str">
            <v/>
          </cell>
          <cell r="MQ65" t="str">
            <v/>
          </cell>
          <cell r="MR65" t="str">
            <v/>
          </cell>
          <cell r="MS65" t="str">
            <v/>
          </cell>
          <cell r="MT65" t="str">
            <v/>
          </cell>
          <cell r="MU65" t="str">
            <v/>
          </cell>
          <cell r="MV65" t="str">
            <v/>
          </cell>
          <cell r="MW65" t="str">
            <v/>
          </cell>
          <cell r="MX65" t="str">
            <v/>
          </cell>
          <cell r="MY65" t="str">
            <v/>
          </cell>
          <cell r="MZ65" t="str">
            <v/>
          </cell>
          <cell r="NA65" t="str">
            <v/>
          </cell>
          <cell r="NB65" t="str">
            <v/>
          </cell>
          <cell r="NC65" t="str">
            <v/>
          </cell>
          <cell r="ND65" t="str">
            <v/>
          </cell>
          <cell r="NE65" t="str">
            <v/>
          </cell>
          <cell r="NF65" t="str">
            <v/>
          </cell>
          <cell r="NG65" t="str">
            <v/>
          </cell>
          <cell r="NH65" t="str">
            <v/>
          </cell>
          <cell r="NI65" t="str">
            <v/>
          </cell>
          <cell r="NJ65" t="str">
            <v/>
          </cell>
        </row>
        <row r="66">
          <cell r="I66" t="str">
            <v>E08000032</v>
          </cell>
          <cell r="GZ66" t="str">
            <v/>
          </cell>
          <cell r="HA66" t="str">
            <v/>
          </cell>
          <cell r="HB66" t="str">
            <v/>
          </cell>
          <cell r="HC66" t="str">
            <v/>
          </cell>
          <cell r="HD66" t="str">
            <v/>
          </cell>
          <cell r="HE66" t="str">
            <v/>
          </cell>
          <cell r="HF66" t="str">
            <v/>
          </cell>
          <cell r="HG66" t="str">
            <v/>
          </cell>
          <cell r="HH66" t="str">
            <v/>
          </cell>
          <cell r="HI66" t="str">
            <v/>
          </cell>
          <cell r="HJ66" t="str">
            <v/>
          </cell>
          <cell r="HK66" t="str">
            <v/>
          </cell>
          <cell r="HL66" t="str">
            <v/>
          </cell>
          <cell r="HM66" t="str">
            <v/>
          </cell>
          <cell r="HN66" t="str">
            <v/>
          </cell>
          <cell r="HO66" t="str">
            <v/>
          </cell>
          <cell r="HP66" t="str">
            <v/>
          </cell>
          <cell r="HQ66" t="str">
            <v/>
          </cell>
          <cell r="HR66" t="str">
            <v/>
          </cell>
          <cell r="HS66" t="str">
            <v/>
          </cell>
          <cell r="HT66" t="str">
            <v/>
          </cell>
          <cell r="HU66" t="str">
            <v/>
          </cell>
          <cell r="HV66" t="str">
            <v/>
          </cell>
          <cell r="HW66" t="str">
            <v/>
          </cell>
          <cell r="MN66" t="str">
            <v/>
          </cell>
          <cell r="MO66" t="str">
            <v/>
          </cell>
          <cell r="MP66" t="str">
            <v/>
          </cell>
          <cell r="MQ66" t="str">
            <v/>
          </cell>
          <cell r="MR66" t="str">
            <v/>
          </cell>
          <cell r="MS66" t="str">
            <v/>
          </cell>
          <cell r="MT66" t="str">
            <v/>
          </cell>
          <cell r="MU66" t="str">
            <v/>
          </cell>
          <cell r="MV66" t="str">
            <v/>
          </cell>
          <cell r="MW66" t="str">
            <v/>
          </cell>
          <cell r="MX66" t="str">
            <v/>
          </cell>
          <cell r="MY66" t="str">
            <v/>
          </cell>
          <cell r="MZ66" t="str">
            <v/>
          </cell>
          <cell r="NA66" t="str">
            <v/>
          </cell>
          <cell r="NB66" t="str">
            <v/>
          </cell>
          <cell r="NC66" t="str">
            <v/>
          </cell>
          <cell r="ND66" t="str">
            <v/>
          </cell>
          <cell r="NE66" t="str">
            <v/>
          </cell>
          <cell r="NF66" t="str">
            <v/>
          </cell>
          <cell r="NG66" t="str">
            <v/>
          </cell>
          <cell r="NH66" t="str">
            <v/>
          </cell>
          <cell r="NI66" t="str">
            <v/>
          </cell>
          <cell r="NJ66" t="str">
            <v/>
          </cell>
        </row>
        <row r="67">
          <cell r="I67" t="str">
            <v>E08000021</v>
          </cell>
          <cell r="GZ67">
            <v>40269</v>
          </cell>
          <cell r="HA67">
            <v>42094</v>
          </cell>
          <cell r="HB67">
            <v>280</v>
          </cell>
          <cell r="HC67">
            <v>280</v>
          </cell>
          <cell r="HD67">
            <v>42095</v>
          </cell>
          <cell r="HE67">
            <v>43921</v>
          </cell>
          <cell r="HF67">
            <v>960</v>
          </cell>
          <cell r="HG67">
            <v>960</v>
          </cell>
          <cell r="HH67">
            <v>43922</v>
          </cell>
          <cell r="HI67">
            <v>45747</v>
          </cell>
          <cell r="HJ67">
            <v>1080</v>
          </cell>
          <cell r="HK67">
            <v>1080</v>
          </cell>
          <cell r="HL67">
            <v>45748</v>
          </cell>
          <cell r="HM67">
            <v>47573</v>
          </cell>
          <cell r="HN67">
            <v>1080</v>
          </cell>
          <cell r="HO67">
            <v>1080</v>
          </cell>
          <cell r="HP67" t="str">
            <v/>
          </cell>
          <cell r="HQ67" t="str">
            <v/>
          </cell>
          <cell r="HR67" t="str">
            <v/>
          </cell>
          <cell r="HS67" t="str">
            <v/>
          </cell>
          <cell r="HT67" t="str">
            <v/>
          </cell>
          <cell r="HU67" t="str">
            <v/>
          </cell>
          <cell r="HV67" t="str">
            <v/>
          </cell>
          <cell r="HW67" t="str">
            <v/>
          </cell>
          <cell r="MN67" t="str">
            <v/>
          </cell>
          <cell r="MO67" t="str">
            <v/>
          </cell>
          <cell r="MP67" t="str">
            <v/>
          </cell>
          <cell r="MQ67" t="str">
            <v/>
          </cell>
          <cell r="MR67" t="str">
            <v/>
          </cell>
          <cell r="MS67" t="str">
            <v/>
          </cell>
          <cell r="MT67" t="str">
            <v/>
          </cell>
          <cell r="MU67" t="str">
            <v/>
          </cell>
          <cell r="MV67" t="str">
            <v/>
          </cell>
          <cell r="MW67" t="str">
            <v/>
          </cell>
          <cell r="MX67" t="str">
            <v/>
          </cell>
          <cell r="MY67" t="str">
            <v/>
          </cell>
          <cell r="MZ67" t="str">
            <v/>
          </cell>
          <cell r="NA67" t="str">
            <v/>
          </cell>
          <cell r="NB67" t="str">
            <v/>
          </cell>
          <cell r="NC67" t="str">
            <v/>
          </cell>
          <cell r="ND67" t="str">
            <v/>
          </cell>
          <cell r="NE67" t="str">
            <v/>
          </cell>
          <cell r="NF67" t="str">
            <v/>
          </cell>
          <cell r="NG67" t="str">
            <v/>
          </cell>
          <cell r="NH67" t="str">
            <v/>
          </cell>
          <cell r="NI67" t="str">
            <v/>
          </cell>
          <cell r="NJ67" t="str">
            <v/>
          </cell>
        </row>
        <row r="68">
          <cell r="I68" t="str">
            <v>E06000038</v>
          </cell>
          <cell r="GZ68" t="str">
            <v/>
          </cell>
          <cell r="HA68" t="str">
            <v/>
          </cell>
          <cell r="HB68" t="str">
            <v/>
          </cell>
          <cell r="HC68" t="str">
            <v/>
          </cell>
          <cell r="HD68" t="str">
            <v/>
          </cell>
          <cell r="HE68" t="str">
            <v/>
          </cell>
          <cell r="HF68" t="str">
            <v/>
          </cell>
          <cell r="HG68" t="str">
            <v/>
          </cell>
          <cell r="HH68" t="str">
            <v/>
          </cell>
          <cell r="HI68" t="str">
            <v/>
          </cell>
          <cell r="HJ68" t="str">
            <v/>
          </cell>
          <cell r="HK68" t="str">
            <v/>
          </cell>
          <cell r="HL68" t="str">
            <v/>
          </cell>
          <cell r="HM68" t="str">
            <v/>
          </cell>
          <cell r="HN68" t="str">
            <v/>
          </cell>
          <cell r="HO68" t="str">
            <v/>
          </cell>
          <cell r="HP68" t="str">
            <v/>
          </cell>
          <cell r="HQ68" t="str">
            <v/>
          </cell>
          <cell r="HR68" t="str">
            <v/>
          </cell>
          <cell r="HS68" t="str">
            <v/>
          </cell>
          <cell r="HT68" t="str">
            <v/>
          </cell>
          <cell r="HU68" t="str">
            <v/>
          </cell>
          <cell r="HV68" t="str">
            <v/>
          </cell>
          <cell r="HW68" t="str">
            <v/>
          </cell>
          <cell r="MN68" t="str">
            <v/>
          </cell>
          <cell r="MO68" t="str">
            <v/>
          </cell>
          <cell r="MP68" t="str">
            <v/>
          </cell>
          <cell r="MQ68" t="str">
            <v/>
          </cell>
          <cell r="MR68" t="str">
            <v/>
          </cell>
          <cell r="MS68" t="str">
            <v/>
          </cell>
          <cell r="MT68" t="str">
            <v/>
          </cell>
          <cell r="MU68" t="str">
            <v/>
          </cell>
          <cell r="MV68" t="str">
            <v/>
          </cell>
          <cell r="MW68" t="str">
            <v/>
          </cell>
          <cell r="MX68" t="str">
            <v/>
          </cell>
          <cell r="MY68" t="str">
            <v/>
          </cell>
          <cell r="MZ68" t="str">
            <v/>
          </cell>
          <cell r="NA68" t="str">
            <v/>
          </cell>
          <cell r="NB68" t="str">
            <v/>
          </cell>
          <cell r="NC68" t="str">
            <v/>
          </cell>
          <cell r="ND68" t="str">
            <v/>
          </cell>
          <cell r="NE68" t="str">
            <v/>
          </cell>
          <cell r="NF68" t="str">
            <v/>
          </cell>
          <cell r="NG68" t="str">
            <v/>
          </cell>
          <cell r="NH68" t="str">
            <v/>
          </cell>
          <cell r="NI68" t="str">
            <v/>
          </cell>
          <cell r="NJ68" t="str">
            <v/>
          </cell>
        </row>
        <row r="69">
          <cell r="I69" t="str">
            <v>E06000017</v>
          </cell>
          <cell r="GZ69" t="str">
            <v/>
          </cell>
          <cell r="HA69" t="str">
            <v/>
          </cell>
          <cell r="HB69" t="str">
            <v/>
          </cell>
          <cell r="HC69" t="str">
            <v/>
          </cell>
          <cell r="HD69" t="str">
            <v/>
          </cell>
          <cell r="HE69" t="str">
            <v/>
          </cell>
          <cell r="HF69" t="str">
            <v/>
          </cell>
          <cell r="HG69" t="str">
            <v/>
          </cell>
          <cell r="HH69" t="str">
            <v/>
          </cell>
          <cell r="HI69" t="str">
            <v/>
          </cell>
          <cell r="HJ69" t="str">
            <v/>
          </cell>
          <cell r="HK69" t="str">
            <v/>
          </cell>
          <cell r="HL69" t="str">
            <v/>
          </cell>
          <cell r="HM69" t="str">
            <v/>
          </cell>
          <cell r="HN69" t="str">
            <v/>
          </cell>
          <cell r="HO69" t="str">
            <v/>
          </cell>
          <cell r="HP69" t="str">
            <v/>
          </cell>
          <cell r="HQ69" t="str">
            <v/>
          </cell>
          <cell r="HR69" t="str">
            <v/>
          </cell>
          <cell r="HS69" t="str">
            <v/>
          </cell>
          <cell r="HT69" t="str">
            <v/>
          </cell>
          <cell r="HU69" t="str">
            <v/>
          </cell>
          <cell r="HV69" t="str">
            <v/>
          </cell>
          <cell r="HW69" t="str">
            <v/>
          </cell>
          <cell r="MN69" t="str">
            <v/>
          </cell>
          <cell r="MO69" t="str">
            <v/>
          </cell>
          <cell r="MP69" t="str">
            <v/>
          </cell>
          <cell r="MQ69" t="str">
            <v/>
          </cell>
          <cell r="MR69" t="str">
            <v/>
          </cell>
          <cell r="MS69" t="str">
            <v/>
          </cell>
          <cell r="MT69" t="str">
            <v/>
          </cell>
          <cell r="MU69" t="str">
            <v/>
          </cell>
          <cell r="MV69" t="str">
            <v/>
          </cell>
          <cell r="MW69" t="str">
            <v/>
          </cell>
          <cell r="MX69" t="str">
            <v/>
          </cell>
          <cell r="MY69" t="str">
            <v/>
          </cell>
          <cell r="MZ69" t="str">
            <v/>
          </cell>
          <cell r="NA69" t="str">
            <v/>
          </cell>
          <cell r="NB69" t="str">
            <v/>
          </cell>
          <cell r="NC69" t="str">
            <v/>
          </cell>
          <cell r="ND69" t="str">
            <v/>
          </cell>
          <cell r="NE69" t="str">
            <v/>
          </cell>
          <cell r="NF69" t="str">
            <v/>
          </cell>
          <cell r="NG69" t="str">
            <v/>
          </cell>
          <cell r="NH69" t="str">
            <v/>
          </cell>
          <cell r="NI69" t="str">
            <v/>
          </cell>
          <cell r="NJ69" t="str">
            <v/>
          </cell>
        </row>
        <row r="70">
          <cell r="I70" t="str">
            <v>E06000055</v>
          </cell>
          <cell r="GZ70" t="str">
            <v/>
          </cell>
          <cell r="HA70" t="str">
            <v/>
          </cell>
          <cell r="HB70" t="str">
            <v/>
          </cell>
          <cell r="HC70" t="str">
            <v/>
          </cell>
          <cell r="HD70" t="str">
            <v/>
          </cell>
          <cell r="HE70" t="str">
            <v/>
          </cell>
          <cell r="HF70" t="str">
            <v/>
          </cell>
          <cell r="HG70" t="str">
            <v/>
          </cell>
          <cell r="HH70" t="str">
            <v/>
          </cell>
          <cell r="HI70" t="str">
            <v/>
          </cell>
          <cell r="HJ70" t="str">
            <v/>
          </cell>
          <cell r="HK70" t="str">
            <v/>
          </cell>
          <cell r="HL70" t="str">
            <v/>
          </cell>
          <cell r="HM70" t="str">
            <v/>
          </cell>
          <cell r="HN70" t="str">
            <v/>
          </cell>
          <cell r="HO70" t="str">
            <v/>
          </cell>
          <cell r="HP70" t="str">
            <v/>
          </cell>
          <cell r="HQ70" t="str">
            <v/>
          </cell>
          <cell r="HR70" t="str">
            <v/>
          </cell>
          <cell r="HS70" t="str">
            <v/>
          </cell>
          <cell r="HT70" t="str">
            <v/>
          </cell>
          <cell r="HU70" t="str">
            <v/>
          </cell>
          <cell r="HV70" t="str">
            <v/>
          </cell>
          <cell r="HW70" t="str">
            <v/>
          </cell>
          <cell r="MN70" t="str">
            <v/>
          </cell>
          <cell r="MO70" t="str">
            <v/>
          </cell>
          <cell r="MP70" t="str">
            <v/>
          </cell>
          <cell r="MQ70" t="str">
            <v/>
          </cell>
          <cell r="MR70" t="str">
            <v/>
          </cell>
          <cell r="MS70" t="str">
            <v/>
          </cell>
          <cell r="MT70" t="str">
            <v/>
          </cell>
          <cell r="MU70" t="str">
            <v/>
          </cell>
          <cell r="MV70" t="str">
            <v/>
          </cell>
          <cell r="MW70" t="str">
            <v/>
          </cell>
          <cell r="MX70" t="str">
            <v/>
          </cell>
          <cell r="MY70" t="str">
            <v/>
          </cell>
          <cell r="MZ70" t="str">
            <v/>
          </cell>
          <cell r="NA70" t="str">
            <v/>
          </cell>
          <cell r="NB70" t="str">
            <v/>
          </cell>
          <cell r="NC70" t="str">
            <v/>
          </cell>
          <cell r="ND70" t="str">
            <v/>
          </cell>
          <cell r="NE70" t="str">
            <v/>
          </cell>
          <cell r="NF70" t="str">
            <v/>
          </cell>
          <cell r="NG70" t="str">
            <v/>
          </cell>
          <cell r="NH70" t="str">
            <v/>
          </cell>
          <cell r="NI70" t="str">
            <v/>
          </cell>
          <cell r="NJ70" t="str">
            <v/>
          </cell>
        </row>
        <row r="71">
          <cell r="I71" t="str">
            <v>E07000136</v>
          </cell>
          <cell r="GZ71" t="str">
            <v/>
          </cell>
          <cell r="HA71" t="str">
            <v/>
          </cell>
          <cell r="HB71" t="str">
            <v/>
          </cell>
          <cell r="HC71" t="str">
            <v/>
          </cell>
          <cell r="HD71" t="str">
            <v/>
          </cell>
          <cell r="HE71" t="str">
            <v/>
          </cell>
          <cell r="HF71" t="str">
            <v/>
          </cell>
          <cell r="HG71" t="str">
            <v/>
          </cell>
          <cell r="HH71" t="str">
            <v/>
          </cell>
          <cell r="HI71" t="str">
            <v/>
          </cell>
          <cell r="HJ71" t="str">
            <v/>
          </cell>
          <cell r="HK71" t="str">
            <v/>
          </cell>
          <cell r="HL71" t="str">
            <v/>
          </cell>
          <cell r="HM71" t="str">
            <v/>
          </cell>
          <cell r="HN71" t="str">
            <v/>
          </cell>
          <cell r="HO71" t="str">
            <v/>
          </cell>
          <cell r="HP71" t="str">
            <v/>
          </cell>
          <cell r="HQ71" t="str">
            <v/>
          </cell>
          <cell r="HR71" t="str">
            <v/>
          </cell>
          <cell r="HS71" t="str">
            <v/>
          </cell>
          <cell r="HT71" t="str">
            <v/>
          </cell>
          <cell r="HU71" t="str">
            <v/>
          </cell>
          <cell r="HV71" t="str">
            <v/>
          </cell>
          <cell r="HW71" t="str">
            <v/>
          </cell>
          <cell r="MN71" t="str">
            <v/>
          </cell>
          <cell r="MO71" t="str">
            <v/>
          </cell>
          <cell r="MP71" t="str">
            <v/>
          </cell>
          <cell r="MQ71" t="str">
            <v/>
          </cell>
          <cell r="MR71" t="str">
            <v/>
          </cell>
          <cell r="MS71" t="str">
            <v/>
          </cell>
          <cell r="MT71" t="str">
            <v/>
          </cell>
          <cell r="MU71" t="str">
            <v/>
          </cell>
          <cell r="MV71" t="str">
            <v/>
          </cell>
          <cell r="MW71" t="str">
            <v/>
          </cell>
          <cell r="MX71" t="str">
            <v/>
          </cell>
          <cell r="MY71" t="str">
            <v/>
          </cell>
          <cell r="MZ71" t="str">
            <v/>
          </cell>
          <cell r="NA71" t="str">
            <v/>
          </cell>
          <cell r="NB71" t="str">
            <v/>
          </cell>
          <cell r="NC71" t="str">
            <v/>
          </cell>
          <cell r="ND71" t="str">
            <v/>
          </cell>
          <cell r="NE71" t="str">
            <v/>
          </cell>
          <cell r="NF71" t="str">
            <v/>
          </cell>
          <cell r="NG71" t="str">
            <v/>
          </cell>
          <cell r="NH71" t="str">
            <v/>
          </cell>
          <cell r="NI71" t="str">
            <v/>
          </cell>
          <cell r="NJ71" t="str">
            <v/>
          </cell>
        </row>
        <row r="72">
          <cell r="I72" t="str">
            <v>E07000188</v>
          </cell>
          <cell r="GZ72" t="str">
            <v/>
          </cell>
          <cell r="HA72" t="str">
            <v/>
          </cell>
          <cell r="HB72" t="str">
            <v/>
          </cell>
          <cell r="HC72" t="str">
            <v/>
          </cell>
          <cell r="HD72" t="str">
            <v/>
          </cell>
          <cell r="HE72" t="str">
            <v/>
          </cell>
          <cell r="HF72" t="str">
            <v/>
          </cell>
          <cell r="HG72" t="str">
            <v/>
          </cell>
          <cell r="HH72" t="str">
            <v/>
          </cell>
          <cell r="HI72" t="str">
            <v/>
          </cell>
          <cell r="HJ72" t="str">
            <v/>
          </cell>
          <cell r="HK72" t="str">
            <v/>
          </cell>
          <cell r="HL72" t="str">
            <v/>
          </cell>
          <cell r="HM72" t="str">
            <v/>
          </cell>
          <cell r="HN72" t="str">
            <v/>
          </cell>
          <cell r="HO72" t="str">
            <v/>
          </cell>
          <cell r="HP72" t="str">
            <v/>
          </cell>
          <cell r="HQ72" t="str">
            <v/>
          </cell>
          <cell r="HR72" t="str">
            <v/>
          </cell>
          <cell r="HS72" t="str">
            <v/>
          </cell>
          <cell r="HT72" t="str">
            <v/>
          </cell>
          <cell r="HU72" t="str">
            <v/>
          </cell>
          <cell r="HV72" t="str">
            <v/>
          </cell>
          <cell r="HW72" t="str">
            <v/>
          </cell>
          <cell r="MQ72" t="str">
            <v>Analysts to manually calculate</v>
          </cell>
          <cell r="MU72" t="str">
            <v>Analysts to manually calculate</v>
          </cell>
          <cell r="MY72" t="str">
            <v>Analysts to manually calculate</v>
          </cell>
          <cell r="NC72" t="str">
            <v>Analysts to manually calculate</v>
          </cell>
          <cell r="NG72" t="str">
            <v>Analysts to manually calculate</v>
          </cell>
        </row>
        <row r="73">
          <cell r="I73" t="str">
            <v>E08000003</v>
          </cell>
          <cell r="GZ73" t="str">
            <v/>
          </cell>
          <cell r="HA73" t="str">
            <v/>
          </cell>
          <cell r="HB73" t="str">
            <v/>
          </cell>
          <cell r="HC73" t="str">
            <v/>
          </cell>
          <cell r="HD73" t="str">
            <v/>
          </cell>
          <cell r="HE73" t="str">
            <v/>
          </cell>
          <cell r="HF73" t="str">
            <v/>
          </cell>
          <cell r="HG73" t="str">
            <v/>
          </cell>
          <cell r="HH73" t="str">
            <v/>
          </cell>
          <cell r="HI73" t="str">
            <v/>
          </cell>
          <cell r="HJ73" t="str">
            <v/>
          </cell>
          <cell r="HK73" t="str">
            <v/>
          </cell>
          <cell r="HL73" t="str">
            <v/>
          </cell>
          <cell r="HM73" t="str">
            <v/>
          </cell>
          <cell r="HN73" t="str">
            <v/>
          </cell>
          <cell r="HO73" t="str">
            <v/>
          </cell>
          <cell r="HP73" t="str">
            <v/>
          </cell>
          <cell r="HQ73" t="str">
            <v/>
          </cell>
          <cell r="HR73" t="str">
            <v/>
          </cell>
          <cell r="HS73" t="str">
            <v/>
          </cell>
          <cell r="HT73" t="str">
            <v/>
          </cell>
          <cell r="HU73" t="str">
            <v/>
          </cell>
          <cell r="HV73" t="str">
            <v/>
          </cell>
          <cell r="HW73" t="str">
            <v/>
          </cell>
          <cell r="MN73" t="str">
            <v/>
          </cell>
          <cell r="MO73" t="str">
            <v/>
          </cell>
          <cell r="MP73" t="str">
            <v/>
          </cell>
          <cell r="MQ73" t="str">
            <v/>
          </cell>
          <cell r="MR73" t="str">
            <v/>
          </cell>
          <cell r="MS73" t="str">
            <v/>
          </cell>
          <cell r="MT73" t="str">
            <v/>
          </cell>
          <cell r="MU73" t="str">
            <v/>
          </cell>
          <cell r="MV73" t="str">
            <v/>
          </cell>
          <cell r="MW73" t="str">
            <v/>
          </cell>
          <cell r="MX73" t="str">
            <v/>
          </cell>
          <cell r="MY73" t="str">
            <v/>
          </cell>
          <cell r="MZ73" t="str">
            <v/>
          </cell>
          <cell r="NA73" t="str">
            <v/>
          </cell>
          <cell r="NB73" t="str">
            <v/>
          </cell>
          <cell r="NC73" t="str">
            <v/>
          </cell>
          <cell r="ND73" t="str">
            <v/>
          </cell>
          <cell r="NE73" t="str">
            <v/>
          </cell>
          <cell r="NF73" t="str">
            <v/>
          </cell>
          <cell r="NG73" t="str">
            <v/>
          </cell>
          <cell r="NH73" t="str">
            <v/>
          </cell>
          <cell r="NI73" t="str">
            <v/>
          </cell>
          <cell r="NJ73" t="str">
            <v/>
          </cell>
        </row>
        <row r="74">
          <cell r="I74" t="str">
            <v>E07000040</v>
          </cell>
          <cell r="GZ74" t="str">
            <v/>
          </cell>
          <cell r="HA74" t="str">
            <v/>
          </cell>
          <cell r="HB74" t="str">
            <v/>
          </cell>
          <cell r="HC74" t="str">
            <v/>
          </cell>
          <cell r="HD74" t="str">
            <v/>
          </cell>
          <cell r="HE74" t="str">
            <v/>
          </cell>
          <cell r="HF74" t="str">
            <v/>
          </cell>
          <cell r="HG74" t="str">
            <v/>
          </cell>
          <cell r="HH74" t="str">
            <v/>
          </cell>
          <cell r="HI74" t="str">
            <v/>
          </cell>
          <cell r="HJ74" t="str">
            <v/>
          </cell>
          <cell r="HK74" t="str">
            <v/>
          </cell>
          <cell r="HL74" t="str">
            <v/>
          </cell>
          <cell r="HM74" t="str">
            <v/>
          </cell>
          <cell r="HN74" t="str">
            <v/>
          </cell>
          <cell r="HO74" t="str">
            <v/>
          </cell>
          <cell r="HP74" t="str">
            <v/>
          </cell>
          <cell r="HQ74" t="str">
            <v/>
          </cell>
          <cell r="HR74" t="str">
            <v/>
          </cell>
          <cell r="HS74" t="str">
            <v/>
          </cell>
          <cell r="HT74" t="str">
            <v/>
          </cell>
          <cell r="HU74" t="str">
            <v/>
          </cell>
          <cell r="HV74" t="str">
            <v/>
          </cell>
          <cell r="HW74" t="str">
            <v/>
          </cell>
          <cell r="MN74" t="str">
            <v/>
          </cell>
          <cell r="MO74" t="str">
            <v/>
          </cell>
          <cell r="MP74" t="str">
            <v/>
          </cell>
          <cell r="MQ74" t="str">
            <v/>
          </cell>
          <cell r="MR74" t="str">
            <v/>
          </cell>
          <cell r="MS74" t="str">
            <v/>
          </cell>
          <cell r="MT74" t="str">
            <v/>
          </cell>
          <cell r="MU74" t="str">
            <v/>
          </cell>
          <cell r="MV74" t="str">
            <v/>
          </cell>
          <cell r="MW74" t="str">
            <v/>
          </cell>
          <cell r="MX74" t="str">
            <v/>
          </cell>
          <cell r="MY74" t="str">
            <v/>
          </cell>
          <cell r="MZ74" t="str">
            <v/>
          </cell>
          <cell r="NA74" t="str">
            <v/>
          </cell>
          <cell r="NB74" t="str">
            <v/>
          </cell>
          <cell r="NC74" t="str">
            <v/>
          </cell>
          <cell r="ND74" t="str">
            <v/>
          </cell>
          <cell r="NE74" t="str">
            <v/>
          </cell>
          <cell r="NF74" t="str">
            <v/>
          </cell>
          <cell r="NG74" t="str">
            <v/>
          </cell>
          <cell r="NH74" t="str">
            <v/>
          </cell>
          <cell r="NI74" t="str">
            <v/>
          </cell>
          <cell r="NJ74" t="str">
            <v/>
          </cell>
        </row>
        <row r="75">
          <cell r="I75" t="str">
            <v>E07000048</v>
          </cell>
          <cell r="GZ75" t="str">
            <v/>
          </cell>
          <cell r="HA75" t="str">
            <v/>
          </cell>
          <cell r="HB75" t="str">
            <v/>
          </cell>
          <cell r="HC75" t="str">
            <v/>
          </cell>
          <cell r="HD75" t="str">
            <v/>
          </cell>
          <cell r="HE75" t="str">
            <v/>
          </cell>
          <cell r="HF75" t="str">
            <v/>
          </cell>
          <cell r="HG75" t="str">
            <v/>
          </cell>
          <cell r="HH75" t="str">
            <v/>
          </cell>
          <cell r="HI75" t="str">
            <v/>
          </cell>
          <cell r="HJ75" t="str">
            <v/>
          </cell>
          <cell r="HK75" t="str">
            <v/>
          </cell>
          <cell r="HL75" t="str">
            <v/>
          </cell>
          <cell r="HM75" t="str">
            <v/>
          </cell>
          <cell r="HN75" t="str">
            <v/>
          </cell>
          <cell r="HO75" t="str">
            <v/>
          </cell>
          <cell r="HP75" t="str">
            <v/>
          </cell>
          <cell r="HQ75" t="str">
            <v/>
          </cell>
          <cell r="HR75" t="str">
            <v/>
          </cell>
          <cell r="HS75" t="str">
            <v/>
          </cell>
          <cell r="HT75" t="str">
            <v/>
          </cell>
          <cell r="HU75" t="str">
            <v/>
          </cell>
          <cell r="HV75" t="str">
            <v/>
          </cell>
          <cell r="HW75" t="str">
            <v/>
          </cell>
          <cell r="MN75" t="str">
            <v/>
          </cell>
          <cell r="MO75" t="str">
            <v/>
          </cell>
          <cell r="MP75" t="str">
            <v/>
          </cell>
          <cell r="MQ75" t="str">
            <v/>
          </cell>
          <cell r="MR75" t="str">
            <v/>
          </cell>
          <cell r="MS75" t="str">
            <v/>
          </cell>
          <cell r="MT75" t="str">
            <v/>
          </cell>
          <cell r="MU75" t="str">
            <v/>
          </cell>
          <cell r="MV75" t="str">
            <v/>
          </cell>
          <cell r="MW75" t="str">
            <v/>
          </cell>
          <cell r="MX75" t="str">
            <v/>
          </cell>
          <cell r="MY75" t="str">
            <v/>
          </cell>
          <cell r="MZ75" t="str">
            <v/>
          </cell>
          <cell r="NA75" t="str">
            <v/>
          </cell>
          <cell r="NB75" t="str">
            <v/>
          </cell>
          <cell r="NC75" t="str">
            <v/>
          </cell>
          <cell r="ND75" t="str">
            <v/>
          </cell>
          <cell r="NE75" t="str">
            <v/>
          </cell>
          <cell r="NF75" t="str">
            <v/>
          </cell>
          <cell r="NG75" t="str">
            <v/>
          </cell>
          <cell r="NH75" t="str">
            <v/>
          </cell>
          <cell r="NI75" t="str">
            <v/>
          </cell>
          <cell r="NJ75" t="str">
            <v/>
          </cell>
        </row>
        <row r="76">
          <cell r="I76" t="str">
            <v>E07000035</v>
          </cell>
          <cell r="GZ76" t="str">
            <v/>
          </cell>
          <cell r="HA76" t="str">
            <v/>
          </cell>
          <cell r="HB76" t="str">
            <v/>
          </cell>
          <cell r="HC76" t="str">
            <v/>
          </cell>
          <cell r="HD76" t="str">
            <v/>
          </cell>
          <cell r="HE76" t="str">
            <v/>
          </cell>
          <cell r="HF76" t="str">
            <v/>
          </cell>
          <cell r="HG76" t="str">
            <v/>
          </cell>
          <cell r="HH76" t="str">
            <v/>
          </cell>
          <cell r="HI76" t="str">
            <v/>
          </cell>
          <cell r="HJ76" t="str">
            <v/>
          </cell>
          <cell r="HK76" t="str">
            <v/>
          </cell>
          <cell r="HL76" t="str">
            <v/>
          </cell>
          <cell r="HM76" t="str">
            <v/>
          </cell>
          <cell r="HN76" t="str">
            <v/>
          </cell>
          <cell r="HO76" t="str">
            <v/>
          </cell>
          <cell r="HP76" t="str">
            <v/>
          </cell>
          <cell r="HQ76" t="str">
            <v/>
          </cell>
          <cell r="HR76" t="str">
            <v/>
          </cell>
          <cell r="HS76" t="str">
            <v/>
          </cell>
          <cell r="HT76" t="str">
            <v/>
          </cell>
          <cell r="HU76" t="str">
            <v/>
          </cell>
          <cell r="HV76" t="str">
            <v/>
          </cell>
          <cell r="HW76" t="str">
            <v/>
          </cell>
          <cell r="MN76" t="str">
            <v/>
          </cell>
          <cell r="MO76" t="str">
            <v/>
          </cell>
          <cell r="MP76" t="str">
            <v/>
          </cell>
          <cell r="MQ76" t="str">
            <v/>
          </cell>
          <cell r="MR76" t="str">
            <v/>
          </cell>
          <cell r="MS76" t="str">
            <v/>
          </cell>
          <cell r="MT76" t="str">
            <v/>
          </cell>
          <cell r="MU76" t="str">
            <v/>
          </cell>
          <cell r="MV76" t="str">
            <v/>
          </cell>
          <cell r="MW76" t="str">
            <v/>
          </cell>
          <cell r="MX76" t="str">
            <v/>
          </cell>
          <cell r="MY76" t="str">
            <v/>
          </cell>
          <cell r="MZ76" t="str">
            <v/>
          </cell>
          <cell r="NA76" t="str">
            <v/>
          </cell>
          <cell r="NB76" t="str">
            <v/>
          </cell>
          <cell r="NC76" t="str">
            <v/>
          </cell>
          <cell r="ND76" t="str">
            <v/>
          </cell>
          <cell r="NE76" t="str">
            <v/>
          </cell>
          <cell r="NF76" t="str">
            <v/>
          </cell>
          <cell r="NG76" t="str">
            <v/>
          </cell>
          <cell r="NH76" t="str">
            <v/>
          </cell>
          <cell r="NI76" t="str">
            <v/>
          </cell>
          <cell r="NJ76" t="str">
            <v/>
          </cell>
        </row>
        <row r="77">
          <cell r="I77" t="str">
            <v>E07000036</v>
          </cell>
          <cell r="GZ77" t="str">
            <v/>
          </cell>
          <cell r="HA77" t="str">
            <v/>
          </cell>
          <cell r="HB77" t="str">
            <v/>
          </cell>
          <cell r="HC77" t="str">
            <v/>
          </cell>
          <cell r="HD77" t="str">
            <v/>
          </cell>
          <cell r="HE77" t="str">
            <v/>
          </cell>
          <cell r="HF77" t="str">
            <v/>
          </cell>
          <cell r="HG77" t="str">
            <v/>
          </cell>
          <cell r="HH77" t="str">
            <v/>
          </cell>
          <cell r="HI77" t="str">
            <v/>
          </cell>
          <cell r="HJ77" t="str">
            <v/>
          </cell>
          <cell r="HK77" t="str">
            <v/>
          </cell>
          <cell r="HL77" t="str">
            <v/>
          </cell>
          <cell r="HM77" t="str">
            <v/>
          </cell>
          <cell r="HN77" t="str">
            <v/>
          </cell>
          <cell r="HO77" t="str">
            <v/>
          </cell>
          <cell r="HP77" t="str">
            <v/>
          </cell>
          <cell r="HQ77" t="str">
            <v/>
          </cell>
          <cell r="HR77" t="str">
            <v/>
          </cell>
          <cell r="HS77" t="str">
            <v/>
          </cell>
          <cell r="HT77" t="str">
            <v/>
          </cell>
          <cell r="HU77" t="str">
            <v/>
          </cell>
          <cell r="HV77" t="str">
            <v/>
          </cell>
          <cell r="HW77" t="str">
            <v/>
          </cell>
          <cell r="MN77" t="str">
            <v/>
          </cell>
          <cell r="MO77" t="str">
            <v/>
          </cell>
          <cell r="MP77" t="str">
            <v/>
          </cell>
          <cell r="MQ77" t="str">
            <v/>
          </cell>
          <cell r="MR77" t="str">
            <v/>
          </cell>
          <cell r="MS77" t="str">
            <v/>
          </cell>
          <cell r="MT77" t="str">
            <v/>
          </cell>
          <cell r="MU77" t="str">
            <v/>
          </cell>
          <cell r="MV77" t="str">
            <v/>
          </cell>
          <cell r="MW77" t="str">
            <v/>
          </cell>
          <cell r="MX77" t="str">
            <v/>
          </cell>
          <cell r="MY77" t="str">
            <v/>
          </cell>
          <cell r="MZ77" t="str">
            <v/>
          </cell>
          <cell r="NA77" t="str">
            <v/>
          </cell>
          <cell r="NB77" t="str">
            <v/>
          </cell>
          <cell r="NC77" t="str">
            <v/>
          </cell>
          <cell r="ND77" t="str">
            <v/>
          </cell>
          <cell r="NE77" t="str">
            <v/>
          </cell>
          <cell r="NF77" t="str">
            <v/>
          </cell>
          <cell r="NG77" t="str">
            <v/>
          </cell>
          <cell r="NH77" t="str">
            <v/>
          </cell>
          <cell r="NI77" t="str">
            <v/>
          </cell>
          <cell r="NJ77" t="str">
            <v/>
          </cell>
        </row>
        <row r="78">
          <cell r="I78" t="str">
            <v>E07000206</v>
          </cell>
          <cell r="GZ78" t="str">
            <v/>
          </cell>
          <cell r="HA78" t="str">
            <v/>
          </cell>
          <cell r="HB78" t="str">
            <v/>
          </cell>
          <cell r="HC78" t="str">
            <v/>
          </cell>
          <cell r="HD78" t="str">
            <v/>
          </cell>
          <cell r="HE78" t="str">
            <v/>
          </cell>
          <cell r="HF78" t="str">
            <v/>
          </cell>
          <cell r="HG78" t="str">
            <v/>
          </cell>
          <cell r="HH78" t="str">
            <v/>
          </cell>
          <cell r="HI78" t="str">
            <v/>
          </cell>
          <cell r="HJ78" t="str">
            <v/>
          </cell>
          <cell r="HK78" t="str">
            <v/>
          </cell>
          <cell r="HL78" t="str">
            <v/>
          </cell>
          <cell r="HM78" t="str">
            <v/>
          </cell>
          <cell r="HN78" t="str">
            <v/>
          </cell>
          <cell r="HO78" t="str">
            <v/>
          </cell>
          <cell r="HP78" t="str">
            <v/>
          </cell>
          <cell r="HQ78" t="str">
            <v/>
          </cell>
          <cell r="HR78" t="str">
            <v/>
          </cell>
          <cell r="HS78" t="str">
            <v/>
          </cell>
          <cell r="HT78" t="str">
            <v/>
          </cell>
          <cell r="HU78" t="str">
            <v/>
          </cell>
          <cell r="HV78" t="str">
            <v/>
          </cell>
          <cell r="HW78" t="str">
            <v/>
          </cell>
          <cell r="MN78" t="str">
            <v/>
          </cell>
          <cell r="MO78" t="str">
            <v/>
          </cell>
          <cell r="MP78" t="str">
            <v/>
          </cell>
          <cell r="MQ78" t="str">
            <v/>
          </cell>
          <cell r="MR78" t="str">
            <v/>
          </cell>
          <cell r="MS78" t="str">
            <v/>
          </cell>
          <cell r="MT78" t="str">
            <v/>
          </cell>
          <cell r="MU78" t="str">
            <v/>
          </cell>
          <cell r="MV78" t="str">
            <v/>
          </cell>
          <cell r="MW78" t="str">
            <v/>
          </cell>
          <cell r="MX78" t="str">
            <v/>
          </cell>
          <cell r="MY78" t="str">
            <v/>
          </cell>
          <cell r="MZ78" t="str">
            <v/>
          </cell>
          <cell r="NA78" t="str">
            <v/>
          </cell>
          <cell r="NB78" t="str">
            <v/>
          </cell>
          <cell r="NC78" t="str">
            <v/>
          </cell>
          <cell r="ND78" t="str">
            <v/>
          </cell>
          <cell r="NE78" t="str">
            <v/>
          </cell>
          <cell r="NF78" t="str">
            <v/>
          </cell>
          <cell r="NG78" t="str">
            <v/>
          </cell>
          <cell r="NH78" t="str">
            <v/>
          </cell>
          <cell r="NI78" t="str">
            <v/>
          </cell>
          <cell r="NJ78" t="str">
            <v/>
          </cell>
        </row>
        <row r="79">
          <cell r="I79" t="str">
            <v>E07000156</v>
          </cell>
          <cell r="GZ79" t="str">
            <v/>
          </cell>
          <cell r="HA79" t="str">
            <v/>
          </cell>
          <cell r="HB79" t="str">
            <v/>
          </cell>
          <cell r="HC79" t="str">
            <v/>
          </cell>
          <cell r="HD79" t="str">
            <v/>
          </cell>
          <cell r="HE79" t="str">
            <v/>
          </cell>
          <cell r="HF79" t="str">
            <v/>
          </cell>
          <cell r="HG79" t="str">
            <v/>
          </cell>
          <cell r="HH79" t="str">
            <v/>
          </cell>
          <cell r="HI79" t="str">
            <v/>
          </cell>
          <cell r="HJ79" t="str">
            <v/>
          </cell>
          <cell r="HK79" t="str">
            <v/>
          </cell>
          <cell r="HL79" t="str">
            <v/>
          </cell>
          <cell r="HM79" t="str">
            <v/>
          </cell>
          <cell r="HN79" t="str">
            <v/>
          </cell>
          <cell r="HO79" t="str">
            <v/>
          </cell>
          <cell r="HP79" t="str">
            <v/>
          </cell>
          <cell r="HQ79" t="str">
            <v/>
          </cell>
          <cell r="HR79" t="str">
            <v/>
          </cell>
          <cell r="HS79" t="str">
            <v/>
          </cell>
          <cell r="HT79" t="str">
            <v/>
          </cell>
          <cell r="HU79" t="str">
            <v/>
          </cell>
          <cell r="HV79" t="str">
            <v/>
          </cell>
          <cell r="HW79" t="str">
            <v/>
          </cell>
          <cell r="MN79" t="str">
            <v/>
          </cell>
          <cell r="MO79" t="str">
            <v/>
          </cell>
          <cell r="MP79" t="str">
            <v/>
          </cell>
          <cell r="MQ79" t="str">
            <v/>
          </cell>
          <cell r="MR79" t="str">
            <v/>
          </cell>
          <cell r="MS79" t="str">
            <v/>
          </cell>
          <cell r="MT79" t="str">
            <v/>
          </cell>
          <cell r="MU79" t="str">
            <v/>
          </cell>
          <cell r="MV79" t="str">
            <v/>
          </cell>
          <cell r="MW79" t="str">
            <v/>
          </cell>
          <cell r="MX79" t="str">
            <v/>
          </cell>
          <cell r="MY79" t="str">
            <v/>
          </cell>
          <cell r="MZ79" t="str">
            <v/>
          </cell>
          <cell r="NA79" t="str">
            <v/>
          </cell>
          <cell r="NB79" t="str">
            <v/>
          </cell>
          <cell r="NC79" t="str">
            <v/>
          </cell>
          <cell r="ND79" t="str">
            <v/>
          </cell>
          <cell r="NE79" t="str">
            <v/>
          </cell>
          <cell r="NF79" t="str">
            <v/>
          </cell>
          <cell r="NG79" t="str">
            <v/>
          </cell>
          <cell r="NH79" t="str">
            <v/>
          </cell>
          <cell r="NI79" t="str">
            <v/>
          </cell>
          <cell r="NJ79" t="str">
            <v/>
          </cell>
        </row>
        <row r="80">
          <cell r="I80" t="str">
            <v>E07000168</v>
          </cell>
          <cell r="GZ80" t="str">
            <v/>
          </cell>
          <cell r="HA80" t="str">
            <v/>
          </cell>
          <cell r="HB80" t="str">
            <v/>
          </cell>
          <cell r="HC80" t="str">
            <v/>
          </cell>
          <cell r="HD80" t="str">
            <v/>
          </cell>
          <cell r="HE80" t="str">
            <v/>
          </cell>
          <cell r="HF80" t="str">
            <v/>
          </cell>
          <cell r="HG80" t="str">
            <v/>
          </cell>
          <cell r="HH80" t="str">
            <v/>
          </cell>
          <cell r="HI80" t="str">
            <v/>
          </cell>
          <cell r="HJ80" t="str">
            <v/>
          </cell>
          <cell r="HK80" t="str">
            <v/>
          </cell>
          <cell r="HL80" t="str">
            <v/>
          </cell>
          <cell r="HM80" t="str">
            <v/>
          </cell>
          <cell r="HN80" t="str">
            <v/>
          </cell>
          <cell r="HO80" t="str">
            <v/>
          </cell>
          <cell r="HP80" t="str">
            <v/>
          </cell>
          <cell r="HQ80" t="str">
            <v/>
          </cell>
          <cell r="HR80" t="str">
            <v/>
          </cell>
          <cell r="HS80" t="str">
            <v/>
          </cell>
          <cell r="HT80" t="str">
            <v/>
          </cell>
          <cell r="HU80" t="str">
            <v/>
          </cell>
          <cell r="HV80" t="str">
            <v/>
          </cell>
          <cell r="HW80" t="str">
            <v/>
          </cell>
          <cell r="MN80" t="str">
            <v/>
          </cell>
          <cell r="MO80" t="str">
            <v/>
          </cell>
          <cell r="MP80" t="str">
            <v/>
          </cell>
          <cell r="MQ80" t="str">
            <v/>
          </cell>
          <cell r="MR80" t="str">
            <v/>
          </cell>
          <cell r="MS80" t="str">
            <v/>
          </cell>
          <cell r="MT80" t="str">
            <v/>
          </cell>
          <cell r="MU80" t="str">
            <v/>
          </cell>
          <cell r="MV80" t="str">
            <v/>
          </cell>
          <cell r="MW80" t="str">
            <v/>
          </cell>
          <cell r="MX80" t="str">
            <v/>
          </cell>
          <cell r="MY80" t="str">
            <v/>
          </cell>
          <cell r="MZ80" t="str">
            <v/>
          </cell>
          <cell r="NA80" t="str">
            <v/>
          </cell>
          <cell r="NB80" t="str">
            <v/>
          </cell>
          <cell r="NC80" t="str">
            <v/>
          </cell>
          <cell r="ND80" t="str">
            <v/>
          </cell>
          <cell r="NE80" t="str">
            <v/>
          </cell>
          <cell r="NF80" t="str">
            <v/>
          </cell>
          <cell r="NG80" t="str">
            <v/>
          </cell>
          <cell r="NH80" t="str">
            <v/>
          </cell>
          <cell r="NI80" t="str">
            <v/>
          </cell>
          <cell r="NJ80" t="str">
            <v/>
          </cell>
        </row>
        <row r="81">
          <cell r="I81" t="str">
            <v>E08000002</v>
          </cell>
          <cell r="GZ81" t="str">
            <v/>
          </cell>
          <cell r="HA81" t="str">
            <v/>
          </cell>
          <cell r="HB81" t="str">
            <v/>
          </cell>
          <cell r="HC81" t="str">
            <v/>
          </cell>
          <cell r="HD81" t="str">
            <v/>
          </cell>
          <cell r="HE81" t="str">
            <v/>
          </cell>
          <cell r="HF81" t="str">
            <v/>
          </cell>
          <cell r="HG81" t="str">
            <v/>
          </cell>
          <cell r="HH81" t="str">
            <v/>
          </cell>
          <cell r="HI81" t="str">
            <v/>
          </cell>
          <cell r="HJ81" t="str">
            <v/>
          </cell>
          <cell r="HK81" t="str">
            <v/>
          </cell>
          <cell r="HL81" t="str">
            <v/>
          </cell>
          <cell r="HM81" t="str">
            <v/>
          </cell>
          <cell r="HN81" t="str">
            <v/>
          </cell>
          <cell r="HO81" t="str">
            <v/>
          </cell>
          <cell r="HP81" t="str">
            <v/>
          </cell>
          <cell r="HQ81" t="str">
            <v/>
          </cell>
          <cell r="HR81" t="str">
            <v/>
          </cell>
          <cell r="HS81" t="str">
            <v/>
          </cell>
          <cell r="HT81" t="str">
            <v/>
          </cell>
          <cell r="HU81" t="str">
            <v/>
          </cell>
          <cell r="HV81" t="str">
            <v/>
          </cell>
          <cell r="HW81" t="str">
            <v/>
          </cell>
          <cell r="MN81" t="str">
            <v/>
          </cell>
          <cell r="MO81" t="str">
            <v/>
          </cell>
          <cell r="MP81" t="str">
            <v/>
          </cell>
          <cell r="MQ81" t="str">
            <v/>
          </cell>
          <cell r="MR81" t="str">
            <v/>
          </cell>
          <cell r="MS81" t="str">
            <v/>
          </cell>
          <cell r="MT81" t="str">
            <v/>
          </cell>
          <cell r="MU81" t="str">
            <v/>
          </cell>
          <cell r="MV81" t="str">
            <v/>
          </cell>
          <cell r="MW81" t="str">
            <v/>
          </cell>
          <cell r="MX81" t="str">
            <v/>
          </cell>
          <cell r="MY81" t="str">
            <v/>
          </cell>
          <cell r="MZ81" t="str">
            <v/>
          </cell>
          <cell r="NA81" t="str">
            <v/>
          </cell>
          <cell r="NB81" t="str">
            <v/>
          </cell>
          <cell r="NC81" t="str">
            <v/>
          </cell>
          <cell r="ND81" t="str">
            <v/>
          </cell>
          <cell r="NE81" t="str">
            <v/>
          </cell>
          <cell r="NF81" t="str">
            <v/>
          </cell>
          <cell r="NG81" t="str">
            <v/>
          </cell>
          <cell r="NH81" t="str">
            <v/>
          </cell>
          <cell r="NI81" t="str">
            <v/>
          </cell>
          <cell r="NJ81" t="str">
            <v/>
          </cell>
        </row>
        <row r="82">
          <cell r="I82" t="str">
            <v>E09000017</v>
          </cell>
          <cell r="GZ82" t="str">
            <v/>
          </cell>
          <cell r="HA82" t="str">
            <v/>
          </cell>
          <cell r="HB82" t="str">
            <v/>
          </cell>
          <cell r="HC82" t="str">
            <v/>
          </cell>
          <cell r="HD82" t="str">
            <v/>
          </cell>
          <cell r="HE82" t="str">
            <v/>
          </cell>
          <cell r="HF82" t="str">
            <v/>
          </cell>
          <cell r="HG82" t="str">
            <v/>
          </cell>
          <cell r="HH82" t="str">
            <v/>
          </cell>
          <cell r="HI82" t="str">
            <v/>
          </cell>
          <cell r="HJ82" t="str">
            <v/>
          </cell>
          <cell r="HK82" t="str">
            <v/>
          </cell>
          <cell r="HL82" t="str">
            <v/>
          </cell>
          <cell r="HM82" t="str">
            <v/>
          </cell>
          <cell r="HN82" t="str">
            <v/>
          </cell>
          <cell r="HO82" t="str">
            <v/>
          </cell>
          <cell r="HP82" t="str">
            <v/>
          </cell>
          <cell r="HQ82" t="str">
            <v/>
          </cell>
          <cell r="HR82" t="str">
            <v/>
          </cell>
          <cell r="HS82" t="str">
            <v/>
          </cell>
          <cell r="HT82" t="str">
            <v/>
          </cell>
          <cell r="HU82" t="str">
            <v/>
          </cell>
          <cell r="HV82" t="str">
            <v/>
          </cell>
          <cell r="HW82" t="str">
            <v/>
          </cell>
          <cell r="MQ82" t="str">
            <v>Analysts to manually calculate</v>
          </cell>
          <cell r="MU82" t="str">
            <v>Analysts to manually calculate</v>
          </cell>
          <cell r="MY82" t="str">
            <v>Analysts to manually calculate</v>
          </cell>
          <cell r="NC82" t="str">
            <v>Analysts to manually calculate</v>
          </cell>
          <cell r="NG82" t="str">
            <v>Analysts to manually calculate</v>
          </cell>
        </row>
        <row r="83">
          <cell r="I83" t="str">
            <v>E08000009</v>
          </cell>
          <cell r="GZ83" t="str">
            <v/>
          </cell>
          <cell r="HA83" t="str">
            <v/>
          </cell>
          <cell r="HB83" t="str">
            <v/>
          </cell>
          <cell r="HC83" t="str">
            <v/>
          </cell>
          <cell r="HD83" t="str">
            <v/>
          </cell>
          <cell r="HE83" t="str">
            <v/>
          </cell>
          <cell r="HF83" t="str">
            <v/>
          </cell>
          <cell r="HG83" t="str">
            <v/>
          </cell>
          <cell r="HH83" t="str">
            <v/>
          </cell>
          <cell r="HI83" t="str">
            <v/>
          </cell>
          <cell r="HJ83" t="str">
            <v/>
          </cell>
          <cell r="HK83" t="str">
            <v/>
          </cell>
          <cell r="HL83" t="str">
            <v/>
          </cell>
          <cell r="HM83" t="str">
            <v/>
          </cell>
          <cell r="HN83" t="str">
            <v/>
          </cell>
          <cell r="HO83" t="str">
            <v/>
          </cell>
          <cell r="HP83" t="str">
            <v/>
          </cell>
          <cell r="HQ83" t="str">
            <v/>
          </cell>
          <cell r="HR83" t="str">
            <v/>
          </cell>
          <cell r="HS83" t="str">
            <v/>
          </cell>
          <cell r="HT83" t="str">
            <v/>
          </cell>
          <cell r="HU83" t="str">
            <v/>
          </cell>
          <cell r="HV83" t="str">
            <v/>
          </cell>
          <cell r="HW83" t="str">
            <v/>
          </cell>
          <cell r="MN83" t="str">
            <v/>
          </cell>
          <cell r="MO83" t="str">
            <v/>
          </cell>
          <cell r="MP83" t="str">
            <v/>
          </cell>
          <cell r="MQ83" t="str">
            <v/>
          </cell>
          <cell r="MR83" t="str">
            <v/>
          </cell>
          <cell r="MS83" t="str">
            <v/>
          </cell>
          <cell r="MT83" t="str">
            <v/>
          </cell>
          <cell r="MU83" t="str">
            <v/>
          </cell>
          <cell r="MV83" t="str">
            <v/>
          </cell>
          <cell r="MW83" t="str">
            <v/>
          </cell>
          <cell r="MX83" t="str">
            <v/>
          </cell>
          <cell r="MY83" t="str">
            <v/>
          </cell>
          <cell r="MZ83" t="str">
            <v/>
          </cell>
          <cell r="NA83" t="str">
            <v/>
          </cell>
          <cell r="NB83" t="str">
            <v/>
          </cell>
          <cell r="NC83" t="str">
            <v/>
          </cell>
          <cell r="ND83" t="str">
            <v/>
          </cell>
          <cell r="NE83" t="str">
            <v/>
          </cell>
          <cell r="NF83" t="str">
            <v/>
          </cell>
          <cell r="NG83" t="str">
            <v/>
          </cell>
          <cell r="NH83" t="str">
            <v/>
          </cell>
          <cell r="NI83" t="str">
            <v/>
          </cell>
          <cell r="NJ83" t="str">
            <v/>
          </cell>
        </row>
        <row r="84">
          <cell r="I84" t="str">
            <v>E07000166</v>
          </cell>
          <cell r="GZ84" t="str">
            <v/>
          </cell>
          <cell r="HA84" t="str">
            <v/>
          </cell>
          <cell r="HB84" t="str">
            <v/>
          </cell>
          <cell r="HC84" t="str">
            <v/>
          </cell>
          <cell r="HD84" t="str">
            <v/>
          </cell>
          <cell r="HE84" t="str">
            <v/>
          </cell>
          <cell r="HF84" t="str">
            <v/>
          </cell>
          <cell r="HG84" t="str">
            <v/>
          </cell>
          <cell r="HH84" t="str">
            <v/>
          </cell>
          <cell r="HI84" t="str">
            <v/>
          </cell>
          <cell r="HJ84" t="str">
            <v/>
          </cell>
          <cell r="HK84" t="str">
            <v/>
          </cell>
          <cell r="HL84" t="str">
            <v/>
          </cell>
          <cell r="HM84" t="str">
            <v/>
          </cell>
          <cell r="HN84" t="str">
            <v/>
          </cell>
          <cell r="HO84" t="str">
            <v/>
          </cell>
          <cell r="HP84" t="str">
            <v/>
          </cell>
          <cell r="HQ84" t="str">
            <v/>
          </cell>
          <cell r="HR84" t="str">
            <v/>
          </cell>
          <cell r="HS84" t="str">
            <v/>
          </cell>
          <cell r="HT84" t="str">
            <v/>
          </cell>
          <cell r="HU84" t="str">
            <v/>
          </cell>
          <cell r="HV84" t="str">
            <v/>
          </cell>
          <cell r="HW84" t="str">
            <v/>
          </cell>
          <cell r="MN84" t="str">
            <v/>
          </cell>
          <cell r="MO84" t="str">
            <v/>
          </cell>
          <cell r="MP84" t="str">
            <v/>
          </cell>
          <cell r="MQ84" t="str">
            <v/>
          </cell>
          <cell r="MR84" t="str">
            <v/>
          </cell>
          <cell r="MS84" t="str">
            <v/>
          </cell>
          <cell r="MT84" t="str">
            <v/>
          </cell>
          <cell r="MU84" t="str">
            <v/>
          </cell>
          <cell r="MV84" t="str">
            <v/>
          </cell>
          <cell r="MW84" t="str">
            <v/>
          </cell>
          <cell r="MX84" t="str">
            <v/>
          </cell>
          <cell r="MY84" t="str">
            <v/>
          </cell>
          <cell r="MZ84" t="str">
            <v/>
          </cell>
          <cell r="NA84" t="str">
            <v/>
          </cell>
          <cell r="NB84" t="str">
            <v/>
          </cell>
          <cell r="NC84" t="str">
            <v/>
          </cell>
          <cell r="ND84" t="str">
            <v/>
          </cell>
          <cell r="NE84" t="str">
            <v/>
          </cell>
          <cell r="NF84" t="str">
            <v/>
          </cell>
          <cell r="NG84" t="str">
            <v/>
          </cell>
          <cell r="NH84" t="str">
            <v/>
          </cell>
          <cell r="NI84" t="str">
            <v/>
          </cell>
          <cell r="NJ84" t="str">
            <v/>
          </cell>
        </row>
        <row r="85">
          <cell r="I85" t="str">
            <v>E07000120</v>
          </cell>
          <cell r="GZ85" t="str">
            <v/>
          </cell>
          <cell r="HA85" t="str">
            <v/>
          </cell>
          <cell r="HB85" t="str">
            <v/>
          </cell>
          <cell r="HC85" t="str">
            <v/>
          </cell>
          <cell r="HD85" t="str">
            <v/>
          </cell>
          <cell r="HE85" t="str">
            <v/>
          </cell>
          <cell r="HF85" t="str">
            <v/>
          </cell>
          <cell r="HG85" t="str">
            <v/>
          </cell>
          <cell r="HH85" t="str">
            <v/>
          </cell>
          <cell r="HI85" t="str">
            <v/>
          </cell>
          <cell r="HJ85" t="str">
            <v/>
          </cell>
          <cell r="HK85" t="str">
            <v/>
          </cell>
          <cell r="HL85" t="str">
            <v/>
          </cell>
          <cell r="HM85" t="str">
            <v/>
          </cell>
          <cell r="HN85" t="str">
            <v/>
          </cell>
          <cell r="HO85" t="str">
            <v/>
          </cell>
          <cell r="HP85" t="str">
            <v/>
          </cell>
          <cell r="HQ85" t="str">
            <v/>
          </cell>
          <cell r="HR85" t="str">
            <v/>
          </cell>
          <cell r="HS85" t="str">
            <v/>
          </cell>
          <cell r="HT85" t="str">
            <v/>
          </cell>
          <cell r="HU85" t="str">
            <v/>
          </cell>
          <cell r="HV85" t="str">
            <v/>
          </cell>
          <cell r="HW85" t="str">
            <v/>
          </cell>
          <cell r="MN85" t="str">
            <v/>
          </cell>
          <cell r="MO85" t="str">
            <v/>
          </cell>
          <cell r="MP85" t="str">
            <v/>
          </cell>
          <cell r="MQ85" t="str">
            <v/>
          </cell>
          <cell r="MR85" t="str">
            <v/>
          </cell>
          <cell r="MS85" t="str">
            <v/>
          </cell>
          <cell r="MT85" t="str">
            <v/>
          </cell>
          <cell r="MU85" t="str">
            <v/>
          </cell>
          <cell r="MV85" t="str">
            <v/>
          </cell>
          <cell r="MW85" t="str">
            <v/>
          </cell>
          <cell r="MX85" t="str">
            <v/>
          </cell>
          <cell r="MY85" t="str">
            <v/>
          </cell>
          <cell r="MZ85" t="str">
            <v/>
          </cell>
          <cell r="NA85" t="str">
            <v/>
          </cell>
          <cell r="NB85" t="str">
            <v/>
          </cell>
          <cell r="NC85" t="str">
            <v/>
          </cell>
          <cell r="ND85" t="str">
            <v/>
          </cell>
          <cell r="NE85" t="str">
            <v/>
          </cell>
          <cell r="NF85" t="str">
            <v/>
          </cell>
          <cell r="NG85" t="str">
            <v/>
          </cell>
          <cell r="NH85" t="str">
            <v/>
          </cell>
          <cell r="NI85" t="str">
            <v/>
          </cell>
          <cell r="NJ85" t="str">
            <v/>
          </cell>
        </row>
        <row r="86">
          <cell r="I86" t="str">
            <v>E07000051</v>
          </cell>
          <cell r="GZ86" t="str">
            <v/>
          </cell>
          <cell r="HA86" t="str">
            <v/>
          </cell>
          <cell r="HB86" t="str">
            <v/>
          </cell>
          <cell r="HC86" t="str">
            <v/>
          </cell>
          <cell r="HD86" t="str">
            <v/>
          </cell>
          <cell r="HE86" t="str">
            <v/>
          </cell>
          <cell r="HF86" t="str">
            <v/>
          </cell>
          <cell r="HG86" t="str">
            <v/>
          </cell>
          <cell r="HH86" t="str">
            <v/>
          </cell>
          <cell r="HI86" t="str">
            <v/>
          </cell>
          <cell r="HJ86" t="str">
            <v/>
          </cell>
          <cell r="HK86" t="str">
            <v/>
          </cell>
          <cell r="HL86" t="str">
            <v/>
          </cell>
          <cell r="HM86" t="str">
            <v/>
          </cell>
          <cell r="HN86" t="str">
            <v/>
          </cell>
          <cell r="HO86" t="str">
            <v/>
          </cell>
          <cell r="HP86" t="str">
            <v/>
          </cell>
          <cell r="HQ86" t="str">
            <v/>
          </cell>
          <cell r="HR86" t="str">
            <v/>
          </cell>
          <cell r="HS86" t="str">
            <v/>
          </cell>
          <cell r="HT86" t="str">
            <v/>
          </cell>
          <cell r="HU86" t="str">
            <v/>
          </cell>
          <cell r="HV86" t="str">
            <v/>
          </cell>
          <cell r="HW86" t="str">
            <v/>
          </cell>
          <cell r="MN86" t="str">
            <v/>
          </cell>
          <cell r="MO86" t="str">
            <v/>
          </cell>
          <cell r="MP86" t="str">
            <v/>
          </cell>
          <cell r="MQ86" t="str">
            <v/>
          </cell>
          <cell r="MR86" t="str">
            <v/>
          </cell>
          <cell r="MS86" t="str">
            <v/>
          </cell>
          <cell r="MT86" t="str">
            <v/>
          </cell>
          <cell r="MU86" t="str">
            <v/>
          </cell>
          <cell r="MV86" t="str">
            <v/>
          </cell>
          <cell r="MW86" t="str">
            <v/>
          </cell>
          <cell r="MX86" t="str">
            <v/>
          </cell>
          <cell r="MY86" t="str">
            <v/>
          </cell>
          <cell r="MZ86" t="str">
            <v/>
          </cell>
          <cell r="NA86" t="str">
            <v/>
          </cell>
          <cell r="NB86" t="str">
            <v/>
          </cell>
          <cell r="NC86" t="str">
            <v/>
          </cell>
          <cell r="ND86" t="str">
            <v/>
          </cell>
          <cell r="NE86" t="str">
            <v/>
          </cell>
          <cell r="NF86" t="str">
            <v/>
          </cell>
          <cell r="NG86" t="str">
            <v/>
          </cell>
          <cell r="NH86" t="str">
            <v/>
          </cell>
          <cell r="NI86" t="str">
            <v/>
          </cell>
          <cell r="NJ86" t="str">
            <v/>
          </cell>
        </row>
        <row r="87">
          <cell r="I87" t="str">
            <v>E07000199</v>
          </cell>
          <cell r="GZ87" t="str">
            <v/>
          </cell>
          <cell r="HA87" t="str">
            <v/>
          </cell>
          <cell r="HB87" t="str">
            <v/>
          </cell>
          <cell r="HC87" t="str">
            <v/>
          </cell>
          <cell r="HD87" t="str">
            <v/>
          </cell>
          <cell r="HE87" t="str">
            <v/>
          </cell>
          <cell r="HF87" t="str">
            <v/>
          </cell>
          <cell r="HG87" t="str">
            <v/>
          </cell>
          <cell r="HH87" t="str">
            <v/>
          </cell>
          <cell r="HI87" t="str">
            <v/>
          </cell>
          <cell r="HJ87" t="str">
            <v/>
          </cell>
          <cell r="HK87" t="str">
            <v/>
          </cell>
          <cell r="HL87" t="str">
            <v/>
          </cell>
          <cell r="HM87" t="str">
            <v/>
          </cell>
          <cell r="HN87" t="str">
            <v/>
          </cell>
          <cell r="HO87" t="str">
            <v/>
          </cell>
          <cell r="HP87" t="str">
            <v/>
          </cell>
          <cell r="HQ87" t="str">
            <v/>
          </cell>
          <cell r="HR87" t="str">
            <v/>
          </cell>
          <cell r="HS87" t="str">
            <v/>
          </cell>
          <cell r="HT87" t="str">
            <v/>
          </cell>
          <cell r="HU87" t="str">
            <v/>
          </cell>
          <cell r="HV87" t="str">
            <v/>
          </cell>
          <cell r="HW87" t="str">
            <v/>
          </cell>
          <cell r="MN87" t="str">
            <v/>
          </cell>
          <cell r="MO87" t="str">
            <v/>
          </cell>
          <cell r="MP87" t="str">
            <v/>
          </cell>
          <cell r="MQ87" t="str">
            <v/>
          </cell>
          <cell r="MR87" t="str">
            <v/>
          </cell>
          <cell r="MS87" t="str">
            <v/>
          </cell>
          <cell r="MT87" t="str">
            <v/>
          </cell>
          <cell r="MU87" t="str">
            <v/>
          </cell>
          <cell r="MV87" t="str">
            <v/>
          </cell>
          <cell r="MW87" t="str">
            <v/>
          </cell>
          <cell r="MX87" t="str">
            <v/>
          </cell>
          <cell r="MY87" t="str">
            <v/>
          </cell>
          <cell r="MZ87" t="str">
            <v/>
          </cell>
          <cell r="NA87" t="str">
            <v/>
          </cell>
          <cell r="NB87" t="str">
            <v/>
          </cell>
          <cell r="NC87" t="str">
            <v/>
          </cell>
          <cell r="ND87" t="str">
            <v/>
          </cell>
          <cell r="NE87" t="str">
            <v/>
          </cell>
          <cell r="NF87" t="str">
            <v/>
          </cell>
          <cell r="NG87" t="str">
            <v/>
          </cell>
          <cell r="NH87" t="str">
            <v/>
          </cell>
          <cell r="NI87" t="str">
            <v/>
          </cell>
          <cell r="NJ87" t="str">
            <v/>
          </cell>
        </row>
        <row r="88">
          <cell r="I88" t="str">
            <v>E07000207</v>
          </cell>
          <cell r="GZ88" t="str">
            <v/>
          </cell>
          <cell r="HA88" t="str">
            <v/>
          </cell>
          <cell r="HB88" t="str">
            <v/>
          </cell>
          <cell r="HC88" t="str">
            <v/>
          </cell>
          <cell r="HD88" t="str">
            <v/>
          </cell>
          <cell r="HE88" t="str">
            <v/>
          </cell>
          <cell r="HF88" t="str">
            <v/>
          </cell>
          <cell r="HG88" t="str">
            <v/>
          </cell>
          <cell r="HH88" t="str">
            <v/>
          </cell>
          <cell r="HI88" t="str">
            <v/>
          </cell>
          <cell r="HJ88" t="str">
            <v/>
          </cell>
          <cell r="HK88" t="str">
            <v/>
          </cell>
          <cell r="HL88" t="str">
            <v/>
          </cell>
          <cell r="HM88" t="str">
            <v/>
          </cell>
          <cell r="HN88" t="str">
            <v/>
          </cell>
          <cell r="HO88" t="str">
            <v/>
          </cell>
          <cell r="HP88" t="str">
            <v/>
          </cell>
          <cell r="HQ88" t="str">
            <v/>
          </cell>
          <cell r="HR88" t="str">
            <v/>
          </cell>
          <cell r="HS88" t="str">
            <v/>
          </cell>
          <cell r="HT88" t="str">
            <v/>
          </cell>
          <cell r="HU88" t="str">
            <v/>
          </cell>
          <cell r="HV88" t="str">
            <v/>
          </cell>
          <cell r="HW88" t="str">
            <v/>
          </cell>
          <cell r="MN88" t="str">
            <v/>
          </cell>
          <cell r="MO88" t="str">
            <v/>
          </cell>
          <cell r="MP88" t="str">
            <v/>
          </cell>
          <cell r="MQ88" t="str">
            <v/>
          </cell>
          <cell r="MR88" t="str">
            <v/>
          </cell>
          <cell r="MS88" t="str">
            <v/>
          </cell>
          <cell r="MT88" t="str">
            <v/>
          </cell>
          <cell r="MU88" t="str">
            <v/>
          </cell>
          <cell r="MV88" t="str">
            <v/>
          </cell>
          <cell r="MW88" t="str">
            <v/>
          </cell>
          <cell r="MX88" t="str">
            <v/>
          </cell>
          <cell r="MY88" t="str">
            <v/>
          </cell>
          <cell r="MZ88" t="str">
            <v/>
          </cell>
          <cell r="NA88" t="str">
            <v/>
          </cell>
          <cell r="NB88" t="str">
            <v/>
          </cell>
          <cell r="NC88" t="str">
            <v/>
          </cell>
          <cell r="ND88" t="str">
            <v/>
          </cell>
          <cell r="NE88" t="str">
            <v/>
          </cell>
          <cell r="NF88" t="str">
            <v/>
          </cell>
          <cell r="NG88" t="str">
            <v/>
          </cell>
          <cell r="NH88" t="str">
            <v/>
          </cell>
          <cell r="NI88" t="str">
            <v/>
          </cell>
          <cell r="NJ88" t="str">
            <v/>
          </cell>
        </row>
        <row r="89">
          <cell r="I89" t="str">
            <v>E09000032</v>
          </cell>
          <cell r="GZ89">
            <v>42095</v>
          </cell>
          <cell r="HA89">
            <v>43921</v>
          </cell>
          <cell r="HB89">
            <v>1812</v>
          </cell>
          <cell r="HC89">
            <v>1812</v>
          </cell>
          <cell r="HD89">
            <v>43922</v>
          </cell>
          <cell r="HE89">
            <v>45747</v>
          </cell>
          <cell r="HF89">
            <v>1812</v>
          </cell>
          <cell r="HG89">
            <v>1812</v>
          </cell>
          <cell r="HH89">
            <v>45748</v>
          </cell>
          <cell r="HI89">
            <v>47573</v>
          </cell>
          <cell r="HJ89">
            <v>1812</v>
          </cell>
          <cell r="HK89">
            <v>1812</v>
          </cell>
          <cell r="HL89" t="str">
            <v/>
          </cell>
          <cell r="HM89" t="str">
            <v/>
          </cell>
          <cell r="HN89" t="str">
            <v/>
          </cell>
          <cell r="HO89" t="str">
            <v/>
          </cell>
          <cell r="HP89" t="str">
            <v/>
          </cell>
          <cell r="HQ89" t="str">
            <v/>
          </cell>
          <cell r="HR89" t="str">
            <v/>
          </cell>
          <cell r="HS89" t="str">
            <v/>
          </cell>
          <cell r="HT89" t="str">
            <v/>
          </cell>
          <cell r="HU89" t="str">
            <v/>
          </cell>
          <cell r="HV89" t="str">
            <v/>
          </cell>
          <cell r="HW89" t="str">
            <v/>
          </cell>
          <cell r="MN89" t="str">
            <v/>
          </cell>
          <cell r="MO89" t="str">
            <v/>
          </cell>
          <cell r="MP89" t="str">
            <v/>
          </cell>
          <cell r="MQ89" t="str">
            <v/>
          </cell>
          <cell r="MR89" t="str">
            <v/>
          </cell>
          <cell r="MS89" t="str">
            <v/>
          </cell>
          <cell r="MT89" t="str">
            <v/>
          </cell>
          <cell r="MU89" t="str">
            <v/>
          </cell>
          <cell r="MV89" t="str">
            <v/>
          </cell>
          <cell r="MW89" t="str">
            <v/>
          </cell>
          <cell r="MX89" t="str">
            <v/>
          </cell>
          <cell r="MY89" t="str">
            <v/>
          </cell>
          <cell r="MZ89" t="str">
            <v/>
          </cell>
          <cell r="NA89" t="str">
            <v/>
          </cell>
          <cell r="NB89" t="str">
            <v/>
          </cell>
          <cell r="NC89" t="str">
            <v/>
          </cell>
          <cell r="ND89" t="str">
            <v/>
          </cell>
          <cell r="NE89" t="str">
            <v/>
          </cell>
          <cell r="NF89" t="str">
            <v/>
          </cell>
          <cell r="NG89" t="str">
            <v/>
          </cell>
          <cell r="NH89" t="str">
            <v/>
          </cell>
          <cell r="NI89" t="str">
            <v/>
          </cell>
          <cell r="NJ89" t="str">
            <v/>
          </cell>
        </row>
        <row r="90">
          <cell r="I90" t="str">
            <v>E07000082</v>
          </cell>
          <cell r="GZ90" t="str">
            <v/>
          </cell>
          <cell r="HA90" t="str">
            <v/>
          </cell>
          <cell r="HB90" t="str">
            <v/>
          </cell>
          <cell r="HC90" t="str">
            <v/>
          </cell>
          <cell r="HD90" t="str">
            <v/>
          </cell>
          <cell r="HE90" t="str">
            <v/>
          </cell>
          <cell r="HF90" t="str">
            <v/>
          </cell>
          <cell r="HG90" t="str">
            <v/>
          </cell>
          <cell r="HH90" t="str">
            <v/>
          </cell>
          <cell r="HI90" t="str">
            <v/>
          </cell>
          <cell r="HJ90" t="str">
            <v/>
          </cell>
          <cell r="HK90" t="str">
            <v/>
          </cell>
          <cell r="HL90" t="str">
            <v/>
          </cell>
          <cell r="HM90" t="str">
            <v/>
          </cell>
          <cell r="HN90" t="str">
            <v/>
          </cell>
          <cell r="HO90" t="str">
            <v/>
          </cell>
          <cell r="HP90" t="str">
            <v/>
          </cell>
          <cell r="HQ90" t="str">
            <v/>
          </cell>
          <cell r="HR90" t="str">
            <v/>
          </cell>
          <cell r="HS90" t="str">
            <v/>
          </cell>
          <cell r="HT90" t="str">
            <v/>
          </cell>
          <cell r="HU90" t="str">
            <v/>
          </cell>
          <cell r="HV90" t="str">
            <v/>
          </cell>
          <cell r="HW90" t="str">
            <v/>
          </cell>
          <cell r="MN90" t="str">
            <v/>
          </cell>
          <cell r="MO90" t="str">
            <v/>
          </cell>
          <cell r="MP90" t="str">
            <v/>
          </cell>
          <cell r="MQ90" t="str">
            <v/>
          </cell>
          <cell r="MR90" t="str">
            <v/>
          </cell>
          <cell r="MS90" t="str">
            <v/>
          </cell>
          <cell r="MT90" t="str">
            <v/>
          </cell>
          <cell r="MU90" t="str">
            <v/>
          </cell>
          <cell r="MV90" t="str">
            <v/>
          </cell>
          <cell r="MW90" t="str">
            <v/>
          </cell>
          <cell r="MX90" t="str">
            <v/>
          </cell>
          <cell r="MY90" t="str">
            <v/>
          </cell>
          <cell r="MZ90" t="str">
            <v/>
          </cell>
          <cell r="NA90" t="str">
            <v/>
          </cell>
          <cell r="NB90" t="str">
            <v/>
          </cell>
          <cell r="NC90" t="str">
            <v/>
          </cell>
          <cell r="ND90" t="str">
            <v/>
          </cell>
          <cell r="NE90" t="str">
            <v/>
          </cell>
          <cell r="NF90" t="str">
            <v/>
          </cell>
          <cell r="NG90" t="str">
            <v/>
          </cell>
          <cell r="NH90" t="str">
            <v/>
          </cell>
          <cell r="NI90" t="str">
            <v/>
          </cell>
          <cell r="NJ90" t="str">
            <v/>
          </cell>
        </row>
        <row r="91">
          <cell r="I91" t="str">
            <v>E08000031</v>
          </cell>
          <cell r="GZ91" t="str">
            <v/>
          </cell>
          <cell r="HA91" t="str">
            <v/>
          </cell>
          <cell r="HB91" t="str">
            <v/>
          </cell>
          <cell r="HC91" t="str">
            <v/>
          </cell>
          <cell r="HD91" t="str">
            <v/>
          </cell>
          <cell r="HE91" t="str">
            <v/>
          </cell>
          <cell r="HF91" t="str">
            <v/>
          </cell>
          <cell r="HG91" t="str">
            <v/>
          </cell>
          <cell r="HH91" t="str">
            <v/>
          </cell>
          <cell r="HI91" t="str">
            <v/>
          </cell>
          <cell r="HJ91" t="str">
            <v/>
          </cell>
          <cell r="HK91" t="str">
            <v/>
          </cell>
          <cell r="HL91" t="str">
            <v/>
          </cell>
          <cell r="HM91" t="str">
            <v/>
          </cell>
          <cell r="HN91" t="str">
            <v/>
          </cell>
          <cell r="HO91" t="str">
            <v/>
          </cell>
          <cell r="HP91" t="str">
            <v/>
          </cell>
          <cell r="HQ91" t="str">
            <v/>
          </cell>
          <cell r="HR91" t="str">
            <v/>
          </cell>
          <cell r="HS91" t="str">
            <v/>
          </cell>
          <cell r="HT91" t="str">
            <v/>
          </cell>
          <cell r="HU91" t="str">
            <v/>
          </cell>
          <cell r="HV91" t="str">
            <v/>
          </cell>
          <cell r="HW91" t="str">
            <v/>
          </cell>
          <cell r="MN91" t="str">
            <v/>
          </cell>
          <cell r="MO91" t="str">
            <v/>
          </cell>
          <cell r="MP91" t="str">
            <v/>
          </cell>
          <cell r="MQ91" t="str">
            <v/>
          </cell>
          <cell r="MR91" t="str">
            <v/>
          </cell>
          <cell r="MS91" t="str">
            <v/>
          </cell>
          <cell r="MT91" t="str">
            <v/>
          </cell>
          <cell r="MU91" t="str">
            <v/>
          </cell>
          <cell r="MV91" t="str">
            <v/>
          </cell>
          <cell r="MW91" t="str">
            <v/>
          </cell>
          <cell r="MX91" t="str">
            <v/>
          </cell>
          <cell r="MY91" t="str">
            <v/>
          </cell>
          <cell r="MZ91" t="str">
            <v/>
          </cell>
          <cell r="NA91" t="str">
            <v/>
          </cell>
          <cell r="NB91" t="str">
            <v/>
          </cell>
          <cell r="NC91" t="str">
            <v/>
          </cell>
          <cell r="ND91" t="str">
            <v/>
          </cell>
          <cell r="NE91" t="str">
            <v/>
          </cell>
          <cell r="NF91" t="str">
            <v/>
          </cell>
          <cell r="NG91" t="str">
            <v/>
          </cell>
          <cell r="NH91" t="str">
            <v/>
          </cell>
          <cell r="NI91" t="str">
            <v/>
          </cell>
          <cell r="NJ91" t="str">
            <v/>
          </cell>
        </row>
        <row r="92">
          <cell r="I92" t="str">
            <v>E51000001</v>
          </cell>
          <cell r="GZ92" t="str">
            <v/>
          </cell>
          <cell r="HA92" t="str">
            <v/>
          </cell>
          <cell r="HB92" t="str">
            <v/>
          </cell>
          <cell r="HC92" t="str">
            <v/>
          </cell>
          <cell r="HD92" t="str">
            <v/>
          </cell>
          <cell r="HE92" t="str">
            <v/>
          </cell>
          <cell r="HF92" t="str">
            <v/>
          </cell>
          <cell r="HG92" t="str">
            <v/>
          </cell>
          <cell r="HH92" t="str">
            <v/>
          </cell>
          <cell r="HI92" t="str">
            <v/>
          </cell>
          <cell r="HJ92" t="str">
            <v/>
          </cell>
          <cell r="HK92" t="str">
            <v/>
          </cell>
          <cell r="HL92" t="str">
            <v/>
          </cell>
          <cell r="HM92" t="str">
            <v/>
          </cell>
          <cell r="HN92" t="str">
            <v/>
          </cell>
          <cell r="HO92" t="str">
            <v/>
          </cell>
          <cell r="HP92" t="str">
            <v/>
          </cell>
          <cell r="HQ92" t="str">
            <v/>
          </cell>
          <cell r="HR92" t="str">
            <v/>
          </cell>
          <cell r="HS92" t="str">
            <v/>
          </cell>
          <cell r="HT92" t="str">
            <v/>
          </cell>
          <cell r="HU92" t="str">
            <v/>
          </cell>
          <cell r="HV92" t="str">
            <v/>
          </cell>
          <cell r="HW92" t="str">
            <v/>
          </cell>
          <cell r="MQ92" t="str">
            <v>Analysts to manually calculate</v>
          </cell>
          <cell r="MU92" t="str">
            <v>Analysts to manually calculate</v>
          </cell>
          <cell r="MY92" t="str">
            <v>Analysts to manually calculate</v>
          </cell>
          <cell r="NC92" t="str">
            <v>Analysts to manually calculate</v>
          </cell>
          <cell r="NG92" t="str">
            <v>Analysts to manually calculate</v>
          </cell>
        </row>
        <row r="93">
          <cell r="I93" t="str">
            <v>E07000042</v>
          </cell>
          <cell r="GZ93" t="str">
            <v/>
          </cell>
          <cell r="HA93" t="str">
            <v/>
          </cell>
          <cell r="HB93" t="str">
            <v/>
          </cell>
          <cell r="HC93" t="str">
            <v/>
          </cell>
          <cell r="HD93" t="str">
            <v/>
          </cell>
          <cell r="HE93" t="str">
            <v/>
          </cell>
          <cell r="HF93" t="str">
            <v/>
          </cell>
          <cell r="HG93" t="str">
            <v/>
          </cell>
          <cell r="HH93" t="str">
            <v/>
          </cell>
          <cell r="HI93" t="str">
            <v/>
          </cell>
          <cell r="HJ93" t="str">
            <v/>
          </cell>
          <cell r="HK93" t="str">
            <v/>
          </cell>
          <cell r="HL93" t="str">
            <v/>
          </cell>
          <cell r="HM93" t="str">
            <v/>
          </cell>
          <cell r="HN93" t="str">
            <v/>
          </cell>
          <cell r="HO93" t="str">
            <v/>
          </cell>
          <cell r="HP93" t="str">
            <v/>
          </cell>
          <cell r="HQ93" t="str">
            <v/>
          </cell>
          <cell r="HR93" t="str">
            <v/>
          </cell>
          <cell r="HS93" t="str">
            <v/>
          </cell>
          <cell r="HT93" t="str">
            <v/>
          </cell>
          <cell r="HU93" t="str">
            <v/>
          </cell>
          <cell r="HV93" t="str">
            <v/>
          </cell>
          <cell r="HW93" t="str">
            <v/>
          </cell>
          <cell r="MN93" t="str">
            <v/>
          </cell>
          <cell r="MO93" t="str">
            <v/>
          </cell>
          <cell r="MP93" t="str">
            <v/>
          </cell>
          <cell r="MQ93" t="str">
            <v/>
          </cell>
          <cell r="MR93" t="str">
            <v/>
          </cell>
          <cell r="MS93" t="str">
            <v/>
          </cell>
          <cell r="MT93" t="str">
            <v/>
          </cell>
          <cell r="MU93" t="str">
            <v/>
          </cell>
          <cell r="MV93" t="str">
            <v/>
          </cell>
          <cell r="MW93" t="str">
            <v/>
          </cell>
          <cell r="MX93" t="str">
            <v/>
          </cell>
          <cell r="MY93" t="str">
            <v/>
          </cell>
          <cell r="MZ93" t="str">
            <v/>
          </cell>
          <cell r="NA93" t="str">
            <v/>
          </cell>
          <cell r="NB93" t="str">
            <v/>
          </cell>
          <cell r="NC93" t="str">
            <v/>
          </cell>
          <cell r="ND93" t="str">
            <v/>
          </cell>
          <cell r="NE93" t="str">
            <v/>
          </cell>
          <cell r="NF93" t="str">
            <v/>
          </cell>
          <cell r="NG93" t="str">
            <v/>
          </cell>
          <cell r="NH93" t="str">
            <v/>
          </cell>
          <cell r="NI93" t="str">
            <v/>
          </cell>
          <cell r="NJ93" t="str">
            <v/>
          </cell>
        </row>
        <row r="94">
          <cell r="I94" t="str">
            <v>E07000221</v>
          </cell>
          <cell r="GZ94">
            <v>40634</v>
          </cell>
          <cell r="HA94">
            <v>42460</v>
          </cell>
          <cell r="HB94">
            <v>566</v>
          </cell>
          <cell r="HC94" t="str">
            <v>Analyst To Calculate</v>
          </cell>
          <cell r="HD94">
            <v>42461</v>
          </cell>
          <cell r="HE94">
            <v>44286</v>
          </cell>
          <cell r="HF94">
            <v>894</v>
          </cell>
          <cell r="HG94" t="str">
            <v>Analyst To Calculate</v>
          </cell>
          <cell r="HH94">
            <v>44287</v>
          </cell>
          <cell r="HI94">
            <v>46112</v>
          </cell>
          <cell r="HJ94">
            <v>730</v>
          </cell>
          <cell r="HK94" t="str">
            <v>Analyst To Calculate</v>
          </cell>
          <cell r="HL94">
            <v>46113</v>
          </cell>
          <cell r="HM94">
            <v>47938</v>
          </cell>
          <cell r="HN94">
            <v>730</v>
          </cell>
          <cell r="HO94" t="str">
            <v>Analyst To Calculate</v>
          </cell>
          <cell r="HP94" t="str">
            <v/>
          </cell>
          <cell r="HQ94" t="str">
            <v/>
          </cell>
          <cell r="HR94" t="str">
            <v/>
          </cell>
          <cell r="HS94" t="str">
            <v>Analyst To Calculate</v>
          </cell>
          <cell r="HT94" t="str">
            <v/>
          </cell>
          <cell r="HU94" t="str">
            <v/>
          </cell>
          <cell r="HV94" t="str">
            <v/>
          </cell>
          <cell r="HW94" t="str">
            <v>Analyst To Calculate</v>
          </cell>
          <cell r="MN94" t="str">
            <v/>
          </cell>
          <cell r="MO94" t="str">
            <v/>
          </cell>
          <cell r="MP94" t="str">
            <v/>
          </cell>
          <cell r="MQ94" t="str">
            <v/>
          </cell>
          <cell r="MR94" t="str">
            <v/>
          </cell>
          <cell r="MS94" t="str">
            <v/>
          </cell>
          <cell r="MT94" t="str">
            <v/>
          </cell>
          <cell r="MU94" t="str">
            <v/>
          </cell>
          <cell r="MV94" t="str">
            <v/>
          </cell>
          <cell r="MW94" t="str">
            <v/>
          </cell>
          <cell r="MX94" t="str">
            <v/>
          </cell>
          <cell r="MY94" t="str">
            <v/>
          </cell>
          <cell r="MZ94" t="str">
            <v/>
          </cell>
          <cell r="NA94" t="str">
            <v/>
          </cell>
          <cell r="NB94" t="str">
            <v/>
          </cell>
          <cell r="NC94" t="str">
            <v/>
          </cell>
          <cell r="ND94" t="str">
            <v/>
          </cell>
          <cell r="NE94" t="str">
            <v/>
          </cell>
          <cell r="NF94" t="str">
            <v/>
          </cell>
          <cell r="NG94" t="str">
            <v/>
          </cell>
          <cell r="NH94" t="str">
            <v/>
          </cell>
          <cell r="NI94" t="str">
            <v/>
          </cell>
          <cell r="NJ94" t="str">
            <v/>
          </cell>
        </row>
        <row r="95">
          <cell r="I95" t="str">
            <v>E08000022</v>
          </cell>
          <cell r="GZ95">
            <v>40634</v>
          </cell>
          <cell r="HA95">
            <v>42460</v>
          </cell>
          <cell r="HB95">
            <v>551</v>
          </cell>
          <cell r="HC95">
            <v>551</v>
          </cell>
          <cell r="HD95">
            <v>42461</v>
          </cell>
          <cell r="HE95">
            <v>44286</v>
          </cell>
          <cell r="HF95">
            <v>740</v>
          </cell>
          <cell r="HG95">
            <v>740</v>
          </cell>
          <cell r="HH95">
            <v>44287</v>
          </cell>
          <cell r="HI95">
            <v>46112</v>
          </cell>
          <cell r="HJ95">
            <v>938</v>
          </cell>
          <cell r="HK95">
            <v>938</v>
          </cell>
          <cell r="HL95">
            <v>46113</v>
          </cell>
          <cell r="HM95">
            <v>47938</v>
          </cell>
          <cell r="HN95">
            <v>908</v>
          </cell>
          <cell r="HO95">
            <v>908</v>
          </cell>
          <cell r="HP95">
            <v>47939</v>
          </cell>
          <cell r="HQ95">
            <v>48304</v>
          </cell>
          <cell r="HR95">
            <v>908</v>
          </cell>
          <cell r="HS95">
            <v>908</v>
          </cell>
          <cell r="HT95" t="str">
            <v/>
          </cell>
          <cell r="HU95" t="str">
            <v/>
          </cell>
          <cell r="HV95" t="str">
            <v/>
          </cell>
          <cell r="HW95" t="str">
            <v/>
          </cell>
          <cell r="MN95" t="str">
            <v/>
          </cell>
          <cell r="MO95" t="str">
            <v/>
          </cell>
          <cell r="MP95" t="str">
            <v/>
          </cell>
          <cell r="MQ95" t="str">
            <v/>
          </cell>
          <cell r="MR95" t="str">
            <v/>
          </cell>
          <cell r="MS95" t="str">
            <v/>
          </cell>
          <cell r="MT95" t="str">
            <v/>
          </cell>
          <cell r="MU95" t="str">
            <v/>
          </cell>
          <cell r="MV95" t="str">
            <v/>
          </cell>
          <cell r="MW95" t="str">
            <v/>
          </cell>
          <cell r="MX95" t="str">
            <v/>
          </cell>
          <cell r="MY95" t="str">
            <v/>
          </cell>
          <cell r="MZ95" t="str">
            <v/>
          </cell>
          <cell r="NA95" t="str">
            <v/>
          </cell>
          <cell r="NB95" t="str">
            <v/>
          </cell>
          <cell r="NC95" t="str">
            <v/>
          </cell>
          <cell r="ND95" t="str">
            <v/>
          </cell>
          <cell r="NE95" t="str">
            <v/>
          </cell>
          <cell r="NF95" t="str">
            <v/>
          </cell>
          <cell r="NG95" t="str">
            <v/>
          </cell>
          <cell r="NH95" t="str">
            <v/>
          </cell>
          <cell r="NI95" t="str">
            <v/>
          </cell>
          <cell r="NJ95" t="str">
            <v/>
          </cell>
        </row>
        <row r="96">
          <cell r="I96" t="str">
            <v>E07000196</v>
          </cell>
          <cell r="GZ96" t="str">
            <v/>
          </cell>
          <cell r="HA96" t="str">
            <v/>
          </cell>
          <cell r="HB96" t="str">
            <v/>
          </cell>
          <cell r="HC96" t="str">
            <v/>
          </cell>
          <cell r="HD96" t="str">
            <v/>
          </cell>
          <cell r="HE96" t="str">
            <v/>
          </cell>
          <cell r="HF96" t="str">
            <v/>
          </cell>
          <cell r="HG96" t="str">
            <v/>
          </cell>
          <cell r="HH96" t="str">
            <v/>
          </cell>
          <cell r="HI96" t="str">
            <v/>
          </cell>
          <cell r="HJ96" t="str">
            <v/>
          </cell>
          <cell r="HK96" t="str">
            <v/>
          </cell>
          <cell r="HL96" t="str">
            <v/>
          </cell>
          <cell r="HM96" t="str">
            <v/>
          </cell>
          <cell r="HN96" t="str">
            <v/>
          </cell>
          <cell r="HO96" t="str">
            <v/>
          </cell>
          <cell r="HP96" t="str">
            <v/>
          </cell>
          <cell r="HQ96" t="str">
            <v/>
          </cell>
          <cell r="HR96" t="str">
            <v/>
          </cell>
          <cell r="HS96" t="str">
            <v/>
          </cell>
          <cell r="HT96" t="str">
            <v/>
          </cell>
          <cell r="HU96" t="str">
            <v/>
          </cell>
          <cell r="HV96" t="str">
            <v/>
          </cell>
          <cell r="HW96" t="str">
            <v/>
          </cell>
          <cell r="MN96" t="str">
            <v/>
          </cell>
          <cell r="MO96" t="str">
            <v/>
          </cell>
          <cell r="MP96" t="str">
            <v/>
          </cell>
          <cell r="MQ96" t="str">
            <v/>
          </cell>
          <cell r="MR96" t="str">
            <v/>
          </cell>
          <cell r="MS96" t="str">
            <v/>
          </cell>
          <cell r="MT96" t="str">
            <v/>
          </cell>
          <cell r="MU96" t="str">
            <v/>
          </cell>
          <cell r="MV96" t="str">
            <v/>
          </cell>
          <cell r="MW96" t="str">
            <v/>
          </cell>
          <cell r="MX96" t="str">
            <v/>
          </cell>
          <cell r="MY96" t="str">
            <v/>
          </cell>
          <cell r="MZ96" t="str">
            <v/>
          </cell>
          <cell r="NA96" t="str">
            <v/>
          </cell>
          <cell r="NB96" t="str">
            <v/>
          </cell>
          <cell r="NC96" t="str">
            <v/>
          </cell>
          <cell r="ND96" t="str">
            <v/>
          </cell>
          <cell r="NE96" t="str">
            <v/>
          </cell>
          <cell r="NF96" t="str">
            <v/>
          </cell>
          <cell r="NG96" t="str">
            <v/>
          </cell>
          <cell r="NH96" t="str">
            <v/>
          </cell>
          <cell r="NI96" t="str">
            <v/>
          </cell>
          <cell r="NJ96" t="str">
            <v/>
          </cell>
        </row>
        <row r="97">
          <cell r="I97" t="str">
            <v>E07000031</v>
          </cell>
          <cell r="GZ97" t="str">
            <v/>
          </cell>
          <cell r="HA97" t="str">
            <v/>
          </cell>
          <cell r="HB97" t="str">
            <v/>
          </cell>
          <cell r="HC97" t="str">
            <v/>
          </cell>
          <cell r="HD97" t="str">
            <v/>
          </cell>
          <cell r="HE97" t="str">
            <v/>
          </cell>
          <cell r="HF97" t="str">
            <v/>
          </cell>
          <cell r="HG97" t="str">
            <v/>
          </cell>
          <cell r="HH97" t="str">
            <v/>
          </cell>
          <cell r="HI97" t="str">
            <v/>
          </cell>
          <cell r="HJ97" t="str">
            <v/>
          </cell>
          <cell r="HK97" t="str">
            <v/>
          </cell>
          <cell r="HL97" t="str">
            <v/>
          </cell>
          <cell r="HM97" t="str">
            <v/>
          </cell>
          <cell r="HN97" t="str">
            <v/>
          </cell>
          <cell r="HO97" t="str">
            <v/>
          </cell>
          <cell r="HP97" t="str">
            <v/>
          </cell>
          <cell r="HQ97" t="str">
            <v/>
          </cell>
          <cell r="HR97" t="str">
            <v/>
          </cell>
          <cell r="HS97" t="str">
            <v/>
          </cell>
          <cell r="HT97" t="str">
            <v/>
          </cell>
          <cell r="HU97" t="str">
            <v/>
          </cell>
          <cell r="HV97" t="str">
            <v/>
          </cell>
          <cell r="HW97" t="str">
            <v/>
          </cell>
          <cell r="MN97" t="str">
            <v/>
          </cell>
          <cell r="MO97" t="str">
            <v/>
          </cell>
          <cell r="MP97" t="str">
            <v/>
          </cell>
          <cell r="MQ97" t="str">
            <v/>
          </cell>
          <cell r="MR97" t="str">
            <v/>
          </cell>
          <cell r="MS97" t="str">
            <v/>
          </cell>
          <cell r="MT97" t="str">
            <v/>
          </cell>
          <cell r="MU97" t="str">
            <v/>
          </cell>
          <cell r="MV97" t="str">
            <v/>
          </cell>
          <cell r="MW97" t="str">
            <v/>
          </cell>
          <cell r="MX97" t="str">
            <v/>
          </cell>
          <cell r="MY97" t="str">
            <v/>
          </cell>
          <cell r="MZ97" t="str">
            <v/>
          </cell>
          <cell r="NA97" t="str">
            <v/>
          </cell>
          <cell r="NB97" t="str">
            <v/>
          </cell>
          <cell r="NC97" t="str">
            <v/>
          </cell>
          <cell r="ND97" t="str">
            <v/>
          </cell>
          <cell r="NE97" t="str">
            <v/>
          </cell>
          <cell r="NF97" t="str">
            <v/>
          </cell>
          <cell r="NG97" t="str">
            <v/>
          </cell>
          <cell r="NH97" t="str">
            <v/>
          </cell>
          <cell r="NI97" t="str">
            <v/>
          </cell>
          <cell r="NJ97" t="str">
            <v/>
          </cell>
        </row>
        <row r="98">
          <cell r="I98" t="str">
            <v>E07000103</v>
          </cell>
          <cell r="GZ98" t="str">
            <v/>
          </cell>
          <cell r="HA98" t="str">
            <v/>
          </cell>
          <cell r="HB98" t="str">
            <v/>
          </cell>
          <cell r="HC98" t="str">
            <v/>
          </cell>
          <cell r="HD98" t="str">
            <v/>
          </cell>
          <cell r="HE98" t="str">
            <v/>
          </cell>
          <cell r="HF98" t="str">
            <v/>
          </cell>
          <cell r="HG98" t="str">
            <v/>
          </cell>
          <cell r="HH98" t="str">
            <v/>
          </cell>
          <cell r="HI98" t="str">
            <v/>
          </cell>
          <cell r="HJ98" t="str">
            <v/>
          </cell>
          <cell r="HK98" t="str">
            <v/>
          </cell>
          <cell r="HL98" t="str">
            <v/>
          </cell>
          <cell r="HM98" t="str">
            <v/>
          </cell>
          <cell r="HN98" t="str">
            <v/>
          </cell>
          <cell r="HO98" t="str">
            <v/>
          </cell>
          <cell r="HP98" t="str">
            <v/>
          </cell>
          <cell r="HQ98" t="str">
            <v/>
          </cell>
          <cell r="HR98" t="str">
            <v/>
          </cell>
          <cell r="HS98" t="str">
            <v/>
          </cell>
          <cell r="HT98" t="str">
            <v/>
          </cell>
          <cell r="HU98" t="str">
            <v/>
          </cell>
          <cell r="HV98" t="str">
            <v/>
          </cell>
          <cell r="HW98" t="str">
            <v/>
          </cell>
          <cell r="MN98" t="str">
            <v/>
          </cell>
          <cell r="MO98" t="str">
            <v/>
          </cell>
          <cell r="MP98" t="str">
            <v/>
          </cell>
          <cell r="MQ98" t="str">
            <v/>
          </cell>
          <cell r="MR98" t="str">
            <v/>
          </cell>
          <cell r="MS98" t="str">
            <v/>
          </cell>
          <cell r="MT98" t="str">
            <v/>
          </cell>
          <cell r="MU98" t="str">
            <v/>
          </cell>
          <cell r="MV98" t="str">
            <v/>
          </cell>
          <cell r="MW98" t="str">
            <v/>
          </cell>
          <cell r="MX98" t="str">
            <v/>
          </cell>
          <cell r="MY98" t="str">
            <v/>
          </cell>
          <cell r="MZ98" t="str">
            <v/>
          </cell>
          <cell r="NA98" t="str">
            <v/>
          </cell>
          <cell r="NB98" t="str">
            <v/>
          </cell>
          <cell r="NC98" t="str">
            <v/>
          </cell>
          <cell r="ND98" t="str">
            <v/>
          </cell>
          <cell r="NE98" t="str">
            <v/>
          </cell>
          <cell r="NF98" t="str">
            <v/>
          </cell>
          <cell r="NG98" t="str">
            <v/>
          </cell>
          <cell r="NH98" t="str">
            <v/>
          </cell>
          <cell r="NI98" t="str">
            <v/>
          </cell>
          <cell r="NJ98" t="str">
            <v/>
          </cell>
        </row>
        <row r="99">
          <cell r="I99" t="str">
            <v>E07000123</v>
          </cell>
          <cell r="GZ99" t="str">
            <v/>
          </cell>
          <cell r="HA99" t="str">
            <v/>
          </cell>
          <cell r="HB99" t="str">
            <v/>
          </cell>
          <cell r="HC99" t="str">
            <v/>
          </cell>
          <cell r="HD99" t="str">
            <v/>
          </cell>
          <cell r="HE99" t="str">
            <v/>
          </cell>
          <cell r="HF99" t="str">
            <v/>
          </cell>
          <cell r="HG99" t="str">
            <v/>
          </cell>
          <cell r="HH99" t="str">
            <v/>
          </cell>
          <cell r="HI99" t="str">
            <v/>
          </cell>
          <cell r="HJ99" t="str">
            <v/>
          </cell>
          <cell r="HK99" t="str">
            <v/>
          </cell>
          <cell r="HL99" t="str">
            <v/>
          </cell>
          <cell r="HM99" t="str">
            <v/>
          </cell>
          <cell r="HN99" t="str">
            <v/>
          </cell>
          <cell r="HO99" t="str">
            <v/>
          </cell>
          <cell r="HP99" t="str">
            <v/>
          </cell>
          <cell r="HQ99" t="str">
            <v/>
          </cell>
          <cell r="HR99" t="str">
            <v/>
          </cell>
          <cell r="HS99" t="str">
            <v/>
          </cell>
          <cell r="HT99" t="str">
            <v/>
          </cell>
          <cell r="HU99" t="str">
            <v/>
          </cell>
          <cell r="HV99" t="str">
            <v/>
          </cell>
          <cell r="HW99" t="str">
            <v/>
          </cell>
          <cell r="MN99" t="str">
            <v/>
          </cell>
          <cell r="MO99" t="str">
            <v/>
          </cell>
          <cell r="MP99" t="str">
            <v/>
          </cell>
          <cell r="MQ99" t="str">
            <v/>
          </cell>
          <cell r="MR99" t="str">
            <v/>
          </cell>
          <cell r="MS99" t="str">
            <v/>
          </cell>
          <cell r="MT99" t="str">
            <v/>
          </cell>
          <cell r="MU99" t="str">
            <v/>
          </cell>
          <cell r="MV99" t="str">
            <v/>
          </cell>
          <cell r="MW99" t="str">
            <v/>
          </cell>
          <cell r="MX99" t="str">
            <v/>
          </cell>
          <cell r="MY99" t="str">
            <v/>
          </cell>
          <cell r="MZ99" t="str">
            <v/>
          </cell>
          <cell r="NA99" t="str">
            <v/>
          </cell>
          <cell r="NB99" t="str">
            <v/>
          </cell>
          <cell r="NC99" t="str">
            <v/>
          </cell>
          <cell r="ND99" t="str">
            <v/>
          </cell>
          <cell r="NE99" t="str">
            <v/>
          </cell>
          <cell r="NF99" t="str">
            <v/>
          </cell>
          <cell r="NG99" t="str">
            <v/>
          </cell>
          <cell r="NH99" t="str">
            <v/>
          </cell>
          <cell r="NI99" t="str">
            <v/>
          </cell>
          <cell r="NJ99" t="str">
            <v/>
          </cell>
        </row>
        <row r="100">
          <cell r="I100" t="str">
            <v>E06000003</v>
          </cell>
          <cell r="GZ100" t="str">
            <v/>
          </cell>
          <cell r="HA100" t="str">
            <v/>
          </cell>
          <cell r="HB100" t="str">
            <v/>
          </cell>
          <cell r="HC100" t="str">
            <v/>
          </cell>
          <cell r="HD100" t="str">
            <v/>
          </cell>
          <cell r="HE100" t="str">
            <v/>
          </cell>
          <cell r="HF100" t="str">
            <v/>
          </cell>
          <cell r="HG100" t="str">
            <v/>
          </cell>
          <cell r="HH100" t="str">
            <v/>
          </cell>
          <cell r="HI100" t="str">
            <v/>
          </cell>
          <cell r="HJ100" t="str">
            <v/>
          </cell>
          <cell r="HK100" t="str">
            <v/>
          </cell>
          <cell r="HL100" t="str">
            <v/>
          </cell>
          <cell r="HM100" t="str">
            <v/>
          </cell>
          <cell r="HN100" t="str">
            <v/>
          </cell>
          <cell r="HO100" t="str">
            <v/>
          </cell>
          <cell r="HP100" t="str">
            <v/>
          </cell>
          <cell r="HQ100" t="str">
            <v/>
          </cell>
          <cell r="HR100" t="str">
            <v/>
          </cell>
          <cell r="HS100" t="str">
            <v/>
          </cell>
          <cell r="HT100" t="str">
            <v/>
          </cell>
          <cell r="HU100" t="str">
            <v/>
          </cell>
          <cell r="HV100" t="str">
            <v/>
          </cell>
          <cell r="HW100" t="str">
            <v/>
          </cell>
          <cell r="MN100" t="str">
            <v/>
          </cell>
          <cell r="MO100" t="str">
            <v/>
          </cell>
          <cell r="MP100" t="str">
            <v/>
          </cell>
          <cell r="MQ100" t="str">
            <v/>
          </cell>
          <cell r="MR100" t="str">
            <v/>
          </cell>
          <cell r="MS100" t="str">
            <v/>
          </cell>
          <cell r="MT100" t="str">
            <v/>
          </cell>
          <cell r="MU100" t="str">
            <v/>
          </cell>
          <cell r="MV100" t="str">
            <v/>
          </cell>
          <cell r="MW100" t="str">
            <v/>
          </cell>
          <cell r="MX100" t="str">
            <v/>
          </cell>
          <cell r="MY100" t="str">
            <v/>
          </cell>
          <cell r="MZ100" t="str">
            <v/>
          </cell>
          <cell r="NA100" t="str">
            <v/>
          </cell>
          <cell r="NB100" t="str">
            <v/>
          </cell>
          <cell r="NC100" t="str">
            <v/>
          </cell>
          <cell r="ND100" t="str">
            <v/>
          </cell>
          <cell r="NE100" t="str">
            <v/>
          </cell>
          <cell r="NF100" t="str">
            <v/>
          </cell>
          <cell r="NG100" t="str">
            <v/>
          </cell>
          <cell r="NH100" t="str">
            <v/>
          </cell>
          <cell r="NI100" t="str">
            <v/>
          </cell>
          <cell r="NJ100" t="str">
            <v/>
          </cell>
        </row>
        <row r="101">
          <cell r="I101" t="str">
            <v>E07000192</v>
          </cell>
          <cell r="GZ101" t="str">
            <v/>
          </cell>
          <cell r="HA101" t="str">
            <v/>
          </cell>
          <cell r="HB101" t="str">
            <v/>
          </cell>
          <cell r="HC101" t="str">
            <v/>
          </cell>
          <cell r="HD101" t="str">
            <v/>
          </cell>
          <cell r="HE101" t="str">
            <v/>
          </cell>
          <cell r="HF101" t="str">
            <v/>
          </cell>
          <cell r="HG101" t="str">
            <v/>
          </cell>
          <cell r="HH101" t="str">
            <v/>
          </cell>
          <cell r="HI101" t="str">
            <v/>
          </cell>
          <cell r="HJ101" t="str">
            <v/>
          </cell>
          <cell r="HK101" t="str">
            <v/>
          </cell>
          <cell r="HL101" t="str">
            <v/>
          </cell>
          <cell r="HM101" t="str">
            <v/>
          </cell>
          <cell r="HN101" t="str">
            <v/>
          </cell>
          <cell r="HO101" t="str">
            <v/>
          </cell>
          <cell r="HP101" t="str">
            <v/>
          </cell>
          <cell r="HQ101" t="str">
            <v/>
          </cell>
          <cell r="HR101" t="str">
            <v/>
          </cell>
          <cell r="HS101" t="str">
            <v/>
          </cell>
          <cell r="HT101" t="str">
            <v/>
          </cell>
          <cell r="HU101" t="str">
            <v/>
          </cell>
          <cell r="HV101" t="str">
            <v/>
          </cell>
          <cell r="HW101" t="str">
            <v/>
          </cell>
          <cell r="MN101" t="str">
            <v/>
          </cell>
          <cell r="MO101" t="str">
            <v/>
          </cell>
          <cell r="MP101" t="str">
            <v/>
          </cell>
          <cell r="MQ101" t="str">
            <v/>
          </cell>
          <cell r="MR101" t="str">
            <v/>
          </cell>
          <cell r="MS101" t="str">
            <v/>
          </cell>
          <cell r="MT101" t="str">
            <v/>
          </cell>
          <cell r="MU101" t="str">
            <v/>
          </cell>
          <cell r="MV101" t="str">
            <v/>
          </cell>
          <cell r="MW101" t="str">
            <v/>
          </cell>
          <cell r="MX101" t="str">
            <v/>
          </cell>
          <cell r="MY101" t="str">
            <v/>
          </cell>
          <cell r="MZ101" t="str">
            <v/>
          </cell>
          <cell r="NA101" t="str">
            <v/>
          </cell>
          <cell r="NB101" t="str">
            <v/>
          </cell>
          <cell r="NC101" t="str">
            <v/>
          </cell>
          <cell r="ND101" t="str">
            <v/>
          </cell>
          <cell r="NE101" t="str">
            <v/>
          </cell>
          <cell r="NF101" t="str">
            <v/>
          </cell>
          <cell r="NG101" t="str">
            <v/>
          </cell>
          <cell r="NH101" t="str">
            <v/>
          </cell>
          <cell r="NI101" t="str">
            <v/>
          </cell>
          <cell r="NJ101" t="str">
            <v/>
          </cell>
        </row>
        <row r="102">
          <cell r="I102" t="str">
            <v>E07000027</v>
          </cell>
          <cell r="GZ102" t="str">
            <v/>
          </cell>
          <cell r="HA102" t="str">
            <v/>
          </cell>
          <cell r="HB102" t="str">
            <v/>
          </cell>
          <cell r="HC102" t="str">
            <v/>
          </cell>
          <cell r="HD102" t="str">
            <v/>
          </cell>
          <cell r="HE102" t="str">
            <v/>
          </cell>
          <cell r="HF102" t="str">
            <v/>
          </cell>
          <cell r="HG102" t="str">
            <v/>
          </cell>
          <cell r="HH102" t="str">
            <v/>
          </cell>
          <cell r="HI102" t="str">
            <v/>
          </cell>
          <cell r="HJ102" t="str">
            <v/>
          </cell>
          <cell r="HK102" t="str">
            <v/>
          </cell>
          <cell r="HL102" t="str">
            <v/>
          </cell>
          <cell r="HM102" t="str">
            <v/>
          </cell>
          <cell r="HN102" t="str">
            <v/>
          </cell>
          <cell r="HO102" t="str">
            <v/>
          </cell>
          <cell r="HP102" t="str">
            <v/>
          </cell>
          <cell r="HQ102" t="str">
            <v/>
          </cell>
          <cell r="HR102" t="str">
            <v/>
          </cell>
          <cell r="HS102" t="str">
            <v/>
          </cell>
          <cell r="HT102" t="str">
            <v/>
          </cell>
          <cell r="HU102" t="str">
            <v/>
          </cell>
          <cell r="HV102" t="str">
            <v/>
          </cell>
          <cell r="HW102" t="str">
            <v/>
          </cell>
          <cell r="MN102" t="str">
            <v/>
          </cell>
          <cell r="MO102" t="str">
            <v/>
          </cell>
          <cell r="MP102" t="str">
            <v/>
          </cell>
          <cell r="MQ102" t="str">
            <v/>
          </cell>
          <cell r="MR102" t="str">
            <v/>
          </cell>
          <cell r="MS102" t="str">
            <v/>
          </cell>
          <cell r="MT102" t="str">
            <v/>
          </cell>
          <cell r="MU102" t="str">
            <v/>
          </cell>
          <cell r="MV102" t="str">
            <v/>
          </cell>
          <cell r="MW102" t="str">
            <v/>
          </cell>
          <cell r="MX102" t="str">
            <v/>
          </cell>
          <cell r="MY102" t="str">
            <v/>
          </cell>
          <cell r="MZ102" t="str">
            <v/>
          </cell>
          <cell r="NA102" t="str">
            <v/>
          </cell>
          <cell r="NB102" t="str">
            <v/>
          </cell>
          <cell r="NC102" t="str">
            <v/>
          </cell>
          <cell r="ND102" t="str">
            <v/>
          </cell>
          <cell r="NE102" t="str">
            <v/>
          </cell>
          <cell r="NF102" t="str">
            <v/>
          </cell>
          <cell r="NG102" t="str">
            <v/>
          </cell>
          <cell r="NH102" t="str">
            <v/>
          </cell>
          <cell r="NI102" t="str">
            <v/>
          </cell>
          <cell r="NJ102" t="str">
            <v/>
          </cell>
        </row>
        <row r="103">
          <cell r="I103" t="str">
            <v>E07000198</v>
          </cell>
          <cell r="GZ103" t="str">
            <v/>
          </cell>
          <cell r="HA103" t="str">
            <v/>
          </cell>
          <cell r="HB103" t="str">
            <v/>
          </cell>
          <cell r="HC103" t="str">
            <v/>
          </cell>
          <cell r="HD103" t="str">
            <v/>
          </cell>
          <cell r="HE103" t="str">
            <v/>
          </cell>
          <cell r="HF103" t="str">
            <v/>
          </cell>
          <cell r="HG103" t="str">
            <v/>
          </cell>
          <cell r="HH103" t="str">
            <v/>
          </cell>
          <cell r="HI103" t="str">
            <v/>
          </cell>
          <cell r="HJ103" t="str">
            <v/>
          </cell>
          <cell r="HK103" t="str">
            <v/>
          </cell>
          <cell r="HL103" t="str">
            <v/>
          </cell>
          <cell r="HM103" t="str">
            <v/>
          </cell>
          <cell r="HN103" t="str">
            <v/>
          </cell>
          <cell r="HO103" t="str">
            <v/>
          </cell>
          <cell r="HP103" t="str">
            <v/>
          </cell>
          <cell r="HQ103" t="str">
            <v/>
          </cell>
          <cell r="HR103" t="str">
            <v/>
          </cell>
          <cell r="HS103" t="str">
            <v/>
          </cell>
          <cell r="HT103" t="str">
            <v/>
          </cell>
          <cell r="HU103" t="str">
            <v/>
          </cell>
          <cell r="HV103" t="str">
            <v/>
          </cell>
          <cell r="HW103" t="str">
            <v/>
          </cell>
          <cell r="MN103">
            <v>38808</v>
          </cell>
          <cell r="MO103">
            <v>42460</v>
          </cell>
          <cell r="MP103">
            <v>220</v>
          </cell>
          <cell r="MQ103" t="str">
            <v>Analysts to manually calculate</v>
          </cell>
          <cell r="MR103">
            <v>42461</v>
          </cell>
          <cell r="MS103">
            <v>44286</v>
          </cell>
          <cell r="MT103">
            <v>360</v>
          </cell>
          <cell r="MU103" t="str">
            <v>Analysts to manually calculate</v>
          </cell>
          <cell r="MV103">
            <v>44287</v>
          </cell>
          <cell r="MW103">
            <v>46112</v>
          </cell>
          <cell r="MX103">
            <v>400</v>
          </cell>
          <cell r="MY103" t="str">
            <v>Analysts to manually calculate</v>
          </cell>
          <cell r="NC103" t="str">
            <v>Analysts to manually calculate</v>
          </cell>
          <cell r="NG103" t="str">
            <v>Analysts to manually calculate</v>
          </cell>
        </row>
        <row r="104">
          <cell r="I104" t="str">
            <v>E08000029</v>
          </cell>
          <cell r="GZ104" t="str">
            <v/>
          </cell>
          <cell r="HA104" t="str">
            <v/>
          </cell>
          <cell r="HB104" t="str">
            <v/>
          </cell>
          <cell r="HC104" t="str">
            <v/>
          </cell>
          <cell r="HD104" t="str">
            <v/>
          </cell>
          <cell r="HE104" t="str">
            <v/>
          </cell>
          <cell r="HF104" t="str">
            <v/>
          </cell>
          <cell r="HG104" t="str">
            <v/>
          </cell>
          <cell r="HH104" t="str">
            <v/>
          </cell>
          <cell r="HI104" t="str">
            <v/>
          </cell>
          <cell r="HJ104" t="str">
            <v/>
          </cell>
          <cell r="HK104" t="str">
            <v/>
          </cell>
          <cell r="HL104" t="str">
            <v/>
          </cell>
          <cell r="HM104" t="str">
            <v/>
          </cell>
          <cell r="HN104" t="str">
            <v/>
          </cell>
          <cell r="HO104" t="str">
            <v/>
          </cell>
          <cell r="HP104" t="str">
            <v/>
          </cell>
          <cell r="HQ104" t="str">
            <v/>
          </cell>
          <cell r="HR104" t="str">
            <v/>
          </cell>
          <cell r="HS104" t="str">
            <v/>
          </cell>
          <cell r="HT104" t="str">
            <v/>
          </cell>
          <cell r="HU104" t="str">
            <v/>
          </cell>
          <cell r="HV104" t="str">
            <v/>
          </cell>
          <cell r="HW104" t="str">
            <v/>
          </cell>
          <cell r="MN104" t="str">
            <v/>
          </cell>
          <cell r="MO104" t="str">
            <v/>
          </cell>
          <cell r="MP104" t="str">
            <v/>
          </cell>
          <cell r="MQ104" t="str">
            <v/>
          </cell>
          <cell r="MR104" t="str">
            <v/>
          </cell>
          <cell r="MS104" t="str">
            <v/>
          </cell>
          <cell r="MT104" t="str">
            <v/>
          </cell>
          <cell r="MU104" t="str">
            <v/>
          </cell>
          <cell r="MV104" t="str">
            <v/>
          </cell>
          <cell r="MW104" t="str">
            <v/>
          </cell>
          <cell r="MX104" t="str">
            <v/>
          </cell>
          <cell r="MY104" t="str">
            <v/>
          </cell>
          <cell r="MZ104" t="str">
            <v/>
          </cell>
          <cell r="NA104" t="str">
            <v/>
          </cell>
          <cell r="NB104" t="str">
            <v/>
          </cell>
          <cell r="NC104" t="str">
            <v/>
          </cell>
          <cell r="ND104" t="str">
            <v/>
          </cell>
          <cell r="NE104" t="str">
            <v/>
          </cell>
          <cell r="NF104" t="str">
            <v/>
          </cell>
          <cell r="NG104" t="str">
            <v/>
          </cell>
          <cell r="NH104" t="str">
            <v/>
          </cell>
          <cell r="NI104" t="str">
            <v/>
          </cell>
          <cell r="NJ104" t="str">
            <v/>
          </cell>
        </row>
        <row r="105">
          <cell r="I105" t="str">
            <v>E06000002</v>
          </cell>
          <cell r="GZ105">
            <v>41000</v>
          </cell>
          <cell r="HA105">
            <v>43555</v>
          </cell>
          <cell r="HB105">
            <v>380</v>
          </cell>
          <cell r="HC105">
            <v>380</v>
          </cell>
          <cell r="HD105">
            <v>43556</v>
          </cell>
          <cell r="HE105">
            <v>45382</v>
          </cell>
          <cell r="HF105">
            <v>430</v>
          </cell>
          <cell r="HG105">
            <v>430</v>
          </cell>
          <cell r="HH105">
            <v>45383</v>
          </cell>
          <cell r="HI105">
            <v>47208</v>
          </cell>
          <cell r="HJ105">
            <v>432</v>
          </cell>
          <cell r="HK105">
            <v>432</v>
          </cell>
          <cell r="HL105" t="str">
            <v/>
          </cell>
          <cell r="HM105" t="str">
            <v/>
          </cell>
          <cell r="HN105" t="str">
            <v/>
          </cell>
          <cell r="HO105" t="str">
            <v/>
          </cell>
          <cell r="HP105" t="str">
            <v/>
          </cell>
          <cell r="HQ105" t="str">
            <v/>
          </cell>
          <cell r="HR105" t="str">
            <v/>
          </cell>
          <cell r="HS105" t="str">
            <v/>
          </cell>
          <cell r="HT105" t="str">
            <v/>
          </cell>
          <cell r="HU105" t="str">
            <v/>
          </cell>
          <cell r="HV105" t="str">
            <v/>
          </cell>
          <cell r="HW105" t="str">
            <v/>
          </cell>
          <cell r="MN105" t="str">
            <v/>
          </cell>
          <cell r="MO105" t="str">
            <v/>
          </cell>
          <cell r="MP105" t="str">
            <v/>
          </cell>
          <cell r="MQ105" t="str">
            <v/>
          </cell>
          <cell r="MR105" t="str">
            <v/>
          </cell>
          <cell r="MS105" t="str">
            <v/>
          </cell>
          <cell r="MT105" t="str">
            <v/>
          </cell>
          <cell r="MU105" t="str">
            <v/>
          </cell>
          <cell r="MV105" t="str">
            <v/>
          </cell>
          <cell r="MW105" t="str">
            <v/>
          </cell>
          <cell r="MX105" t="str">
            <v/>
          </cell>
          <cell r="MY105" t="str">
            <v/>
          </cell>
          <cell r="MZ105" t="str">
            <v/>
          </cell>
          <cell r="NA105" t="str">
            <v/>
          </cell>
          <cell r="NB105" t="str">
            <v/>
          </cell>
          <cell r="NC105" t="str">
            <v/>
          </cell>
          <cell r="ND105" t="str">
            <v/>
          </cell>
          <cell r="NE105" t="str">
            <v/>
          </cell>
          <cell r="NF105" t="str">
            <v/>
          </cell>
          <cell r="NG105" t="str">
            <v/>
          </cell>
          <cell r="NH105" t="str">
            <v/>
          </cell>
          <cell r="NI105" t="str">
            <v/>
          </cell>
          <cell r="NJ105" t="str">
            <v/>
          </cell>
        </row>
        <row r="106">
          <cell r="I106" t="str">
            <v>E08000015</v>
          </cell>
          <cell r="GZ106" t="str">
            <v/>
          </cell>
          <cell r="HA106" t="str">
            <v/>
          </cell>
          <cell r="HB106" t="str">
            <v/>
          </cell>
          <cell r="HC106" t="str">
            <v/>
          </cell>
          <cell r="HD106" t="str">
            <v/>
          </cell>
          <cell r="HE106" t="str">
            <v/>
          </cell>
          <cell r="HF106" t="str">
            <v/>
          </cell>
          <cell r="HG106" t="str">
            <v/>
          </cell>
          <cell r="HH106" t="str">
            <v/>
          </cell>
          <cell r="HI106" t="str">
            <v/>
          </cell>
          <cell r="HJ106" t="str">
            <v/>
          </cell>
          <cell r="HK106" t="str">
            <v/>
          </cell>
          <cell r="HL106" t="str">
            <v/>
          </cell>
          <cell r="HM106" t="str">
            <v/>
          </cell>
          <cell r="HN106" t="str">
            <v/>
          </cell>
          <cell r="HO106" t="str">
            <v/>
          </cell>
          <cell r="HP106" t="str">
            <v/>
          </cell>
          <cell r="HQ106" t="str">
            <v/>
          </cell>
          <cell r="HR106" t="str">
            <v/>
          </cell>
          <cell r="HS106" t="str">
            <v/>
          </cell>
          <cell r="HT106" t="str">
            <v/>
          </cell>
          <cell r="HU106" t="str">
            <v/>
          </cell>
          <cell r="HV106" t="str">
            <v/>
          </cell>
          <cell r="HW106" t="str">
            <v/>
          </cell>
          <cell r="MN106" t="str">
            <v/>
          </cell>
          <cell r="MO106" t="str">
            <v/>
          </cell>
          <cell r="MP106" t="str">
            <v/>
          </cell>
          <cell r="MQ106" t="str">
            <v/>
          </cell>
          <cell r="MR106" t="str">
            <v/>
          </cell>
          <cell r="MS106" t="str">
            <v/>
          </cell>
          <cell r="MT106" t="str">
            <v/>
          </cell>
          <cell r="MU106" t="str">
            <v/>
          </cell>
          <cell r="MV106" t="str">
            <v/>
          </cell>
          <cell r="MW106" t="str">
            <v/>
          </cell>
          <cell r="MX106" t="str">
            <v/>
          </cell>
          <cell r="MY106" t="str">
            <v/>
          </cell>
          <cell r="MZ106" t="str">
            <v/>
          </cell>
          <cell r="NA106" t="str">
            <v/>
          </cell>
          <cell r="NB106" t="str">
            <v/>
          </cell>
          <cell r="NC106" t="str">
            <v/>
          </cell>
          <cell r="ND106" t="str">
            <v/>
          </cell>
          <cell r="NE106" t="str">
            <v/>
          </cell>
          <cell r="NF106" t="str">
            <v/>
          </cell>
          <cell r="NG106" t="str">
            <v/>
          </cell>
          <cell r="NH106" t="str">
            <v/>
          </cell>
          <cell r="NI106" t="str">
            <v/>
          </cell>
          <cell r="NJ106" t="str">
            <v/>
          </cell>
        </row>
        <row r="107">
          <cell r="I107" t="str">
            <v>E07000208</v>
          </cell>
          <cell r="GZ107" t="str">
            <v/>
          </cell>
          <cell r="HA107" t="str">
            <v/>
          </cell>
          <cell r="HB107" t="str">
            <v/>
          </cell>
          <cell r="HC107" t="str">
            <v/>
          </cell>
          <cell r="HD107" t="str">
            <v/>
          </cell>
          <cell r="HE107" t="str">
            <v/>
          </cell>
          <cell r="HF107" t="str">
            <v/>
          </cell>
          <cell r="HG107" t="str">
            <v/>
          </cell>
          <cell r="HH107" t="str">
            <v/>
          </cell>
          <cell r="HI107" t="str">
            <v/>
          </cell>
          <cell r="HJ107" t="str">
            <v/>
          </cell>
          <cell r="HK107" t="str">
            <v/>
          </cell>
          <cell r="HL107" t="str">
            <v/>
          </cell>
          <cell r="HM107" t="str">
            <v/>
          </cell>
          <cell r="HN107" t="str">
            <v/>
          </cell>
          <cell r="HO107" t="str">
            <v/>
          </cell>
          <cell r="HP107" t="str">
            <v/>
          </cell>
          <cell r="HQ107" t="str">
            <v/>
          </cell>
          <cell r="HR107" t="str">
            <v/>
          </cell>
          <cell r="HS107" t="str">
            <v/>
          </cell>
          <cell r="HT107" t="str">
            <v/>
          </cell>
          <cell r="HU107" t="str">
            <v/>
          </cell>
          <cell r="HV107" t="str">
            <v/>
          </cell>
          <cell r="HW107" t="str">
            <v/>
          </cell>
          <cell r="MN107" t="str">
            <v/>
          </cell>
          <cell r="MO107" t="str">
            <v/>
          </cell>
          <cell r="MP107" t="str">
            <v/>
          </cell>
          <cell r="MQ107" t="str">
            <v/>
          </cell>
          <cell r="MR107" t="str">
            <v/>
          </cell>
          <cell r="MS107" t="str">
            <v/>
          </cell>
          <cell r="MT107" t="str">
            <v/>
          </cell>
          <cell r="MU107" t="str">
            <v/>
          </cell>
          <cell r="MV107" t="str">
            <v/>
          </cell>
          <cell r="MW107" t="str">
            <v/>
          </cell>
          <cell r="MX107" t="str">
            <v/>
          </cell>
          <cell r="MY107" t="str">
            <v/>
          </cell>
          <cell r="MZ107" t="str">
            <v/>
          </cell>
          <cell r="NA107" t="str">
            <v/>
          </cell>
          <cell r="NB107" t="str">
            <v/>
          </cell>
          <cell r="NC107" t="str">
            <v/>
          </cell>
          <cell r="ND107" t="str">
            <v/>
          </cell>
          <cell r="NE107" t="str">
            <v/>
          </cell>
          <cell r="NF107" t="str">
            <v/>
          </cell>
          <cell r="NG107" t="str">
            <v/>
          </cell>
          <cell r="NH107" t="str">
            <v/>
          </cell>
          <cell r="NI107" t="str">
            <v/>
          </cell>
          <cell r="NJ107" t="str">
            <v/>
          </cell>
        </row>
        <row r="108">
          <cell r="I108" t="str">
            <v>E06000005</v>
          </cell>
          <cell r="GZ108" t="str">
            <v/>
          </cell>
          <cell r="HA108" t="str">
            <v/>
          </cell>
          <cell r="HB108" t="str">
            <v/>
          </cell>
          <cell r="HC108" t="str">
            <v/>
          </cell>
          <cell r="HD108" t="str">
            <v/>
          </cell>
          <cell r="HE108" t="str">
            <v/>
          </cell>
          <cell r="HF108" t="str">
            <v/>
          </cell>
          <cell r="HG108" t="str">
            <v/>
          </cell>
          <cell r="HH108" t="str">
            <v/>
          </cell>
          <cell r="HI108" t="str">
            <v/>
          </cell>
          <cell r="HJ108" t="str">
            <v/>
          </cell>
          <cell r="HK108" t="str">
            <v/>
          </cell>
          <cell r="HL108" t="str">
            <v/>
          </cell>
          <cell r="HM108" t="str">
            <v/>
          </cell>
          <cell r="HN108" t="str">
            <v/>
          </cell>
          <cell r="HO108" t="str">
            <v/>
          </cell>
          <cell r="HP108" t="str">
            <v/>
          </cell>
          <cell r="HQ108" t="str">
            <v/>
          </cell>
          <cell r="HR108" t="str">
            <v/>
          </cell>
          <cell r="HS108" t="str">
            <v/>
          </cell>
          <cell r="HT108" t="str">
            <v/>
          </cell>
          <cell r="HU108" t="str">
            <v/>
          </cell>
          <cell r="HV108" t="str">
            <v/>
          </cell>
          <cell r="HW108" t="str">
            <v/>
          </cell>
          <cell r="MN108" t="str">
            <v/>
          </cell>
          <cell r="MO108" t="str">
            <v/>
          </cell>
          <cell r="MP108" t="str">
            <v/>
          </cell>
          <cell r="MQ108" t="str">
            <v/>
          </cell>
          <cell r="MR108" t="str">
            <v/>
          </cell>
          <cell r="MS108" t="str">
            <v/>
          </cell>
          <cell r="MT108" t="str">
            <v/>
          </cell>
          <cell r="MU108" t="str">
            <v/>
          </cell>
          <cell r="MV108" t="str">
            <v/>
          </cell>
          <cell r="MW108" t="str">
            <v/>
          </cell>
          <cell r="MX108" t="str">
            <v/>
          </cell>
          <cell r="MY108" t="str">
            <v/>
          </cell>
          <cell r="MZ108" t="str">
            <v/>
          </cell>
          <cell r="NA108" t="str">
            <v/>
          </cell>
          <cell r="NB108" t="str">
            <v/>
          </cell>
          <cell r="NC108" t="str">
            <v/>
          </cell>
          <cell r="ND108" t="str">
            <v/>
          </cell>
          <cell r="NE108" t="str">
            <v/>
          </cell>
          <cell r="NF108" t="str">
            <v/>
          </cell>
          <cell r="NG108" t="str">
            <v/>
          </cell>
          <cell r="NH108" t="str">
            <v/>
          </cell>
          <cell r="NI108" t="str">
            <v/>
          </cell>
          <cell r="NJ108" t="str">
            <v/>
          </cell>
        </row>
        <row r="109">
          <cell r="I109" t="str">
            <v>E07000170</v>
          </cell>
          <cell r="GZ109" t="str">
            <v/>
          </cell>
          <cell r="HA109" t="str">
            <v/>
          </cell>
          <cell r="HB109" t="str">
            <v/>
          </cell>
          <cell r="HC109" t="str">
            <v/>
          </cell>
          <cell r="HD109" t="str">
            <v/>
          </cell>
          <cell r="HE109" t="str">
            <v/>
          </cell>
          <cell r="HF109" t="str">
            <v/>
          </cell>
          <cell r="HG109" t="str">
            <v/>
          </cell>
          <cell r="HH109" t="str">
            <v/>
          </cell>
          <cell r="HI109" t="str">
            <v/>
          </cell>
          <cell r="HJ109" t="str">
            <v/>
          </cell>
          <cell r="HK109" t="str">
            <v/>
          </cell>
          <cell r="HL109" t="str">
            <v/>
          </cell>
          <cell r="HM109" t="str">
            <v/>
          </cell>
          <cell r="HN109" t="str">
            <v/>
          </cell>
          <cell r="HO109" t="str">
            <v/>
          </cell>
          <cell r="HP109" t="str">
            <v/>
          </cell>
          <cell r="HQ109" t="str">
            <v/>
          </cell>
          <cell r="HR109" t="str">
            <v/>
          </cell>
          <cell r="HS109" t="str">
            <v/>
          </cell>
          <cell r="HT109" t="str">
            <v/>
          </cell>
          <cell r="HU109" t="str">
            <v/>
          </cell>
          <cell r="HV109" t="str">
            <v/>
          </cell>
          <cell r="HW109" t="str">
            <v/>
          </cell>
          <cell r="MN109" t="str">
            <v/>
          </cell>
          <cell r="MO109" t="str">
            <v/>
          </cell>
          <cell r="MP109" t="str">
            <v/>
          </cell>
          <cell r="MQ109" t="str">
            <v/>
          </cell>
          <cell r="MR109" t="str">
            <v/>
          </cell>
          <cell r="MS109" t="str">
            <v/>
          </cell>
          <cell r="MT109" t="str">
            <v/>
          </cell>
          <cell r="MU109" t="str">
            <v/>
          </cell>
          <cell r="MV109" t="str">
            <v/>
          </cell>
          <cell r="MW109" t="str">
            <v/>
          </cell>
          <cell r="MX109" t="str">
            <v/>
          </cell>
          <cell r="MY109" t="str">
            <v/>
          </cell>
          <cell r="MZ109" t="str">
            <v/>
          </cell>
          <cell r="NA109" t="str">
            <v/>
          </cell>
          <cell r="NB109" t="str">
            <v/>
          </cell>
          <cell r="NC109" t="str">
            <v/>
          </cell>
          <cell r="ND109" t="str">
            <v/>
          </cell>
          <cell r="NE109" t="str">
            <v/>
          </cell>
          <cell r="NF109" t="str">
            <v/>
          </cell>
          <cell r="NG109" t="str">
            <v/>
          </cell>
          <cell r="NH109" t="str">
            <v/>
          </cell>
          <cell r="NI109" t="str">
            <v/>
          </cell>
          <cell r="NJ109" t="str">
            <v/>
          </cell>
        </row>
        <row r="110">
          <cell r="I110" t="str">
            <v>E07000242</v>
          </cell>
          <cell r="GZ110" t="str">
            <v/>
          </cell>
          <cell r="HA110" t="str">
            <v/>
          </cell>
          <cell r="HB110" t="str">
            <v/>
          </cell>
          <cell r="HC110" t="str">
            <v/>
          </cell>
          <cell r="HD110" t="str">
            <v/>
          </cell>
          <cell r="HE110" t="str">
            <v/>
          </cell>
          <cell r="HF110" t="str">
            <v/>
          </cell>
          <cell r="HG110" t="str">
            <v/>
          </cell>
          <cell r="HH110" t="str">
            <v/>
          </cell>
          <cell r="HI110" t="str">
            <v/>
          </cell>
          <cell r="HJ110" t="str">
            <v/>
          </cell>
          <cell r="HK110" t="str">
            <v/>
          </cell>
          <cell r="HL110" t="str">
            <v/>
          </cell>
          <cell r="HM110" t="str">
            <v/>
          </cell>
          <cell r="HN110" t="str">
            <v/>
          </cell>
          <cell r="HO110" t="str">
            <v/>
          </cell>
          <cell r="HP110" t="str">
            <v/>
          </cell>
          <cell r="HQ110" t="str">
            <v/>
          </cell>
          <cell r="HR110" t="str">
            <v/>
          </cell>
          <cell r="HS110" t="str">
            <v/>
          </cell>
          <cell r="HT110" t="str">
            <v/>
          </cell>
          <cell r="HU110" t="str">
            <v/>
          </cell>
          <cell r="HV110" t="str">
            <v/>
          </cell>
          <cell r="HW110" t="str">
            <v/>
          </cell>
          <cell r="MN110" t="str">
            <v/>
          </cell>
          <cell r="MO110" t="str">
            <v/>
          </cell>
          <cell r="MP110" t="str">
            <v/>
          </cell>
          <cell r="MQ110" t="str">
            <v/>
          </cell>
          <cell r="MR110" t="str">
            <v/>
          </cell>
          <cell r="MS110" t="str">
            <v/>
          </cell>
          <cell r="MT110" t="str">
            <v/>
          </cell>
          <cell r="MU110" t="str">
            <v/>
          </cell>
          <cell r="MV110" t="str">
            <v/>
          </cell>
          <cell r="MW110" t="str">
            <v/>
          </cell>
          <cell r="MX110" t="str">
            <v/>
          </cell>
          <cell r="MY110" t="str">
            <v/>
          </cell>
          <cell r="MZ110" t="str">
            <v/>
          </cell>
          <cell r="NA110" t="str">
            <v/>
          </cell>
          <cell r="NB110" t="str">
            <v/>
          </cell>
          <cell r="NC110" t="str">
            <v/>
          </cell>
          <cell r="ND110" t="str">
            <v/>
          </cell>
          <cell r="NE110" t="str">
            <v/>
          </cell>
          <cell r="NF110" t="str">
            <v/>
          </cell>
          <cell r="NG110" t="str">
            <v/>
          </cell>
          <cell r="NH110" t="str">
            <v/>
          </cell>
          <cell r="NI110" t="str">
            <v/>
          </cell>
          <cell r="NJ110" t="str">
            <v/>
          </cell>
        </row>
        <row r="111">
          <cell r="I111" t="str">
            <v>E07000102</v>
          </cell>
          <cell r="GZ111" t="str">
            <v/>
          </cell>
          <cell r="HA111" t="str">
            <v/>
          </cell>
          <cell r="HB111" t="str">
            <v/>
          </cell>
          <cell r="HC111" t="str">
            <v/>
          </cell>
          <cell r="HD111" t="str">
            <v/>
          </cell>
          <cell r="HE111" t="str">
            <v/>
          </cell>
          <cell r="HF111" t="str">
            <v/>
          </cell>
          <cell r="HG111" t="str">
            <v/>
          </cell>
          <cell r="HH111" t="str">
            <v/>
          </cell>
          <cell r="HI111" t="str">
            <v/>
          </cell>
          <cell r="HJ111" t="str">
            <v/>
          </cell>
          <cell r="HK111" t="str">
            <v/>
          </cell>
          <cell r="HL111" t="str">
            <v/>
          </cell>
          <cell r="HM111" t="str">
            <v/>
          </cell>
          <cell r="HN111" t="str">
            <v/>
          </cell>
          <cell r="HO111" t="str">
            <v/>
          </cell>
          <cell r="HP111" t="str">
            <v/>
          </cell>
          <cell r="HQ111" t="str">
            <v/>
          </cell>
          <cell r="HR111" t="str">
            <v/>
          </cell>
          <cell r="HS111" t="str">
            <v/>
          </cell>
          <cell r="HT111" t="str">
            <v/>
          </cell>
          <cell r="HU111" t="str">
            <v/>
          </cell>
          <cell r="HV111" t="str">
            <v/>
          </cell>
          <cell r="HW111" t="str">
            <v/>
          </cell>
          <cell r="MN111" t="str">
            <v/>
          </cell>
          <cell r="MO111" t="str">
            <v/>
          </cell>
          <cell r="MP111" t="str">
            <v/>
          </cell>
          <cell r="MQ111" t="str">
            <v/>
          </cell>
          <cell r="MR111" t="str">
            <v/>
          </cell>
          <cell r="MS111" t="str">
            <v/>
          </cell>
          <cell r="MT111" t="str">
            <v/>
          </cell>
          <cell r="MU111" t="str">
            <v/>
          </cell>
          <cell r="MV111" t="str">
            <v/>
          </cell>
          <cell r="MW111" t="str">
            <v/>
          </cell>
          <cell r="MX111" t="str">
            <v/>
          </cell>
          <cell r="MY111" t="str">
            <v/>
          </cell>
          <cell r="MZ111" t="str">
            <v/>
          </cell>
          <cell r="NA111" t="str">
            <v/>
          </cell>
          <cell r="NB111" t="str">
            <v/>
          </cell>
          <cell r="NC111" t="str">
            <v/>
          </cell>
          <cell r="ND111" t="str">
            <v/>
          </cell>
          <cell r="NE111" t="str">
            <v/>
          </cell>
          <cell r="NF111" t="str">
            <v/>
          </cell>
          <cell r="NG111" t="str">
            <v/>
          </cell>
          <cell r="NH111" t="str">
            <v/>
          </cell>
          <cell r="NI111" t="str">
            <v/>
          </cell>
          <cell r="NJ111" t="str">
            <v/>
          </cell>
        </row>
        <row r="112">
          <cell r="I112" t="str">
            <v>E08000030</v>
          </cell>
          <cell r="GZ112" t="str">
            <v/>
          </cell>
          <cell r="HA112" t="str">
            <v/>
          </cell>
          <cell r="HB112" t="str">
            <v/>
          </cell>
          <cell r="HC112" t="str">
            <v/>
          </cell>
          <cell r="HD112" t="str">
            <v/>
          </cell>
          <cell r="HE112" t="str">
            <v/>
          </cell>
          <cell r="HF112" t="str">
            <v/>
          </cell>
          <cell r="HG112" t="str">
            <v/>
          </cell>
          <cell r="HH112" t="str">
            <v/>
          </cell>
          <cell r="HI112" t="str">
            <v/>
          </cell>
          <cell r="HJ112" t="str">
            <v/>
          </cell>
          <cell r="HK112" t="str">
            <v/>
          </cell>
          <cell r="HL112" t="str">
            <v/>
          </cell>
          <cell r="HM112" t="str">
            <v/>
          </cell>
          <cell r="HN112" t="str">
            <v/>
          </cell>
          <cell r="HO112" t="str">
            <v/>
          </cell>
          <cell r="HP112" t="str">
            <v/>
          </cell>
          <cell r="HQ112" t="str">
            <v/>
          </cell>
          <cell r="HR112" t="str">
            <v/>
          </cell>
          <cell r="HS112" t="str">
            <v/>
          </cell>
          <cell r="HT112" t="str">
            <v/>
          </cell>
          <cell r="HU112" t="str">
            <v/>
          </cell>
          <cell r="HV112" t="str">
            <v/>
          </cell>
          <cell r="HW112" t="str">
            <v/>
          </cell>
          <cell r="MN112" t="str">
            <v/>
          </cell>
          <cell r="MO112" t="str">
            <v/>
          </cell>
          <cell r="MP112" t="str">
            <v/>
          </cell>
          <cell r="MQ112" t="str">
            <v/>
          </cell>
          <cell r="MR112" t="str">
            <v/>
          </cell>
          <cell r="MS112" t="str">
            <v/>
          </cell>
          <cell r="MT112" t="str">
            <v/>
          </cell>
          <cell r="MU112" t="str">
            <v/>
          </cell>
          <cell r="MV112" t="str">
            <v/>
          </cell>
          <cell r="MW112" t="str">
            <v/>
          </cell>
          <cell r="MX112" t="str">
            <v/>
          </cell>
          <cell r="MY112" t="str">
            <v/>
          </cell>
          <cell r="MZ112" t="str">
            <v/>
          </cell>
          <cell r="NA112" t="str">
            <v/>
          </cell>
          <cell r="NB112" t="str">
            <v/>
          </cell>
          <cell r="NC112" t="str">
            <v/>
          </cell>
          <cell r="ND112" t="str">
            <v/>
          </cell>
          <cell r="NE112" t="str">
            <v/>
          </cell>
          <cell r="NF112" t="str">
            <v/>
          </cell>
          <cell r="NG112" t="str">
            <v/>
          </cell>
          <cell r="NH112" t="str">
            <v/>
          </cell>
          <cell r="NI112" t="str">
            <v/>
          </cell>
          <cell r="NJ112" t="str">
            <v/>
          </cell>
        </row>
        <row r="113">
          <cell r="I113" t="str">
            <v>E07000117</v>
          </cell>
          <cell r="GZ113" t="str">
            <v/>
          </cell>
          <cell r="HA113" t="str">
            <v/>
          </cell>
          <cell r="HB113" t="str">
            <v/>
          </cell>
          <cell r="HC113" t="str">
            <v/>
          </cell>
          <cell r="HD113" t="str">
            <v/>
          </cell>
          <cell r="HE113" t="str">
            <v/>
          </cell>
          <cell r="HF113" t="str">
            <v/>
          </cell>
          <cell r="HG113" t="str">
            <v/>
          </cell>
          <cell r="HH113" t="str">
            <v/>
          </cell>
          <cell r="HI113" t="str">
            <v/>
          </cell>
          <cell r="HJ113" t="str">
            <v/>
          </cell>
          <cell r="HK113" t="str">
            <v/>
          </cell>
          <cell r="HL113" t="str">
            <v/>
          </cell>
          <cell r="HM113" t="str">
            <v/>
          </cell>
          <cell r="HN113" t="str">
            <v/>
          </cell>
          <cell r="HO113" t="str">
            <v/>
          </cell>
          <cell r="HP113" t="str">
            <v/>
          </cell>
          <cell r="HQ113" t="str">
            <v/>
          </cell>
          <cell r="HR113" t="str">
            <v/>
          </cell>
          <cell r="HS113" t="str">
            <v/>
          </cell>
          <cell r="HT113" t="str">
            <v/>
          </cell>
          <cell r="HU113" t="str">
            <v/>
          </cell>
          <cell r="HV113" t="str">
            <v/>
          </cell>
          <cell r="HW113" t="str">
            <v/>
          </cell>
          <cell r="MN113" t="str">
            <v/>
          </cell>
          <cell r="MO113" t="str">
            <v/>
          </cell>
          <cell r="MP113" t="str">
            <v/>
          </cell>
          <cell r="MQ113" t="str">
            <v/>
          </cell>
          <cell r="MR113" t="str">
            <v/>
          </cell>
          <cell r="MS113" t="str">
            <v/>
          </cell>
          <cell r="MT113" t="str">
            <v/>
          </cell>
          <cell r="MU113" t="str">
            <v/>
          </cell>
          <cell r="MV113" t="str">
            <v/>
          </cell>
          <cell r="MW113" t="str">
            <v/>
          </cell>
          <cell r="MX113" t="str">
            <v/>
          </cell>
          <cell r="MY113" t="str">
            <v/>
          </cell>
          <cell r="MZ113" t="str">
            <v/>
          </cell>
          <cell r="NA113" t="str">
            <v/>
          </cell>
          <cell r="NB113" t="str">
            <v/>
          </cell>
          <cell r="NC113" t="str">
            <v/>
          </cell>
          <cell r="ND113" t="str">
            <v/>
          </cell>
          <cell r="NE113" t="str">
            <v/>
          </cell>
          <cell r="NF113" t="str">
            <v/>
          </cell>
          <cell r="NG113" t="str">
            <v/>
          </cell>
          <cell r="NH113" t="str">
            <v/>
          </cell>
          <cell r="NI113" t="str">
            <v/>
          </cell>
          <cell r="NJ113" t="str">
            <v/>
          </cell>
        </row>
        <row r="114">
          <cell r="I114" t="str">
            <v>E07000226</v>
          </cell>
          <cell r="GZ114" t="str">
            <v/>
          </cell>
          <cell r="HA114" t="str">
            <v/>
          </cell>
          <cell r="HB114" t="str">
            <v/>
          </cell>
          <cell r="HC114" t="str">
            <v/>
          </cell>
          <cell r="HD114" t="str">
            <v/>
          </cell>
          <cell r="HE114" t="str">
            <v/>
          </cell>
          <cell r="HF114" t="str">
            <v/>
          </cell>
          <cell r="HG114" t="str">
            <v/>
          </cell>
          <cell r="HH114" t="str">
            <v/>
          </cell>
          <cell r="HI114" t="str">
            <v/>
          </cell>
          <cell r="HJ114" t="str">
            <v/>
          </cell>
          <cell r="HK114" t="str">
            <v/>
          </cell>
          <cell r="HL114" t="str">
            <v/>
          </cell>
          <cell r="HM114" t="str">
            <v/>
          </cell>
          <cell r="HN114" t="str">
            <v/>
          </cell>
          <cell r="HO114" t="str">
            <v/>
          </cell>
          <cell r="HP114" t="str">
            <v/>
          </cell>
          <cell r="HQ114" t="str">
            <v/>
          </cell>
          <cell r="HR114" t="str">
            <v/>
          </cell>
          <cell r="HS114" t="str">
            <v/>
          </cell>
          <cell r="HT114" t="str">
            <v/>
          </cell>
          <cell r="HU114" t="str">
            <v/>
          </cell>
          <cell r="HV114" t="str">
            <v/>
          </cell>
          <cell r="HW114" t="str">
            <v/>
          </cell>
          <cell r="MN114" t="str">
            <v/>
          </cell>
          <cell r="MO114" t="str">
            <v/>
          </cell>
          <cell r="MP114" t="str">
            <v/>
          </cell>
          <cell r="MQ114" t="str">
            <v/>
          </cell>
          <cell r="MR114" t="str">
            <v/>
          </cell>
          <cell r="MS114" t="str">
            <v/>
          </cell>
          <cell r="MT114" t="str">
            <v/>
          </cell>
          <cell r="MU114" t="str">
            <v/>
          </cell>
          <cell r="MV114" t="str">
            <v/>
          </cell>
          <cell r="MW114" t="str">
            <v/>
          </cell>
          <cell r="MX114" t="str">
            <v/>
          </cell>
          <cell r="MY114" t="str">
            <v/>
          </cell>
          <cell r="MZ114" t="str">
            <v/>
          </cell>
          <cell r="NA114" t="str">
            <v/>
          </cell>
          <cell r="NB114" t="str">
            <v/>
          </cell>
          <cell r="NC114" t="str">
            <v/>
          </cell>
          <cell r="ND114" t="str">
            <v/>
          </cell>
          <cell r="NE114" t="str">
            <v/>
          </cell>
          <cell r="NF114" t="str">
            <v/>
          </cell>
          <cell r="NG114" t="str">
            <v/>
          </cell>
          <cell r="NH114" t="str">
            <v/>
          </cell>
          <cell r="NI114" t="str">
            <v/>
          </cell>
          <cell r="NJ114" t="str">
            <v/>
          </cell>
        </row>
        <row r="115">
          <cell r="I115" t="str">
            <v>E09000018</v>
          </cell>
          <cell r="GZ115" t="str">
            <v/>
          </cell>
          <cell r="HA115" t="str">
            <v/>
          </cell>
          <cell r="HB115" t="str">
            <v/>
          </cell>
          <cell r="HC115" t="str">
            <v/>
          </cell>
          <cell r="HD115" t="str">
            <v/>
          </cell>
          <cell r="HE115" t="str">
            <v/>
          </cell>
          <cell r="HF115" t="str">
            <v/>
          </cell>
          <cell r="HG115" t="str">
            <v/>
          </cell>
          <cell r="HH115" t="str">
            <v/>
          </cell>
          <cell r="HI115" t="str">
            <v/>
          </cell>
          <cell r="HJ115" t="str">
            <v/>
          </cell>
          <cell r="HK115" t="str">
            <v/>
          </cell>
          <cell r="HL115" t="str">
            <v/>
          </cell>
          <cell r="HM115" t="str">
            <v/>
          </cell>
          <cell r="HN115" t="str">
            <v/>
          </cell>
          <cell r="HO115" t="str">
            <v/>
          </cell>
          <cell r="HP115" t="str">
            <v/>
          </cell>
          <cell r="HQ115" t="str">
            <v/>
          </cell>
          <cell r="HR115" t="str">
            <v/>
          </cell>
          <cell r="HS115" t="str">
            <v/>
          </cell>
          <cell r="HT115" t="str">
            <v/>
          </cell>
          <cell r="HU115" t="str">
            <v/>
          </cell>
          <cell r="HV115" t="str">
            <v/>
          </cell>
          <cell r="HW115" t="str">
            <v/>
          </cell>
          <cell r="MN115" t="str">
            <v/>
          </cell>
          <cell r="MO115" t="str">
            <v/>
          </cell>
          <cell r="MP115" t="str">
            <v/>
          </cell>
          <cell r="MQ115" t="str">
            <v/>
          </cell>
          <cell r="MR115" t="str">
            <v/>
          </cell>
          <cell r="MS115" t="str">
            <v/>
          </cell>
          <cell r="MT115" t="str">
            <v/>
          </cell>
          <cell r="MU115" t="str">
            <v/>
          </cell>
          <cell r="MV115" t="str">
            <v/>
          </cell>
          <cell r="MW115" t="str">
            <v/>
          </cell>
          <cell r="MX115" t="str">
            <v/>
          </cell>
          <cell r="MY115" t="str">
            <v/>
          </cell>
          <cell r="MZ115" t="str">
            <v/>
          </cell>
          <cell r="NA115" t="str">
            <v/>
          </cell>
          <cell r="NB115" t="str">
            <v/>
          </cell>
          <cell r="NC115" t="str">
            <v/>
          </cell>
          <cell r="ND115" t="str">
            <v/>
          </cell>
          <cell r="NE115" t="str">
            <v/>
          </cell>
          <cell r="NF115" t="str">
            <v/>
          </cell>
          <cell r="NG115" t="str">
            <v/>
          </cell>
          <cell r="NH115" t="str">
            <v/>
          </cell>
          <cell r="NI115" t="str">
            <v/>
          </cell>
          <cell r="NJ115" t="str">
            <v/>
          </cell>
        </row>
        <row r="116">
          <cell r="I116" t="str">
            <v>E06000019</v>
          </cell>
          <cell r="GZ116">
            <v>40634</v>
          </cell>
          <cell r="HA116">
            <v>42460</v>
          </cell>
          <cell r="HB116">
            <v>600</v>
          </cell>
          <cell r="HC116" t="str">
            <v>Analyst To Calculate</v>
          </cell>
          <cell r="HD116">
            <v>42461</v>
          </cell>
          <cell r="HE116">
            <v>44286</v>
          </cell>
          <cell r="HF116">
            <v>850</v>
          </cell>
          <cell r="HG116" t="str">
            <v>Analyst To Calculate</v>
          </cell>
          <cell r="HH116">
            <v>44287</v>
          </cell>
          <cell r="HI116">
            <v>46112</v>
          </cell>
          <cell r="HJ116">
            <v>900</v>
          </cell>
          <cell r="HK116" t="str">
            <v>Analyst To Calculate</v>
          </cell>
          <cell r="HL116">
            <v>46113</v>
          </cell>
          <cell r="HM116">
            <v>47938</v>
          </cell>
          <cell r="HN116">
            <v>950</v>
          </cell>
          <cell r="HO116" t="str">
            <v>Analyst To Calculate</v>
          </cell>
          <cell r="HP116" t="str">
            <v/>
          </cell>
          <cell r="HQ116" t="str">
            <v/>
          </cell>
          <cell r="HR116" t="str">
            <v/>
          </cell>
          <cell r="HS116" t="str">
            <v>Analyst To Calculate</v>
          </cell>
          <cell r="HT116" t="str">
            <v/>
          </cell>
          <cell r="HU116" t="str">
            <v/>
          </cell>
          <cell r="HV116" t="str">
            <v/>
          </cell>
          <cell r="HW116" t="str">
            <v>Analyst To Calculate</v>
          </cell>
          <cell r="MN116">
            <v>40634</v>
          </cell>
          <cell r="MO116">
            <v>42460</v>
          </cell>
          <cell r="MP116">
            <v>600</v>
          </cell>
          <cell r="MQ116" t="str">
            <v/>
          </cell>
          <cell r="MR116">
            <v>42461</v>
          </cell>
          <cell r="MS116">
            <v>44286</v>
          </cell>
          <cell r="MT116">
            <v>850</v>
          </cell>
          <cell r="MU116" t="str">
            <v/>
          </cell>
          <cell r="MV116">
            <v>44287</v>
          </cell>
          <cell r="MW116">
            <v>46112</v>
          </cell>
          <cell r="MX116">
            <v>900</v>
          </cell>
          <cell r="MY116" t="str">
            <v/>
          </cell>
          <cell r="MZ116">
            <v>46113</v>
          </cell>
          <cell r="NA116">
            <v>47938</v>
          </cell>
          <cell r="NB116">
            <v>950</v>
          </cell>
          <cell r="NC116" t="str">
            <v/>
          </cell>
          <cell r="ND116" t="str">
            <v/>
          </cell>
          <cell r="NE116" t="str">
            <v/>
          </cell>
          <cell r="NF116" t="str">
            <v/>
          </cell>
          <cell r="NG116" t="str">
            <v/>
          </cell>
          <cell r="NH116" t="str">
            <v/>
          </cell>
          <cell r="NI116" t="str">
            <v/>
          </cell>
          <cell r="NJ116" t="str">
            <v/>
          </cell>
        </row>
        <row r="117">
          <cell r="I117" t="str">
            <v>E07000143</v>
          </cell>
          <cell r="GZ117" t="str">
            <v/>
          </cell>
          <cell r="HA117" t="str">
            <v/>
          </cell>
          <cell r="HB117" t="str">
            <v/>
          </cell>
          <cell r="HC117" t="str">
            <v/>
          </cell>
          <cell r="HD117" t="str">
            <v/>
          </cell>
          <cell r="HE117" t="str">
            <v/>
          </cell>
          <cell r="HF117" t="str">
            <v/>
          </cell>
          <cell r="HG117" t="str">
            <v/>
          </cell>
          <cell r="HH117" t="str">
            <v/>
          </cell>
          <cell r="HI117" t="str">
            <v/>
          </cell>
          <cell r="HJ117" t="str">
            <v/>
          </cell>
          <cell r="HK117" t="str">
            <v/>
          </cell>
          <cell r="HL117" t="str">
            <v/>
          </cell>
          <cell r="HM117" t="str">
            <v/>
          </cell>
          <cell r="HN117" t="str">
            <v/>
          </cell>
          <cell r="HO117" t="str">
            <v/>
          </cell>
          <cell r="HP117" t="str">
            <v/>
          </cell>
          <cell r="HQ117" t="str">
            <v/>
          </cell>
          <cell r="HR117" t="str">
            <v/>
          </cell>
          <cell r="HS117" t="str">
            <v/>
          </cell>
          <cell r="HT117" t="str">
            <v/>
          </cell>
          <cell r="HU117" t="str">
            <v/>
          </cell>
          <cell r="HV117" t="str">
            <v/>
          </cell>
          <cell r="HW117" t="str">
            <v/>
          </cell>
          <cell r="MN117" t="str">
            <v/>
          </cell>
          <cell r="MO117" t="str">
            <v/>
          </cell>
          <cell r="MP117" t="str">
            <v/>
          </cell>
          <cell r="MQ117" t="str">
            <v/>
          </cell>
          <cell r="MR117" t="str">
            <v/>
          </cell>
          <cell r="MS117" t="str">
            <v/>
          </cell>
          <cell r="MT117" t="str">
            <v/>
          </cell>
          <cell r="MU117" t="str">
            <v/>
          </cell>
          <cell r="MV117" t="str">
            <v/>
          </cell>
          <cell r="MW117" t="str">
            <v/>
          </cell>
          <cell r="MX117" t="str">
            <v/>
          </cell>
          <cell r="MY117" t="str">
            <v/>
          </cell>
          <cell r="MZ117" t="str">
            <v/>
          </cell>
          <cell r="NA117" t="str">
            <v/>
          </cell>
          <cell r="NB117" t="str">
            <v/>
          </cell>
          <cell r="NC117" t="str">
            <v/>
          </cell>
          <cell r="ND117" t="str">
            <v/>
          </cell>
          <cell r="NE117" t="str">
            <v/>
          </cell>
          <cell r="NF117" t="str">
            <v/>
          </cell>
          <cell r="NG117" t="str">
            <v/>
          </cell>
          <cell r="NH117" t="str">
            <v/>
          </cell>
          <cell r="NI117" t="str">
            <v/>
          </cell>
          <cell r="NJ117" t="str">
            <v/>
          </cell>
        </row>
        <row r="118">
          <cell r="I118" t="str">
            <v>E07000049</v>
          </cell>
          <cell r="GZ118" t="str">
            <v/>
          </cell>
          <cell r="HA118" t="str">
            <v/>
          </cell>
          <cell r="HB118" t="str">
            <v/>
          </cell>
          <cell r="HC118" t="str">
            <v/>
          </cell>
          <cell r="HD118" t="str">
            <v/>
          </cell>
          <cell r="HE118" t="str">
            <v/>
          </cell>
          <cell r="HF118" t="str">
            <v/>
          </cell>
          <cell r="HG118" t="str">
            <v/>
          </cell>
          <cell r="HH118" t="str">
            <v/>
          </cell>
          <cell r="HI118" t="str">
            <v/>
          </cell>
          <cell r="HJ118" t="str">
            <v/>
          </cell>
          <cell r="HK118" t="str">
            <v/>
          </cell>
          <cell r="HL118" t="str">
            <v/>
          </cell>
          <cell r="HM118" t="str">
            <v/>
          </cell>
          <cell r="HN118" t="str">
            <v/>
          </cell>
          <cell r="HO118" t="str">
            <v/>
          </cell>
          <cell r="HP118" t="str">
            <v/>
          </cell>
          <cell r="HQ118" t="str">
            <v/>
          </cell>
          <cell r="HR118" t="str">
            <v/>
          </cell>
          <cell r="HS118" t="str">
            <v/>
          </cell>
          <cell r="HT118" t="str">
            <v/>
          </cell>
          <cell r="HU118" t="str">
            <v/>
          </cell>
          <cell r="HV118" t="str">
            <v/>
          </cell>
          <cell r="HW118" t="str">
            <v/>
          </cell>
          <cell r="MN118" t="str">
            <v/>
          </cell>
          <cell r="MO118" t="str">
            <v/>
          </cell>
          <cell r="MP118" t="str">
            <v/>
          </cell>
          <cell r="MQ118" t="str">
            <v/>
          </cell>
          <cell r="MR118" t="str">
            <v/>
          </cell>
          <cell r="MS118" t="str">
            <v/>
          </cell>
          <cell r="MT118" t="str">
            <v/>
          </cell>
          <cell r="MU118" t="str">
            <v/>
          </cell>
          <cell r="MV118" t="str">
            <v/>
          </cell>
          <cell r="MW118" t="str">
            <v/>
          </cell>
          <cell r="MX118" t="str">
            <v/>
          </cell>
          <cell r="MY118" t="str">
            <v/>
          </cell>
          <cell r="MZ118" t="str">
            <v/>
          </cell>
          <cell r="NA118" t="str">
            <v/>
          </cell>
          <cell r="NB118" t="str">
            <v/>
          </cell>
          <cell r="NC118" t="str">
            <v/>
          </cell>
          <cell r="ND118" t="str">
            <v/>
          </cell>
          <cell r="NE118" t="str">
            <v/>
          </cell>
          <cell r="NF118" t="str">
            <v/>
          </cell>
          <cell r="NG118" t="str">
            <v/>
          </cell>
          <cell r="NH118" t="str">
            <v/>
          </cell>
          <cell r="NI118" t="str">
            <v/>
          </cell>
          <cell r="NJ118" t="str">
            <v/>
          </cell>
        </row>
        <row r="119">
          <cell r="I119" t="str">
            <v>E07000010</v>
          </cell>
          <cell r="GZ119" t="str">
            <v/>
          </cell>
          <cell r="HA119" t="str">
            <v/>
          </cell>
          <cell r="HB119" t="str">
            <v/>
          </cell>
          <cell r="HC119" t="str">
            <v/>
          </cell>
          <cell r="HD119" t="str">
            <v/>
          </cell>
          <cell r="HE119" t="str">
            <v/>
          </cell>
          <cell r="HF119" t="str">
            <v/>
          </cell>
          <cell r="HG119" t="str">
            <v/>
          </cell>
          <cell r="HH119" t="str">
            <v/>
          </cell>
          <cell r="HI119" t="str">
            <v/>
          </cell>
          <cell r="HJ119" t="str">
            <v/>
          </cell>
          <cell r="HK119" t="str">
            <v/>
          </cell>
          <cell r="HL119" t="str">
            <v/>
          </cell>
          <cell r="HM119" t="str">
            <v/>
          </cell>
          <cell r="HN119" t="str">
            <v/>
          </cell>
          <cell r="HO119" t="str">
            <v/>
          </cell>
          <cell r="HP119" t="str">
            <v/>
          </cell>
          <cell r="HQ119" t="str">
            <v/>
          </cell>
          <cell r="HR119" t="str">
            <v/>
          </cell>
          <cell r="HS119" t="str">
            <v/>
          </cell>
          <cell r="HT119" t="str">
            <v/>
          </cell>
          <cell r="HU119" t="str">
            <v/>
          </cell>
          <cell r="HV119" t="str">
            <v/>
          </cell>
          <cell r="HW119" t="str">
            <v/>
          </cell>
          <cell r="MN119" t="str">
            <v/>
          </cell>
          <cell r="MO119" t="str">
            <v/>
          </cell>
          <cell r="MP119" t="str">
            <v/>
          </cell>
          <cell r="MQ119" t="str">
            <v/>
          </cell>
          <cell r="MR119" t="str">
            <v/>
          </cell>
          <cell r="MS119" t="str">
            <v/>
          </cell>
          <cell r="MT119" t="str">
            <v/>
          </cell>
          <cell r="MU119" t="str">
            <v/>
          </cell>
          <cell r="MV119" t="str">
            <v/>
          </cell>
          <cell r="MW119" t="str">
            <v/>
          </cell>
          <cell r="MX119" t="str">
            <v/>
          </cell>
          <cell r="MY119" t="str">
            <v/>
          </cell>
          <cell r="MZ119" t="str">
            <v/>
          </cell>
          <cell r="NA119" t="str">
            <v/>
          </cell>
          <cell r="NB119" t="str">
            <v/>
          </cell>
          <cell r="NC119" t="str">
            <v/>
          </cell>
          <cell r="ND119" t="str">
            <v/>
          </cell>
          <cell r="NE119" t="str">
            <v/>
          </cell>
          <cell r="NF119" t="str">
            <v/>
          </cell>
          <cell r="NG119" t="str">
            <v/>
          </cell>
          <cell r="NH119" t="str">
            <v/>
          </cell>
          <cell r="NI119" t="str">
            <v/>
          </cell>
          <cell r="NJ119" t="str">
            <v/>
          </cell>
        </row>
        <row r="120">
          <cell r="I120" t="str">
            <v>E07000148</v>
          </cell>
          <cell r="GZ120" t="str">
            <v/>
          </cell>
          <cell r="HA120" t="str">
            <v/>
          </cell>
          <cell r="HB120" t="str">
            <v/>
          </cell>
          <cell r="HC120" t="str">
            <v/>
          </cell>
          <cell r="HD120" t="str">
            <v/>
          </cell>
          <cell r="HE120" t="str">
            <v/>
          </cell>
          <cell r="HF120" t="str">
            <v/>
          </cell>
          <cell r="HG120" t="str">
            <v/>
          </cell>
          <cell r="HH120" t="str">
            <v/>
          </cell>
          <cell r="HI120" t="str">
            <v/>
          </cell>
          <cell r="HJ120" t="str">
            <v/>
          </cell>
          <cell r="HK120" t="str">
            <v/>
          </cell>
          <cell r="HL120" t="str">
            <v/>
          </cell>
          <cell r="HM120" t="str">
            <v/>
          </cell>
          <cell r="HN120" t="str">
            <v/>
          </cell>
          <cell r="HO120" t="str">
            <v/>
          </cell>
          <cell r="HP120" t="str">
            <v/>
          </cell>
          <cell r="HQ120" t="str">
            <v/>
          </cell>
          <cell r="HR120" t="str">
            <v/>
          </cell>
          <cell r="HS120" t="str">
            <v/>
          </cell>
          <cell r="HT120" t="str">
            <v/>
          </cell>
          <cell r="HU120" t="str">
            <v/>
          </cell>
          <cell r="HV120" t="str">
            <v/>
          </cell>
          <cell r="HW120" t="str">
            <v/>
          </cell>
          <cell r="MN120" t="str">
            <v/>
          </cell>
          <cell r="MO120" t="str">
            <v/>
          </cell>
          <cell r="MP120" t="str">
            <v/>
          </cell>
          <cell r="MQ120" t="str">
            <v/>
          </cell>
          <cell r="MR120" t="str">
            <v/>
          </cell>
          <cell r="MS120" t="str">
            <v/>
          </cell>
          <cell r="MT120" t="str">
            <v/>
          </cell>
          <cell r="MU120" t="str">
            <v/>
          </cell>
          <cell r="MV120" t="str">
            <v/>
          </cell>
          <cell r="MW120" t="str">
            <v/>
          </cell>
          <cell r="MX120" t="str">
            <v/>
          </cell>
          <cell r="MY120" t="str">
            <v/>
          </cell>
          <cell r="MZ120" t="str">
            <v/>
          </cell>
          <cell r="NA120" t="str">
            <v/>
          </cell>
          <cell r="NB120" t="str">
            <v/>
          </cell>
          <cell r="NC120" t="str">
            <v/>
          </cell>
          <cell r="ND120" t="str">
            <v/>
          </cell>
          <cell r="NE120" t="str">
            <v/>
          </cell>
          <cell r="NF120" t="str">
            <v/>
          </cell>
          <cell r="NG120" t="str">
            <v/>
          </cell>
          <cell r="NH120" t="str">
            <v/>
          </cell>
          <cell r="NI120" t="str">
            <v/>
          </cell>
          <cell r="NJ120" t="str">
            <v/>
          </cell>
        </row>
        <row r="121">
          <cell r="I121" t="str">
            <v>E07000061</v>
          </cell>
          <cell r="GZ121" t="str">
            <v/>
          </cell>
          <cell r="HA121" t="str">
            <v/>
          </cell>
          <cell r="HB121" t="str">
            <v/>
          </cell>
          <cell r="HC121" t="str">
            <v/>
          </cell>
          <cell r="HD121" t="str">
            <v/>
          </cell>
          <cell r="HE121" t="str">
            <v/>
          </cell>
          <cell r="HF121" t="str">
            <v/>
          </cell>
          <cell r="HG121" t="str">
            <v/>
          </cell>
          <cell r="HH121" t="str">
            <v/>
          </cell>
          <cell r="HI121" t="str">
            <v/>
          </cell>
          <cell r="HJ121" t="str">
            <v/>
          </cell>
          <cell r="HK121" t="str">
            <v/>
          </cell>
          <cell r="HL121" t="str">
            <v/>
          </cell>
          <cell r="HM121" t="str">
            <v/>
          </cell>
          <cell r="HN121" t="str">
            <v/>
          </cell>
          <cell r="HO121" t="str">
            <v/>
          </cell>
          <cell r="HP121" t="str">
            <v/>
          </cell>
          <cell r="HQ121" t="str">
            <v/>
          </cell>
          <cell r="HR121" t="str">
            <v/>
          </cell>
          <cell r="HS121" t="str">
            <v/>
          </cell>
          <cell r="HT121" t="str">
            <v/>
          </cell>
          <cell r="HU121" t="str">
            <v/>
          </cell>
          <cell r="HV121" t="str">
            <v/>
          </cell>
          <cell r="HW121" t="str">
            <v/>
          </cell>
          <cell r="MN121" t="str">
            <v/>
          </cell>
          <cell r="MO121" t="str">
            <v/>
          </cell>
          <cell r="MP121" t="str">
            <v/>
          </cell>
          <cell r="MQ121" t="str">
            <v/>
          </cell>
          <cell r="MR121" t="str">
            <v/>
          </cell>
          <cell r="MS121" t="str">
            <v/>
          </cell>
          <cell r="MT121" t="str">
            <v/>
          </cell>
          <cell r="MU121" t="str">
            <v/>
          </cell>
          <cell r="MV121" t="str">
            <v/>
          </cell>
          <cell r="MW121" t="str">
            <v/>
          </cell>
          <cell r="MX121" t="str">
            <v/>
          </cell>
          <cell r="MY121" t="str">
            <v/>
          </cell>
          <cell r="MZ121" t="str">
            <v/>
          </cell>
          <cell r="NA121" t="str">
            <v/>
          </cell>
          <cell r="NB121" t="str">
            <v/>
          </cell>
          <cell r="NC121" t="str">
            <v/>
          </cell>
          <cell r="ND121" t="str">
            <v/>
          </cell>
          <cell r="NE121" t="str">
            <v/>
          </cell>
          <cell r="NF121" t="str">
            <v/>
          </cell>
          <cell r="NG121" t="str">
            <v/>
          </cell>
          <cell r="NH121" t="str">
            <v/>
          </cell>
          <cell r="NI121" t="str">
            <v/>
          </cell>
          <cell r="NJ121" t="str">
            <v/>
          </cell>
        </row>
        <row r="122">
          <cell r="I122" t="str">
            <v>E07000089</v>
          </cell>
          <cell r="GZ122" t="str">
            <v/>
          </cell>
          <cell r="HA122" t="str">
            <v/>
          </cell>
          <cell r="HB122" t="str">
            <v/>
          </cell>
          <cell r="HC122" t="str">
            <v/>
          </cell>
          <cell r="HD122" t="str">
            <v/>
          </cell>
          <cell r="HE122" t="str">
            <v/>
          </cell>
          <cell r="HF122" t="str">
            <v/>
          </cell>
          <cell r="HG122" t="str">
            <v/>
          </cell>
          <cell r="HH122" t="str">
            <v/>
          </cell>
          <cell r="HI122" t="str">
            <v/>
          </cell>
          <cell r="HJ122" t="str">
            <v/>
          </cell>
          <cell r="HK122" t="str">
            <v/>
          </cell>
          <cell r="HL122" t="str">
            <v/>
          </cell>
          <cell r="HM122" t="str">
            <v/>
          </cell>
          <cell r="HN122" t="str">
            <v/>
          </cell>
          <cell r="HO122" t="str">
            <v/>
          </cell>
          <cell r="HP122" t="str">
            <v/>
          </cell>
          <cell r="HQ122" t="str">
            <v/>
          </cell>
          <cell r="HR122" t="str">
            <v/>
          </cell>
          <cell r="HS122" t="str">
            <v/>
          </cell>
          <cell r="HT122" t="str">
            <v/>
          </cell>
          <cell r="HU122" t="str">
            <v/>
          </cell>
          <cell r="HV122" t="str">
            <v/>
          </cell>
          <cell r="HW122" t="str">
            <v/>
          </cell>
          <cell r="MN122" t="str">
            <v/>
          </cell>
          <cell r="MO122" t="str">
            <v/>
          </cell>
          <cell r="MP122" t="str">
            <v/>
          </cell>
          <cell r="MQ122" t="str">
            <v/>
          </cell>
          <cell r="MR122" t="str">
            <v/>
          </cell>
          <cell r="MS122" t="str">
            <v/>
          </cell>
          <cell r="MT122" t="str">
            <v/>
          </cell>
          <cell r="MU122" t="str">
            <v/>
          </cell>
          <cell r="MV122" t="str">
            <v/>
          </cell>
          <cell r="MW122" t="str">
            <v/>
          </cell>
          <cell r="MX122" t="str">
            <v/>
          </cell>
          <cell r="MY122" t="str">
            <v/>
          </cell>
          <cell r="MZ122" t="str">
            <v/>
          </cell>
          <cell r="NA122" t="str">
            <v/>
          </cell>
          <cell r="NB122" t="str">
            <v/>
          </cell>
          <cell r="NC122" t="str">
            <v/>
          </cell>
          <cell r="ND122" t="str">
            <v/>
          </cell>
          <cell r="NE122" t="str">
            <v/>
          </cell>
          <cell r="NF122" t="str">
            <v/>
          </cell>
          <cell r="NG122" t="str">
            <v/>
          </cell>
          <cell r="NH122" t="str">
            <v/>
          </cell>
          <cell r="NI122" t="str">
            <v/>
          </cell>
          <cell r="NJ122" t="str">
            <v/>
          </cell>
        </row>
        <row r="123">
          <cell r="I123" t="str">
            <v>E08000017</v>
          </cell>
          <cell r="GZ123" t="str">
            <v/>
          </cell>
          <cell r="HA123" t="str">
            <v/>
          </cell>
          <cell r="HB123" t="str">
            <v/>
          </cell>
          <cell r="HC123" t="str">
            <v/>
          </cell>
          <cell r="HD123" t="str">
            <v/>
          </cell>
          <cell r="HE123" t="str">
            <v/>
          </cell>
          <cell r="HF123" t="str">
            <v/>
          </cell>
          <cell r="HG123" t="str">
            <v/>
          </cell>
          <cell r="HH123" t="str">
            <v/>
          </cell>
          <cell r="HI123" t="str">
            <v/>
          </cell>
          <cell r="HJ123" t="str">
            <v/>
          </cell>
          <cell r="HK123" t="str">
            <v/>
          </cell>
          <cell r="HL123" t="str">
            <v/>
          </cell>
          <cell r="HM123" t="str">
            <v/>
          </cell>
          <cell r="HN123" t="str">
            <v/>
          </cell>
          <cell r="HO123" t="str">
            <v/>
          </cell>
          <cell r="HP123" t="str">
            <v/>
          </cell>
          <cell r="HQ123" t="str">
            <v/>
          </cell>
          <cell r="HR123" t="str">
            <v/>
          </cell>
          <cell r="HS123" t="str">
            <v/>
          </cell>
          <cell r="HT123" t="str">
            <v/>
          </cell>
          <cell r="HU123" t="str">
            <v/>
          </cell>
          <cell r="HV123" t="str">
            <v/>
          </cell>
          <cell r="HW123" t="str">
            <v/>
          </cell>
          <cell r="MN123" t="str">
            <v/>
          </cell>
          <cell r="MO123" t="str">
            <v/>
          </cell>
          <cell r="MP123" t="str">
            <v/>
          </cell>
          <cell r="MQ123" t="str">
            <v/>
          </cell>
          <cell r="MR123" t="str">
            <v/>
          </cell>
          <cell r="MS123" t="str">
            <v/>
          </cell>
          <cell r="MT123" t="str">
            <v/>
          </cell>
          <cell r="MU123" t="str">
            <v/>
          </cell>
          <cell r="MV123" t="str">
            <v/>
          </cell>
          <cell r="MW123" t="str">
            <v/>
          </cell>
          <cell r="MX123" t="str">
            <v/>
          </cell>
          <cell r="MY123" t="str">
            <v/>
          </cell>
          <cell r="MZ123" t="str">
            <v/>
          </cell>
          <cell r="NA123" t="str">
            <v/>
          </cell>
          <cell r="NB123" t="str">
            <v/>
          </cell>
          <cell r="NC123" t="str">
            <v/>
          </cell>
          <cell r="ND123" t="str">
            <v/>
          </cell>
          <cell r="NE123" t="str">
            <v/>
          </cell>
          <cell r="NF123" t="str">
            <v/>
          </cell>
          <cell r="NG123" t="str">
            <v/>
          </cell>
          <cell r="NH123" t="str">
            <v/>
          </cell>
          <cell r="NI123" t="str">
            <v/>
          </cell>
          <cell r="NJ123" t="str">
            <v/>
          </cell>
        </row>
        <row r="124">
          <cell r="I124" t="str">
            <v>E07000128</v>
          </cell>
          <cell r="GZ124" t="str">
            <v/>
          </cell>
          <cell r="HA124" t="str">
            <v/>
          </cell>
          <cell r="HB124" t="str">
            <v/>
          </cell>
          <cell r="HC124" t="str">
            <v/>
          </cell>
          <cell r="HD124" t="str">
            <v/>
          </cell>
          <cell r="HE124" t="str">
            <v/>
          </cell>
          <cell r="HF124" t="str">
            <v/>
          </cell>
          <cell r="HG124" t="str">
            <v/>
          </cell>
          <cell r="HH124" t="str">
            <v/>
          </cell>
          <cell r="HI124" t="str">
            <v/>
          </cell>
          <cell r="HJ124" t="str">
            <v/>
          </cell>
          <cell r="HK124" t="str">
            <v/>
          </cell>
          <cell r="HL124" t="str">
            <v/>
          </cell>
          <cell r="HM124" t="str">
            <v/>
          </cell>
          <cell r="HN124" t="str">
            <v/>
          </cell>
          <cell r="HO124" t="str">
            <v/>
          </cell>
          <cell r="HP124" t="str">
            <v/>
          </cell>
          <cell r="HQ124" t="str">
            <v/>
          </cell>
          <cell r="HR124" t="str">
            <v/>
          </cell>
          <cell r="HS124" t="str">
            <v/>
          </cell>
          <cell r="HT124" t="str">
            <v/>
          </cell>
          <cell r="HU124" t="str">
            <v/>
          </cell>
          <cell r="HV124" t="str">
            <v/>
          </cell>
          <cell r="HW124" t="str">
            <v/>
          </cell>
          <cell r="MN124" t="str">
            <v/>
          </cell>
          <cell r="MO124" t="str">
            <v/>
          </cell>
          <cell r="MP124" t="str">
            <v/>
          </cell>
          <cell r="MQ124" t="str">
            <v/>
          </cell>
          <cell r="MR124" t="str">
            <v/>
          </cell>
          <cell r="MS124" t="str">
            <v/>
          </cell>
          <cell r="MT124" t="str">
            <v/>
          </cell>
          <cell r="MU124" t="str">
            <v/>
          </cell>
          <cell r="MV124" t="str">
            <v/>
          </cell>
          <cell r="MW124" t="str">
            <v/>
          </cell>
          <cell r="MX124" t="str">
            <v/>
          </cell>
          <cell r="MY124" t="str">
            <v/>
          </cell>
          <cell r="MZ124" t="str">
            <v/>
          </cell>
          <cell r="NA124" t="str">
            <v/>
          </cell>
          <cell r="NB124" t="str">
            <v/>
          </cell>
          <cell r="NC124" t="str">
            <v/>
          </cell>
          <cell r="ND124" t="str">
            <v/>
          </cell>
          <cell r="NE124" t="str">
            <v/>
          </cell>
          <cell r="NF124" t="str">
            <v/>
          </cell>
          <cell r="NG124" t="str">
            <v/>
          </cell>
          <cell r="NH124" t="str">
            <v/>
          </cell>
          <cell r="NI124" t="str">
            <v/>
          </cell>
          <cell r="NJ124" t="str">
            <v/>
          </cell>
        </row>
        <row r="125">
          <cell r="I125" t="str">
            <v>E06000025</v>
          </cell>
          <cell r="GZ125" t="str">
            <v/>
          </cell>
          <cell r="HA125" t="str">
            <v/>
          </cell>
          <cell r="HB125" t="str">
            <v/>
          </cell>
          <cell r="HC125" t="str">
            <v/>
          </cell>
          <cell r="HD125" t="str">
            <v/>
          </cell>
          <cell r="HE125" t="str">
            <v/>
          </cell>
          <cell r="HF125" t="str">
            <v/>
          </cell>
          <cell r="HG125" t="str">
            <v/>
          </cell>
          <cell r="HH125" t="str">
            <v/>
          </cell>
          <cell r="HI125" t="str">
            <v/>
          </cell>
          <cell r="HJ125" t="str">
            <v/>
          </cell>
          <cell r="HK125" t="str">
            <v/>
          </cell>
          <cell r="HL125" t="str">
            <v/>
          </cell>
          <cell r="HM125" t="str">
            <v/>
          </cell>
          <cell r="HN125" t="str">
            <v/>
          </cell>
          <cell r="HO125" t="str">
            <v/>
          </cell>
          <cell r="HP125" t="str">
            <v/>
          </cell>
          <cell r="HQ125" t="str">
            <v/>
          </cell>
          <cell r="HR125" t="str">
            <v/>
          </cell>
          <cell r="HS125" t="str">
            <v/>
          </cell>
          <cell r="HT125" t="str">
            <v/>
          </cell>
          <cell r="HU125" t="str">
            <v/>
          </cell>
          <cell r="HV125" t="str">
            <v/>
          </cell>
          <cell r="HW125" t="str">
            <v/>
          </cell>
          <cell r="MN125" t="str">
            <v/>
          </cell>
          <cell r="MO125" t="str">
            <v/>
          </cell>
          <cell r="MP125" t="str">
            <v/>
          </cell>
          <cell r="MQ125" t="str">
            <v/>
          </cell>
          <cell r="MR125" t="str">
            <v/>
          </cell>
          <cell r="MS125" t="str">
            <v/>
          </cell>
          <cell r="MT125" t="str">
            <v/>
          </cell>
          <cell r="MU125" t="str">
            <v/>
          </cell>
          <cell r="MV125" t="str">
            <v/>
          </cell>
          <cell r="MW125" t="str">
            <v/>
          </cell>
          <cell r="MX125" t="str">
            <v/>
          </cell>
          <cell r="MY125" t="str">
            <v/>
          </cell>
          <cell r="MZ125" t="str">
            <v/>
          </cell>
          <cell r="NA125" t="str">
            <v/>
          </cell>
          <cell r="NB125" t="str">
            <v/>
          </cell>
          <cell r="NC125" t="str">
            <v/>
          </cell>
          <cell r="ND125" t="str">
            <v/>
          </cell>
          <cell r="NE125" t="str">
            <v/>
          </cell>
          <cell r="NF125" t="str">
            <v/>
          </cell>
          <cell r="NG125" t="str">
            <v/>
          </cell>
          <cell r="NH125" t="str">
            <v/>
          </cell>
          <cell r="NI125" t="str">
            <v/>
          </cell>
          <cell r="NJ125" t="str">
            <v/>
          </cell>
        </row>
        <row r="126">
          <cell r="I126" t="str">
            <v>E08000033</v>
          </cell>
          <cell r="GZ126" t="str">
            <v/>
          </cell>
          <cell r="HA126" t="str">
            <v/>
          </cell>
          <cell r="HB126" t="str">
            <v/>
          </cell>
          <cell r="HC126" t="str">
            <v/>
          </cell>
          <cell r="HD126" t="str">
            <v/>
          </cell>
          <cell r="HE126" t="str">
            <v/>
          </cell>
          <cell r="HF126" t="str">
            <v/>
          </cell>
          <cell r="HG126" t="str">
            <v/>
          </cell>
          <cell r="HH126" t="str">
            <v/>
          </cell>
          <cell r="HI126" t="str">
            <v/>
          </cell>
          <cell r="HJ126" t="str">
            <v/>
          </cell>
          <cell r="HK126" t="str">
            <v/>
          </cell>
          <cell r="HL126" t="str">
            <v/>
          </cell>
          <cell r="HM126" t="str">
            <v/>
          </cell>
          <cell r="HN126" t="str">
            <v/>
          </cell>
          <cell r="HO126" t="str">
            <v/>
          </cell>
          <cell r="HP126" t="str">
            <v/>
          </cell>
          <cell r="HQ126" t="str">
            <v/>
          </cell>
          <cell r="HR126" t="str">
            <v/>
          </cell>
          <cell r="HS126" t="str">
            <v/>
          </cell>
          <cell r="HT126" t="str">
            <v/>
          </cell>
          <cell r="HU126" t="str">
            <v/>
          </cell>
          <cell r="HV126" t="str">
            <v/>
          </cell>
          <cell r="HW126" t="str">
            <v/>
          </cell>
          <cell r="MN126" t="str">
            <v/>
          </cell>
          <cell r="MO126" t="str">
            <v/>
          </cell>
          <cell r="MP126" t="str">
            <v/>
          </cell>
          <cell r="MQ126" t="str">
            <v/>
          </cell>
          <cell r="MR126" t="str">
            <v/>
          </cell>
          <cell r="MS126" t="str">
            <v/>
          </cell>
          <cell r="MT126" t="str">
            <v/>
          </cell>
          <cell r="MU126" t="str">
            <v/>
          </cell>
          <cell r="MV126" t="str">
            <v/>
          </cell>
          <cell r="MW126" t="str">
            <v/>
          </cell>
          <cell r="MX126" t="str">
            <v/>
          </cell>
          <cell r="MY126" t="str">
            <v/>
          </cell>
          <cell r="MZ126" t="str">
            <v/>
          </cell>
          <cell r="NA126" t="str">
            <v/>
          </cell>
          <cell r="NB126" t="str">
            <v/>
          </cell>
          <cell r="NC126" t="str">
            <v/>
          </cell>
          <cell r="ND126" t="str">
            <v/>
          </cell>
          <cell r="NE126" t="str">
            <v/>
          </cell>
          <cell r="NF126" t="str">
            <v/>
          </cell>
          <cell r="NG126" t="str">
            <v/>
          </cell>
          <cell r="NH126" t="str">
            <v/>
          </cell>
          <cell r="NI126" t="str">
            <v/>
          </cell>
          <cell r="NJ126" t="str">
            <v/>
          </cell>
        </row>
        <row r="127">
          <cell r="I127" t="str">
            <v>E08000035</v>
          </cell>
          <cell r="GZ127" t="str">
            <v/>
          </cell>
          <cell r="HA127" t="str">
            <v/>
          </cell>
          <cell r="HB127" t="str">
            <v/>
          </cell>
          <cell r="HC127" t="str">
            <v/>
          </cell>
          <cell r="HD127" t="str">
            <v/>
          </cell>
          <cell r="HE127" t="str">
            <v/>
          </cell>
          <cell r="HF127" t="str">
            <v/>
          </cell>
          <cell r="HG127" t="str">
            <v/>
          </cell>
          <cell r="HH127" t="str">
            <v/>
          </cell>
          <cell r="HI127" t="str">
            <v/>
          </cell>
          <cell r="HJ127" t="str">
            <v/>
          </cell>
          <cell r="HK127" t="str">
            <v/>
          </cell>
          <cell r="HL127" t="str">
            <v/>
          </cell>
          <cell r="HM127" t="str">
            <v/>
          </cell>
          <cell r="HN127" t="str">
            <v/>
          </cell>
          <cell r="HO127" t="str">
            <v/>
          </cell>
          <cell r="HP127" t="str">
            <v/>
          </cell>
          <cell r="HQ127" t="str">
            <v/>
          </cell>
          <cell r="HR127" t="str">
            <v/>
          </cell>
          <cell r="HS127" t="str">
            <v/>
          </cell>
          <cell r="HT127" t="str">
            <v/>
          </cell>
          <cell r="HU127" t="str">
            <v/>
          </cell>
          <cell r="HV127" t="str">
            <v/>
          </cell>
          <cell r="HW127" t="str">
            <v/>
          </cell>
          <cell r="MN127">
            <v>41000</v>
          </cell>
          <cell r="MO127">
            <v>42825</v>
          </cell>
          <cell r="MP127">
            <v>3660</v>
          </cell>
          <cell r="MQ127" t="str">
            <v>Analysts to manually calculate</v>
          </cell>
          <cell r="MR127">
            <v>42826</v>
          </cell>
          <cell r="MS127">
            <v>46843</v>
          </cell>
          <cell r="MT127">
            <v>4700</v>
          </cell>
          <cell r="MU127" t="str">
            <v>Analysts to manually calculate</v>
          </cell>
          <cell r="MY127" t="str">
            <v>Analysts to manually calculate</v>
          </cell>
          <cell r="NC127" t="str">
            <v>Analysts to manually calculate</v>
          </cell>
          <cell r="NG127" t="str">
            <v>Analysts to manually calculate</v>
          </cell>
        </row>
        <row r="128">
          <cell r="I128" t="str">
            <v>E07000088</v>
          </cell>
          <cell r="GZ128" t="str">
            <v/>
          </cell>
          <cell r="HA128" t="str">
            <v/>
          </cell>
          <cell r="HB128" t="str">
            <v/>
          </cell>
          <cell r="HC128" t="str">
            <v/>
          </cell>
          <cell r="HD128" t="str">
            <v/>
          </cell>
          <cell r="HE128" t="str">
            <v/>
          </cell>
          <cell r="HF128" t="str">
            <v/>
          </cell>
          <cell r="HG128" t="str">
            <v/>
          </cell>
          <cell r="HH128" t="str">
            <v/>
          </cell>
          <cell r="HI128" t="str">
            <v/>
          </cell>
          <cell r="HJ128" t="str">
            <v/>
          </cell>
          <cell r="HK128" t="str">
            <v/>
          </cell>
          <cell r="HL128" t="str">
            <v/>
          </cell>
          <cell r="HM128" t="str">
            <v/>
          </cell>
          <cell r="HN128" t="str">
            <v/>
          </cell>
          <cell r="HO128" t="str">
            <v/>
          </cell>
          <cell r="HP128" t="str">
            <v/>
          </cell>
          <cell r="HQ128" t="str">
            <v/>
          </cell>
          <cell r="HR128" t="str">
            <v/>
          </cell>
          <cell r="HS128" t="str">
            <v/>
          </cell>
          <cell r="HT128" t="str">
            <v/>
          </cell>
          <cell r="HU128" t="str">
            <v/>
          </cell>
          <cell r="HV128" t="str">
            <v/>
          </cell>
          <cell r="HW128" t="str">
            <v/>
          </cell>
          <cell r="MN128" t="str">
            <v/>
          </cell>
          <cell r="MO128" t="str">
            <v/>
          </cell>
          <cell r="MP128" t="str">
            <v/>
          </cell>
          <cell r="MQ128" t="str">
            <v/>
          </cell>
          <cell r="MR128" t="str">
            <v/>
          </cell>
          <cell r="MS128" t="str">
            <v/>
          </cell>
          <cell r="MT128" t="str">
            <v/>
          </cell>
          <cell r="MU128" t="str">
            <v/>
          </cell>
          <cell r="MV128" t="str">
            <v/>
          </cell>
          <cell r="MW128" t="str">
            <v/>
          </cell>
          <cell r="MX128" t="str">
            <v/>
          </cell>
          <cell r="MY128" t="str">
            <v/>
          </cell>
          <cell r="MZ128" t="str">
            <v/>
          </cell>
          <cell r="NA128" t="str">
            <v/>
          </cell>
          <cell r="NB128" t="str">
            <v/>
          </cell>
          <cell r="NC128" t="str">
            <v/>
          </cell>
          <cell r="ND128" t="str">
            <v/>
          </cell>
          <cell r="NE128" t="str">
            <v/>
          </cell>
          <cell r="NF128" t="str">
            <v/>
          </cell>
          <cell r="NG128" t="str">
            <v/>
          </cell>
          <cell r="NH128" t="str">
            <v/>
          </cell>
          <cell r="NI128" t="str">
            <v/>
          </cell>
          <cell r="NJ128" t="str">
            <v/>
          </cell>
        </row>
        <row r="129">
          <cell r="I129" t="str">
            <v>E06000015</v>
          </cell>
          <cell r="GZ129" t="str">
            <v/>
          </cell>
          <cell r="HA129" t="str">
            <v/>
          </cell>
          <cell r="HB129" t="str">
            <v/>
          </cell>
          <cell r="HC129" t="str">
            <v/>
          </cell>
          <cell r="HD129" t="str">
            <v/>
          </cell>
          <cell r="HE129" t="str">
            <v/>
          </cell>
          <cell r="HF129" t="str">
            <v/>
          </cell>
          <cell r="HG129" t="str">
            <v/>
          </cell>
          <cell r="HH129" t="str">
            <v/>
          </cell>
          <cell r="HI129" t="str">
            <v/>
          </cell>
          <cell r="HJ129" t="str">
            <v/>
          </cell>
          <cell r="HK129" t="str">
            <v/>
          </cell>
          <cell r="HL129" t="str">
            <v/>
          </cell>
          <cell r="HM129" t="str">
            <v/>
          </cell>
          <cell r="HN129" t="str">
            <v/>
          </cell>
          <cell r="HO129" t="str">
            <v/>
          </cell>
          <cell r="HP129" t="str">
            <v/>
          </cell>
          <cell r="HQ129" t="str">
            <v/>
          </cell>
          <cell r="HR129" t="str">
            <v/>
          </cell>
          <cell r="HS129" t="str">
            <v/>
          </cell>
          <cell r="HT129" t="str">
            <v/>
          </cell>
          <cell r="HU129" t="str">
            <v/>
          </cell>
          <cell r="HV129" t="str">
            <v/>
          </cell>
          <cell r="HW129" t="str">
            <v/>
          </cell>
          <cell r="MN129" t="str">
            <v/>
          </cell>
          <cell r="MO129" t="str">
            <v/>
          </cell>
          <cell r="MP129" t="str">
            <v/>
          </cell>
          <cell r="MQ129" t="str">
            <v/>
          </cell>
          <cell r="MR129" t="str">
            <v/>
          </cell>
          <cell r="MS129" t="str">
            <v/>
          </cell>
          <cell r="MT129" t="str">
            <v/>
          </cell>
          <cell r="MU129" t="str">
            <v/>
          </cell>
          <cell r="MV129" t="str">
            <v/>
          </cell>
          <cell r="MW129" t="str">
            <v/>
          </cell>
          <cell r="MX129" t="str">
            <v/>
          </cell>
          <cell r="MY129" t="str">
            <v/>
          </cell>
          <cell r="MZ129" t="str">
            <v/>
          </cell>
          <cell r="NA129" t="str">
            <v/>
          </cell>
          <cell r="NB129" t="str">
            <v/>
          </cell>
          <cell r="NC129" t="str">
            <v/>
          </cell>
          <cell r="ND129" t="str">
            <v/>
          </cell>
          <cell r="NE129" t="str">
            <v/>
          </cell>
          <cell r="NF129" t="str">
            <v/>
          </cell>
          <cell r="NG129" t="str">
            <v/>
          </cell>
          <cell r="NH129" t="str">
            <v/>
          </cell>
          <cell r="NI129" t="str">
            <v/>
          </cell>
          <cell r="NJ129" t="str">
            <v/>
          </cell>
        </row>
        <row r="130">
          <cell r="I130" t="str">
            <v>E07000152</v>
          </cell>
          <cell r="GZ130" t="str">
            <v/>
          </cell>
          <cell r="HA130" t="str">
            <v/>
          </cell>
          <cell r="HB130" t="str">
            <v/>
          </cell>
          <cell r="HC130" t="str">
            <v/>
          </cell>
          <cell r="HD130" t="str">
            <v/>
          </cell>
          <cell r="HE130" t="str">
            <v/>
          </cell>
          <cell r="HF130" t="str">
            <v/>
          </cell>
          <cell r="HG130" t="str">
            <v/>
          </cell>
          <cell r="HH130" t="str">
            <v/>
          </cell>
          <cell r="HI130" t="str">
            <v/>
          </cell>
          <cell r="HJ130" t="str">
            <v/>
          </cell>
          <cell r="HK130" t="str">
            <v/>
          </cell>
          <cell r="HL130" t="str">
            <v/>
          </cell>
          <cell r="HM130" t="str">
            <v/>
          </cell>
          <cell r="HN130" t="str">
            <v/>
          </cell>
          <cell r="HO130" t="str">
            <v/>
          </cell>
          <cell r="HP130" t="str">
            <v/>
          </cell>
          <cell r="HQ130" t="str">
            <v/>
          </cell>
          <cell r="HR130" t="str">
            <v/>
          </cell>
          <cell r="HS130" t="str">
            <v/>
          </cell>
          <cell r="HT130" t="str">
            <v/>
          </cell>
          <cell r="HU130" t="str">
            <v/>
          </cell>
          <cell r="HV130" t="str">
            <v/>
          </cell>
          <cell r="HW130" t="str">
            <v/>
          </cell>
          <cell r="MN130" t="str">
            <v/>
          </cell>
          <cell r="MO130" t="str">
            <v/>
          </cell>
          <cell r="MP130" t="str">
            <v/>
          </cell>
          <cell r="MQ130" t="str">
            <v/>
          </cell>
          <cell r="MR130" t="str">
            <v/>
          </cell>
          <cell r="MS130" t="str">
            <v/>
          </cell>
          <cell r="MT130" t="str">
            <v/>
          </cell>
          <cell r="MU130" t="str">
            <v/>
          </cell>
          <cell r="MV130" t="str">
            <v/>
          </cell>
          <cell r="MW130" t="str">
            <v/>
          </cell>
          <cell r="MX130" t="str">
            <v/>
          </cell>
          <cell r="MY130" t="str">
            <v/>
          </cell>
          <cell r="MZ130" t="str">
            <v/>
          </cell>
          <cell r="NA130" t="str">
            <v/>
          </cell>
          <cell r="NB130" t="str">
            <v/>
          </cell>
          <cell r="NC130" t="str">
            <v/>
          </cell>
          <cell r="ND130" t="str">
            <v/>
          </cell>
          <cell r="NE130" t="str">
            <v/>
          </cell>
          <cell r="NF130" t="str">
            <v/>
          </cell>
          <cell r="NG130" t="str">
            <v/>
          </cell>
          <cell r="NH130" t="str">
            <v/>
          </cell>
          <cell r="NI130" t="str">
            <v/>
          </cell>
          <cell r="NJ130" t="str">
            <v/>
          </cell>
        </row>
        <row r="131">
          <cell r="I131" t="str">
            <v>E07000165</v>
          </cell>
          <cell r="GZ131" t="str">
            <v/>
          </cell>
          <cell r="HA131" t="str">
            <v/>
          </cell>
          <cell r="HB131" t="str">
            <v/>
          </cell>
          <cell r="HC131" t="str">
            <v/>
          </cell>
          <cell r="HD131" t="str">
            <v/>
          </cell>
          <cell r="HE131" t="str">
            <v/>
          </cell>
          <cell r="HF131" t="str">
            <v/>
          </cell>
          <cell r="HG131" t="str">
            <v/>
          </cell>
          <cell r="HH131" t="str">
            <v/>
          </cell>
          <cell r="HI131" t="str">
            <v/>
          </cell>
          <cell r="HJ131" t="str">
            <v/>
          </cell>
          <cell r="HK131" t="str">
            <v/>
          </cell>
          <cell r="HL131" t="str">
            <v/>
          </cell>
          <cell r="HM131" t="str">
            <v/>
          </cell>
          <cell r="HN131" t="str">
            <v/>
          </cell>
          <cell r="HO131" t="str">
            <v/>
          </cell>
          <cell r="HP131" t="str">
            <v/>
          </cell>
          <cell r="HQ131" t="str">
            <v/>
          </cell>
          <cell r="HR131" t="str">
            <v/>
          </cell>
          <cell r="HS131" t="str">
            <v/>
          </cell>
          <cell r="HT131" t="str">
            <v/>
          </cell>
          <cell r="HU131" t="str">
            <v/>
          </cell>
          <cell r="HV131" t="str">
            <v/>
          </cell>
          <cell r="HW131" t="str">
            <v/>
          </cell>
          <cell r="MN131" t="str">
            <v/>
          </cell>
          <cell r="MO131" t="str">
            <v/>
          </cell>
          <cell r="MP131" t="str">
            <v/>
          </cell>
          <cell r="MQ131" t="str">
            <v/>
          </cell>
          <cell r="MR131" t="str">
            <v/>
          </cell>
          <cell r="MS131" t="str">
            <v/>
          </cell>
          <cell r="MT131" t="str">
            <v/>
          </cell>
          <cell r="MU131" t="str">
            <v/>
          </cell>
          <cell r="MV131" t="str">
            <v/>
          </cell>
          <cell r="MW131" t="str">
            <v/>
          </cell>
          <cell r="MX131" t="str">
            <v/>
          </cell>
          <cell r="MY131" t="str">
            <v/>
          </cell>
          <cell r="MZ131" t="str">
            <v/>
          </cell>
          <cell r="NA131" t="str">
            <v/>
          </cell>
          <cell r="NB131" t="str">
            <v/>
          </cell>
          <cell r="NC131" t="str">
            <v/>
          </cell>
          <cell r="ND131" t="str">
            <v/>
          </cell>
          <cell r="NE131" t="str">
            <v/>
          </cell>
          <cell r="NF131" t="str">
            <v/>
          </cell>
          <cell r="NG131" t="str">
            <v/>
          </cell>
          <cell r="NH131" t="str">
            <v/>
          </cell>
          <cell r="NI131" t="str">
            <v/>
          </cell>
          <cell r="NJ131" t="str">
            <v/>
          </cell>
        </row>
        <row r="132">
          <cell r="I132" t="str">
            <v>E08000024</v>
          </cell>
          <cell r="GZ132" t="str">
            <v/>
          </cell>
          <cell r="HA132" t="str">
            <v/>
          </cell>
          <cell r="HB132" t="str">
            <v/>
          </cell>
          <cell r="HC132" t="str">
            <v/>
          </cell>
          <cell r="HD132" t="str">
            <v/>
          </cell>
          <cell r="HE132" t="str">
            <v/>
          </cell>
          <cell r="HF132" t="str">
            <v/>
          </cell>
          <cell r="HG132" t="str">
            <v/>
          </cell>
          <cell r="HH132" t="str">
            <v/>
          </cell>
          <cell r="HI132" t="str">
            <v/>
          </cell>
          <cell r="HJ132" t="str">
            <v/>
          </cell>
          <cell r="HK132" t="str">
            <v/>
          </cell>
          <cell r="HL132" t="str">
            <v/>
          </cell>
          <cell r="HM132" t="str">
            <v/>
          </cell>
          <cell r="HN132" t="str">
            <v/>
          </cell>
          <cell r="HO132" t="str">
            <v/>
          </cell>
          <cell r="HP132" t="str">
            <v/>
          </cell>
          <cell r="HQ132" t="str">
            <v/>
          </cell>
          <cell r="HR132" t="str">
            <v/>
          </cell>
          <cell r="HS132" t="str">
            <v/>
          </cell>
          <cell r="HT132" t="str">
            <v/>
          </cell>
          <cell r="HU132" t="str">
            <v/>
          </cell>
          <cell r="HV132" t="str">
            <v/>
          </cell>
          <cell r="HW132" t="str">
            <v/>
          </cell>
          <cell r="MN132" t="str">
            <v/>
          </cell>
          <cell r="MO132" t="str">
            <v/>
          </cell>
          <cell r="MP132" t="str">
            <v/>
          </cell>
          <cell r="MQ132" t="str">
            <v/>
          </cell>
          <cell r="MR132" t="str">
            <v/>
          </cell>
          <cell r="MS132" t="str">
            <v/>
          </cell>
          <cell r="MT132" t="str">
            <v/>
          </cell>
          <cell r="MU132" t="str">
            <v/>
          </cell>
          <cell r="MV132" t="str">
            <v/>
          </cell>
          <cell r="MW132" t="str">
            <v/>
          </cell>
          <cell r="MX132" t="str">
            <v/>
          </cell>
          <cell r="MY132" t="str">
            <v/>
          </cell>
          <cell r="MZ132" t="str">
            <v/>
          </cell>
          <cell r="NA132" t="str">
            <v/>
          </cell>
          <cell r="NB132" t="str">
            <v/>
          </cell>
          <cell r="NC132" t="str">
            <v/>
          </cell>
          <cell r="ND132" t="str">
            <v/>
          </cell>
          <cell r="NE132" t="str">
            <v/>
          </cell>
          <cell r="NF132" t="str">
            <v/>
          </cell>
          <cell r="NG132" t="str">
            <v/>
          </cell>
          <cell r="NH132" t="str">
            <v/>
          </cell>
          <cell r="NI132" t="str">
            <v/>
          </cell>
          <cell r="NJ132" t="str">
            <v/>
          </cell>
        </row>
        <row r="133">
          <cell r="I133" t="str">
            <v>E07000119</v>
          </cell>
          <cell r="GZ133" t="str">
            <v/>
          </cell>
          <cell r="HA133" t="str">
            <v/>
          </cell>
          <cell r="HB133" t="str">
            <v/>
          </cell>
          <cell r="HC133" t="str">
            <v/>
          </cell>
          <cell r="HD133" t="str">
            <v/>
          </cell>
          <cell r="HE133" t="str">
            <v/>
          </cell>
          <cell r="HF133" t="str">
            <v/>
          </cell>
          <cell r="HG133" t="str">
            <v/>
          </cell>
          <cell r="HH133" t="str">
            <v/>
          </cell>
          <cell r="HI133" t="str">
            <v/>
          </cell>
          <cell r="HJ133" t="str">
            <v/>
          </cell>
          <cell r="HK133" t="str">
            <v/>
          </cell>
          <cell r="HL133" t="str">
            <v/>
          </cell>
          <cell r="HM133" t="str">
            <v/>
          </cell>
          <cell r="HN133" t="str">
            <v/>
          </cell>
          <cell r="HO133" t="str">
            <v/>
          </cell>
          <cell r="HP133" t="str">
            <v/>
          </cell>
          <cell r="HQ133" t="str">
            <v/>
          </cell>
          <cell r="HR133" t="str">
            <v/>
          </cell>
          <cell r="HS133" t="str">
            <v/>
          </cell>
          <cell r="HT133" t="str">
            <v/>
          </cell>
          <cell r="HU133" t="str">
            <v/>
          </cell>
          <cell r="HV133" t="str">
            <v/>
          </cell>
          <cell r="HW133" t="str">
            <v/>
          </cell>
          <cell r="MN133" t="str">
            <v/>
          </cell>
          <cell r="MO133" t="str">
            <v/>
          </cell>
          <cell r="MP133" t="str">
            <v/>
          </cell>
          <cell r="MQ133" t="str">
            <v/>
          </cell>
          <cell r="MR133" t="str">
            <v/>
          </cell>
          <cell r="MS133" t="str">
            <v/>
          </cell>
          <cell r="MT133" t="str">
            <v/>
          </cell>
          <cell r="MU133" t="str">
            <v/>
          </cell>
          <cell r="MV133" t="str">
            <v/>
          </cell>
          <cell r="MW133" t="str">
            <v/>
          </cell>
          <cell r="MX133" t="str">
            <v/>
          </cell>
          <cell r="MY133" t="str">
            <v/>
          </cell>
          <cell r="MZ133" t="str">
            <v/>
          </cell>
          <cell r="NA133" t="str">
            <v/>
          </cell>
          <cell r="NB133" t="str">
            <v/>
          </cell>
          <cell r="NC133" t="str">
            <v/>
          </cell>
          <cell r="ND133" t="str">
            <v/>
          </cell>
          <cell r="NE133" t="str">
            <v/>
          </cell>
          <cell r="NF133" t="str">
            <v/>
          </cell>
          <cell r="NG133" t="str">
            <v/>
          </cell>
          <cell r="NH133" t="str">
            <v/>
          </cell>
          <cell r="NI133" t="str">
            <v/>
          </cell>
          <cell r="NJ133" t="str">
            <v/>
          </cell>
        </row>
        <row r="134">
          <cell r="I134" t="str">
            <v>E07000083</v>
          </cell>
          <cell r="GZ134" t="str">
            <v/>
          </cell>
          <cell r="HA134" t="str">
            <v/>
          </cell>
          <cell r="HB134" t="str">
            <v/>
          </cell>
          <cell r="HC134" t="str">
            <v/>
          </cell>
          <cell r="HD134" t="str">
            <v/>
          </cell>
          <cell r="HE134" t="str">
            <v/>
          </cell>
          <cell r="HF134" t="str">
            <v/>
          </cell>
          <cell r="HG134" t="str">
            <v/>
          </cell>
          <cell r="HH134" t="str">
            <v/>
          </cell>
          <cell r="HI134" t="str">
            <v/>
          </cell>
          <cell r="HJ134" t="str">
            <v/>
          </cell>
          <cell r="HK134" t="str">
            <v/>
          </cell>
          <cell r="HL134" t="str">
            <v/>
          </cell>
          <cell r="HM134" t="str">
            <v/>
          </cell>
          <cell r="HN134" t="str">
            <v/>
          </cell>
          <cell r="HO134" t="str">
            <v/>
          </cell>
          <cell r="HP134" t="str">
            <v/>
          </cell>
          <cell r="HQ134" t="str">
            <v/>
          </cell>
          <cell r="HR134" t="str">
            <v/>
          </cell>
          <cell r="HS134" t="str">
            <v/>
          </cell>
          <cell r="HT134" t="str">
            <v/>
          </cell>
          <cell r="HU134" t="str">
            <v/>
          </cell>
          <cell r="HV134" t="str">
            <v/>
          </cell>
          <cell r="HW134" t="str">
            <v/>
          </cell>
          <cell r="MN134" t="str">
            <v/>
          </cell>
          <cell r="MO134" t="str">
            <v/>
          </cell>
          <cell r="MP134" t="str">
            <v/>
          </cell>
          <cell r="MQ134" t="str">
            <v/>
          </cell>
          <cell r="MR134" t="str">
            <v/>
          </cell>
          <cell r="MS134" t="str">
            <v/>
          </cell>
          <cell r="MT134" t="str">
            <v/>
          </cell>
          <cell r="MU134" t="str">
            <v/>
          </cell>
          <cell r="MV134" t="str">
            <v/>
          </cell>
          <cell r="MW134" t="str">
            <v/>
          </cell>
          <cell r="MX134" t="str">
            <v/>
          </cell>
          <cell r="MY134" t="str">
            <v/>
          </cell>
          <cell r="MZ134" t="str">
            <v/>
          </cell>
          <cell r="NA134" t="str">
            <v/>
          </cell>
          <cell r="NB134" t="str">
            <v/>
          </cell>
          <cell r="NC134" t="str">
            <v/>
          </cell>
          <cell r="ND134" t="str">
            <v/>
          </cell>
          <cell r="NE134" t="str">
            <v/>
          </cell>
          <cell r="NF134" t="str">
            <v/>
          </cell>
          <cell r="NG134" t="str">
            <v/>
          </cell>
          <cell r="NH134" t="str">
            <v/>
          </cell>
          <cell r="NI134" t="str">
            <v/>
          </cell>
          <cell r="NJ134" t="str">
            <v/>
          </cell>
        </row>
        <row r="135">
          <cell r="I135" t="str">
            <v>E07000053</v>
          </cell>
          <cell r="GZ135" t="str">
            <v/>
          </cell>
          <cell r="HA135" t="str">
            <v/>
          </cell>
          <cell r="HB135" t="str">
            <v/>
          </cell>
          <cell r="HC135" t="str">
            <v/>
          </cell>
          <cell r="HD135" t="str">
            <v/>
          </cell>
          <cell r="HE135" t="str">
            <v/>
          </cell>
          <cell r="HF135" t="str">
            <v/>
          </cell>
          <cell r="HG135" t="str">
            <v/>
          </cell>
          <cell r="HH135" t="str">
            <v/>
          </cell>
          <cell r="HI135" t="str">
            <v/>
          </cell>
          <cell r="HJ135" t="str">
            <v/>
          </cell>
          <cell r="HK135" t="str">
            <v/>
          </cell>
          <cell r="HL135" t="str">
            <v/>
          </cell>
          <cell r="HM135" t="str">
            <v/>
          </cell>
          <cell r="HN135" t="str">
            <v/>
          </cell>
          <cell r="HO135" t="str">
            <v/>
          </cell>
          <cell r="HP135" t="str">
            <v/>
          </cell>
          <cell r="HQ135" t="str">
            <v/>
          </cell>
          <cell r="HR135" t="str">
            <v/>
          </cell>
          <cell r="HS135" t="str">
            <v/>
          </cell>
          <cell r="HT135" t="str">
            <v/>
          </cell>
          <cell r="HU135" t="str">
            <v/>
          </cell>
          <cell r="HV135" t="str">
            <v/>
          </cell>
          <cell r="HW135" t="str">
            <v/>
          </cell>
          <cell r="MN135" t="str">
            <v/>
          </cell>
          <cell r="MO135" t="str">
            <v/>
          </cell>
          <cell r="MP135" t="str">
            <v/>
          </cell>
          <cell r="MQ135" t="str">
            <v/>
          </cell>
          <cell r="MR135" t="str">
            <v/>
          </cell>
          <cell r="MS135" t="str">
            <v/>
          </cell>
          <cell r="MT135" t="str">
            <v/>
          </cell>
          <cell r="MU135" t="str">
            <v/>
          </cell>
          <cell r="MV135" t="str">
            <v/>
          </cell>
          <cell r="MW135" t="str">
            <v/>
          </cell>
          <cell r="MX135" t="str">
            <v/>
          </cell>
          <cell r="MY135" t="str">
            <v/>
          </cell>
          <cell r="MZ135" t="str">
            <v/>
          </cell>
          <cell r="NA135" t="str">
            <v/>
          </cell>
          <cell r="NB135" t="str">
            <v/>
          </cell>
          <cell r="NC135" t="str">
            <v/>
          </cell>
          <cell r="ND135" t="str">
            <v/>
          </cell>
          <cell r="NE135" t="str">
            <v/>
          </cell>
          <cell r="NF135" t="str">
            <v/>
          </cell>
          <cell r="NG135" t="str">
            <v/>
          </cell>
          <cell r="NH135" t="str">
            <v/>
          </cell>
          <cell r="NI135" t="str">
            <v/>
          </cell>
          <cell r="NJ135" t="str">
            <v/>
          </cell>
        </row>
        <row r="136">
          <cell r="I136" t="str">
            <v>E06000013</v>
          </cell>
          <cell r="GZ136" t="str">
            <v/>
          </cell>
          <cell r="HA136" t="str">
            <v/>
          </cell>
          <cell r="HB136" t="str">
            <v/>
          </cell>
          <cell r="HC136" t="str">
            <v/>
          </cell>
          <cell r="HD136" t="str">
            <v/>
          </cell>
          <cell r="HE136" t="str">
            <v/>
          </cell>
          <cell r="HF136" t="str">
            <v/>
          </cell>
          <cell r="HG136" t="str">
            <v/>
          </cell>
          <cell r="HH136" t="str">
            <v/>
          </cell>
          <cell r="HI136" t="str">
            <v/>
          </cell>
          <cell r="HJ136" t="str">
            <v/>
          </cell>
          <cell r="HK136" t="str">
            <v/>
          </cell>
          <cell r="HL136" t="str">
            <v/>
          </cell>
          <cell r="HM136" t="str">
            <v/>
          </cell>
          <cell r="HN136" t="str">
            <v/>
          </cell>
          <cell r="HO136" t="str">
            <v/>
          </cell>
          <cell r="HP136" t="str">
            <v/>
          </cell>
          <cell r="HQ136" t="str">
            <v/>
          </cell>
          <cell r="HR136" t="str">
            <v/>
          </cell>
          <cell r="HS136" t="str">
            <v/>
          </cell>
          <cell r="HT136" t="str">
            <v/>
          </cell>
          <cell r="HU136" t="str">
            <v/>
          </cell>
          <cell r="HV136" t="str">
            <v/>
          </cell>
          <cell r="HW136" t="str">
            <v/>
          </cell>
          <cell r="MN136" t="str">
            <v/>
          </cell>
          <cell r="MO136" t="str">
            <v/>
          </cell>
          <cell r="MP136" t="str">
            <v/>
          </cell>
          <cell r="MQ136" t="str">
            <v/>
          </cell>
          <cell r="MR136" t="str">
            <v/>
          </cell>
          <cell r="MS136" t="str">
            <v/>
          </cell>
          <cell r="MT136" t="str">
            <v/>
          </cell>
          <cell r="MU136" t="str">
            <v/>
          </cell>
          <cell r="MV136" t="str">
            <v/>
          </cell>
          <cell r="MW136" t="str">
            <v/>
          </cell>
          <cell r="MX136" t="str">
            <v/>
          </cell>
          <cell r="MY136" t="str">
            <v/>
          </cell>
          <cell r="MZ136" t="str">
            <v/>
          </cell>
          <cell r="NA136" t="str">
            <v/>
          </cell>
          <cell r="NB136" t="str">
            <v/>
          </cell>
          <cell r="NC136" t="str">
            <v/>
          </cell>
          <cell r="ND136" t="str">
            <v/>
          </cell>
          <cell r="NE136" t="str">
            <v/>
          </cell>
          <cell r="NF136" t="str">
            <v/>
          </cell>
          <cell r="NG136" t="str">
            <v/>
          </cell>
          <cell r="NH136" t="str">
            <v/>
          </cell>
          <cell r="NI136" t="str">
            <v/>
          </cell>
          <cell r="NJ136" t="str">
            <v/>
          </cell>
        </row>
        <row r="137">
          <cell r="I137" t="str">
            <v>E08000012</v>
          </cell>
          <cell r="GZ137" t="str">
            <v/>
          </cell>
          <cell r="HA137" t="str">
            <v/>
          </cell>
          <cell r="HB137" t="str">
            <v/>
          </cell>
          <cell r="HC137" t="str">
            <v/>
          </cell>
          <cell r="HD137" t="str">
            <v/>
          </cell>
          <cell r="HE137" t="str">
            <v/>
          </cell>
          <cell r="HF137" t="str">
            <v/>
          </cell>
          <cell r="HG137" t="str">
            <v/>
          </cell>
          <cell r="HH137" t="str">
            <v/>
          </cell>
          <cell r="HI137" t="str">
            <v/>
          </cell>
          <cell r="HJ137" t="str">
            <v/>
          </cell>
          <cell r="HK137" t="str">
            <v/>
          </cell>
          <cell r="HL137" t="str">
            <v/>
          </cell>
          <cell r="HM137" t="str">
            <v/>
          </cell>
          <cell r="HN137" t="str">
            <v/>
          </cell>
          <cell r="HO137" t="str">
            <v/>
          </cell>
          <cell r="HP137" t="str">
            <v/>
          </cell>
          <cell r="HQ137" t="str">
            <v/>
          </cell>
          <cell r="HR137" t="str">
            <v/>
          </cell>
          <cell r="HS137" t="str">
            <v/>
          </cell>
          <cell r="HT137" t="str">
            <v/>
          </cell>
          <cell r="HU137" t="str">
            <v/>
          </cell>
          <cell r="HV137" t="str">
            <v/>
          </cell>
          <cell r="HW137" t="str">
            <v/>
          </cell>
          <cell r="MN137" t="str">
            <v/>
          </cell>
          <cell r="MO137" t="str">
            <v/>
          </cell>
          <cell r="MP137" t="str">
            <v/>
          </cell>
          <cell r="MQ137" t="str">
            <v/>
          </cell>
          <cell r="MR137" t="str">
            <v/>
          </cell>
          <cell r="MS137" t="str">
            <v/>
          </cell>
          <cell r="MT137" t="str">
            <v/>
          </cell>
          <cell r="MU137" t="str">
            <v/>
          </cell>
          <cell r="MV137" t="str">
            <v/>
          </cell>
          <cell r="MW137" t="str">
            <v/>
          </cell>
          <cell r="MX137" t="str">
            <v/>
          </cell>
          <cell r="MY137" t="str">
            <v/>
          </cell>
          <cell r="MZ137" t="str">
            <v/>
          </cell>
          <cell r="NA137" t="str">
            <v/>
          </cell>
          <cell r="NB137" t="str">
            <v/>
          </cell>
          <cell r="NC137" t="str">
            <v/>
          </cell>
          <cell r="ND137" t="str">
            <v/>
          </cell>
          <cell r="NE137" t="str">
            <v/>
          </cell>
          <cell r="NF137" t="str">
            <v/>
          </cell>
          <cell r="NG137" t="str">
            <v/>
          </cell>
          <cell r="NH137" t="str">
            <v/>
          </cell>
          <cell r="NI137" t="str">
            <v/>
          </cell>
          <cell r="NJ137" t="str">
            <v/>
          </cell>
        </row>
        <row r="138">
          <cell r="I138" t="str">
            <v>E09000007</v>
          </cell>
          <cell r="GZ138" t="str">
            <v/>
          </cell>
          <cell r="HA138" t="str">
            <v/>
          </cell>
          <cell r="HB138" t="str">
            <v/>
          </cell>
          <cell r="HC138" t="str">
            <v/>
          </cell>
          <cell r="HD138" t="str">
            <v/>
          </cell>
          <cell r="HE138" t="str">
            <v/>
          </cell>
          <cell r="HF138" t="str">
            <v/>
          </cell>
          <cell r="HG138" t="str">
            <v/>
          </cell>
          <cell r="HH138" t="str">
            <v/>
          </cell>
          <cell r="HI138" t="str">
            <v/>
          </cell>
          <cell r="HJ138" t="str">
            <v/>
          </cell>
          <cell r="HK138" t="str">
            <v/>
          </cell>
          <cell r="HL138" t="str">
            <v/>
          </cell>
          <cell r="HM138" t="str">
            <v/>
          </cell>
          <cell r="HN138" t="str">
            <v/>
          </cell>
          <cell r="HO138" t="str">
            <v/>
          </cell>
          <cell r="HP138" t="str">
            <v/>
          </cell>
          <cell r="HQ138" t="str">
            <v/>
          </cell>
          <cell r="HR138" t="str">
            <v/>
          </cell>
          <cell r="HS138" t="str">
            <v/>
          </cell>
          <cell r="HT138" t="str">
            <v/>
          </cell>
          <cell r="HU138" t="str">
            <v/>
          </cell>
          <cell r="HV138" t="str">
            <v/>
          </cell>
          <cell r="HW138" t="str">
            <v/>
          </cell>
          <cell r="MQ138" t="str">
            <v>Analysts to manually calculate</v>
          </cell>
          <cell r="MU138" t="str">
            <v>Analysts to manually calculate</v>
          </cell>
          <cell r="MY138" t="str">
            <v>Analysts to manually calculate</v>
          </cell>
          <cell r="NC138" t="str">
            <v>Analysts to manually calculate</v>
          </cell>
          <cell r="NG138" t="str">
            <v>Analysts to manually calculate</v>
          </cell>
        </row>
        <row r="139">
          <cell r="I139" t="str">
            <v>E07000122</v>
          </cell>
          <cell r="GZ139" t="str">
            <v/>
          </cell>
          <cell r="HA139" t="str">
            <v/>
          </cell>
          <cell r="HB139" t="str">
            <v/>
          </cell>
          <cell r="HC139" t="str">
            <v/>
          </cell>
          <cell r="HD139" t="str">
            <v/>
          </cell>
          <cell r="HE139" t="str">
            <v/>
          </cell>
          <cell r="HF139" t="str">
            <v/>
          </cell>
          <cell r="HG139" t="str">
            <v/>
          </cell>
          <cell r="HH139" t="str">
            <v/>
          </cell>
          <cell r="HI139" t="str">
            <v/>
          </cell>
          <cell r="HJ139" t="str">
            <v/>
          </cell>
          <cell r="HK139" t="str">
            <v/>
          </cell>
          <cell r="HL139" t="str">
            <v/>
          </cell>
          <cell r="HM139" t="str">
            <v/>
          </cell>
          <cell r="HN139" t="str">
            <v/>
          </cell>
          <cell r="HO139" t="str">
            <v/>
          </cell>
          <cell r="HP139" t="str">
            <v/>
          </cell>
          <cell r="HQ139" t="str">
            <v/>
          </cell>
          <cell r="HR139" t="str">
            <v/>
          </cell>
          <cell r="HS139" t="str">
            <v/>
          </cell>
          <cell r="HT139" t="str">
            <v/>
          </cell>
          <cell r="HU139" t="str">
            <v/>
          </cell>
          <cell r="HV139" t="str">
            <v/>
          </cell>
          <cell r="HW139" t="str">
            <v/>
          </cell>
          <cell r="MN139" t="str">
            <v/>
          </cell>
          <cell r="MO139" t="str">
            <v/>
          </cell>
          <cell r="MP139" t="str">
            <v/>
          </cell>
          <cell r="MQ139" t="str">
            <v/>
          </cell>
          <cell r="MR139" t="str">
            <v/>
          </cell>
          <cell r="MS139" t="str">
            <v/>
          </cell>
          <cell r="MT139" t="str">
            <v/>
          </cell>
          <cell r="MU139" t="str">
            <v/>
          </cell>
          <cell r="MV139" t="str">
            <v/>
          </cell>
          <cell r="MW139" t="str">
            <v/>
          </cell>
          <cell r="MX139" t="str">
            <v/>
          </cell>
          <cell r="MY139" t="str">
            <v/>
          </cell>
          <cell r="MZ139" t="str">
            <v/>
          </cell>
          <cell r="NA139" t="str">
            <v/>
          </cell>
          <cell r="NB139" t="str">
            <v/>
          </cell>
          <cell r="NC139" t="str">
            <v/>
          </cell>
          <cell r="ND139" t="str">
            <v/>
          </cell>
          <cell r="NE139" t="str">
            <v/>
          </cell>
          <cell r="NF139" t="str">
            <v/>
          </cell>
          <cell r="NG139" t="str">
            <v/>
          </cell>
          <cell r="NH139" t="str">
            <v/>
          </cell>
          <cell r="NI139" t="str">
            <v/>
          </cell>
          <cell r="NJ139" t="str">
            <v/>
          </cell>
        </row>
        <row r="140">
          <cell r="I140" t="str">
            <v>E07000118</v>
          </cell>
          <cell r="GZ140" t="str">
            <v/>
          </cell>
          <cell r="HA140" t="str">
            <v/>
          </cell>
          <cell r="HB140" t="str">
            <v/>
          </cell>
          <cell r="HC140" t="str">
            <v/>
          </cell>
          <cell r="HD140" t="str">
            <v/>
          </cell>
          <cell r="HE140" t="str">
            <v/>
          </cell>
          <cell r="HF140" t="str">
            <v/>
          </cell>
          <cell r="HG140" t="str">
            <v/>
          </cell>
          <cell r="HH140" t="str">
            <v/>
          </cell>
          <cell r="HI140" t="str">
            <v/>
          </cell>
          <cell r="HJ140" t="str">
            <v/>
          </cell>
          <cell r="HK140" t="str">
            <v/>
          </cell>
          <cell r="HL140" t="str">
            <v/>
          </cell>
          <cell r="HM140" t="str">
            <v/>
          </cell>
          <cell r="HN140" t="str">
            <v/>
          </cell>
          <cell r="HO140" t="str">
            <v/>
          </cell>
          <cell r="HP140" t="str">
            <v/>
          </cell>
          <cell r="HQ140" t="str">
            <v/>
          </cell>
          <cell r="HR140" t="str">
            <v/>
          </cell>
          <cell r="HS140" t="str">
            <v/>
          </cell>
          <cell r="HT140" t="str">
            <v/>
          </cell>
          <cell r="HU140" t="str">
            <v/>
          </cell>
          <cell r="HV140" t="str">
            <v/>
          </cell>
          <cell r="HW140" t="str">
            <v/>
          </cell>
          <cell r="MN140" t="str">
            <v/>
          </cell>
          <cell r="MO140" t="str">
            <v/>
          </cell>
          <cell r="MP140" t="str">
            <v/>
          </cell>
          <cell r="MQ140" t="str">
            <v/>
          </cell>
          <cell r="MR140" t="str">
            <v/>
          </cell>
          <cell r="MS140" t="str">
            <v/>
          </cell>
          <cell r="MT140" t="str">
            <v/>
          </cell>
          <cell r="MU140" t="str">
            <v/>
          </cell>
          <cell r="MV140" t="str">
            <v/>
          </cell>
          <cell r="MW140" t="str">
            <v/>
          </cell>
          <cell r="MX140" t="str">
            <v/>
          </cell>
          <cell r="MY140" t="str">
            <v/>
          </cell>
          <cell r="MZ140" t="str">
            <v/>
          </cell>
          <cell r="NA140" t="str">
            <v/>
          </cell>
          <cell r="NB140" t="str">
            <v/>
          </cell>
          <cell r="NC140" t="str">
            <v/>
          </cell>
          <cell r="ND140" t="str">
            <v/>
          </cell>
          <cell r="NE140" t="str">
            <v/>
          </cell>
          <cell r="NF140" t="str">
            <v/>
          </cell>
          <cell r="NG140" t="str">
            <v/>
          </cell>
          <cell r="NH140" t="str">
            <v/>
          </cell>
          <cell r="NI140" t="str">
            <v/>
          </cell>
          <cell r="NJ140" t="str">
            <v/>
          </cell>
        </row>
        <row r="141">
          <cell r="I141" t="str">
            <v>E07000209</v>
          </cell>
          <cell r="GZ141" t="str">
            <v/>
          </cell>
          <cell r="HA141" t="str">
            <v/>
          </cell>
          <cell r="HB141" t="str">
            <v/>
          </cell>
          <cell r="HC141" t="str">
            <v/>
          </cell>
          <cell r="HD141" t="str">
            <v/>
          </cell>
          <cell r="HE141" t="str">
            <v/>
          </cell>
          <cell r="HF141" t="str">
            <v/>
          </cell>
          <cell r="HG141" t="str">
            <v/>
          </cell>
          <cell r="HH141" t="str">
            <v/>
          </cell>
          <cell r="HI141" t="str">
            <v/>
          </cell>
          <cell r="HJ141" t="str">
            <v/>
          </cell>
          <cell r="HK141" t="str">
            <v/>
          </cell>
          <cell r="HL141" t="str">
            <v/>
          </cell>
          <cell r="HM141" t="str">
            <v/>
          </cell>
          <cell r="HN141" t="str">
            <v/>
          </cell>
          <cell r="HO141" t="str">
            <v/>
          </cell>
          <cell r="HP141" t="str">
            <v/>
          </cell>
          <cell r="HQ141" t="str">
            <v/>
          </cell>
          <cell r="HR141" t="str">
            <v/>
          </cell>
          <cell r="HS141" t="str">
            <v/>
          </cell>
          <cell r="HT141" t="str">
            <v/>
          </cell>
          <cell r="HU141" t="str">
            <v/>
          </cell>
          <cell r="HV141" t="str">
            <v/>
          </cell>
          <cell r="HW141" t="str">
            <v/>
          </cell>
          <cell r="MN141" t="str">
            <v/>
          </cell>
          <cell r="MO141" t="str">
            <v/>
          </cell>
          <cell r="MP141" t="str">
            <v/>
          </cell>
          <cell r="MQ141" t="str">
            <v/>
          </cell>
          <cell r="MR141" t="str">
            <v/>
          </cell>
          <cell r="MS141" t="str">
            <v/>
          </cell>
          <cell r="MT141" t="str">
            <v/>
          </cell>
          <cell r="MU141" t="str">
            <v/>
          </cell>
          <cell r="MV141" t="str">
            <v/>
          </cell>
          <cell r="MW141" t="str">
            <v/>
          </cell>
          <cell r="MX141" t="str">
            <v/>
          </cell>
          <cell r="MY141" t="str">
            <v/>
          </cell>
          <cell r="MZ141" t="str">
            <v/>
          </cell>
          <cell r="NA141" t="str">
            <v/>
          </cell>
          <cell r="NB141" t="str">
            <v/>
          </cell>
          <cell r="NC141" t="str">
            <v/>
          </cell>
          <cell r="ND141" t="str">
            <v/>
          </cell>
          <cell r="NE141" t="str">
            <v/>
          </cell>
          <cell r="NF141" t="str">
            <v/>
          </cell>
          <cell r="NG141" t="str">
            <v/>
          </cell>
          <cell r="NH141" t="str">
            <v/>
          </cell>
          <cell r="NI141" t="str">
            <v/>
          </cell>
          <cell r="NJ141" t="str">
            <v/>
          </cell>
        </row>
        <row r="142">
          <cell r="I142" t="str">
            <v>E07000171</v>
          </cell>
          <cell r="GZ142" t="str">
            <v/>
          </cell>
          <cell r="HA142" t="str">
            <v/>
          </cell>
          <cell r="HB142" t="str">
            <v/>
          </cell>
          <cell r="HC142" t="str">
            <v/>
          </cell>
          <cell r="HD142" t="str">
            <v/>
          </cell>
          <cell r="HE142" t="str">
            <v/>
          </cell>
          <cell r="HF142" t="str">
            <v/>
          </cell>
          <cell r="HG142" t="str">
            <v/>
          </cell>
          <cell r="HH142" t="str">
            <v/>
          </cell>
          <cell r="HI142" t="str">
            <v/>
          </cell>
          <cell r="HJ142" t="str">
            <v/>
          </cell>
          <cell r="HK142" t="str">
            <v/>
          </cell>
          <cell r="HL142" t="str">
            <v/>
          </cell>
          <cell r="HM142" t="str">
            <v/>
          </cell>
          <cell r="HN142" t="str">
            <v/>
          </cell>
          <cell r="HO142" t="str">
            <v/>
          </cell>
          <cell r="HP142" t="str">
            <v/>
          </cell>
          <cell r="HQ142" t="str">
            <v/>
          </cell>
          <cell r="HR142" t="str">
            <v/>
          </cell>
          <cell r="HS142" t="str">
            <v/>
          </cell>
          <cell r="HT142" t="str">
            <v/>
          </cell>
          <cell r="HU142" t="str">
            <v/>
          </cell>
          <cell r="HV142" t="str">
            <v/>
          </cell>
          <cell r="HW142" t="str">
            <v/>
          </cell>
          <cell r="MN142" t="str">
            <v/>
          </cell>
          <cell r="MO142" t="str">
            <v/>
          </cell>
          <cell r="MP142" t="str">
            <v/>
          </cell>
          <cell r="MQ142" t="str">
            <v/>
          </cell>
          <cell r="MR142" t="str">
            <v/>
          </cell>
          <cell r="MS142" t="str">
            <v/>
          </cell>
          <cell r="MT142" t="str">
            <v/>
          </cell>
          <cell r="MU142" t="str">
            <v/>
          </cell>
          <cell r="MV142" t="str">
            <v/>
          </cell>
          <cell r="MW142" t="str">
            <v/>
          </cell>
          <cell r="MX142" t="str">
            <v/>
          </cell>
          <cell r="MY142" t="str">
            <v/>
          </cell>
          <cell r="MZ142" t="str">
            <v/>
          </cell>
          <cell r="NA142" t="str">
            <v/>
          </cell>
          <cell r="NB142" t="str">
            <v/>
          </cell>
          <cell r="NC142" t="str">
            <v/>
          </cell>
          <cell r="ND142" t="str">
            <v/>
          </cell>
          <cell r="NE142" t="str">
            <v/>
          </cell>
          <cell r="NF142" t="str">
            <v/>
          </cell>
          <cell r="NG142" t="str">
            <v/>
          </cell>
          <cell r="NH142" t="str">
            <v/>
          </cell>
          <cell r="NI142" t="str">
            <v/>
          </cell>
          <cell r="NJ142" t="str">
            <v/>
          </cell>
        </row>
        <row r="143">
          <cell r="I143" t="str">
            <v>E07000070</v>
          </cell>
          <cell r="GZ143" t="str">
            <v/>
          </cell>
          <cell r="HA143" t="str">
            <v/>
          </cell>
          <cell r="HB143" t="str">
            <v/>
          </cell>
          <cell r="HC143" t="str">
            <v/>
          </cell>
          <cell r="HD143" t="str">
            <v/>
          </cell>
          <cell r="HE143" t="str">
            <v/>
          </cell>
          <cell r="HF143" t="str">
            <v/>
          </cell>
          <cell r="HG143" t="str">
            <v/>
          </cell>
          <cell r="HH143" t="str">
            <v/>
          </cell>
          <cell r="HI143" t="str">
            <v/>
          </cell>
          <cell r="HJ143" t="str">
            <v/>
          </cell>
          <cell r="HK143" t="str">
            <v/>
          </cell>
          <cell r="HL143" t="str">
            <v/>
          </cell>
          <cell r="HM143" t="str">
            <v/>
          </cell>
          <cell r="HN143" t="str">
            <v/>
          </cell>
          <cell r="HO143" t="str">
            <v/>
          </cell>
          <cell r="HP143" t="str">
            <v/>
          </cell>
          <cell r="HQ143" t="str">
            <v/>
          </cell>
          <cell r="HR143" t="str">
            <v/>
          </cell>
          <cell r="HS143" t="str">
            <v/>
          </cell>
          <cell r="HT143" t="str">
            <v/>
          </cell>
          <cell r="HU143" t="str">
            <v/>
          </cell>
          <cell r="HV143" t="str">
            <v/>
          </cell>
          <cell r="HW143" t="str">
            <v/>
          </cell>
          <cell r="MN143" t="str">
            <v/>
          </cell>
          <cell r="MO143" t="str">
            <v/>
          </cell>
          <cell r="MP143" t="str">
            <v/>
          </cell>
          <cell r="MQ143" t="str">
            <v/>
          </cell>
          <cell r="MR143" t="str">
            <v/>
          </cell>
          <cell r="MS143" t="str">
            <v/>
          </cell>
          <cell r="MT143" t="str">
            <v/>
          </cell>
          <cell r="MU143" t="str">
            <v/>
          </cell>
          <cell r="MV143" t="str">
            <v/>
          </cell>
          <cell r="MW143" t="str">
            <v/>
          </cell>
          <cell r="MX143" t="str">
            <v/>
          </cell>
          <cell r="MY143" t="str">
            <v/>
          </cell>
          <cell r="MZ143" t="str">
            <v/>
          </cell>
          <cell r="NA143" t="str">
            <v/>
          </cell>
          <cell r="NB143" t="str">
            <v/>
          </cell>
          <cell r="NC143" t="str">
            <v/>
          </cell>
          <cell r="ND143" t="str">
            <v/>
          </cell>
          <cell r="NE143" t="str">
            <v/>
          </cell>
          <cell r="NF143" t="str">
            <v/>
          </cell>
          <cell r="NG143" t="str">
            <v/>
          </cell>
          <cell r="NH143" t="str">
            <v/>
          </cell>
          <cell r="NI143" t="str">
            <v/>
          </cell>
          <cell r="NJ143" t="str">
            <v/>
          </cell>
        </row>
        <row r="144">
          <cell r="I144" t="str">
            <v>E07000229</v>
          </cell>
          <cell r="GZ144" t="str">
            <v/>
          </cell>
          <cell r="HA144" t="str">
            <v/>
          </cell>
          <cell r="HB144" t="str">
            <v/>
          </cell>
          <cell r="HC144" t="str">
            <v/>
          </cell>
          <cell r="HD144" t="str">
            <v/>
          </cell>
          <cell r="HE144" t="str">
            <v/>
          </cell>
          <cell r="HF144" t="str">
            <v/>
          </cell>
          <cell r="HG144" t="str">
            <v/>
          </cell>
          <cell r="HH144" t="str">
            <v/>
          </cell>
          <cell r="HI144" t="str">
            <v/>
          </cell>
          <cell r="HJ144" t="str">
            <v/>
          </cell>
          <cell r="HK144" t="str">
            <v/>
          </cell>
          <cell r="HL144" t="str">
            <v/>
          </cell>
          <cell r="HM144" t="str">
            <v/>
          </cell>
          <cell r="HN144" t="str">
            <v/>
          </cell>
          <cell r="HO144" t="str">
            <v/>
          </cell>
          <cell r="HP144" t="str">
            <v/>
          </cell>
          <cell r="HQ144" t="str">
            <v/>
          </cell>
          <cell r="HR144" t="str">
            <v/>
          </cell>
          <cell r="HS144" t="str">
            <v/>
          </cell>
          <cell r="HT144" t="str">
            <v/>
          </cell>
          <cell r="HU144" t="str">
            <v/>
          </cell>
          <cell r="HV144" t="str">
            <v/>
          </cell>
          <cell r="HW144" t="str">
            <v/>
          </cell>
          <cell r="MN144" t="str">
            <v/>
          </cell>
          <cell r="MO144" t="str">
            <v/>
          </cell>
          <cell r="MP144" t="str">
            <v/>
          </cell>
          <cell r="MQ144" t="str">
            <v/>
          </cell>
          <cell r="MR144" t="str">
            <v/>
          </cell>
          <cell r="MS144" t="str">
            <v/>
          </cell>
          <cell r="MT144" t="str">
            <v/>
          </cell>
          <cell r="MU144" t="str">
            <v/>
          </cell>
          <cell r="MV144" t="str">
            <v/>
          </cell>
          <cell r="MW144" t="str">
            <v/>
          </cell>
          <cell r="MX144" t="str">
            <v/>
          </cell>
          <cell r="MY144" t="str">
            <v/>
          </cell>
          <cell r="MZ144" t="str">
            <v/>
          </cell>
          <cell r="NA144" t="str">
            <v/>
          </cell>
          <cell r="NB144" t="str">
            <v/>
          </cell>
          <cell r="NC144" t="str">
            <v/>
          </cell>
          <cell r="ND144" t="str">
            <v/>
          </cell>
          <cell r="NE144" t="str">
            <v/>
          </cell>
          <cell r="NF144" t="str">
            <v/>
          </cell>
          <cell r="NG144" t="str">
            <v/>
          </cell>
          <cell r="NH144" t="str">
            <v/>
          </cell>
          <cell r="NI144" t="str">
            <v/>
          </cell>
          <cell r="NJ144" t="str">
            <v/>
          </cell>
        </row>
        <row r="145">
          <cell r="I145" t="str">
            <v>E07000176</v>
          </cell>
          <cell r="GZ145">
            <v>40634</v>
          </cell>
          <cell r="HA145">
            <v>41364</v>
          </cell>
          <cell r="HB145">
            <v>250</v>
          </cell>
          <cell r="HC145">
            <v>250</v>
          </cell>
          <cell r="HD145">
            <v>41365</v>
          </cell>
          <cell r="HE145">
            <v>43190</v>
          </cell>
          <cell r="HF145">
            <v>470</v>
          </cell>
          <cell r="HG145">
            <v>470</v>
          </cell>
          <cell r="HH145">
            <v>43191</v>
          </cell>
          <cell r="HI145">
            <v>45016</v>
          </cell>
          <cell r="HJ145">
            <v>1300</v>
          </cell>
          <cell r="HK145">
            <v>1300</v>
          </cell>
          <cell r="HL145">
            <v>45017</v>
          </cell>
          <cell r="HM145">
            <v>46843</v>
          </cell>
          <cell r="HN145">
            <v>820</v>
          </cell>
          <cell r="HO145">
            <v>820</v>
          </cell>
          <cell r="HP145" t="str">
            <v/>
          </cell>
          <cell r="HQ145" t="str">
            <v/>
          </cell>
          <cell r="HR145" t="str">
            <v/>
          </cell>
          <cell r="HS145" t="str">
            <v/>
          </cell>
          <cell r="HT145" t="str">
            <v/>
          </cell>
          <cell r="HU145" t="str">
            <v/>
          </cell>
          <cell r="HV145" t="str">
            <v/>
          </cell>
          <cell r="HW145" t="str">
            <v/>
          </cell>
          <cell r="MN145" t="str">
            <v/>
          </cell>
          <cell r="MO145" t="str">
            <v/>
          </cell>
          <cell r="MP145" t="str">
            <v/>
          </cell>
          <cell r="MQ145" t="str">
            <v/>
          </cell>
          <cell r="MR145" t="str">
            <v/>
          </cell>
          <cell r="MS145" t="str">
            <v/>
          </cell>
          <cell r="MT145" t="str">
            <v/>
          </cell>
          <cell r="MU145" t="str">
            <v/>
          </cell>
          <cell r="MV145" t="str">
            <v/>
          </cell>
          <cell r="MW145" t="str">
            <v/>
          </cell>
          <cell r="MX145" t="str">
            <v/>
          </cell>
          <cell r="MY145" t="str">
            <v/>
          </cell>
          <cell r="MZ145" t="str">
            <v/>
          </cell>
          <cell r="NA145" t="str">
            <v/>
          </cell>
          <cell r="NB145" t="str">
            <v/>
          </cell>
          <cell r="NC145" t="str">
            <v/>
          </cell>
          <cell r="ND145" t="str">
            <v/>
          </cell>
          <cell r="NE145" t="str">
            <v/>
          </cell>
          <cell r="NF145" t="str">
            <v/>
          </cell>
          <cell r="NG145" t="str">
            <v/>
          </cell>
          <cell r="NH145" t="str">
            <v/>
          </cell>
          <cell r="NI145" t="str">
            <v/>
          </cell>
          <cell r="NJ145" t="str">
            <v/>
          </cell>
        </row>
        <row r="146">
          <cell r="I146" t="str">
            <v>E07000039</v>
          </cell>
          <cell r="GZ146" t="str">
            <v/>
          </cell>
          <cell r="HA146" t="str">
            <v/>
          </cell>
          <cell r="HB146" t="str">
            <v/>
          </cell>
          <cell r="HC146" t="str">
            <v/>
          </cell>
          <cell r="HD146" t="str">
            <v/>
          </cell>
          <cell r="HE146" t="str">
            <v/>
          </cell>
          <cell r="HF146" t="str">
            <v/>
          </cell>
          <cell r="HG146" t="str">
            <v/>
          </cell>
          <cell r="HH146" t="str">
            <v/>
          </cell>
          <cell r="HI146" t="str">
            <v/>
          </cell>
          <cell r="HJ146" t="str">
            <v/>
          </cell>
          <cell r="HK146" t="str">
            <v/>
          </cell>
          <cell r="HL146" t="str">
            <v/>
          </cell>
          <cell r="HM146" t="str">
            <v/>
          </cell>
          <cell r="HN146" t="str">
            <v/>
          </cell>
          <cell r="HO146" t="str">
            <v/>
          </cell>
          <cell r="HP146" t="str">
            <v/>
          </cell>
          <cell r="HQ146" t="str">
            <v/>
          </cell>
          <cell r="HR146" t="str">
            <v/>
          </cell>
          <cell r="HS146" t="str">
            <v/>
          </cell>
          <cell r="HT146" t="str">
            <v/>
          </cell>
          <cell r="HU146" t="str">
            <v/>
          </cell>
          <cell r="HV146" t="str">
            <v/>
          </cell>
          <cell r="HW146" t="str">
            <v/>
          </cell>
          <cell r="MN146" t="str">
            <v/>
          </cell>
          <cell r="MO146" t="str">
            <v/>
          </cell>
          <cell r="MP146" t="str">
            <v/>
          </cell>
          <cell r="MQ146" t="str">
            <v/>
          </cell>
          <cell r="MR146" t="str">
            <v/>
          </cell>
          <cell r="MS146" t="str">
            <v/>
          </cell>
          <cell r="MT146" t="str">
            <v/>
          </cell>
          <cell r="MU146" t="str">
            <v/>
          </cell>
          <cell r="MV146" t="str">
            <v/>
          </cell>
          <cell r="MW146" t="str">
            <v/>
          </cell>
          <cell r="MX146" t="str">
            <v/>
          </cell>
          <cell r="MY146" t="str">
            <v/>
          </cell>
          <cell r="MZ146" t="str">
            <v/>
          </cell>
          <cell r="NA146" t="str">
            <v/>
          </cell>
          <cell r="NB146" t="str">
            <v/>
          </cell>
          <cell r="NC146" t="str">
            <v/>
          </cell>
          <cell r="ND146" t="str">
            <v/>
          </cell>
          <cell r="NE146" t="str">
            <v/>
          </cell>
          <cell r="NF146" t="str">
            <v/>
          </cell>
          <cell r="NG146" t="str">
            <v/>
          </cell>
          <cell r="NH146" t="str">
            <v/>
          </cell>
          <cell r="NI146" t="str">
            <v/>
          </cell>
          <cell r="NJ146" t="str">
            <v/>
          </cell>
        </row>
        <row r="147">
          <cell r="I147" t="str">
            <v>E07000063</v>
          </cell>
          <cell r="GZ147" t="str">
            <v/>
          </cell>
          <cell r="HA147" t="str">
            <v/>
          </cell>
          <cell r="HB147" t="str">
            <v/>
          </cell>
          <cell r="HC147" t="str">
            <v/>
          </cell>
          <cell r="HD147" t="str">
            <v/>
          </cell>
          <cell r="HE147" t="str">
            <v/>
          </cell>
          <cell r="HF147" t="str">
            <v/>
          </cell>
          <cell r="HG147" t="str">
            <v/>
          </cell>
          <cell r="HH147" t="str">
            <v/>
          </cell>
          <cell r="HI147" t="str">
            <v/>
          </cell>
          <cell r="HJ147" t="str">
            <v/>
          </cell>
          <cell r="HK147" t="str">
            <v/>
          </cell>
          <cell r="HL147" t="str">
            <v/>
          </cell>
          <cell r="HM147" t="str">
            <v/>
          </cell>
          <cell r="HN147" t="str">
            <v/>
          </cell>
          <cell r="HO147" t="str">
            <v/>
          </cell>
          <cell r="HP147" t="str">
            <v/>
          </cell>
          <cell r="HQ147" t="str">
            <v/>
          </cell>
          <cell r="HR147" t="str">
            <v/>
          </cell>
          <cell r="HS147" t="str">
            <v/>
          </cell>
          <cell r="HT147" t="str">
            <v/>
          </cell>
          <cell r="HU147" t="str">
            <v/>
          </cell>
          <cell r="HV147" t="str">
            <v/>
          </cell>
          <cell r="HW147" t="str">
            <v/>
          </cell>
          <cell r="MN147" t="str">
            <v/>
          </cell>
          <cell r="MO147" t="str">
            <v/>
          </cell>
          <cell r="MP147" t="str">
            <v/>
          </cell>
          <cell r="MQ147" t="str">
            <v/>
          </cell>
          <cell r="MR147" t="str">
            <v/>
          </cell>
          <cell r="MS147" t="str">
            <v/>
          </cell>
          <cell r="MT147" t="str">
            <v/>
          </cell>
          <cell r="MU147" t="str">
            <v/>
          </cell>
          <cell r="MV147" t="str">
            <v/>
          </cell>
          <cell r="MW147" t="str">
            <v/>
          </cell>
          <cell r="MX147" t="str">
            <v/>
          </cell>
          <cell r="MY147" t="str">
            <v/>
          </cell>
          <cell r="MZ147" t="str">
            <v/>
          </cell>
          <cell r="NA147" t="str">
            <v/>
          </cell>
          <cell r="NB147" t="str">
            <v/>
          </cell>
          <cell r="NC147" t="str">
            <v/>
          </cell>
          <cell r="ND147" t="str">
            <v/>
          </cell>
          <cell r="NE147" t="str">
            <v/>
          </cell>
          <cell r="NF147" t="str">
            <v/>
          </cell>
          <cell r="NG147" t="str">
            <v/>
          </cell>
          <cell r="NH147" t="str">
            <v/>
          </cell>
          <cell r="NI147" t="str">
            <v/>
          </cell>
          <cell r="NJ147" t="str">
            <v/>
          </cell>
        </row>
        <row r="148">
          <cell r="I148" t="str">
            <v>E07000028</v>
          </cell>
          <cell r="GZ148">
            <v>41365</v>
          </cell>
          <cell r="HA148">
            <v>43921</v>
          </cell>
          <cell r="HB148">
            <v>478</v>
          </cell>
          <cell r="HC148">
            <v>478</v>
          </cell>
          <cell r="HD148">
            <v>43922</v>
          </cell>
          <cell r="HE148">
            <v>47573</v>
          </cell>
          <cell r="HF148">
            <v>626</v>
          </cell>
          <cell r="HG148">
            <v>626</v>
          </cell>
          <cell r="HH148" t="str">
            <v/>
          </cell>
          <cell r="HI148" t="str">
            <v/>
          </cell>
          <cell r="HJ148" t="str">
            <v/>
          </cell>
          <cell r="HK148" t="str">
            <v/>
          </cell>
          <cell r="HL148" t="str">
            <v/>
          </cell>
          <cell r="HM148" t="str">
            <v/>
          </cell>
          <cell r="HN148" t="str">
            <v/>
          </cell>
          <cell r="HO148" t="str">
            <v/>
          </cell>
          <cell r="HP148" t="str">
            <v/>
          </cell>
          <cell r="HQ148" t="str">
            <v/>
          </cell>
          <cell r="HR148" t="str">
            <v/>
          </cell>
          <cell r="HS148" t="str">
            <v/>
          </cell>
          <cell r="HT148" t="str">
            <v/>
          </cell>
          <cell r="HU148" t="str">
            <v/>
          </cell>
          <cell r="HV148" t="str">
            <v/>
          </cell>
          <cell r="HW148" t="str">
            <v/>
          </cell>
          <cell r="MN148" t="str">
            <v/>
          </cell>
          <cell r="MO148" t="str">
            <v/>
          </cell>
          <cell r="MP148" t="str">
            <v/>
          </cell>
          <cell r="MQ148" t="str">
            <v/>
          </cell>
          <cell r="MR148" t="str">
            <v/>
          </cell>
          <cell r="MS148" t="str">
            <v/>
          </cell>
          <cell r="MT148" t="str">
            <v/>
          </cell>
          <cell r="MU148" t="str">
            <v/>
          </cell>
          <cell r="MV148" t="str">
            <v/>
          </cell>
          <cell r="MW148" t="str">
            <v/>
          </cell>
          <cell r="MX148" t="str">
            <v/>
          </cell>
          <cell r="MY148" t="str">
            <v/>
          </cell>
          <cell r="MZ148" t="str">
            <v/>
          </cell>
          <cell r="NA148" t="str">
            <v/>
          </cell>
          <cell r="NB148" t="str">
            <v/>
          </cell>
          <cell r="NC148" t="str">
            <v/>
          </cell>
          <cell r="ND148" t="str">
            <v/>
          </cell>
          <cell r="NE148" t="str">
            <v/>
          </cell>
          <cell r="NF148" t="str">
            <v/>
          </cell>
          <cell r="NG148" t="str">
            <v/>
          </cell>
          <cell r="NH148" t="str">
            <v/>
          </cell>
          <cell r="NI148" t="str">
            <v/>
          </cell>
          <cell r="NJ148" t="str">
            <v/>
          </cell>
        </row>
        <row r="149">
          <cell r="I149" t="str">
            <v>E08000018</v>
          </cell>
          <cell r="GZ149" t="str">
            <v/>
          </cell>
          <cell r="HA149" t="str">
            <v/>
          </cell>
          <cell r="HB149" t="str">
            <v/>
          </cell>
          <cell r="HC149" t="str">
            <v/>
          </cell>
          <cell r="HD149" t="str">
            <v/>
          </cell>
          <cell r="HE149" t="str">
            <v/>
          </cell>
          <cell r="HF149" t="str">
            <v/>
          </cell>
          <cell r="HG149" t="str">
            <v/>
          </cell>
          <cell r="HH149" t="str">
            <v/>
          </cell>
          <cell r="HI149" t="str">
            <v/>
          </cell>
          <cell r="HJ149" t="str">
            <v/>
          </cell>
          <cell r="HK149" t="str">
            <v/>
          </cell>
          <cell r="HL149" t="str">
            <v/>
          </cell>
          <cell r="HM149" t="str">
            <v/>
          </cell>
          <cell r="HN149" t="str">
            <v/>
          </cell>
          <cell r="HO149" t="str">
            <v/>
          </cell>
          <cell r="HP149" t="str">
            <v/>
          </cell>
          <cell r="HQ149" t="str">
            <v/>
          </cell>
          <cell r="HR149" t="str">
            <v/>
          </cell>
          <cell r="HS149" t="str">
            <v/>
          </cell>
          <cell r="HT149" t="str">
            <v/>
          </cell>
          <cell r="HU149" t="str">
            <v/>
          </cell>
          <cell r="HV149" t="str">
            <v/>
          </cell>
          <cell r="HW149" t="str">
            <v/>
          </cell>
          <cell r="MN149" t="str">
            <v/>
          </cell>
          <cell r="MO149" t="str">
            <v/>
          </cell>
          <cell r="MP149" t="str">
            <v/>
          </cell>
          <cell r="MQ149" t="str">
            <v/>
          </cell>
          <cell r="MR149" t="str">
            <v/>
          </cell>
          <cell r="MS149" t="str">
            <v/>
          </cell>
          <cell r="MT149" t="str">
            <v/>
          </cell>
          <cell r="MU149" t="str">
            <v/>
          </cell>
          <cell r="MV149" t="str">
            <v/>
          </cell>
          <cell r="MW149" t="str">
            <v/>
          </cell>
          <cell r="MX149" t="str">
            <v/>
          </cell>
          <cell r="MY149" t="str">
            <v/>
          </cell>
          <cell r="MZ149" t="str">
            <v/>
          </cell>
          <cell r="NA149" t="str">
            <v/>
          </cell>
          <cell r="NB149" t="str">
            <v/>
          </cell>
          <cell r="NC149" t="str">
            <v/>
          </cell>
          <cell r="ND149" t="str">
            <v/>
          </cell>
          <cell r="NE149" t="str">
            <v/>
          </cell>
          <cell r="NF149" t="str">
            <v/>
          </cell>
          <cell r="NG149" t="str">
            <v/>
          </cell>
          <cell r="NH149" t="str">
            <v/>
          </cell>
          <cell r="NI149" t="str">
            <v/>
          </cell>
          <cell r="NJ149" t="str">
            <v/>
          </cell>
        </row>
        <row r="150">
          <cell r="I150" t="str">
            <v>E06000004</v>
          </cell>
          <cell r="GZ150">
            <v>42826</v>
          </cell>
          <cell r="HA150">
            <v>44651</v>
          </cell>
          <cell r="HB150">
            <v>720</v>
          </cell>
          <cell r="HC150">
            <v>720</v>
          </cell>
          <cell r="HD150">
            <v>44652</v>
          </cell>
          <cell r="HE150">
            <v>48304</v>
          </cell>
          <cell r="HF150">
            <v>655</v>
          </cell>
          <cell r="HG150">
            <v>655</v>
          </cell>
          <cell r="HH150" t="str">
            <v/>
          </cell>
          <cell r="HI150" t="str">
            <v/>
          </cell>
          <cell r="HJ150" t="str">
            <v/>
          </cell>
          <cell r="HK150" t="str">
            <v/>
          </cell>
          <cell r="HL150" t="str">
            <v/>
          </cell>
          <cell r="HM150" t="str">
            <v/>
          </cell>
          <cell r="HN150" t="str">
            <v/>
          </cell>
          <cell r="HO150" t="str">
            <v/>
          </cell>
          <cell r="HP150" t="str">
            <v/>
          </cell>
          <cell r="HQ150" t="str">
            <v/>
          </cell>
          <cell r="HR150" t="str">
            <v/>
          </cell>
          <cell r="HS150" t="str">
            <v/>
          </cell>
          <cell r="HT150" t="str">
            <v/>
          </cell>
          <cell r="HU150" t="str">
            <v/>
          </cell>
          <cell r="HV150" t="str">
            <v/>
          </cell>
          <cell r="HW150" t="str">
            <v/>
          </cell>
          <cell r="MN150" t="str">
            <v/>
          </cell>
          <cell r="MO150" t="str">
            <v/>
          </cell>
          <cell r="MP150" t="str">
            <v/>
          </cell>
          <cell r="MQ150" t="str">
            <v/>
          </cell>
          <cell r="MR150" t="str">
            <v/>
          </cell>
          <cell r="MS150" t="str">
            <v/>
          </cell>
          <cell r="MT150" t="str">
            <v/>
          </cell>
          <cell r="MU150" t="str">
            <v/>
          </cell>
          <cell r="MV150" t="str">
            <v/>
          </cell>
          <cell r="MW150" t="str">
            <v/>
          </cell>
          <cell r="MX150" t="str">
            <v/>
          </cell>
          <cell r="MY150" t="str">
            <v/>
          </cell>
          <cell r="MZ150" t="str">
            <v/>
          </cell>
          <cell r="NA150" t="str">
            <v/>
          </cell>
          <cell r="NB150" t="str">
            <v/>
          </cell>
          <cell r="NC150" t="str">
            <v/>
          </cell>
          <cell r="ND150" t="str">
            <v/>
          </cell>
          <cell r="NE150" t="str">
            <v/>
          </cell>
          <cell r="NF150" t="str">
            <v/>
          </cell>
          <cell r="NG150" t="str">
            <v/>
          </cell>
          <cell r="NH150" t="str">
            <v/>
          </cell>
          <cell r="NI150" t="str">
            <v/>
          </cell>
          <cell r="NJ150" t="str">
            <v/>
          </cell>
        </row>
        <row r="151">
          <cell r="I151" t="str">
            <v>E09000025</v>
          </cell>
          <cell r="GZ151">
            <v>43191</v>
          </cell>
          <cell r="HA151">
            <v>45016</v>
          </cell>
          <cell r="HB151">
            <v>2752</v>
          </cell>
          <cell r="HC151">
            <v>2752</v>
          </cell>
          <cell r="HD151">
            <v>45017</v>
          </cell>
          <cell r="HE151">
            <v>46843</v>
          </cell>
          <cell r="HF151">
            <v>3956</v>
          </cell>
          <cell r="HG151">
            <v>3956</v>
          </cell>
          <cell r="HH151">
            <v>46844</v>
          </cell>
          <cell r="HI151">
            <v>48669</v>
          </cell>
          <cell r="HJ151">
            <v>1892</v>
          </cell>
          <cell r="HK151">
            <v>1892</v>
          </cell>
          <cell r="HL151" t="str">
            <v/>
          </cell>
          <cell r="HM151" t="str">
            <v/>
          </cell>
          <cell r="HN151" t="str">
            <v/>
          </cell>
          <cell r="HO151" t="str">
            <v/>
          </cell>
          <cell r="HP151" t="str">
            <v/>
          </cell>
          <cell r="HQ151" t="str">
            <v/>
          </cell>
          <cell r="HR151" t="str">
            <v/>
          </cell>
          <cell r="HS151" t="str">
            <v/>
          </cell>
          <cell r="HT151" t="str">
            <v/>
          </cell>
          <cell r="HU151" t="str">
            <v/>
          </cell>
          <cell r="HV151" t="str">
            <v/>
          </cell>
          <cell r="HW151" t="str">
            <v/>
          </cell>
          <cell r="MN151">
            <v>43191</v>
          </cell>
          <cell r="MO151">
            <v>45016</v>
          </cell>
          <cell r="MP151">
            <v>2752</v>
          </cell>
          <cell r="MQ151" t="str">
            <v>Analysts to manually calculate</v>
          </cell>
          <cell r="MR151">
            <v>46843</v>
          </cell>
          <cell r="MS151">
            <v>46843</v>
          </cell>
          <cell r="MT151">
            <v>3956</v>
          </cell>
          <cell r="MU151" t="str">
            <v>Analysts to manually calculate</v>
          </cell>
          <cell r="MV151">
            <v>46844</v>
          </cell>
          <cell r="MW151">
            <v>48669</v>
          </cell>
          <cell r="MX151">
            <v>1892</v>
          </cell>
          <cell r="MY151" t="str">
            <v>Analysts to manually calculate</v>
          </cell>
          <cell r="NC151" t="str">
            <v>Analysts to manually calculate</v>
          </cell>
          <cell r="NG151" t="str">
            <v>Analysts to manually calculate</v>
          </cell>
        </row>
        <row r="152">
          <cell r="I152" t="str">
            <v>E06000016</v>
          </cell>
          <cell r="GZ152" t="str">
            <v/>
          </cell>
          <cell r="HA152" t="str">
            <v/>
          </cell>
          <cell r="HB152" t="str">
            <v/>
          </cell>
          <cell r="HC152" t="str">
            <v/>
          </cell>
          <cell r="HD152" t="str">
            <v/>
          </cell>
          <cell r="HE152" t="str">
            <v/>
          </cell>
          <cell r="HF152" t="str">
            <v/>
          </cell>
          <cell r="HG152" t="str">
            <v/>
          </cell>
          <cell r="HH152" t="str">
            <v/>
          </cell>
          <cell r="HI152" t="str">
            <v/>
          </cell>
          <cell r="HJ152" t="str">
            <v/>
          </cell>
          <cell r="HK152" t="str">
            <v/>
          </cell>
          <cell r="HL152" t="str">
            <v/>
          </cell>
          <cell r="HM152" t="str">
            <v/>
          </cell>
          <cell r="HN152" t="str">
            <v/>
          </cell>
          <cell r="HO152" t="str">
            <v/>
          </cell>
          <cell r="HP152" t="str">
            <v/>
          </cell>
          <cell r="HQ152" t="str">
            <v/>
          </cell>
          <cell r="HR152" t="str">
            <v/>
          </cell>
          <cell r="HS152" t="str">
            <v/>
          </cell>
          <cell r="HT152" t="str">
            <v/>
          </cell>
          <cell r="HU152" t="str">
            <v/>
          </cell>
          <cell r="HV152" t="str">
            <v/>
          </cell>
          <cell r="HW152" t="str">
            <v/>
          </cell>
          <cell r="MN152" t="str">
            <v/>
          </cell>
          <cell r="MO152" t="str">
            <v/>
          </cell>
          <cell r="MP152" t="str">
            <v/>
          </cell>
          <cell r="MQ152" t="str">
            <v/>
          </cell>
          <cell r="MR152" t="str">
            <v/>
          </cell>
          <cell r="MS152" t="str">
            <v/>
          </cell>
          <cell r="MT152" t="str">
            <v/>
          </cell>
          <cell r="MU152" t="str">
            <v/>
          </cell>
          <cell r="MV152" t="str">
            <v/>
          </cell>
          <cell r="MW152" t="str">
            <v/>
          </cell>
          <cell r="MX152" t="str">
            <v/>
          </cell>
          <cell r="MY152" t="str">
            <v/>
          </cell>
          <cell r="MZ152" t="str">
            <v/>
          </cell>
          <cell r="NA152" t="str">
            <v/>
          </cell>
          <cell r="NB152" t="str">
            <v/>
          </cell>
          <cell r="NC152" t="str">
            <v/>
          </cell>
          <cell r="ND152" t="str">
            <v/>
          </cell>
          <cell r="NE152" t="str">
            <v/>
          </cell>
          <cell r="NF152" t="str">
            <v/>
          </cell>
          <cell r="NG152" t="str">
            <v/>
          </cell>
          <cell r="NH152" t="str">
            <v/>
          </cell>
          <cell r="NI152" t="str">
            <v/>
          </cell>
          <cell r="NJ152" t="str">
            <v/>
          </cell>
        </row>
        <row r="153">
          <cell r="I153" t="str">
            <v>E08000013</v>
          </cell>
          <cell r="GZ153" t="str">
            <v/>
          </cell>
          <cell r="HA153" t="str">
            <v/>
          </cell>
          <cell r="HB153" t="str">
            <v/>
          </cell>
          <cell r="HC153" t="str">
            <v/>
          </cell>
          <cell r="HD153" t="str">
            <v/>
          </cell>
          <cell r="HE153" t="str">
            <v/>
          </cell>
          <cell r="HF153" t="str">
            <v/>
          </cell>
          <cell r="HG153" t="str">
            <v/>
          </cell>
          <cell r="HH153" t="str">
            <v/>
          </cell>
          <cell r="HI153" t="str">
            <v/>
          </cell>
          <cell r="HJ153" t="str">
            <v/>
          </cell>
          <cell r="HK153" t="str">
            <v/>
          </cell>
          <cell r="HL153" t="str">
            <v/>
          </cell>
          <cell r="HM153" t="str">
            <v/>
          </cell>
          <cell r="HN153" t="str">
            <v/>
          </cell>
          <cell r="HO153" t="str">
            <v/>
          </cell>
          <cell r="HP153" t="str">
            <v/>
          </cell>
          <cell r="HQ153" t="str">
            <v/>
          </cell>
          <cell r="HR153" t="str">
            <v/>
          </cell>
          <cell r="HS153" t="str">
            <v/>
          </cell>
          <cell r="HT153" t="str">
            <v/>
          </cell>
          <cell r="HU153" t="str">
            <v/>
          </cell>
          <cell r="HV153" t="str">
            <v/>
          </cell>
          <cell r="HW153" t="str">
            <v/>
          </cell>
          <cell r="MN153" t="str">
            <v/>
          </cell>
          <cell r="MO153" t="str">
            <v/>
          </cell>
          <cell r="MP153" t="str">
            <v/>
          </cell>
          <cell r="MQ153" t="str">
            <v/>
          </cell>
          <cell r="MR153" t="str">
            <v/>
          </cell>
          <cell r="MS153" t="str">
            <v/>
          </cell>
          <cell r="MT153" t="str">
            <v/>
          </cell>
          <cell r="MU153" t="str">
            <v/>
          </cell>
          <cell r="MV153" t="str">
            <v/>
          </cell>
          <cell r="MW153" t="str">
            <v/>
          </cell>
          <cell r="MX153" t="str">
            <v/>
          </cell>
          <cell r="MY153" t="str">
            <v/>
          </cell>
          <cell r="MZ153" t="str">
            <v/>
          </cell>
          <cell r="NA153" t="str">
            <v/>
          </cell>
          <cell r="NB153" t="str">
            <v/>
          </cell>
          <cell r="NC153" t="str">
            <v/>
          </cell>
          <cell r="ND153" t="str">
            <v/>
          </cell>
          <cell r="NE153" t="str">
            <v/>
          </cell>
          <cell r="NF153" t="str">
            <v/>
          </cell>
          <cell r="NG153" t="str">
            <v/>
          </cell>
          <cell r="NH153" t="str">
            <v/>
          </cell>
          <cell r="NI153" t="str">
            <v/>
          </cell>
          <cell r="NJ153" t="str">
            <v/>
          </cell>
        </row>
        <row r="154">
          <cell r="I154" t="str">
            <v>E08000019</v>
          </cell>
          <cell r="GZ154" t="str">
            <v/>
          </cell>
          <cell r="HA154" t="str">
            <v/>
          </cell>
          <cell r="HB154" t="str">
            <v/>
          </cell>
          <cell r="HC154" t="str">
            <v/>
          </cell>
          <cell r="HD154" t="str">
            <v/>
          </cell>
          <cell r="HE154" t="str">
            <v/>
          </cell>
          <cell r="HF154" t="str">
            <v/>
          </cell>
          <cell r="HG154" t="str">
            <v/>
          </cell>
          <cell r="HH154" t="str">
            <v/>
          </cell>
          <cell r="HI154" t="str">
            <v/>
          </cell>
          <cell r="HJ154" t="str">
            <v/>
          </cell>
          <cell r="HK154" t="str">
            <v/>
          </cell>
          <cell r="HL154" t="str">
            <v/>
          </cell>
          <cell r="HM154" t="str">
            <v/>
          </cell>
          <cell r="HN154" t="str">
            <v/>
          </cell>
          <cell r="HO154" t="str">
            <v/>
          </cell>
          <cell r="HP154" t="str">
            <v/>
          </cell>
          <cell r="HQ154" t="str">
            <v/>
          </cell>
          <cell r="HR154" t="str">
            <v/>
          </cell>
          <cell r="HS154" t="str">
            <v/>
          </cell>
          <cell r="HT154" t="str">
            <v/>
          </cell>
          <cell r="HU154" t="str">
            <v/>
          </cell>
          <cell r="HV154" t="str">
            <v/>
          </cell>
          <cell r="HW154" t="str">
            <v/>
          </cell>
          <cell r="MN154" t="str">
            <v/>
          </cell>
          <cell r="MO154" t="str">
            <v/>
          </cell>
          <cell r="MP154" t="str">
            <v/>
          </cell>
          <cell r="MQ154" t="str">
            <v/>
          </cell>
          <cell r="MR154" t="str">
            <v/>
          </cell>
          <cell r="MS154" t="str">
            <v/>
          </cell>
          <cell r="MT154" t="str">
            <v/>
          </cell>
          <cell r="MU154" t="str">
            <v/>
          </cell>
          <cell r="MV154" t="str">
            <v/>
          </cell>
          <cell r="MW154" t="str">
            <v/>
          </cell>
          <cell r="MX154" t="str">
            <v/>
          </cell>
          <cell r="MY154" t="str">
            <v/>
          </cell>
          <cell r="MZ154" t="str">
            <v/>
          </cell>
          <cell r="NA154" t="str">
            <v/>
          </cell>
          <cell r="NB154" t="str">
            <v/>
          </cell>
          <cell r="NC154" t="str">
            <v/>
          </cell>
          <cell r="ND154" t="str">
            <v/>
          </cell>
          <cell r="NE154" t="str">
            <v/>
          </cell>
          <cell r="NF154" t="str">
            <v/>
          </cell>
          <cell r="NG154" t="str">
            <v/>
          </cell>
          <cell r="NH154" t="str">
            <v/>
          </cell>
          <cell r="NI154" t="str">
            <v/>
          </cell>
          <cell r="NJ154" t="str">
            <v/>
          </cell>
        </row>
        <row r="155">
          <cell r="I155" t="str">
            <v>E08000034</v>
          </cell>
          <cell r="GZ155" t="str">
            <v/>
          </cell>
          <cell r="HA155" t="str">
            <v/>
          </cell>
          <cell r="HB155" t="str">
            <v/>
          </cell>
          <cell r="HC155" t="str">
            <v/>
          </cell>
          <cell r="HD155" t="str">
            <v/>
          </cell>
          <cell r="HE155" t="str">
            <v/>
          </cell>
          <cell r="HF155" t="str">
            <v/>
          </cell>
          <cell r="HG155" t="str">
            <v/>
          </cell>
          <cell r="HH155" t="str">
            <v/>
          </cell>
          <cell r="HI155" t="str">
            <v/>
          </cell>
          <cell r="HJ155" t="str">
            <v/>
          </cell>
          <cell r="HK155" t="str">
            <v/>
          </cell>
          <cell r="HL155" t="str">
            <v/>
          </cell>
          <cell r="HM155" t="str">
            <v/>
          </cell>
          <cell r="HN155" t="str">
            <v/>
          </cell>
          <cell r="HO155" t="str">
            <v/>
          </cell>
          <cell r="HP155" t="str">
            <v/>
          </cell>
          <cell r="HQ155" t="str">
            <v/>
          </cell>
          <cell r="HR155" t="str">
            <v/>
          </cell>
          <cell r="HS155" t="str">
            <v/>
          </cell>
          <cell r="HT155" t="str">
            <v/>
          </cell>
          <cell r="HU155" t="str">
            <v/>
          </cell>
          <cell r="HV155" t="str">
            <v/>
          </cell>
          <cell r="HW155" t="str">
            <v/>
          </cell>
          <cell r="MN155" t="str">
            <v/>
          </cell>
          <cell r="MO155" t="str">
            <v/>
          </cell>
          <cell r="MP155" t="str">
            <v/>
          </cell>
          <cell r="MQ155" t="str">
            <v/>
          </cell>
          <cell r="MR155" t="str">
            <v/>
          </cell>
          <cell r="MS155" t="str">
            <v/>
          </cell>
          <cell r="MT155" t="str">
            <v/>
          </cell>
          <cell r="MU155" t="str">
            <v/>
          </cell>
          <cell r="MV155" t="str">
            <v/>
          </cell>
          <cell r="MW155" t="str">
            <v/>
          </cell>
          <cell r="MX155" t="str">
            <v/>
          </cell>
          <cell r="MY155" t="str">
            <v/>
          </cell>
          <cell r="MZ155" t="str">
            <v/>
          </cell>
          <cell r="NA155" t="str">
            <v/>
          </cell>
          <cell r="NB155" t="str">
            <v/>
          </cell>
          <cell r="NC155" t="str">
            <v/>
          </cell>
          <cell r="ND155" t="str">
            <v/>
          </cell>
          <cell r="NE155" t="str">
            <v/>
          </cell>
          <cell r="NF155" t="str">
            <v/>
          </cell>
          <cell r="NG155" t="str">
            <v/>
          </cell>
          <cell r="NH155" t="str">
            <v/>
          </cell>
          <cell r="NI155" t="str">
            <v/>
          </cell>
          <cell r="NJ155" t="str">
            <v/>
          </cell>
        </row>
        <row r="156">
          <cell r="I156" t="str">
            <v>E07000138</v>
          </cell>
          <cell r="GZ156" t="str">
            <v/>
          </cell>
          <cell r="HA156" t="str">
            <v/>
          </cell>
          <cell r="HB156" t="str">
            <v/>
          </cell>
          <cell r="HC156" t="str">
            <v/>
          </cell>
          <cell r="HD156" t="str">
            <v/>
          </cell>
          <cell r="HE156" t="str">
            <v/>
          </cell>
          <cell r="HF156" t="str">
            <v/>
          </cell>
          <cell r="HG156" t="str">
            <v/>
          </cell>
          <cell r="HH156" t="str">
            <v/>
          </cell>
          <cell r="HI156" t="str">
            <v/>
          </cell>
          <cell r="HJ156" t="str">
            <v/>
          </cell>
          <cell r="HK156" t="str">
            <v/>
          </cell>
          <cell r="HL156" t="str">
            <v/>
          </cell>
          <cell r="HM156" t="str">
            <v/>
          </cell>
          <cell r="HN156" t="str">
            <v/>
          </cell>
          <cell r="HO156" t="str">
            <v/>
          </cell>
          <cell r="HP156" t="str">
            <v/>
          </cell>
          <cell r="HQ156" t="str">
            <v/>
          </cell>
          <cell r="HR156" t="str">
            <v/>
          </cell>
          <cell r="HS156" t="str">
            <v/>
          </cell>
          <cell r="HT156" t="str">
            <v/>
          </cell>
          <cell r="HU156" t="str">
            <v/>
          </cell>
          <cell r="HV156" t="str">
            <v/>
          </cell>
          <cell r="HW156" t="str">
            <v/>
          </cell>
          <cell r="MN156" t="str">
            <v/>
          </cell>
          <cell r="MO156" t="str">
            <v/>
          </cell>
          <cell r="MP156" t="str">
            <v/>
          </cell>
          <cell r="MQ156" t="str">
            <v/>
          </cell>
          <cell r="MR156" t="str">
            <v/>
          </cell>
          <cell r="MS156" t="str">
            <v/>
          </cell>
          <cell r="MT156" t="str">
            <v/>
          </cell>
          <cell r="MU156" t="str">
            <v/>
          </cell>
          <cell r="MV156" t="str">
            <v/>
          </cell>
          <cell r="MW156" t="str">
            <v/>
          </cell>
          <cell r="MX156" t="str">
            <v/>
          </cell>
          <cell r="MY156" t="str">
            <v/>
          </cell>
          <cell r="MZ156" t="str">
            <v/>
          </cell>
          <cell r="NA156" t="str">
            <v/>
          </cell>
          <cell r="NB156" t="str">
            <v/>
          </cell>
          <cell r="NC156" t="str">
            <v/>
          </cell>
          <cell r="ND156" t="str">
            <v/>
          </cell>
          <cell r="NE156" t="str">
            <v/>
          </cell>
          <cell r="NF156" t="str">
            <v/>
          </cell>
          <cell r="NG156" t="str">
            <v/>
          </cell>
          <cell r="NH156" t="str">
            <v/>
          </cell>
          <cell r="NI156" t="str">
            <v/>
          </cell>
          <cell r="NJ156" t="str">
            <v/>
          </cell>
        </row>
        <row r="157">
          <cell r="I157" t="str">
            <v>E07000133</v>
          </cell>
          <cell r="GZ157">
            <v>40634</v>
          </cell>
          <cell r="HA157">
            <v>44286</v>
          </cell>
          <cell r="HB157">
            <v>170</v>
          </cell>
          <cell r="HC157" t="str">
            <v>Analyst To Calculate</v>
          </cell>
          <cell r="HD157">
            <v>44287</v>
          </cell>
          <cell r="HE157">
            <v>46112</v>
          </cell>
          <cell r="HF157">
            <v>245</v>
          </cell>
          <cell r="HG157" t="str">
            <v>Analyst To Calculate</v>
          </cell>
          <cell r="HH157">
            <v>46113</v>
          </cell>
          <cell r="HI157">
            <v>49765</v>
          </cell>
          <cell r="HJ157">
            <v>320</v>
          </cell>
          <cell r="HK157" t="str">
            <v>Analyst To Calculate</v>
          </cell>
          <cell r="HL157" t="str">
            <v/>
          </cell>
          <cell r="HM157" t="str">
            <v/>
          </cell>
          <cell r="HN157" t="str">
            <v/>
          </cell>
          <cell r="HO157" t="str">
            <v>Analyst To Calculate</v>
          </cell>
          <cell r="HP157" t="str">
            <v/>
          </cell>
          <cell r="HQ157" t="str">
            <v/>
          </cell>
          <cell r="HR157" t="str">
            <v/>
          </cell>
          <cell r="HS157" t="str">
            <v>Analyst To Calculate</v>
          </cell>
          <cell r="HT157" t="str">
            <v/>
          </cell>
          <cell r="HU157" t="str">
            <v/>
          </cell>
          <cell r="HV157" t="str">
            <v/>
          </cell>
          <cell r="HW157" t="str">
            <v>Analyst To Calculate</v>
          </cell>
          <cell r="MN157" t="str">
            <v/>
          </cell>
          <cell r="MO157" t="str">
            <v/>
          </cell>
          <cell r="MP157" t="str">
            <v/>
          </cell>
          <cell r="MQ157" t="str">
            <v/>
          </cell>
          <cell r="MR157" t="str">
            <v/>
          </cell>
          <cell r="MS157" t="str">
            <v/>
          </cell>
          <cell r="MT157" t="str">
            <v/>
          </cell>
          <cell r="MU157" t="str">
            <v/>
          </cell>
          <cell r="MV157" t="str">
            <v/>
          </cell>
          <cell r="MW157" t="str">
            <v/>
          </cell>
          <cell r="MX157" t="str">
            <v/>
          </cell>
          <cell r="MY157" t="str">
            <v/>
          </cell>
          <cell r="MZ157" t="str">
            <v/>
          </cell>
          <cell r="NA157" t="str">
            <v/>
          </cell>
          <cell r="NB157" t="str">
            <v/>
          </cell>
          <cell r="NC157" t="str">
            <v/>
          </cell>
          <cell r="ND157" t="str">
            <v/>
          </cell>
          <cell r="NE157" t="str">
            <v/>
          </cell>
          <cell r="NF157" t="str">
            <v/>
          </cell>
          <cell r="NG157" t="str">
            <v/>
          </cell>
          <cell r="NH157" t="str">
            <v/>
          </cell>
          <cell r="NI157" t="str">
            <v/>
          </cell>
          <cell r="NJ157" t="str">
            <v/>
          </cell>
        </row>
        <row r="158">
          <cell r="I158" t="str">
            <v>E07000179</v>
          </cell>
          <cell r="GZ158">
            <v>40634</v>
          </cell>
          <cell r="HA158">
            <v>46112</v>
          </cell>
          <cell r="HB158">
            <v>900</v>
          </cell>
          <cell r="HC158">
            <v>900</v>
          </cell>
          <cell r="HD158">
            <v>46113</v>
          </cell>
          <cell r="HE158">
            <v>48304</v>
          </cell>
          <cell r="HF158">
            <v>1120</v>
          </cell>
          <cell r="HG158">
            <v>1120</v>
          </cell>
          <cell r="HH158">
            <v>48305</v>
          </cell>
          <cell r="HI158">
            <v>49399</v>
          </cell>
          <cell r="HJ158">
            <v>1110</v>
          </cell>
          <cell r="HK158">
            <v>1110</v>
          </cell>
          <cell r="HL158" t="str">
            <v/>
          </cell>
          <cell r="HM158" t="str">
            <v/>
          </cell>
          <cell r="HN158" t="str">
            <v/>
          </cell>
          <cell r="HO158" t="str">
            <v/>
          </cell>
          <cell r="HP158" t="str">
            <v/>
          </cell>
          <cell r="HQ158" t="str">
            <v/>
          </cell>
          <cell r="HR158" t="str">
            <v/>
          </cell>
          <cell r="HS158" t="str">
            <v/>
          </cell>
          <cell r="HT158" t="str">
            <v/>
          </cell>
          <cell r="HU158" t="str">
            <v/>
          </cell>
          <cell r="HV158" t="str">
            <v/>
          </cell>
          <cell r="HW158" t="str">
            <v/>
          </cell>
          <cell r="MQ158" t="str">
            <v>Analysts to manually calculate</v>
          </cell>
          <cell r="MU158" t="str">
            <v>Analysts to manually calculate</v>
          </cell>
          <cell r="MY158" t="str">
            <v>Analysts to manually calculate</v>
          </cell>
          <cell r="NC158" t="str">
            <v>Analysts to manually calculate</v>
          </cell>
          <cell r="NG158" t="str">
            <v>Analysts to manually calculate</v>
          </cell>
        </row>
        <row r="159">
          <cell r="I159" t="str">
            <v>E07000114</v>
          </cell>
          <cell r="GZ159">
            <v>40634</v>
          </cell>
          <cell r="HA159">
            <v>42460</v>
          </cell>
          <cell r="HB159">
            <v>311</v>
          </cell>
          <cell r="HC159">
            <v>311</v>
          </cell>
          <cell r="HD159">
            <v>42461</v>
          </cell>
          <cell r="HE159">
            <v>44286</v>
          </cell>
          <cell r="HF159">
            <v>600</v>
          </cell>
          <cell r="HG159">
            <v>600</v>
          </cell>
          <cell r="HH159">
            <v>44287</v>
          </cell>
          <cell r="HI159">
            <v>46112</v>
          </cell>
          <cell r="HJ159">
            <v>1200</v>
          </cell>
          <cell r="HK159">
            <v>1200</v>
          </cell>
          <cell r="HL159">
            <v>46113</v>
          </cell>
          <cell r="HM159">
            <v>47938</v>
          </cell>
          <cell r="HN159">
            <v>1317</v>
          </cell>
          <cell r="HO159">
            <v>1317</v>
          </cell>
          <cell r="HP159" t="str">
            <v/>
          </cell>
          <cell r="HQ159" t="str">
            <v/>
          </cell>
          <cell r="HR159" t="str">
            <v/>
          </cell>
          <cell r="HS159" t="str">
            <v/>
          </cell>
          <cell r="HT159" t="str">
            <v/>
          </cell>
          <cell r="HU159" t="str">
            <v/>
          </cell>
          <cell r="HV159" t="str">
            <v/>
          </cell>
          <cell r="HW159" t="str">
            <v/>
          </cell>
          <cell r="MN159" t="str">
            <v/>
          </cell>
          <cell r="MO159" t="str">
            <v/>
          </cell>
          <cell r="MP159" t="str">
            <v/>
          </cell>
          <cell r="MQ159" t="str">
            <v/>
          </cell>
          <cell r="MR159" t="str">
            <v/>
          </cell>
          <cell r="MS159" t="str">
            <v/>
          </cell>
          <cell r="MT159" t="str">
            <v/>
          </cell>
          <cell r="MU159" t="str">
            <v/>
          </cell>
          <cell r="MV159" t="str">
            <v/>
          </cell>
          <cell r="MW159" t="str">
            <v/>
          </cell>
          <cell r="MX159" t="str">
            <v/>
          </cell>
          <cell r="MY159" t="str">
            <v/>
          </cell>
          <cell r="MZ159" t="str">
            <v/>
          </cell>
          <cell r="NA159" t="str">
            <v/>
          </cell>
          <cell r="NB159" t="str">
            <v/>
          </cell>
          <cell r="NC159" t="str">
            <v/>
          </cell>
          <cell r="ND159" t="str">
            <v/>
          </cell>
          <cell r="NE159" t="str">
            <v/>
          </cell>
          <cell r="NF159" t="str">
            <v/>
          </cell>
          <cell r="NG159" t="str">
            <v/>
          </cell>
          <cell r="NH159" t="str">
            <v/>
          </cell>
          <cell r="NI159" t="str">
            <v/>
          </cell>
          <cell r="NJ159" t="str">
            <v/>
          </cell>
        </row>
        <row r="160">
          <cell r="I160" t="str">
            <v>E07000163</v>
          </cell>
          <cell r="GZ160" t="str">
            <v/>
          </cell>
          <cell r="HA160" t="str">
            <v/>
          </cell>
          <cell r="HB160" t="str">
            <v/>
          </cell>
          <cell r="HC160" t="str">
            <v/>
          </cell>
          <cell r="HD160" t="str">
            <v/>
          </cell>
          <cell r="HE160" t="str">
            <v/>
          </cell>
          <cell r="HF160" t="str">
            <v/>
          </cell>
          <cell r="HG160" t="str">
            <v/>
          </cell>
          <cell r="HH160" t="str">
            <v/>
          </cell>
          <cell r="HI160" t="str">
            <v/>
          </cell>
          <cell r="HJ160" t="str">
            <v/>
          </cell>
          <cell r="HK160" t="str">
            <v/>
          </cell>
          <cell r="HL160" t="str">
            <v/>
          </cell>
          <cell r="HM160" t="str">
            <v/>
          </cell>
          <cell r="HN160" t="str">
            <v/>
          </cell>
          <cell r="HO160" t="str">
            <v/>
          </cell>
          <cell r="HP160" t="str">
            <v/>
          </cell>
          <cell r="HQ160" t="str">
            <v/>
          </cell>
          <cell r="HR160" t="str">
            <v/>
          </cell>
          <cell r="HS160" t="str">
            <v/>
          </cell>
          <cell r="HT160" t="str">
            <v/>
          </cell>
          <cell r="HU160" t="str">
            <v/>
          </cell>
          <cell r="HV160" t="str">
            <v/>
          </cell>
          <cell r="HW160" t="str">
            <v/>
          </cell>
          <cell r="MN160" t="str">
            <v/>
          </cell>
          <cell r="MO160" t="str">
            <v/>
          </cell>
          <cell r="MP160" t="str">
            <v/>
          </cell>
          <cell r="MQ160" t="str">
            <v/>
          </cell>
          <cell r="MR160" t="str">
            <v/>
          </cell>
          <cell r="MS160" t="str">
            <v/>
          </cell>
          <cell r="MT160" t="str">
            <v/>
          </cell>
          <cell r="MU160" t="str">
            <v/>
          </cell>
          <cell r="MV160" t="str">
            <v/>
          </cell>
          <cell r="MW160" t="str">
            <v/>
          </cell>
          <cell r="MX160" t="str">
            <v/>
          </cell>
          <cell r="MY160" t="str">
            <v/>
          </cell>
          <cell r="MZ160" t="str">
            <v/>
          </cell>
          <cell r="NA160" t="str">
            <v/>
          </cell>
          <cell r="NB160" t="str">
            <v/>
          </cell>
          <cell r="NC160" t="str">
            <v/>
          </cell>
          <cell r="ND160" t="str">
            <v/>
          </cell>
          <cell r="NE160" t="str">
            <v/>
          </cell>
          <cell r="NF160" t="str">
            <v/>
          </cell>
          <cell r="NG160" t="str">
            <v/>
          </cell>
          <cell r="NH160" t="str">
            <v/>
          </cell>
          <cell r="NI160" t="str">
            <v/>
          </cell>
          <cell r="NJ160" t="str">
            <v/>
          </cell>
        </row>
        <row r="161">
          <cell r="I161" t="str">
            <v>E07000169</v>
          </cell>
          <cell r="GZ161" t="str">
            <v/>
          </cell>
          <cell r="HA161" t="str">
            <v/>
          </cell>
          <cell r="HB161" t="str">
            <v/>
          </cell>
          <cell r="HC161" t="str">
            <v/>
          </cell>
          <cell r="HD161" t="str">
            <v/>
          </cell>
          <cell r="HE161" t="str">
            <v/>
          </cell>
          <cell r="HF161" t="str">
            <v/>
          </cell>
          <cell r="HG161" t="str">
            <v/>
          </cell>
          <cell r="HH161" t="str">
            <v/>
          </cell>
          <cell r="HI161" t="str">
            <v/>
          </cell>
          <cell r="HJ161" t="str">
            <v/>
          </cell>
          <cell r="HK161" t="str">
            <v/>
          </cell>
          <cell r="HL161" t="str">
            <v/>
          </cell>
          <cell r="HM161" t="str">
            <v/>
          </cell>
          <cell r="HN161" t="str">
            <v/>
          </cell>
          <cell r="HO161" t="str">
            <v/>
          </cell>
          <cell r="HP161" t="str">
            <v/>
          </cell>
          <cell r="HQ161" t="str">
            <v/>
          </cell>
          <cell r="HR161" t="str">
            <v/>
          </cell>
          <cell r="HS161" t="str">
            <v/>
          </cell>
          <cell r="HT161" t="str">
            <v/>
          </cell>
          <cell r="HU161" t="str">
            <v/>
          </cell>
          <cell r="HV161" t="str">
            <v/>
          </cell>
          <cell r="HW161" t="str">
            <v/>
          </cell>
          <cell r="MN161" t="str">
            <v/>
          </cell>
          <cell r="MO161" t="str">
            <v/>
          </cell>
          <cell r="MP161" t="str">
            <v/>
          </cell>
          <cell r="MQ161" t="str">
            <v/>
          </cell>
          <cell r="MR161" t="str">
            <v/>
          </cell>
          <cell r="MS161" t="str">
            <v/>
          </cell>
          <cell r="MT161" t="str">
            <v/>
          </cell>
          <cell r="MU161" t="str">
            <v/>
          </cell>
          <cell r="MV161" t="str">
            <v/>
          </cell>
          <cell r="MW161" t="str">
            <v/>
          </cell>
          <cell r="MX161" t="str">
            <v/>
          </cell>
          <cell r="MY161" t="str">
            <v/>
          </cell>
          <cell r="MZ161" t="str">
            <v/>
          </cell>
          <cell r="NA161" t="str">
            <v/>
          </cell>
          <cell r="NB161" t="str">
            <v/>
          </cell>
          <cell r="NC161" t="str">
            <v/>
          </cell>
          <cell r="ND161" t="str">
            <v/>
          </cell>
          <cell r="NE161" t="str">
            <v/>
          </cell>
          <cell r="NF161" t="str">
            <v/>
          </cell>
          <cell r="NG161" t="str">
            <v/>
          </cell>
          <cell r="NH161" t="str">
            <v/>
          </cell>
          <cell r="NI161" t="str">
            <v/>
          </cell>
          <cell r="NJ161" t="str">
            <v/>
          </cell>
        </row>
        <row r="162">
          <cell r="I162" t="str">
            <v>E06000043</v>
          </cell>
          <cell r="GZ162">
            <v>41730</v>
          </cell>
          <cell r="HA162">
            <v>43555</v>
          </cell>
          <cell r="HB162">
            <v>655</v>
          </cell>
          <cell r="HC162">
            <v>655</v>
          </cell>
          <cell r="HD162">
            <v>43556</v>
          </cell>
          <cell r="HE162">
            <v>45382</v>
          </cell>
          <cell r="HF162">
            <v>856</v>
          </cell>
          <cell r="HG162">
            <v>856</v>
          </cell>
          <cell r="HH162">
            <v>45383</v>
          </cell>
          <cell r="HI162">
            <v>47573</v>
          </cell>
          <cell r="HJ162">
            <v>712</v>
          </cell>
          <cell r="HK162">
            <v>712</v>
          </cell>
          <cell r="HL162" t="str">
            <v/>
          </cell>
          <cell r="HM162" t="str">
            <v/>
          </cell>
          <cell r="HN162" t="str">
            <v/>
          </cell>
          <cell r="HO162" t="str">
            <v/>
          </cell>
          <cell r="HP162" t="str">
            <v/>
          </cell>
          <cell r="HQ162" t="str">
            <v/>
          </cell>
          <cell r="HR162" t="str">
            <v/>
          </cell>
          <cell r="HS162" t="str">
            <v/>
          </cell>
          <cell r="HT162" t="str">
            <v/>
          </cell>
          <cell r="HU162" t="str">
            <v/>
          </cell>
          <cell r="HV162" t="str">
            <v/>
          </cell>
          <cell r="HW162" t="str">
            <v/>
          </cell>
          <cell r="MN162" t="str">
            <v/>
          </cell>
          <cell r="MO162" t="str">
            <v/>
          </cell>
          <cell r="MP162" t="str">
            <v/>
          </cell>
          <cell r="MQ162" t="str">
            <v/>
          </cell>
          <cell r="MR162" t="str">
            <v/>
          </cell>
          <cell r="MS162" t="str">
            <v/>
          </cell>
          <cell r="MT162" t="str">
            <v/>
          </cell>
          <cell r="MU162" t="str">
            <v/>
          </cell>
          <cell r="MV162" t="str">
            <v/>
          </cell>
          <cell r="MW162" t="str">
            <v/>
          </cell>
          <cell r="MX162" t="str">
            <v/>
          </cell>
          <cell r="MY162" t="str">
            <v/>
          </cell>
          <cell r="MZ162" t="str">
            <v/>
          </cell>
          <cell r="NA162" t="str">
            <v/>
          </cell>
          <cell r="NB162" t="str">
            <v/>
          </cell>
          <cell r="NC162" t="str">
            <v/>
          </cell>
          <cell r="ND162" t="str">
            <v/>
          </cell>
          <cell r="NE162" t="str">
            <v/>
          </cell>
          <cell r="NF162" t="str">
            <v/>
          </cell>
          <cell r="NG162" t="str">
            <v/>
          </cell>
          <cell r="NH162" t="str">
            <v/>
          </cell>
          <cell r="NI162" t="str">
            <v/>
          </cell>
          <cell r="NJ162" t="str">
            <v/>
          </cell>
        </row>
        <row r="163">
          <cell r="I163" t="str">
            <v>E07000073</v>
          </cell>
          <cell r="GZ163">
            <v>40634</v>
          </cell>
          <cell r="HA163">
            <v>45382</v>
          </cell>
          <cell r="HB163">
            <v>361</v>
          </cell>
          <cell r="HC163" t="str">
            <v>Analyst To Calculate</v>
          </cell>
          <cell r="HD163">
            <v>45383</v>
          </cell>
          <cell r="HE163">
            <v>48669</v>
          </cell>
          <cell r="HF163">
            <v>501</v>
          </cell>
          <cell r="HG163" t="str">
            <v>Analyst To Calculate</v>
          </cell>
          <cell r="HH163" t="str">
            <v/>
          </cell>
          <cell r="HI163" t="str">
            <v/>
          </cell>
          <cell r="HJ163" t="str">
            <v/>
          </cell>
          <cell r="HK163" t="str">
            <v>Analyst To Calculate</v>
          </cell>
          <cell r="HL163" t="str">
            <v/>
          </cell>
          <cell r="HM163" t="str">
            <v/>
          </cell>
          <cell r="HN163" t="str">
            <v/>
          </cell>
          <cell r="HO163" t="str">
            <v>Analyst To Calculate</v>
          </cell>
          <cell r="HP163" t="str">
            <v/>
          </cell>
          <cell r="HQ163" t="str">
            <v/>
          </cell>
          <cell r="HR163" t="str">
            <v/>
          </cell>
          <cell r="HS163" t="str">
            <v>Analyst To Calculate</v>
          </cell>
          <cell r="HT163" t="str">
            <v/>
          </cell>
          <cell r="HU163" t="str">
            <v/>
          </cell>
          <cell r="HV163" t="str">
            <v/>
          </cell>
          <cell r="HW163" t="str">
            <v>Analyst To Calculate</v>
          </cell>
          <cell r="MN163" t="str">
            <v/>
          </cell>
          <cell r="MO163" t="str">
            <v/>
          </cell>
          <cell r="MP163" t="str">
            <v/>
          </cell>
          <cell r="MQ163" t="str">
            <v/>
          </cell>
          <cell r="MR163" t="str">
            <v/>
          </cell>
          <cell r="MS163" t="str">
            <v/>
          </cell>
          <cell r="MT163" t="str">
            <v/>
          </cell>
          <cell r="MU163" t="str">
            <v/>
          </cell>
          <cell r="MV163" t="str">
            <v/>
          </cell>
          <cell r="MW163" t="str">
            <v/>
          </cell>
          <cell r="MX163" t="str">
            <v/>
          </cell>
          <cell r="MY163" t="str">
            <v/>
          </cell>
          <cell r="MZ163" t="str">
            <v/>
          </cell>
          <cell r="NA163" t="str">
            <v/>
          </cell>
          <cell r="NB163" t="str">
            <v/>
          </cell>
          <cell r="NC163" t="str">
            <v/>
          </cell>
          <cell r="ND163" t="str">
            <v/>
          </cell>
          <cell r="NE163" t="str">
            <v/>
          </cell>
          <cell r="NF163" t="str">
            <v/>
          </cell>
          <cell r="NG163" t="str">
            <v/>
          </cell>
          <cell r="NH163" t="str">
            <v/>
          </cell>
          <cell r="NI163" t="str">
            <v/>
          </cell>
          <cell r="NJ163" t="str">
            <v/>
          </cell>
        </row>
        <row r="164">
          <cell r="I164" t="str">
            <v>E06000045</v>
          </cell>
          <cell r="GZ164" t="str">
            <v/>
          </cell>
          <cell r="HA164" t="str">
            <v/>
          </cell>
          <cell r="HB164" t="str">
            <v/>
          </cell>
          <cell r="HC164" t="str">
            <v/>
          </cell>
          <cell r="HD164" t="str">
            <v/>
          </cell>
          <cell r="HE164" t="str">
            <v/>
          </cell>
          <cell r="HF164" t="str">
            <v/>
          </cell>
          <cell r="HG164" t="str">
            <v/>
          </cell>
          <cell r="HH164" t="str">
            <v/>
          </cell>
          <cell r="HI164" t="str">
            <v/>
          </cell>
          <cell r="HJ164" t="str">
            <v/>
          </cell>
          <cell r="HK164" t="str">
            <v/>
          </cell>
          <cell r="HL164" t="str">
            <v/>
          </cell>
          <cell r="HM164" t="str">
            <v/>
          </cell>
          <cell r="HN164" t="str">
            <v/>
          </cell>
          <cell r="HO164" t="str">
            <v/>
          </cell>
          <cell r="HP164" t="str">
            <v/>
          </cell>
          <cell r="HQ164" t="str">
            <v/>
          </cell>
          <cell r="HR164" t="str">
            <v/>
          </cell>
          <cell r="HS164" t="str">
            <v/>
          </cell>
          <cell r="HT164" t="str">
            <v/>
          </cell>
          <cell r="HU164" t="str">
            <v/>
          </cell>
          <cell r="HV164" t="str">
            <v/>
          </cell>
          <cell r="HW164" t="str">
            <v/>
          </cell>
          <cell r="MN164" t="str">
            <v/>
          </cell>
          <cell r="MO164" t="str">
            <v/>
          </cell>
          <cell r="MP164" t="str">
            <v/>
          </cell>
          <cell r="MQ164" t="str">
            <v/>
          </cell>
          <cell r="MR164" t="str">
            <v/>
          </cell>
          <cell r="MS164" t="str">
            <v/>
          </cell>
          <cell r="MT164" t="str">
            <v/>
          </cell>
          <cell r="MU164" t="str">
            <v/>
          </cell>
          <cell r="MV164" t="str">
            <v/>
          </cell>
          <cell r="MW164" t="str">
            <v/>
          </cell>
          <cell r="MX164" t="str">
            <v/>
          </cell>
          <cell r="MY164" t="str">
            <v/>
          </cell>
          <cell r="MZ164" t="str">
            <v/>
          </cell>
          <cell r="NA164" t="str">
            <v/>
          </cell>
          <cell r="NB164" t="str">
            <v/>
          </cell>
          <cell r="NC164" t="str">
            <v/>
          </cell>
          <cell r="ND164" t="str">
            <v/>
          </cell>
          <cell r="NE164" t="str">
            <v/>
          </cell>
          <cell r="NF164" t="str">
            <v/>
          </cell>
          <cell r="NG164" t="str">
            <v/>
          </cell>
          <cell r="NH164" t="str">
            <v/>
          </cell>
          <cell r="NI164" t="str">
            <v/>
          </cell>
          <cell r="NJ164" t="str">
            <v/>
          </cell>
        </row>
        <row r="165">
          <cell r="I165" t="str">
            <v>E09000028</v>
          </cell>
          <cell r="GZ165" t="str">
            <v/>
          </cell>
          <cell r="HA165" t="str">
            <v/>
          </cell>
          <cell r="HB165" t="str">
            <v/>
          </cell>
          <cell r="HC165" t="str">
            <v/>
          </cell>
          <cell r="HD165" t="str">
            <v/>
          </cell>
          <cell r="HE165" t="str">
            <v/>
          </cell>
          <cell r="HF165" t="str">
            <v/>
          </cell>
          <cell r="HG165" t="str">
            <v/>
          </cell>
          <cell r="HH165" t="str">
            <v/>
          </cell>
          <cell r="HI165" t="str">
            <v/>
          </cell>
          <cell r="HJ165" t="str">
            <v/>
          </cell>
          <cell r="HK165" t="str">
            <v/>
          </cell>
          <cell r="HL165" t="str">
            <v/>
          </cell>
          <cell r="HM165" t="str">
            <v/>
          </cell>
          <cell r="HN165" t="str">
            <v/>
          </cell>
          <cell r="HO165" t="str">
            <v/>
          </cell>
          <cell r="HP165" t="str">
            <v/>
          </cell>
          <cell r="HQ165" t="str">
            <v/>
          </cell>
          <cell r="HR165" t="str">
            <v/>
          </cell>
          <cell r="HS165" t="str">
            <v/>
          </cell>
          <cell r="HT165" t="str">
            <v/>
          </cell>
          <cell r="HU165" t="str">
            <v/>
          </cell>
          <cell r="HV165" t="str">
            <v/>
          </cell>
          <cell r="HW165" t="str">
            <v/>
          </cell>
          <cell r="MQ165" t="str">
            <v>Analysts to manually calculate</v>
          </cell>
          <cell r="MU165" t="str">
            <v>Analysts to manually calculate</v>
          </cell>
          <cell r="MY165" t="str">
            <v>Analysts to manually calculate</v>
          </cell>
          <cell r="NC165" t="str">
            <v>Analysts to manually calculate</v>
          </cell>
          <cell r="NG165" t="str">
            <v>Analysts to manually calculate</v>
          </cell>
        </row>
        <row r="166">
          <cell r="I166" t="str">
            <v>E07000043</v>
          </cell>
          <cell r="GZ166" t="str">
            <v/>
          </cell>
          <cell r="HA166" t="str">
            <v/>
          </cell>
          <cell r="HB166" t="str">
            <v/>
          </cell>
          <cell r="HC166" t="str">
            <v/>
          </cell>
          <cell r="HD166" t="str">
            <v/>
          </cell>
          <cell r="HE166" t="str">
            <v/>
          </cell>
          <cell r="HF166" t="str">
            <v/>
          </cell>
          <cell r="HG166" t="str">
            <v/>
          </cell>
          <cell r="HH166" t="str">
            <v/>
          </cell>
          <cell r="HI166" t="str">
            <v/>
          </cell>
          <cell r="HJ166" t="str">
            <v/>
          </cell>
          <cell r="HK166" t="str">
            <v/>
          </cell>
          <cell r="HL166" t="str">
            <v/>
          </cell>
          <cell r="HM166" t="str">
            <v/>
          </cell>
          <cell r="HN166" t="str">
            <v/>
          </cell>
          <cell r="HO166" t="str">
            <v/>
          </cell>
          <cell r="HP166" t="str">
            <v/>
          </cell>
          <cell r="HQ166" t="str">
            <v/>
          </cell>
          <cell r="HR166" t="str">
            <v/>
          </cell>
          <cell r="HS166" t="str">
            <v/>
          </cell>
          <cell r="HT166" t="str">
            <v/>
          </cell>
          <cell r="HU166" t="str">
            <v/>
          </cell>
          <cell r="HV166" t="str">
            <v/>
          </cell>
          <cell r="HW166" t="str">
            <v/>
          </cell>
          <cell r="MN166" t="str">
            <v/>
          </cell>
          <cell r="MO166" t="str">
            <v/>
          </cell>
          <cell r="MP166" t="str">
            <v/>
          </cell>
          <cell r="MQ166" t="str">
            <v/>
          </cell>
          <cell r="MR166" t="str">
            <v/>
          </cell>
          <cell r="MS166" t="str">
            <v/>
          </cell>
          <cell r="MT166" t="str">
            <v/>
          </cell>
          <cell r="MU166" t="str">
            <v/>
          </cell>
          <cell r="MV166" t="str">
            <v/>
          </cell>
          <cell r="MW166" t="str">
            <v/>
          </cell>
          <cell r="MX166" t="str">
            <v/>
          </cell>
          <cell r="MY166" t="str">
            <v/>
          </cell>
          <cell r="MZ166" t="str">
            <v/>
          </cell>
          <cell r="NA166" t="str">
            <v/>
          </cell>
          <cell r="NB166" t="str">
            <v/>
          </cell>
          <cell r="NC166" t="str">
            <v/>
          </cell>
          <cell r="ND166" t="str">
            <v/>
          </cell>
          <cell r="NE166" t="str">
            <v/>
          </cell>
          <cell r="NF166" t="str">
            <v/>
          </cell>
          <cell r="NG166" t="str">
            <v/>
          </cell>
          <cell r="NH166" t="str">
            <v/>
          </cell>
          <cell r="NI166" t="str">
            <v/>
          </cell>
          <cell r="NJ166" t="str">
            <v/>
          </cell>
        </row>
        <row r="167">
          <cell r="I167" t="str">
            <v>E06000023</v>
          </cell>
          <cell r="GZ167" t="str">
            <v/>
          </cell>
          <cell r="HA167" t="str">
            <v/>
          </cell>
          <cell r="HB167" t="str">
            <v/>
          </cell>
          <cell r="HC167" t="str">
            <v/>
          </cell>
          <cell r="HD167" t="str">
            <v/>
          </cell>
          <cell r="HE167" t="str">
            <v/>
          </cell>
          <cell r="HF167" t="str">
            <v/>
          </cell>
          <cell r="HG167" t="str">
            <v/>
          </cell>
          <cell r="HH167" t="str">
            <v/>
          </cell>
          <cell r="HI167" t="str">
            <v/>
          </cell>
          <cell r="HJ167" t="str">
            <v/>
          </cell>
          <cell r="HK167" t="str">
            <v/>
          </cell>
          <cell r="HL167" t="str">
            <v/>
          </cell>
          <cell r="HM167" t="str">
            <v/>
          </cell>
          <cell r="HN167" t="str">
            <v/>
          </cell>
          <cell r="HO167" t="str">
            <v/>
          </cell>
          <cell r="HP167" t="str">
            <v/>
          </cell>
          <cell r="HQ167" t="str">
            <v/>
          </cell>
          <cell r="HR167" t="str">
            <v/>
          </cell>
          <cell r="HS167" t="str">
            <v/>
          </cell>
          <cell r="HT167" t="str">
            <v/>
          </cell>
          <cell r="HU167" t="str">
            <v/>
          </cell>
          <cell r="HV167" t="str">
            <v/>
          </cell>
          <cell r="HW167" t="str">
            <v/>
          </cell>
          <cell r="MN167" t="str">
            <v/>
          </cell>
          <cell r="MO167" t="str">
            <v/>
          </cell>
          <cell r="MP167" t="str">
            <v/>
          </cell>
          <cell r="MQ167" t="str">
            <v/>
          </cell>
          <cell r="MR167" t="str">
            <v/>
          </cell>
          <cell r="MS167" t="str">
            <v/>
          </cell>
          <cell r="MT167" t="str">
            <v/>
          </cell>
          <cell r="MU167" t="str">
            <v/>
          </cell>
          <cell r="MV167" t="str">
            <v/>
          </cell>
          <cell r="MW167" t="str">
            <v/>
          </cell>
          <cell r="MX167" t="str">
            <v/>
          </cell>
          <cell r="MY167" t="str">
            <v/>
          </cell>
          <cell r="MZ167" t="str">
            <v/>
          </cell>
          <cell r="NA167" t="str">
            <v/>
          </cell>
          <cell r="NB167" t="str">
            <v/>
          </cell>
          <cell r="NC167" t="str">
            <v/>
          </cell>
          <cell r="ND167" t="str">
            <v/>
          </cell>
          <cell r="NE167" t="str">
            <v/>
          </cell>
          <cell r="NF167" t="str">
            <v/>
          </cell>
          <cell r="NG167" t="str">
            <v/>
          </cell>
          <cell r="NH167" t="str">
            <v/>
          </cell>
          <cell r="NI167" t="str">
            <v/>
          </cell>
          <cell r="NJ167" t="str">
            <v/>
          </cell>
        </row>
        <row r="168">
          <cell r="I168" t="str">
            <v>E06000032</v>
          </cell>
          <cell r="GZ168" t="str">
            <v/>
          </cell>
          <cell r="HA168" t="str">
            <v/>
          </cell>
          <cell r="HB168" t="str">
            <v/>
          </cell>
          <cell r="HC168" t="str">
            <v/>
          </cell>
          <cell r="HD168" t="str">
            <v/>
          </cell>
          <cell r="HE168" t="str">
            <v/>
          </cell>
          <cell r="HF168" t="str">
            <v/>
          </cell>
          <cell r="HG168" t="str">
            <v/>
          </cell>
          <cell r="HH168" t="str">
            <v/>
          </cell>
          <cell r="HI168" t="str">
            <v/>
          </cell>
          <cell r="HJ168" t="str">
            <v/>
          </cell>
          <cell r="HK168" t="str">
            <v/>
          </cell>
          <cell r="HL168" t="str">
            <v/>
          </cell>
          <cell r="HM168" t="str">
            <v/>
          </cell>
          <cell r="HN168" t="str">
            <v/>
          </cell>
          <cell r="HO168" t="str">
            <v/>
          </cell>
          <cell r="HP168" t="str">
            <v/>
          </cell>
          <cell r="HQ168" t="str">
            <v/>
          </cell>
          <cell r="HR168" t="str">
            <v/>
          </cell>
          <cell r="HS168" t="str">
            <v/>
          </cell>
          <cell r="HT168" t="str">
            <v/>
          </cell>
          <cell r="HU168" t="str">
            <v/>
          </cell>
          <cell r="HV168" t="str">
            <v/>
          </cell>
          <cell r="HW168" t="str">
            <v/>
          </cell>
          <cell r="MN168" t="str">
            <v/>
          </cell>
          <cell r="MO168" t="str">
            <v/>
          </cell>
          <cell r="MP168" t="str">
            <v/>
          </cell>
          <cell r="MQ168" t="str">
            <v/>
          </cell>
          <cell r="MR168" t="str">
            <v/>
          </cell>
          <cell r="MS168" t="str">
            <v/>
          </cell>
          <cell r="MT168" t="str">
            <v/>
          </cell>
          <cell r="MU168" t="str">
            <v/>
          </cell>
          <cell r="MV168" t="str">
            <v/>
          </cell>
          <cell r="MW168" t="str">
            <v/>
          </cell>
          <cell r="MX168" t="str">
            <v/>
          </cell>
          <cell r="MY168" t="str">
            <v/>
          </cell>
          <cell r="MZ168" t="str">
            <v/>
          </cell>
          <cell r="NA168" t="str">
            <v/>
          </cell>
          <cell r="NB168" t="str">
            <v/>
          </cell>
          <cell r="NC168" t="str">
            <v/>
          </cell>
          <cell r="ND168" t="str">
            <v/>
          </cell>
          <cell r="NE168" t="str">
            <v/>
          </cell>
          <cell r="NF168" t="str">
            <v/>
          </cell>
          <cell r="NG168" t="str">
            <v/>
          </cell>
          <cell r="NH168" t="str">
            <v/>
          </cell>
          <cell r="NI168" t="str">
            <v/>
          </cell>
          <cell r="NJ168" t="str">
            <v/>
          </cell>
        </row>
        <row r="169">
          <cell r="I169" t="str">
            <v>E07000107</v>
          </cell>
          <cell r="GZ169" t="str">
            <v/>
          </cell>
          <cell r="HA169" t="str">
            <v/>
          </cell>
          <cell r="HB169" t="str">
            <v/>
          </cell>
          <cell r="HC169" t="str">
            <v/>
          </cell>
          <cell r="HD169" t="str">
            <v/>
          </cell>
          <cell r="HE169" t="str">
            <v/>
          </cell>
          <cell r="HF169" t="str">
            <v/>
          </cell>
          <cell r="HG169" t="str">
            <v/>
          </cell>
          <cell r="HH169" t="str">
            <v/>
          </cell>
          <cell r="HI169" t="str">
            <v/>
          </cell>
          <cell r="HJ169" t="str">
            <v/>
          </cell>
          <cell r="HK169" t="str">
            <v/>
          </cell>
          <cell r="HL169" t="str">
            <v/>
          </cell>
          <cell r="HM169" t="str">
            <v/>
          </cell>
          <cell r="HN169" t="str">
            <v/>
          </cell>
          <cell r="HO169" t="str">
            <v/>
          </cell>
          <cell r="HP169" t="str">
            <v/>
          </cell>
          <cell r="HQ169" t="str">
            <v/>
          </cell>
          <cell r="HR169" t="str">
            <v/>
          </cell>
          <cell r="HS169" t="str">
            <v/>
          </cell>
          <cell r="HT169" t="str">
            <v/>
          </cell>
          <cell r="HU169" t="str">
            <v/>
          </cell>
          <cell r="HV169" t="str">
            <v/>
          </cell>
          <cell r="HW169" t="str">
            <v/>
          </cell>
          <cell r="MN169" t="str">
            <v/>
          </cell>
          <cell r="MO169" t="str">
            <v/>
          </cell>
          <cell r="MP169" t="str">
            <v/>
          </cell>
          <cell r="MQ169" t="str">
            <v/>
          </cell>
          <cell r="MR169" t="str">
            <v/>
          </cell>
          <cell r="MS169" t="str">
            <v/>
          </cell>
          <cell r="MT169" t="str">
            <v/>
          </cell>
          <cell r="MU169" t="str">
            <v/>
          </cell>
          <cell r="MV169" t="str">
            <v/>
          </cell>
          <cell r="MW169" t="str">
            <v/>
          </cell>
          <cell r="MX169" t="str">
            <v/>
          </cell>
          <cell r="MY169" t="str">
            <v/>
          </cell>
          <cell r="MZ169" t="str">
            <v/>
          </cell>
          <cell r="NA169" t="str">
            <v/>
          </cell>
          <cell r="NB169" t="str">
            <v/>
          </cell>
          <cell r="NC169" t="str">
            <v/>
          </cell>
          <cell r="ND169" t="str">
            <v/>
          </cell>
          <cell r="NE169" t="str">
            <v/>
          </cell>
          <cell r="NF169" t="str">
            <v/>
          </cell>
          <cell r="NG169" t="str">
            <v/>
          </cell>
          <cell r="NH169" t="str">
            <v/>
          </cell>
          <cell r="NI169" t="str">
            <v/>
          </cell>
          <cell r="NJ169" t="str">
            <v/>
          </cell>
        </row>
        <row r="170">
          <cell r="I170" t="str">
            <v>E07000189</v>
          </cell>
          <cell r="GZ170" t="str">
            <v/>
          </cell>
          <cell r="HA170" t="str">
            <v/>
          </cell>
          <cell r="HB170" t="str">
            <v/>
          </cell>
          <cell r="HC170" t="str">
            <v/>
          </cell>
          <cell r="HD170" t="str">
            <v/>
          </cell>
          <cell r="HE170" t="str">
            <v/>
          </cell>
          <cell r="HF170" t="str">
            <v/>
          </cell>
          <cell r="HG170" t="str">
            <v/>
          </cell>
          <cell r="HH170" t="str">
            <v/>
          </cell>
          <cell r="HI170" t="str">
            <v/>
          </cell>
          <cell r="HJ170" t="str">
            <v/>
          </cell>
          <cell r="HK170" t="str">
            <v/>
          </cell>
          <cell r="HL170" t="str">
            <v/>
          </cell>
          <cell r="HM170" t="str">
            <v/>
          </cell>
          <cell r="HN170" t="str">
            <v/>
          </cell>
          <cell r="HO170" t="str">
            <v/>
          </cell>
          <cell r="HP170" t="str">
            <v/>
          </cell>
          <cell r="HQ170" t="str">
            <v/>
          </cell>
          <cell r="HR170" t="str">
            <v/>
          </cell>
          <cell r="HS170" t="str">
            <v/>
          </cell>
          <cell r="HT170" t="str">
            <v/>
          </cell>
          <cell r="HU170" t="str">
            <v/>
          </cell>
          <cell r="HV170" t="str">
            <v/>
          </cell>
          <cell r="HW170" t="str">
            <v/>
          </cell>
          <cell r="MN170" t="str">
            <v/>
          </cell>
          <cell r="MO170" t="str">
            <v/>
          </cell>
          <cell r="MP170" t="str">
            <v/>
          </cell>
          <cell r="MQ170" t="str">
            <v/>
          </cell>
          <cell r="MR170" t="str">
            <v/>
          </cell>
          <cell r="MS170" t="str">
            <v/>
          </cell>
          <cell r="MT170" t="str">
            <v/>
          </cell>
          <cell r="MU170" t="str">
            <v/>
          </cell>
          <cell r="MV170" t="str">
            <v/>
          </cell>
          <cell r="MW170" t="str">
            <v/>
          </cell>
          <cell r="MX170" t="str">
            <v/>
          </cell>
          <cell r="MY170" t="str">
            <v/>
          </cell>
          <cell r="MZ170" t="str">
            <v/>
          </cell>
          <cell r="NA170" t="str">
            <v/>
          </cell>
          <cell r="NB170" t="str">
            <v/>
          </cell>
          <cell r="NC170" t="str">
            <v/>
          </cell>
          <cell r="ND170" t="str">
            <v/>
          </cell>
          <cell r="NE170" t="str">
            <v/>
          </cell>
          <cell r="NF170" t="str">
            <v/>
          </cell>
          <cell r="NG170" t="str">
            <v/>
          </cell>
          <cell r="NH170" t="str">
            <v/>
          </cell>
          <cell r="NI170" t="str">
            <v/>
          </cell>
          <cell r="NJ170" t="str">
            <v/>
          </cell>
        </row>
        <row r="171">
          <cell r="I171" t="str">
            <v>E09000021</v>
          </cell>
          <cell r="GZ171" t="str">
            <v/>
          </cell>
          <cell r="HA171" t="str">
            <v/>
          </cell>
          <cell r="HB171" t="str">
            <v/>
          </cell>
          <cell r="HC171" t="str">
            <v/>
          </cell>
          <cell r="HD171" t="str">
            <v/>
          </cell>
          <cell r="HE171" t="str">
            <v/>
          </cell>
          <cell r="HF171" t="str">
            <v/>
          </cell>
          <cell r="HG171" t="str">
            <v/>
          </cell>
          <cell r="HH171" t="str">
            <v/>
          </cell>
          <cell r="HI171" t="str">
            <v/>
          </cell>
          <cell r="HJ171" t="str">
            <v/>
          </cell>
          <cell r="HK171" t="str">
            <v/>
          </cell>
          <cell r="HL171" t="str">
            <v/>
          </cell>
          <cell r="HM171" t="str">
            <v/>
          </cell>
          <cell r="HN171" t="str">
            <v/>
          </cell>
          <cell r="HO171" t="str">
            <v/>
          </cell>
          <cell r="HP171" t="str">
            <v/>
          </cell>
          <cell r="HQ171" t="str">
            <v/>
          </cell>
          <cell r="HR171" t="str">
            <v/>
          </cell>
          <cell r="HS171" t="str">
            <v/>
          </cell>
          <cell r="HT171" t="str">
            <v/>
          </cell>
          <cell r="HU171" t="str">
            <v/>
          </cell>
          <cell r="HV171" t="str">
            <v/>
          </cell>
          <cell r="HW171" t="str">
            <v/>
          </cell>
          <cell r="MQ171" t="str">
            <v>Analysts to manually calculate</v>
          </cell>
          <cell r="MU171" t="str">
            <v>Analysts to manually calculate</v>
          </cell>
          <cell r="MY171" t="str">
            <v>Analysts to manually calculate</v>
          </cell>
          <cell r="NC171" t="str">
            <v>Analysts to manually calculate</v>
          </cell>
          <cell r="NG171" t="str">
            <v>Analysts to manually calculate</v>
          </cell>
        </row>
        <row r="172">
          <cell r="I172" t="str">
            <v>E06000056</v>
          </cell>
          <cell r="GZ172" t="str">
            <v/>
          </cell>
          <cell r="HA172" t="str">
            <v/>
          </cell>
          <cell r="HB172" t="str">
            <v/>
          </cell>
          <cell r="HC172" t="str">
            <v/>
          </cell>
          <cell r="HD172" t="str">
            <v/>
          </cell>
          <cell r="HE172" t="str">
            <v/>
          </cell>
          <cell r="HF172" t="str">
            <v/>
          </cell>
          <cell r="HG172" t="str">
            <v/>
          </cell>
          <cell r="HH172" t="str">
            <v/>
          </cell>
          <cell r="HI172" t="str">
            <v/>
          </cell>
          <cell r="HJ172" t="str">
            <v/>
          </cell>
          <cell r="HK172" t="str">
            <v/>
          </cell>
          <cell r="HL172" t="str">
            <v/>
          </cell>
          <cell r="HM172" t="str">
            <v/>
          </cell>
          <cell r="HN172" t="str">
            <v/>
          </cell>
          <cell r="HO172" t="str">
            <v/>
          </cell>
          <cell r="HP172" t="str">
            <v/>
          </cell>
          <cell r="HQ172" t="str">
            <v/>
          </cell>
          <cell r="HR172" t="str">
            <v/>
          </cell>
          <cell r="HS172" t="str">
            <v/>
          </cell>
          <cell r="HT172" t="str">
            <v/>
          </cell>
          <cell r="HU172" t="str">
            <v/>
          </cell>
          <cell r="HV172" t="str">
            <v/>
          </cell>
          <cell r="HW172" t="str">
            <v/>
          </cell>
          <cell r="MN172" t="str">
            <v/>
          </cell>
          <cell r="MO172" t="str">
            <v/>
          </cell>
          <cell r="MP172" t="str">
            <v/>
          </cell>
          <cell r="MQ172" t="str">
            <v/>
          </cell>
          <cell r="MR172" t="str">
            <v/>
          </cell>
          <cell r="MS172" t="str">
            <v/>
          </cell>
          <cell r="MT172" t="str">
            <v/>
          </cell>
          <cell r="MU172" t="str">
            <v/>
          </cell>
          <cell r="MV172" t="str">
            <v/>
          </cell>
          <cell r="MW172" t="str">
            <v/>
          </cell>
          <cell r="MX172" t="str">
            <v/>
          </cell>
          <cell r="MY172" t="str">
            <v/>
          </cell>
          <cell r="MZ172" t="str">
            <v/>
          </cell>
          <cell r="NA172" t="str">
            <v/>
          </cell>
          <cell r="NB172" t="str">
            <v/>
          </cell>
          <cell r="NC172" t="str">
            <v/>
          </cell>
          <cell r="ND172" t="str">
            <v/>
          </cell>
          <cell r="NE172" t="str">
            <v/>
          </cell>
          <cell r="NF172" t="str">
            <v/>
          </cell>
          <cell r="NG172" t="str">
            <v/>
          </cell>
          <cell r="NH172" t="str">
            <v/>
          </cell>
          <cell r="NI172" t="str">
            <v/>
          </cell>
          <cell r="NJ172" t="str">
            <v/>
          </cell>
        </row>
        <row r="173">
          <cell r="I173" t="str">
            <v>E07000072</v>
          </cell>
          <cell r="GZ173" t="str">
            <v/>
          </cell>
          <cell r="HA173" t="str">
            <v/>
          </cell>
          <cell r="HB173" t="str">
            <v/>
          </cell>
          <cell r="HC173" t="str">
            <v/>
          </cell>
          <cell r="HD173" t="str">
            <v/>
          </cell>
          <cell r="HE173" t="str">
            <v/>
          </cell>
          <cell r="HF173" t="str">
            <v/>
          </cell>
          <cell r="HG173" t="str">
            <v/>
          </cell>
          <cell r="HH173" t="str">
            <v/>
          </cell>
          <cell r="HI173" t="str">
            <v/>
          </cell>
          <cell r="HJ173" t="str">
            <v/>
          </cell>
          <cell r="HK173" t="str">
            <v/>
          </cell>
          <cell r="HL173" t="str">
            <v/>
          </cell>
          <cell r="HM173" t="str">
            <v/>
          </cell>
          <cell r="HN173" t="str">
            <v/>
          </cell>
          <cell r="HO173" t="str">
            <v/>
          </cell>
          <cell r="HP173" t="str">
            <v/>
          </cell>
          <cell r="HQ173" t="str">
            <v/>
          </cell>
          <cell r="HR173" t="str">
            <v/>
          </cell>
          <cell r="HS173" t="str">
            <v/>
          </cell>
          <cell r="HT173" t="str">
            <v/>
          </cell>
          <cell r="HU173" t="str">
            <v/>
          </cell>
          <cell r="HV173" t="str">
            <v/>
          </cell>
          <cell r="HW173" t="str">
            <v/>
          </cell>
          <cell r="MN173" t="str">
            <v/>
          </cell>
          <cell r="MO173" t="str">
            <v/>
          </cell>
          <cell r="MP173" t="str">
            <v/>
          </cell>
          <cell r="MQ173" t="str">
            <v/>
          </cell>
          <cell r="MR173" t="str">
            <v/>
          </cell>
          <cell r="MS173" t="str">
            <v/>
          </cell>
          <cell r="MT173" t="str">
            <v/>
          </cell>
          <cell r="MU173" t="str">
            <v/>
          </cell>
          <cell r="MV173" t="str">
            <v/>
          </cell>
          <cell r="MW173" t="str">
            <v/>
          </cell>
          <cell r="MX173" t="str">
            <v/>
          </cell>
          <cell r="MY173" t="str">
            <v/>
          </cell>
          <cell r="MZ173" t="str">
            <v/>
          </cell>
          <cell r="NA173" t="str">
            <v/>
          </cell>
          <cell r="NB173" t="str">
            <v/>
          </cell>
          <cell r="NC173" t="str">
            <v/>
          </cell>
          <cell r="ND173" t="str">
            <v/>
          </cell>
          <cell r="NE173" t="str">
            <v/>
          </cell>
          <cell r="NF173" t="str">
            <v/>
          </cell>
          <cell r="NG173" t="str">
            <v/>
          </cell>
          <cell r="NH173" t="str">
            <v/>
          </cell>
          <cell r="NI173" t="str">
            <v/>
          </cell>
          <cell r="NJ173" t="str">
            <v/>
          </cell>
        </row>
        <row r="174">
          <cell r="I174" t="str">
            <v>E06000029</v>
          </cell>
          <cell r="GZ174">
            <v>41365</v>
          </cell>
          <cell r="HA174">
            <v>43190</v>
          </cell>
          <cell r="HB174">
            <v>500</v>
          </cell>
          <cell r="HC174">
            <v>500</v>
          </cell>
          <cell r="HD174">
            <v>43191</v>
          </cell>
          <cell r="HE174">
            <v>45016</v>
          </cell>
          <cell r="HF174">
            <v>710</v>
          </cell>
          <cell r="HG174">
            <v>710</v>
          </cell>
          <cell r="HH174">
            <v>45017</v>
          </cell>
          <cell r="HI174">
            <v>48669</v>
          </cell>
          <cell r="HJ174">
            <v>815</v>
          </cell>
          <cell r="HK174">
            <v>815</v>
          </cell>
          <cell r="HL174" t="str">
            <v/>
          </cell>
          <cell r="HM174" t="str">
            <v/>
          </cell>
          <cell r="HN174" t="str">
            <v/>
          </cell>
          <cell r="HO174" t="str">
            <v/>
          </cell>
          <cell r="HP174" t="str">
            <v/>
          </cell>
          <cell r="HQ174" t="str">
            <v/>
          </cell>
          <cell r="HR174" t="str">
            <v/>
          </cell>
          <cell r="HS174" t="str">
            <v/>
          </cell>
          <cell r="HT174" t="str">
            <v/>
          </cell>
          <cell r="HU174" t="str">
            <v/>
          </cell>
          <cell r="HV174" t="str">
            <v/>
          </cell>
          <cell r="HW174" t="str">
            <v/>
          </cell>
          <cell r="MN174" t="str">
            <v/>
          </cell>
          <cell r="MO174" t="str">
            <v/>
          </cell>
          <cell r="MP174" t="str">
            <v/>
          </cell>
          <cell r="MQ174" t="str">
            <v/>
          </cell>
          <cell r="MR174" t="str">
            <v/>
          </cell>
          <cell r="MS174" t="str">
            <v/>
          </cell>
          <cell r="MT174" t="str">
            <v/>
          </cell>
          <cell r="MU174" t="str">
            <v/>
          </cell>
          <cell r="MV174" t="str">
            <v/>
          </cell>
          <cell r="MW174" t="str">
            <v/>
          </cell>
          <cell r="MX174" t="str">
            <v/>
          </cell>
          <cell r="MY174" t="str">
            <v/>
          </cell>
          <cell r="MZ174" t="str">
            <v/>
          </cell>
          <cell r="NA174" t="str">
            <v/>
          </cell>
          <cell r="NB174" t="str">
            <v/>
          </cell>
          <cell r="NC174" t="str">
            <v/>
          </cell>
          <cell r="ND174" t="str">
            <v/>
          </cell>
          <cell r="NE174" t="str">
            <v/>
          </cell>
          <cell r="NF174" t="str">
            <v/>
          </cell>
          <cell r="NG174" t="str">
            <v/>
          </cell>
          <cell r="NH174" t="str">
            <v/>
          </cell>
          <cell r="NI174" t="str">
            <v/>
          </cell>
          <cell r="NJ174" t="str">
            <v/>
          </cell>
        </row>
        <row r="175">
          <cell r="I175" t="str">
            <v>E06000009</v>
          </cell>
          <cell r="GZ175">
            <v>41000</v>
          </cell>
          <cell r="HA175">
            <v>42825</v>
          </cell>
          <cell r="HB175">
            <v>250</v>
          </cell>
          <cell r="HC175">
            <v>250</v>
          </cell>
          <cell r="HD175">
            <v>42826</v>
          </cell>
          <cell r="HE175">
            <v>44651</v>
          </cell>
          <cell r="HF175">
            <v>280</v>
          </cell>
          <cell r="HG175">
            <v>280</v>
          </cell>
          <cell r="HH175">
            <v>44652</v>
          </cell>
          <cell r="HI175">
            <v>46477</v>
          </cell>
          <cell r="HJ175">
            <v>310</v>
          </cell>
          <cell r="HK175">
            <v>310</v>
          </cell>
          <cell r="HL175" t="str">
            <v/>
          </cell>
          <cell r="HM175" t="str">
            <v/>
          </cell>
          <cell r="HN175" t="str">
            <v/>
          </cell>
          <cell r="HO175" t="str">
            <v/>
          </cell>
          <cell r="HP175" t="str">
            <v/>
          </cell>
          <cell r="HQ175" t="str">
            <v/>
          </cell>
          <cell r="HR175" t="str">
            <v/>
          </cell>
          <cell r="HS175" t="str">
            <v/>
          </cell>
          <cell r="HT175" t="str">
            <v/>
          </cell>
          <cell r="HU175" t="str">
            <v/>
          </cell>
          <cell r="HV175" t="str">
            <v/>
          </cell>
          <cell r="HW175" t="str">
            <v/>
          </cell>
          <cell r="MN175" t="str">
            <v/>
          </cell>
          <cell r="MO175" t="str">
            <v/>
          </cell>
          <cell r="MP175" t="str">
            <v/>
          </cell>
          <cell r="MQ175" t="str">
            <v/>
          </cell>
          <cell r="MR175" t="str">
            <v/>
          </cell>
          <cell r="MS175" t="str">
            <v/>
          </cell>
          <cell r="MT175" t="str">
            <v/>
          </cell>
          <cell r="MU175" t="str">
            <v/>
          </cell>
          <cell r="MV175" t="str">
            <v/>
          </cell>
          <cell r="MW175" t="str">
            <v/>
          </cell>
          <cell r="MX175" t="str">
            <v/>
          </cell>
          <cell r="MY175" t="str">
            <v/>
          </cell>
          <cell r="MZ175" t="str">
            <v/>
          </cell>
          <cell r="NA175" t="str">
            <v/>
          </cell>
          <cell r="NB175" t="str">
            <v/>
          </cell>
          <cell r="NC175" t="str">
            <v/>
          </cell>
          <cell r="ND175" t="str">
            <v/>
          </cell>
          <cell r="NE175" t="str">
            <v/>
          </cell>
          <cell r="NF175" t="str">
            <v/>
          </cell>
          <cell r="NG175" t="str">
            <v/>
          </cell>
          <cell r="NH175" t="str">
            <v/>
          </cell>
          <cell r="NI175" t="str">
            <v/>
          </cell>
          <cell r="NJ175" t="str">
            <v/>
          </cell>
        </row>
        <row r="176">
          <cell r="I176" t="str">
            <v>E07000216</v>
          </cell>
          <cell r="GZ176" t="str">
            <v/>
          </cell>
          <cell r="HA176" t="str">
            <v/>
          </cell>
          <cell r="HB176" t="str">
            <v/>
          </cell>
          <cell r="HC176" t="str">
            <v/>
          </cell>
          <cell r="HD176" t="str">
            <v/>
          </cell>
          <cell r="HE176" t="str">
            <v/>
          </cell>
          <cell r="HF176" t="str">
            <v/>
          </cell>
          <cell r="HG176" t="str">
            <v/>
          </cell>
          <cell r="HH176" t="str">
            <v/>
          </cell>
          <cell r="HI176" t="str">
            <v/>
          </cell>
          <cell r="HJ176" t="str">
            <v/>
          </cell>
          <cell r="HK176" t="str">
            <v/>
          </cell>
          <cell r="HL176" t="str">
            <v/>
          </cell>
          <cell r="HM176" t="str">
            <v/>
          </cell>
          <cell r="HN176" t="str">
            <v/>
          </cell>
          <cell r="HO176" t="str">
            <v/>
          </cell>
          <cell r="HP176" t="str">
            <v/>
          </cell>
          <cell r="HQ176" t="str">
            <v/>
          </cell>
          <cell r="HR176" t="str">
            <v/>
          </cell>
          <cell r="HS176" t="str">
            <v/>
          </cell>
          <cell r="HT176" t="str">
            <v/>
          </cell>
          <cell r="HU176" t="str">
            <v/>
          </cell>
          <cell r="HV176" t="str">
            <v/>
          </cell>
          <cell r="HW176" t="str">
            <v/>
          </cell>
          <cell r="MN176" t="str">
            <v/>
          </cell>
          <cell r="MO176" t="str">
            <v/>
          </cell>
          <cell r="MP176" t="str">
            <v/>
          </cell>
          <cell r="MQ176" t="str">
            <v/>
          </cell>
          <cell r="MR176" t="str">
            <v/>
          </cell>
          <cell r="MS176" t="str">
            <v/>
          </cell>
          <cell r="MT176" t="str">
            <v/>
          </cell>
          <cell r="MU176" t="str">
            <v/>
          </cell>
          <cell r="MV176" t="str">
            <v/>
          </cell>
          <cell r="MW176" t="str">
            <v/>
          </cell>
          <cell r="MX176" t="str">
            <v/>
          </cell>
          <cell r="MY176" t="str">
            <v/>
          </cell>
          <cell r="MZ176" t="str">
            <v/>
          </cell>
          <cell r="NA176" t="str">
            <v/>
          </cell>
          <cell r="NB176" t="str">
            <v/>
          </cell>
          <cell r="NC176" t="str">
            <v/>
          </cell>
          <cell r="ND176" t="str">
            <v/>
          </cell>
          <cell r="NE176" t="str">
            <v/>
          </cell>
          <cell r="NF176" t="str">
            <v/>
          </cell>
          <cell r="NG176" t="str">
            <v/>
          </cell>
          <cell r="NH176" t="str">
            <v/>
          </cell>
          <cell r="NI176" t="str">
            <v/>
          </cell>
          <cell r="NJ176" t="str">
            <v/>
          </cell>
        </row>
        <row r="177">
          <cell r="I177" t="str">
            <v>E09000008</v>
          </cell>
          <cell r="GZ177" t="str">
            <v/>
          </cell>
          <cell r="HA177" t="str">
            <v/>
          </cell>
          <cell r="HB177" t="str">
            <v/>
          </cell>
          <cell r="HC177" t="str">
            <v/>
          </cell>
          <cell r="HD177" t="str">
            <v/>
          </cell>
          <cell r="HE177" t="str">
            <v/>
          </cell>
          <cell r="HF177" t="str">
            <v/>
          </cell>
          <cell r="HG177" t="str">
            <v/>
          </cell>
          <cell r="HH177" t="str">
            <v/>
          </cell>
          <cell r="HI177" t="str">
            <v/>
          </cell>
          <cell r="HJ177" t="str">
            <v/>
          </cell>
          <cell r="HK177" t="str">
            <v/>
          </cell>
          <cell r="HL177" t="str">
            <v/>
          </cell>
          <cell r="HM177" t="str">
            <v/>
          </cell>
          <cell r="HN177" t="str">
            <v/>
          </cell>
          <cell r="HO177" t="str">
            <v/>
          </cell>
          <cell r="HP177" t="str">
            <v/>
          </cell>
          <cell r="HQ177" t="str">
            <v/>
          </cell>
          <cell r="HR177" t="str">
            <v/>
          </cell>
          <cell r="HS177" t="str">
            <v/>
          </cell>
          <cell r="HT177" t="str">
            <v/>
          </cell>
          <cell r="HU177" t="str">
            <v/>
          </cell>
          <cell r="HV177" t="str">
            <v/>
          </cell>
          <cell r="HW177" t="str">
            <v/>
          </cell>
          <cell r="MN177">
            <v>40634</v>
          </cell>
          <cell r="MO177">
            <v>44286</v>
          </cell>
          <cell r="MP177">
            <v>1330</v>
          </cell>
          <cell r="MQ177" t="str">
            <v>Analysts to manually calculate</v>
          </cell>
          <cell r="MR177">
            <v>44287</v>
          </cell>
          <cell r="MS177">
            <v>47938</v>
          </cell>
          <cell r="MT177">
            <v>690</v>
          </cell>
          <cell r="MU177" t="str">
            <v>Analysts to manually calculate</v>
          </cell>
          <cell r="MY177" t="str">
            <v>Analysts to manually calculate</v>
          </cell>
          <cell r="NC177" t="str">
            <v>Analysts to manually calculate</v>
          </cell>
          <cell r="NG177" t="str">
            <v>Analysts to manually calculate</v>
          </cell>
        </row>
        <row r="178">
          <cell r="I178" t="str">
            <v>E08000010</v>
          </cell>
          <cell r="GZ178" t="str">
            <v/>
          </cell>
          <cell r="HA178" t="str">
            <v/>
          </cell>
          <cell r="HB178" t="str">
            <v/>
          </cell>
          <cell r="HC178" t="str">
            <v/>
          </cell>
          <cell r="HD178" t="str">
            <v/>
          </cell>
          <cell r="HE178" t="str">
            <v/>
          </cell>
          <cell r="HF178" t="str">
            <v/>
          </cell>
          <cell r="HG178" t="str">
            <v/>
          </cell>
          <cell r="HH178" t="str">
            <v/>
          </cell>
          <cell r="HI178" t="str">
            <v/>
          </cell>
          <cell r="HJ178" t="str">
            <v/>
          </cell>
          <cell r="HK178" t="str">
            <v/>
          </cell>
          <cell r="HL178" t="str">
            <v/>
          </cell>
          <cell r="HM178" t="str">
            <v/>
          </cell>
          <cell r="HN178" t="str">
            <v/>
          </cell>
          <cell r="HO178" t="str">
            <v/>
          </cell>
          <cell r="HP178" t="str">
            <v/>
          </cell>
          <cell r="HQ178" t="str">
            <v/>
          </cell>
          <cell r="HR178" t="str">
            <v/>
          </cell>
          <cell r="HS178" t="str">
            <v/>
          </cell>
          <cell r="HT178" t="str">
            <v/>
          </cell>
          <cell r="HU178" t="str">
            <v/>
          </cell>
          <cell r="HV178" t="str">
            <v/>
          </cell>
          <cell r="HW178" t="str">
            <v/>
          </cell>
          <cell r="MN178" t="str">
            <v/>
          </cell>
          <cell r="MO178" t="str">
            <v/>
          </cell>
          <cell r="MP178" t="str">
            <v/>
          </cell>
          <cell r="MQ178" t="str">
            <v/>
          </cell>
          <cell r="MR178" t="str">
            <v/>
          </cell>
          <cell r="MS178" t="str">
            <v/>
          </cell>
          <cell r="MT178" t="str">
            <v/>
          </cell>
          <cell r="MU178" t="str">
            <v/>
          </cell>
          <cell r="MV178" t="str">
            <v/>
          </cell>
          <cell r="MW178" t="str">
            <v/>
          </cell>
          <cell r="MX178" t="str">
            <v/>
          </cell>
          <cell r="MY178" t="str">
            <v/>
          </cell>
          <cell r="MZ178" t="str">
            <v/>
          </cell>
          <cell r="NA178" t="str">
            <v/>
          </cell>
          <cell r="NB178" t="str">
            <v/>
          </cell>
          <cell r="NC178" t="str">
            <v/>
          </cell>
          <cell r="ND178" t="str">
            <v/>
          </cell>
          <cell r="NE178" t="str">
            <v/>
          </cell>
          <cell r="NF178" t="str">
            <v/>
          </cell>
          <cell r="NG178" t="str">
            <v/>
          </cell>
          <cell r="NH178" t="str">
            <v/>
          </cell>
          <cell r="NI178" t="str">
            <v/>
          </cell>
          <cell r="NJ178" t="str">
            <v/>
          </cell>
        </row>
        <row r="179">
          <cell r="I179" t="str">
            <v>E07000084</v>
          </cell>
          <cell r="GZ179" t="str">
            <v/>
          </cell>
          <cell r="HA179" t="str">
            <v/>
          </cell>
          <cell r="HB179" t="str">
            <v/>
          </cell>
          <cell r="HC179" t="str">
            <v/>
          </cell>
          <cell r="HD179" t="str">
            <v/>
          </cell>
          <cell r="HE179" t="str">
            <v/>
          </cell>
          <cell r="HF179" t="str">
            <v/>
          </cell>
          <cell r="HG179" t="str">
            <v/>
          </cell>
          <cell r="HH179" t="str">
            <v/>
          </cell>
          <cell r="HI179" t="str">
            <v/>
          </cell>
          <cell r="HJ179" t="str">
            <v/>
          </cell>
          <cell r="HK179" t="str">
            <v/>
          </cell>
          <cell r="HL179" t="str">
            <v/>
          </cell>
          <cell r="HM179" t="str">
            <v/>
          </cell>
          <cell r="HN179" t="str">
            <v/>
          </cell>
          <cell r="HO179" t="str">
            <v/>
          </cell>
          <cell r="HP179" t="str">
            <v/>
          </cell>
          <cell r="HQ179" t="str">
            <v/>
          </cell>
          <cell r="HR179" t="str">
            <v/>
          </cell>
          <cell r="HS179" t="str">
            <v/>
          </cell>
          <cell r="HT179" t="str">
            <v/>
          </cell>
          <cell r="HU179" t="str">
            <v/>
          </cell>
          <cell r="HV179" t="str">
            <v/>
          </cell>
          <cell r="HW179" t="str">
            <v/>
          </cell>
          <cell r="MN179" t="str">
            <v/>
          </cell>
          <cell r="MO179" t="str">
            <v/>
          </cell>
          <cell r="MP179" t="str">
            <v/>
          </cell>
          <cell r="MQ179" t="str">
            <v/>
          </cell>
          <cell r="MR179" t="str">
            <v/>
          </cell>
          <cell r="MS179" t="str">
            <v/>
          </cell>
          <cell r="MT179" t="str">
            <v/>
          </cell>
          <cell r="MU179" t="str">
            <v/>
          </cell>
          <cell r="MV179" t="str">
            <v/>
          </cell>
          <cell r="MW179" t="str">
            <v/>
          </cell>
          <cell r="MX179" t="str">
            <v/>
          </cell>
          <cell r="MY179" t="str">
            <v/>
          </cell>
          <cell r="MZ179" t="str">
            <v/>
          </cell>
          <cell r="NA179" t="str">
            <v/>
          </cell>
          <cell r="NB179" t="str">
            <v/>
          </cell>
          <cell r="NC179" t="str">
            <v/>
          </cell>
          <cell r="ND179" t="str">
            <v/>
          </cell>
          <cell r="NE179" t="str">
            <v/>
          </cell>
          <cell r="NF179" t="str">
            <v/>
          </cell>
          <cell r="NG179" t="str">
            <v/>
          </cell>
          <cell r="NH179" t="str">
            <v/>
          </cell>
          <cell r="NI179" t="str">
            <v/>
          </cell>
          <cell r="NJ179" t="str">
            <v/>
          </cell>
        </row>
        <row r="180">
          <cell r="I180" t="str">
            <v>E06000040</v>
          </cell>
          <cell r="GZ180" t="str">
            <v/>
          </cell>
          <cell r="HA180" t="str">
            <v/>
          </cell>
          <cell r="HB180" t="str">
            <v/>
          </cell>
          <cell r="HC180" t="str">
            <v/>
          </cell>
          <cell r="HD180" t="str">
            <v/>
          </cell>
          <cell r="HE180" t="str">
            <v/>
          </cell>
          <cell r="HF180" t="str">
            <v/>
          </cell>
          <cell r="HG180" t="str">
            <v/>
          </cell>
          <cell r="HH180" t="str">
            <v/>
          </cell>
          <cell r="HI180" t="str">
            <v/>
          </cell>
          <cell r="HJ180" t="str">
            <v/>
          </cell>
          <cell r="HK180" t="str">
            <v/>
          </cell>
          <cell r="HL180" t="str">
            <v/>
          </cell>
          <cell r="HM180" t="str">
            <v/>
          </cell>
          <cell r="HN180" t="str">
            <v/>
          </cell>
          <cell r="HO180" t="str">
            <v/>
          </cell>
          <cell r="HP180" t="str">
            <v/>
          </cell>
          <cell r="HQ180" t="str">
            <v/>
          </cell>
          <cell r="HR180" t="str">
            <v/>
          </cell>
          <cell r="HS180" t="str">
            <v/>
          </cell>
          <cell r="HT180" t="str">
            <v/>
          </cell>
          <cell r="HU180" t="str">
            <v/>
          </cell>
          <cell r="HV180" t="str">
            <v/>
          </cell>
          <cell r="HW180" t="str">
            <v/>
          </cell>
          <cell r="MN180" t="str">
            <v/>
          </cell>
          <cell r="MO180" t="str">
            <v/>
          </cell>
          <cell r="MP180" t="str">
            <v/>
          </cell>
          <cell r="MQ180" t="str">
            <v/>
          </cell>
          <cell r="MR180" t="str">
            <v/>
          </cell>
          <cell r="MS180" t="str">
            <v/>
          </cell>
          <cell r="MT180" t="str">
            <v/>
          </cell>
          <cell r="MU180" t="str">
            <v/>
          </cell>
          <cell r="MV180" t="str">
            <v/>
          </cell>
          <cell r="MW180" t="str">
            <v/>
          </cell>
          <cell r="MX180" t="str">
            <v/>
          </cell>
          <cell r="MY180" t="str">
            <v/>
          </cell>
          <cell r="MZ180" t="str">
            <v/>
          </cell>
          <cell r="NA180" t="str">
            <v/>
          </cell>
          <cell r="NB180" t="str">
            <v/>
          </cell>
          <cell r="NC180" t="str">
            <v/>
          </cell>
          <cell r="ND180" t="str">
            <v/>
          </cell>
          <cell r="NE180" t="str">
            <v/>
          </cell>
          <cell r="NF180" t="str">
            <v/>
          </cell>
          <cell r="NG180" t="str">
            <v/>
          </cell>
          <cell r="NH180" t="str">
            <v/>
          </cell>
          <cell r="NI180" t="str">
            <v/>
          </cell>
          <cell r="NJ180" t="str">
            <v/>
          </cell>
        </row>
        <row r="181">
          <cell r="I181" t="str">
            <v>E09000030</v>
          </cell>
          <cell r="GZ181" t="str">
            <v/>
          </cell>
          <cell r="HA181" t="str">
            <v/>
          </cell>
          <cell r="HB181" t="str">
            <v/>
          </cell>
          <cell r="HC181" t="str">
            <v/>
          </cell>
          <cell r="HD181" t="str">
            <v/>
          </cell>
          <cell r="HE181" t="str">
            <v/>
          </cell>
          <cell r="HF181" t="str">
            <v/>
          </cell>
          <cell r="HG181" t="str">
            <v/>
          </cell>
          <cell r="HH181" t="str">
            <v/>
          </cell>
          <cell r="HI181" t="str">
            <v/>
          </cell>
          <cell r="HJ181" t="str">
            <v/>
          </cell>
          <cell r="HK181" t="str">
            <v/>
          </cell>
          <cell r="HL181" t="str">
            <v/>
          </cell>
          <cell r="HM181" t="str">
            <v/>
          </cell>
          <cell r="HN181" t="str">
            <v/>
          </cell>
          <cell r="HO181" t="str">
            <v/>
          </cell>
          <cell r="HP181" t="str">
            <v/>
          </cell>
          <cell r="HQ181" t="str">
            <v/>
          </cell>
          <cell r="HR181" t="str">
            <v/>
          </cell>
          <cell r="HS181" t="str">
            <v/>
          </cell>
          <cell r="HT181" t="str">
            <v/>
          </cell>
          <cell r="HU181" t="str">
            <v/>
          </cell>
          <cell r="HV181" t="str">
            <v/>
          </cell>
          <cell r="HW181" t="str">
            <v/>
          </cell>
          <cell r="MQ181" t="str">
            <v>Analysts to manually calculate</v>
          </cell>
          <cell r="MU181" t="str">
            <v>Analysts to manually calculate</v>
          </cell>
          <cell r="MY181" t="str">
            <v>Analysts to manually calculate</v>
          </cell>
          <cell r="NC181" t="str">
            <v>Analysts to manually calculate</v>
          </cell>
          <cell r="NG181" t="str">
            <v>Analysts to manually calculate</v>
          </cell>
        </row>
        <row r="182">
          <cell r="I182" t="str">
            <v>E06000037</v>
          </cell>
          <cell r="GZ182" t="str">
            <v/>
          </cell>
          <cell r="HA182" t="str">
            <v/>
          </cell>
          <cell r="HB182" t="str">
            <v/>
          </cell>
          <cell r="HC182" t="str">
            <v/>
          </cell>
          <cell r="HD182" t="str">
            <v/>
          </cell>
          <cell r="HE182" t="str">
            <v/>
          </cell>
          <cell r="HF182" t="str">
            <v/>
          </cell>
          <cell r="HG182" t="str">
            <v/>
          </cell>
          <cell r="HH182" t="str">
            <v/>
          </cell>
          <cell r="HI182" t="str">
            <v/>
          </cell>
          <cell r="HJ182" t="str">
            <v/>
          </cell>
          <cell r="HK182" t="str">
            <v/>
          </cell>
          <cell r="HL182" t="str">
            <v/>
          </cell>
          <cell r="HM182" t="str">
            <v/>
          </cell>
          <cell r="HN182" t="str">
            <v/>
          </cell>
          <cell r="HO182" t="str">
            <v/>
          </cell>
          <cell r="HP182" t="str">
            <v/>
          </cell>
          <cell r="HQ182" t="str">
            <v/>
          </cell>
          <cell r="HR182" t="str">
            <v/>
          </cell>
          <cell r="HS182" t="str">
            <v/>
          </cell>
          <cell r="HT182" t="str">
            <v/>
          </cell>
          <cell r="HU182" t="str">
            <v/>
          </cell>
          <cell r="HV182" t="str">
            <v/>
          </cell>
          <cell r="HW182" t="str">
            <v/>
          </cell>
          <cell r="MN182" t="str">
            <v/>
          </cell>
          <cell r="MO182" t="str">
            <v/>
          </cell>
          <cell r="MP182" t="str">
            <v/>
          </cell>
          <cell r="MQ182" t="str">
            <v/>
          </cell>
          <cell r="MR182" t="str">
            <v/>
          </cell>
          <cell r="MS182" t="str">
            <v/>
          </cell>
          <cell r="MT182" t="str">
            <v/>
          </cell>
          <cell r="MU182" t="str">
            <v/>
          </cell>
          <cell r="MV182" t="str">
            <v/>
          </cell>
          <cell r="MW182" t="str">
            <v/>
          </cell>
          <cell r="MX182" t="str">
            <v/>
          </cell>
          <cell r="MY182" t="str">
            <v/>
          </cell>
          <cell r="MZ182" t="str">
            <v/>
          </cell>
          <cell r="NA182" t="str">
            <v/>
          </cell>
          <cell r="NB182" t="str">
            <v/>
          </cell>
          <cell r="NC182" t="str">
            <v/>
          </cell>
          <cell r="ND182" t="str">
            <v/>
          </cell>
          <cell r="NE182" t="str">
            <v/>
          </cell>
          <cell r="NF182" t="str">
            <v/>
          </cell>
          <cell r="NG182" t="str">
            <v/>
          </cell>
          <cell r="NH182" t="str">
            <v/>
          </cell>
          <cell r="NI182" t="str">
            <v/>
          </cell>
          <cell r="NJ182" t="str">
            <v/>
          </cell>
        </row>
        <row r="183">
          <cell r="I183" t="str">
            <v>E06000027</v>
          </cell>
          <cell r="GZ183">
            <v>41000</v>
          </cell>
          <cell r="HA183">
            <v>42825</v>
          </cell>
          <cell r="HB183">
            <v>400</v>
          </cell>
          <cell r="HC183">
            <v>400</v>
          </cell>
          <cell r="HD183">
            <v>42826</v>
          </cell>
          <cell r="HE183">
            <v>44651</v>
          </cell>
          <cell r="HF183">
            <v>495</v>
          </cell>
          <cell r="HG183">
            <v>495</v>
          </cell>
          <cell r="HH183">
            <v>44652</v>
          </cell>
          <cell r="HI183">
            <v>47573</v>
          </cell>
          <cell r="HJ183">
            <v>555</v>
          </cell>
          <cell r="HK183">
            <v>555</v>
          </cell>
          <cell r="HL183" t="str">
            <v/>
          </cell>
          <cell r="HM183" t="str">
            <v/>
          </cell>
          <cell r="HN183" t="str">
            <v/>
          </cell>
          <cell r="HO183" t="str">
            <v/>
          </cell>
          <cell r="HP183" t="str">
            <v/>
          </cell>
          <cell r="HQ183" t="str">
            <v/>
          </cell>
          <cell r="HR183" t="str">
            <v/>
          </cell>
          <cell r="HS183" t="str">
            <v/>
          </cell>
          <cell r="HT183" t="str">
            <v/>
          </cell>
          <cell r="HU183" t="str">
            <v/>
          </cell>
          <cell r="HV183" t="str">
            <v/>
          </cell>
          <cell r="HW183" t="str">
            <v/>
          </cell>
          <cell r="MN183" t="str">
            <v/>
          </cell>
          <cell r="MO183" t="str">
            <v/>
          </cell>
          <cell r="MP183" t="str">
            <v/>
          </cell>
          <cell r="MQ183" t="str">
            <v/>
          </cell>
          <cell r="MR183" t="str">
            <v/>
          </cell>
          <cell r="MS183" t="str">
            <v/>
          </cell>
          <cell r="MT183" t="str">
            <v/>
          </cell>
          <cell r="MU183" t="str">
            <v/>
          </cell>
          <cell r="MV183" t="str">
            <v/>
          </cell>
          <cell r="MW183" t="str">
            <v/>
          </cell>
          <cell r="MX183" t="str">
            <v/>
          </cell>
          <cell r="MY183" t="str">
            <v/>
          </cell>
          <cell r="MZ183" t="str">
            <v/>
          </cell>
          <cell r="NA183" t="str">
            <v/>
          </cell>
          <cell r="NB183" t="str">
            <v/>
          </cell>
          <cell r="NC183" t="str">
            <v/>
          </cell>
          <cell r="ND183" t="str">
            <v/>
          </cell>
          <cell r="NE183" t="str">
            <v/>
          </cell>
          <cell r="NF183" t="str">
            <v/>
          </cell>
          <cell r="NG183" t="str">
            <v/>
          </cell>
          <cell r="NH183" t="str">
            <v/>
          </cell>
          <cell r="NI183" t="str">
            <v/>
          </cell>
          <cell r="NJ183" t="str">
            <v/>
          </cell>
        </row>
        <row r="184">
          <cell r="I184" t="str">
            <v>E07000212</v>
          </cell>
          <cell r="GZ184" t="str">
            <v/>
          </cell>
          <cell r="HA184" t="str">
            <v/>
          </cell>
          <cell r="HB184" t="str">
            <v/>
          </cell>
          <cell r="HC184" t="str">
            <v/>
          </cell>
          <cell r="HD184" t="str">
            <v/>
          </cell>
          <cell r="HE184" t="str">
            <v/>
          </cell>
          <cell r="HF184" t="str">
            <v/>
          </cell>
          <cell r="HG184" t="str">
            <v/>
          </cell>
          <cell r="HH184" t="str">
            <v/>
          </cell>
          <cell r="HI184" t="str">
            <v/>
          </cell>
          <cell r="HJ184" t="str">
            <v/>
          </cell>
          <cell r="HK184" t="str">
            <v/>
          </cell>
          <cell r="HL184" t="str">
            <v/>
          </cell>
          <cell r="HM184" t="str">
            <v/>
          </cell>
          <cell r="HN184" t="str">
            <v/>
          </cell>
          <cell r="HO184" t="str">
            <v/>
          </cell>
          <cell r="HP184" t="str">
            <v/>
          </cell>
          <cell r="HQ184" t="str">
            <v/>
          </cell>
          <cell r="HR184" t="str">
            <v/>
          </cell>
          <cell r="HS184" t="str">
            <v/>
          </cell>
          <cell r="HT184" t="str">
            <v/>
          </cell>
          <cell r="HU184" t="str">
            <v/>
          </cell>
          <cell r="HV184" t="str">
            <v/>
          </cell>
          <cell r="HW184" t="str">
            <v/>
          </cell>
          <cell r="MN184" t="str">
            <v/>
          </cell>
          <cell r="MO184" t="str">
            <v/>
          </cell>
          <cell r="MP184" t="str">
            <v/>
          </cell>
          <cell r="MQ184" t="str">
            <v/>
          </cell>
          <cell r="MR184" t="str">
            <v/>
          </cell>
          <cell r="MS184" t="str">
            <v/>
          </cell>
          <cell r="MT184" t="str">
            <v/>
          </cell>
          <cell r="MU184" t="str">
            <v/>
          </cell>
          <cell r="MV184" t="str">
            <v/>
          </cell>
          <cell r="MW184" t="str">
            <v/>
          </cell>
          <cell r="MX184" t="str">
            <v/>
          </cell>
          <cell r="MY184" t="str">
            <v/>
          </cell>
          <cell r="MZ184" t="str">
            <v/>
          </cell>
          <cell r="NA184" t="str">
            <v/>
          </cell>
          <cell r="NB184" t="str">
            <v/>
          </cell>
          <cell r="NC184" t="str">
            <v/>
          </cell>
          <cell r="ND184" t="str">
            <v/>
          </cell>
          <cell r="NE184" t="str">
            <v/>
          </cell>
          <cell r="NF184" t="str">
            <v/>
          </cell>
          <cell r="NG184" t="str">
            <v/>
          </cell>
          <cell r="NH184" t="str">
            <v/>
          </cell>
          <cell r="NI184" t="str">
            <v/>
          </cell>
          <cell r="NJ184" t="str">
            <v/>
          </cell>
        </row>
        <row r="185">
          <cell r="I185" t="str">
            <v>E07000074</v>
          </cell>
          <cell r="GZ185" t="str">
            <v/>
          </cell>
          <cell r="HA185" t="str">
            <v/>
          </cell>
          <cell r="HB185" t="str">
            <v/>
          </cell>
          <cell r="HC185" t="str">
            <v/>
          </cell>
          <cell r="HD185" t="str">
            <v/>
          </cell>
          <cell r="HE185" t="str">
            <v/>
          </cell>
          <cell r="HF185" t="str">
            <v/>
          </cell>
          <cell r="HG185" t="str">
            <v/>
          </cell>
          <cell r="HH185" t="str">
            <v/>
          </cell>
          <cell r="HI185" t="str">
            <v/>
          </cell>
          <cell r="HJ185" t="str">
            <v/>
          </cell>
          <cell r="HK185" t="str">
            <v/>
          </cell>
          <cell r="HL185" t="str">
            <v/>
          </cell>
          <cell r="HM185" t="str">
            <v/>
          </cell>
          <cell r="HN185" t="str">
            <v/>
          </cell>
          <cell r="HO185" t="str">
            <v/>
          </cell>
          <cell r="HP185" t="str">
            <v/>
          </cell>
          <cell r="HQ185" t="str">
            <v/>
          </cell>
          <cell r="HR185" t="str">
            <v/>
          </cell>
          <cell r="HS185" t="str">
            <v/>
          </cell>
          <cell r="HT185" t="str">
            <v/>
          </cell>
          <cell r="HU185" t="str">
            <v/>
          </cell>
          <cell r="HV185" t="str">
            <v/>
          </cell>
          <cell r="HW185" t="str">
            <v/>
          </cell>
          <cell r="MN185" t="str">
            <v/>
          </cell>
          <cell r="MO185" t="str">
            <v/>
          </cell>
          <cell r="MP185" t="str">
            <v/>
          </cell>
          <cell r="MQ185" t="str">
            <v/>
          </cell>
          <cell r="MR185" t="str">
            <v/>
          </cell>
          <cell r="MS185" t="str">
            <v/>
          </cell>
          <cell r="MT185" t="str">
            <v/>
          </cell>
          <cell r="MU185" t="str">
            <v/>
          </cell>
          <cell r="MV185" t="str">
            <v/>
          </cell>
          <cell r="MW185" t="str">
            <v/>
          </cell>
          <cell r="MX185" t="str">
            <v/>
          </cell>
          <cell r="MY185" t="str">
            <v/>
          </cell>
          <cell r="MZ185" t="str">
            <v/>
          </cell>
          <cell r="NA185" t="str">
            <v/>
          </cell>
          <cell r="NB185" t="str">
            <v/>
          </cell>
          <cell r="NC185" t="str">
            <v/>
          </cell>
          <cell r="ND185" t="str">
            <v/>
          </cell>
          <cell r="NE185" t="str">
            <v/>
          </cell>
          <cell r="NF185" t="str">
            <v/>
          </cell>
          <cell r="NG185" t="str">
            <v/>
          </cell>
          <cell r="NH185" t="str">
            <v/>
          </cell>
          <cell r="NI185" t="str">
            <v/>
          </cell>
          <cell r="NJ185" t="str">
            <v/>
          </cell>
        </row>
        <row r="186">
          <cell r="I186" t="str">
            <v>E07000193</v>
          </cell>
          <cell r="GZ186">
            <v>41000</v>
          </cell>
          <cell r="HA186">
            <v>43190</v>
          </cell>
          <cell r="HB186">
            <v>466</v>
          </cell>
          <cell r="HC186">
            <v>466</v>
          </cell>
          <cell r="HD186">
            <v>43191</v>
          </cell>
          <cell r="HE186">
            <v>47938</v>
          </cell>
          <cell r="HF186">
            <v>682</v>
          </cell>
          <cell r="HG186">
            <v>682</v>
          </cell>
          <cell r="HH186" t="str">
            <v/>
          </cell>
          <cell r="HI186" t="str">
            <v/>
          </cell>
          <cell r="HJ186" t="str">
            <v/>
          </cell>
          <cell r="HK186" t="str">
            <v/>
          </cell>
          <cell r="HL186" t="str">
            <v/>
          </cell>
          <cell r="HM186" t="str">
            <v/>
          </cell>
          <cell r="HN186" t="str">
            <v/>
          </cell>
          <cell r="HO186" t="str">
            <v/>
          </cell>
          <cell r="HP186" t="str">
            <v/>
          </cell>
          <cell r="HQ186" t="str">
            <v/>
          </cell>
          <cell r="HR186" t="str">
            <v/>
          </cell>
          <cell r="HS186" t="str">
            <v/>
          </cell>
          <cell r="HT186" t="str">
            <v/>
          </cell>
          <cell r="HU186" t="str">
            <v/>
          </cell>
          <cell r="HV186" t="str">
            <v/>
          </cell>
          <cell r="HW186" t="str">
            <v/>
          </cell>
          <cell r="MN186" t="str">
            <v/>
          </cell>
          <cell r="MO186" t="str">
            <v/>
          </cell>
          <cell r="MP186" t="str">
            <v/>
          </cell>
          <cell r="MQ186" t="str">
            <v/>
          </cell>
          <cell r="MR186" t="str">
            <v/>
          </cell>
          <cell r="MS186" t="str">
            <v/>
          </cell>
          <cell r="MT186" t="str">
            <v/>
          </cell>
          <cell r="MU186" t="str">
            <v/>
          </cell>
          <cell r="MV186" t="str">
            <v/>
          </cell>
          <cell r="MW186" t="str">
            <v/>
          </cell>
          <cell r="MX186" t="str">
            <v/>
          </cell>
          <cell r="MY186" t="str">
            <v/>
          </cell>
          <cell r="MZ186" t="str">
            <v/>
          </cell>
          <cell r="NA186" t="str">
            <v/>
          </cell>
          <cell r="NB186" t="str">
            <v/>
          </cell>
          <cell r="NC186" t="str">
            <v/>
          </cell>
          <cell r="ND186" t="str">
            <v/>
          </cell>
          <cell r="NE186" t="str">
            <v/>
          </cell>
          <cell r="NF186" t="str">
            <v/>
          </cell>
          <cell r="NG186" t="str">
            <v/>
          </cell>
          <cell r="NH186" t="str">
            <v/>
          </cell>
          <cell r="NI186" t="str">
            <v/>
          </cell>
          <cell r="NJ186" t="str">
            <v/>
          </cell>
        </row>
        <row r="187">
          <cell r="I187" t="str">
            <v>E07000008</v>
          </cell>
          <cell r="GZ187" t="str">
            <v/>
          </cell>
          <cell r="HA187" t="str">
            <v/>
          </cell>
          <cell r="HB187" t="str">
            <v/>
          </cell>
          <cell r="HC187" t="str">
            <v/>
          </cell>
          <cell r="HD187" t="str">
            <v/>
          </cell>
          <cell r="HE187" t="str">
            <v/>
          </cell>
          <cell r="HF187" t="str">
            <v/>
          </cell>
          <cell r="HG187" t="str">
            <v/>
          </cell>
          <cell r="HH187" t="str">
            <v/>
          </cell>
          <cell r="HI187" t="str">
            <v/>
          </cell>
          <cell r="HJ187" t="str">
            <v/>
          </cell>
          <cell r="HK187" t="str">
            <v/>
          </cell>
          <cell r="HL187" t="str">
            <v/>
          </cell>
          <cell r="HM187" t="str">
            <v/>
          </cell>
          <cell r="HN187" t="str">
            <v/>
          </cell>
          <cell r="HO187" t="str">
            <v/>
          </cell>
          <cell r="HP187" t="str">
            <v/>
          </cell>
          <cell r="HQ187" t="str">
            <v/>
          </cell>
          <cell r="HR187" t="str">
            <v/>
          </cell>
          <cell r="HS187" t="str">
            <v/>
          </cell>
          <cell r="HT187" t="str">
            <v/>
          </cell>
          <cell r="HU187" t="str">
            <v/>
          </cell>
          <cell r="HV187" t="str">
            <v/>
          </cell>
          <cell r="HW187" t="str">
            <v/>
          </cell>
          <cell r="MN187" t="str">
            <v/>
          </cell>
          <cell r="MO187" t="str">
            <v/>
          </cell>
          <cell r="MP187" t="str">
            <v/>
          </cell>
          <cell r="MQ187" t="str">
            <v/>
          </cell>
          <cell r="MR187" t="str">
            <v/>
          </cell>
          <cell r="MS187" t="str">
            <v/>
          </cell>
          <cell r="MT187" t="str">
            <v/>
          </cell>
          <cell r="MU187" t="str">
            <v/>
          </cell>
          <cell r="MV187" t="str">
            <v/>
          </cell>
          <cell r="MW187" t="str">
            <v/>
          </cell>
          <cell r="MX187" t="str">
            <v/>
          </cell>
          <cell r="MY187" t="str">
            <v/>
          </cell>
          <cell r="MZ187" t="str">
            <v/>
          </cell>
          <cell r="NA187" t="str">
            <v/>
          </cell>
          <cell r="NB187" t="str">
            <v/>
          </cell>
          <cell r="NC187" t="str">
            <v/>
          </cell>
          <cell r="ND187" t="str">
            <v/>
          </cell>
          <cell r="NE187" t="str">
            <v/>
          </cell>
          <cell r="NF187" t="str">
            <v/>
          </cell>
          <cell r="NG187" t="str">
            <v/>
          </cell>
          <cell r="NH187" t="str">
            <v/>
          </cell>
          <cell r="NI187" t="str">
            <v/>
          </cell>
          <cell r="NJ187" t="str">
            <v/>
          </cell>
        </row>
        <row r="188">
          <cell r="I188" t="str">
            <v>E07000067</v>
          </cell>
          <cell r="GZ188" t="str">
            <v/>
          </cell>
          <cell r="HA188" t="str">
            <v/>
          </cell>
          <cell r="HB188" t="str">
            <v/>
          </cell>
          <cell r="HC188" t="str">
            <v/>
          </cell>
          <cell r="HD188" t="str">
            <v/>
          </cell>
          <cell r="HE188" t="str">
            <v/>
          </cell>
          <cell r="HF188" t="str">
            <v/>
          </cell>
          <cell r="HG188" t="str">
            <v/>
          </cell>
          <cell r="HH188" t="str">
            <v/>
          </cell>
          <cell r="HI188" t="str">
            <v/>
          </cell>
          <cell r="HJ188" t="str">
            <v/>
          </cell>
          <cell r="HK188" t="str">
            <v/>
          </cell>
          <cell r="HL188" t="str">
            <v/>
          </cell>
          <cell r="HM188" t="str">
            <v/>
          </cell>
          <cell r="HN188" t="str">
            <v/>
          </cell>
          <cell r="HO188" t="str">
            <v/>
          </cell>
          <cell r="HP188" t="str">
            <v/>
          </cell>
          <cell r="HQ188" t="str">
            <v/>
          </cell>
          <cell r="HR188" t="str">
            <v/>
          </cell>
          <cell r="HS188" t="str">
            <v/>
          </cell>
          <cell r="HT188" t="str">
            <v/>
          </cell>
          <cell r="HU188" t="str">
            <v/>
          </cell>
          <cell r="HV188" t="str">
            <v/>
          </cell>
          <cell r="HW188" t="str">
            <v/>
          </cell>
          <cell r="MQ188" t="str">
            <v>Analysts to manually calculate</v>
          </cell>
          <cell r="MU188" t="str">
            <v>Analysts to manually calculate</v>
          </cell>
          <cell r="MY188" t="str">
            <v>Analysts to manually calculate</v>
          </cell>
          <cell r="NC188" t="str">
            <v>Analysts to manually calculate</v>
          </cell>
          <cell r="NG188" t="str">
            <v>Analysts to manually calculate</v>
          </cell>
        </row>
        <row r="189">
          <cell r="I189" t="str">
            <v>E07000190</v>
          </cell>
          <cell r="GZ189" t="str">
            <v/>
          </cell>
          <cell r="HA189" t="str">
            <v/>
          </cell>
          <cell r="HB189" t="str">
            <v/>
          </cell>
          <cell r="HC189" t="str">
            <v/>
          </cell>
          <cell r="HD189" t="str">
            <v/>
          </cell>
          <cell r="HE189" t="str">
            <v/>
          </cell>
          <cell r="HF189" t="str">
            <v/>
          </cell>
          <cell r="HG189" t="str">
            <v/>
          </cell>
          <cell r="HH189" t="str">
            <v/>
          </cell>
          <cell r="HI189" t="str">
            <v/>
          </cell>
          <cell r="HJ189" t="str">
            <v/>
          </cell>
          <cell r="HK189" t="str">
            <v/>
          </cell>
          <cell r="HL189" t="str">
            <v/>
          </cell>
          <cell r="HM189" t="str">
            <v/>
          </cell>
          <cell r="HN189" t="str">
            <v/>
          </cell>
          <cell r="HO189" t="str">
            <v/>
          </cell>
          <cell r="HP189" t="str">
            <v/>
          </cell>
          <cell r="HQ189" t="str">
            <v/>
          </cell>
          <cell r="HR189" t="str">
            <v/>
          </cell>
          <cell r="HS189" t="str">
            <v/>
          </cell>
          <cell r="HT189" t="str">
            <v/>
          </cell>
          <cell r="HU189" t="str">
            <v/>
          </cell>
          <cell r="HV189" t="str">
            <v/>
          </cell>
          <cell r="HW189" t="str">
            <v/>
          </cell>
          <cell r="MN189" t="str">
            <v/>
          </cell>
          <cell r="MO189" t="str">
            <v/>
          </cell>
          <cell r="MP189" t="str">
            <v/>
          </cell>
          <cell r="MQ189" t="str">
            <v/>
          </cell>
          <cell r="MR189" t="str">
            <v/>
          </cell>
          <cell r="MS189" t="str">
            <v/>
          </cell>
          <cell r="MT189" t="str">
            <v/>
          </cell>
          <cell r="MU189" t="str">
            <v/>
          </cell>
          <cell r="MV189" t="str">
            <v/>
          </cell>
          <cell r="MW189" t="str">
            <v/>
          </cell>
          <cell r="MX189" t="str">
            <v/>
          </cell>
          <cell r="MY189" t="str">
            <v/>
          </cell>
          <cell r="MZ189" t="str">
            <v/>
          </cell>
          <cell r="NA189" t="str">
            <v/>
          </cell>
          <cell r="NB189" t="str">
            <v/>
          </cell>
          <cell r="NC189" t="str">
            <v/>
          </cell>
          <cell r="ND189" t="str">
            <v/>
          </cell>
          <cell r="NE189" t="str">
            <v/>
          </cell>
          <cell r="NF189" t="str">
            <v/>
          </cell>
          <cell r="NG189" t="str">
            <v/>
          </cell>
          <cell r="NH189" t="str">
            <v/>
          </cell>
          <cell r="NI189" t="str">
            <v/>
          </cell>
          <cell r="NJ189" t="str">
            <v/>
          </cell>
        </row>
        <row r="190">
          <cell r="I190" t="str">
            <v>E07000243</v>
          </cell>
          <cell r="GZ190" t="str">
            <v/>
          </cell>
          <cell r="HA190" t="str">
            <v/>
          </cell>
          <cell r="HB190" t="str">
            <v/>
          </cell>
          <cell r="HC190" t="str">
            <v/>
          </cell>
          <cell r="HD190" t="str">
            <v/>
          </cell>
          <cell r="HE190" t="str">
            <v/>
          </cell>
          <cell r="HF190" t="str">
            <v/>
          </cell>
          <cell r="HG190" t="str">
            <v/>
          </cell>
          <cell r="HH190" t="str">
            <v/>
          </cell>
          <cell r="HI190" t="str">
            <v/>
          </cell>
          <cell r="HJ190" t="str">
            <v/>
          </cell>
          <cell r="HK190" t="str">
            <v/>
          </cell>
          <cell r="HL190" t="str">
            <v/>
          </cell>
          <cell r="HM190" t="str">
            <v/>
          </cell>
          <cell r="HN190" t="str">
            <v/>
          </cell>
          <cell r="HO190" t="str">
            <v/>
          </cell>
          <cell r="HP190" t="str">
            <v/>
          </cell>
          <cell r="HQ190" t="str">
            <v/>
          </cell>
          <cell r="HR190" t="str">
            <v/>
          </cell>
          <cell r="HS190" t="str">
            <v/>
          </cell>
          <cell r="HT190" t="str">
            <v/>
          </cell>
          <cell r="HU190" t="str">
            <v/>
          </cell>
          <cell r="HV190" t="str">
            <v/>
          </cell>
          <cell r="HW190" t="str">
            <v/>
          </cell>
          <cell r="MN190" t="str">
            <v/>
          </cell>
          <cell r="MO190" t="str">
            <v/>
          </cell>
          <cell r="MP190" t="str">
            <v/>
          </cell>
          <cell r="MQ190" t="str">
            <v/>
          </cell>
          <cell r="MR190" t="str">
            <v/>
          </cell>
          <cell r="MS190" t="str">
            <v/>
          </cell>
          <cell r="MT190" t="str">
            <v/>
          </cell>
          <cell r="MU190" t="str">
            <v/>
          </cell>
          <cell r="MV190" t="str">
            <v/>
          </cell>
          <cell r="MW190" t="str">
            <v/>
          </cell>
          <cell r="MX190" t="str">
            <v/>
          </cell>
          <cell r="MY190" t="str">
            <v/>
          </cell>
          <cell r="MZ190" t="str">
            <v/>
          </cell>
          <cell r="NA190" t="str">
            <v/>
          </cell>
          <cell r="NB190" t="str">
            <v/>
          </cell>
          <cell r="NC190" t="str">
            <v/>
          </cell>
          <cell r="ND190" t="str">
            <v/>
          </cell>
          <cell r="NE190" t="str">
            <v/>
          </cell>
          <cell r="NF190" t="str">
            <v/>
          </cell>
          <cell r="NG190" t="str">
            <v/>
          </cell>
          <cell r="NH190" t="str">
            <v/>
          </cell>
          <cell r="NI190" t="str">
            <v/>
          </cell>
          <cell r="NJ190" t="str">
            <v/>
          </cell>
        </row>
        <row r="191">
          <cell r="I191" t="str">
            <v>E07000197</v>
          </cell>
          <cell r="GZ191" t="str">
            <v/>
          </cell>
          <cell r="HA191" t="str">
            <v/>
          </cell>
          <cell r="HB191" t="str">
            <v/>
          </cell>
          <cell r="HC191" t="str">
            <v/>
          </cell>
          <cell r="HD191" t="str">
            <v/>
          </cell>
          <cell r="HE191" t="str">
            <v/>
          </cell>
          <cell r="HF191" t="str">
            <v/>
          </cell>
          <cell r="HG191" t="str">
            <v/>
          </cell>
          <cell r="HH191" t="str">
            <v/>
          </cell>
          <cell r="HI191" t="str">
            <v/>
          </cell>
          <cell r="HJ191" t="str">
            <v/>
          </cell>
          <cell r="HK191" t="str">
            <v/>
          </cell>
          <cell r="HL191" t="str">
            <v/>
          </cell>
          <cell r="HM191" t="str">
            <v/>
          </cell>
          <cell r="HN191" t="str">
            <v/>
          </cell>
          <cell r="HO191" t="str">
            <v/>
          </cell>
          <cell r="HP191" t="str">
            <v/>
          </cell>
          <cell r="HQ191" t="str">
            <v/>
          </cell>
          <cell r="HR191" t="str">
            <v/>
          </cell>
          <cell r="HS191" t="str">
            <v/>
          </cell>
          <cell r="HT191" t="str">
            <v/>
          </cell>
          <cell r="HU191" t="str">
            <v/>
          </cell>
          <cell r="HV191" t="str">
            <v/>
          </cell>
          <cell r="HW191" t="str">
            <v/>
          </cell>
          <cell r="MN191" t="str">
            <v/>
          </cell>
          <cell r="MO191" t="str">
            <v/>
          </cell>
          <cell r="MP191" t="str">
            <v/>
          </cell>
          <cell r="MQ191" t="str">
            <v/>
          </cell>
          <cell r="MR191" t="str">
            <v/>
          </cell>
          <cell r="MS191" t="str">
            <v/>
          </cell>
          <cell r="MT191" t="str">
            <v/>
          </cell>
          <cell r="MU191" t="str">
            <v/>
          </cell>
          <cell r="MV191" t="str">
            <v/>
          </cell>
          <cell r="MW191" t="str">
            <v/>
          </cell>
          <cell r="MX191" t="str">
            <v/>
          </cell>
          <cell r="MY191" t="str">
            <v/>
          </cell>
          <cell r="MZ191" t="str">
            <v/>
          </cell>
          <cell r="NA191" t="str">
            <v/>
          </cell>
          <cell r="NB191" t="str">
            <v/>
          </cell>
          <cell r="NC191" t="str">
            <v/>
          </cell>
          <cell r="ND191" t="str">
            <v/>
          </cell>
          <cell r="NE191" t="str">
            <v/>
          </cell>
          <cell r="NF191" t="str">
            <v/>
          </cell>
          <cell r="NG191" t="str">
            <v/>
          </cell>
          <cell r="NH191" t="str">
            <v/>
          </cell>
          <cell r="NI191" t="str">
            <v/>
          </cell>
          <cell r="NJ191" t="str">
            <v/>
          </cell>
        </row>
        <row r="192">
          <cell r="I192" t="str">
            <v>E06000024</v>
          </cell>
          <cell r="GZ192" t="str">
            <v/>
          </cell>
          <cell r="HA192" t="str">
            <v/>
          </cell>
          <cell r="HB192" t="str">
            <v/>
          </cell>
          <cell r="HC192" t="str">
            <v/>
          </cell>
          <cell r="HD192" t="str">
            <v/>
          </cell>
          <cell r="HE192" t="str">
            <v/>
          </cell>
          <cell r="HF192" t="str">
            <v/>
          </cell>
          <cell r="HG192" t="str">
            <v/>
          </cell>
          <cell r="HH192" t="str">
            <v/>
          </cell>
          <cell r="HI192" t="str">
            <v/>
          </cell>
          <cell r="HJ192" t="str">
            <v/>
          </cell>
          <cell r="HK192" t="str">
            <v/>
          </cell>
          <cell r="HL192" t="str">
            <v/>
          </cell>
          <cell r="HM192" t="str">
            <v/>
          </cell>
          <cell r="HN192" t="str">
            <v/>
          </cell>
          <cell r="HO192" t="str">
            <v/>
          </cell>
          <cell r="HP192" t="str">
            <v/>
          </cell>
          <cell r="HQ192" t="str">
            <v/>
          </cell>
          <cell r="HR192" t="str">
            <v/>
          </cell>
          <cell r="HS192" t="str">
            <v/>
          </cell>
          <cell r="HT192" t="str">
            <v/>
          </cell>
          <cell r="HU192" t="str">
            <v/>
          </cell>
          <cell r="HV192" t="str">
            <v/>
          </cell>
          <cell r="HW192" t="str">
            <v/>
          </cell>
          <cell r="MN192" t="str">
            <v/>
          </cell>
          <cell r="MO192" t="str">
            <v/>
          </cell>
          <cell r="MP192" t="str">
            <v/>
          </cell>
          <cell r="MQ192" t="str">
            <v/>
          </cell>
          <cell r="MR192" t="str">
            <v/>
          </cell>
          <cell r="MS192" t="str">
            <v/>
          </cell>
          <cell r="MT192" t="str">
            <v/>
          </cell>
          <cell r="MU192" t="str">
            <v/>
          </cell>
          <cell r="MV192" t="str">
            <v/>
          </cell>
          <cell r="MW192" t="str">
            <v/>
          </cell>
          <cell r="MX192" t="str">
            <v/>
          </cell>
          <cell r="MY192" t="str">
            <v/>
          </cell>
          <cell r="MZ192" t="str">
            <v/>
          </cell>
          <cell r="NA192" t="str">
            <v/>
          </cell>
          <cell r="NB192" t="str">
            <v/>
          </cell>
          <cell r="NC192" t="str">
            <v/>
          </cell>
          <cell r="ND192" t="str">
            <v/>
          </cell>
          <cell r="NE192" t="str">
            <v/>
          </cell>
          <cell r="NF192" t="str">
            <v/>
          </cell>
          <cell r="NG192" t="str">
            <v/>
          </cell>
          <cell r="NH192" t="str">
            <v/>
          </cell>
          <cell r="NI192" t="str">
            <v/>
          </cell>
          <cell r="NJ192" t="str">
            <v/>
          </cell>
        </row>
        <row r="193">
          <cell r="I193" t="str">
            <v>E09000015</v>
          </cell>
          <cell r="GZ193">
            <v>39904</v>
          </cell>
          <cell r="HA193">
            <v>40633</v>
          </cell>
          <cell r="HB193">
            <v>400</v>
          </cell>
          <cell r="HC193">
            <v>400</v>
          </cell>
          <cell r="HD193">
            <v>40634</v>
          </cell>
          <cell r="HE193">
            <v>46112</v>
          </cell>
          <cell r="HF193">
            <v>350</v>
          </cell>
          <cell r="HG193">
            <v>350</v>
          </cell>
          <cell r="HH193" t="str">
            <v/>
          </cell>
          <cell r="HI193" t="str">
            <v/>
          </cell>
          <cell r="HJ193" t="str">
            <v/>
          </cell>
          <cell r="HK193" t="str">
            <v/>
          </cell>
          <cell r="HL193" t="str">
            <v/>
          </cell>
          <cell r="HM193" t="str">
            <v/>
          </cell>
          <cell r="HN193" t="str">
            <v/>
          </cell>
          <cell r="HO193" t="str">
            <v/>
          </cell>
          <cell r="HP193" t="str">
            <v/>
          </cell>
          <cell r="HQ193" t="str">
            <v/>
          </cell>
          <cell r="HR193" t="str">
            <v/>
          </cell>
          <cell r="HS193" t="str">
            <v/>
          </cell>
          <cell r="HT193" t="str">
            <v/>
          </cell>
          <cell r="HU193" t="str">
            <v/>
          </cell>
          <cell r="HV193" t="str">
            <v/>
          </cell>
          <cell r="HW193" t="str">
            <v/>
          </cell>
          <cell r="MN193" t="str">
            <v/>
          </cell>
          <cell r="MO193" t="str">
            <v/>
          </cell>
          <cell r="MP193" t="str">
            <v/>
          </cell>
          <cell r="MQ193" t="str">
            <v/>
          </cell>
          <cell r="MR193" t="str">
            <v/>
          </cell>
          <cell r="MS193" t="str">
            <v/>
          </cell>
          <cell r="MT193" t="str">
            <v/>
          </cell>
          <cell r="MU193" t="str">
            <v/>
          </cell>
          <cell r="MV193" t="str">
            <v/>
          </cell>
          <cell r="MW193" t="str">
            <v/>
          </cell>
          <cell r="MX193" t="str">
            <v/>
          </cell>
          <cell r="MY193" t="str">
            <v/>
          </cell>
          <cell r="MZ193" t="str">
            <v/>
          </cell>
          <cell r="NA193" t="str">
            <v/>
          </cell>
          <cell r="NB193" t="str">
            <v/>
          </cell>
          <cell r="NC193" t="str">
            <v/>
          </cell>
          <cell r="ND193" t="str">
            <v/>
          </cell>
          <cell r="NE193" t="str">
            <v/>
          </cell>
          <cell r="NF193" t="str">
            <v/>
          </cell>
          <cell r="NG193" t="str">
            <v/>
          </cell>
          <cell r="NH193" t="str">
            <v/>
          </cell>
          <cell r="NI193" t="str">
            <v/>
          </cell>
          <cell r="NJ193" t="str">
            <v/>
          </cell>
        </row>
        <row r="194">
          <cell r="I194" t="str">
            <v>E07000109</v>
          </cell>
          <cell r="GZ194">
            <v>40634</v>
          </cell>
          <cell r="HA194">
            <v>43555</v>
          </cell>
          <cell r="HB194">
            <v>325</v>
          </cell>
          <cell r="HC194">
            <v>325</v>
          </cell>
          <cell r="HD194">
            <v>43556</v>
          </cell>
          <cell r="HE194">
            <v>45382</v>
          </cell>
          <cell r="HF194">
            <v>363</v>
          </cell>
          <cell r="HG194">
            <v>363</v>
          </cell>
          <cell r="HH194">
            <v>45383</v>
          </cell>
          <cell r="HI194">
            <v>46843</v>
          </cell>
          <cell r="HJ194">
            <v>438</v>
          </cell>
          <cell r="HK194">
            <v>438</v>
          </cell>
          <cell r="HL194" t="str">
            <v/>
          </cell>
          <cell r="HM194" t="str">
            <v/>
          </cell>
          <cell r="HN194" t="str">
            <v/>
          </cell>
          <cell r="HO194" t="str">
            <v/>
          </cell>
          <cell r="HP194" t="str">
            <v/>
          </cell>
          <cell r="HQ194" t="str">
            <v/>
          </cell>
          <cell r="HR194" t="str">
            <v/>
          </cell>
          <cell r="HS194" t="str">
            <v/>
          </cell>
          <cell r="HT194" t="str">
            <v/>
          </cell>
          <cell r="HU194" t="str">
            <v/>
          </cell>
          <cell r="HV194" t="str">
            <v/>
          </cell>
          <cell r="HW194" t="str">
            <v/>
          </cell>
          <cell r="MN194" t="str">
            <v/>
          </cell>
          <cell r="MO194" t="str">
            <v/>
          </cell>
          <cell r="MP194" t="str">
            <v/>
          </cell>
          <cell r="MQ194" t="str">
            <v/>
          </cell>
          <cell r="MR194" t="str">
            <v/>
          </cell>
          <cell r="MS194" t="str">
            <v/>
          </cell>
          <cell r="MT194" t="str">
            <v/>
          </cell>
          <cell r="MU194" t="str">
            <v/>
          </cell>
          <cell r="MV194" t="str">
            <v/>
          </cell>
          <cell r="MW194" t="str">
            <v/>
          </cell>
          <cell r="MX194" t="str">
            <v/>
          </cell>
          <cell r="MY194" t="str">
            <v/>
          </cell>
          <cell r="MZ194" t="str">
            <v/>
          </cell>
          <cell r="NA194" t="str">
            <v/>
          </cell>
          <cell r="NB194" t="str">
            <v/>
          </cell>
          <cell r="NC194" t="str">
            <v/>
          </cell>
          <cell r="ND194" t="str">
            <v/>
          </cell>
          <cell r="NE194" t="str">
            <v/>
          </cell>
          <cell r="NF194" t="str">
            <v/>
          </cell>
          <cell r="NG194" t="str">
            <v/>
          </cell>
          <cell r="NH194" t="str">
            <v/>
          </cell>
          <cell r="NI194" t="str">
            <v/>
          </cell>
          <cell r="NJ194" t="str">
            <v/>
          </cell>
        </row>
        <row r="195">
          <cell r="I195" t="str">
            <v>E07000115</v>
          </cell>
          <cell r="GZ195" t="str">
            <v/>
          </cell>
          <cell r="HA195" t="str">
            <v/>
          </cell>
          <cell r="HB195" t="str">
            <v/>
          </cell>
          <cell r="HC195" t="str">
            <v/>
          </cell>
          <cell r="HD195" t="str">
            <v/>
          </cell>
          <cell r="HE195" t="str">
            <v/>
          </cell>
          <cell r="HF195" t="str">
            <v/>
          </cell>
          <cell r="HG195" t="str">
            <v/>
          </cell>
          <cell r="HH195" t="str">
            <v/>
          </cell>
          <cell r="HI195" t="str">
            <v/>
          </cell>
          <cell r="HJ195" t="str">
            <v/>
          </cell>
          <cell r="HK195" t="str">
            <v/>
          </cell>
          <cell r="HL195" t="str">
            <v/>
          </cell>
          <cell r="HM195" t="str">
            <v/>
          </cell>
          <cell r="HN195" t="str">
            <v/>
          </cell>
          <cell r="HO195" t="str">
            <v/>
          </cell>
          <cell r="HP195" t="str">
            <v/>
          </cell>
          <cell r="HQ195" t="str">
            <v/>
          </cell>
          <cell r="HR195" t="str">
            <v/>
          </cell>
          <cell r="HS195" t="str">
            <v/>
          </cell>
          <cell r="HT195" t="str">
            <v/>
          </cell>
          <cell r="HU195" t="str">
            <v/>
          </cell>
          <cell r="HV195" t="str">
            <v/>
          </cell>
          <cell r="HW195" t="str">
            <v/>
          </cell>
          <cell r="MN195" t="str">
            <v/>
          </cell>
          <cell r="MO195" t="str">
            <v/>
          </cell>
          <cell r="MP195" t="str">
            <v/>
          </cell>
          <cell r="MQ195" t="str">
            <v/>
          </cell>
          <cell r="MR195" t="str">
            <v/>
          </cell>
          <cell r="MS195" t="str">
            <v/>
          </cell>
          <cell r="MT195" t="str">
            <v/>
          </cell>
          <cell r="MU195" t="str">
            <v/>
          </cell>
          <cell r="MV195" t="str">
            <v/>
          </cell>
          <cell r="MW195" t="str">
            <v/>
          </cell>
          <cell r="MX195" t="str">
            <v/>
          </cell>
          <cell r="MY195" t="str">
            <v/>
          </cell>
          <cell r="MZ195" t="str">
            <v/>
          </cell>
          <cell r="NA195" t="str">
            <v/>
          </cell>
          <cell r="NB195" t="str">
            <v/>
          </cell>
          <cell r="NC195" t="str">
            <v/>
          </cell>
          <cell r="ND195" t="str">
            <v/>
          </cell>
          <cell r="NE195" t="str">
            <v/>
          </cell>
          <cell r="NF195" t="str">
            <v/>
          </cell>
          <cell r="NG195" t="str">
            <v/>
          </cell>
          <cell r="NH195" t="str">
            <v/>
          </cell>
          <cell r="NI195" t="str">
            <v/>
          </cell>
          <cell r="NJ195" t="str">
            <v/>
          </cell>
        </row>
        <row r="196">
          <cell r="I196" t="str">
            <v>E06000046</v>
          </cell>
          <cell r="GZ196" t="str">
            <v/>
          </cell>
          <cell r="HA196" t="str">
            <v/>
          </cell>
          <cell r="HB196" t="str">
            <v/>
          </cell>
          <cell r="HC196" t="str">
            <v/>
          </cell>
          <cell r="HD196" t="str">
            <v/>
          </cell>
          <cell r="HE196" t="str">
            <v/>
          </cell>
          <cell r="HF196" t="str">
            <v/>
          </cell>
          <cell r="HG196" t="str">
            <v/>
          </cell>
          <cell r="HH196" t="str">
            <v/>
          </cell>
          <cell r="HI196" t="str">
            <v/>
          </cell>
          <cell r="HJ196" t="str">
            <v/>
          </cell>
          <cell r="HK196" t="str">
            <v/>
          </cell>
          <cell r="HL196" t="str">
            <v/>
          </cell>
          <cell r="HM196" t="str">
            <v/>
          </cell>
          <cell r="HN196" t="str">
            <v/>
          </cell>
          <cell r="HO196" t="str">
            <v/>
          </cell>
          <cell r="HP196" t="str">
            <v/>
          </cell>
          <cell r="HQ196" t="str">
            <v/>
          </cell>
          <cell r="HR196" t="str">
            <v/>
          </cell>
          <cell r="HS196" t="str">
            <v/>
          </cell>
          <cell r="HT196" t="str">
            <v/>
          </cell>
          <cell r="HU196" t="str">
            <v/>
          </cell>
          <cell r="HV196" t="str">
            <v/>
          </cell>
          <cell r="HW196" t="str">
            <v/>
          </cell>
          <cell r="MN196" t="str">
            <v/>
          </cell>
          <cell r="MO196" t="str">
            <v/>
          </cell>
          <cell r="MP196" t="str">
            <v/>
          </cell>
          <cell r="MQ196" t="str">
            <v/>
          </cell>
          <cell r="MR196" t="str">
            <v/>
          </cell>
          <cell r="MS196" t="str">
            <v/>
          </cell>
          <cell r="MT196" t="str">
            <v/>
          </cell>
          <cell r="MU196" t="str">
            <v/>
          </cell>
          <cell r="MV196" t="str">
            <v/>
          </cell>
          <cell r="MW196" t="str">
            <v/>
          </cell>
          <cell r="MX196" t="str">
            <v/>
          </cell>
          <cell r="MY196" t="str">
            <v/>
          </cell>
          <cell r="MZ196" t="str">
            <v/>
          </cell>
          <cell r="NA196" t="str">
            <v/>
          </cell>
          <cell r="NB196" t="str">
            <v/>
          </cell>
          <cell r="NC196" t="str">
            <v/>
          </cell>
          <cell r="ND196" t="str">
            <v/>
          </cell>
          <cell r="NE196" t="str">
            <v/>
          </cell>
          <cell r="NF196" t="str">
            <v/>
          </cell>
          <cell r="NG196" t="str">
            <v/>
          </cell>
          <cell r="NH196" t="str">
            <v/>
          </cell>
          <cell r="NI196" t="str">
            <v/>
          </cell>
          <cell r="NJ196" t="str">
            <v/>
          </cell>
        </row>
        <row r="197">
          <cell r="I197" t="str">
            <v>E07000139</v>
          </cell>
          <cell r="GZ197" t="str">
            <v/>
          </cell>
          <cell r="HA197" t="str">
            <v/>
          </cell>
          <cell r="HB197" t="str">
            <v/>
          </cell>
          <cell r="HC197" t="str">
            <v/>
          </cell>
          <cell r="HD197" t="str">
            <v/>
          </cell>
          <cell r="HE197" t="str">
            <v/>
          </cell>
          <cell r="HF197" t="str">
            <v/>
          </cell>
          <cell r="HG197" t="str">
            <v/>
          </cell>
          <cell r="HH197" t="str">
            <v/>
          </cell>
          <cell r="HI197" t="str">
            <v/>
          </cell>
          <cell r="HJ197" t="str">
            <v/>
          </cell>
          <cell r="HK197" t="str">
            <v/>
          </cell>
          <cell r="HL197" t="str">
            <v/>
          </cell>
          <cell r="HM197" t="str">
            <v/>
          </cell>
          <cell r="HN197" t="str">
            <v/>
          </cell>
          <cell r="HO197" t="str">
            <v/>
          </cell>
          <cell r="HP197" t="str">
            <v/>
          </cell>
          <cell r="HQ197" t="str">
            <v/>
          </cell>
          <cell r="HR197" t="str">
            <v/>
          </cell>
          <cell r="HS197" t="str">
            <v/>
          </cell>
          <cell r="HT197" t="str">
            <v/>
          </cell>
          <cell r="HU197" t="str">
            <v/>
          </cell>
          <cell r="HV197" t="str">
            <v/>
          </cell>
          <cell r="HW197" t="str">
            <v/>
          </cell>
          <cell r="MN197" t="str">
            <v/>
          </cell>
          <cell r="MO197" t="str">
            <v/>
          </cell>
          <cell r="MP197" t="str">
            <v/>
          </cell>
          <cell r="MQ197" t="str">
            <v/>
          </cell>
          <cell r="MR197" t="str">
            <v/>
          </cell>
          <cell r="MS197" t="str">
            <v/>
          </cell>
          <cell r="MT197" t="str">
            <v/>
          </cell>
          <cell r="MU197" t="str">
            <v/>
          </cell>
          <cell r="MV197" t="str">
            <v/>
          </cell>
          <cell r="MW197" t="str">
            <v/>
          </cell>
          <cell r="MX197" t="str">
            <v/>
          </cell>
          <cell r="MY197" t="str">
            <v/>
          </cell>
          <cell r="MZ197" t="str">
            <v/>
          </cell>
          <cell r="NA197" t="str">
            <v/>
          </cell>
          <cell r="NB197" t="str">
            <v/>
          </cell>
          <cell r="NC197" t="str">
            <v/>
          </cell>
          <cell r="ND197" t="str">
            <v/>
          </cell>
          <cell r="NE197" t="str">
            <v/>
          </cell>
          <cell r="NF197" t="str">
            <v/>
          </cell>
          <cell r="NG197" t="str">
            <v/>
          </cell>
          <cell r="NH197" t="str">
            <v/>
          </cell>
          <cell r="NI197" t="str">
            <v/>
          </cell>
          <cell r="NJ197" t="str">
            <v/>
          </cell>
        </row>
        <row r="198">
          <cell r="I198" t="str">
            <v>E07000181</v>
          </cell>
          <cell r="GZ198">
            <v>40634</v>
          </cell>
          <cell r="HA198">
            <v>44286</v>
          </cell>
          <cell r="HB198">
            <v>550</v>
          </cell>
          <cell r="HC198">
            <v>550</v>
          </cell>
          <cell r="HD198">
            <v>44287</v>
          </cell>
          <cell r="HE198">
            <v>45016</v>
          </cell>
          <cell r="HF198">
            <v>800</v>
          </cell>
          <cell r="HG198">
            <v>800</v>
          </cell>
          <cell r="HH198">
            <v>45017</v>
          </cell>
          <cell r="HI198">
            <v>45382</v>
          </cell>
          <cell r="HJ198">
            <v>975</v>
          </cell>
          <cell r="HK198">
            <v>975</v>
          </cell>
          <cell r="HL198">
            <v>45383</v>
          </cell>
          <cell r="HM198">
            <v>47938</v>
          </cell>
          <cell r="HN198">
            <v>1125</v>
          </cell>
          <cell r="HO198">
            <v>1125</v>
          </cell>
          <cell r="HP198" t="str">
            <v/>
          </cell>
          <cell r="HQ198" t="str">
            <v/>
          </cell>
          <cell r="HR198" t="str">
            <v/>
          </cell>
          <cell r="HS198" t="str">
            <v/>
          </cell>
          <cell r="HT198" t="str">
            <v/>
          </cell>
          <cell r="HU198" t="str">
            <v/>
          </cell>
          <cell r="HV198" t="str">
            <v/>
          </cell>
          <cell r="HW198" t="str">
            <v/>
          </cell>
          <cell r="MN198" t="str">
            <v/>
          </cell>
          <cell r="MO198" t="str">
            <v/>
          </cell>
          <cell r="MP198" t="str">
            <v/>
          </cell>
          <cell r="MQ198" t="str">
            <v/>
          </cell>
          <cell r="MR198" t="str">
            <v/>
          </cell>
          <cell r="MS198" t="str">
            <v/>
          </cell>
          <cell r="MT198" t="str">
            <v/>
          </cell>
          <cell r="MU198" t="str">
            <v/>
          </cell>
          <cell r="MV198" t="str">
            <v/>
          </cell>
          <cell r="MW198" t="str">
            <v/>
          </cell>
          <cell r="MX198" t="str">
            <v/>
          </cell>
          <cell r="MY198" t="str">
            <v/>
          </cell>
          <cell r="MZ198" t="str">
            <v/>
          </cell>
          <cell r="NA198" t="str">
            <v/>
          </cell>
          <cell r="NB198" t="str">
            <v/>
          </cell>
          <cell r="NC198" t="str">
            <v/>
          </cell>
          <cell r="ND198" t="str">
            <v/>
          </cell>
          <cell r="NE198" t="str">
            <v/>
          </cell>
          <cell r="NF198" t="str">
            <v/>
          </cell>
          <cell r="NG198" t="str">
            <v/>
          </cell>
          <cell r="NH198" t="str">
            <v/>
          </cell>
          <cell r="NI198" t="str">
            <v/>
          </cell>
          <cell r="NJ198" t="str">
            <v/>
          </cell>
        </row>
        <row r="199">
          <cell r="I199" t="str">
            <v>E07000172</v>
          </cell>
          <cell r="GZ199">
            <v>40634</v>
          </cell>
          <cell r="HA199">
            <v>41364</v>
          </cell>
          <cell r="HB199">
            <v>100</v>
          </cell>
          <cell r="HC199" t="str">
            <v>Analyst To Calculate</v>
          </cell>
          <cell r="HD199">
            <v>41365</v>
          </cell>
          <cell r="HE199">
            <v>43190</v>
          </cell>
          <cell r="HF199">
            <v>360</v>
          </cell>
          <cell r="HG199" t="str">
            <v>Analyst To Calculate</v>
          </cell>
          <cell r="HH199">
            <v>43191</v>
          </cell>
          <cell r="HI199">
            <v>45016</v>
          </cell>
          <cell r="HJ199">
            <v>430</v>
          </cell>
          <cell r="HK199" t="str">
            <v>Analyst To Calculate</v>
          </cell>
          <cell r="HL199">
            <v>45017</v>
          </cell>
          <cell r="HM199">
            <v>46843</v>
          </cell>
          <cell r="HN199">
            <v>400</v>
          </cell>
          <cell r="HO199" t="str">
            <v>Analyst To Calculate</v>
          </cell>
          <cell r="HP199" t="str">
            <v/>
          </cell>
          <cell r="HQ199" t="str">
            <v/>
          </cell>
          <cell r="HR199" t="str">
            <v/>
          </cell>
          <cell r="HS199" t="str">
            <v>Analyst To Calculate</v>
          </cell>
          <cell r="HT199" t="str">
            <v/>
          </cell>
          <cell r="HU199" t="str">
            <v/>
          </cell>
          <cell r="HV199" t="str">
            <v/>
          </cell>
          <cell r="HW199" t="str">
            <v>Analyst To Calculate</v>
          </cell>
          <cell r="MN199" t="str">
            <v/>
          </cell>
          <cell r="MO199" t="str">
            <v/>
          </cell>
          <cell r="MP199" t="str">
            <v/>
          </cell>
          <cell r="MQ199" t="str">
            <v/>
          </cell>
          <cell r="MR199" t="str">
            <v/>
          </cell>
          <cell r="MS199" t="str">
            <v/>
          </cell>
          <cell r="MT199" t="str">
            <v/>
          </cell>
          <cell r="MU199" t="str">
            <v/>
          </cell>
          <cell r="MV199" t="str">
            <v/>
          </cell>
          <cell r="MW199" t="str">
            <v/>
          </cell>
          <cell r="MX199" t="str">
            <v/>
          </cell>
          <cell r="MY199" t="str">
            <v/>
          </cell>
          <cell r="MZ199" t="str">
            <v/>
          </cell>
          <cell r="NA199" t="str">
            <v/>
          </cell>
          <cell r="NB199" t="str">
            <v/>
          </cell>
          <cell r="NC199" t="str">
            <v/>
          </cell>
          <cell r="ND199" t="str">
            <v/>
          </cell>
          <cell r="NE199" t="str">
            <v/>
          </cell>
          <cell r="NF199" t="str">
            <v/>
          </cell>
          <cell r="NG199" t="str">
            <v/>
          </cell>
          <cell r="NH199" t="str">
            <v/>
          </cell>
          <cell r="NI199" t="str">
            <v/>
          </cell>
          <cell r="NJ199" t="str">
            <v/>
          </cell>
        </row>
        <row r="200">
          <cell r="I200" t="str">
            <v>E09000027</v>
          </cell>
          <cell r="GZ200">
            <v>42095</v>
          </cell>
          <cell r="HA200">
            <v>45747</v>
          </cell>
          <cell r="HB200">
            <v>315</v>
          </cell>
          <cell r="HC200">
            <v>315</v>
          </cell>
          <cell r="HD200">
            <v>45748</v>
          </cell>
          <cell r="HE200">
            <v>48669</v>
          </cell>
          <cell r="HF200">
            <v>315</v>
          </cell>
          <cell r="HG200">
            <v>315</v>
          </cell>
          <cell r="HK200">
            <v>0</v>
          </cell>
          <cell r="HO200">
            <v>0</v>
          </cell>
          <cell r="HS200">
            <v>0</v>
          </cell>
          <cell r="HW200">
            <v>0</v>
          </cell>
          <cell r="MN200" t="str">
            <v/>
          </cell>
          <cell r="MO200" t="str">
            <v/>
          </cell>
          <cell r="MP200" t="str">
            <v/>
          </cell>
          <cell r="MQ200" t="str">
            <v/>
          </cell>
          <cell r="MR200" t="str">
            <v/>
          </cell>
          <cell r="MS200" t="str">
            <v/>
          </cell>
          <cell r="MT200" t="str">
            <v/>
          </cell>
          <cell r="MU200" t="str">
            <v/>
          </cell>
          <cell r="MV200" t="str">
            <v/>
          </cell>
          <cell r="MW200" t="str">
            <v/>
          </cell>
          <cell r="MX200" t="str">
            <v/>
          </cell>
          <cell r="MY200" t="str">
            <v/>
          </cell>
          <cell r="MZ200" t="str">
            <v/>
          </cell>
          <cell r="NA200" t="str">
            <v/>
          </cell>
          <cell r="NB200" t="str">
            <v/>
          </cell>
          <cell r="NC200" t="str">
            <v/>
          </cell>
          <cell r="ND200" t="str">
            <v/>
          </cell>
          <cell r="NE200" t="str">
            <v/>
          </cell>
          <cell r="NF200" t="str">
            <v/>
          </cell>
          <cell r="NG200" t="str">
            <v/>
          </cell>
          <cell r="NH200" t="str">
            <v/>
          </cell>
          <cell r="NI200" t="str">
            <v/>
          </cell>
          <cell r="NJ200" t="str">
            <v/>
          </cell>
        </row>
        <row r="201">
          <cell r="I201" t="str">
            <v>E09000003</v>
          </cell>
          <cell r="GZ201">
            <v>40634</v>
          </cell>
          <cell r="HA201">
            <v>44651</v>
          </cell>
          <cell r="HB201">
            <v>2200</v>
          </cell>
          <cell r="HC201">
            <v>2200</v>
          </cell>
          <cell r="HD201">
            <v>44652</v>
          </cell>
          <cell r="HE201">
            <v>46112</v>
          </cell>
          <cell r="HF201">
            <v>1500</v>
          </cell>
          <cell r="HG201">
            <v>1500</v>
          </cell>
          <cell r="HH201" t="str">
            <v/>
          </cell>
          <cell r="HI201" t="str">
            <v/>
          </cell>
          <cell r="HJ201" t="str">
            <v/>
          </cell>
          <cell r="HK201" t="str">
            <v/>
          </cell>
          <cell r="HL201" t="str">
            <v/>
          </cell>
          <cell r="HM201" t="str">
            <v/>
          </cell>
          <cell r="HN201" t="str">
            <v/>
          </cell>
          <cell r="HO201" t="str">
            <v/>
          </cell>
          <cell r="HP201" t="str">
            <v/>
          </cell>
          <cell r="HQ201" t="str">
            <v/>
          </cell>
          <cell r="HR201" t="str">
            <v/>
          </cell>
          <cell r="HS201" t="str">
            <v/>
          </cell>
          <cell r="HT201" t="str">
            <v/>
          </cell>
          <cell r="HU201" t="str">
            <v/>
          </cell>
          <cell r="HV201" t="str">
            <v/>
          </cell>
          <cell r="HW201" t="str">
            <v/>
          </cell>
          <cell r="MQ201" t="str">
            <v>Analysts to manually calculate</v>
          </cell>
          <cell r="MU201" t="str">
            <v>Analysts to manually calculate</v>
          </cell>
          <cell r="MY201" t="str">
            <v>Analysts to manually calculate</v>
          </cell>
          <cell r="NC201" t="str">
            <v>Analysts to manually calculate</v>
          </cell>
          <cell r="NG201" t="str">
            <v>Analysts to manually calculate</v>
          </cell>
        </row>
        <row r="202">
          <cell r="I202" t="str">
            <v>E07000228</v>
          </cell>
          <cell r="GZ202">
            <v>41730</v>
          </cell>
          <cell r="HA202">
            <v>45382</v>
          </cell>
          <cell r="HB202">
            <v>876</v>
          </cell>
          <cell r="HC202">
            <v>876</v>
          </cell>
          <cell r="HD202">
            <v>45383</v>
          </cell>
          <cell r="HE202">
            <v>47938</v>
          </cell>
          <cell r="HF202">
            <v>1090</v>
          </cell>
          <cell r="HG202">
            <v>1090</v>
          </cell>
          <cell r="HH202" t="str">
            <v/>
          </cell>
          <cell r="HI202" t="str">
            <v/>
          </cell>
          <cell r="HJ202" t="str">
            <v/>
          </cell>
          <cell r="HK202" t="str">
            <v/>
          </cell>
          <cell r="HL202" t="str">
            <v/>
          </cell>
          <cell r="HM202" t="str">
            <v/>
          </cell>
          <cell r="HN202" t="str">
            <v/>
          </cell>
          <cell r="HO202" t="str">
            <v/>
          </cell>
          <cell r="HP202" t="str">
            <v/>
          </cell>
          <cell r="HQ202" t="str">
            <v/>
          </cell>
          <cell r="HR202" t="str">
            <v/>
          </cell>
          <cell r="HS202" t="str">
            <v/>
          </cell>
          <cell r="HT202" t="str">
            <v/>
          </cell>
          <cell r="HU202" t="str">
            <v/>
          </cell>
          <cell r="HV202" t="str">
            <v/>
          </cell>
          <cell r="HW202" t="str">
            <v/>
          </cell>
          <cell r="MN202" t="str">
            <v/>
          </cell>
          <cell r="MO202" t="str">
            <v/>
          </cell>
          <cell r="MP202" t="str">
            <v/>
          </cell>
          <cell r="MQ202" t="str">
            <v/>
          </cell>
          <cell r="MR202" t="str">
            <v/>
          </cell>
          <cell r="MS202" t="str">
            <v/>
          </cell>
          <cell r="MT202" t="str">
            <v/>
          </cell>
          <cell r="MU202" t="str">
            <v/>
          </cell>
          <cell r="MV202" t="str">
            <v/>
          </cell>
          <cell r="MW202" t="str">
            <v/>
          </cell>
          <cell r="MX202" t="str">
            <v/>
          </cell>
          <cell r="MY202" t="str">
            <v/>
          </cell>
          <cell r="MZ202" t="str">
            <v/>
          </cell>
          <cell r="NA202" t="str">
            <v/>
          </cell>
          <cell r="NB202" t="str">
            <v/>
          </cell>
          <cell r="NC202" t="str">
            <v/>
          </cell>
          <cell r="ND202" t="str">
            <v/>
          </cell>
          <cell r="NE202" t="str">
            <v/>
          </cell>
          <cell r="NF202" t="str">
            <v/>
          </cell>
          <cell r="NG202" t="str">
            <v/>
          </cell>
          <cell r="NH202" t="str">
            <v/>
          </cell>
          <cell r="NI202" t="str">
            <v/>
          </cell>
          <cell r="NJ202" t="str">
            <v/>
          </cell>
        </row>
        <row r="203">
          <cell r="I203" t="str">
            <v>E07000222</v>
          </cell>
          <cell r="GZ203">
            <v>40634</v>
          </cell>
          <cell r="HA203">
            <v>42825</v>
          </cell>
          <cell r="HB203">
            <v>600</v>
          </cell>
          <cell r="HC203" t="str">
            <v>Analyst To Calculate</v>
          </cell>
          <cell r="HD203">
            <v>42826</v>
          </cell>
          <cell r="HE203">
            <v>47208</v>
          </cell>
          <cell r="HF203">
            <v>1098</v>
          </cell>
          <cell r="HG203" t="str">
            <v>Analyst To Calculate</v>
          </cell>
          <cell r="HH203" t="str">
            <v/>
          </cell>
          <cell r="HI203" t="str">
            <v/>
          </cell>
          <cell r="HJ203" t="str">
            <v/>
          </cell>
          <cell r="HK203" t="str">
            <v>Analyst To Calculate</v>
          </cell>
          <cell r="HL203" t="str">
            <v/>
          </cell>
          <cell r="HM203" t="str">
            <v/>
          </cell>
          <cell r="HN203" t="str">
            <v/>
          </cell>
          <cell r="HO203" t="str">
            <v>Analyst To Calculate</v>
          </cell>
          <cell r="HP203" t="str">
            <v/>
          </cell>
          <cell r="HQ203" t="str">
            <v/>
          </cell>
          <cell r="HR203" t="str">
            <v/>
          </cell>
          <cell r="HS203" t="str">
            <v>Analyst To Calculate</v>
          </cell>
          <cell r="HT203" t="str">
            <v/>
          </cell>
          <cell r="HU203" t="str">
            <v/>
          </cell>
          <cell r="HV203" t="str">
            <v/>
          </cell>
          <cell r="HW203" t="str">
            <v>Analyst To Calculate</v>
          </cell>
          <cell r="MN203" t="str">
            <v/>
          </cell>
          <cell r="MO203" t="str">
            <v/>
          </cell>
          <cell r="MP203" t="str">
            <v/>
          </cell>
          <cell r="MQ203" t="str">
            <v/>
          </cell>
          <cell r="MR203" t="str">
            <v/>
          </cell>
          <cell r="MS203" t="str">
            <v/>
          </cell>
          <cell r="MT203" t="str">
            <v/>
          </cell>
          <cell r="MU203" t="str">
            <v/>
          </cell>
          <cell r="MV203" t="str">
            <v/>
          </cell>
          <cell r="MW203" t="str">
            <v/>
          </cell>
          <cell r="MX203" t="str">
            <v/>
          </cell>
          <cell r="MY203" t="str">
            <v/>
          </cell>
          <cell r="MZ203" t="str">
            <v/>
          </cell>
          <cell r="NA203" t="str">
            <v/>
          </cell>
          <cell r="NB203" t="str">
            <v/>
          </cell>
          <cell r="NC203" t="str">
            <v/>
          </cell>
          <cell r="ND203" t="str">
            <v/>
          </cell>
          <cell r="NE203" t="str">
            <v/>
          </cell>
          <cell r="NF203" t="str">
            <v/>
          </cell>
          <cell r="NG203" t="str">
            <v/>
          </cell>
          <cell r="NH203" t="str">
            <v/>
          </cell>
          <cell r="NI203" t="str">
            <v/>
          </cell>
          <cell r="NJ203" t="str">
            <v/>
          </cell>
        </row>
        <row r="204">
          <cell r="I204" t="str">
            <v>E07000034</v>
          </cell>
          <cell r="GZ204" t="str">
            <v/>
          </cell>
          <cell r="HA204" t="str">
            <v/>
          </cell>
          <cell r="HB204" t="str">
            <v/>
          </cell>
          <cell r="HC204" t="str">
            <v/>
          </cell>
          <cell r="HD204" t="str">
            <v/>
          </cell>
          <cell r="HE204" t="str">
            <v/>
          </cell>
          <cell r="HF204" t="str">
            <v/>
          </cell>
          <cell r="HG204" t="str">
            <v/>
          </cell>
          <cell r="HH204" t="str">
            <v/>
          </cell>
          <cell r="HI204" t="str">
            <v/>
          </cell>
          <cell r="HJ204" t="str">
            <v/>
          </cell>
          <cell r="HK204" t="str">
            <v/>
          </cell>
          <cell r="HL204" t="str">
            <v/>
          </cell>
          <cell r="HM204" t="str">
            <v/>
          </cell>
          <cell r="HN204" t="str">
            <v/>
          </cell>
          <cell r="HO204" t="str">
            <v/>
          </cell>
          <cell r="HP204" t="str">
            <v/>
          </cell>
          <cell r="HQ204" t="str">
            <v/>
          </cell>
          <cell r="HR204" t="str">
            <v/>
          </cell>
          <cell r="HS204" t="str">
            <v/>
          </cell>
          <cell r="HT204" t="str">
            <v/>
          </cell>
          <cell r="HU204" t="str">
            <v/>
          </cell>
          <cell r="HV204" t="str">
            <v/>
          </cell>
          <cell r="HW204" t="str">
            <v/>
          </cell>
          <cell r="MN204" t="str">
            <v/>
          </cell>
          <cell r="MO204" t="str">
            <v/>
          </cell>
          <cell r="MP204" t="str">
            <v/>
          </cell>
          <cell r="MQ204" t="str">
            <v/>
          </cell>
          <cell r="MR204" t="str">
            <v/>
          </cell>
          <cell r="MS204" t="str">
            <v/>
          </cell>
          <cell r="MT204" t="str">
            <v/>
          </cell>
          <cell r="MU204" t="str">
            <v/>
          </cell>
          <cell r="MV204" t="str">
            <v/>
          </cell>
          <cell r="MW204" t="str">
            <v/>
          </cell>
          <cell r="MX204" t="str">
            <v/>
          </cell>
          <cell r="MY204" t="str">
            <v/>
          </cell>
          <cell r="MZ204" t="str">
            <v/>
          </cell>
          <cell r="NA204" t="str">
            <v/>
          </cell>
          <cell r="NB204" t="str">
            <v/>
          </cell>
          <cell r="NC204" t="str">
            <v/>
          </cell>
          <cell r="ND204" t="str">
            <v/>
          </cell>
          <cell r="NE204" t="str">
            <v/>
          </cell>
          <cell r="NF204" t="str">
            <v/>
          </cell>
          <cell r="NG204" t="str">
            <v/>
          </cell>
          <cell r="NH204" t="str">
            <v/>
          </cell>
          <cell r="NI204" t="str">
            <v/>
          </cell>
          <cell r="NJ204" t="str">
            <v/>
          </cell>
        </row>
        <row r="205">
          <cell r="I205" t="str">
            <v>E07000091</v>
          </cell>
          <cell r="GZ205">
            <v>42461</v>
          </cell>
          <cell r="HA205">
            <v>44286</v>
          </cell>
          <cell r="HB205">
            <v>300</v>
          </cell>
          <cell r="HC205">
            <v>300</v>
          </cell>
          <cell r="HD205">
            <v>44287</v>
          </cell>
          <cell r="HE205">
            <v>46112</v>
          </cell>
          <cell r="HF205">
            <v>400</v>
          </cell>
          <cell r="HG205">
            <v>400</v>
          </cell>
          <cell r="HH205">
            <v>46113</v>
          </cell>
          <cell r="HI205">
            <v>49765</v>
          </cell>
          <cell r="HJ205">
            <v>700</v>
          </cell>
          <cell r="HK205">
            <v>700</v>
          </cell>
          <cell r="HL205" t="str">
            <v/>
          </cell>
          <cell r="HM205" t="str">
            <v/>
          </cell>
          <cell r="HN205" t="str">
            <v/>
          </cell>
          <cell r="HO205" t="str">
            <v/>
          </cell>
          <cell r="HP205" t="str">
            <v/>
          </cell>
          <cell r="HQ205" t="str">
            <v/>
          </cell>
          <cell r="HR205" t="str">
            <v/>
          </cell>
          <cell r="HS205" t="str">
            <v/>
          </cell>
          <cell r="HT205" t="str">
            <v/>
          </cell>
          <cell r="HU205" t="str">
            <v/>
          </cell>
          <cell r="HV205" t="str">
            <v/>
          </cell>
          <cell r="HW205" t="str">
            <v/>
          </cell>
          <cell r="MN205" t="str">
            <v/>
          </cell>
          <cell r="MO205" t="str">
            <v/>
          </cell>
          <cell r="MP205" t="str">
            <v/>
          </cell>
          <cell r="MQ205" t="str">
            <v/>
          </cell>
          <cell r="MR205" t="str">
            <v/>
          </cell>
          <cell r="MS205" t="str">
            <v/>
          </cell>
          <cell r="MT205" t="str">
            <v/>
          </cell>
          <cell r="MU205" t="str">
            <v/>
          </cell>
          <cell r="MV205" t="str">
            <v/>
          </cell>
          <cell r="MW205" t="str">
            <v/>
          </cell>
          <cell r="MX205" t="str">
            <v/>
          </cell>
          <cell r="MY205" t="str">
            <v/>
          </cell>
          <cell r="MZ205" t="str">
            <v/>
          </cell>
          <cell r="NA205" t="str">
            <v/>
          </cell>
          <cell r="NB205" t="str">
            <v/>
          </cell>
          <cell r="NC205" t="str">
            <v/>
          </cell>
          <cell r="ND205" t="str">
            <v/>
          </cell>
          <cell r="NE205" t="str">
            <v/>
          </cell>
          <cell r="NF205" t="str">
            <v/>
          </cell>
          <cell r="NG205" t="str">
            <v/>
          </cell>
          <cell r="NH205" t="str">
            <v/>
          </cell>
          <cell r="NI205" t="str">
            <v/>
          </cell>
          <cell r="NJ205" t="str">
            <v/>
          </cell>
        </row>
        <row r="206">
          <cell r="I206" t="str">
            <v>E07000144</v>
          </cell>
          <cell r="GZ206" t="str">
            <v/>
          </cell>
          <cell r="HA206" t="str">
            <v/>
          </cell>
          <cell r="HB206" t="str">
            <v/>
          </cell>
          <cell r="HC206" t="str">
            <v/>
          </cell>
          <cell r="HD206" t="str">
            <v/>
          </cell>
          <cell r="HE206" t="str">
            <v/>
          </cell>
          <cell r="HF206" t="str">
            <v/>
          </cell>
          <cell r="HG206" t="str">
            <v/>
          </cell>
          <cell r="HH206" t="str">
            <v/>
          </cell>
          <cell r="HI206" t="str">
            <v/>
          </cell>
          <cell r="HJ206" t="str">
            <v/>
          </cell>
          <cell r="HK206" t="str">
            <v/>
          </cell>
          <cell r="HL206" t="str">
            <v/>
          </cell>
          <cell r="HM206" t="str">
            <v/>
          </cell>
          <cell r="HN206" t="str">
            <v/>
          </cell>
          <cell r="HO206" t="str">
            <v/>
          </cell>
          <cell r="HP206" t="str">
            <v/>
          </cell>
          <cell r="HQ206" t="str">
            <v/>
          </cell>
          <cell r="HR206" t="str">
            <v/>
          </cell>
          <cell r="HS206" t="str">
            <v/>
          </cell>
          <cell r="HT206" t="str">
            <v/>
          </cell>
          <cell r="HU206" t="str">
            <v/>
          </cell>
          <cell r="HV206" t="str">
            <v/>
          </cell>
          <cell r="HW206" t="str">
            <v/>
          </cell>
          <cell r="MN206" t="str">
            <v/>
          </cell>
          <cell r="MO206" t="str">
            <v/>
          </cell>
          <cell r="MP206" t="str">
            <v/>
          </cell>
          <cell r="MQ206" t="str">
            <v/>
          </cell>
          <cell r="MR206" t="str">
            <v/>
          </cell>
          <cell r="MS206" t="str">
            <v/>
          </cell>
          <cell r="MT206" t="str">
            <v/>
          </cell>
          <cell r="MU206" t="str">
            <v/>
          </cell>
          <cell r="MV206" t="str">
            <v/>
          </cell>
          <cell r="MW206" t="str">
            <v/>
          </cell>
          <cell r="MX206" t="str">
            <v/>
          </cell>
          <cell r="MY206" t="str">
            <v/>
          </cell>
          <cell r="MZ206" t="str">
            <v/>
          </cell>
          <cell r="NA206" t="str">
            <v/>
          </cell>
          <cell r="NB206" t="str">
            <v/>
          </cell>
          <cell r="NC206" t="str">
            <v/>
          </cell>
          <cell r="ND206" t="str">
            <v/>
          </cell>
          <cell r="NE206" t="str">
            <v/>
          </cell>
          <cell r="NF206" t="str">
            <v/>
          </cell>
          <cell r="NG206" t="str">
            <v/>
          </cell>
          <cell r="NH206" t="str">
            <v/>
          </cell>
          <cell r="NI206" t="str">
            <v/>
          </cell>
          <cell r="NJ206" t="str">
            <v/>
          </cell>
        </row>
        <row r="207">
          <cell r="I207" t="str">
            <v>E07000187</v>
          </cell>
          <cell r="GZ207" t="str">
            <v/>
          </cell>
          <cell r="HA207" t="str">
            <v/>
          </cell>
          <cell r="HB207" t="str">
            <v/>
          </cell>
          <cell r="HC207" t="str">
            <v/>
          </cell>
          <cell r="HD207" t="str">
            <v/>
          </cell>
          <cell r="HE207" t="str">
            <v/>
          </cell>
          <cell r="HF207" t="str">
            <v/>
          </cell>
          <cell r="HG207" t="str">
            <v/>
          </cell>
          <cell r="HH207" t="str">
            <v/>
          </cell>
          <cell r="HI207" t="str">
            <v/>
          </cell>
          <cell r="HJ207" t="str">
            <v/>
          </cell>
          <cell r="HK207" t="str">
            <v/>
          </cell>
          <cell r="HL207" t="str">
            <v/>
          </cell>
          <cell r="HM207" t="str">
            <v/>
          </cell>
          <cell r="HN207" t="str">
            <v/>
          </cell>
          <cell r="HO207" t="str">
            <v/>
          </cell>
          <cell r="HP207" t="str">
            <v/>
          </cell>
          <cell r="HQ207" t="str">
            <v/>
          </cell>
          <cell r="HR207" t="str">
            <v/>
          </cell>
          <cell r="HS207" t="str">
            <v/>
          </cell>
          <cell r="HT207" t="str">
            <v/>
          </cell>
          <cell r="HU207" t="str">
            <v/>
          </cell>
          <cell r="HV207" t="str">
            <v/>
          </cell>
          <cell r="HW207" t="str">
            <v/>
          </cell>
          <cell r="MN207" t="str">
            <v/>
          </cell>
          <cell r="MO207" t="str">
            <v/>
          </cell>
          <cell r="MP207" t="str">
            <v/>
          </cell>
          <cell r="MQ207" t="str">
            <v/>
          </cell>
          <cell r="MR207" t="str">
            <v/>
          </cell>
          <cell r="MS207" t="str">
            <v/>
          </cell>
          <cell r="MT207" t="str">
            <v/>
          </cell>
          <cell r="MU207" t="str">
            <v/>
          </cell>
          <cell r="MV207" t="str">
            <v/>
          </cell>
          <cell r="MW207" t="str">
            <v/>
          </cell>
          <cell r="MX207" t="str">
            <v/>
          </cell>
          <cell r="MY207" t="str">
            <v/>
          </cell>
          <cell r="MZ207" t="str">
            <v/>
          </cell>
          <cell r="NA207" t="str">
            <v/>
          </cell>
          <cell r="NB207" t="str">
            <v/>
          </cell>
          <cell r="NC207" t="str">
            <v/>
          </cell>
          <cell r="ND207" t="str">
            <v/>
          </cell>
          <cell r="NE207" t="str">
            <v/>
          </cell>
          <cell r="NF207" t="str">
            <v/>
          </cell>
          <cell r="NG207" t="str">
            <v/>
          </cell>
          <cell r="NH207" t="str">
            <v/>
          </cell>
          <cell r="NI207" t="str">
            <v/>
          </cell>
          <cell r="NJ207" t="str">
            <v/>
          </cell>
        </row>
        <row r="208">
          <cell r="I208" t="str">
            <v>E07000033</v>
          </cell>
          <cell r="GZ208" t="str">
            <v/>
          </cell>
          <cell r="HA208" t="str">
            <v/>
          </cell>
          <cell r="HB208" t="str">
            <v/>
          </cell>
          <cell r="HC208" t="str">
            <v/>
          </cell>
          <cell r="HD208" t="str">
            <v/>
          </cell>
          <cell r="HE208" t="str">
            <v/>
          </cell>
          <cell r="HF208" t="str">
            <v/>
          </cell>
          <cell r="HG208" t="str">
            <v/>
          </cell>
          <cell r="HH208" t="str">
            <v/>
          </cell>
          <cell r="HI208" t="str">
            <v/>
          </cell>
          <cell r="HJ208" t="str">
            <v/>
          </cell>
          <cell r="HK208" t="str">
            <v/>
          </cell>
          <cell r="HL208" t="str">
            <v/>
          </cell>
          <cell r="HM208" t="str">
            <v/>
          </cell>
          <cell r="HN208" t="str">
            <v/>
          </cell>
          <cell r="HO208" t="str">
            <v/>
          </cell>
          <cell r="HP208" t="str">
            <v/>
          </cell>
          <cell r="HQ208" t="str">
            <v/>
          </cell>
          <cell r="HR208" t="str">
            <v/>
          </cell>
          <cell r="HS208" t="str">
            <v/>
          </cell>
          <cell r="HT208" t="str">
            <v/>
          </cell>
          <cell r="HU208" t="str">
            <v/>
          </cell>
          <cell r="HV208" t="str">
            <v/>
          </cell>
          <cell r="HW208" t="str">
            <v/>
          </cell>
          <cell r="MN208" t="str">
            <v/>
          </cell>
          <cell r="MO208" t="str">
            <v/>
          </cell>
          <cell r="MP208" t="str">
            <v/>
          </cell>
          <cell r="MQ208" t="str">
            <v/>
          </cell>
          <cell r="MR208" t="str">
            <v/>
          </cell>
          <cell r="MS208" t="str">
            <v/>
          </cell>
          <cell r="MT208" t="str">
            <v/>
          </cell>
          <cell r="MU208" t="str">
            <v/>
          </cell>
          <cell r="MV208" t="str">
            <v/>
          </cell>
          <cell r="MW208" t="str">
            <v/>
          </cell>
          <cell r="MX208" t="str">
            <v/>
          </cell>
          <cell r="MY208" t="str">
            <v/>
          </cell>
          <cell r="MZ208" t="str">
            <v/>
          </cell>
          <cell r="NA208" t="str">
            <v/>
          </cell>
          <cell r="NB208" t="str">
            <v/>
          </cell>
          <cell r="NC208" t="str">
            <v/>
          </cell>
          <cell r="ND208" t="str">
            <v/>
          </cell>
          <cell r="NE208" t="str">
            <v/>
          </cell>
          <cell r="NF208" t="str">
            <v/>
          </cell>
          <cell r="NG208" t="str">
            <v/>
          </cell>
          <cell r="NH208" t="str">
            <v/>
          </cell>
          <cell r="NI208" t="str">
            <v/>
          </cell>
          <cell r="NJ208" t="str">
            <v/>
          </cell>
        </row>
        <row r="209">
          <cell r="I209" t="str">
            <v>E07000175</v>
          </cell>
          <cell r="GZ209" t="str">
            <v/>
          </cell>
          <cell r="HA209" t="str">
            <v/>
          </cell>
          <cell r="HB209" t="str">
            <v/>
          </cell>
          <cell r="HC209" t="str">
            <v/>
          </cell>
          <cell r="HD209" t="str">
            <v/>
          </cell>
          <cell r="HE209" t="str">
            <v/>
          </cell>
          <cell r="HF209" t="str">
            <v/>
          </cell>
          <cell r="HG209" t="str">
            <v/>
          </cell>
          <cell r="HH209" t="str">
            <v/>
          </cell>
          <cell r="HI209" t="str">
            <v/>
          </cell>
          <cell r="HJ209" t="str">
            <v/>
          </cell>
          <cell r="HK209" t="str">
            <v/>
          </cell>
          <cell r="HL209" t="str">
            <v/>
          </cell>
          <cell r="HM209" t="str">
            <v/>
          </cell>
          <cell r="HN209" t="str">
            <v/>
          </cell>
          <cell r="HO209" t="str">
            <v/>
          </cell>
          <cell r="HP209" t="str">
            <v/>
          </cell>
          <cell r="HQ209" t="str">
            <v/>
          </cell>
          <cell r="HR209" t="str">
            <v/>
          </cell>
          <cell r="HS209" t="str">
            <v/>
          </cell>
          <cell r="HT209" t="str">
            <v/>
          </cell>
          <cell r="HU209" t="str">
            <v/>
          </cell>
          <cell r="HV209" t="str">
            <v/>
          </cell>
          <cell r="HW209" t="str">
            <v/>
          </cell>
          <cell r="MN209" t="str">
            <v/>
          </cell>
          <cell r="MO209" t="str">
            <v/>
          </cell>
          <cell r="MP209" t="str">
            <v/>
          </cell>
          <cell r="MQ209" t="str">
            <v/>
          </cell>
          <cell r="MR209" t="str">
            <v/>
          </cell>
          <cell r="MS209" t="str">
            <v/>
          </cell>
          <cell r="MT209" t="str">
            <v/>
          </cell>
          <cell r="MU209" t="str">
            <v/>
          </cell>
          <cell r="MV209" t="str">
            <v/>
          </cell>
          <cell r="MW209" t="str">
            <v/>
          </cell>
          <cell r="MX209" t="str">
            <v/>
          </cell>
          <cell r="MY209" t="str">
            <v/>
          </cell>
          <cell r="MZ209" t="str">
            <v/>
          </cell>
          <cell r="NA209" t="str">
            <v/>
          </cell>
          <cell r="NB209" t="str">
            <v/>
          </cell>
          <cell r="NC209" t="str">
            <v/>
          </cell>
          <cell r="ND209" t="str">
            <v/>
          </cell>
          <cell r="NE209" t="str">
            <v/>
          </cell>
          <cell r="NF209" t="str">
            <v/>
          </cell>
          <cell r="NG209" t="str">
            <v/>
          </cell>
          <cell r="NH209" t="str">
            <v/>
          </cell>
          <cell r="NI209" t="str">
            <v/>
          </cell>
          <cell r="NJ209" t="str">
            <v/>
          </cell>
        </row>
        <row r="210">
          <cell r="I210" t="str">
            <v>E08000004</v>
          </cell>
          <cell r="GZ210" t="str">
            <v/>
          </cell>
          <cell r="HA210" t="str">
            <v/>
          </cell>
          <cell r="HB210" t="str">
            <v/>
          </cell>
          <cell r="HC210" t="str">
            <v/>
          </cell>
          <cell r="HD210" t="str">
            <v/>
          </cell>
          <cell r="HE210" t="str">
            <v/>
          </cell>
          <cell r="HF210" t="str">
            <v/>
          </cell>
          <cell r="HG210" t="str">
            <v/>
          </cell>
          <cell r="HH210" t="str">
            <v/>
          </cell>
          <cell r="HI210" t="str">
            <v/>
          </cell>
          <cell r="HJ210" t="str">
            <v/>
          </cell>
          <cell r="HK210" t="str">
            <v/>
          </cell>
          <cell r="HL210" t="str">
            <v/>
          </cell>
          <cell r="HM210" t="str">
            <v/>
          </cell>
          <cell r="HN210" t="str">
            <v/>
          </cell>
          <cell r="HO210" t="str">
            <v/>
          </cell>
          <cell r="HP210" t="str">
            <v/>
          </cell>
          <cell r="HQ210" t="str">
            <v/>
          </cell>
          <cell r="HR210" t="str">
            <v/>
          </cell>
          <cell r="HS210" t="str">
            <v/>
          </cell>
          <cell r="HT210" t="str">
            <v/>
          </cell>
          <cell r="HU210" t="str">
            <v/>
          </cell>
          <cell r="HV210" t="str">
            <v/>
          </cell>
          <cell r="HW210" t="str">
            <v/>
          </cell>
          <cell r="MN210" t="str">
            <v/>
          </cell>
          <cell r="MO210" t="str">
            <v/>
          </cell>
          <cell r="MP210" t="str">
            <v/>
          </cell>
          <cell r="MQ210" t="str">
            <v/>
          </cell>
          <cell r="MR210" t="str">
            <v/>
          </cell>
          <cell r="MS210" t="str">
            <v/>
          </cell>
          <cell r="MT210" t="str">
            <v/>
          </cell>
          <cell r="MU210" t="str">
            <v/>
          </cell>
          <cell r="MV210" t="str">
            <v/>
          </cell>
          <cell r="MW210" t="str">
            <v/>
          </cell>
          <cell r="MX210" t="str">
            <v/>
          </cell>
          <cell r="MY210" t="str">
            <v/>
          </cell>
          <cell r="MZ210" t="str">
            <v/>
          </cell>
          <cell r="NA210" t="str">
            <v/>
          </cell>
          <cell r="NB210" t="str">
            <v/>
          </cell>
          <cell r="NC210" t="str">
            <v/>
          </cell>
          <cell r="ND210" t="str">
            <v/>
          </cell>
          <cell r="NE210" t="str">
            <v/>
          </cell>
          <cell r="NF210" t="str">
            <v/>
          </cell>
          <cell r="NG210" t="str">
            <v/>
          </cell>
          <cell r="NH210" t="str">
            <v/>
          </cell>
          <cell r="NI210" t="str">
            <v/>
          </cell>
          <cell r="NJ210" t="str">
            <v/>
          </cell>
        </row>
        <row r="211">
          <cell r="I211" t="str">
            <v>E07000194</v>
          </cell>
          <cell r="GZ211" t="str">
            <v/>
          </cell>
          <cell r="HA211" t="str">
            <v/>
          </cell>
          <cell r="HB211" t="str">
            <v/>
          </cell>
          <cell r="HC211" t="str">
            <v/>
          </cell>
          <cell r="HD211" t="str">
            <v/>
          </cell>
          <cell r="HE211" t="str">
            <v/>
          </cell>
          <cell r="HF211" t="str">
            <v/>
          </cell>
          <cell r="HG211" t="str">
            <v/>
          </cell>
          <cell r="HH211" t="str">
            <v/>
          </cell>
          <cell r="HI211" t="str">
            <v/>
          </cell>
          <cell r="HJ211" t="str">
            <v/>
          </cell>
          <cell r="HK211" t="str">
            <v/>
          </cell>
          <cell r="HL211" t="str">
            <v/>
          </cell>
          <cell r="HM211" t="str">
            <v/>
          </cell>
          <cell r="HN211" t="str">
            <v/>
          </cell>
          <cell r="HO211" t="str">
            <v/>
          </cell>
          <cell r="HP211" t="str">
            <v/>
          </cell>
          <cell r="HQ211" t="str">
            <v/>
          </cell>
          <cell r="HR211" t="str">
            <v/>
          </cell>
          <cell r="HS211" t="str">
            <v/>
          </cell>
          <cell r="HT211" t="str">
            <v/>
          </cell>
          <cell r="HU211" t="str">
            <v/>
          </cell>
          <cell r="HV211" t="str">
            <v/>
          </cell>
          <cell r="HW211" t="str">
            <v/>
          </cell>
          <cell r="MN211" t="str">
            <v/>
          </cell>
          <cell r="MO211" t="str">
            <v/>
          </cell>
          <cell r="MP211" t="str">
            <v/>
          </cell>
          <cell r="MQ211" t="str">
            <v/>
          </cell>
          <cell r="MR211" t="str">
            <v/>
          </cell>
          <cell r="MS211" t="str">
            <v/>
          </cell>
          <cell r="MT211" t="str">
            <v/>
          </cell>
          <cell r="MU211" t="str">
            <v/>
          </cell>
          <cell r="MV211" t="str">
            <v/>
          </cell>
          <cell r="MW211" t="str">
            <v/>
          </cell>
          <cell r="MX211" t="str">
            <v/>
          </cell>
          <cell r="MY211" t="str">
            <v/>
          </cell>
          <cell r="MZ211" t="str">
            <v/>
          </cell>
          <cell r="NA211" t="str">
            <v/>
          </cell>
          <cell r="NB211" t="str">
            <v/>
          </cell>
          <cell r="NC211" t="str">
            <v/>
          </cell>
          <cell r="ND211" t="str">
            <v/>
          </cell>
          <cell r="NE211" t="str">
            <v/>
          </cell>
          <cell r="NF211" t="str">
            <v/>
          </cell>
          <cell r="NG211" t="str">
            <v/>
          </cell>
          <cell r="NH211" t="str">
            <v/>
          </cell>
          <cell r="NI211" t="str">
            <v/>
          </cell>
          <cell r="NJ211" t="str">
            <v/>
          </cell>
        </row>
        <row r="212">
          <cell r="I212" t="str">
            <v>E07000195</v>
          </cell>
          <cell r="GZ212" t="str">
            <v/>
          </cell>
          <cell r="HA212" t="str">
            <v/>
          </cell>
          <cell r="HB212" t="str">
            <v/>
          </cell>
          <cell r="HC212" t="str">
            <v/>
          </cell>
          <cell r="HD212" t="str">
            <v/>
          </cell>
          <cell r="HE212" t="str">
            <v/>
          </cell>
          <cell r="HF212" t="str">
            <v/>
          </cell>
          <cell r="HG212" t="str">
            <v/>
          </cell>
          <cell r="HH212" t="str">
            <v/>
          </cell>
          <cell r="HI212" t="str">
            <v/>
          </cell>
          <cell r="HJ212" t="str">
            <v/>
          </cell>
          <cell r="HK212" t="str">
            <v/>
          </cell>
          <cell r="HL212" t="str">
            <v/>
          </cell>
          <cell r="HM212" t="str">
            <v/>
          </cell>
          <cell r="HN212" t="str">
            <v/>
          </cell>
          <cell r="HO212" t="str">
            <v/>
          </cell>
          <cell r="HP212" t="str">
            <v/>
          </cell>
          <cell r="HQ212" t="str">
            <v/>
          </cell>
          <cell r="HR212" t="str">
            <v/>
          </cell>
          <cell r="HS212" t="str">
            <v/>
          </cell>
          <cell r="HT212" t="str">
            <v/>
          </cell>
          <cell r="HU212" t="str">
            <v/>
          </cell>
          <cell r="HV212" t="str">
            <v/>
          </cell>
          <cell r="HW212" t="str">
            <v/>
          </cell>
          <cell r="MN212" t="str">
            <v/>
          </cell>
          <cell r="MO212" t="str">
            <v/>
          </cell>
          <cell r="MP212" t="str">
            <v/>
          </cell>
          <cell r="MQ212" t="str">
            <v/>
          </cell>
          <cell r="MR212" t="str">
            <v/>
          </cell>
          <cell r="MS212" t="str">
            <v/>
          </cell>
          <cell r="MT212" t="str">
            <v/>
          </cell>
          <cell r="MU212" t="str">
            <v/>
          </cell>
          <cell r="MV212" t="str">
            <v/>
          </cell>
          <cell r="MW212" t="str">
            <v/>
          </cell>
          <cell r="MX212" t="str">
            <v/>
          </cell>
          <cell r="MY212" t="str">
            <v/>
          </cell>
          <cell r="MZ212" t="str">
            <v/>
          </cell>
          <cell r="NA212" t="str">
            <v/>
          </cell>
          <cell r="NB212" t="str">
            <v/>
          </cell>
          <cell r="NC212" t="str">
            <v/>
          </cell>
          <cell r="ND212" t="str">
            <v/>
          </cell>
          <cell r="NE212" t="str">
            <v/>
          </cell>
          <cell r="NF212" t="str">
            <v/>
          </cell>
          <cell r="NG212" t="str">
            <v/>
          </cell>
          <cell r="NH212" t="str">
            <v/>
          </cell>
          <cell r="NI212" t="str">
            <v/>
          </cell>
          <cell r="NJ212" t="str">
            <v/>
          </cell>
        </row>
        <row r="213">
          <cell r="I213" t="str">
            <v>E09000009</v>
          </cell>
          <cell r="GZ213" t="str">
            <v/>
          </cell>
          <cell r="HA213" t="str">
            <v/>
          </cell>
          <cell r="HB213" t="str">
            <v/>
          </cell>
          <cell r="HC213" t="str">
            <v/>
          </cell>
          <cell r="HD213" t="str">
            <v/>
          </cell>
          <cell r="HE213" t="str">
            <v/>
          </cell>
          <cell r="HF213" t="str">
            <v/>
          </cell>
          <cell r="HG213" t="str">
            <v/>
          </cell>
          <cell r="HH213" t="str">
            <v/>
          </cell>
          <cell r="HI213" t="str">
            <v/>
          </cell>
          <cell r="HJ213" t="str">
            <v/>
          </cell>
          <cell r="HK213" t="str">
            <v/>
          </cell>
          <cell r="HL213" t="str">
            <v/>
          </cell>
          <cell r="HM213" t="str">
            <v/>
          </cell>
          <cell r="HN213" t="str">
            <v/>
          </cell>
          <cell r="HO213" t="str">
            <v/>
          </cell>
          <cell r="HP213" t="str">
            <v/>
          </cell>
          <cell r="HQ213" t="str">
            <v/>
          </cell>
          <cell r="HR213" t="str">
            <v/>
          </cell>
          <cell r="HS213" t="str">
            <v/>
          </cell>
          <cell r="HT213" t="str">
            <v/>
          </cell>
          <cell r="HU213" t="str">
            <v/>
          </cell>
          <cell r="HV213" t="str">
            <v/>
          </cell>
          <cell r="HW213" t="str">
            <v/>
          </cell>
          <cell r="MN213" t="str">
            <v/>
          </cell>
          <cell r="MO213" t="str">
            <v/>
          </cell>
          <cell r="MP213" t="str">
            <v/>
          </cell>
          <cell r="MQ213" t="str">
            <v/>
          </cell>
          <cell r="MR213" t="str">
            <v/>
          </cell>
          <cell r="MS213" t="str">
            <v/>
          </cell>
          <cell r="MT213" t="str">
            <v/>
          </cell>
          <cell r="MU213" t="str">
            <v/>
          </cell>
          <cell r="MV213" t="str">
            <v/>
          </cell>
          <cell r="MW213" t="str">
            <v/>
          </cell>
          <cell r="MX213" t="str">
            <v/>
          </cell>
          <cell r="MY213" t="str">
            <v/>
          </cell>
          <cell r="MZ213" t="str">
            <v/>
          </cell>
          <cell r="NA213" t="str">
            <v/>
          </cell>
          <cell r="NB213" t="str">
            <v/>
          </cell>
          <cell r="NC213" t="str">
            <v/>
          </cell>
          <cell r="ND213" t="str">
            <v/>
          </cell>
          <cell r="NE213" t="str">
            <v/>
          </cell>
          <cell r="NF213" t="str">
            <v/>
          </cell>
          <cell r="NG213" t="str">
            <v/>
          </cell>
          <cell r="NH213" t="str">
            <v/>
          </cell>
          <cell r="NI213" t="str">
            <v/>
          </cell>
          <cell r="NJ213" t="str">
            <v/>
          </cell>
        </row>
        <row r="214">
          <cell r="I214" t="str">
            <v>E08000007</v>
          </cell>
          <cell r="GZ214" t="str">
            <v/>
          </cell>
          <cell r="HA214" t="str">
            <v/>
          </cell>
          <cell r="HB214" t="str">
            <v/>
          </cell>
          <cell r="HC214" t="str">
            <v/>
          </cell>
          <cell r="HD214" t="str">
            <v/>
          </cell>
          <cell r="HE214" t="str">
            <v/>
          </cell>
          <cell r="HF214" t="str">
            <v/>
          </cell>
          <cell r="HG214" t="str">
            <v/>
          </cell>
          <cell r="HH214" t="str">
            <v/>
          </cell>
          <cell r="HI214" t="str">
            <v/>
          </cell>
          <cell r="HJ214" t="str">
            <v/>
          </cell>
          <cell r="HK214" t="str">
            <v/>
          </cell>
          <cell r="HL214" t="str">
            <v/>
          </cell>
          <cell r="HM214" t="str">
            <v/>
          </cell>
          <cell r="HN214" t="str">
            <v/>
          </cell>
          <cell r="HO214" t="str">
            <v/>
          </cell>
          <cell r="HP214" t="str">
            <v/>
          </cell>
          <cell r="HQ214" t="str">
            <v/>
          </cell>
          <cell r="HR214" t="str">
            <v/>
          </cell>
          <cell r="HS214" t="str">
            <v/>
          </cell>
          <cell r="HT214" t="str">
            <v/>
          </cell>
          <cell r="HU214" t="str">
            <v/>
          </cell>
          <cell r="HV214" t="str">
            <v/>
          </cell>
          <cell r="HW214" t="str">
            <v/>
          </cell>
          <cell r="MN214" t="str">
            <v/>
          </cell>
          <cell r="MO214" t="str">
            <v/>
          </cell>
          <cell r="MP214" t="str">
            <v/>
          </cell>
          <cell r="MQ214" t="str">
            <v/>
          </cell>
          <cell r="MR214" t="str">
            <v/>
          </cell>
          <cell r="MS214" t="str">
            <v/>
          </cell>
          <cell r="MT214" t="str">
            <v/>
          </cell>
          <cell r="MU214" t="str">
            <v/>
          </cell>
          <cell r="MV214" t="str">
            <v/>
          </cell>
          <cell r="MW214" t="str">
            <v/>
          </cell>
          <cell r="MX214" t="str">
            <v/>
          </cell>
          <cell r="MY214" t="str">
            <v/>
          </cell>
          <cell r="MZ214" t="str">
            <v/>
          </cell>
          <cell r="NA214" t="str">
            <v/>
          </cell>
          <cell r="NB214" t="str">
            <v/>
          </cell>
          <cell r="NC214" t="str">
            <v/>
          </cell>
          <cell r="ND214" t="str">
            <v/>
          </cell>
          <cell r="NE214" t="str">
            <v/>
          </cell>
          <cell r="NF214" t="str">
            <v/>
          </cell>
          <cell r="NG214" t="str">
            <v/>
          </cell>
          <cell r="NH214" t="str">
            <v/>
          </cell>
          <cell r="NI214" t="str">
            <v/>
          </cell>
          <cell r="NJ214" t="str">
            <v/>
          </cell>
        </row>
        <row r="215">
          <cell r="I215" t="str">
            <v>E07000215</v>
          </cell>
          <cell r="GZ215" t="str">
            <v/>
          </cell>
          <cell r="HA215" t="str">
            <v/>
          </cell>
          <cell r="HB215" t="str">
            <v/>
          </cell>
          <cell r="HC215" t="str">
            <v/>
          </cell>
          <cell r="HD215" t="str">
            <v/>
          </cell>
          <cell r="HE215" t="str">
            <v/>
          </cell>
          <cell r="HF215" t="str">
            <v/>
          </cell>
          <cell r="HG215" t="str">
            <v/>
          </cell>
          <cell r="HH215" t="str">
            <v/>
          </cell>
          <cell r="HI215" t="str">
            <v/>
          </cell>
          <cell r="HJ215" t="str">
            <v/>
          </cell>
          <cell r="HK215" t="str">
            <v/>
          </cell>
          <cell r="HL215" t="str">
            <v/>
          </cell>
          <cell r="HM215" t="str">
            <v/>
          </cell>
          <cell r="HN215" t="str">
            <v/>
          </cell>
          <cell r="HO215" t="str">
            <v/>
          </cell>
          <cell r="HP215" t="str">
            <v/>
          </cell>
          <cell r="HQ215" t="str">
            <v/>
          </cell>
          <cell r="HR215" t="str">
            <v/>
          </cell>
          <cell r="HS215" t="str">
            <v/>
          </cell>
          <cell r="HT215" t="str">
            <v/>
          </cell>
          <cell r="HU215" t="str">
            <v/>
          </cell>
          <cell r="HV215" t="str">
            <v/>
          </cell>
          <cell r="HW215" t="str">
            <v/>
          </cell>
          <cell r="MN215" t="str">
            <v/>
          </cell>
          <cell r="MO215" t="str">
            <v/>
          </cell>
          <cell r="MP215" t="str">
            <v/>
          </cell>
          <cell r="MQ215" t="str">
            <v/>
          </cell>
          <cell r="MR215" t="str">
            <v/>
          </cell>
          <cell r="MS215" t="str">
            <v/>
          </cell>
          <cell r="MT215" t="str">
            <v/>
          </cell>
          <cell r="MU215" t="str">
            <v/>
          </cell>
          <cell r="MV215" t="str">
            <v/>
          </cell>
          <cell r="MW215" t="str">
            <v/>
          </cell>
          <cell r="MX215" t="str">
            <v/>
          </cell>
          <cell r="MY215" t="str">
            <v/>
          </cell>
          <cell r="MZ215" t="str">
            <v/>
          </cell>
          <cell r="NA215" t="str">
            <v/>
          </cell>
          <cell r="NB215" t="str">
            <v/>
          </cell>
          <cell r="NC215" t="str">
            <v/>
          </cell>
          <cell r="ND215" t="str">
            <v/>
          </cell>
          <cell r="NE215" t="str">
            <v/>
          </cell>
          <cell r="NF215" t="str">
            <v/>
          </cell>
          <cell r="NG215" t="str">
            <v/>
          </cell>
          <cell r="NH215" t="str">
            <v/>
          </cell>
          <cell r="NI215" t="str">
            <v/>
          </cell>
          <cell r="NJ215" t="str">
            <v/>
          </cell>
        </row>
        <row r="216">
          <cell r="I216" t="str">
            <v>E06000042</v>
          </cell>
          <cell r="GZ216" t="str">
            <v/>
          </cell>
          <cell r="HA216" t="str">
            <v/>
          </cell>
          <cell r="HB216" t="str">
            <v/>
          </cell>
          <cell r="HC216" t="str">
            <v/>
          </cell>
          <cell r="HD216" t="str">
            <v/>
          </cell>
          <cell r="HE216" t="str">
            <v/>
          </cell>
          <cell r="HF216" t="str">
            <v/>
          </cell>
          <cell r="HG216" t="str">
            <v/>
          </cell>
          <cell r="HH216" t="str">
            <v/>
          </cell>
          <cell r="HI216" t="str">
            <v/>
          </cell>
          <cell r="HJ216" t="str">
            <v/>
          </cell>
          <cell r="HK216" t="str">
            <v/>
          </cell>
          <cell r="HL216" t="str">
            <v/>
          </cell>
          <cell r="HM216" t="str">
            <v/>
          </cell>
          <cell r="HN216" t="str">
            <v/>
          </cell>
          <cell r="HO216" t="str">
            <v/>
          </cell>
          <cell r="HP216" t="str">
            <v/>
          </cell>
          <cell r="HQ216" t="str">
            <v/>
          </cell>
          <cell r="HR216" t="str">
            <v/>
          </cell>
          <cell r="HS216" t="str">
            <v/>
          </cell>
          <cell r="HT216" t="str">
            <v/>
          </cell>
          <cell r="HU216" t="str">
            <v/>
          </cell>
          <cell r="HV216" t="str">
            <v/>
          </cell>
          <cell r="HW216" t="str">
            <v/>
          </cell>
          <cell r="MN216" t="str">
            <v/>
          </cell>
          <cell r="MO216" t="str">
            <v/>
          </cell>
          <cell r="MP216" t="str">
            <v/>
          </cell>
          <cell r="MQ216" t="str">
            <v/>
          </cell>
          <cell r="MR216" t="str">
            <v/>
          </cell>
          <cell r="MS216" t="str">
            <v/>
          </cell>
          <cell r="MT216" t="str">
            <v/>
          </cell>
          <cell r="MU216" t="str">
            <v/>
          </cell>
          <cell r="MV216" t="str">
            <v/>
          </cell>
          <cell r="MW216" t="str">
            <v/>
          </cell>
          <cell r="MX216" t="str">
            <v/>
          </cell>
          <cell r="MY216" t="str">
            <v/>
          </cell>
          <cell r="MZ216" t="str">
            <v/>
          </cell>
          <cell r="NA216" t="str">
            <v/>
          </cell>
          <cell r="NB216" t="str">
            <v/>
          </cell>
          <cell r="NC216" t="str">
            <v/>
          </cell>
          <cell r="ND216" t="str">
            <v/>
          </cell>
          <cell r="NE216" t="str">
            <v/>
          </cell>
          <cell r="NF216" t="str">
            <v/>
          </cell>
          <cell r="NG216" t="str">
            <v/>
          </cell>
          <cell r="NH216" t="str">
            <v/>
          </cell>
          <cell r="NI216" t="str">
            <v/>
          </cell>
          <cell r="NJ216" t="str">
            <v/>
          </cell>
        </row>
        <row r="217">
          <cell r="I217" t="str">
            <v>E07000012</v>
          </cell>
          <cell r="GZ217" t="str">
            <v/>
          </cell>
          <cell r="HA217" t="str">
            <v/>
          </cell>
          <cell r="HB217" t="str">
            <v/>
          </cell>
          <cell r="HC217" t="str">
            <v/>
          </cell>
          <cell r="HD217" t="str">
            <v/>
          </cell>
          <cell r="HE217" t="str">
            <v/>
          </cell>
          <cell r="HF217" t="str">
            <v/>
          </cell>
          <cell r="HG217" t="str">
            <v/>
          </cell>
          <cell r="HH217" t="str">
            <v/>
          </cell>
          <cell r="HI217" t="str">
            <v/>
          </cell>
          <cell r="HJ217" t="str">
            <v/>
          </cell>
          <cell r="HK217" t="str">
            <v/>
          </cell>
          <cell r="HL217" t="str">
            <v/>
          </cell>
          <cell r="HM217" t="str">
            <v/>
          </cell>
          <cell r="HN217" t="str">
            <v/>
          </cell>
          <cell r="HO217" t="str">
            <v/>
          </cell>
          <cell r="HP217" t="str">
            <v/>
          </cell>
          <cell r="HQ217" t="str">
            <v/>
          </cell>
          <cell r="HR217" t="str">
            <v/>
          </cell>
          <cell r="HS217" t="str">
            <v/>
          </cell>
          <cell r="HT217" t="str">
            <v/>
          </cell>
          <cell r="HU217" t="str">
            <v/>
          </cell>
          <cell r="HV217" t="str">
            <v/>
          </cell>
          <cell r="HW217" t="str">
            <v/>
          </cell>
          <cell r="MN217" t="str">
            <v/>
          </cell>
          <cell r="MO217" t="str">
            <v/>
          </cell>
          <cell r="MP217" t="str">
            <v/>
          </cell>
          <cell r="MQ217" t="str">
            <v/>
          </cell>
          <cell r="MR217" t="str">
            <v/>
          </cell>
          <cell r="MS217" t="str">
            <v/>
          </cell>
          <cell r="MT217" t="str">
            <v/>
          </cell>
          <cell r="MU217" t="str">
            <v/>
          </cell>
          <cell r="MV217" t="str">
            <v/>
          </cell>
          <cell r="MW217" t="str">
            <v/>
          </cell>
          <cell r="MX217" t="str">
            <v/>
          </cell>
          <cell r="MY217" t="str">
            <v/>
          </cell>
          <cell r="MZ217" t="str">
            <v/>
          </cell>
          <cell r="NA217" t="str">
            <v/>
          </cell>
          <cell r="NB217" t="str">
            <v/>
          </cell>
          <cell r="NC217" t="str">
            <v/>
          </cell>
          <cell r="ND217" t="str">
            <v/>
          </cell>
          <cell r="NE217" t="str">
            <v/>
          </cell>
          <cell r="NF217" t="str">
            <v/>
          </cell>
          <cell r="NG217" t="str">
            <v/>
          </cell>
          <cell r="NH217" t="str">
            <v/>
          </cell>
          <cell r="NI217" t="str">
            <v/>
          </cell>
          <cell r="NJ217" t="str">
            <v/>
          </cell>
        </row>
        <row r="218">
          <cell r="I218" t="str">
            <v>E06000028</v>
          </cell>
          <cell r="GZ218" t="str">
            <v/>
          </cell>
          <cell r="HA218" t="str">
            <v/>
          </cell>
          <cell r="HB218" t="str">
            <v/>
          </cell>
          <cell r="HC218" t="str">
            <v/>
          </cell>
          <cell r="HD218" t="str">
            <v/>
          </cell>
          <cell r="HE218" t="str">
            <v/>
          </cell>
          <cell r="HF218" t="str">
            <v/>
          </cell>
          <cell r="HG218" t="str">
            <v/>
          </cell>
          <cell r="HH218" t="str">
            <v/>
          </cell>
          <cell r="HI218" t="str">
            <v/>
          </cell>
          <cell r="HJ218" t="str">
            <v/>
          </cell>
          <cell r="HK218" t="str">
            <v/>
          </cell>
          <cell r="HL218" t="str">
            <v/>
          </cell>
          <cell r="HM218" t="str">
            <v/>
          </cell>
          <cell r="HN218" t="str">
            <v/>
          </cell>
          <cell r="HO218" t="str">
            <v/>
          </cell>
          <cell r="HP218" t="str">
            <v/>
          </cell>
          <cell r="HQ218" t="str">
            <v/>
          </cell>
          <cell r="HR218" t="str">
            <v/>
          </cell>
          <cell r="HS218" t="str">
            <v/>
          </cell>
          <cell r="HT218" t="str">
            <v/>
          </cell>
          <cell r="HU218" t="str">
            <v/>
          </cell>
          <cell r="HV218" t="str">
            <v/>
          </cell>
          <cell r="HW218" t="str">
            <v/>
          </cell>
          <cell r="MN218" t="str">
            <v/>
          </cell>
          <cell r="MO218" t="str">
            <v/>
          </cell>
          <cell r="MP218" t="str">
            <v/>
          </cell>
          <cell r="MQ218" t="str">
            <v/>
          </cell>
          <cell r="MR218" t="str">
            <v/>
          </cell>
          <cell r="MS218" t="str">
            <v/>
          </cell>
          <cell r="MT218" t="str">
            <v/>
          </cell>
          <cell r="MU218" t="str">
            <v/>
          </cell>
          <cell r="MV218" t="str">
            <v/>
          </cell>
          <cell r="MW218" t="str">
            <v/>
          </cell>
          <cell r="MX218" t="str">
            <v/>
          </cell>
          <cell r="MY218" t="str">
            <v/>
          </cell>
          <cell r="MZ218" t="str">
            <v/>
          </cell>
          <cell r="NA218" t="str">
            <v/>
          </cell>
          <cell r="NB218" t="str">
            <v/>
          </cell>
          <cell r="NC218" t="str">
            <v/>
          </cell>
          <cell r="ND218" t="str">
            <v/>
          </cell>
          <cell r="NE218" t="str">
            <v/>
          </cell>
          <cell r="NF218" t="str">
            <v/>
          </cell>
          <cell r="NG218" t="str">
            <v/>
          </cell>
          <cell r="NH218" t="str">
            <v/>
          </cell>
          <cell r="NI218" t="str">
            <v/>
          </cell>
          <cell r="NJ218" t="str">
            <v/>
          </cell>
        </row>
        <row r="219">
          <cell r="I219" t="str">
            <v>E06000047</v>
          </cell>
          <cell r="GZ219" t="str">
            <v/>
          </cell>
          <cell r="HA219" t="str">
            <v/>
          </cell>
          <cell r="HB219" t="str">
            <v/>
          </cell>
          <cell r="HC219" t="str">
            <v/>
          </cell>
          <cell r="HD219" t="str">
            <v/>
          </cell>
          <cell r="HE219" t="str">
            <v/>
          </cell>
          <cell r="HF219" t="str">
            <v/>
          </cell>
          <cell r="HG219" t="str">
            <v/>
          </cell>
          <cell r="HH219" t="str">
            <v/>
          </cell>
          <cell r="HI219" t="str">
            <v/>
          </cell>
          <cell r="HJ219" t="str">
            <v/>
          </cell>
          <cell r="HK219" t="str">
            <v/>
          </cell>
          <cell r="HL219" t="str">
            <v/>
          </cell>
          <cell r="HM219" t="str">
            <v/>
          </cell>
          <cell r="HN219" t="str">
            <v/>
          </cell>
          <cell r="HO219" t="str">
            <v/>
          </cell>
          <cell r="HP219" t="str">
            <v/>
          </cell>
          <cell r="HQ219" t="str">
            <v/>
          </cell>
          <cell r="HR219" t="str">
            <v/>
          </cell>
          <cell r="HS219" t="str">
            <v/>
          </cell>
          <cell r="HT219" t="str">
            <v/>
          </cell>
          <cell r="HU219" t="str">
            <v/>
          </cell>
          <cell r="HV219" t="str">
            <v/>
          </cell>
          <cell r="HW219" t="str">
            <v/>
          </cell>
          <cell r="MN219" t="str">
            <v/>
          </cell>
          <cell r="MO219" t="str">
            <v/>
          </cell>
          <cell r="MP219" t="str">
            <v/>
          </cell>
          <cell r="MQ219" t="str">
            <v/>
          </cell>
          <cell r="MR219" t="str">
            <v/>
          </cell>
          <cell r="MS219" t="str">
            <v/>
          </cell>
          <cell r="MT219" t="str">
            <v/>
          </cell>
          <cell r="MU219" t="str">
            <v/>
          </cell>
          <cell r="MV219" t="str">
            <v/>
          </cell>
          <cell r="MW219" t="str">
            <v/>
          </cell>
          <cell r="MX219" t="str">
            <v/>
          </cell>
          <cell r="MY219" t="str">
            <v/>
          </cell>
          <cell r="MZ219" t="str">
            <v/>
          </cell>
          <cell r="NA219" t="str">
            <v/>
          </cell>
          <cell r="NB219" t="str">
            <v/>
          </cell>
          <cell r="NC219" t="str">
            <v/>
          </cell>
          <cell r="ND219" t="str">
            <v/>
          </cell>
          <cell r="NE219" t="str">
            <v/>
          </cell>
          <cell r="NF219" t="str">
            <v/>
          </cell>
          <cell r="NG219" t="str">
            <v/>
          </cell>
          <cell r="NH219" t="str">
            <v/>
          </cell>
          <cell r="NI219" t="str">
            <v/>
          </cell>
          <cell r="NJ219" t="str">
            <v/>
          </cell>
        </row>
        <row r="220">
          <cell r="I220" t="str">
            <v>E07000096</v>
          </cell>
          <cell r="GZ220" t="str">
            <v/>
          </cell>
          <cell r="HA220" t="str">
            <v/>
          </cell>
          <cell r="HB220" t="str">
            <v/>
          </cell>
          <cell r="HC220" t="str">
            <v/>
          </cell>
          <cell r="HD220" t="str">
            <v/>
          </cell>
          <cell r="HE220" t="str">
            <v/>
          </cell>
          <cell r="HF220" t="str">
            <v/>
          </cell>
          <cell r="HG220" t="str">
            <v/>
          </cell>
          <cell r="HH220" t="str">
            <v/>
          </cell>
          <cell r="HI220" t="str">
            <v/>
          </cell>
          <cell r="HJ220" t="str">
            <v/>
          </cell>
          <cell r="HK220" t="str">
            <v/>
          </cell>
          <cell r="HL220" t="str">
            <v/>
          </cell>
          <cell r="HM220" t="str">
            <v/>
          </cell>
          <cell r="HN220" t="str">
            <v/>
          </cell>
          <cell r="HO220" t="str">
            <v/>
          </cell>
          <cell r="HP220" t="str">
            <v/>
          </cell>
          <cell r="HQ220" t="str">
            <v/>
          </cell>
          <cell r="HR220" t="str">
            <v/>
          </cell>
          <cell r="HS220" t="str">
            <v/>
          </cell>
          <cell r="HT220" t="str">
            <v/>
          </cell>
          <cell r="HU220" t="str">
            <v/>
          </cell>
          <cell r="HV220" t="str">
            <v/>
          </cell>
          <cell r="HW220" t="str">
            <v/>
          </cell>
          <cell r="MN220" t="str">
            <v/>
          </cell>
          <cell r="MO220" t="str">
            <v/>
          </cell>
          <cell r="MP220" t="str">
            <v/>
          </cell>
          <cell r="MQ220" t="str">
            <v/>
          </cell>
          <cell r="MR220" t="str">
            <v/>
          </cell>
          <cell r="MS220" t="str">
            <v/>
          </cell>
          <cell r="MT220" t="str">
            <v/>
          </cell>
          <cell r="MU220" t="str">
            <v/>
          </cell>
          <cell r="MV220" t="str">
            <v/>
          </cell>
          <cell r="MW220" t="str">
            <v/>
          </cell>
          <cell r="MX220" t="str">
            <v/>
          </cell>
          <cell r="MY220" t="str">
            <v/>
          </cell>
          <cell r="MZ220" t="str">
            <v/>
          </cell>
          <cell r="NA220" t="str">
            <v/>
          </cell>
          <cell r="NB220" t="str">
            <v/>
          </cell>
          <cell r="NC220" t="str">
            <v/>
          </cell>
          <cell r="ND220" t="str">
            <v/>
          </cell>
          <cell r="NE220" t="str">
            <v/>
          </cell>
          <cell r="NF220" t="str">
            <v/>
          </cell>
          <cell r="NG220" t="str">
            <v/>
          </cell>
          <cell r="NH220" t="str">
            <v/>
          </cell>
          <cell r="NI220" t="str">
            <v/>
          </cell>
          <cell r="NJ220" t="str">
            <v/>
          </cell>
        </row>
        <row r="221">
          <cell r="I221" t="str">
            <v>E06000010</v>
          </cell>
          <cell r="GZ221" t="str">
            <v/>
          </cell>
          <cell r="HA221" t="str">
            <v/>
          </cell>
          <cell r="HB221" t="str">
            <v/>
          </cell>
          <cell r="HC221" t="str">
            <v/>
          </cell>
          <cell r="HD221" t="str">
            <v/>
          </cell>
          <cell r="HE221" t="str">
            <v/>
          </cell>
          <cell r="HF221" t="str">
            <v/>
          </cell>
          <cell r="HG221" t="str">
            <v/>
          </cell>
          <cell r="HH221" t="str">
            <v/>
          </cell>
          <cell r="HI221" t="str">
            <v/>
          </cell>
          <cell r="HJ221" t="str">
            <v/>
          </cell>
          <cell r="HK221" t="str">
            <v/>
          </cell>
          <cell r="HL221" t="str">
            <v/>
          </cell>
          <cell r="HM221" t="str">
            <v/>
          </cell>
          <cell r="HN221" t="str">
            <v/>
          </cell>
          <cell r="HO221" t="str">
            <v/>
          </cell>
          <cell r="HP221" t="str">
            <v/>
          </cell>
          <cell r="HQ221" t="str">
            <v/>
          </cell>
          <cell r="HR221" t="str">
            <v/>
          </cell>
          <cell r="HS221" t="str">
            <v/>
          </cell>
          <cell r="HT221" t="str">
            <v/>
          </cell>
          <cell r="HU221" t="str">
            <v/>
          </cell>
          <cell r="HV221" t="str">
            <v/>
          </cell>
          <cell r="HW221" t="str">
            <v/>
          </cell>
          <cell r="MN221" t="str">
            <v/>
          </cell>
          <cell r="MO221" t="str">
            <v/>
          </cell>
          <cell r="MP221" t="str">
            <v/>
          </cell>
          <cell r="MQ221" t="str">
            <v/>
          </cell>
          <cell r="MR221" t="str">
            <v/>
          </cell>
          <cell r="MS221" t="str">
            <v/>
          </cell>
          <cell r="MT221" t="str">
            <v/>
          </cell>
          <cell r="MU221" t="str">
            <v/>
          </cell>
          <cell r="MV221" t="str">
            <v/>
          </cell>
          <cell r="MW221" t="str">
            <v/>
          </cell>
          <cell r="MX221" t="str">
            <v/>
          </cell>
          <cell r="MY221" t="str">
            <v/>
          </cell>
          <cell r="MZ221" t="str">
            <v/>
          </cell>
          <cell r="NA221" t="str">
            <v/>
          </cell>
          <cell r="NB221" t="str">
            <v/>
          </cell>
          <cell r="NC221" t="str">
            <v/>
          </cell>
          <cell r="ND221" t="str">
            <v/>
          </cell>
          <cell r="NE221" t="str">
            <v/>
          </cell>
          <cell r="NF221" t="str">
            <v/>
          </cell>
          <cell r="NG221" t="str">
            <v/>
          </cell>
          <cell r="NH221" t="str">
            <v/>
          </cell>
          <cell r="NI221" t="str">
            <v/>
          </cell>
          <cell r="NJ221" t="str">
            <v/>
          </cell>
        </row>
        <row r="222">
          <cell r="I222" t="str">
            <v>E07000180</v>
          </cell>
          <cell r="GZ222" t="str">
            <v/>
          </cell>
          <cell r="HA222" t="str">
            <v/>
          </cell>
          <cell r="HB222" t="str">
            <v/>
          </cell>
          <cell r="HC222" t="str">
            <v/>
          </cell>
          <cell r="HD222" t="str">
            <v/>
          </cell>
          <cell r="HE222" t="str">
            <v/>
          </cell>
          <cell r="HF222" t="str">
            <v/>
          </cell>
          <cell r="HG222" t="str">
            <v/>
          </cell>
          <cell r="HH222" t="str">
            <v/>
          </cell>
          <cell r="HI222" t="str">
            <v/>
          </cell>
          <cell r="HJ222" t="str">
            <v/>
          </cell>
          <cell r="HK222" t="str">
            <v/>
          </cell>
          <cell r="HL222" t="str">
            <v/>
          </cell>
          <cell r="HM222" t="str">
            <v/>
          </cell>
          <cell r="HN222" t="str">
            <v/>
          </cell>
          <cell r="HO222" t="str">
            <v/>
          </cell>
          <cell r="HP222" t="str">
            <v/>
          </cell>
          <cell r="HQ222" t="str">
            <v/>
          </cell>
          <cell r="HR222" t="str">
            <v/>
          </cell>
          <cell r="HS222" t="str">
            <v/>
          </cell>
          <cell r="HT222" t="str">
            <v/>
          </cell>
          <cell r="HU222" t="str">
            <v/>
          </cell>
          <cell r="HV222" t="str">
            <v/>
          </cell>
          <cell r="HW222" t="str">
            <v/>
          </cell>
          <cell r="MQ222" t="str">
            <v>Analysts to manually calculate</v>
          </cell>
          <cell r="MU222" t="str">
            <v>Analysts to manually calculate</v>
          </cell>
          <cell r="MY222" t="str">
            <v>Analysts to manually calculate</v>
          </cell>
          <cell r="NC222" t="str">
            <v>Analysts to manually calculate</v>
          </cell>
          <cell r="NG222" t="str">
            <v>Analysts to manually calculate</v>
          </cell>
        </row>
        <row r="223">
          <cell r="I223" t="str">
            <v>E06000036</v>
          </cell>
          <cell r="GZ223" t="str">
            <v/>
          </cell>
          <cell r="HA223" t="str">
            <v/>
          </cell>
          <cell r="HB223" t="str">
            <v/>
          </cell>
          <cell r="HC223" t="str">
            <v/>
          </cell>
          <cell r="HD223" t="str">
            <v/>
          </cell>
          <cell r="HE223" t="str">
            <v/>
          </cell>
          <cell r="HF223" t="str">
            <v/>
          </cell>
          <cell r="HG223" t="str">
            <v/>
          </cell>
          <cell r="HH223" t="str">
            <v/>
          </cell>
          <cell r="HI223" t="str">
            <v/>
          </cell>
          <cell r="HJ223" t="str">
            <v/>
          </cell>
          <cell r="HK223" t="str">
            <v/>
          </cell>
          <cell r="HL223" t="str">
            <v/>
          </cell>
          <cell r="HM223" t="str">
            <v/>
          </cell>
          <cell r="HN223" t="str">
            <v/>
          </cell>
          <cell r="HO223" t="str">
            <v/>
          </cell>
          <cell r="HP223" t="str">
            <v/>
          </cell>
          <cell r="HQ223" t="str">
            <v/>
          </cell>
          <cell r="HR223" t="str">
            <v/>
          </cell>
          <cell r="HS223" t="str">
            <v/>
          </cell>
          <cell r="HT223" t="str">
            <v/>
          </cell>
          <cell r="HU223" t="str">
            <v/>
          </cell>
          <cell r="HV223" t="str">
            <v/>
          </cell>
          <cell r="HW223" t="str">
            <v/>
          </cell>
          <cell r="MN223" t="str">
            <v/>
          </cell>
          <cell r="MO223" t="str">
            <v/>
          </cell>
          <cell r="MP223" t="str">
            <v/>
          </cell>
          <cell r="MQ223" t="str">
            <v/>
          </cell>
          <cell r="MR223" t="str">
            <v/>
          </cell>
          <cell r="MS223" t="str">
            <v/>
          </cell>
          <cell r="MT223" t="str">
            <v/>
          </cell>
          <cell r="MU223" t="str">
            <v/>
          </cell>
          <cell r="MV223" t="str">
            <v/>
          </cell>
          <cell r="MW223" t="str">
            <v/>
          </cell>
          <cell r="MX223" t="str">
            <v/>
          </cell>
          <cell r="MY223" t="str">
            <v/>
          </cell>
          <cell r="MZ223" t="str">
            <v/>
          </cell>
          <cell r="NA223" t="str">
            <v/>
          </cell>
          <cell r="NB223" t="str">
            <v/>
          </cell>
          <cell r="NC223" t="str">
            <v/>
          </cell>
          <cell r="ND223" t="str">
            <v/>
          </cell>
          <cell r="NE223" t="str">
            <v/>
          </cell>
          <cell r="NF223" t="str">
            <v/>
          </cell>
          <cell r="NG223" t="str">
            <v/>
          </cell>
          <cell r="NH223" t="str">
            <v/>
          </cell>
          <cell r="NI223" t="str">
            <v/>
          </cell>
          <cell r="NJ223" t="str">
            <v/>
          </cell>
        </row>
        <row r="224">
          <cell r="I224" t="str">
            <v>E07000200</v>
          </cell>
          <cell r="GZ224">
            <v>40634</v>
          </cell>
          <cell r="HA224">
            <v>42460</v>
          </cell>
          <cell r="HB224">
            <v>220</v>
          </cell>
          <cell r="HC224">
            <v>220</v>
          </cell>
          <cell r="HD224">
            <v>42461</v>
          </cell>
          <cell r="HE224">
            <v>47938</v>
          </cell>
          <cell r="HF224">
            <v>325</v>
          </cell>
          <cell r="HG224">
            <v>325</v>
          </cell>
          <cell r="HH224" t="str">
            <v/>
          </cell>
          <cell r="HI224" t="str">
            <v/>
          </cell>
          <cell r="HJ224" t="str">
            <v/>
          </cell>
          <cell r="HK224" t="str">
            <v/>
          </cell>
          <cell r="HL224" t="str">
            <v/>
          </cell>
          <cell r="HM224" t="str">
            <v/>
          </cell>
          <cell r="HN224" t="str">
            <v/>
          </cell>
          <cell r="HO224" t="str">
            <v/>
          </cell>
          <cell r="HP224" t="str">
            <v/>
          </cell>
          <cell r="HQ224" t="str">
            <v/>
          </cell>
          <cell r="HR224" t="str">
            <v/>
          </cell>
          <cell r="HS224" t="str">
            <v/>
          </cell>
          <cell r="HT224" t="str">
            <v/>
          </cell>
          <cell r="HU224" t="str">
            <v/>
          </cell>
          <cell r="HV224" t="str">
            <v/>
          </cell>
          <cell r="HW224" t="str">
            <v/>
          </cell>
          <cell r="MN224" t="str">
            <v/>
          </cell>
          <cell r="MO224" t="str">
            <v/>
          </cell>
          <cell r="MP224" t="str">
            <v/>
          </cell>
          <cell r="MQ224" t="str">
            <v/>
          </cell>
          <cell r="MR224" t="str">
            <v/>
          </cell>
          <cell r="MS224" t="str">
            <v/>
          </cell>
          <cell r="MT224" t="str">
            <v/>
          </cell>
          <cell r="MU224" t="str">
            <v/>
          </cell>
          <cell r="MV224" t="str">
            <v/>
          </cell>
          <cell r="MW224" t="str">
            <v/>
          </cell>
          <cell r="MX224" t="str">
            <v/>
          </cell>
          <cell r="MY224" t="str">
            <v/>
          </cell>
          <cell r="MZ224" t="str">
            <v/>
          </cell>
          <cell r="NA224" t="str">
            <v/>
          </cell>
          <cell r="NB224" t="str">
            <v/>
          </cell>
          <cell r="NC224" t="str">
            <v/>
          </cell>
          <cell r="ND224" t="str">
            <v/>
          </cell>
          <cell r="NE224" t="str">
            <v/>
          </cell>
          <cell r="NF224" t="str">
            <v/>
          </cell>
          <cell r="NG224" t="str">
            <v/>
          </cell>
          <cell r="NH224" t="str">
            <v/>
          </cell>
          <cell r="NI224" t="str">
            <v/>
          </cell>
          <cell r="NJ224" t="str">
            <v/>
          </cell>
        </row>
        <row r="225">
          <cell r="I225" t="str">
            <v>E07000149</v>
          </cell>
          <cell r="GZ225" t="str">
            <v/>
          </cell>
          <cell r="HA225" t="str">
            <v/>
          </cell>
          <cell r="HB225" t="str">
            <v/>
          </cell>
          <cell r="HC225" t="str">
            <v/>
          </cell>
          <cell r="HD225" t="str">
            <v/>
          </cell>
          <cell r="HE225" t="str">
            <v/>
          </cell>
          <cell r="HF225" t="str">
            <v/>
          </cell>
          <cell r="HG225" t="str">
            <v/>
          </cell>
          <cell r="HH225" t="str">
            <v/>
          </cell>
          <cell r="HI225" t="str">
            <v/>
          </cell>
          <cell r="HJ225" t="str">
            <v/>
          </cell>
          <cell r="HK225" t="str">
            <v/>
          </cell>
          <cell r="HL225" t="str">
            <v/>
          </cell>
          <cell r="HM225" t="str">
            <v/>
          </cell>
          <cell r="HN225" t="str">
            <v/>
          </cell>
          <cell r="HO225" t="str">
            <v/>
          </cell>
          <cell r="HP225" t="str">
            <v/>
          </cell>
          <cell r="HQ225" t="str">
            <v/>
          </cell>
          <cell r="HR225" t="str">
            <v/>
          </cell>
          <cell r="HS225" t="str">
            <v/>
          </cell>
          <cell r="HT225" t="str">
            <v/>
          </cell>
          <cell r="HU225" t="str">
            <v/>
          </cell>
          <cell r="HV225" t="str">
            <v/>
          </cell>
          <cell r="HW225" t="str">
            <v/>
          </cell>
          <cell r="MN225" t="str">
            <v/>
          </cell>
          <cell r="MO225" t="str">
            <v/>
          </cell>
          <cell r="MP225" t="str">
            <v/>
          </cell>
          <cell r="MQ225" t="str">
            <v/>
          </cell>
          <cell r="MR225" t="str">
            <v/>
          </cell>
          <cell r="MS225" t="str">
            <v/>
          </cell>
          <cell r="MT225" t="str">
            <v/>
          </cell>
          <cell r="MU225" t="str">
            <v/>
          </cell>
          <cell r="MV225" t="str">
            <v/>
          </cell>
          <cell r="MW225" t="str">
            <v/>
          </cell>
          <cell r="MX225" t="str">
            <v/>
          </cell>
          <cell r="MY225" t="str">
            <v/>
          </cell>
          <cell r="MZ225" t="str">
            <v/>
          </cell>
          <cell r="NA225" t="str">
            <v/>
          </cell>
          <cell r="NB225" t="str">
            <v/>
          </cell>
          <cell r="NC225" t="str">
            <v/>
          </cell>
          <cell r="ND225" t="str">
            <v/>
          </cell>
          <cell r="NE225" t="str">
            <v/>
          </cell>
          <cell r="NF225" t="str">
            <v/>
          </cell>
          <cell r="NG225" t="str">
            <v/>
          </cell>
          <cell r="NH225" t="str">
            <v/>
          </cell>
          <cell r="NI225" t="str">
            <v/>
          </cell>
          <cell r="NJ225" t="str">
            <v/>
          </cell>
        </row>
        <row r="226">
          <cell r="I226" t="str">
            <v>E07000026</v>
          </cell>
          <cell r="GZ226" t="str">
            <v/>
          </cell>
          <cell r="HA226" t="str">
            <v/>
          </cell>
          <cell r="HB226" t="str">
            <v/>
          </cell>
          <cell r="HC226" t="str">
            <v/>
          </cell>
          <cell r="HD226" t="str">
            <v/>
          </cell>
          <cell r="HE226" t="str">
            <v/>
          </cell>
          <cell r="HF226" t="str">
            <v/>
          </cell>
          <cell r="HG226" t="str">
            <v/>
          </cell>
          <cell r="HH226" t="str">
            <v/>
          </cell>
          <cell r="HI226" t="str">
            <v/>
          </cell>
          <cell r="HJ226" t="str">
            <v/>
          </cell>
          <cell r="HK226" t="str">
            <v/>
          </cell>
          <cell r="HL226" t="str">
            <v/>
          </cell>
          <cell r="HM226" t="str">
            <v/>
          </cell>
          <cell r="HN226" t="str">
            <v/>
          </cell>
          <cell r="HO226" t="str">
            <v/>
          </cell>
          <cell r="HP226" t="str">
            <v/>
          </cell>
          <cell r="HQ226" t="str">
            <v/>
          </cell>
          <cell r="HR226" t="str">
            <v/>
          </cell>
          <cell r="HS226" t="str">
            <v/>
          </cell>
          <cell r="HT226" t="str">
            <v/>
          </cell>
          <cell r="HU226" t="str">
            <v/>
          </cell>
          <cell r="HV226" t="str">
            <v/>
          </cell>
          <cell r="HW226" t="str">
            <v/>
          </cell>
          <cell r="MN226" t="str">
            <v/>
          </cell>
          <cell r="MO226" t="str">
            <v/>
          </cell>
          <cell r="MP226" t="str">
            <v/>
          </cell>
          <cell r="MQ226" t="str">
            <v/>
          </cell>
          <cell r="MR226" t="str">
            <v/>
          </cell>
          <cell r="MS226" t="str">
            <v/>
          </cell>
          <cell r="MT226" t="str">
            <v/>
          </cell>
          <cell r="MU226" t="str">
            <v/>
          </cell>
          <cell r="MV226" t="str">
            <v/>
          </cell>
          <cell r="MW226" t="str">
            <v/>
          </cell>
          <cell r="MX226" t="str">
            <v/>
          </cell>
          <cell r="MY226" t="str">
            <v/>
          </cell>
          <cell r="MZ226" t="str">
            <v/>
          </cell>
          <cell r="NA226" t="str">
            <v/>
          </cell>
          <cell r="NB226" t="str">
            <v/>
          </cell>
          <cell r="NC226" t="str">
            <v/>
          </cell>
          <cell r="ND226" t="str">
            <v/>
          </cell>
          <cell r="NE226" t="str">
            <v/>
          </cell>
          <cell r="NF226" t="str">
            <v/>
          </cell>
          <cell r="NG226" t="str">
            <v/>
          </cell>
          <cell r="NH226" t="str">
            <v/>
          </cell>
          <cell r="NI226" t="str">
            <v/>
          </cell>
          <cell r="NJ226" t="str">
            <v/>
          </cell>
        </row>
        <row r="227">
          <cell r="I227" t="str">
            <v>E09000023</v>
          </cell>
          <cell r="GZ227" t="str">
            <v/>
          </cell>
          <cell r="HA227" t="str">
            <v/>
          </cell>
          <cell r="HB227" t="str">
            <v/>
          </cell>
          <cell r="HC227" t="str">
            <v/>
          </cell>
          <cell r="HD227" t="str">
            <v/>
          </cell>
          <cell r="HE227" t="str">
            <v/>
          </cell>
          <cell r="HF227" t="str">
            <v/>
          </cell>
          <cell r="HG227" t="str">
            <v/>
          </cell>
          <cell r="HH227" t="str">
            <v/>
          </cell>
          <cell r="HI227" t="str">
            <v/>
          </cell>
          <cell r="HJ227" t="str">
            <v/>
          </cell>
          <cell r="HK227" t="str">
            <v/>
          </cell>
          <cell r="HL227" t="str">
            <v/>
          </cell>
          <cell r="HM227" t="str">
            <v/>
          </cell>
          <cell r="HN227" t="str">
            <v/>
          </cell>
          <cell r="HO227" t="str">
            <v/>
          </cell>
          <cell r="HP227" t="str">
            <v/>
          </cell>
          <cell r="HQ227" t="str">
            <v/>
          </cell>
          <cell r="HR227" t="str">
            <v/>
          </cell>
          <cell r="HS227" t="str">
            <v/>
          </cell>
          <cell r="HT227" t="str">
            <v/>
          </cell>
          <cell r="HU227" t="str">
            <v/>
          </cell>
          <cell r="HV227" t="str">
            <v/>
          </cell>
          <cell r="HW227" t="str">
            <v/>
          </cell>
          <cell r="MQ227" t="str">
            <v>Analysts to manually calculate</v>
          </cell>
          <cell r="MU227" t="str">
            <v>Analysts to manually calculate</v>
          </cell>
          <cell r="MY227" t="str">
            <v>Analysts to manually calculate</v>
          </cell>
          <cell r="NC227" t="str">
            <v>Analysts to manually calculate</v>
          </cell>
          <cell r="NG227" t="str">
            <v>Analysts to manually calculate</v>
          </cell>
        </row>
        <row r="228">
          <cell r="I228" t="str">
            <v>E07000111</v>
          </cell>
          <cell r="GZ228" t="str">
            <v/>
          </cell>
          <cell r="HA228" t="str">
            <v/>
          </cell>
          <cell r="HB228" t="str">
            <v/>
          </cell>
          <cell r="HC228" t="str">
            <v/>
          </cell>
          <cell r="HD228" t="str">
            <v/>
          </cell>
          <cell r="HE228" t="str">
            <v/>
          </cell>
          <cell r="HF228" t="str">
            <v/>
          </cell>
          <cell r="HG228" t="str">
            <v/>
          </cell>
          <cell r="HH228" t="str">
            <v/>
          </cell>
          <cell r="HI228" t="str">
            <v/>
          </cell>
          <cell r="HJ228" t="str">
            <v/>
          </cell>
          <cell r="HK228" t="str">
            <v/>
          </cell>
          <cell r="HL228" t="str">
            <v/>
          </cell>
          <cell r="HM228" t="str">
            <v/>
          </cell>
          <cell r="HN228" t="str">
            <v/>
          </cell>
          <cell r="HO228" t="str">
            <v/>
          </cell>
          <cell r="HP228" t="str">
            <v/>
          </cell>
          <cell r="HQ228" t="str">
            <v/>
          </cell>
          <cell r="HR228" t="str">
            <v/>
          </cell>
          <cell r="HS228" t="str">
            <v/>
          </cell>
          <cell r="HT228" t="str">
            <v/>
          </cell>
          <cell r="HU228" t="str">
            <v/>
          </cell>
          <cell r="HV228" t="str">
            <v/>
          </cell>
          <cell r="HW228" t="str">
            <v/>
          </cell>
          <cell r="MN228" t="str">
            <v/>
          </cell>
          <cell r="MO228" t="str">
            <v/>
          </cell>
          <cell r="MP228" t="str">
            <v/>
          </cell>
          <cell r="MQ228" t="str">
            <v/>
          </cell>
          <cell r="MR228" t="str">
            <v/>
          </cell>
          <cell r="MS228" t="str">
            <v/>
          </cell>
          <cell r="MT228" t="str">
            <v/>
          </cell>
          <cell r="MU228" t="str">
            <v/>
          </cell>
          <cell r="MV228" t="str">
            <v/>
          </cell>
          <cell r="MW228" t="str">
            <v/>
          </cell>
          <cell r="MX228" t="str">
            <v/>
          </cell>
          <cell r="MY228" t="str">
            <v/>
          </cell>
          <cell r="MZ228" t="str">
            <v/>
          </cell>
          <cell r="NA228" t="str">
            <v/>
          </cell>
          <cell r="NB228" t="str">
            <v/>
          </cell>
          <cell r="NC228" t="str">
            <v/>
          </cell>
          <cell r="ND228" t="str">
            <v/>
          </cell>
          <cell r="NE228" t="str">
            <v/>
          </cell>
          <cell r="NF228" t="str">
            <v/>
          </cell>
          <cell r="NG228" t="str">
            <v/>
          </cell>
          <cell r="NH228" t="str">
            <v/>
          </cell>
          <cell r="NI228" t="str">
            <v/>
          </cell>
          <cell r="NJ228" t="str">
            <v/>
          </cell>
        </row>
        <row r="229">
          <cell r="I229" t="str">
            <v>E07000167</v>
          </cell>
          <cell r="GZ229" t="str">
            <v/>
          </cell>
          <cell r="HA229" t="str">
            <v/>
          </cell>
          <cell r="HB229" t="str">
            <v/>
          </cell>
          <cell r="HC229" t="str">
            <v/>
          </cell>
          <cell r="HD229" t="str">
            <v/>
          </cell>
          <cell r="HE229" t="str">
            <v/>
          </cell>
          <cell r="HF229" t="str">
            <v/>
          </cell>
          <cell r="HG229" t="str">
            <v/>
          </cell>
          <cell r="HH229" t="str">
            <v/>
          </cell>
          <cell r="HI229" t="str">
            <v/>
          </cell>
          <cell r="HJ229" t="str">
            <v/>
          </cell>
          <cell r="HK229" t="str">
            <v/>
          </cell>
          <cell r="HL229" t="str">
            <v/>
          </cell>
          <cell r="HM229" t="str">
            <v/>
          </cell>
          <cell r="HN229" t="str">
            <v/>
          </cell>
          <cell r="HO229" t="str">
            <v/>
          </cell>
          <cell r="HP229" t="str">
            <v/>
          </cell>
          <cell r="HQ229" t="str">
            <v/>
          </cell>
          <cell r="HR229" t="str">
            <v/>
          </cell>
          <cell r="HS229" t="str">
            <v/>
          </cell>
          <cell r="HT229" t="str">
            <v/>
          </cell>
          <cell r="HU229" t="str">
            <v/>
          </cell>
          <cell r="HV229" t="str">
            <v/>
          </cell>
          <cell r="HW229" t="str">
            <v/>
          </cell>
          <cell r="MN229" t="str">
            <v/>
          </cell>
          <cell r="MO229" t="str">
            <v/>
          </cell>
          <cell r="MP229" t="str">
            <v/>
          </cell>
          <cell r="MQ229" t="str">
            <v/>
          </cell>
          <cell r="MR229" t="str">
            <v/>
          </cell>
          <cell r="MS229" t="str">
            <v/>
          </cell>
          <cell r="MT229" t="str">
            <v/>
          </cell>
          <cell r="MU229" t="str">
            <v/>
          </cell>
          <cell r="MV229" t="str">
            <v/>
          </cell>
          <cell r="MW229" t="str">
            <v/>
          </cell>
          <cell r="MX229" t="str">
            <v/>
          </cell>
          <cell r="MY229" t="str">
            <v/>
          </cell>
          <cell r="MZ229" t="str">
            <v/>
          </cell>
          <cell r="NA229" t="str">
            <v/>
          </cell>
          <cell r="NB229" t="str">
            <v/>
          </cell>
          <cell r="NC229" t="str">
            <v/>
          </cell>
          <cell r="ND229" t="str">
            <v/>
          </cell>
          <cell r="NE229" t="str">
            <v/>
          </cell>
          <cell r="NF229" t="str">
            <v/>
          </cell>
          <cell r="NG229" t="str">
            <v/>
          </cell>
          <cell r="NH229" t="str">
            <v/>
          </cell>
          <cell r="NI229" t="str">
            <v/>
          </cell>
          <cell r="NJ229" t="str">
            <v/>
          </cell>
        </row>
        <row r="230">
          <cell r="I230" t="str">
            <v>E07000135</v>
          </cell>
          <cell r="GZ230" t="str">
            <v/>
          </cell>
          <cell r="HA230" t="str">
            <v/>
          </cell>
          <cell r="HB230" t="str">
            <v/>
          </cell>
          <cell r="HC230" t="str">
            <v/>
          </cell>
          <cell r="HD230" t="str">
            <v/>
          </cell>
          <cell r="HE230" t="str">
            <v/>
          </cell>
          <cell r="HF230" t="str">
            <v/>
          </cell>
          <cell r="HG230" t="str">
            <v/>
          </cell>
          <cell r="HH230" t="str">
            <v/>
          </cell>
          <cell r="HI230" t="str">
            <v/>
          </cell>
          <cell r="HJ230" t="str">
            <v/>
          </cell>
          <cell r="HK230" t="str">
            <v/>
          </cell>
          <cell r="HL230" t="str">
            <v/>
          </cell>
          <cell r="HM230" t="str">
            <v/>
          </cell>
          <cell r="HN230" t="str">
            <v/>
          </cell>
          <cell r="HO230" t="str">
            <v/>
          </cell>
          <cell r="HP230" t="str">
            <v/>
          </cell>
          <cell r="HQ230" t="str">
            <v/>
          </cell>
          <cell r="HR230" t="str">
            <v/>
          </cell>
          <cell r="HS230" t="str">
            <v/>
          </cell>
          <cell r="HT230" t="str">
            <v/>
          </cell>
          <cell r="HU230" t="str">
            <v/>
          </cell>
          <cell r="HV230" t="str">
            <v/>
          </cell>
          <cell r="HW230" t="str">
            <v/>
          </cell>
          <cell r="MN230" t="str">
            <v/>
          </cell>
          <cell r="MO230" t="str">
            <v/>
          </cell>
          <cell r="MP230" t="str">
            <v/>
          </cell>
          <cell r="MQ230" t="str">
            <v/>
          </cell>
          <cell r="MR230" t="str">
            <v/>
          </cell>
          <cell r="MS230" t="str">
            <v/>
          </cell>
          <cell r="MT230" t="str">
            <v/>
          </cell>
          <cell r="MU230" t="str">
            <v/>
          </cell>
          <cell r="MV230" t="str">
            <v/>
          </cell>
          <cell r="MW230" t="str">
            <v/>
          </cell>
          <cell r="MX230" t="str">
            <v/>
          </cell>
          <cell r="MY230" t="str">
            <v/>
          </cell>
          <cell r="MZ230" t="str">
            <v/>
          </cell>
          <cell r="NA230" t="str">
            <v/>
          </cell>
          <cell r="NB230" t="str">
            <v/>
          </cell>
          <cell r="NC230" t="str">
            <v/>
          </cell>
          <cell r="ND230" t="str">
            <v/>
          </cell>
          <cell r="NE230" t="str">
            <v/>
          </cell>
          <cell r="NF230" t="str">
            <v/>
          </cell>
          <cell r="NG230" t="str">
            <v/>
          </cell>
          <cell r="NH230" t="str">
            <v/>
          </cell>
          <cell r="NI230" t="str">
            <v/>
          </cell>
          <cell r="NJ230" t="str">
            <v/>
          </cell>
        </row>
        <row r="231">
          <cell r="I231" t="str">
            <v>E07000153</v>
          </cell>
          <cell r="GZ231" t="str">
            <v/>
          </cell>
          <cell r="HA231" t="str">
            <v/>
          </cell>
          <cell r="HB231" t="str">
            <v/>
          </cell>
          <cell r="HC231" t="str">
            <v/>
          </cell>
          <cell r="HD231" t="str">
            <v/>
          </cell>
          <cell r="HE231" t="str">
            <v/>
          </cell>
          <cell r="HF231" t="str">
            <v/>
          </cell>
          <cell r="HG231" t="str">
            <v/>
          </cell>
          <cell r="HH231" t="str">
            <v/>
          </cell>
          <cell r="HI231" t="str">
            <v/>
          </cell>
          <cell r="HJ231" t="str">
            <v/>
          </cell>
          <cell r="HK231" t="str">
            <v/>
          </cell>
          <cell r="HL231" t="str">
            <v/>
          </cell>
          <cell r="HM231" t="str">
            <v/>
          </cell>
          <cell r="HN231" t="str">
            <v/>
          </cell>
          <cell r="HO231" t="str">
            <v/>
          </cell>
          <cell r="HP231" t="str">
            <v/>
          </cell>
          <cell r="HQ231" t="str">
            <v/>
          </cell>
          <cell r="HR231" t="str">
            <v/>
          </cell>
          <cell r="HS231" t="str">
            <v/>
          </cell>
          <cell r="HT231" t="str">
            <v/>
          </cell>
          <cell r="HU231" t="str">
            <v/>
          </cell>
          <cell r="HV231" t="str">
            <v/>
          </cell>
          <cell r="HW231" t="str">
            <v/>
          </cell>
          <cell r="MN231" t="str">
            <v/>
          </cell>
          <cell r="MO231" t="str">
            <v/>
          </cell>
          <cell r="MP231" t="str">
            <v/>
          </cell>
          <cell r="MQ231" t="str">
            <v/>
          </cell>
          <cell r="MR231" t="str">
            <v/>
          </cell>
          <cell r="MS231" t="str">
            <v/>
          </cell>
          <cell r="MT231" t="str">
            <v/>
          </cell>
          <cell r="MU231" t="str">
            <v/>
          </cell>
          <cell r="MV231" t="str">
            <v/>
          </cell>
          <cell r="MW231" t="str">
            <v/>
          </cell>
          <cell r="MX231" t="str">
            <v/>
          </cell>
          <cell r="MY231" t="str">
            <v/>
          </cell>
          <cell r="MZ231" t="str">
            <v/>
          </cell>
          <cell r="NA231" t="str">
            <v/>
          </cell>
          <cell r="NB231" t="str">
            <v/>
          </cell>
          <cell r="NC231" t="str">
            <v/>
          </cell>
          <cell r="ND231" t="str">
            <v/>
          </cell>
          <cell r="NE231" t="str">
            <v/>
          </cell>
          <cell r="NF231" t="str">
            <v/>
          </cell>
          <cell r="NG231" t="str">
            <v/>
          </cell>
          <cell r="NH231" t="str">
            <v/>
          </cell>
          <cell r="NI231" t="str">
            <v/>
          </cell>
          <cell r="NJ231" t="str">
            <v/>
          </cell>
        </row>
        <row r="232">
          <cell r="I232" t="str">
            <v>E09000020</v>
          </cell>
          <cell r="GZ232" t="str">
            <v/>
          </cell>
          <cell r="HA232" t="str">
            <v/>
          </cell>
          <cell r="HB232" t="str">
            <v/>
          </cell>
          <cell r="HC232" t="str">
            <v/>
          </cell>
          <cell r="HD232" t="str">
            <v/>
          </cell>
          <cell r="HE232" t="str">
            <v/>
          </cell>
          <cell r="HF232" t="str">
            <v/>
          </cell>
          <cell r="HG232" t="str">
            <v/>
          </cell>
          <cell r="HH232" t="str">
            <v/>
          </cell>
          <cell r="HI232" t="str">
            <v/>
          </cell>
          <cell r="HJ232" t="str">
            <v/>
          </cell>
          <cell r="HK232" t="str">
            <v/>
          </cell>
          <cell r="HL232" t="str">
            <v/>
          </cell>
          <cell r="HM232" t="str">
            <v/>
          </cell>
          <cell r="HN232" t="str">
            <v/>
          </cell>
          <cell r="HO232" t="str">
            <v/>
          </cell>
          <cell r="HP232" t="str">
            <v/>
          </cell>
          <cell r="HQ232" t="str">
            <v/>
          </cell>
          <cell r="HR232" t="str">
            <v/>
          </cell>
          <cell r="HS232" t="str">
            <v/>
          </cell>
          <cell r="HT232" t="str">
            <v/>
          </cell>
          <cell r="HU232" t="str">
            <v/>
          </cell>
          <cell r="HV232" t="str">
            <v/>
          </cell>
          <cell r="HW232" t="str">
            <v/>
          </cell>
          <cell r="MQ232" t="str">
            <v>Analysts to manually calculate</v>
          </cell>
          <cell r="MU232" t="str">
            <v>Analysts to manually calculate</v>
          </cell>
          <cell r="MY232" t="str">
            <v>Analysts to manually calculate</v>
          </cell>
          <cell r="NC232" t="str">
            <v>Analysts to manually calculate</v>
          </cell>
          <cell r="NG232" t="str">
            <v>Analysts to manually calculate</v>
          </cell>
        </row>
        <row r="233">
          <cell r="I233" t="str">
            <v>E07000211</v>
          </cell>
          <cell r="GZ233" t="str">
            <v/>
          </cell>
          <cell r="HA233" t="str">
            <v/>
          </cell>
          <cell r="HB233" t="str">
            <v/>
          </cell>
          <cell r="HC233" t="str">
            <v/>
          </cell>
          <cell r="HD233" t="str">
            <v/>
          </cell>
          <cell r="HE233" t="str">
            <v/>
          </cell>
          <cell r="HF233" t="str">
            <v/>
          </cell>
          <cell r="HG233" t="str">
            <v/>
          </cell>
          <cell r="HH233" t="str">
            <v/>
          </cell>
          <cell r="HI233" t="str">
            <v/>
          </cell>
          <cell r="HJ233" t="str">
            <v/>
          </cell>
          <cell r="HK233" t="str">
            <v/>
          </cell>
          <cell r="HL233" t="str">
            <v/>
          </cell>
          <cell r="HM233" t="str">
            <v/>
          </cell>
          <cell r="HN233" t="str">
            <v/>
          </cell>
          <cell r="HO233" t="str">
            <v/>
          </cell>
          <cell r="HP233" t="str">
            <v/>
          </cell>
          <cell r="HQ233" t="str">
            <v/>
          </cell>
          <cell r="HR233" t="str">
            <v/>
          </cell>
          <cell r="HS233" t="str">
            <v/>
          </cell>
          <cell r="HT233" t="str">
            <v/>
          </cell>
          <cell r="HU233" t="str">
            <v/>
          </cell>
          <cell r="HV233" t="str">
            <v/>
          </cell>
          <cell r="HW233" t="str">
            <v/>
          </cell>
          <cell r="MN233" t="str">
            <v/>
          </cell>
          <cell r="MO233" t="str">
            <v/>
          </cell>
          <cell r="MP233" t="str">
            <v/>
          </cell>
          <cell r="MQ233" t="str">
            <v/>
          </cell>
          <cell r="MR233" t="str">
            <v/>
          </cell>
          <cell r="MS233" t="str">
            <v/>
          </cell>
          <cell r="MT233" t="str">
            <v/>
          </cell>
          <cell r="MU233" t="str">
            <v/>
          </cell>
          <cell r="MV233" t="str">
            <v/>
          </cell>
          <cell r="MW233" t="str">
            <v/>
          </cell>
          <cell r="MX233" t="str">
            <v/>
          </cell>
          <cell r="MY233" t="str">
            <v/>
          </cell>
          <cell r="MZ233" t="str">
            <v/>
          </cell>
          <cell r="NA233" t="str">
            <v/>
          </cell>
          <cell r="NB233" t="str">
            <v/>
          </cell>
          <cell r="NC233" t="str">
            <v/>
          </cell>
          <cell r="ND233" t="str">
            <v/>
          </cell>
          <cell r="NE233" t="str">
            <v/>
          </cell>
          <cell r="NF233" t="str">
            <v/>
          </cell>
          <cell r="NG233" t="str">
            <v/>
          </cell>
          <cell r="NH233" t="str">
            <v/>
          </cell>
          <cell r="NI233" t="str">
            <v/>
          </cell>
          <cell r="NJ233" t="str">
            <v/>
          </cell>
        </row>
        <row r="234">
          <cell r="I234" t="str">
            <v>E06000001</v>
          </cell>
          <cell r="GZ234">
            <v>42461</v>
          </cell>
          <cell r="HA234">
            <v>44286</v>
          </cell>
          <cell r="HB234">
            <v>350</v>
          </cell>
          <cell r="HC234">
            <v>350</v>
          </cell>
          <cell r="HD234">
            <v>44287</v>
          </cell>
          <cell r="HE234">
            <v>46112</v>
          </cell>
          <cell r="HF234">
            <v>400</v>
          </cell>
          <cell r="HG234">
            <v>400</v>
          </cell>
          <cell r="HH234">
            <v>46113</v>
          </cell>
          <cell r="HI234">
            <v>47938</v>
          </cell>
          <cell r="HJ234">
            <v>480</v>
          </cell>
          <cell r="HK234">
            <v>480</v>
          </cell>
          <cell r="HL234" t="str">
            <v/>
          </cell>
          <cell r="HM234" t="str">
            <v/>
          </cell>
          <cell r="HN234" t="str">
            <v/>
          </cell>
          <cell r="HO234" t="str">
            <v/>
          </cell>
          <cell r="HP234" t="str">
            <v/>
          </cell>
          <cell r="HQ234" t="str">
            <v/>
          </cell>
          <cell r="HR234" t="str">
            <v/>
          </cell>
          <cell r="HS234" t="str">
            <v/>
          </cell>
          <cell r="HT234" t="str">
            <v/>
          </cell>
          <cell r="HU234" t="str">
            <v/>
          </cell>
          <cell r="HV234" t="str">
            <v/>
          </cell>
          <cell r="HW234" t="str">
            <v/>
          </cell>
          <cell r="MN234" t="str">
            <v/>
          </cell>
          <cell r="MO234" t="str">
            <v/>
          </cell>
          <cell r="MP234" t="str">
            <v/>
          </cell>
          <cell r="MQ234" t="str">
            <v/>
          </cell>
          <cell r="MR234" t="str">
            <v/>
          </cell>
          <cell r="MS234" t="str">
            <v/>
          </cell>
          <cell r="MT234" t="str">
            <v/>
          </cell>
          <cell r="MU234" t="str">
            <v/>
          </cell>
          <cell r="MV234" t="str">
            <v/>
          </cell>
          <cell r="MW234" t="str">
            <v/>
          </cell>
          <cell r="MX234" t="str">
            <v/>
          </cell>
          <cell r="MY234" t="str">
            <v/>
          </cell>
          <cell r="MZ234" t="str">
            <v/>
          </cell>
          <cell r="NA234" t="str">
            <v/>
          </cell>
          <cell r="NB234" t="str">
            <v/>
          </cell>
          <cell r="NC234" t="str">
            <v/>
          </cell>
          <cell r="ND234" t="str">
            <v/>
          </cell>
          <cell r="NE234" t="str">
            <v/>
          </cell>
          <cell r="NF234" t="str">
            <v/>
          </cell>
          <cell r="NG234" t="str">
            <v/>
          </cell>
          <cell r="NH234" t="str">
            <v/>
          </cell>
          <cell r="NI234" t="str">
            <v/>
          </cell>
          <cell r="NJ234" t="str">
            <v/>
          </cell>
        </row>
        <row r="235">
          <cell r="I235" t="str">
            <v>E07000213</v>
          </cell>
          <cell r="GZ235" t="str">
            <v/>
          </cell>
          <cell r="HA235" t="str">
            <v/>
          </cell>
          <cell r="HB235" t="str">
            <v/>
          </cell>
          <cell r="HC235" t="str">
            <v/>
          </cell>
          <cell r="HD235" t="str">
            <v/>
          </cell>
          <cell r="HE235" t="str">
            <v/>
          </cell>
          <cell r="HF235" t="str">
            <v/>
          </cell>
          <cell r="HG235" t="str">
            <v/>
          </cell>
          <cell r="HH235" t="str">
            <v/>
          </cell>
          <cell r="HI235" t="str">
            <v/>
          </cell>
          <cell r="HJ235" t="str">
            <v/>
          </cell>
          <cell r="HK235" t="str">
            <v/>
          </cell>
          <cell r="HL235" t="str">
            <v/>
          </cell>
          <cell r="HM235" t="str">
            <v/>
          </cell>
          <cell r="HN235" t="str">
            <v/>
          </cell>
          <cell r="HO235" t="str">
            <v/>
          </cell>
          <cell r="HP235" t="str">
            <v/>
          </cell>
          <cell r="HQ235" t="str">
            <v/>
          </cell>
          <cell r="HR235" t="str">
            <v/>
          </cell>
          <cell r="HS235" t="str">
            <v/>
          </cell>
          <cell r="HT235" t="str">
            <v/>
          </cell>
          <cell r="HU235" t="str">
            <v/>
          </cell>
          <cell r="HV235" t="str">
            <v/>
          </cell>
          <cell r="HW235" t="str">
            <v/>
          </cell>
          <cell r="MN235" t="str">
            <v/>
          </cell>
          <cell r="MO235" t="str">
            <v/>
          </cell>
          <cell r="MP235" t="str">
            <v/>
          </cell>
          <cell r="MQ235" t="str">
            <v/>
          </cell>
          <cell r="MR235" t="str">
            <v/>
          </cell>
          <cell r="MS235" t="str">
            <v/>
          </cell>
          <cell r="MT235" t="str">
            <v/>
          </cell>
          <cell r="MU235" t="str">
            <v/>
          </cell>
          <cell r="MV235" t="str">
            <v/>
          </cell>
          <cell r="MW235" t="str">
            <v/>
          </cell>
          <cell r="MX235" t="str">
            <v/>
          </cell>
          <cell r="MY235" t="str">
            <v/>
          </cell>
          <cell r="MZ235" t="str">
            <v/>
          </cell>
          <cell r="NA235" t="str">
            <v/>
          </cell>
          <cell r="NB235" t="str">
            <v/>
          </cell>
          <cell r="NC235" t="str">
            <v/>
          </cell>
          <cell r="ND235" t="str">
            <v/>
          </cell>
          <cell r="NE235" t="str">
            <v/>
          </cell>
          <cell r="NF235" t="str">
            <v/>
          </cell>
          <cell r="NG235" t="str">
            <v/>
          </cell>
          <cell r="NH235" t="str">
            <v/>
          </cell>
          <cell r="NI235" t="str">
            <v/>
          </cell>
          <cell r="NJ235" t="str">
            <v/>
          </cell>
        </row>
        <row r="236">
          <cell r="I236" t="str">
            <v>E07000177</v>
          </cell>
          <cell r="GZ236" t="str">
            <v/>
          </cell>
          <cell r="HA236" t="str">
            <v/>
          </cell>
          <cell r="HB236" t="str">
            <v/>
          </cell>
          <cell r="HC236" t="str">
            <v/>
          </cell>
          <cell r="HD236" t="str">
            <v/>
          </cell>
          <cell r="HE236" t="str">
            <v/>
          </cell>
          <cell r="HF236" t="str">
            <v/>
          </cell>
          <cell r="HG236" t="str">
            <v/>
          </cell>
          <cell r="HH236" t="str">
            <v/>
          </cell>
          <cell r="HI236" t="str">
            <v/>
          </cell>
          <cell r="HJ236" t="str">
            <v/>
          </cell>
          <cell r="HK236" t="str">
            <v/>
          </cell>
          <cell r="HL236" t="str">
            <v/>
          </cell>
          <cell r="HM236" t="str">
            <v/>
          </cell>
          <cell r="HN236" t="str">
            <v/>
          </cell>
          <cell r="HO236" t="str">
            <v/>
          </cell>
          <cell r="HP236" t="str">
            <v/>
          </cell>
          <cell r="HQ236" t="str">
            <v/>
          </cell>
          <cell r="HR236" t="str">
            <v/>
          </cell>
          <cell r="HS236" t="str">
            <v/>
          </cell>
          <cell r="HT236" t="str">
            <v/>
          </cell>
          <cell r="HU236" t="str">
            <v/>
          </cell>
          <cell r="HV236" t="str">
            <v/>
          </cell>
          <cell r="HW236" t="str">
            <v/>
          </cell>
          <cell r="MN236" t="str">
            <v/>
          </cell>
          <cell r="MO236" t="str">
            <v/>
          </cell>
          <cell r="MP236" t="str">
            <v/>
          </cell>
          <cell r="MQ236" t="str">
            <v/>
          </cell>
          <cell r="MR236" t="str">
            <v/>
          </cell>
          <cell r="MS236" t="str">
            <v/>
          </cell>
          <cell r="MT236" t="str">
            <v/>
          </cell>
          <cell r="MU236" t="str">
            <v/>
          </cell>
          <cell r="MV236" t="str">
            <v/>
          </cell>
          <cell r="MW236" t="str">
            <v/>
          </cell>
          <cell r="MX236" t="str">
            <v/>
          </cell>
          <cell r="MY236" t="str">
            <v/>
          </cell>
          <cell r="MZ236" t="str">
            <v/>
          </cell>
          <cell r="NA236" t="str">
            <v/>
          </cell>
          <cell r="NB236" t="str">
            <v/>
          </cell>
          <cell r="NC236" t="str">
            <v/>
          </cell>
          <cell r="ND236" t="str">
            <v/>
          </cell>
          <cell r="NE236" t="str">
            <v/>
          </cell>
          <cell r="NF236" t="str">
            <v/>
          </cell>
          <cell r="NG236" t="str">
            <v/>
          </cell>
          <cell r="NH236" t="str">
            <v/>
          </cell>
          <cell r="NI236" t="str">
            <v/>
          </cell>
          <cell r="NJ236" t="str">
            <v/>
          </cell>
        </row>
        <row r="237">
          <cell r="I237" t="str">
            <v>E07000106</v>
          </cell>
          <cell r="GZ237">
            <v>40634</v>
          </cell>
          <cell r="HA237">
            <v>42460</v>
          </cell>
          <cell r="HB237">
            <v>500</v>
          </cell>
          <cell r="HC237">
            <v>500</v>
          </cell>
          <cell r="HD237">
            <v>42461</v>
          </cell>
          <cell r="HE237">
            <v>47938</v>
          </cell>
          <cell r="HF237">
            <v>900</v>
          </cell>
          <cell r="HG237">
            <v>900</v>
          </cell>
          <cell r="HH237" t="str">
            <v/>
          </cell>
          <cell r="HI237" t="str">
            <v/>
          </cell>
          <cell r="HJ237" t="str">
            <v/>
          </cell>
          <cell r="HK237" t="str">
            <v/>
          </cell>
          <cell r="HL237" t="str">
            <v/>
          </cell>
          <cell r="HM237" t="str">
            <v/>
          </cell>
          <cell r="HN237" t="str">
            <v/>
          </cell>
          <cell r="HO237" t="str">
            <v/>
          </cell>
          <cell r="HP237" t="str">
            <v/>
          </cell>
          <cell r="HQ237" t="str">
            <v/>
          </cell>
          <cell r="HR237" t="str">
            <v/>
          </cell>
          <cell r="HS237" t="str">
            <v/>
          </cell>
          <cell r="HT237" t="str">
            <v/>
          </cell>
          <cell r="HU237" t="str">
            <v/>
          </cell>
          <cell r="HV237" t="str">
            <v/>
          </cell>
          <cell r="HW237" t="str">
            <v/>
          </cell>
          <cell r="MN237" t="str">
            <v/>
          </cell>
          <cell r="MO237" t="str">
            <v/>
          </cell>
          <cell r="MP237" t="str">
            <v/>
          </cell>
          <cell r="MQ237" t="str">
            <v/>
          </cell>
          <cell r="MR237" t="str">
            <v/>
          </cell>
          <cell r="MS237" t="str">
            <v/>
          </cell>
          <cell r="MT237" t="str">
            <v/>
          </cell>
          <cell r="MU237" t="str">
            <v/>
          </cell>
          <cell r="MV237" t="str">
            <v/>
          </cell>
          <cell r="MW237" t="str">
            <v/>
          </cell>
          <cell r="MX237" t="str">
            <v/>
          </cell>
          <cell r="MY237" t="str">
            <v/>
          </cell>
          <cell r="MZ237" t="str">
            <v/>
          </cell>
          <cell r="NA237" t="str">
            <v/>
          </cell>
          <cell r="NB237" t="str">
            <v/>
          </cell>
          <cell r="NC237" t="str">
            <v/>
          </cell>
          <cell r="ND237" t="str">
            <v/>
          </cell>
          <cell r="NE237" t="str">
            <v/>
          </cell>
          <cell r="NF237" t="str">
            <v/>
          </cell>
          <cell r="NG237" t="str">
            <v/>
          </cell>
          <cell r="NH237" t="str">
            <v/>
          </cell>
          <cell r="NI237" t="str">
            <v/>
          </cell>
          <cell r="NJ237" t="str">
            <v/>
          </cell>
        </row>
        <row r="238">
          <cell r="I238" t="str">
            <v>E09000001</v>
          </cell>
          <cell r="GZ238" t="str">
            <v/>
          </cell>
          <cell r="HA238" t="str">
            <v/>
          </cell>
          <cell r="HB238" t="str">
            <v/>
          </cell>
          <cell r="HC238" t="str">
            <v/>
          </cell>
          <cell r="HD238" t="str">
            <v/>
          </cell>
          <cell r="HE238" t="str">
            <v/>
          </cell>
          <cell r="HF238" t="str">
            <v/>
          </cell>
          <cell r="HG238" t="str">
            <v/>
          </cell>
          <cell r="HH238" t="str">
            <v/>
          </cell>
          <cell r="HI238" t="str">
            <v/>
          </cell>
          <cell r="HJ238" t="str">
            <v/>
          </cell>
          <cell r="HK238" t="str">
            <v/>
          </cell>
          <cell r="HL238" t="str">
            <v/>
          </cell>
          <cell r="HM238" t="str">
            <v/>
          </cell>
          <cell r="HN238" t="str">
            <v/>
          </cell>
          <cell r="HO238" t="str">
            <v/>
          </cell>
          <cell r="HP238" t="str">
            <v/>
          </cell>
          <cell r="HQ238" t="str">
            <v/>
          </cell>
          <cell r="HR238" t="str">
            <v/>
          </cell>
          <cell r="HS238" t="str">
            <v/>
          </cell>
          <cell r="HT238" t="str">
            <v/>
          </cell>
          <cell r="HU238" t="str">
            <v/>
          </cell>
          <cell r="HV238" t="str">
            <v/>
          </cell>
          <cell r="HW238" t="str">
            <v/>
          </cell>
          <cell r="MQ238" t="str">
            <v>Analysts to manually calculate</v>
          </cell>
          <cell r="MU238" t="str">
            <v>Analysts to manually calculate</v>
          </cell>
          <cell r="MY238" t="str">
            <v>Analysts to manually calculate</v>
          </cell>
          <cell r="NC238" t="str">
            <v>Analysts to manually calculate</v>
          </cell>
          <cell r="NG238" t="str">
            <v>Analysts to manually calculate</v>
          </cell>
        </row>
        <row r="239">
          <cell r="I239" t="str">
            <v>E07000077</v>
          </cell>
          <cell r="GZ239" t="str">
            <v/>
          </cell>
          <cell r="HA239" t="str">
            <v/>
          </cell>
          <cell r="HB239" t="str">
            <v/>
          </cell>
          <cell r="HC239" t="str">
            <v/>
          </cell>
          <cell r="HD239" t="str">
            <v/>
          </cell>
          <cell r="HE239" t="str">
            <v/>
          </cell>
          <cell r="HF239" t="str">
            <v/>
          </cell>
          <cell r="HG239" t="str">
            <v/>
          </cell>
          <cell r="HH239" t="str">
            <v/>
          </cell>
          <cell r="HI239" t="str">
            <v/>
          </cell>
          <cell r="HJ239" t="str">
            <v/>
          </cell>
          <cell r="HK239" t="str">
            <v/>
          </cell>
          <cell r="HL239" t="str">
            <v/>
          </cell>
          <cell r="HM239" t="str">
            <v/>
          </cell>
          <cell r="HN239" t="str">
            <v/>
          </cell>
          <cell r="HO239" t="str">
            <v/>
          </cell>
          <cell r="HP239" t="str">
            <v/>
          </cell>
          <cell r="HQ239" t="str">
            <v/>
          </cell>
          <cell r="HR239" t="str">
            <v/>
          </cell>
          <cell r="HS239" t="str">
            <v/>
          </cell>
          <cell r="HT239" t="str">
            <v/>
          </cell>
          <cell r="HU239" t="str">
            <v/>
          </cell>
          <cell r="HV239" t="str">
            <v/>
          </cell>
          <cell r="HW239" t="str">
            <v/>
          </cell>
          <cell r="MN239" t="str">
            <v/>
          </cell>
          <cell r="MO239" t="str">
            <v/>
          </cell>
          <cell r="MP239" t="str">
            <v/>
          </cell>
          <cell r="MQ239" t="str">
            <v/>
          </cell>
          <cell r="MR239" t="str">
            <v/>
          </cell>
          <cell r="MS239" t="str">
            <v/>
          </cell>
          <cell r="MT239" t="str">
            <v/>
          </cell>
          <cell r="MU239" t="str">
            <v/>
          </cell>
          <cell r="MV239" t="str">
            <v/>
          </cell>
          <cell r="MW239" t="str">
            <v/>
          </cell>
          <cell r="MX239" t="str">
            <v/>
          </cell>
          <cell r="MY239" t="str">
            <v/>
          </cell>
          <cell r="MZ239" t="str">
            <v/>
          </cell>
          <cell r="NA239" t="str">
            <v/>
          </cell>
          <cell r="NB239" t="str">
            <v/>
          </cell>
          <cell r="NC239" t="str">
            <v/>
          </cell>
          <cell r="ND239" t="str">
            <v/>
          </cell>
          <cell r="NE239" t="str">
            <v/>
          </cell>
          <cell r="NF239" t="str">
            <v/>
          </cell>
          <cell r="NG239" t="str">
            <v/>
          </cell>
          <cell r="NH239" t="str">
            <v/>
          </cell>
          <cell r="NI239" t="str">
            <v/>
          </cell>
          <cell r="NJ239" t="str">
            <v/>
          </cell>
        </row>
        <row r="240">
          <cell r="I240" t="str">
            <v>E07000105</v>
          </cell>
          <cell r="GZ240" t="str">
            <v/>
          </cell>
          <cell r="HA240" t="str">
            <v/>
          </cell>
          <cell r="HB240" t="str">
            <v/>
          </cell>
          <cell r="HC240" t="str">
            <v/>
          </cell>
          <cell r="HD240" t="str">
            <v/>
          </cell>
          <cell r="HE240" t="str">
            <v/>
          </cell>
          <cell r="HF240" t="str">
            <v/>
          </cell>
          <cell r="HG240" t="str">
            <v/>
          </cell>
          <cell r="HH240" t="str">
            <v/>
          </cell>
          <cell r="HI240" t="str">
            <v/>
          </cell>
          <cell r="HJ240" t="str">
            <v/>
          </cell>
          <cell r="HK240" t="str">
            <v/>
          </cell>
          <cell r="HL240" t="str">
            <v/>
          </cell>
          <cell r="HM240" t="str">
            <v/>
          </cell>
          <cell r="HN240" t="str">
            <v/>
          </cell>
          <cell r="HO240" t="str">
            <v/>
          </cell>
          <cell r="HP240" t="str">
            <v/>
          </cell>
          <cell r="HQ240" t="str">
            <v/>
          </cell>
          <cell r="HR240" t="str">
            <v/>
          </cell>
          <cell r="HS240" t="str">
            <v/>
          </cell>
          <cell r="HT240" t="str">
            <v/>
          </cell>
          <cell r="HU240" t="str">
            <v/>
          </cell>
          <cell r="HV240" t="str">
            <v/>
          </cell>
          <cell r="HW240" t="str">
            <v/>
          </cell>
          <cell r="MN240" t="str">
            <v/>
          </cell>
          <cell r="MO240" t="str">
            <v/>
          </cell>
          <cell r="MP240" t="str">
            <v/>
          </cell>
          <cell r="MQ240" t="str">
            <v/>
          </cell>
          <cell r="MR240" t="str">
            <v/>
          </cell>
          <cell r="MS240" t="str">
            <v/>
          </cell>
          <cell r="MT240" t="str">
            <v/>
          </cell>
          <cell r="MU240" t="str">
            <v/>
          </cell>
          <cell r="MV240" t="str">
            <v/>
          </cell>
          <cell r="MW240" t="str">
            <v/>
          </cell>
          <cell r="MX240" t="str">
            <v/>
          </cell>
          <cell r="MY240" t="str">
            <v/>
          </cell>
          <cell r="MZ240" t="str">
            <v/>
          </cell>
          <cell r="NA240" t="str">
            <v/>
          </cell>
          <cell r="NB240" t="str">
            <v/>
          </cell>
          <cell r="NC240" t="str">
            <v/>
          </cell>
          <cell r="ND240" t="str">
            <v/>
          </cell>
          <cell r="NE240" t="str">
            <v/>
          </cell>
          <cell r="NF240" t="str">
            <v/>
          </cell>
          <cell r="NG240" t="str">
            <v/>
          </cell>
          <cell r="NH240" t="str">
            <v/>
          </cell>
          <cell r="NI240" t="str">
            <v/>
          </cell>
          <cell r="NJ240" t="str">
            <v/>
          </cell>
        </row>
        <row r="241">
          <cell r="I241" t="str">
            <v>E08000008</v>
          </cell>
          <cell r="GZ241" t="str">
            <v/>
          </cell>
          <cell r="HA241" t="str">
            <v/>
          </cell>
          <cell r="HB241" t="str">
            <v/>
          </cell>
          <cell r="HC241" t="str">
            <v/>
          </cell>
          <cell r="HD241" t="str">
            <v/>
          </cell>
          <cell r="HE241" t="str">
            <v/>
          </cell>
          <cell r="HF241" t="str">
            <v/>
          </cell>
          <cell r="HG241" t="str">
            <v/>
          </cell>
          <cell r="HH241" t="str">
            <v/>
          </cell>
          <cell r="HI241" t="str">
            <v/>
          </cell>
          <cell r="HJ241" t="str">
            <v/>
          </cell>
          <cell r="HK241" t="str">
            <v/>
          </cell>
          <cell r="HL241" t="str">
            <v/>
          </cell>
          <cell r="HM241" t="str">
            <v/>
          </cell>
          <cell r="HN241" t="str">
            <v/>
          </cell>
          <cell r="HO241" t="str">
            <v/>
          </cell>
          <cell r="HP241" t="str">
            <v/>
          </cell>
          <cell r="HQ241" t="str">
            <v/>
          </cell>
          <cell r="HR241" t="str">
            <v/>
          </cell>
          <cell r="HS241" t="str">
            <v/>
          </cell>
          <cell r="HT241" t="str">
            <v/>
          </cell>
          <cell r="HU241" t="str">
            <v/>
          </cell>
          <cell r="HV241" t="str">
            <v/>
          </cell>
          <cell r="HW241" t="str">
            <v/>
          </cell>
          <cell r="MN241" t="str">
            <v/>
          </cell>
          <cell r="MO241" t="str">
            <v/>
          </cell>
          <cell r="MP241" t="str">
            <v/>
          </cell>
          <cell r="MQ241" t="str">
            <v/>
          </cell>
          <cell r="MR241" t="str">
            <v/>
          </cell>
          <cell r="MS241" t="str">
            <v/>
          </cell>
          <cell r="MT241" t="str">
            <v/>
          </cell>
          <cell r="MU241" t="str">
            <v/>
          </cell>
          <cell r="MV241" t="str">
            <v/>
          </cell>
          <cell r="MW241" t="str">
            <v/>
          </cell>
          <cell r="MX241" t="str">
            <v/>
          </cell>
          <cell r="MY241" t="str">
            <v/>
          </cell>
          <cell r="MZ241" t="str">
            <v/>
          </cell>
          <cell r="NA241" t="str">
            <v/>
          </cell>
          <cell r="NB241" t="str">
            <v/>
          </cell>
          <cell r="NC241" t="str">
            <v/>
          </cell>
          <cell r="ND241" t="str">
            <v/>
          </cell>
          <cell r="NE241" t="str">
            <v/>
          </cell>
          <cell r="NF241" t="str">
            <v/>
          </cell>
          <cell r="NG241" t="str">
            <v/>
          </cell>
          <cell r="NH241" t="str">
            <v/>
          </cell>
          <cell r="NI241" t="str">
            <v/>
          </cell>
          <cell r="NJ241" t="str">
            <v/>
          </cell>
        </row>
        <row r="242">
          <cell r="I242" t="str">
            <v>E07000234</v>
          </cell>
          <cell r="GZ242" t="str">
            <v/>
          </cell>
          <cell r="HA242" t="str">
            <v/>
          </cell>
          <cell r="HB242" t="str">
            <v/>
          </cell>
          <cell r="HC242" t="str">
            <v/>
          </cell>
          <cell r="HD242" t="str">
            <v/>
          </cell>
          <cell r="HE242" t="str">
            <v/>
          </cell>
          <cell r="HF242" t="str">
            <v/>
          </cell>
          <cell r="HG242" t="str">
            <v/>
          </cell>
          <cell r="HH242" t="str">
            <v/>
          </cell>
          <cell r="HI242" t="str">
            <v/>
          </cell>
          <cell r="HJ242" t="str">
            <v/>
          </cell>
          <cell r="HK242" t="str">
            <v/>
          </cell>
          <cell r="HL242" t="str">
            <v/>
          </cell>
          <cell r="HM242" t="str">
            <v/>
          </cell>
          <cell r="HN242" t="str">
            <v/>
          </cell>
          <cell r="HO242" t="str">
            <v/>
          </cell>
          <cell r="HP242" t="str">
            <v/>
          </cell>
          <cell r="HQ242" t="str">
            <v/>
          </cell>
          <cell r="HR242" t="str">
            <v/>
          </cell>
          <cell r="HS242" t="str">
            <v/>
          </cell>
          <cell r="HT242" t="str">
            <v/>
          </cell>
          <cell r="HU242" t="str">
            <v/>
          </cell>
          <cell r="HV242" t="str">
            <v/>
          </cell>
          <cell r="HW242" t="str">
            <v/>
          </cell>
          <cell r="MN242" t="str">
            <v/>
          </cell>
          <cell r="MO242" t="str">
            <v/>
          </cell>
          <cell r="MP242" t="str">
            <v/>
          </cell>
          <cell r="MQ242" t="str">
            <v/>
          </cell>
          <cell r="MR242" t="str">
            <v/>
          </cell>
          <cell r="MS242" t="str">
            <v/>
          </cell>
          <cell r="MT242" t="str">
            <v/>
          </cell>
          <cell r="MU242" t="str">
            <v/>
          </cell>
          <cell r="MV242" t="str">
            <v/>
          </cell>
          <cell r="MW242" t="str">
            <v/>
          </cell>
          <cell r="MX242" t="str">
            <v/>
          </cell>
          <cell r="MY242" t="str">
            <v/>
          </cell>
          <cell r="MZ242" t="str">
            <v/>
          </cell>
          <cell r="NA242" t="str">
            <v/>
          </cell>
          <cell r="NB242" t="str">
            <v/>
          </cell>
          <cell r="NC242" t="str">
            <v/>
          </cell>
          <cell r="ND242" t="str">
            <v/>
          </cell>
          <cell r="NE242" t="str">
            <v/>
          </cell>
          <cell r="NF242" t="str">
            <v/>
          </cell>
          <cell r="NG242" t="str">
            <v/>
          </cell>
          <cell r="NH242" t="str">
            <v/>
          </cell>
          <cell r="NI242" t="str">
            <v/>
          </cell>
          <cell r="NJ242" t="str">
            <v/>
          </cell>
        </row>
        <row r="243">
          <cell r="I243" t="str">
            <v>E06000021</v>
          </cell>
          <cell r="MN243" t="str">
            <v/>
          </cell>
          <cell r="MO243" t="str">
            <v/>
          </cell>
          <cell r="MP243" t="str">
            <v/>
          </cell>
          <cell r="MQ243" t="str">
            <v/>
          </cell>
          <cell r="MR243" t="str">
            <v/>
          </cell>
          <cell r="MS243" t="str">
            <v/>
          </cell>
          <cell r="MT243" t="str">
            <v/>
          </cell>
          <cell r="MU243" t="str">
            <v/>
          </cell>
          <cell r="MV243" t="str">
            <v/>
          </cell>
          <cell r="MW243" t="str">
            <v/>
          </cell>
          <cell r="MX243" t="str">
            <v/>
          </cell>
          <cell r="MY243" t="str">
            <v/>
          </cell>
          <cell r="MZ243" t="str">
            <v/>
          </cell>
          <cell r="NA243" t="str">
            <v/>
          </cell>
          <cell r="NB243" t="str">
            <v/>
          </cell>
          <cell r="NC243" t="str">
            <v/>
          </cell>
          <cell r="ND243" t="str">
            <v/>
          </cell>
          <cell r="NE243" t="str">
            <v/>
          </cell>
          <cell r="NF243" t="str">
            <v/>
          </cell>
          <cell r="NG243" t="str">
            <v/>
          </cell>
          <cell r="NH243" t="str">
            <v/>
          </cell>
          <cell r="NI243" t="str">
            <v/>
          </cell>
          <cell r="NJ243" t="str">
            <v/>
          </cell>
        </row>
        <row r="244">
          <cell r="I244" t="str">
            <v>E09000011</v>
          </cell>
          <cell r="GZ244" t="str">
            <v/>
          </cell>
          <cell r="HA244" t="str">
            <v/>
          </cell>
          <cell r="HB244" t="str">
            <v/>
          </cell>
          <cell r="HC244" t="str">
            <v/>
          </cell>
          <cell r="HD244" t="str">
            <v/>
          </cell>
          <cell r="HE244" t="str">
            <v/>
          </cell>
          <cell r="HF244" t="str">
            <v/>
          </cell>
          <cell r="HG244" t="str">
            <v/>
          </cell>
          <cell r="HH244" t="str">
            <v/>
          </cell>
          <cell r="HI244" t="str">
            <v/>
          </cell>
          <cell r="HJ244" t="str">
            <v/>
          </cell>
          <cell r="HK244" t="str">
            <v/>
          </cell>
          <cell r="HL244" t="str">
            <v/>
          </cell>
          <cell r="HM244" t="str">
            <v/>
          </cell>
          <cell r="HN244" t="str">
            <v/>
          </cell>
          <cell r="HO244" t="str">
            <v/>
          </cell>
          <cell r="HP244" t="str">
            <v/>
          </cell>
          <cell r="HQ244" t="str">
            <v/>
          </cell>
          <cell r="HR244" t="str">
            <v/>
          </cell>
          <cell r="HS244" t="str">
            <v/>
          </cell>
          <cell r="HT244" t="str">
            <v/>
          </cell>
          <cell r="HU244" t="str">
            <v/>
          </cell>
          <cell r="HV244" t="str">
            <v/>
          </cell>
          <cell r="HW244" t="str">
            <v/>
          </cell>
          <cell r="MQ244" t="str">
            <v>Analysts to manually calculate</v>
          </cell>
          <cell r="MU244" t="str">
            <v>Analysts to manually calculate</v>
          </cell>
          <cell r="MY244" t="str">
            <v>Analysts to manually calculate</v>
          </cell>
          <cell r="NC244" t="str">
            <v>Analysts to manually calculate</v>
          </cell>
          <cell r="NG244" t="str">
            <v>Analysts to manually calculate</v>
          </cell>
        </row>
        <row r="245">
          <cell r="I245" t="str">
            <v>E06000053</v>
          </cell>
          <cell r="GZ245" t="str">
            <v/>
          </cell>
          <cell r="HA245" t="str">
            <v/>
          </cell>
          <cell r="HB245" t="str">
            <v/>
          </cell>
          <cell r="HC245" t="str">
            <v/>
          </cell>
          <cell r="HD245" t="str">
            <v/>
          </cell>
          <cell r="HE245" t="str">
            <v/>
          </cell>
          <cell r="HF245" t="str">
            <v/>
          </cell>
          <cell r="HG245" t="str">
            <v/>
          </cell>
          <cell r="HH245" t="str">
            <v/>
          </cell>
          <cell r="HI245" t="str">
            <v/>
          </cell>
          <cell r="HJ245" t="str">
            <v/>
          </cell>
          <cell r="HK245" t="str">
            <v/>
          </cell>
          <cell r="HL245" t="str">
            <v/>
          </cell>
          <cell r="HM245" t="str">
            <v/>
          </cell>
          <cell r="HN245" t="str">
            <v/>
          </cell>
          <cell r="HO245" t="str">
            <v/>
          </cell>
          <cell r="HP245" t="str">
            <v/>
          </cell>
          <cell r="HQ245" t="str">
            <v/>
          </cell>
          <cell r="HR245" t="str">
            <v/>
          </cell>
          <cell r="HS245" t="str">
            <v/>
          </cell>
          <cell r="HT245" t="str">
            <v/>
          </cell>
          <cell r="HU245" t="str">
            <v/>
          </cell>
          <cell r="HV245" t="str">
            <v/>
          </cell>
          <cell r="HW245" t="str">
            <v/>
          </cell>
          <cell r="MN245" t="str">
            <v/>
          </cell>
          <cell r="MO245" t="str">
            <v/>
          </cell>
          <cell r="MP245" t="str">
            <v/>
          </cell>
          <cell r="MQ245" t="str">
            <v/>
          </cell>
          <cell r="MR245" t="str">
            <v/>
          </cell>
          <cell r="MS245" t="str">
            <v/>
          </cell>
          <cell r="MT245" t="str">
            <v/>
          </cell>
          <cell r="MU245" t="str">
            <v/>
          </cell>
          <cell r="MV245" t="str">
            <v/>
          </cell>
          <cell r="MW245" t="str">
            <v/>
          </cell>
          <cell r="MX245" t="str">
            <v/>
          </cell>
          <cell r="MY245" t="str">
            <v/>
          </cell>
          <cell r="MZ245" t="str">
            <v/>
          </cell>
          <cell r="NA245" t="str">
            <v/>
          </cell>
          <cell r="NB245" t="str">
            <v/>
          </cell>
          <cell r="NC245" t="str">
            <v/>
          </cell>
          <cell r="ND245" t="str">
            <v/>
          </cell>
          <cell r="NE245" t="str">
            <v/>
          </cell>
          <cell r="NF245" t="str">
            <v/>
          </cell>
          <cell r="NG245" t="str">
            <v/>
          </cell>
          <cell r="NH245" t="str">
            <v/>
          </cell>
          <cell r="NI245" t="str">
            <v/>
          </cell>
          <cell r="NJ245" t="str">
            <v/>
          </cell>
        </row>
        <row r="246">
          <cell r="I246" t="str">
            <v>E51000002</v>
          </cell>
          <cell r="GZ246" t="str">
            <v/>
          </cell>
          <cell r="HA246" t="str">
            <v/>
          </cell>
          <cell r="HB246" t="str">
            <v/>
          </cell>
          <cell r="HC246" t="str">
            <v/>
          </cell>
          <cell r="HD246" t="str">
            <v/>
          </cell>
          <cell r="HE246" t="str">
            <v/>
          </cell>
          <cell r="HF246" t="str">
            <v/>
          </cell>
          <cell r="HG246" t="str">
            <v/>
          </cell>
          <cell r="HH246" t="str">
            <v/>
          </cell>
          <cell r="HI246" t="str">
            <v/>
          </cell>
          <cell r="HJ246" t="str">
            <v/>
          </cell>
          <cell r="HK246" t="str">
            <v/>
          </cell>
          <cell r="HL246" t="str">
            <v/>
          </cell>
          <cell r="HM246" t="str">
            <v/>
          </cell>
          <cell r="HN246" t="str">
            <v/>
          </cell>
          <cell r="HO246" t="str">
            <v/>
          </cell>
          <cell r="HP246" t="str">
            <v/>
          </cell>
          <cell r="HQ246" t="str">
            <v/>
          </cell>
          <cell r="HR246" t="str">
            <v/>
          </cell>
          <cell r="HS246" t="str">
            <v/>
          </cell>
          <cell r="HT246" t="str">
            <v/>
          </cell>
          <cell r="HU246" t="str">
            <v/>
          </cell>
          <cell r="HV246" t="str">
            <v/>
          </cell>
          <cell r="HW246" t="str">
            <v/>
          </cell>
          <cell r="MN246" t="str">
            <v/>
          </cell>
          <cell r="MO246" t="str">
            <v/>
          </cell>
          <cell r="MP246" t="str">
            <v/>
          </cell>
          <cell r="MQ246" t="str">
            <v/>
          </cell>
          <cell r="MR246" t="str">
            <v/>
          </cell>
          <cell r="MS246" t="str">
            <v/>
          </cell>
          <cell r="MT246" t="str">
            <v/>
          </cell>
          <cell r="MU246" t="str">
            <v/>
          </cell>
          <cell r="MV246" t="str">
            <v/>
          </cell>
          <cell r="MW246" t="str">
            <v/>
          </cell>
          <cell r="MX246" t="str">
            <v/>
          </cell>
          <cell r="MY246" t="str">
            <v/>
          </cell>
          <cell r="MZ246" t="str">
            <v/>
          </cell>
          <cell r="NA246" t="str">
            <v/>
          </cell>
          <cell r="NB246" t="str">
            <v/>
          </cell>
          <cell r="NC246" t="str">
            <v/>
          </cell>
          <cell r="ND246" t="str">
            <v/>
          </cell>
          <cell r="NE246" t="str">
            <v/>
          </cell>
          <cell r="NF246" t="str">
            <v/>
          </cell>
          <cell r="NG246" t="str">
            <v/>
          </cell>
          <cell r="NH246" t="str">
            <v/>
          </cell>
          <cell r="NI246" t="str">
            <v/>
          </cell>
          <cell r="NJ246" t="str">
            <v/>
          </cell>
        </row>
        <row r="247">
          <cell r="I247" t="str">
            <v>E07000203</v>
          </cell>
          <cell r="GZ247" t="str">
            <v/>
          </cell>
          <cell r="HA247" t="str">
            <v/>
          </cell>
          <cell r="HB247" t="str">
            <v/>
          </cell>
          <cell r="HC247" t="str">
            <v/>
          </cell>
          <cell r="HD247" t="str">
            <v/>
          </cell>
          <cell r="HE247" t="str">
            <v/>
          </cell>
          <cell r="HF247" t="str">
            <v/>
          </cell>
          <cell r="HG247" t="str">
            <v/>
          </cell>
          <cell r="HH247" t="str">
            <v/>
          </cell>
          <cell r="HI247" t="str">
            <v/>
          </cell>
          <cell r="HJ247" t="str">
            <v/>
          </cell>
          <cell r="HK247" t="str">
            <v/>
          </cell>
          <cell r="HL247" t="str">
            <v/>
          </cell>
          <cell r="HM247" t="str">
            <v/>
          </cell>
          <cell r="HN247" t="str">
            <v/>
          </cell>
          <cell r="HO247" t="str">
            <v/>
          </cell>
          <cell r="HP247" t="str">
            <v/>
          </cell>
          <cell r="HQ247" t="str">
            <v/>
          </cell>
          <cell r="HR247" t="str">
            <v/>
          </cell>
          <cell r="HS247" t="str">
            <v/>
          </cell>
          <cell r="HT247" t="str">
            <v/>
          </cell>
          <cell r="HU247" t="str">
            <v/>
          </cell>
          <cell r="HV247" t="str">
            <v/>
          </cell>
          <cell r="HW247" t="str">
            <v/>
          </cell>
          <cell r="MN247" t="str">
            <v/>
          </cell>
          <cell r="MO247" t="str">
            <v/>
          </cell>
          <cell r="MP247" t="str">
            <v/>
          </cell>
          <cell r="MQ247" t="str">
            <v/>
          </cell>
          <cell r="MR247" t="str">
            <v/>
          </cell>
          <cell r="MS247" t="str">
            <v/>
          </cell>
          <cell r="MT247" t="str">
            <v/>
          </cell>
          <cell r="MU247" t="str">
            <v/>
          </cell>
          <cell r="MV247" t="str">
            <v/>
          </cell>
          <cell r="MW247" t="str">
            <v/>
          </cell>
          <cell r="MX247" t="str">
            <v/>
          </cell>
          <cell r="MY247" t="str">
            <v/>
          </cell>
          <cell r="MZ247" t="str">
            <v/>
          </cell>
          <cell r="NA247" t="str">
            <v/>
          </cell>
          <cell r="NB247" t="str">
            <v/>
          </cell>
          <cell r="NC247" t="str">
            <v/>
          </cell>
          <cell r="ND247" t="str">
            <v/>
          </cell>
          <cell r="NE247" t="str">
            <v/>
          </cell>
          <cell r="NF247" t="str">
            <v/>
          </cell>
          <cell r="NG247" t="str">
            <v/>
          </cell>
          <cell r="NH247" t="str">
            <v/>
          </cell>
          <cell r="NI247" t="str">
            <v/>
          </cell>
          <cell r="NJ247" t="str">
            <v/>
          </cell>
        </row>
        <row r="248">
          <cell r="I248" t="str">
            <v>E07000164</v>
          </cell>
          <cell r="GZ248" t="str">
            <v/>
          </cell>
          <cell r="HA248" t="str">
            <v/>
          </cell>
          <cell r="HB248" t="str">
            <v/>
          </cell>
          <cell r="HC248" t="str">
            <v/>
          </cell>
          <cell r="HD248" t="str">
            <v/>
          </cell>
          <cell r="HE248" t="str">
            <v/>
          </cell>
          <cell r="HF248" t="str">
            <v/>
          </cell>
          <cell r="HG248" t="str">
            <v/>
          </cell>
          <cell r="HH248" t="str">
            <v/>
          </cell>
          <cell r="HI248" t="str">
            <v/>
          </cell>
          <cell r="HJ248" t="str">
            <v/>
          </cell>
          <cell r="HK248" t="str">
            <v/>
          </cell>
          <cell r="HL248" t="str">
            <v/>
          </cell>
          <cell r="HM248" t="str">
            <v/>
          </cell>
          <cell r="HN248" t="str">
            <v/>
          </cell>
          <cell r="HO248" t="str">
            <v/>
          </cell>
          <cell r="HP248" t="str">
            <v/>
          </cell>
          <cell r="HQ248" t="str">
            <v/>
          </cell>
          <cell r="HR248" t="str">
            <v/>
          </cell>
          <cell r="HS248" t="str">
            <v/>
          </cell>
          <cell r="HT248" t="str">
            <v/>
          </cell>
          <cell r="HU248" t="str">
            <v/>
          </cell>
          <cell r="HV248" t="str">
            <v/>
          </cell>
          <cell r="HW248" t="str">
            <v/>
          </cell>
          <cell r="MN248" t="str">
            <v/>
          </cell>
          <cell r="MO248" t="str">
            <v/>
          </cell>
          <cell r="MP248" t="str">
            <v/>
          </cell>
          <cell r="MQ248" t="str">
            <v/>
          </cell>
          <cell r="MR248" t="str">
            <v/>
          </cell>
          <cell r="MS248" t="str">
            <v/>
          </cell>
          <cell r="MT248" t="str">
            <v/>
          </cell>
          <cell r="MU248" t="str">
            <v/>
          </cell>
          <cell r="MV248" t="str">
            <v/>
          </cell>
          <cell r="MW248" t="str">
            <v/>
          </cell>
          <cell r="MX248" t="str">
            <v/>
          </cell>
          <cell r="MY248" t="str">
            <v/>
          </cell>
          <cell r="MZ248" t="str">
            <v/>
          </cell>
          <cell r="NA248" t="str">
            <v/>
          </cell>
          <cell r="NB248" t="str">
            <v/>
          </cell>
          <cell r="NC248" t="str">
            <v/>
          </cell>
          <cell r="ND248" t="str">
            <v/>
          </cell>
          <cell r="NE248" t="str">
            <v/>
          </cell>
          <cell r="NF248" t="str">
            <v/>
          </cell>
          <cell r="NG248" t="str">
            <v/>
          </cell>
          <cell r="NH248" t="str">
            <v/>
          </cell>
          <cell r="NI248" t="str">
            <v/>
          </cell>
          <cell r="NJ248" t="str">
            <v/>
          </cell>
        </row>
        <row r="249">
          <cell r="I249" t="str">
            <v>E09000019</v>
          </cell>
          <cell r="GZ249" t="str">
            <v/>
          </cell>
          <cell r="HA249" t="str">
            <v/>
          </cell>
          <cell r="HB249" t="str">
            <v/>
          </cell>
          <cell r="HC249" t="str">
            <v/>
          </cell>
          <cell r="HD249" t="str">
            <v/>
          </cell>
          <cell r="HE249" t="str">
            <v/>
          </cell>
          <cell r="HF249" t="str">
            <v/>
          </cell>
          <cell r="HG249" t="str">
            <v/>
          </cell>
          <cell r="HH249" t="str">
            <v/>
          </cell>
          <cell r="HI249" t="str">
            <v/>
          </cell>
          <cell r="HJ249" t="str">
            <v/>
          </cell>
          <cell r="HK249" t="str">
            <v/>
          </cell>
          <cell r="HL249" t="str">
            <v/>
          </cell>
          <cell r="HM249" t="str">
            <v/>
          </cell>
          <cell r="HN249" t="str">
            <v/>
          </cell>
          <cell r="HO249" t="str">
            <v/>
          </cell>
          <cell r="HP249" t="str">
            <v/>
          </cell>
          <cell r="HQ249" t="str">
            <v/>
          </cell>
          <cell r="HR249" t="str">
            <v/>
          </cell>
          <cell r="HS249" t="str">
            <v/>
          </cell>
          <cell r="HT249" t="str">
            <v/>
          </cell>
          <cell r="HU249" t="str">
            <v/>
          </cell>
          <cell r="HV249" t="str">
            <v/>
          </cell>
          <cell r="HW249" t="str">
            <v/>
          </cell>
          <cell r="MQ249" t="str">
            <v>Analysts to manually calculate</v>
          </cell>
          <cell r="MU249" t="str">
            <v>Analysts to manually calculate</v>
          </cell>
          <cell r="MY249" t="str">
            <v>Analysts to manually calculate</v>
          </cell>
          <cell r="NC249" t="str">
            <v>Analysts to manually calculate</v>
          </cell>
          <cell r="NG249" t="str">
            <v>Analysts to manually calculate</v>
          </cell>
        </row>
        <row r="250">
          <cell r="I250" t="str">
            <v>E08000006</v>
          </cell>
          <cell r="GZ250" t="str">
            <v/>
          </cell>
          <cell r="HA250" t="str">
            <v/>
          </cell>
          <cell r="HB250" t="str">
            <v/>
          </cell>
          <cell r="HC250" t="str">
            <v/>
          </cell>
          <cell r="HD250" t="str">
            <v/>
          </cell>
          <cell r="HE250" t="str">
            <v/>
          </cell>
          <cell r="HF250" t="str">
            <v/>
          </cell>
          <cell r="HG250" t="str">
            <v/>
          </cell>
          <cell r="HH250" t="str">
            <v/>
          </cell>
          <cell r="HI250" t="str">
            <v/>
          </cell>
          <cell r="HJ250" t="str">
            <v/>
          </cell>
          <cell r="HK250" t="str">
            <v/>
          </cell>
          <cell r="HL250" t="str">
            <v/>
          </cell>
          <cell r="HM250" t="str">
            <v/>
          </cell>
          <cell r="HN250" t="str">
            <v/>
          </cell>
          <cell r="HO250" t="str">
            <v/>
          </cell>
          <cell r="HP250" t="str">
            <v/>
          </cell>
          <cell r="HQ250" t="str">
            <v/>
          </cell>
          <cell r="HR250" t="str">
            <v/>
          </cell>
          <cell r="HS250" t="str">
            <v/>
          </cell>
          <cell r="HT250" t="str">
            <v/>
          </cell>
          <cell r="HU250" t="str">
            <v/>
          </cell>
          <cell r="HV250" t="str">
            <v/>
          </cell>
          <cell r="HW250" t="str">
            <v/>
          </cell>
          <cell r="MN250" t="str">
            <v/>
          </cell>
          <cell r="MO250" t="str">
            <v/>
          </cell>
          <cell r="MP250" t="str">
            <v/>
          </cell>
          <cell r="MQ250" t="str">
            <v/>
          </cell>
          <cell r="MR250" t="str">
            <v/>
          </cell>
          <cell r="MS250" t="str">
            <v/>
          </cell>
          <cell r="MT250" t="str">
            <v/>
          </cell>
          <cell r="MU250" t="str">
            <v/>
          </cell>
          <cell r="MV250" t="str">
            <v/>
          </cell>
          <cell r="MW250" t="str">
            <v/>
          </cell>
          <cell r="MX250" t="str">
            <v/>
          </cell>
          <cell r="MY250" t="str">
            <v/>
          </cell>
          <cell r="MZ250" t="str">
            <v/>
          </cell>
          <cell r="NA250" t="str">
            <v/>
          </cell>
          <cell r="NB250" t="str">
            <v/>
          </cell>
          <cell r="NC250" t="str">
            <v/>
          </cell>
          <cell r="ND250" t="str">
            <v/>
          </cell>
          <cell r="NE250" t="str">
            <v/>
          </cell>
          <cell r="NF250" t="str">
            <v/>
          </cell>
          <cell r="NG250" t="str">
            <v/>
          </cell>
          <cell r="NH250" t="str">
            <v/>
          </cell>
          <cell r="NI250" t="str">
            <v/>
          </cell>
          <cell r="NJ250" t="str">
            <v/>
          </cell>
        </row>
        <row r="251">
          <cell r="I251" t="str">
            <v>E07000137</v>
          </cell>
          <cell r="GZ251" t="str">
            <v/>
          </cell>
          <cell r="HA251" t="str">
            <v/>
          </cell>
          <cell r="HB251" t="str">
            <v/>
          </cell>
          <cell r="HC251" t="str">
            <v/>
          </cell>
          <cell r="HD251" t="str">
            <v/>
          </cell>
          <cell r="HE251" t="str">
            <v/>
          </cell>
          <cell r="HF251" t="str">
            <v/>
          </cell>
          <cell r="HG251" t="str">
            <v/>
          </cell>
          <cell r="HH251" t="str">
            <v/>
          </cell>
          <cell r="HI251" t="str">
            <v/>
          </cell>
          <cell r="HJ251" t="str">
            <v/>
          </cell>
          <cell r="HK251" t="str">
            <v/>
          </cell>
          <cell r="HL251" t="str">
            <v/>
          </cell>
          <cell r="HM251" t="str">
            <v/>
          </cell>
          <cell r="HN251" t="str">
            <v/>
          </cell>
          <cell r="HO251" t="str">
            <v/>
          </cell>
          <cell r="HP251" t="str">
            <v/>
          </cell>
          <cell r="HQ251" t="str">
            <v/>
          </cell>
          <cell r="HR251" t="str">
            <v/>
          </cell>
          <cell r="HS251" t="str">
            <v/>
          </cell>
          <cell r="HT251" t="str">
            <v/>
          </cell>
          <cell r="HU251" t="str">
            <v/>
          </cell>
          <cell r="HV251" t="str">
            <v/>
          </cell>
          <cell r="HW251" t="str">
            <v/>
          </cell>
          <cell r="MN251" t="str">
            <v/>
          </cell>
          <cell r="MO251" t="str">
            <v/>
          </cell>
          <cell r="MP251" t="str">
            <v/>
          </cell>
          <cell r="MQ251" t="str">
            <v/>
          </cell>
          <cell r="MR251" t="str">
            <v/>
          </cell>
          <cell r="MS251" t="str">
            <v/>
          </cell>
          <cell r="MT251" t="str">
            <v/>
          </cell>
          <cell r="MU251" t="str">
            <v/>
          </cell>
          <cell r="MV251" t="str">
            <v/>
          </cell>
          <cell r="MW251" t="str">
            <v/>
          </cell>
          <cell r="MX251" t="str">
            <v/>
          </cell>
          <cell r="MY251" t="str">
            <v/>
          </cell>
          <cell r="MZ251" t="str">
            <v/>
          </cell>
          <cell r="NA251" t="str">
            <v/>
          </cell>
          <cell r="NB251" t="str">
            <v/>
          </cell>
          <cell r="NC251" t="str">
            <v/>
          </cell>
          <cell r="ND251" t="str">
            <v/>
          </cell>
          <cell r="NE251" t="str">
            <v/>
          </cell>
          <cell r="NF251" t="str">
            <v/>
          </cell>
          <cell r="NG251" t="str">
            <v/>
          </cell>
          <cell r="NH251" t="str">
            <v/>
          </cell>
          <cell r="NI251" t="str">
            <v/>
          </cell>
          <cell r="NJ251" t="str">
            <v/>
          </cell>
        </row>
        <row r="252">
          <cell r="I252" t="str">
            <v>E09000013</v>
          </cell>
          <cell r="GZ252" t="str">
            <v/>
          </cell>
          <cell r="HA252" t="str">
            <v/>
          </cell>
          <cell r="HB252" t="str">
            <v/>
          </cell>
          <cell r="HC252" t="str">
            <v/>
          </cell>
          <cell r="HD252" t="str">
            <v/>
          </cell>
          <cell r="HE252" t="str">
            <v/>
          </cell>
          <cell r="HF252" t="str">
            <v/>
          </cell>
          <cell r="HG252" t="str">
            <v/>
          </cell>
          <cell r="HH252" t="str">
            <v/>
          </cell>
          <cell r="HI252" t="str">
            <v/>
          </cell>
          <cell r="HJ252" t="str">
            <v/>
          </cell>
          <cell r="HK252" t="str">
            <v/>
          </cell>
          <cell r="HL252" t="str">
            <v/>
          </cell>
          <cell r="HM252" t="str">
            <v/>
          </cell>
          <cell r="HN252" t="str">
            <v/>
          </cell>
          <cell r="HO252" t="str">
            <v/>
          </cell>
          <cell r="HP252" t="str">
            <v/>
          </cell>
          <cell r="HQ252" t="str">
            <v/>
          </cell>
          <cell r="HR252" t="str">
            <v/>
          </cell>
          <cell r="HS252" t="str">
            <v/>
          </cell>
          <cell r="HT252" t="str">
            <v/>
          </cell>
          <cell r="HU252" t="str">
            <v/>
          </cell>
          <cell r="HV252" t="str">
            <v/>
          </cell>
          <cell r="HW252" t="str">
            <v/>
          </cell>
          <cell r="MQ252" t="str">
            <v>Analysts to manually calculate</v>
          </cell>
          <cell r="MU252" t="str">
            <v>Analysts to manually calculate</v>
          </cell>
          <cell r="MY252" t="str">
            <v>Analysts to manually calculate</v>
          </cell>
          <cell r="NC252" t="str">
            <v>Analysts to manually calculate</v>
          </cell>
          <cell r="NG252" t="str">
            <v>Analysts to manually calculate</v>
          </cell>
        </row>
        <row r="253">
          <cell r="I253" t="str">
            <v>E06000012</v>
          </cell>
          <cell r="GZ253">
            <v>41365</v>
          </cell>
          <cell r="HA253">
            <v>43190</v>
          </cell>
          <cell r="HB253">
            <v>397</v>
          </cell>
          <cell r="HC253">
            <v>397</v>
          </cell>
          <cell r="HD253">
            <v>43191</v>
          </cell>
          <cell r="HE253">
            <v>45016</v>
          </cell>
          <cell r="HF253">
            <v>488</v>
          </cell>
          <cell r="HG253">
            <v>488</v>
          </cell>
          <cell r="HH253">
            <v>45017</v>
          </cell>
          <cell r="HI253">
            <v>46843</v>
          </cell>
          <cell r="HJ253">
            <v>649</v>
          </cell>
          <cell r="HK253">
            <v>649</v>
          </cell>
          <cell r="HL253">
            <v>46844</v>
          </cell>
          <cell r="HM253">
            <v>48304</v>
          </cell>
          <cell r="HN253">
            <v>518</v>
          </cell>
          <cell r="HO253">
            <v>518</v>
          </cell>
          <cell r="HS253">
            <v>0</v>
          </cell>
          <cell r="HW253">
            <v>0</v>
          </cell>
          <cell r="MN253" t="str">
            <v/>
          </cell>
          <cell r="MO253" t="str">
            <v/>
          </cell>
          <cell r="MP253" t="str">
            <v/>
          </cell>
          <cell r="MQ253" t="str">
            <v/>
          </cell>
          <cell r="MR253" t="str">
            <v/>
          </cell>
          <cell r="MS253" t="str">
            <v/>
          </cell>
          <cell r="MT253" t="str">
            <v/>
          </cell>
          <cell r="MU253" t="str">
            <v/>
          </cell>
          <cell r="MV253" t="str">
            <v/>
          </cell>
          <cell r="MW253" t="str">
            <v/>
          </cell>
          <cell r="MX253" t="str">
            <v/>
          </cell>
          <cell r="MY253" t="str">
            <v/>
          </cell>
          <cell r="MZ253" t="str">
            <v/>
          </cell>
          <cell r="NA253" t="str">
            <v/>
          </cell>
          <cell r="NB253" t="str">
            <v/>
          </cell>
          <cell r="NC253" t="str">
            <v/>
          </cell>
          <cell r="ND253" t="str">
            <v/>
          </cell>
          <cell r="NE253" t="str">
            <v/>
          </cell>
          <cell r="NF253" t="str">
            <v/>
          </cell>
          <cell r="NG253" t="str">
            <v/>
          </cell>
          <cell r="NH253" t="str">
            <v/>
          </cell>
          <cell r="NI253" t="str">
            <v/>
          </cell>
          <cell r="NJ253" t="str">
            <v/>
          </cell>
        </row>
        <row r="254">
          <cell r="I254" t="str">
            <v>E06000057</v>
          </cell>
          <cell r="GZ254" t="str">
            <v/>
          </cell>
          <cell r="HA254" t="str">
            <v/>
          </cell>
          <cell r="HB254" t="str">
            <v/>
          </cell>
          <cell r="HC254" t="str">
            <v/>
          </cell>
          <cell r="HD254" t="str">
            <v/>
          </cell>
          <cell r="HE254" t="str">
            <v/>
          </cell>
          <cell r="HF254" t="str">
            <v/>
          </cell>
          <cell r="HG254" t="str">
            <v/>
          </cell>
          <cell r="HH254" t="str">
            <v/>
          </cell>
          <cell r="HI254" t="str">
            <v/>
          </cell>
          <cell r="HJ254" t="str">
            <v/>
          </cell>
          <cell r="HK254" t="str">
            <v/>
          </cell>
          <cell r="HL254" t="str">
            <v/>
          </cell>
          <cell r="HM254" t="str">
            <v/>
          </cell>
          <cell r="HN254" t="str">
            <v/>
          </cell>
          <cell r="HO254" t="str">
            <v/>
          </cell>
          <cell r="HP254" t="str">
            <v/>
          </cell>
          <cell r="HQ254" t="str">
            <v/>
          </cell>
          <cell r="HR254" t="str">
            <v/>
          </cell>
          <cell r="HS254" t="str">
            <v/>
          </cell>
          <cell r="HT254" t="str">
            <v/>
          </cell>
          <cell r="HU254" t="str">
            <v/>
          </cell>
          <cell r="HV254" t="str">
            <v/>
          </cell>
          <cell r="HW254" t="str">
            <v/>
          </cell>
          <cell r="MN254" t="str">
            <v/>
          </cell>
          <cell r="MO254" t="str">
            <v/>
          </cell>
          <cell r="MP254" t="str">
            <v/>
          </cell>
          <cell r="MQ254" t="str">
            <v/>
          </cell>
          <cell r="MR254" t="str">
            <v/>
          </cell>
          <cell r="MS254" t="str">
            <v/>
          </cell>
          <cell r="MT254" t="str">
            <v/>
          </cell>
          <cell r="MU254" t="str">
            <v/>
          </cell>
          <cell r="MV254" t="str">
            <v/>
          </cell>
          <cell r="MW254" t="str">
            <v/>
          </cell>
          <cell r="MX254" t="str">
            <v/>
          </cell>
          <cell r="MY254" t="str">
            <v/>
          </cell>
          <cell r="MZ254" t="str">
            <v/>
          </cell>
          <cell r="NA254" t="str">
            <v/>
          </cell>
          <cell r="NB254" t="str">
            <v/>
          </cell>
          <cell r="NC254" t="str">
            <v/>
          </cell>
          <cell r="ND254" t="str">
            <v/>
          </cell>
          <cell r="NE254" t="str">
            <v/>
          </cell>
          <cell r="NF254" t="str">
            <v/>
          </cell>
          <cell r="NG254" t="str">
            <v/>
          </cell>
          <cell r="NH254" t="str">
            <v/>
          </cell>
          <cell r="NI254" t="str">
            <v/>
          </cell>
          <cell r="NJ254" t="str">
            <v/>
          </cell>
        </row>
        <row r="255">
          <cell r="I255" t="str">
            <v>E07000078</v>
          </cell>
          <cell r="GZ255">
            <v>40634</v>
          </cell>
          <cell r="HA255">
            <v>44651</v>
          </cell>
          <cell r="HB255">
            <v>450</v>
          </cell>
          <cell r="HC255">
            <v>450</v>
          </cell>
          <cell r="HD255">
            <v>44652</v>
          </cell>
          <cell r="HE255">
            <v>47938</v>
          </cell>
          <cell r="HF255">
            <v>663</v>
          </cell>
          <cell r="HG255">
            <v>663</v>
          </cell>
          <cell r="HH255" t="str">
            <v/>
          </cell>
          <cell r="HI255" t="str">
            <v/>
          </cell>
          <cell r="HJ255" t="str">
            <v/>
          </cell>
          <cell r="HK255" t="str">
            <v/>
          </cell>
          <cell r="HL255" t="str">
            <v/>
          </cell>
          <cell r="HM255" t="str">
            <v/>
          </cell>
          <cell r="HN255" t="str">
            <v/>
          </cell>
          <cell r="HO255" t="str">
            <v/>
          </cell>
          <cell r="HP255" t="str">
            <v/>
          </cell>
          <cell r="HQ255" t="str">
            <v/>
          </cell>
          <cell r="HR255" t="str">
            <v/>
          </cell>
          <cell r="HS255" t="str">
            <v/>
          </cell>
          <cell r="HT255" t="str">
            <v/>
          </cell>
          <cell r="HU255" t="str">
            <v/>
          </cell>
          <cell r="HV255" t="str">
            <v/>
          </cell>
          <cell r="HW255" t="str">
            <v/>
          </cell>
          <cell r="MN255" t="str">
            <v/>
          </cell>
          <cell r="MO255" t="str">
            <v/>
          </cell>
          <cell r="MP255" t="str">
            <v/>
          </cell>
          <cell r="MQ255" t="str">
            <v/>
          </cell>
          <cell r="MR255" t="str">
            <v/>
          </cell>
          <cell r="MS255" t="str">
            <v/>
          </cell>
          <cell r="MT255" t="str">
            <v/>
          </cell>
          <cell r="MU255" t="str">
            <v/>
          </cell>
          <cell r="MV255" t="str">
            <v/>
          </cell>
          <cell r="MW255" t="str">
            <v/>
          </cell>
          <cell r="MX255" t="str">
            <v/>
          </cell>
          <cell r="MY255" t="str">
            <v/>
          </cell>
          <cell r="MZ255" t="str">
            <v/>
          </cell>
          <cell r="NA255" t="str">
            <v/>
          </cell>
          <cell r="NB255" t="str">
            <v/>
          </cell>
          <cell r="NC255" t="str">
            <v/>
          </cell>
          <cell r="ND255" t="str">
            <v/>
          </cell>
          <cell r="NE255" t="str">
            <v/>
          </cell>
          <cell r="NF255" t="str">
            <v/>
          </cell>
          <cell r="NG255" t="str">
            <v/>
          </cell>
          <cell r="NH255" t="str">
            <v/>
          </cell>
          <cell r="NI255" t="str">
            <v/>
          </cell>
          <cell r="NJ255" t="str">
            <v/>
          </cell>
        </row>
        <row r="256">
          <cell r="I256" t="str">
            <v>E06000054</v>
          </cell>
          <cell r="GZ256" t="str">
            <v/>
          </cell>
          <cell r="HA256" t="str">
            <v/>
          </cell>
          <cell r="HB256" t="str">
            <v/>
          </cell>
          <cell r="HC256" t="str">
            <v/>
          </cell>
          <cell r="HD256" t="str">
            <v/>
          </cell>
          <cell r="HE256" t="str">
            <v/>
          </cell>
          <cell r="HF256" t="str">
            <v/>
          </cell>
          <cell r="HG256" t="str">
            <v/>
          </cell>
          <cell r="HH256" t="str">
            <v/>
          </cell>
          <cell r="HI256" t="str">
            <v/>
          </cell>
          <cell r="HJ256" t="str">
            <v/>
          </cell>
          <cell r="HK256" t="str">
            <v/>
          </cell>
          <cell r="HL256" t="str">
            <v/>
          </cell>
          <cell r="HM256" t="str">
            <v/>
          </cell>
          <cell r="HN256" t="str">
            <v/>
          </cell>
          <cell r="HO256" t="str">
            <v/>
          </cell>
          <cell r="HP256" t="str">
            <v/>
          </cell>
          <cell r="HQ256" t="str">
            <v/>
          </cell>
          <cell r="HR256" t="str">
            <v/>
          </cell>
          <cell r="HS256" t="str">
            <v/>
          </cell>
          <cell r="HT256" t="str">
            <v/>
          </cell>
          <cell r="HU256" t="str">
            <v/>
          </cell>
          <cell r="HV256" t="str">
            <v/>
          </cell>
          <cell r="HW256" t="str">
            <v/>
          </cell>
          <cell r="MN256" t="str">
            <v/>
          </cell>
          <cell r="MO256" t="str">
            <v/>
          </cell>
          <cell r="MP256" t="str">
            <v/>
          </cell>
          <cell r="MQ256" t="str">
            <v/>
          </cell>
          <cell r="MR256" t="str">
            <v/>
          </cell>
          <cell r="MS256" t="str">
            <v/>
          </cell>
          <cell r="MT256" t="str">
            <v/>
          </cell>
          <cell r="MU256" t="str">
            <v/>
          </cell>
          <cell r="MV256" t="str">
            <v/>
          </cell>
          <cell r="MW256" t="str">
            <v/>
          </cell>
          <cell r="MX256" t="str">
            <v/>
          </cell>
          <cell r="MY256" t="str">
            <v/>
          </cell>
          <cell r="MZ256" t="str">
            <v/>
          </cell>
          <cell r="NA256" t="str">
            <v/>
          </cell>
          <cell r="NB256" t="str">
            <v/>
          </cell>
          <cell r="NC256" t="str">
            <v/>
          </cell>
          <cell r="ND256" t="str">
            <v/>
          </cell>
          <cell r="NE256" t="str">
            <v/>
          </cell>
          <cell r="NF256" t="str">
            <v/>
          </cell>
          <cell r="NG256" t="str">
            <v/>
          </cell>
          <cell r="NH256" t="str">
            <v/>
          </cell>
          <cell r="NI256" t="str">
            <v/>
          </cell>
          <cell r="NJ256" t="str">
            <v/>
          </cell>
        </row>
        <row r="257">
          <cell r="I257" t="str">
            <v>E07000202</v>
          </cell>
          <cell r="GZ257" t="str">
            <v/>
          </cell>
          <cell r="HA257" t="str">
            <v/>
          </cell>
          <cell r="HB257" t="str">
            <v/>
          </cell>
          <cell r="HC257" t="str">
            <v/>
          </cell>
          <cell r="HD257" t="str">
            <v/>
          </cell>
          <cell r="HE257" t="str">
            <v/>
          </cell>
          <cell r="HF257" t="str">
            <v/>
          </cell>
          <cell r="HG257" t="str">
            <v/>
          </cell>
          <cell r="HH257" t="str">
            <v/>
          </cell>
          <cell r="HI257" t="str">
            <v/>
          </cell>
          <cell r="HJ257" t="str">
            <v/>
          </cell>
          <cell r="HK257" t="str">
            <v/>
          </cell>
          <cell r="HL257" t="str">
            <v/>
          </cell>
          <cell r="HM257" t="str">
            <v/>
          </cell>
          <cell r="HN257" t="str">
            <v/>
          </cell>
          <cell r="HO257" t="str">
            <v/>
          </cell>
          <cell r="HP257" t="str">
            <v/>
          </cell>
          <cell r="HQ257" t="str">
            <v/>
          </cell>
          <cell r="HR257" t="str">
            <v/>
          </cell>
          <cell r="HS257" t="str">
            <v/>
          </cell>
          <cell r="HT257" t="str">
            <v/>
          </cell>
          <cell r="HU257" t="str">
            <v/>
          </cell>
          <cell r="HV257" t="str">
            <v/>
          </cell>
          <cell r="HW257" t="str">
            <v/>
          </cell>
          <cell r="MQ257" t="str">
            <v>Analysts to manually calculate</v>
          </cell>
          <cell r="MU257" t="str">
            <v>Analysts to manually calculate</v>
          </cell>
          <cell r="MY257" t="str">
            <v>Analysts to manually calculate</v>
          </cell>
          <cell r="NC257" t="str">
            <v>Analysts to manually calculate</v>
          </cell>
          <cell r="NG257" t="str">
            <v>Analysts to manually calculate</v>
          </cell>
        </row>
        <row r="258">
          <cell r="I258" t="str">
            <v>E07000116</v>
          </cell>
          <cell r="GZ258" t="str">
            <v/>
          </cell>
          <cell r="HA258" t="str">
            <v/>
          </cell>
          <cell r="HB258" t="str">
            <v/>
          </cell>
          <cell r="HC258" t="str">
            <v/>
          </cell>
          <cell r="HD258" t="str">
            <v/>
          </cell>
          <cell r="HE258" t="str">
            <v/>
          </cell>
          <cell r="HF258" t="str">
            <v/>
          </cell>
          <cell r="HG258" t="str">
            <v/>
          </cell>
          <cell r="HH258" t="str">
            <v/>
          </cell>
          <cell r="HI258" t="str">
            <v/>
          </cell>
          <cell r="HJ258" t="str">
            <v/>
          </cell>
          <cell r="HK258" t="str">
            <v/>
          </cell>
          <cell r="HL258" t="str">
            <v/>
          </cell>
          <cell r="HM258" t="str">
            <v/>
          </cell>
          <cell r="HN258" t="str">
            <v/>
          </cell>
          <cell r="HO258" t="str">
            <v/>
          </cell>
          <cell r="HP258" t="str">
            <v/>
          </cell>
          <cell r="HQ258" t="str">
            <v/>
          </cell>
          <cell r="HR258" t="str">
            <v/>
          </cell>
          <cell r="HS258" t="str">
            <v/>
          </cell>
          <cell r="HT258" t="str">
            <v/>
          </cell>
          <cell r="HU258" t="str">
            <v/>
          </cell>
          <cell r="HV258" t="str">
            <v/>
          </cell>
          <cell r="HW258" t="str">
            <v/>
          </cell>
          <cell r="MN258" t="str">
            <v/>
          </cell>
          <cell r="MO258" t="str">
            <v/>
          </cell>
          <cell r="MP258" t="str">
            <v/>
          </cell>
          <cell r="MQ258" t="str">
            <v/>
          </cell>
          <cell r="MR258" t="str">
            <v/>
          </cell>
          <cell r="MS258" t="str">
            <v/>
          </cell>
          <cell r="MT258" t="str">
            <v/>
          </cell>
          <cell r="MU258" t="str">
            <v/>
          </cell>
          <cell r="MV258" t="str">
            <v/>
          </cell>
          <cell r="MW258" t="str">
            <v/>
          </cell>
          <cell r="MX258" t="str">
            <v/>
          </cell>
          <cell r="MY258" t="str">
            <v/>
          </cell>
          <cell r="MZ258" t="str">
            <v/>
          </cell>
          <cell r="NA258" t="str">
            <v/>
          </cell>
          <cell r="NB258" t="str">
            <v/>
          </cell>
          <cell r="NC258" t="str">
            <v/>
          </cell>
          <cell r="ND258" t="str">
            <v/>
          </cell>
          <cell r="NE258" t="str">
            <v/>
          </cell>
          <cell r="NF258" t="str">
            <v/>
          </cell>
          <cell r="NG258" t="str">
            <v/>
          </cell>
          <cell r="NH258" t="str">
            <v/>
          </cell>
          <cell r="NI258" t="str">
            <v/>
          </cell>
          <cell r="NJ258" t="str">
            <v/>
          </cell>
        </row>
        <row r="259">
          <cell r="I259" t="str">
            <v>E06000049</v>
          </cell>
          <cell r="GZ259" t="str">
            <v/>
          </cell>
          <cell r="HA259" t="str">
            <v/>
          </cell>
          <cell r="HB259" t="str">
            <v/>
          </cell>
          <cell r="HC259" t="str">
            <v/>
          </cell>
          <cell r="HD259" t="str">
            <v/>
          </cell>
          <cell r="HE259" t="str">
            <v/>
          </cell>
          <cell r="HF259" t="str">
            <v/>
          </cell>
          <cell r="HG259" t="str">
            <v/>
          </cell>
          <cell r="HH259" t="str">
            <v/>
          </cell>
          <cell r="HI259" t="str">
            <v/>
          </cell>
          <cell r="HJ259" t="str">
            <v/>
          </cell>
          <cell r="HK259" t="str">
            <v/>
          </cell>
          <cell r="HL259" t="str">
            <v/>
          </cell>
          <cell r="HM259" t="str">
            <v/>
          </cell>
          <cell r="HN259" t="str">
            <v/>
          </cell>
          <cell r="HO259" t="str">
            <v/>
          </cell>
          <cell r="HP259" t="str">
            <v/>
          </cell>
          <cell r="HQ259" t="str">
            <v/>
          </cell>
          <cell r="HR259" t="str">
            <v/>
          </cell>
          <cell r="HS259" t="str">
            <v/>
          </cell>
          <cell r="HT259" t="str">
            <v/>
          </cell>
          <cell r="HU259" t="str">
            <v/>
          </cell>
          <cell r="HV259" t="str">
            <v/>
          </cell>
          <cell r="HW259" t="str">
            <v/>
          </cell>
          <cell r="MN259" t="str">
            <v/>
          </cell>
          <cell r="MO259" t="str">
            <v/>
          </cell>
          <cell r="MP259" t="str">
            <v/>
          </cell>
          <cell r="MQ259" t="str">
            <v/>
          </cell>
          <cell r="MR259" t="str">
            <v/>
          </cell>
          <cell r="MS259" t="str">
            <v/>
          </cell>
          <cell r="MT259" t="str">
            <v/>
          </cell>
          <cell r="MU259" t="str">
            <v/>
          </cell>
          <cell r="MV259" t="str">
            <v/>
          </cell>
          <cell r="MW259" t="str">
            <v/>
          </cell>
          <cell r="MX259" t="str">
            <v/>
          </cell>
          <cell r="MY259" t="str">
            <v/>
          </cell>
          <cell r="MZ259" t="str">
            <v/>
          </cell>
          <cell r="NA259" t="str">
            <v/>
          </cell>
          <cell r="NB259" t="str">
            <v/>
          </cell>
          <cell r="NC259" t="str">
            <v/>
          </cell>
          <cell r="ND259" t="str">
            <v/>
          </cell>
          <cell r="NE259" t="str">
            <v/>
          </cell>
          <cell r="NF259" t="str">
            <v/>
          </cell>
          <cell r="NG259" t="str">
            <v/>
          </cell>
          <cell r="NH259" t="str">
            <v/>
          </cell>
          <cell r="NI259" t="str">
            <v/>
          </cell>
          <cell r="NJ259" t="str">
            <v/>
          </cell>
        </row>
        <row r="260">
          <cell r="I260" t="str">
            <v>E06000034</v>
          </cell>
          <cell r="GZ260">
            <v>36982</v>
          </cell>
          <cell r="HA260">
            <v>44286</v>
          </cell>
          <cell r="HB260">
            <v>925</v>
          </cell>
          <cell r="HC260">
            <v>925</v>
          </cell>
          <cell r="HD260">
            <v>44287</v>
          </cell>
          <cell r="HE260">
            <v>46112</v>
          </cell>
          <cell r="HF260">
            <v>950</v>
          </cell>
          <cell r="HG260">
            <v>950</v>
          </cell>
          <cell r="HH260" t="str">
            <v/>
          </cell>
          <cell r="HI260" t="str">
            <v/>
          </cell>
          <cell r="HJ260" t="str">
            <v/>
          </cell>
          <cell r="HK260" t="str">
            <v/>
          </cell>
          <cell r="HL260" t="str">
            <v/>
          </cell>
          <cell r="HM260" t="str">
            <v/>
          </cell>
          <cell r="HN260" t="str">
            <v/>
          </cell>
          <cell r="HO260" t="str">
            <v/>
          </cell>
          <cell r="HP260" t="str">
            <v/>
          </cell>
          <cell r="HQ260" t="str">
            <v/>
          </cell>
          <cell r="HR260" t="str">
            <v/>
          </cell>
          <cell r="HS260" t="str">
            <v/>
          </cell>
          <cell r="HT260" t="str">
            <v/>
          </cell>
          <cell r="HU260" t="str">
            <v/>
          </cell>
          <cell r="HV260" t="str">
            <v/>
          </cell>
          <cell r="HW260" t="str">
            <v/>
          </cell>
          <cell r="MN260" t="str">
            <v/>
          </cell>
          <cell r="MO260" t="str">
            <v/>
          </cell>
          <cell r="MP260" t="str">
            <v/>
          </cell>
          <cell r="MQ260" t="str">
            <v/>
          </cell>
          <cell r="MR260" t="str">
            <v/>
          </cell>
          <cell r="MS260" t="str">
            <v/>
          </cell>
          <cell r="MT260" t="str">
            <v/>
          </cell>
          <cell r="MU260" t="str">
            <v/>
          </cell>
          <cell r="MV260" t="str">
            <v/>
          </cell>
          <cell r="MW260" t="str">
            <v/>
          </cell>
          <cell r="MX260" t="str">
            <v/>
          </cell>
          <cell r="MY260" t="str">
            <v/>
          </cell>
          <cell r="MZ260" t="str">
            <v/>
          </cell>
          <cell r="NA260" t="str">
            <v/>
          </cell>
          <cell r="NB260" t="str">
            <v/>
          </cell>
          <cell r="NC260" t="str">
            <v/>
          </cell>
          <cell r="ND260" t="str">
            <v/>
          </cell>
          <cell r="NE260" t="str">
            <v/>
          </cell>
          <cell r="NF260" t="str">
            <v/>
          </cell>
          <cell r="NG260" t="str">
            <v/>
          </cell>
          <cell r="NH260" t="str">
            <v/>
          </cell>
          <cell r="NI260" t="str">
            <v/>
          </cell>
          <cell r="NJ260" t="str">
            <v/>
          </cell>
        </row>
        <row r="261">
          <cell r="I261" t="str">
            <v>E07000214</v>
          </cell>
          <cell r="GZ261" t="str">
            <v/>
          </cell>
          <cell r="HA261" t="str">
            <v/>
          </cell>
          <cell r="HB261" t="str">
            <v/>
          </cell>
          <cell r="HC261" t="str">
            <v/>
          </cell>
          <cell r="HD261" t="str">
            <v/>
          </cell>
          <cell r="HE261" t="str">
            <v/>
          </cell>
          <cell r="HF261" t="str">
            <v/>
          </cell>
          <cell r="HG261" t="str">
            <v/>
          </cell>
          <cell r="HH261" t="str">
            <v/>
          </cell>
          <cell r="HI261" t="str">
            <v/>
          </cell>
          <cell r="HJ261" t="str">
            <v/>
          </cell>
          <cell r="HK261" t="str">
            <v/>
          </cell>
          <cell r="HL261" t="str">
            <v/>
          </cell>
          <cell r="HM261" t="str">
            <v/>
          </cell>
          <cell r="HN261" t="str">
            <v/>
          </cell>
          <cell r="HO261" t="str">
            <v/>
          </cell>
          <cell r="HP261" t="str">
            <v/>
          </cell>
          <cell r="HQ261" t="str">
            <v/>
          </cell>
          <cell r="HR261" t="str">
            <v/>
          </cell>
          <cell r="HS261" t="str">
            <v/>
          </cell>
          <cell r="HT261" t="str">
            <v/>
          </cell>
          <cell r="HU261" t="str">
            <v/>
          </cell>
          <cell r="HV261" t="str">
            <v/>
          </cell>
          <cell r="HW261" t="str">
            <v/>
          </cell>
          <cell r="MN261" t="str">
            <v/>
          </cell>
          <cell r="MO261" t="str">
            <v/>
          </cell>
          <cell r="MP261" t="str">
            <v/>
          </cell>
          <cell r="MQ261" t="str">
            <v/>
          </cell>
          <cell r="MR261" t="str">
            <v/>
          </cell>
          <cell r="MS261" t="str">
            <v/>
          </cell>
          <cell r="MT261" t="str">
            <v/>
          </cell>
          <cell r="MU261" t="str">
            <v/>
          </cell>
          <cell r="MV261" t="str">
            <v/>
          </cell>
          <cell r="MW261" t="str">
            <v/>
          </cell>
          <cell r="MX261" t="str">
            <v/>
          </cell>
          <cell r="MY261" t="str">
            <v/>
          </cell>
          <cell r="MZ261" t="str">
            <v/>
          </cell>
          <cell r="NA261" t="str">
            <v/>
          </cell>
          <cell r="NB261" t="str">
            <v/>
          </cell>
          <cell r="NC261" t="str">
            <v/>
          </cell>
          <cell r="ND261" t="str">
            <v/>
          </cell>
          <cell r="NE261" t="str">
            <v/>
          </cell>
          <cell r="NF261" t="str">
            <v/>
          </cell>
          <cell r="NG261" t="str">
            <v/>
          </cell>
          <cell r="NH261" t="str">
            <v/>
          </cell>
          <cell r="NI261" t="str">
            <v/>
          </cell>
          <cell r="NJ261" t="str">
            <v/>
          </cell>
        </row>
        <row r="262">
          <cell r="I262" t="str">
            <v>E07000224</v>
          </cell>
          <cell r="GZ262">
            <v>40634</v>
          </cell>
          <cell r="HA262">
            <v>42460</v>
          </cell>
          <cell r="HB262">
            <v>610</v>
          </cell>
          <cell r="HC262">
            <v>610</v>
          </cell>
          <cell r="HD262">
            <v>42461</v>
          </cell>
          <cell r="HE262">
            <v>44286</v>
          </cell>
          <cell r="HF262">
            <v>1120</v>
          </cell>
          <cell r="HG262">
            <v>1120</v>
          </cell>
          <cell r="HH262">
            <v>44287</v>
          </cell>
          <cell r="HI262">
            <v>46112</v>
          </cell>
          <cell r="HJ262">
            <v>1310</v>
          </cell>
          <cell r="HK262">
            <v>1310</v>
          </cell>
          <cell r="HL262">
            <v>46113</v>
          </cell>
          <cell r="HM262">
            <v>47938</v>
          </cell>
          <cell r="HN262">
            <v>960</v>
          </cell>
          <cell r="HO262">
            <v>960</v>
          </cell>
          <cell r="HP262" t="str">
            <v/>
          </cell>
          <cell r="HQ262" t="str">
            <v/>
          </cell>
          <cell r="HR262" t="str">
            <v/>
          </cell>
          <cell r="HS262" t="str">
            <v/>
          </cell>
          <cell r="HT262" t="str">
            <v/>
          </cell>
          <cell r="HU262" t="str">
            <v/>
          </cell>
          <cell r="HV262" t="str">
            <v/>
          </cell>
          <cell r="HW262" t="str">
            <v/>
          </cell>
          <cell r="MN262" t="str">
            <v/>
          </cell>
          <cell r="MO262" t="str">
            <v/>
          </cell>
          <cell r="MP262" t="str">
            <v/>
          </cell>
          <cell r="MQ262" t="str">
            <v/>
          </cell>
          <cell r="MR262" t="str">
            <v/>
          </cell>
          <cell r="MS262" t="str">
            <v/>
          </cell>
          <cell r="MT262" t="str">
            <v/>
          </cell>
          <cell r="MU262" t="str">
            <v/>
          </cell>
          <cell r="MV262" t="str">
            <v/>
          </cell>
          <cell r="MW262" t="str">
            <v/>
          </cell>
          <cell r="MX262" t="str">
            <v/>
          </cell>
          <cell r="MY262" t="str">
            <v/>
          </cell>
          <cell r="MZ262" t="str">
            <v/>
          </cell>
          <cell r="NA262" t="str">
            <v/>
          </cell>
          <cell r="NB262" t="str">
            <v/>
          </cell>
          <cell r="NC262" t="str">
            <v/>
          </cell>
          <cell r="ND262" t="str">
            <v/>
          </cell>
          <cell r="NE262" t="str">
            <v/>
          </cell>
          <cell r="NF262" t="str">
            <v/>
          </cell>
          <cell r="NG262" t="str">
            <v/>
          </cell>
          <cell r="NH262" t="str">
            <v/>
          </cell>
          <cell r="NI262" t="str">
            <v/>
          </cell>
          <cell r="NJ262" t="str">
            <v/>
          </cell>
        </row>
        <row r="263">
          <cell r="I263" t="str">
            <v>E07000191</v>
          </cell>
          <cell r="GZ263">
            <v>41000</v>
          </cell>
          <cell r="HA263">
            <v>43190</v>
          </cell>
          <cell r="HB263">
            <v>122</v>
          </cell>
          <cell r="HC263" t="str">
            <v>Analyst To Calculate</v>
          </cell>
          <cell r="HD263">
            <v>43191</v>
          </cell>
          <cell r="HE263">
            <v>48304</v>
          </cell>
          <cell r="HF263">
            <v>155</v>
          </cell>
          <cell r="HG263" t="str">
            <v>Analyst To Calculate</v>
          </cell>
          <cell r="HH263" t="str">
            <v/>
          </cell>
          <cell r="HI263" t="str">
            <v/>
          </cell>
          <cell r="HJ263" t="str">
            <v/>
          </cell>
          <cell r="HK263" t="str">
            <v>Analyst To Calculate</v>
          </cell>
          <cell r="HL263" t="str">
            <v/>
          </cell>
          <cell r="HM263" t="str">
            <v/>
          </cell>
          <cell r="HN263" t="str">
            <v/>
          </cell>
          <cell r="HO263" t="str">
            <v>Analyst To Calculate</v>
          </cell>
          <cell r="HP263" t="str">
            <v/>
          </cell>
          <cell r="HQ263" t="str">
            <v/>
          </cell>
          <cell r="HR263" t="str">
            <v/>
          </cell>
          <cell r="HS263" t="str">
            <v>Analyst To Calculate</v>
          </cell>
          <cell r="HT263" t="str">
            <v/>
          </cell>
          <cell r="HU263" t="str">
            <v/>
          </cell>
          <cell r="HV263" t="str">
            <v/>
          </cell>
          <cell r="HW263" t="str">
            <v>Analyst To Calculate</v>
          </cell>
          <cell r="MN263" t="str">
            <v/>
          </cell>
          <cell r="MO263" t="str">
            <v/>
          </cell>
          <cell r="MP263" t="str">
            <v/>
          </cell>
          <cell r="MQ263" t="str">
            <v/>
          </cell>
          <cell r="MR263" t="str">
            <v/>
          </cell>
          <cell r="MS263" t="str">
            <v/>
          </cell>
          <cell r="MT263" t="str">
            <v/>
          </cell>
          <cell r="MU263" t="str">
            <v/>
          </cell>
          <cell r="MV263" t="str">
            <v/>
          </cell>
          <cell r="MW263" t="str">
            <v/>
          </cell>
          <cell r="MX263" t="str">
            <v/>
          </cell>
          <cell r="MY263" t="str">
            <v/>
          </cell>
          <cell r="MZ263" t="str">
            <v/>
          </cell>
          <cell r="NA263" t="str">
            <v/>
          </cell>
          <cell r="NB263" t="str">
            <v/>
          </cell>
          <cell r="NC263" t="str">
            <v/>
          </cell>
          <cell r="ND263" t="str">
            <v/>
          </cell>
          <cell r="NE263" t="str">
            <v/>
          </cell>
          <cell r="NF263" t="str">
            <v/>
          </cell>
          <cell r="NG263" t="str">
            <v/>
          </cell>
          <cell r="NH263" t="str">
            <v/>
          </cell>
          <cell r="NI263" t="str">
            <v/>
          </cell>
          <cell r="NJ263" t="str">
            <v/>
          </cell>
        </row>
        <row r="264">
          <cell r="I264" t="str">
            <v>E07000045</v>
          </cell>
          <cell r="GZ264" t="str">
            <v/>
          </cell>
          <cell r="HA264" t="str">
            <v/>
          </cell>
          <cell r="HB264" t="str">
            <v/>
          </cell>
          <cell r="HC264" t="str">
            <v/>
          </cell>
          <cell r="HD264" t="str">
            <v/>
          </cell>
          <cell r="HE264" t="str">
            <v/>
          </cell>
          <cell r="HF264" t="str">
            <v/>
          </cell>
          <cell r="HG264" t="str">
            <v/>
          </cell>
          <cell r="HH264" t="str">
            <v/>
          </cell>
          <cell r="HI264" t="str">
            <v/>
          </cell>
          <cell r="HJ264" t="str">
            <v/>
          </cell>
          <cell r="HK264" t="str">
            <v/>
          </cell>
          <cell r="HL264" t="str">
            <v/>
          </cell>
          <cell r="HM264" t="str">
            <v/>
          </cell>
          <cell r="HN264" t="str">
            <v/>
          </cell>
          <cell r="HO264" t="str">
            <v/>
          </cell>
          <cell r="HP264" t="str">
            <v/>
          </cell>
          <cell r="HQ264" t="str">
            <v/>
          </cell>
          <cell r="HR264" t="str">
            <v/>
          </cell>
          <cell r="HS264" t="str">
            <v/>
          </cell>
          <cell r="HT264" t="str">
            <v/>
          </cell>
          <cell r="HU264" t="str">
            <v/>
          </cell>
          <cell r="HV264" t="str">
            <v/>
          </cell>
          <cell r="HW264" t="str">
            <v/>
          </cell>
          <cell r="MN264" t="str">
            <v/>
          </cell>
          <cell r="MO264" t="str">
            <v/>
          </cell>
          <cell r="MP264" t="str">
            <v/>
          </cell>
          <cell r="MQ264" t="str">
            <v/>
          </cell>
          <cell r="MR264" t="str">
            <v/>
          </cell>
          <cell r="MS264" t="str">
            <v/>
          </cell>
          <cell r="MT264" t="str">
            <v/>
          </cell>
          <cell r="MU264" t="str">
            <v/>
          </cell>
          <cell r="MV264" t="str">
            <v/>
          </cell>
          <cell r="MW264" t="str">
            <v/>
          </cell>
          <cell r="MX264" t="str">
            <v/>
          </cell>
          <cell r="MY264" t="str">
            <v/>
          </cell>
          <cell r="MZ264" t="str">
            <v/>
          </cell>
          <cell r="NA264" t="str">
            <v/>
          </cell>
          <cell r="NB264" t="str">
            <v/>
          </cell>
          <cell r="NC264" t="str">
            <v/>
          </cell>
          <cell r="ND264" t="str">
            <v/>
          </cell>
          <cell r="NE264" t="str">
            <v/>
          </cell>
          <cell r="NF264" t="str">
            <v/>
          </cell>
          <cell r="NG264" t="str">
            <v/>
          </cell>
          <cell r="NH264" t="str">
            <v/>
          </cell>
          <cell r="NI264" t="str">
            <v/>
          </cell>
          <cell r="NJ264" t="str">
            <v/>
          </cell>
        </row>
        <row r="265">
          <cell r="I265" t="str">
            <v>E06000035</v>
          </cell>
          <cell r="GZ265" t="str">
            <v/>
          </cell>
          <cell r="HA265" t="str">
            <v/>
          </cell>
          <cell r="HB265" t="str">
            <v/>
          </cell>
          <cell r="HC265" t="str">
            <v/>
          </cell>
          <cell r="HD265" t="str">
            <v/>
          </cell>
          <cell r="HE265" t="str">
            <v/>
          </cell>
          <cell r="HF265" t="str">
            <v/>
          </cell>
          <cell r="HG265" t="str">
            <v/>
          </cell>
          <cell r="HH265" t="str">
            <v/>
          </cell>
          <cell r="HI265" t="str">
            <v/>
          </cell>
          <cell r="HJ265" t="str">
            <v/>
          </cell>
          <cell r="HK265" t="str">
            <v/>
          </cell>
          <cell r="HL265" t="str">
            <v/>
          </cell>
          <cell r="HM265" t="str">
            <v/>
          </cell>
          <cell r="HN265" t="str">
            <v/>
          </cell>
          <cell r="HO265" t="str">
            <v/>
          </cell>
          <cell r="HP265" t="str">
            <v/>
          </cell>
          <cell r="HQ265" t="str">
            <v/>
          </cell>
          <cell r="HR265" t="str">
            <v/>
          </cell>
          <cell r="HS265" t="str">
            <v/>
          </cell>
          <cell r="HT265" t="str">
            <v/>
          </cell>
          <cell r="HU265" t="str">
            <v/>
          </cell>
          <cell r="HV265" t="str">
            <v/>
          </cell>
          <cell r="HW265" t="str">
            <v/>
          </cell>
          <cell r="MN265" t="str">
            <v/>
          </cell>
          <cell r="MO265" t="str">
            <v/>
          </cell>
          <cell r="MP265" t="str">
            <v/>
          </cell>
          <cell r="MQ265" t="str">
            <v/>
          </cell>
          <cell r="MR265" t="str">
            <v/>
          </cell>
          <cell r="MS265" t="str">
            <v/>
          </cell>
          <cell r="MT265" t="str">
            <v/>
          </cell>
          <cell r="MU265" t="str">
            <v/>
          </cell>
          <cell r="MV265" t="str">
            <v/>
          </cell>
          <cell r="MW265" t="str">
            <v/>
          </cell>
          <cell r="MX265" t="str">
            <v/>
          </cell>
          <cell r="MY265" t="str">
            <v/>
          </cell>
          <cell r="MZ265" t="str">
            <v/>
          </cell>
          <cell r="NA265" t="str">
            <v/>
          </cell>
          <cell r="NB265" t="str">
            <v/>
          </cell>
          <cell r="NC265" t="str">
            <v/>
          </cell>
          <cell r="ND265" t="str">
            <v/>
          </cell>
          <cell r="NE265" t="str">
            <v/>
          </cell>
          <cell r="NF265" t="str">
            <v/>
          </cell>
          <cell r="NG265" t="str">
            <v/>
          </cell>
          <cell r="NH265" t="str">
            <v/>
          </cell>
          <cell r="NI265" t="str">
            <v/>
          </cell>
          <cell r="NJ265" t="str">
            <v/>
          </cell>
        </row>
        <row r="266">
          <cell r="I266" t="str">
            <v>E07000219</v>
          </cell>
          <cell r="GZ266">
            <v>40634</v>
          </cell>
          <cell r="HA266">
            <v>43190</v>
          </cell>
          <cell r="HB266">
            <v>502</v>
          </cell>
          <cell r="HC266" t="str">
            <v>Analyst To Calculate</v>
          </cell>
          <cell r="HD266">
            <v>43191</v>
          </cell>
          <cell r="HE266">
            <v>47938</v>
          </cell>
          <cell r="HF266">
            <v>812</v>
          </cell>
          <cell r="HG266" t="str">
            <v>Analyst To Calculate</v>
          </cell>
          <cell r="HH266" t="str">
            <v/>
          </cell>
          <cell r="HI266" t="str">
            <v/>
          </cell>
          <cell r="HJ266" t="str">
            <v/>
          </cell>
          <cell r="HK266" t="str">
            <v>Analyst To Calculate</v>
          </cell>
          <cell r="HL266" t="str">
            <v/>
          </cell>
          <cell r="HM266" t="str">
            <v/>
          </cell>
          <cell r="HN266" t="str">
            <v/>
          </cell>
          <cell r="HO266" t="str">
            <v>Analyst To Calculate</v>
          </cell>
          <cell r="HP266" t="str">
            <v/>
          </cell>
          <cell r="HQ266" t="str">
            <v/>
          </cell>
          <cell r="HR266" t="str">
            <v/>
          </cell>
          <cell r="HS266" t="str">
            <v>Analyst To Calculate</v>
          </cell>
          <cell r="HT266" t="str">
            <v/>
          </cell>
          <cell r="HU266" t="str">
            <v/>
          </cell>
          <cell r="HV266" t="str">
            <v/>
          </cell>
          <cell r="HW266" t="str">
            <v>Analyst To Calculate</v>
          </cell>
          <cell r="MN266" t="str">
            <v/>
          </cell>
          <cell r="MO266" t="str">
            <v/>
          </cell>
          <cell r="MP266" t="str">
            <v/>
          </cell>
          <cell r="MQ266" t="str">
            <v/>
          </cell>
          <cell r="MR266" t="str">
            <v/>
          </cell>
          <cell r="MS266" t="str">
            <v/>
          </cell>
          <cell r="MT266" t="str">
            <v/>
          </cell>
          <cell r="MU266" t="str">
            <v/>
          </cell>
          <cell r="MV266" t="str">
            <v/>
          </cell>
          <cell r="MW266" t="str">
            <v/>
          </cell>
          <cell r="MX266" t="str">
            <v/>
          </cell>
          <cell r="MY266" t="str">
            <v/>
          </cell>
          <cell r="MZ266" t="str">
            <v/>
          </cell>
          <cell r="NA266" t="str">
            <v/>
          </cell>
          <cell r="NB266" t="str">
            <v/>
          </cell>
          <cell r="NC266" t="str">
            <v/>
          </cell>
          <cell r="ND266" t="str">
            <v/>
          </cell>
          <cell r="NE266" t="str">
            <v/>
          </cell>
          <cell r="NF266" t="str">
            <v/>
          </cell>
          <cell r="NG266" t="str">
            <v/>
          </cell>
          <cell r="NH266" t="str">
            <v/>
          </cell>
          <cell r="NI266" t="str">
            <v/>
          </cell>
          <cell r="NJ266" t="str">
            <v/>
          </cell>
        </row>
        <row r="267">
          <cell r="I267" t="str">
            <v>E08000023</v>
          </cell>
          <cell r="GZ267" t="str">
            <v/>
          </cell>
          <cell r="HA267" t="str">
            <v/>
          </cell>
          <cell r="HB267" t="str">
            <v/>
          </cell>
          <cell r="HC267" t="str">
            <v/>
          </cell>
          <cell r="HD267" t="str">
            <v/>
          </cell>
          <cell r="HE267" t="str">
            <v/>
          </cell>
          <cell r="HF267" t="str">
            <v/>
          </cell>
          <cell r="HG267" t="str">
            <v/>
          </cell>
          <cell r="HH267" t="str">
            <v/>
          </cell>
          <cell r="HI267" t="str">
            <v/>
          </cell>
          <cell r="HJ267" t="str">
            <v/>
          </cell>
          <cell r="HK267" t="str">
            <v/>
          </cell>
          <cell r="HL267" t="str">
            <v/>
          </cell>
          <cell r="HM267" t="str">
            <v/>
          </cell>
          <cell r="HN267" t="str">
            <v/>
          </cell>
          <cell r="HO267" t="str">
            <v/>
          </cell>
          <cell r="HP267" t="str">
            <v/>
          </cell>
          <cell r="HQ267" t="str">
            <v/>
          </cell>
          <cell r="HR267" t="str">
            <v/>
          </cell>
          <cell r="HS267" t="str">
            <v/>
          </cell>
          <cell r="HT267" t="str">
            <v/>
          </cell>
          <cell r="HU267" t="str">
            <v/>
          </cell>
          <cell r="HV267" t="str">
            <v/>
          </cell>
          <cell r="HW267" t="str">
            <v/>
          </cell>
          <cell r="MN267" t="str">
            <v/>
          </cell>
          <cell r="MO267" t="str">
            <v/>
          </cell>
          <cell r="MP267" t="str">
            <v/>
          </cell>
          <cell r="MQ267" t="str">
            <v/>
          </cell>
          <cell r="MR267" t="str">
            <v/>
          </cell>
          <cell r="MS267" t="str">
            <v/>
          </cell>
          <cell r="MT267" t="str">
            <v/>
          </cell>
          <cell r="MU267" t="str">
            <v/>
          </cell>
          <cell r="MV267" t="str">
            <v/>
          </cell>
          <cell r="MW267" t="str">
            <v/>
          </cell>
          <cell r="MX267" t="str">
            <v/>
          </cell>
          <cell r="MY267" t="str">
            <v/>
          </cell>
          <cell r="MZ267" t="str">
            <v/>
          </cell>
          <cell r="NA267" t="str">
            <v/>
          </cell>
          <cell r="NB267" t="str">
            <v/>
          </cell>
          <cell r="NC267" t="str">
            <v/>
          </cell>
          <cell r="ND267" t="str">
            <v/>
          </cell>
          <cell r="NE267" t="str">
            <v/>
          </cell>
          <cell r="NF267" t="str">
            <v/>
          </cell>
          <cell r="NG267" t="str">
            <v/>
          </cell>
          <cell r="NH267" t="str">
            <v/>
          </cell>
          <cell r="NI267" t="str">
            <v/>
          </cell>
          <cell r="NJ267" t="str">
            <v/>
          </cell>
        </row>
        <row r="268">
          <cell r="I268" t="str">
            <v>E06000022</v>
          </cell>
          <cell r="GZ268" t="str">
            <v/>
          </cell>
          <cell r="HA268" t="str">
            <v/>
          </cell>
          <cell r="HB268" t="str">
            <v/>
          </cell>
          <cell r="HC268" t="str">
            <v/>
          </cell>
          <cell r="HD268" t="str">
            <v/>
          </cell>
          <cell r="HE268" t="str">
            <v/>
          </cell>
          <cell r="HF268" t="str">
            <v/>
          </cell>
          <cell r="HG268" t="str">
            <v/>
          </cell>
          <cell r="HH268" t="str">
            <v/>
          </cell>
          <cell r="HI268" t="str">
            <v/>
          </cell>
          <cell r="HJ268" t="str">
            <v/>
          </cell>
          <cell r="HK268" t="str">
            <v/>
          </cell>
          <cell r="HL268" t="str">
            <v/>
          </cell>
          <cell r="HM268" t="str">
            <v/>
          </cell>
          <cell r="HN268" t="str">
            <v/>
          </cell>
          <cell r="HO268" t="str">
            <v/>
          </cell>
          <cell r="HP268" t="str">
            <v/>
          </cell>
          <cell r="HQ268" t="str">
            <v/>
          </cell>
          <cell r="HR268" t="str">
            <v/>
          </cell>
          <cell r="HS268" t="str">
            <v/>
          </cell>
          <cell r="HT268" t="str">
            <v/>
          </cell>
          <cell r="HU268" t="str">
            <v/>
          </cell>
          <cell r="HV268" t="str">
            <v/>
          </cell>
          <cell r="HW268" t="str">
            <v/>
          </cell>
          <cell r="MN268" t="str">
            <v/>
          </cell>
          <cell r="MO268" t="str">
            <v/>
          </cell>
          <cell r="MP268" t="str">
            <v/>
          </cell>
          <cell r="MQ268" t="str">
            <v/>
          </cell>
          <cell r="MR268" t="str">
            <v/>
          </cell>
          <cell r="MS268" t="str">
            <v/>
          </cell>
          <cell r="MT268" t="str">
            <v/>
          </cell>
          <cell r="MU268" t="str">
            <v/>
          </cell>
          <cell r="MV268" t="str">
            <v/>
          </cell>
          <cell r="MW268" t="str">
            <v/>
          </cell>
          <cell r="MX268" t="str">
            <v/>
          </cell>
          <cell r="MY268" t="str">
            <v/>
          </cell>
          <cell r="MZ268" t="str">
            <v/>
          </cell>
          <cell r="NA268" t="str">
            <v/>
          </cell>
          <cell r="NB268" t="str">
            <v/>
          </cell>
          <cell r="NC268" t="str">
            <v/>
          </cell>
          <cell r="ND268" t="str">
            <v/>
          </cell>
          <cell r="NE268" t="str">
            <v/>
          </cell>
          <cell r="NF268" t="str">
            <v/>
          </cell>
          <cell r="NG268" t="str">
            <v/>
          </cell>
          <cell r="NH268" t="str">
            <v/>
          </cell>
          <cell r="NI268" t="str">
            <v/>
          </cell>
          <cell r="NJ268" t="str">
            <v/>
          </cell>
        </row>
        <row r="269">
          <cell r="I269" t="str">
            <v>E08000027</v>
          </cell>
          <cell r="GZ269">
            <v>38808</v>
          </cell>
          <cell r="HA269">
            <v>42460</v>
          </cell>
          <cell r="HB269">
            <v>811.2</v>
          </cell>
          <cell r="HC269" t="str">
            <v>Analyst To Calculate</v>
          </cell>
          <cell r="HD269">
            <v>42461</v>
          </cell>
          <cell r="HE269">
            <v>44286</v>
          </cell>
          <cell r="HF269">
            <v>534</v>
          </cell>
          <cell r="HG269" t="str">
            <v>Analyst To Calculate</v>
          </cell>
          <cell r="HH269">
            <v>44287</v>
          </cell>
          <cell r="HI269">
            <v>46112</v>
          </cell>
          <cell r="HJ269">
            <v>1069</v>
          </cell>
          <cell r="HK269" t="str">
            <v>Analyst To Calculate</v>
          </cell>
          <cell r="HL269" t="str">
            <v/>
          </cell>
          <cell r="HM269" t="str">
            <v/>
          </cell>
          <cell r="HN269" t="str">
            <v/>
          </cell>
          <cell r="HO269" t="str">
            <v>Analyst To Calculate</v>
          </cell>
          <cell r="HP269" t="str">
            <v/>
          </cell>
          <cell r="HQ269" t="str">
            <v/>
          </cell>
          <cell r="HR269" t="str">
            <v/>
          </cell>
          <cell r="HS269" t="str">
            <v>Analyst To Calculate</v>
          </cell>
          <cell r="HT269" t="str">
            <v/>
          </cell>
          <cell r="HU269" t="str">
            <v/>
          </cell>
          <cell r="HV269" t="str">
            <v/>
          </cell>
          <cell r="HW269" t="str">
            <v>Analyst To Calculate</v>
          </cell>
          <cell r="MN269" t="str">
            <v/>
          </cell>
          <cell r="MO269" t="str">
            <v/>
          </cell>
          <cell r="MP269" t="str">
            <v/>
          </cell>
          <cell r="MQ269" t="str">
            <v/>
          </cell>
          <cell r="MR269" t="str">
            <v/>
          </cell>
          <cell r="MS269" t="str">
            <v/>
          </cell>
          <cell r="MT269" t="str">
            <v/>
          </cell>
          <cell r="MU269" t="str">
            <v/>
          </cell>
          <cell r="MV269" t="str">
            <v/>
          </cell>
          <cell r="MW269" t="str">
            <v/>
          </cell>
          <cell r="MX269" t="str">
            <v/>
          </cell>
          <cell r="MY269" t="str">
            <v/>
          </cell>
          <cell r="MZ269" t="str">
            <v/>
          </cell>
          <cell r="NA269" t="str">
            <v/>
          </cell>
          <cell r="NB269" t="str">
            <v/>
          </cell>
          <cell r="NC269" t="str">
            <v/>
          </cell>
          <cell r="ND269" t="str">
            <v/>
          </cell>
          <cell r="NE269" t="str">
            <v/>
          </cell>
          <cell r="NF269" t="str">
            <v/>
          </cell>
          <cell r="NG269" t="str">
            <v/>
          </cell>
          <cell r="NH269" t="str">
            <v/>
          </cell>
          <cell r="NI269" t="str">
            <v/>
          </cell>
          <cell r="NJ269" t="str">
            <v/>
          </cell>
        </row>
        <row r="270">
          <cell r="I270" t="str">
            <v>E08000014</v>
          </cell>
          <cell r="GZ270">
            <v>41000</v>
          </cell>
          <cell r="HA270">
            <v>42825</v>
          </cell>
          <cell r="HB270">
            <v>500</v>
          </cell>
          <cell r="HC270" t="str">
            <v>Analyst To Calculate</v>
          </cell>
          <cell r="HD270">
            <v>42826</v>
          </cell>
          <cell r="HE270">
            <v>47573</v>
          </cell>
          <cell r="HF270">
            <v>694</v>
          </cell>
          <cell r="HG270" t="str">
            <v>Analyst To Calculate</v>
          </cell>
          <cell r="HH270" t="str">
            <v/>
          </cell>
          <cell r="HI270" t="str">
            <v/>
          </cell>
          <cell r="HJ270" t="str">
            <v/>
          </cell>
          <cell r="HK270" t="str">
            <v>Analyst To Calculate</v>
          </cell>
          <cell r="HL270" t="str">
            <v/>
          </cell>
          <cell r="HM270" t="str">
            <v/>
          </cell>
          <cell r="HN270" t="str">
            <v/>
          </cell>
          <cell r="HO270" t="str">
            <v>Analyst To Calculate</v>
          </cell>
          <cell r="HP270" t="str">
            <v/>
          </cell>
          <cell r="HQ270" t="str">
            <v/>
          </cell>
          <cell r="HR270" t="str">
            <v/>
          </cell>
          <cell r="HS270" t="str">
            <v>Analyst To Calculate</v>
          </cell>
          <cell r="HT270" t="str">
            <v/>
          </cell>
          <cell r="HU270" t="str">
            <v/>
          </cell>
          <cell r="HV270" t="str">
            <v/>
          </cell>
          <cell r="HW270" t="str">
            <v>Analyst To Calculate</v>
          </cell>
          <cell r="MN270" t="str">
            <v/>
          </cell>
          <cell r="MO270" t="str">
            <v/>
          </cell>
          <cell r="MP270" t="str">
            <v/>
          </cell>
          <cell r="MQ270" t="str">
            <v/>
          </cell>
          <cell r="MR270" t="str">
            <v/>
          </cell>
          <cell r="MS270" t="str">
            <v/>
          </cell>
          <cell r="MT270" t="str">
            <v/>
          </cell>
          <cell r="MU270" t="str">
            <v/>
          </cell>
          <cell r="MV270" t="str">
            <v/>
          </cell>
          <cell r="MW270" t="str">
            <v/>
          </cell>
          <cell r="MX270" t="str">
            <v/>
          </cell>
          <cell r="MY270" t="str">
            <v/>
          </cell>
          <cell r="MZ270" t="str">
            <v/>
          </cell>
          <cell r="NA270" t="str">
            <v/>
          </cell>
          <cell r="NB270" t="str">
            <v/>
          </cell>
          <cell r="NC270" t="str">
            <v/>
          </cell>
          <cell r="ND270" t="str">
            <v/>
          </cell>
          <cell r="NE270" t="str">
            <v/>
          </cell>
          <cell r="NF270" t="str">
            <v/>
          </cell>
          <cell r="NG270" t="str">
            <v/>
          </cell>
          <cell r="NH270" t="str">
            <v/>
          </cell>
          <cell r="NI270" t="str">
            <v/>
          </cell>
          <cell r="NJ270" t="str">
            <v/>
          </cell>
        </row>
        <row r="271">
          <cell r="I271" t="str">
            <v>E07000076</v>
          </cell>
          <cell r="GZ271" t="str">
            <v/>
          </cell>
          <cell r="HA271" t="str">
            <v/>
          </cell>
          <cell r="HB271" t="str">
            <v/>
          </cell>
          <cell r="HC271" t="str">
            <v/>
          </cell>
          <cell r="HD271" t="str">
            <v/>
          </cell>
          <cell r="HE271" t="str">
            <v/>
          </cell>
          <cell r="HF271" t="str">
            <v/>
          </cell>
          <cell r="HG271" t="str">
            <v/>
          </cell>
          <cell r="HH271" t="str">
            <v/>
          </cell>
          <cell r="HI271" t="str">
            <v/>
          </cell>
          <cell r="HJ271" t="str">
            <v/>
          </cell>
          <cell r="HK271" t="str">
            <v/>
          </cell>
          <cell r="HL271" t="str">
            <v/>
          </cell>
          <cell r="HM271" t="str">
            <v/>
          </cell>
          <cell r="HN271" t="str">
            <v/>
          </cell>
          <cell r="HO271" t="str">
            <v/>
          </cell>
          <cell r="HP271" t="str">
            <v/>
          </cell>
          <cell r="HQ271" t="str">
            <v/>
          </cell>
          <cell r="HR271" t="str">
            <v/>
          </cell>
          <cell r="HS271" t="str">
            <v/>
          </cell>
          <cell r="HT271" t="str">
            <v/>
          </cell>
          <cell r="HU271" t="str">
            <v/>
          </cell>
          <cell r="HV271" t="str">
            <v/>
          </cell>
          <cell r="HW271" t="str">
            <v/>
          </cell>
          <cell r="MN271" t="str">
            <v/>
          </cell>
          <cell r="MO271" t="str">
            <v/>
          </cell>
          <cell r="MP271" t="str">
            <v/>
          </cell>
          <cell r="MQ271" t="str">
            <v/>
          </cell>
          <cell r="MR271" t="str">
            <v/>
          </cell>
          <cell r="MS271" t="str">
            <v/>
          </cell>
          <cell r="MT271" t="str">
            <v/>
          </cell>
          <cell r="MU271" t="str">
            <v/>
          </cell>
          <cell r="MV271" t="str">
            <v/>
          </cell>
          <cell r="MW271" t="str">
            <v/>
          </cell>
          <cell r="MX271" t="str">
            <v/>
          </cell>
          <cell r="MY271" t="str">
            <v/>
          </cell>
          <cell r="MZ271" t="str">
            <v/>
          </cell>
          <cell r="NA271" t="str">
            <v/>
          </cell>
          <cell r="NB271" t="str">
            <v/>
          </cell>
          <cell r="NC271" t="str">
            <v/>
          </cell>
          <cell r="ND271" t="str">
            <v/>
          </cell>
          <cell r="NE271" t="str">
            <v/>
          </cell>
          <cell r="NF271" t="str">
            <v/>
          </cell>
          <cell r="NG271" t="str">
            <v/>
          </cell>
          <cell r="NH271" t="str">
            <v/>
          </cell>
          <cell r="NI271" t="str">
            <v/>
          </cell>
          <cell r="NJ271" t="str">
            <v/>
          </cell>
        </row>
        <row r="272">
          <cell r="I272" t="str">
            <v>E06000044</v>
          </cell>
          <cell r="GZ272" t="str">
            <v/>
          </cell>
          <cell r="HA272" t="str">
            <v/>
          </cell>
          <cell r="HB272" t="str">
            <v/>
          </cell>
          <cell r="HC272" t="str">
            <v/>
          </cell>
          <cell r="HD272" t="str">
            <v/>
          </cell>
          <cell r="HE272" t="str">
            <v/>
          </cell>
          <cell r="HF272" t="str">
            <v/>
          </cell>
          <cell r="HG272" t="str">
            <v/>
          </cell>
          <cell r="HH272" t="str">
            <v/>
          </cell>
          <cell r="HI272" t="str">
            <v/>
          </cell>
          <cell r="HJ272" t="str">
            <v/>
          </cell>
          <cell r="HK272" t="str">
            <v/>
          </cell>
          <cell r="HL272" t="str">
            <v/>
          </cell>
          <cell r="HM272" t="str">
            <v/>
          </cell>
          <cell r="HN272" t="str">
            <v/>
          </cell>
          <cell r="HO272" t="str">
            <v/>
          </cell>
          <cell r="HP272" t="str">
            <v/>
          </cell>
          <cell r="HQ272" t="str">
            <v/>
          </cell>
          <cell r="HR272" t="str">
            <v/>
          </cell>
          <cell r="HS272" t="str">
            <v/>
          </cell>
          <cell r="HT272" t="str">
            <v/>
          </cell>
          <cell r="HU272" t="str">
            <v/>
          </cell>
          <cell r="HV272" t="str">
            <v/>
          </cell>
          <cell r="HW272" t="str">
            <v/>
          </cell>
          <cell r="MN272" t="str">
            <v/>
          </cell>
          <cell r="MO272" t="str">
            <v/>
          </cell>
          <cell r="MP272" t="str">
            <v/>
          </cell>
          <cell r="MQ272" t="str">
            <v/>
          </cell>
          <cell r="MR272" t="str">
            <v/>
          </cell>
          <cell r="MS272" t="str">
            <v/>
          </cell>
          <cell r="MT272" t="str">
            <v/>
          </cell>
          <cell r="MU272" t="str">
            <v/>
          </cell>
          <cell r="MV272" t="str">
            <v/>
          </cell>
          <cell r="MW272" t="str">
            <v/>
          </cell>
          <cell r="MX272" t="str">
            <v/>
          </cell>
          <cell r="MY272" t="str">
            <v/>
          </cell>
          <cell r="MZ272" t="str">
            <v/>
          </cell>
          <cell r="NA272" t="str">
            <v/>
          </cell>
          <cell r="NB272" t="str">
            <v/>
          </cell>
          <cell r="NC272" t="str">
            <v/>
          </cell>
          <cell r="ND272" t="str">
            <v/>
          </cell>
          <cell r="NE272" t="str">
            <v/>
          </cell>
          <cell r="NF272" t="str">
            <v/>
          </cell>
          <cell r="NG272" t="str">
            <v/>
          </cell>
          <cell r="NH272" t="str">
            <v/>
          </cell>
          <cell r="NI272" t="str">
            <v/>
          </cell>
          <cell r="NJ272" t="str">
            <v/>
          </cell>
        </row>
        <row r="273">
          <cell r="I273" t="str">
            <v>E07000124</v>
          </cell>
          <cell r="GZ273" t="str">
            <v/>
          </cell>
          <cell r="HA273" t="str">
            <v/>
          </cell>
          <cell r="HB273" t="str">
            <v/>
          </cell>
          <cell r="HC273" t="str">
            <v/>
          </cell>
          <cell r="HD273" t="str">
            <v/>
          </cell>
          <cell r="HE273" t="str">
            <v/>
          </cell>
          <cell r="HF273" t="str">
            <v/>
          </cell>
          <cell r="HG273" t="str">
            <v/>
          </cell>
          <cell r="HH273" t="str">
            <v/>
          </cell>
          <cell r="HI273" t="str">
            <v/>
          </cell>
          <cell r="HJ273" t="str">
            <v/>
          </cell>
          <cell r="HK273" t="str">
            <v/>
          </cell>
          <cell r="HL273" t="str">
            <v/>
          </cell>
          <cell r="HM273" t="str">
            <v/>
          </cell>
          <cell r="HN273" t="str">
            <v/>
          </cell>
          <cell r="HO273" t="str">
            <v/>
          </cell>
          <cell r="HP273" t="str">
            <v/>
          </cell>
          <cell r="HQ273" t="str">
            <v/>
          </cell>
          <cell r="HR273" t="str">
            <v/>
          </cell>
          <cell r="HS273" t="str">
            <v/>
          </cell>
          <cell r="HT273" t="str">
            <v/>
          </cell>
          <cell r="HU273" t="str">
            <v/>
          </cell>
          <cell r="HV273" t="str">
            <v/>
          </cell>
          <cell r="HW273" t="str">
            <v/>
          </cell>
          <cell r="MN273" t="str">
            <v/>
          </cell>
          <cell r="MO273" t="str">
            <v/>
          </cell>
          <cell r="MP273" t="str">
            <v/>
          </cell>
          <cell r="MQ273" t="str">
            <v/>
          </cell>
          <cell r="MR273" t="str">
            <v/>
          </cell>
          <cell r="MS273" t="str">
            <v/>
          </cell>
          <cell r="MT273" t="str">
            <v/>
          </cell>
          <cell r="MU273" t="str">
            <v/>
          </cell>
          <cell r="MV273" t="str">
            <v/>
          </cell>
          <cell r="MW273" t="str">
            <v/>
          </cell>
          <cell r="MX273" t="str">
            <v/>
          </cell>
          <cell r="MY273" t="str">
            <v/>
          </cell>
          <cell r="MZ273" t="str">
            <v/>
          </cell>
          <cell r="NA273" t="str">
            <v/>
          </cell>
          <cell r="NB273" t="str">
            <v/>
          </cell>
          <cell r="NC273" t="str">
            <v/>
          </cell>
          <cell r="ND273" t="str">
            <v/>
          </cell>
          <cell r="NE273" t="str">
            <v/>
          </cell>
          <cell r="NF273" t="str">
            <v/>
          </cell>
          <cell r="NG273" t="str">
            <v/>
          </cell>
          <cell r="NH273" t="str">
            <v/>
          </cell>
          <cell r="NI273" t="str">
            <v/>
          </cell>
          <cell r="NJ273" t="str">
            <v/>
          </cell>
        </row>
        <row r="274">
          <cell r="I274" t="str">
            <v>E07000178</v>
          </cell>
          <cell r="GZ274">
            <v>42461</v>
          </cell>
          <cell r="HA274">
            <v>44286</v>
          </cell>
          <cell r="HB274">
            <v>475</v>
          </cell>
          <cell r="HC274">
            <v>475</v>
          </cell>
          <cell r="HD274">
            <v>44287</v>
          </cell>
          <cell r="HE274">
            <v>49765</v>
          </cell>
          <cell r="HF274">
            <v>567</v>
          </cell>
          <cell r="HG274">
            <v>567</v>
          </cell>
          <cell r="HH274" t="str">
            <v/>
          </cell>
          <cell r="HI274" t="str">
            <v/>
          </cell>
          <cell r="HJ274" t="str">
            <v/>
          </cell>
          <cell r="HK274" t="str">
            <v/>
          </cell>
          <cell r="HL274" t="str">
            <v/>
          </cell>
          <cell r="HM274" t="str">
            <v/>
          </cell>
          <cell r="HN274" t="str">
            <v/>
          </cell>
          <cell r="HO274" t="str">
            <v/>
          </cell>
          <cell r="HP274" t="str">
            <v/>
          </cell>
          <cell r="HQ274" t="str">
            <v/>
          </cell>
          <cell r="HR274" t="str">
            <v/>
          </cell>
          <cell r="HS274" t="str">
            <v/>
          </cell>
          <cell r="HT274" t="str">
            <v/>
          </cell>
          <cell r="HU274" t="str">
            <v/>
          </cell>
          <cell r="HV274" t="str">
            <v/>
          </cell>
          <cell r="HW274" t="str">
            <v/>
          </cell>
          <cell r="MN274" t="str">
            <v/>
          </cell>
          <cell r="MO274" t="str">
            <v/>
          </cell>
          <cell r="MP274" t="str">
            <v/>
          </cell>
          <cell r="MQ274" t="str">
            <v/>
          </cell>
          <cell r="MR274" t="str">
            <v/>
          </cell>
          <cell r="MS274" t="str">
            <v/>
          </cell>
          <cell r="MT274" t="str">
            <v/>
          </cell>
          <cell r="MU274" t="str">
            <v/>
          </cell>
          <cell r="MV274" t="str">
            <v/>
          </cell>
          <cell r="MW274" t="str">
            <v/>
          </cell>
          <cell r="MX274" t="str">
            <v/>
          </cell>
          <cell r="MY274" t="str">
            <v/>
          </cell>
          <cell r="MZ274" t="str">
            <v/>
          </cell>
          <cell r="NA274" t="str">
            <v/>
          </cell>
          <cell r="NB274" t="str">
            <v/>
          </cell>
          <cell r="NC274" t="str">
            <v/>
          </cell>
          <cell r="ND274" t="str">
            <v/>
          </cell>
          <cell r="NE274" t="str">
            <v/>
          </cell>
          <cell r="NF274" t="str">
            <v/>
          </cell>
          <cell r="NG274" t="str">
            <v/>
          </cell>
          <cell r="NH274" t="str">
            <v/>
          </cell>
          <cell r="NI274" t="str">
            <v/>
          </cell>
          <cell r="NJ274" t="str">
            <v/>
          </cell>
        </row>
        <row r="275">
          <cell r="I275" t="str">
            <v>E07000142</v>
          </cell>
          <cell r="GZ275" t="str">
            <v/>
          </cell>
          <cell r="HA275" t="str">
            <v/>
          </cell>
          <cell r="HB275" t="str">
            <v/>
          </cell>
          <cell r="HC275" t="str">
            <v/>
          </cell>
          <cell r="HD275" t="str">
            <v/>
          </cell>
          <cell r="HE275" t="str">
            <v/>
          </cell>
          <cell r="HF275" t="str">
            <v/>
          </cell>
          <cell r="HG275" t="str">
            <v/>
          </cell>
          <cell r="HH275" t="str">
            <v/>
          </cell>
          <cell r="HI275" t="str">
            <v/>
          </cell>
          <cell r="HJ275" t="str">
            <v/>
          </cell>
          <cell r="HK275" t="str">
            <v/>
          </cell>
          <cell r="HL275" t="str">
            <v/>
          </cell>
          <cell r="HM275" t="str">
            <v/>
          </cell>
          <cell r="HN275" t="str">
            <v/>
          </cell>
          <cell r="HO275" t="str">
            <v/>
          </cell>
          <cell r="HP275" t="str">
            <v/>
          </cell>
          <cell r="HQ275" t="str">
            <v/>
          </cell>
          <cell r="HR275" t="str">
            <v/>
          </cell>
          <cell r="HS275" t="str">
            <v/>
          </cell>
          <cell r="HT275" t="str">
            <v/>
          </cell>
          <cell r="HU275" t="str">
            <v/>
          </cell>
          <cell r="HV275" t="str">
            <v/>
          </cell>
          <cell r="HW275" t="str">
            <v/>
          </cell>
          <cell r="MN275" t="str">
            <v/>
          </cell>
          <cell r="MO275" t="str">
            <v/>
          </cell>
          <cell r="MP275" t="str">
            <v/>
          </cell>
          <cell r="MQ275" t="str">
            <v/>
          </cell>
          <cell r="MR275" t="str">
            <v/>
          </cell>
          <cell r="MS275" t="str">
            <v/>
          </cell>
          <cell r="MT275" t="str">
            <v/>
          </cell>
          <cell r="MU275" t="str">
            <v/>
          </cell>
          <cell r="MV275" t="str">
            <v/>
          </cell>
          <cell r="MW275" t="str">
            <v/>
          </cell>
          <cell r="MX275" t="str">
            <v/>
          </cell>
          <cell r="MY275" t="str">
            <v/>
          </cell>
          <cell r="MZ275" t="str">
            <v/>
          </cell>
          <cell r="NA275" t="str">
            <v/>
          </cell>
          <cell r="NB275" t="str">
            <v/>
          </cell>
          <cell r="NC275" t="str">
            <v/>
          </cell>
          <cell r="ND275" t="str">
            <v/>
          </cell>
          <cell r="NE275" t="str">
            <v/>
          </cell>
          <cell r="NF275" t="str">
            <v/>
          </cell>
          <cell r="NG275" t="str">
            <v/>
          </cell>
          <cell r="NH275" t="str">
            <v/>
          </cell>
          <cell r="NI275" t="str">
            <v/>
          </cell>
          <cell r="NJ275" t="str">
            <v/>
          </cell>
        </row>
        <row r="276">
          <cell r="I276" t="str">
            <v>E07000079</v>
          </cell>
          <cell r="GZ276" t="str">
            <v/>
          </cell>
          <cell r="HA276" t="str">
            <v/>
          </cell>
          <cell r="HB276" t="str">
            <v/>
          </cell>
          <cell r="HC276" t="str">
            <v/>
          </cell>
          <cell r="HD276" t="str">
            <v/>
          </cell>
          <cell r="HE276" t="str">
            <v/>
          </cell>
          <cell r="HF276" t="str">
            <v/>
          </cell>
          <cell r="HG276" t="str">
            <v/>
          </cell>
          <cell r="HH276" t="str">
            <v/>
          </cell>
          <cell r="HI276" t="str">
            <v/>
          </cell>
          <cell r="HJ276" t="str">
            <v/>
          </cell>
          <cell r="HK276" t="str">
            <v/>
          </cell>
          <cell r="HL276" t="str">
            <v/>
          </cell>
          <cell r="HM276" t="str">
            <v/>
          </cell>
          <cell r="HN276" t="str">
            <v/>
          </cell>
          <cell r="HO276" t="str">
            <v/>
          </cell>
          <cell r="HP276" t="str">
            <v/>
          </cell>
          <cell r="HQ276" t="str">
            <v/>
          </cell>
          <cell r="HR276" t="str">
            <v/>
          </cell>
          <cell r="HS276" t="str">
            <v/>
          </cell>
          <cell r="HT276" t="str">
            <v/>
          </cell>
          <cell r="HU276" t="str">
            <v/>
          </cell>
          <cell r="HV276" t="str">
            <v/>
          </cell>
          <cell r="HW276" t="str">
            <v/>
          </cell>
          <cell r="MN276" t="str">
            <v/>
          </cell>
          <cell r="MO276" t="str">
            <v/>
          </cell>
          <cell r="MP276" t="str">
            <v/>
          </cell>
          <cell r="MQ276" t="str">
            <v/>
          </cell>
          <cell r="MR276" t="str">
            <v/>
          </cell>
          <cell r="MS276" t="str">
            <v/>
          </cell>
          <cell r="MT276" t="str">
            <v/>
          </cell>
          <cell r="MU276" t="str">
            <v/>
          </cell>
          <cell r="MV276" t="str">
            <v/>
          </cell>
          <cell r="MW276" t="str">
            <v/>
          </cell>
          <cell r="MX276" t="str">
            <v/>
          </cell>
          <cell r="MY276" t="str">
            <v/>
          </cell>
          <cell r="MZ276" t="str">
            <v/>
          </cell>
          <cell r="NA276" t="str">
            <v/>
          </cell>
          <cell r="NB276" t="str">
            <v/>
          </cell>
          <cell r="NC276" t="str">
            <v/>
          </cell>
          <cell r="ND276" t="str">
            <v/>
          </cell>
          <cell r="NE276" t="str">
            <v/>
          </cell>
          <cell r="NF276" t="str">
            <v/>
          </cell>
          <cell r="NG276" t="str">
            <v/>
          </cell>
          <cell r="NH276" t="str">
            <v/>
          </cell>
          <cell r="NI276" t="str">
            <v/>
          </cell>
          <cell r="NJ276" t="str">
            <v/>
          </cell>
        </row>
        <row r="277">
          <cell r="I277" t="str">
            <v>E07000239</v>
          </cell>
          <cell r="GZ277" t="str">
            <v/>
          </cell>
          <cell r="HA277" t="str">
            <v/>
          </cell>
          <cell r="HB277" t="str">
            <v/>
          </cell>
          <cell r="HC277" t="str">
            <v/>
          </cell>
          <cell r="HD277" t="str">
            <v/>
          </cell>
          <cell r="HE277" t="str">
            <v/>
          </cell>
          <cell r="HF277" t="str">
            <v/>
          </cell>
          <cell r="HG277" t="str">
            <v/>
          </cell>
          <cell r="HH277" t="str">
            <v/>
          </cell>
          <cell r="HI277" t="str">
            <v/>
          </cell>
          <cell r="HJ277" t="str">
            <v/>
          </cell>
          <cell r="HK277" t="str">
            <v/>
          </cell>
          <cell r="HL277" t="str">
            <v/>
          </cell>
          <cell r="HM277" t="str">
            <v/>
          </cell>
          <cell r="HN277" t="str">
            <v/>
          </cell>
          <cell r="HO277" t="str">
            <v/>
          </cell>
          <cell r="HP277" t="str">
            <v/>
          </cell>
          <cell r="HQ277" t="str">
            <v/>
          </cell>
          <cell r="HR277" t="str">
            <v/>
          </cell>
          <cell r="HS277" t="str">
            <v/>
          </cell>
          <cell r="HT277" t="str">
            <v/>
          </cell>
          <cell r="HU277" t="str">
            <v/>
          </cell>
          <cell r="HV277" t="str">
            <v/>
          </cell>
          <cell r="HW277" t="str">
            <v/>
          </cell>
          <cell r="MN277" t="str">
            <v/>
          </cell>
          <cell r="MO277" t="str">
            <v/>
          </cell>
          <cell r="MP277" t="str">
            <v/>
          </cell>
          <cell r="MQ277" t="str">
            <v/>
          </cell>
          <cell r="MR277" t="str">
            <v/>
          </cell>
          <cell r="MS277" t="str">
            <v/>
          </cell>
          <cell r="MT277" t="str">
            <v/>
          </cell>
          <cell r="MU277" t="str">
            <v/>
          </cell>
          <cell r="MV277" t="str">
            <v/>
          </cell>
          <cell r="MW277" t="str">
            <v/>
          </cell>
          <cell r="MX277" t="str">
            <v/>
          </cell>
          <cell r="MY277" t="str">
            <v/>
          </cell>
          <cell r="MZ277" t="str">
            <v/>
          </cell>
          <cell r="NA277" t="str">
            <v/>
          </cell>
          <cell r="NB277" t="str">
            <v/>
          </cell>
          <cell r="NC277" t="str">
            <v/>
          </cell>
          <cell r="ND277" t="str">
            <v/>
          </cell>
          <cell r="NE277" t="str">
            <v/>
          </cell>
          <cell r="NF277" t="str">
            <v/>
          </cell>
          <cell r="NG277" t="str">
            <v/>
          </cell>
          <cell r="NH277" t="str">
            <v/>
          </cell>
          <cell r="NI277" t="str">
            <v/>
          </cell>
          <cell r="NJ277" t="str">
            <v/>
          </cell>
        </row>
        <row r="278">
          <cell r="I278" t="str">
            <v>E07000132</v>
          </cell>
          <cell r="GZ278" t="str">
            <v/>
          </cell>
          <cell r="HA278" t="str">
            <v/>
          </cell>
          <cell r="HB278" t="str">
            <v/>
          </cell>
          <cell r="HC278" t="str">
            <v/>
          </cell>
          <cell r="HD278" t="str">
            <v/>
          </cell>
          <cell r="HE278" t="str">
            <v/>
          </cell>
          <cell r="HF278" t="str">
            <v/>
          </cell>
          <cell r="HG278" t="str">
            <v/>
          </cell>
          <cell r="HH278" t="str">
            <v/>
          </cell>
          <cell r="HI278" t="str">
            <v/>
          </cell>
          <cell r="HJ278" t="str">
            <v/>
          </cell>
          <cell r="HK278" t="str">
            <v/>
          </cell>
          <cell r="HL278" t="str">
            <v/>
          </cell>
          <cell r="HM278" t="str">
            <v/>
          </cell>
          <cell r="HN278" t="str">
            <v/>
          </cell>
          <cell r="HO278" t="str">
            <v/>
          </cell>
          <cell r="HP278" t="str">
            <v/>
          </cell>
          <cell r="HQ278" t="str">
            <v/>
          </cell>
          <cell r="HR278" t="str">
            <v/>
          </cell>
          <cell r="HS278" t="str">
            <v/>
          </cell>
          <cell r="HT278" t="str">
            <v/>
          </cell>
          <cell r="HU278" t="str">
            <v/>
          </cell>
          <cell r="HV278" t="str">
            <v/>
          </cell>
          <cell r="HW278" t="str">
            <v/>
          </cell>
          <cell r="MN278" t="str">
            <v/>
          </cell>
          <cell r="MO278" t="str">
            <v/>
          </cell>
          <cell r="MP278" t="str">
            <v/>
          </cell>
          <cell r="MQ278" t="str">
            <v/>
          </cell>
          <cell r="MR278" t="str">
            <v/>
          </cell>
          <cell r="MS278" t="str">
            <v/>
          </cell>
          <cell r="MT278" t="str">
            <v/>
          </cell>
          <cell r="MU278" t="str">
            <v/>
          </cell>
          <cell r="MV278" t="str">
            <v/>
          </cell>
          <cell r="MW278" t="str">
            <v/>
          </cell>
          <cell r="MX278" t="str">
            <v/>
          </cell>
          <cell r="MY278" t="str">
            <v/>
          </cell>
          <cell r="MZ278" t="str">
            <v/>
          </cell>
          <cell r="NA278" t="str">
            <v/>
          </cell>
          <cell r="NB278" t="str">
            <v/>
          </cell>
          <cell r="NC278" t="str">
            <v/>
          </cell>
          <cell r="ND278" t="str">
            <v/>
          </cell>
          <cell r="NE278" t="str">
            <v/>
          </cell>
          <cell r="NF278" t="str">
            <v/>
          </cell>
          <cell r="NG278" t="str">
            <v/>
          </cell>
          <cell r="NH278" t="str">
            <v/>
          </cell>
          <cell r="NI278" t="str">
            <v/>
          </cell>
          <cell r="NJ278" t="str">
            <v/>
          </cell>
        </row>
        <row r="279">
          <cell r="I279" t="str">
            <v>E07000150</v>
          </cell>
          <cell r="GZ279" t="str">
            <v/>
          </cell>
          <cell r="HA279" t="str">
            <v/>
          </cell>
          <cell r="HB279" t="str">
            <v/>
          </cell>
          <cell r="HC279" t="str">
            <v/>
          </cell>
          <cell r="HD279" t="str">
            <v/>
          </cell>
          <cell r="HE279" t="str">
            <v/>
          </cell>
          <cell r="HF279" t="str">
            <v/>
          </cell>
          <cell r="HG279" t="str">
            <v/>
          </cell>
          <cell r="HH279" t="str">
            <v/>
          </cell>
          <cell r="HI279" t="str">
            <v/>
          </cell>
          <cell r="HJ279" t="str">
            <v/>
          </cell>
          <cell r="HK279" t="str">
            <v/>
          </cell>
          <cell r="HL279" t="str">
            <v/>
          </cell>
          <cell r="HM279" t="str">
            <v/>
          </cell>
          <cell r="HN279" t="str">
            <v/>
          </cell>
          <cell r="HO279" t="str">
            <v/>
          </cell>
          <cell r="HP279" t="str">
            <v/>
          </cell>
          <cell r="HQ279" t="str">
            <v/>
          </cell>
          <cell r="HR279" t="str">
            <v/>
          </cell>
          <cell r="HS279" t="str">
            <v/>
          </cell>
          <cell r="HT279" t="str">
            <v/>
          </cell>
          <cell r="HU279" t="str">
            <v/>
          </cell>
          <cell r="HV279" t="str">
            <v/>
          </cell>
          <cell r="HW279" t="str">
            <v/>
          </cell>
          <cell r="MN279" t="str">
            <v/>
          </cell>
          <cell r="MO279" t="str">
            <v/>
          </cell>
          <cell r="MP279" t="str">
            <v/>
          </cell>
          <cell r="MQ279" t="str">
            <v/>
          </cell>
          <cell r="MR279" t="str">
            <v/>
          </cell>
          <cell r="MS279" t="str">
            <v/>
          </cell>
          <cell r="MT279" t="str">
            <v/>
          </cell>
          <cell r="MU279" t="str">
            <v/>
          </cell>
          <cell r="MV279" t="str">
            <v/>
          </cell>
          <cell r="MW279" t="str">
            <v/>
          </cell>
          <cell r="MX279" t="str">
            <v/>
          </cell>
          <cell r="MY279" t="str">
            <v/>
          </cell>
          <cell r="MZ279" t="str">
            <v/>
          </cell>
          <cell r="NA279" t="str">
            <v/>
          </cell>
          <cell r="NB279" t="str">
            <v/>
          </cell>
          <cell r="NC279" t="str">
            <v/>
          </cell>
          <cell r="ND279" t="str">
            <v/>
          </cell>
          <cell r="NE279" t="str">
            <v/>
          </cell>
          <cell r="NF279" t="str">
            <v/>
          </cell>
          <cell r="NG279" t="str">
            <v/>
          </cell>
          <cell r="NH279" t="str">
            <v/>
          </cell>
          <cell r="NI279" t="str">
            <v/>
          </cell>
          <cell r="NJ279" t="str">
            <v/>
          </cell>
        </row>
        <row r="280">
          <cell r="I280" t="str">
            <v>E07000094</v>
          </cell>
          <cell r="GZ280" t="str">
            <v/>
          </cell>
          <cell r="HA280" t="str">
            <v/>
          </cell>
          <cell r="HB280" t="str">
            <v/>
          </cell>
          <cell r="HC280" t="str">
            <v/>
          </cell>
          <cell r="HD280" t="str">
            <v/>
          </cell>
          <cell r="HE280" t="str">
            <v/>
          </cell>
          <cell r="HF280" t="str">
            <v/>
          </cell>
          <cell r="HG280" t="str">
            <v/>
          </cell>
          <cell r="HH280" t="str">
            <v/>
          </cell>
          <cell r="HI280" t="str">
            <v/>
          </cell>
          <cell r="HJ280" t="str">
            <v/>
          </cell>
          <cell r="HK280" t="str">
            <v/>
          </cell>
          <cell r="HL280" t="str">
            <v/>
          </cell>
          <cell r="HM280" t="str">
            <v/>
          </cell>
          <cell r="HN280" t="str">
            <v/>
          </cell>
          <cell r="HO280" t="str">
            <v/>
          </cell>
          <cell r="HP280" t="str">
            <v/>
          </cell>
          <cell r="HQ280" t="str">
            <v/>
          </cell>
          <cell r="HR280" t="str">
            <v/>
          </cell>
          <cell r="HS280" t="str">
            <v/>
          </cell>
          <cell r="HT280" t="str">
            <v/>
          </cell>
          <cell r="HU280" t="str">
            <v/>
          </cell>
          <cell r="HV280" t="str">
            <v/>
          </cell>
          <cell r="HW280" t="str">
            <v/>
          </cell>
          <cell r="MN280" t="str">
            <v/>
          </cell>
          <cell r="MO280" t="str">
            <v/>
          </cell>
          <cell r="MP280" t="str">
            <v/>
          </cell>
          <cell r="MQ280" t="str">
            <v/>
          </cell>
          <cell r="MR280" t="str">
            <v/>
          </cell>
          <cell r="MS280" t="str">
            <v/>
          </cell>
          <cell r="MT280" t="str">
            <v/>
          </cell>
          <cell r="MU280" t="str">
            <v/>
          </cell>
          <cell r="MV280" t="str">
            <v/>
          </cell>
          <cell r="MW280" t="str">
            <v/>
          </cell>
          <cell r="MX280" t="str">
            <v/>
          </cell>
          <cell r="MY280" t="str">
            <v/>
          </cell>
          <cell r="MZ280" t="str">
            <v/>
          </cell>
          <cell r="NA280" t="str">
            <v/>
          </cell>
          <cell r="NB280" t="str">
            <v/>
          </cell>
          <cell r="NC280" t="str">
            <v/>
          </cell>
          <cell r="ND280" t="str">
            <v/>
          </cell>
          <cell r="NE280" t="str">
            <v/>
          </cell>
          <cell r="NF280" t="str">
            <v/>
          </cell>
          <cell r="NG280" t="str">
            <v/>
          </cell>
          <cell r="NH280" t="str">
            <v/>
          </cell>
          <cell r="NI280" t="str">
            <v/>
          </cell>
          <cell r="NJ280" t="str">
            <v/>
          </cell>
        </row>
        <row r="281">
          <cell r="I281" t="str">
            <v>E07000145</v>
          </cell>
          <cell r="GZ281">
            <v>41365</v>
          </cell>
          <cell r="HA281">
            <v>43921</v>
          </cell>
          <cell r="HB281">
            <v>300</v>
          </cell>
          <cell r="HC281" t="str">
            <v>Analyst To Calculate</v>
          </cell>
          <cell r="HD281">
            <v>43922</v>
          </cell>
          <cell r="HE281">
            <v>47573</v>
          </cell>
          <cell r="HF281">
            <v>504</v>
          </cell>
          <cell r="HG281" t="str">
            <v>Analyst To Calculate</v>
          </cell>
          <cell r="HH281" t="str">
            <v/>
          </cell>
          <cell r="HI281" t="str">
            <v/>
          </cell>
          <cell r="HJ281" t="str">
            <v/>
          </cell>
          <cell r="HK281" t="str">
            <v>Analyst To Calculate</v>
          </cell>
          <cell r="HL281" t="str">
            <v/>
          </cell>
          <cell r="HM281" t="str">
            <v/>
          </cell>
          <cell r="HN281" t="str">
            <v/>
          </cell>
          <cell r="HO281" t="str">
            <v>Analyst To Calculate</v>
          </cell>
          <cell r="HP281" t="str">
            <v/>
          </cell>
          <cell r="HQ281" t="str">
            <v/>
          </cell>
          <cell r="HR281" t="str">
            <v/>
          </cell>
          <cell r="HS281" t="str">
            <v>Analyst To Calculate</v>
          </cell>
          <cell r="HT281" t="str">
            <v/>
          </cell>
          <cell r="HU281" t="str">
            <v/>
          </cell>
          <cell r="HV281" t="str">
            <v/>
          </cell>
          <cell r="HW281" t="str">
            <v>Analyst To Calculate</v>
          </cell>
          <cell r="MN281" t="str">
            <v/>
          </cell>
          <cell r="MO281" t="str">
            <v/>
          </cell>
          <cell r="MP281" t="str">
            <v/>
          </cell>
          <cell r="MQ281" t="str">
            <v/>
          </cell>
          <cell r="MR281" t="str">
            <v/>
          </cell>
          <cell r="MS281" t="str">
            <v/>
          </cell>
          <cell r="MT281" t="str">
            <v/>
          </cell>
          <cell r="MU281" t="str">
            <v/>
          </cell>
          <cell r="MV281" t="str">
            <v/>
          </cell>
          <cell r="MW281" t="str">
            <v/>
          </cell>
          <cell r="MX281" t="str">
            <v/>
          </cell>
          <cell r="MY281" t="str">
            <v/>
          </cell>
          <cell r="MZ281" t="str">
            <v/>
          </cell>
          <cell r="NA281" t="str">
            <v/>
          </cell>
          <cell r="NB281" t="str">
            <v/>
          </cell>
          <cell r="NC281" t="str">
            <v/>
          </cell>
          <cell r="ND281" t="str">
            <v/>
          </cell>
          <cell r="NE281" t="str">
            <v/>
          </cell>
          <cell r="NF281" t="str">
            <v/>
          </cell>
          <cell r="NG281" t="str">
            <v/>
          </cell>
          <cell r="NH281" t="str">
            <v/>
          </cell>
          <cell r="NI281" t="str">
            <v/>
          </cell>
          <cell r="NJ281" t="str">
            <v/>
          </cell>
        </row>
        <row r="282">
          <cell r="I282" t="str">
            <v>E09000012</v>
          </cell>
          <cell r="GZ282" t="str">
            <v/>
          </cell>
          <cell r="HA282" t="str">
            <v/>
          </cell>
          <cell r="HB282" t="str">
            <v/>
          </cell>
          <cell r="HC282" t="str">
            <v/>
          </cell>
          <cell r="HD282" t="str">
            <v/>
          </cell>
          <cell r="HE282" t="str">
            <v/>
          </cell>
          <cell r="HF282" t="str">
            <v/>
          </cell>
          <cell r="HG282" t="str">
            <v/>
          </cell>
          <cell r="HH282" t="str">
            <v/>
          </cell>
          <cell r="HI282" t="str">
            <v/>
          </cell>
          <cell r="HJ282" t="str">
            <v/>
          </cell>
          <cell r="HK282" t="str">
            <v/>
          </cell>
          <cell r="HL282" t="str">
            <v/>
          </cell>
          <cell r="HM282" t="str">
            <v/>
          </cell>
          <cell r="HN282" t="str">
            <v/>
          </cell>
          <cell r="HO282" t="str">
            <v/>
          </cell>
          <cell r="HP282" t="str">
            <v/>
          </cell>
          <cell r="HQ282" t="str">
            <v/>
          </cell>
          <cell r="HR282" t="str">
            <v/>
          </cell>
          <cell r="HS282" t="str">
            <v/>
          </cell>
          <cell r="HT282" t="str">
            <v/>
          </cell>
          <cell r="HU282" t="str">
            <v/>
          </cell>
          <cell r="HV282" t="str">
            <v/>
          </cell>
          <cell r="HW282" t="str">
            <v/>
          </cell>
          <cell r="MN282" t="str">
            <v/>
          </cell>
          <cell r="MO282" t="str">
            <v/>
          </cell>
          <cell r="MP282" t="str">
            <v/>
          </cell>
          <cell r="MQ282" t="str">
            <v/>
          </cell>
          <cell r="MR282" t="str">
            <v/>
          </cell>
          <cell r="MS282" t="str">
            <v/>
          </cell>
          <cell r="MT282" t="str">
            <v/>
          </cell>
          <cell r="MU282" t="str">
            <v/>
          </cell>
          <cell r="MV282" t="str">
            <v/>
          </cell>
          <cell r="MW282" t="str">
            <v/>
          </cell>
          <cell r="MX282" t="str">
            <v/>
          </cell>
          <cell r="MY282" t="str">
            <v/>
          </cell>
          <cell r="MZ282" t="str">
            <v/>
          </cell>
          <cell r="NA282" t="str">
            <v/>
          </cell>
          <cell r="NB282" t="str">
            <v/>
          </cell>
          <cell r="NC282" t="str">
            <v/>
          </cell>
          <cell r="ND282" t="str">
            <v/>
          </cell>
          <cell r="NE282" t="str">
            <v/>
          </cell>
          <cell r="NF282" t="str">
            <v/>
          </cell>
          <cell r="NG282" t="str">
            <v/>
          </cell>
          <cell r="NH282" t="str">
            <v/>
          </cell>
          <cell r="NI282" t="str">
            <v/>
          </cell>
          <cell r="NJ282" t="str">
            <v/>
          </cell>
        </row>
        <row r="283">
          <cell r="I283" t="str">
            <v>E09000033</v>
          </cell>
          <cell r="GZ283" t="str">
            <v/>
          </cell>
          <cell r="HA283" t="str">
            <v/>
          </cell>
          <cell r="HB283" t="str">
            <v/>
          </cell>
          <cell r="HC283" t="str">
            <v/>
          </cell>
          <cell r="HD283" t="str">
            <v/>
          </cell>
          <cell r="HE283" t="str">
            <v/>
          </cell>
          <cell r="HF283" t="str">
            <v/>
          </cell>
          <cell r="HG283" t="str">
            <v/>
          </cell>
          <cell r="HH283" t="str">
            <v/>
          </cell>
          <cell r="HI283" t="str">
            <v/>
          </cell>
          <cell r="HJ283" t="str">
            <v/>
          </cell>
          <cell r="HK283" t="str">
            <v/>
          </cell>
          <cell r="HL283" t="str">
            <v/>
          </cell>
          <cell r="HM283" t="str">
            <v/>
          </cell>
          <cell r="HN283" t="str">
            <v/>
          </cell>
          <cell r="HO283" t="str">
            <v/>
          </cell>
          <cell r="HP283" t="str">
            <v/>
          </cell>
          <cell r="HQ283" t="str">
            <v/>
          </cell>
          <cell r="HR283" t="str">
            <v/>
          </cell>
          <cell r="HS283" t="str">
            <v/>
          </cell>
          <cell r="HT283" t="str">
            <v/>
          </cell>
          <cell r="HU283" t="str">
            <v/>
          </cell>
          <cell r="HV283" t="str">
            <v/>
          </cell>
          <cell r="HW283" t="str">
            <v/>
          </cell>
          <cell r="MQ283" t="str">
            <v>Analysts to manually calculate</v>
          </cell>
          <cell r="MU283" t="str">
            <v>Analysts to manually calculate</v>
          </cell>
          <cell r="MY283" t="str">
            <v>Analysts to manually calculate</v>
          </cell>
          <cell r="NC283" t="str">
            <v>Analysts to manually calculate</v>
          </cell>
          <cell r="NG283" t="str">
            <v>Analysts to manually calculate</v>
          </cell>
        </row>
        <row r="284">
          <cell r="I284" t="str">
            <v>E07000064</v>
          </cell>
          <cell r="GZ284" t="str">
            <v/>
          </cell>
          <cell r="HA284" t="str">
            <v/>
          </cell>
          <cell r="HB284" t="str">
            <v/>
          </cell>
          <cell r="HC284" t="str">
            <v/>
          </cell>
          <cell r="HD284" t="str">
            <v/>
          </cell>
          <cell r="HE284" t="str">
            <v/>
          </cell>
          <cell r="HF284" t="str">
            <v/>
          </cell>
          <cell r="HG284" t="str">
            <v/>
          </cell>
          <cell r="HH284" t="str">
            <v/>
          </cell>
          <cell r="HI284" t="str">
            <v/>
          </cell>
          <cell r="HJ284" t="str">
            <v/>
          </cell>
          <cell r="HK284" t="str">
            <v/>
          </cell>
          <cell r="HL284" t="str">
            <v/>
          </cell>
          <cell r="HM284" t="str">
            <v/>
          </cell>
          <cell r="HN284" t="str">
            <v/>
          </cell>
          <cell r="HO284" t="str">
            <v/>
          </cell>
          <cell r="HP284" t="str">
            <v/>
          </cell>
          <cell r="HQ284" t="str">
            <v/>
          </cell>
          <cell r="HR284" t="str">
            <v/>
          </cell>
          <cell r="HS284" t="str">
            <v/>
          </cell>
          <cell r="HT284" t="str">
            <v/>
          </cell>
          <cell r="HU284" t="str">
            <v/>
          </cell>
          <cell r="HV284" t="str">
            <v/>
          </cell>
          <cell r="HW284" t="str">
            <v/>
          </cell>
          <cell r="MN284" t="str">
            <v/>
          </cell>
          <cell r="MO284" t="str">
            <v/>
          </cell>
          <cell r="MP284" t="str">
            <v/>
          </cell>
          <cell r="MQ284" t="str">
            <v/>
          </cell>
          <cell r="MR284" t="str">
            <v/>
          </cell>
          <cell r="MS284" t="str">
            <v/>
          </cell>
          <cell r="MT284" t="str">
            <v/>
          </cell>
          <cell r="MU284" t="str">
            <v/>
          </cell>
          <cell r="MV284" t="str">
            <v/>
          </cell>
          <cell r="MW284" t="str">
            <v/>
          </cell>
          <cell r="MX284" t="str">
            <v/>
          </cell>
          <cell r="MY284" t="str">
            <v/>
          </cell>
          <cell r="MZ284" t="str">
            <v/>
          </cell>
          <cell r="NA284" t="str">
            <v/>
          </cell>
          <cell r="NB284" t="str">
            <v/>
          </cell>
          <cell r="NC284" t="str">
            <v/>
          </cell>
          <cell r="ND284" t="str">
            <v/>
          </cell>
          <cell r="NE284" t="str">
            <v/>
          </cell>
          <cell r="NF284" t="str">
            <v/>
          </cell>
          <cell r="NG284" t="str">
            <v/>
          </cell>
          <cell r="NH284" t="str">
            <v/>
          </cell>
          <cell r="NI284" t="str">
            <v/>
          </cell>
          <cell r="NJ284" t="str">
            <v/>
          </cell>
        </row>
        <row r="285">
          <cell r="I285" t="str">
            <v>E07000098</v>
          </cell>
          <cell r="GZ285" t="str">
            <v/>
          </cell>
          <cell r="HA285" t="str">
            <v/>
          </cell>
          <cell r="HB285" t="str">
            <v/>
          </cell>
          <cell r="HC285" t="str">
            <v/>
          </cell>
          <cell r="HD285" t="str">
            <v/>
          </cell>
          <cell r="HE285" t="str">
            <v/>
          </cell>
          <cell r="HF285" t="str">
            <v/>
          </cell>
          <cell r="HG285" t="str">
            <v/>
          </cell>
          <cell r="HH285" t="str">
            <v/>
          </cell>
          <cell r="HI285" t="str">
            <v/>
          </cell>
          <cell r="HJ285" t="str">
            <v/>
          </cell>
          <cell r="HK285" t="str">
            <v/>
          </cell>
          <cell r="HL285" t="str">
            <v/>
          </cell>
          <cell r="HM285" t="str">
            <v/>
          </cell>
          <cell r="HN285" t="str">
            <v/>
          </cell>
          <cell r="HO285" t="str">
            <v/>
          </cell>
          <cell r="HP285" t="str">
            <v/>
          </cell>
          <cell r="HQ285" t="str">
            <v/>
          </cell>
          <cell r="HR285" t="str">
            <v/>
          </cell>
          <cell r="HS285" t="str">
            <v/>
          </cell>
          <cell r="HT285" t="str">
            <v/>
          </cell>
          <cell r="HU285" t="str">
            <v/>
          </cell>
          <cell r="HV285" t="str">
            <v/>
          </cell>
          <cell r="HW285" t="str">
            <v/>
          </cell>
          <cell r="MN285" t="str">
            <v/>
          </cell>
          <cell r="MO285" t="str">
            <v/>
          </cell>
          <cell r="MP285" t="str">
            <v/>
          </cell>
          <cell r="MQ285" t="str">
            <v/>
          </cell>
          <cell r="MR285" t="str">
            <v/>
          </cell>
          <cell r="MS285" t="str">
            <v/>
          </cell>
          <cell r="MT285" t="str">
            <v/>
          </cell>
          <cell r="MU285" t="str">
            <v/>
          </cell>
          <cell r="MV285" t="str">
            <v/>
          </cell>
          <cell r="MW285" t="str">
            <v/>
          </cell>
          <cell r="MX285" t="str">
            <v/>
          </cell>
          <cell r="MY285" t="str">
            <v/>
          </cell>
          <cell r="MZ285" t="str">
            <v/>
          </cell>
          <cell r="NA285" t="str">
            <v/>
          </cell>
          <cell r="NB285" t="str">
            <v/>
          </cell>
          <cell r="NC285" t="str">
            <v/>
          </cell>
          <cell r="ND285" t="str">
            <v/>
          </cell>
          <cell r="NE285" t="str">
            <v/>
          </cell>
          <cell r="NF285" t="str">
            <v/>
          </cell>
          <cell r="NG285" t="str">
            <v/>
          </cell>
          <cell r="NH285" t="str">
            <v/>
          </cell>
          <cell r="NI285" t="str">
            <v/>
          </cell>
          <cell r="NJ285" t="str">
            <v/>
          </cell>
        </row>
        <row r="286">
          <cell r="I286" t="str">
            <v>E09000016</v>
          </cell>
          <cell r="GZ286" t="str">
            <v/>
          </cell>
          <cell r="HA286" t="str">
            <v/>
          </cell>
          <cell r="HB286" t="str">
            <v/>
          </cell>
          <cell r="HC286" t="str">
            <v/>
          </cell>
          <cell r="HD286" t="str">
            <v/>
          </cell>
          <cell r="HE286" t="str">
            <v/>
          </cell>
          <cell r="HF286" t="str">
            <v/>
          </cell>
          <cell r="HG286" t="str">
            <v/>
          </cell>
          <cell r="HH286" t="str">
            <v/>
          </cell>
          <cell r="HI286" t="str">
            <v/>
          </cell>
          <cell r="HJ286" t="str">
            <v/>
          </cell>
          <cell r="HK286" t="str">
            <v/>
          </cell>
          <cell r="HL286" t="str">
            <v/>
          </cell>
          <cell r="HM286" t="str">
            <v/>
          </cell>
          <cell r="HN286" t="str">
            <v/>
          </cell>
          <cell r="HO286" t="str">
            <v/>
          </cell>
          <cell r="HP286" t="str">
            <v/>
          </cell>
          <cell r="HQ286" t="str">
            <v/>
          </cell>
          <cell r="HR286" t="str">
            <v/>
          </cell>
          <cell r="HS286" t="str">
            <v/>
          </cell>
          <cell r="HT286" t="str">
            <v/>
          </cell>
          <cell r="HU286" t="str">
            <v/>
          </cell>
          <cell r="HV286" t="str">
            <v/>
          </cell>
          <cell r="HW286" t="str">
            <v/>
          </cell>
          <cell r="MN286" t="str">
            <v/>
          </cell>
          <cell r="MO286" t="str">
            <v/>
          </cell>
          <cell r="MP286" t="str">
            <v/>
          </cell>
          <cell r="MQ286" t="str">
            <v/>
          </cell>
          <cell r="MR286" t="str">
            <v/>
          </cell>
          <cell r="MS286" t="str">
            <v/>
          </cell>
          <cell r="MT286" t="str">
            <v/>
          </cell>
          <cell r="MU286" t="str">
            <v/>
          </cell>
          <cell r="MV286" t="str">
            <v/>
          </cell>
          <cell r="MW286" t="str">
            <v/>
          </cell>
          <cell r="MX286" t="str">
            <v/>
          </cell>
          <cell r="MY286" t="str">
            <v/>
          </cell>
          <cell r="MZ286" t="str">
            <v/>
          </cell>
          <cell r="NA286" t="str">
            <v/>
          </cell>
          <cell r="NB286" t="str">
            <v/>
          </cell>
          <cell r="NC286" t="str">
            <v/>
          </cell>
          <cell r="ND286" t="str">
            <v/>
          </cell>
          <cell r="NE286" t="str">
            <v/>
          </cell>
          <cell r="NF286" t="str">
            <v/>
          </cell>
          <cell r="NG286" t="str">
            <v/>
          </cell>
          <cell r="NH286" t="str">
            <v/>
          </cell>
          <cell r="NI286" t="str">
            <v/>
          </cell>
          <cell r="NJ286" t="str">
            <v/>
          </cell>
        </row>
        <row r="287">
          <cell r="I287" t="str">
            <v>E09000029</v>
          </cell>
          <cell r="GZ287" t="str">
            <v/>
          </cell>
          <cell r="HA287" t="str">
            <v/>
          </cell>
          <cell r="HB287" t="str">
            <v/>
          </cell>
          <cell r="HC287" t="str">
            <v/>
          </cell>
          <cell r="HD287" t="str">
            <v/>
          </cell>
          <cell r="HE287" t="str">
            <v/>
          </cell>
          <cell r="HF287" t="str">
            <v/>
          </cell>
          <cell r="HG287" t="str">
            <v/>
          </cell>
          <cell r="HH287" t="str">
            <v/>
          </cell>
          <cell r="HI287" t="str">
            <v/>
          </cell>
          <cell r="HJ287" t="str">
            <v/>
          </cell>
          <cell r="HK287" t="str">
            <v/>
          </cell>
          <cell r="HL287" t="str">
            <v/>
          </cell>
          <cell r="HM287" t="str">
            <v/>
          </cell>
          <cell r="HN287" t="str">
            <v/>
          </cell>
          <cell r="HO287" t="str">
            <v/>
          </cell>
          <cell r="HP287" t="str">
            <v/>
          </cell>
          <cell r="HQ287" t="str">
            <v/>
          </cell>
          <cell r="HR287" t="str">
            <v/>
          </cell>
          <cell r="HS287" t="str">
            <v/>
          </cell>
          <cell r="HT287" t="str">
            <v/>
          </cell>
          <cell r="HU287" t="str">
            <v/>
          </cell>
          <cell r="HV287" t="str">
            <v/>
          </cell>
          <cell r="HW287" t="str">
            <v/>
          </cell>
          <cell r="MN287" t="str">
            <v/>
          </cell>
          <cell r="MO287" t="str">
            <v/>
          </cell>
          <cell r="MP287" t="str">
            <v/>
          </cell>
          <cell r="MQ287" t="str">
            <v/>
          </cell>
          <cell r="MR287" t="str">
            <v/>
          </cell>
          <cell r="MS287" t="str">
            <v/>
          </cell>
          <cell r="MT287" t="str">
            <v/>
          </cell>
          <cell r="MU287" t="str">
            <v/>
          </cell>
          <cell r="MV287" t="str">
            <v/>
          </cell>
          <cell r="MW287" t="str">
            <v/>
          </cell>
          <cell r="MX287" t="str">
            <v/>
          </cell>
          <cell r="MY287" t="str">
            <v/>
          </cell>
          <cell r="MZ287" t="str">
            <v/>
          </cell>
          <cell r="NA287" t="str">
            <v/>
          </cell>
          <cell r="NB287" t="str">
            <v/>
          </cell>
          <cell r="NC287" t="str">
            <v/>
          </cell>
          <cell r="ND287" t="str">
            <v/>
          </cell>
          <cell r="NE287" t="str">
            <v/>
          </cell>
          <cell r="NF287" t="str">
            <v/>
          </cell>
          <cell r="NG287" t="str">
            <v/>
          </cell>
          <cell r="NH287" t="str">
            <v/>
          </cell>
          <cell r="NI287" t="str">
            <v/>
          </cell>
          <cell r="NJ287" t="str">
            <v/>
          </cell>
        </row>
        <row r="288">
          <cell r="I288" t="str">
            <v>E07000141</v>
          </cell>
          <cell r="GZ288" t="str">
            <v/>
          </cell>
          <cell r="HA288" t="str">
            <v/>
          </cell>
          <cell r="HB288" t="str">
            <v/>
          </cell>
          <cell r="HC288" t="str">
            <v/>
          </cell>
          <cell r="HD288" t="str">
            <v/>
          </cell>
          <cell r="HE288" t="str">
            <v/>
          </cell>
          <cell r="HF288" t="str">
            <v/>
          </cell>
          <cell r="HG288" t="str">
            <v/>
          </cell>
          <cell r="HH288" t="str">
            <v/>
          </cell>
          <cell r="HI288" t="str">
            <v/>
          </cell>
          <cell r="HJ288" t="str">
            <v/>
          </cell>
          <cell r="HK288" t="str">
            <v/>
          </cell>
          <cell r="HL288" t="str">
            <v/>
          </cell>
          <cell r="HM288" t="str">
            <v/>
          </cell>
          <cell r="HN288" t="str">
            <v/>
          </cell>
          <cell r="HO288" t="str">
            <v/>
          </cell>
          <cell r="HP288" t="str">
            <v/>
          </cell>
          <cell r="HQ288" t="str">
            <v/>
          </cell>
          <cell r="HR288" t="str">
            <v/>
          </cell>
          <cell r="HS288" t="str">
            <v/>
          </cell>
          <cell r="HT288" t="str">
            <v/>
          </cell>
          <cell r="HU288" t="str">
            <v/>
          </cell>
          <cell r="HV288" t="str">
            <v/>
          </cell>
          <cell r="HW288" t="str">
            <v/>
          </cell>
          <cell r="MN288" t="str">
            <v/>
          </cell>
          <cell r="MO288" t="str">
            <v/>
          </cell>
          <cell r="MP288" t="str">
            <v/>
          </cell>
          <cell r="MQ288" t="str">
            <v/>
          </cell>
          <cell r="MR288" t="str">
            <v/>
          </cell>
          <cell r="MS288" t="str">
            <v/>
          </cell>
          <cell r="MT288" t="str">
            <v/>
          </cell>
          <cell r="MU288" t="str">
            <v/>
          </cell>
          <cell r="MV288" t="str">
            <v/>
          </cell>
          <cell r="MW288" t="str">
            <v/>
          </cell>
          <cell r="MX288" t="str">
            <v/>
          </cell>
          <cell r="MY288" t="str">
            <v/>
          </cell>
          <cell r="MZ288" t="str">
            <v/>
          </cell>
          <cell r="NA288" t="str">
            <v/>
          </cell>
          <cell r="NB288" t="str">
            <v/>
          </cell>
          <cell r="NC288" t="str">
            <v/>
          </cell>
          <cell r="ND288" t="str">
            <v/>
          </cell>
          <cell r="NE288" t="str">
            <v/>
          </cell>
          <cell r="NF288" t="str">
            <v/>
          </cell>
          <cell r="NG288" t="str">
            <v/>
          </cell>
          <cell r="NH288" t="str">
            <v/>
          </cell>
          <cell r="NI288" t="str">
            <v/>
          </cell>
          <cell r="NJ288" t="str">
            <v/>
          </cell>
        </row>
        <row r="289">
          <cell r="I289" t="str">
            <v>E07000080</v>
          </cell>
          <cell r="GZ289" t="str">
            <v/>
          </cell>
          <cell r="HA289" t="str">
            <v/>
          </cell>
          <cell r="HB289" t="str">
            <v/>
          </cell>
          <cell r="HC289" t="str">
            <v/>
          </cell>
          <cell r="HD289" t="str">
            <v/>
          </cell>
          <cell r="HE289" t="str">
            <v/>
          </cell>
          <cell r="HF289" t="str">
            <v/>
          </cell>
          <cell r="HG289" t="str">
            <v/>
          </cell>
          <cell r="HH289" t="str">
            <v/>
          </cell>
          <cell r="HI289" t="str">
            <v/>
          </cell>
          <cell r="HJ289" t="str">
            <v/>
          </cell>
          <cell r="HK289" t="str">
            <v/>
          </cell>
          <cell r="HL289" t="str">
            <v/>
          </cell>
          <cell r="HM289" t="str">
            <v/>
          </cell>
          <cell r="HN289" t="str">
            <v/>
          </cell>
          <cell r="HO289" t="str">
            <v/>
          </cell>
          <cell r="HP289" t="str">
            <v/>
          </cell>
          <cell r="HQ289" t="str">
            <v/>
          </cell>
          <cell r="HR289" t="str">
            <v/>
          </cell>
          <cell r="HS289" t="str">
            <v/>
          </cell>
          <cell r="HT289" t="str">
            <v/>
          </cell>
          <cell r="HU289" t="str">
            <v/>
          </cell>
          <cell r="HV289" t="str">
            <v/>
          </cell>
          <cell r="HW289" t="str">
            <v/>
          </cell>
          <cell r="MQ289" t="str">
            <v>Analysts to manually calculate</v>
          </cell>
          <cell r="MU289" t="str">
            <v>Analysts to manually calculate</v>
          </cell>
          <cell r="MY289" t="str">
            <v>Analysts to manually calculate</v>
          </cell>
          <cell r="NC289" t="str">
            <v>Analysts to manually calculate</v>
          </cell>
          <cell r="NG289" t="str">
            <v>Analysts to manually calculate</v>
          </cell>
        </row>
        <row r="290">
          <cell r="I290" t="str">
            <v>E07000126</v>
          </cell>
          <cell r="GZ290" t="str">
            <v/>
          </cell>
          <cell r="HA290" t="str">
            <v/>
          </cell>
          <cell r="HB290" t="str">
            <v/>
          </cell>
          <cell r="HC290" t="str">
            <v/>
          </cell>
          <cell r="HD290" t="str">
            <v/>
          </cell>
          <cell r="HE290" t="str">
            <v/>
          </cell>
          <cell r="HF290" t="str">
            <v/>
          </cell>
          <cell r="HG290" t="str">
            <v/>
          </cell>
          <cell r="HH290" t="str">
            <v/>
          </cell>
          <cell r="HI290" t="str">
            <v/>
          </cell>
          <cell r="HJ290" t="str">
            <v/>
          </cell>
          <cell r="HK290" t="str">
            <v/>
          </cell>
          <cell r="HL290" t="str">
            <v/>
          </cell>
          <cell r="HM290" t="str">
            <v/>
          </cell>
          <cell r="HN290" t="str">
            <v/>
          </cell>
          <cell r="HO290" t="str">
            <v/>
          </cell>
          <cell r="HP290" t="str">
            <v/>
          </cell>
          <cell r="HQ290" t="str">
            <v/>
          </cell>
          <cell r="HR290" t="str">
            <v/>
          </cell>
          <cell r="HS290" t="str">
            <v/>
          </cell>
          <cell r="HT290" t="str">
            <v/>
          </cell>
          <cell r="HU290" t="str">
            <v/>
          </cell>
          <cell r="HV290" t="str">
            <v/>
          </cell>
          <cell r="HW290" t="str">
            <v/>
          </cell>
          <cell r="MN290" t="str">
            <v/>
          </cell>
          <cell r="MO290" t="str">
            <v/>
          </cell>
          <cell r="MP290" t="str">
            <v/>
          </cell>
          <cell r="MQ290" t="str">
            <v/>
          </cell>
          <cell r="MR290" t="str">
            <v/>
          </cell>
          <cell r="MS290" t="str">
            <v/>
          </cell>
          <cell r="MT290" t="str">
            <v/>
          </cell>
          <cell r="MU290" t="str">
            <v/>
          </cell>
          <cell r="MV290" t="str">
            <v/>
          </cell>
          <cell r="MW290" t="str">
            <v/>
          </cell>
          <cell r="MX290" t="str">
            <v/>
          </cell>
          <cell r="MY290" t="str">
            <v/>
          </cell>
          <cell r="MZ290" t="str">
            <v/>
          </cell>
          <cell r="NA290" t="str">
            <v/>
          </cell>
          <cell r="NB290" t="str">
            <v/>
          </cell>
          <cell r="NC290" t="str">
            <v/>
          </cell>
          <cell r="ND290" t="str">
            <v/>
          </cell>
          <cell r="NE290" t="str">
            <v/>
          </cell>
          <cell r="NF290" t="str">
            <v/>
          </cell>
          <cell r="NG290" t="str">
            <v/>
          </cell>
          <cell r="NH290" t="str">
            <v/>
          </cell>
          <cell r="NI290" t="str">
            <v/>
          </cell>
          <cell r="NJ290" t="str">
            <v/>
          </cell>
        </row>
        <row r="291">
          <cell r="I291" t="str">
            <v>E07000009</v>
          </cell>
          <cell r="GZ291" t="str">
            <v/>
          </cell>
          <cell r="HA291" t="str">
            <v/>
          </cell>
          <cell r="HB291" t="str">
            <v/>
          </cell>
          <cell r="HC291" t="str">
            <v/>
          </cell>
          <cell r="HD291" t="str">
            <v/>
          </cell>
          <cell r="HE291" t="str">
            <v/>
          </cell>
          <cell r="HF291" t="str">
            <v/>
          </cell>
          <cell r="HG291" t="str">
            <v/>
          </cell>
          <cell r="HH291" t="str">
            <v/>
          </cell>
          <cell r="HI291" t="str">
            <v/>
          </cell>
          <cell r="HJ291" t="str">
            <v/>
          </cell>
          <cell r="HK291" t="str">
            <v/>
          </cell>
          <cell r="HL291" t="str">
            <v/>
          </cell>
          <cell r="HM291" t="str">
            <v/>
          </cell>
          <cell r="HN291" t="str">
            <v/>
          </cell>
          <cell r="HO291" t="str">
            <v/>
          </cell>
          <cell r="HP291" t="str">
            <v/>
          </cell>
          <cell r="HQ291" t="str">
            <v/>
          </cell>
          <cell r="HR291" t="str">
            <v/>
          </cell>
          <cell r="HS291" t="str">
            <v/>
          </cell>
          <cell r="HT291" t="str">
            <v/>
          </cell>
          <cell r="HU291" t="str">
            <v/>
          </cell>
          <cell r="HV291" t="str">
            <v/>
          </cell>
          <cell r="HW291" t="str">
            <v/>
          </cell>
          <cell r="MN291" t="str">
            <v/>
          </cell>
          <cell r="MO291" t="str">
            <v/>
          </cell>
          <cell r="MP291" t="str">
            <v/>
          </cell>
          <cell r="MQ291" t="str">
            <v/>
          </cell>
          <cell r="MR291" t="str">
            <v/>
          </cell>
          <cell r="MS291" t="str">
            <v/>
          </cell>
          <cell r="MT291" t="str">
            <v/>
          </cell>
          <cell r="MU291" t="str">
            <v/>
          </cell>
          <cell r="MV291" t="str">
            <v/>
          </cell>
          <cell r="MW291" t="str">
            <v/>
          </cell>
          <cell r="MX291" t="str">
            <v/>
          </cell>
          <cell r="MY291" t="str">
            <v/>
          </cell>
          <cell r="MZ291" t="str">
            <v/>
          </cell>
          <cell r="NA291" t="str">
            <v/>
          </cell>
          <cell r="NB291" t="str">
            <v/>
          </cell>
          <cell r="NC291" t="str">
            <v/>
          </cell>
          <cell r="ND291" t="str">
            <v/>
          </cell>
          <cell r="NE291" t="str">
            <v/>
          </cell>
          <cell r="NF291" t="str">
            <v/>
          </cell>
          <cell r="NG291" t="str">
            <v/>
          </cell>
          <cell r="NH291" t="str">
            <v/>
          </cell>
          <cell r="NI291" t="str">
            <v/>
          </cell>
          <cell r="NJ291" t="str">
            <v/>
          </cell>
        </row>
        <row r="292">
          <cell r="I292" t="str">
            <v>E06000039</v>
          </cell>
          <cell r="GZ292" t="str">
            <v/>
          </cell>
          <cell r="HA292" t="str">
            <v/>
          </cell>
          <cell r="HB292" t="str">
            <v/>
          </cell>
          <cell r="HC292" t="str">
            <v/>
          </cell>
          <cell r="HD292" t="str">
            <v/>
          </cell>
          <cell r="HE292" t="str">
            <v/>
          </cell>
          <cell r="HF292" t="str">
            <v/>
          </cell>
          <cell r="HG292" t="str">
            <v/>
          </cell>
          <cell r="HH292" t="str">
            <v/>
          </cell>
          <cell r="HI292" t="str">
            <v/>
          </cell>
          <cell r="HJ292" t="str">
            <v/>
          </cell>
          <cell r="HK292" t="str">
            <v/>
          </cell>
          <cell r="HL292" t="str">
            <v/>
          </cell>
          <cell r="HM292" t="str">
            <v/>
          </cell>
          <cell r="HN292" t="str">
            <v/>
          </cell>
          <cell r="HO292" t="str">
            <v/>
          </cell>
          <cell r="HP292" t="str">
            <v/>
          </cell>
          <cell r="HQ292" t="str">
            <v/>
          </cell>
          <cell r="HR292" t="str">
            <v/>
          </cell>
          <cell r="HS292" t="str">
            <v/>
          </cell>
          <cell r="HT292" t="str">
            <v/>
          </cell>
          <cell r="HU292" t="str">
            <v/>
          </cell>
          <cell r="HV292" t="str">
            <v/>
          </cell>
          <cell r="HW292" t="str">
            <v/>
          </cell>
          <cell r="MN292" t="str">
            <v/>
          </cell>
          <cell r="MO292" t="str">
            <v/>
          </cell>
          <cell r="MP292" t="str">
            <v/>
          </cell>
          <cell r="MQ292" t="str">
            <v/>
          </cell>
          <cell r="MR292" t="str">
            <v/>
          </cell>
          <cell r="MS292" t="str">
            <v/>
          </cell>
          <cell r="MT292" t="str">
            <v/>
          </cell>
          <cell r="MU292" t="str">
            <v/>
          </cell>
          <cell r="MV292" t="str">
            <v/>
          </cell>
          <cell r="MW292" t="str">
            <v/>
          </cell>
          <cell r="MX292" t="str">
            <v/>
          </cell>
          <cell r="MY292" t="str">
            <v/>
          </cell>
          <cell r="MZ292" t="str">
            <v/>
          </cell>
          <cell r="NA292" t="str">
            <v/>
          </cell>
          <cell r="NB292" t="str">
            <v/>
          </cell>
          <cell r="NC292" t="str">
            <v/>
          </cell>
          <cell r="ND292" t="str">
            <v/>
          </cell>
          <cell r="NE292" t="str">
            <v/>
          </cell>
          <cell r="NF292" t="str">
            <v/>
          </cell>
          <cell r="NG292" t="str">
            <v/>
          </cell>
          <cell r="NH292" t="str">
            <v/>
          </cell>
          <cell r="NI292" t="str">
            <v/>
          </cell>
          <cell r="NJ292" t="str">
            <v/>
          </cell>
        </row>
        <row r="293">
          <cell r="I293" t="str">
            <v>E07000086</v>
          </cell>
          <cell r="GZ293" t="str">
            <v/>
          </cell>
          <cell r="HA293" t="str">
            <v/>
          </cell>
          <cell r="HB293" t="str">
            <v/>
          </cell>
          <cell r="HC293" t="str">
            <v/>
          </cell>
          <cell r="HD293" t="str">
            <v/>
          </cell>
          <cell r="HE293" t="str">
            <v/>
          </cell>
          <cell r="HF293" t="str">
            <v/>
          </cell>
          <cell r="HG293" t="str">
            <v/>
          </cell>
          <cell r="HH293" t="str">
            <v/>
          </cell>
          <cell r="HI293" t="str">
            <v/>
          </cell>
          <cell r="HJ293" t="str">
            <v/>
          </cell>
          <cell r="HK293" t="str">
            <v/>
          </cell>
          <cell r="HL293" t="str">
            <v/>
          </cell>
          <cell r="HM293" t="str">
            <v/>
          </cell>
          <cell r="HN293" t="str">
            <v/>
          </cell>
          <cell r="HO293" t="str">
            <v/>
          </cell>
          <cell r="HP293" t="str">
            <v/>
          </cell>
          <cell r="HQ293" t="str">
            <v/>
          </cell>
          <cell r="HR293" t="str">
            <v/>
          </cell>
          <cell r="HS293" t="str">
            <v/>
          </cell>
          <cell r="HT293" t="str">
            <v/>
          </cell>
          <cell r="HU293" t="str">
            <v/>
          </cell>
          <cell r="HV293" t="str">
            <v/>
          </cell>
          <cell r="HW293" t="str">
            <v/>
          </cell>
          <cell r="MN293" t="str">
            <v/>
          </cell>
          <cell r="MO293" t="str">
            <v/>
          </cell>
          <cell r="MP293" t="str">
            <v/>
          </cell>
          <cell r="MQ293" t="str">
            <v/>
          </cell>
          <cell r="MR293" t="str">
            <v/>
          </cell>
          <cell r="MS293" t="str">
            <v/>
          </cell>
          <cell r="MT293" t="str">
            <v/>
          </cell>
          <cell r="MU293" t="str">
            <v/>
          </cell>
          <cell r="MV293" t="str">
            <v/>
          </cell>
          <cell r="MW293" t="str">
            <v/>
          </cell>
          <cell r="MX293" t="str">
            <v/>
          </cell>
          <cell r="MY293" t="str">
            <v/>
          </cell>
          <cell r="MZ293" t="str">
            <v/>
          </cell>
          <cell r="NA293" t="str">
            <v/>
          </cell>
          <cell r="NB293" t="str">
            <v/>
          </cell>
          <cell r="NC293" t="str">
            <v/>
          </cell>
          <cell r="ND293" t="str">
            <v/>
          </cell>
          <cell r="NE293" t="str">
            <v/>
          </cell>
          <cell r="NF293" t="str">
            <v/>
          </cell>
          <cell r="NG293" t="str">
            <v/>
          </cell>
          <cell r="NH293" t="str">
            <v/>
          </cell>
          <cell r="NI293" t="str">
            <v/>
          </cell>
          <cell r="NJ293" t="str">
            <v/>
          </cell>
        </row>
        <row r="294">
          <cell r="I294" t="str">
            <v>E08000026</v>
          </cell>
          <cell r="GZ294">
            <v>40634</v>
          </cell>
          <cell r="HA294">
            <v>42460</v>
          </cell>
          <cell r="HB294">
            <v>1020</v>
          </cell>
          <cell r="HC294" t="str">
            <v>Analyst To Calculate</v>
          </cell>
          <cell r="HD294">
            <v>42461</v>
          </cell>
          <cell r="HE294">
            <v>47938</v>
          </cell>
          <cell r="HF294">
            <v>1300</v>
          </cell>
          <cell r="HG294" t="str">
            <v>Analyst To Calculate</v>
          </cell>
          <cell r="HH294" t="str">
            <v/>
          </cell>
          <cell r="HI294" t="str">
            <v/>
          </cell>
          <cell r="HJ294" t="str">
            <v/>
          </cell>
          <cell r="HK294" t="str">
            <v>Analyst To Calculate</v>
          </cell>
          <cell r="HL294" t="str">
            <v/>
          </cell>
          <cell r="HM294" t="str">
            <v/>
          </cell>
          <cell r="HN294" t="str">
            <v/>
          </cell>
          <cell r="HO294" t="str">
            <v>Analyst To Calculate</v>
          </cell>
          <cell r="HP294" t="str">
            <v/>
          </cell>
          <cell r="HQ294" t="str">
            <v/>
          </cell>
          <cell r="HR294" t="str">
            <v/>
          </cell>
          <cell r="HS294" t="str">
            <v>Analyst To Calculate</v>
          </cell>
          <cell r="HT294" t="str">
            <v/>
          </cell>
          <cell r="HU294" t="str">
            <v/>
          </cell>
          <cell r="HV294" t="str">
            <v/>
          </cell>
          <cell r="HW294" t="str">
            <v>Analyst To Calculate</v>
          </cell>
          <cell r="MN294" t="str">
            <v/>
          </cell>
          <cell r="MO294" t="str">
            <v/>
          </cell>
          <cell r="MP294" t="str">
            <v/>
          </cell>
          <cell r="MQ294" t="str">
            <v/>
          </cell>
          <cell r="MR294" t="str">
            <v/>
          </cell>
          <cell r="MS294" t="str">
            <v/>
          </cell>
          <cell r="MT294" t="str">
            <v/>
          </cell>
          <cell r="MU294" t="str">
            <v/>
          </cell>
          <cell r="MV294" t="str">
            <v/>
          </cell>
          <cell r="MW294" t="str">
            <v/>
          </cell>
          <cell r="MX294" t="str">
            <v/>
          </cell>
          <cell r="MY294" t="str">
            <v/>
          </cell>
          <cell r="MZ294" t="str">
            <v/>
          </cell>
          <cell r="NA294" t="str">
            <v/>
          </cell>
          <cell r="NB294" t="str">
            <v/>
          </cell>
          <cell r="NC294" t="str">
            <v/>
          </cell>
          <cell r="ND294" t="str">
            <v/>
          </cell>
          <cell r="NE294" t="str">
            <v/>
          </cell>
          <cell r="NF294" t="str">
            <v/>
          </cell>
          <cell r="NG294" t="str">
            <v/>
          </cell>
          <cell r="NH294" t="str">
            <v/>
          </cell>
          <cell r="NI294" t="str">
            <v/>
          </cell>
          <cell r="NJ294" t="str">
            <v/>
          </cell>
        </row>
        <row r="295">
          <cell r="I295" t="str">
            <v>E07000099</v>
          </cell>
          <cell r="GZ295" t="str">
            <v/>
          </cell>
          <cell r="HA295" t="str">
            <v/>
          </cell>
          <cell r="HB295" t="str">
            <v/>
          </cell>
          <cell r="HC295" t="str">
            <v/>
          </cell>
          <cell r="HD295" t="str">
            <v/>
          </cell>
          <cell r="HE295" t="str">
            <v/>
          </cell>
          <cell r="HF295" t="str">
            <v/>
          </cell>
          <cell r="HG295" t="str">
            <v/>
          </cell>
          <cell r="HH295" t="str">
            <v/>
          </cell>
          <cell r="HI295" t="str">
            <v/>
          </cell>
          <cell r="HJ295" t="str">
            <v/>
          </cell>
          <cell r="HK295" t="str">
            <v/>
          </cell>
          <cell r="HL295" t="str">
            <v/>
          </cell>
          <cell r="HM295" t="str">
            <v/>
          </cell>
          <cell r="HN295" t="str">
            <v/>
          </cell>
          <cell r="HO295" t="str">
            <v/>
          </cell>
          <cell r="HP295" t="str">
            <v/>
          </cell>
          <cell r="HQ295" t="str">
            <v/>
          </cell>
          <cell r="HR295" t="str">
            <v/>
          </cell>
          <cell r="HS295" t="str">
            <v/>
          </cell>
          <cell r="HT295" t="str">
            <v/>
          </cell>
          <cell r="HU295" t="str">
            <v/>
          </cell>
          <cell r="HV295" t="str">
            <v/>
          </cell>
          <cell r="HW295" t="str">
            <v/>
          </cell>
          <cell r="MN295" t="str">
            <v/>
          </cell>
          <cell r="MO295" t="str">
            <v/>
          </cell>
          <cell r="MP295" t="str">
            <v/>
          </cell>
          <cell r="MQ295" t="str">
            <v/>
          </cell>
          <cell r="MR295" t="str">
            <v/>
          </cell>
          <cell r="MS295" t="str">
            <v/>
          </cell>
          <cell r="MT295" t="str">
            <v/>
          </cell>
          <cell r="MU295" t="str">
            <v/>
          </cell>
          <cell r="MV295" t="str">
            <v/>
          </cell>
          <cell r="MW295" t="str">
            <v/>
          </cell>
          <cell r="MX295" t="str">
            <v/>
          </cell>
          <cell r="MY295" t="str">
            <v/>
          </cell>
          <cell r="MZ295" t="str">
            <v/>
          </cell>
          <cell r="NA295" t="str">
            <v/>
          </cell>
          <cell r="NB295" t="str">
            <v/>
          </cell>
          <cell r="NC295" t="str">
            <v/>
          </cell>
          <cell r="ND295" t="str">
            <v/>
          </cell>
          <cell r="NE295" t="str">
            <v/>
          </cell>
          <cell r="NF295" t="str">
            <v/>
          </cell>
          <cell r="NG295" t="str">
            <v/>
          </cell>
          <cell r="NH295" t="str">
            <v/>
          </cell>
          <cell r="NI295" t="str">
            <v/>
          </cell>
          <cell r="NJ295" t="str">
            <v/>
          </cell>
        </row>
        <row r="296">
          <cell r="I296" t="str">
            <v>E07000093</v>
          </cell>
          <cell r="GZ296" t="str">
            <v/>
          </cell>
          <cell r="HA296" t="str">
            <v/>
          </cell>
          <cell r="HB296" t="str">
            <v/>
          </cell>
          <cell r="HC296" t="str">
            <v/>
          </cell>
          <cell r="HD296" t="str">
            <v/>
          </cell>
          <cell r="HE296" t="str">
            <v/>
          </cell>
          <cell r="HF296" t="str">
            <v/>
          </cell>
          <cell r="HG296" t="str">
            <v/>
          </cell>
          <cell r="HH296" t="str">
            <v/>
          </cell>
          <cell r="HI296" t="str">
            <v/>
          </cell>
          <cell r="HJ296" t="str">
            <v/>
          </cell>
          <cell r="HK296" t="str">
            <v/>
          </cell>
          <cell r="HL296" t="str">
            <v/>
          </cell>
          <cell r="HM296" t="str">
            <v/>
          </cell>
          <cell r="HN296" t="str">
            <v/>
          </cell>
          <cell r="HO296" t="str">
            <v/>
          </cell>
          <cell r="HP296" t="str">
            <v/>
          </cell>
          <cell r="HQ296" t="str">
            <v/>
          </cell>
          <cell r="HR296" t="str">
            <v/>
          </cell>
          <cell r="HS296" t="str">
            <v/>
          </cell>
          <cell r="HT296" t="str">
            <v/>
          </cell>
          <cell r="HU296" t="str">
            <v/>
          </cell>
          <cell r="HV296" t="str">
            <v/>
          </cell>
          <cell r="HW296" t="str">
            <v/>
          </cell>
          <cell r="MN296" t="str">
            <v/>
          </cell>
          <cell r="MO296" t="str">
            <v/>
          </cell>
          <cell r="MP296" t="str">
            <v/>
          </cell>
          <cell r="MQ296" t="str">
            <v/>
          </cell>
          <cell r="MR296" t="str">
            <v/>
          </cell>
          <cell r="MS296" t="str">
            <v/>
          </cell>
          <cell r="MT296" t="str">
            <v/>
          </cell>
          <cell r="MU296" t="str">
            <v/>
          </cell>
          <cell r="MV296" t="str">
            <v/>
          </cell>
          <cell r="MW296" t="str">
            <v/>
          </cell>
          <cell r="MX296" t="str">
            <v/>
          </cell>
          <cell r="MY296" t="str">
            <v/>
          </cell>
          <cell r="MZ296" t="str">
            <v/>
          </cell>
          <cell r="NA296" t="str">
            <v/>
          </cell>
          <cell r="NB296" t="str">
            <v/>
          </cell>
          <cell r="NC296" t="str">
            <v/>
          </cell>
          <cell r="ND296" t="str">
            <v/>
          </cell>
          <cell r="NE296" t="str">
            <v/>
          </cell>
          <cell r="NF296" t="str">
            <v/>
          </cell>
          <cell r="NG296" t="str">
            <v/>
          </cell>
          <cell r="NH296" t="str">
            <v/>
          </cell>
          <cell r="NI296" t="str">
            <v/>
          </cell>
          <cell r="NJ296" t="str">
            <v/>
          </cell>
        </row>
        <row r="297">
          <cell r="I297" t="str">
            <v>E07000220</v>
          </cell>
          <cell r="GZ297">
            <v>40634</v>
          </cell>
          <cell r="HA297">
            <v>43190</v>
          </cell>
          <cell r="HB297">
            <v>540</v>
          </cell>
          <cell r="HC297" t="str">
            <v>Analyst To Calculate</v>
          </cell>
          <cell r="HD297">
            <v>43191</v>
          </cell>
          <cell r="HE297">
            <v>47938</v>
          </cell>
          <cell r="HF297">
            <v>663</v>
          </cell>
          <cell r="HG297" t="str">
            <v>Analyst To Calculate</v>
          </cell>
          <cell r="HH297" t="str">
            <v/>
          </cell>
          <cell r="HI297" t="str">
            <v/>
          </cell>
          <cell r="HJ297" t="str">
            <v/>
          </cell>
          <cell r="HK297" t="str">
            <v>Analyst To Calculate</v>
          </cell>
          <cell r="HL297" t="str">
            <v/>
          </cell>
          <cell r="HM297" t="str">
            <v/>
          </cell>
          <cell r="HN297" t="str">
            <v/>
          </cell>
          <cell r="HO297" t="str">
            <v>Analyst To Calculate</v>
          </cell>
          <cell r="HP297" t="str">
            <v/>
          </cell>
          <cell r="HQ297" t="str">
            <v/>
          </cell>
          <cell r="HR297" t="str">
            <v/>
          </cell>
          <cell r="HS297" t="str">
            <v>Analyst To Calculate</v>
          </cell>
          <cell r="HT297" t="str">
            <v/>
          </cell>
          <cell r="HU297" t="str">
            <v/>
          </cell>
          <cell r="HV297" t="str">
            <v/>
          </cell>
          <cell r="HW297" t="str">
            <v>Analyst To Calculate</v>
          </cell>
          <cell r="MQ297" t="str">
            <v>Analysts to manually calculate</v>
          </cell>
          <cell r="MU297" t="str">
            <v>Analysts to manually calculate</v>
          </cell>
          <cell r="MY297" t="str">
            <v>Analysts to manually calculate</v>
          </cell>
          <cell r="NC297" t="str">
            <v>Analysts to manually calculate</v>
          </cell>
          <cell r="NG297" t="str">
            <v>Analysts to manually calculate</v>
          </cell>
        </row>
        <row r="298">
          <cell r="I298" t="str">
            <v>E06000041</v>
          </cell>
          <cell r="GZ298" t="str">
            <v/>
          </cell>
          <cell r="HA298" t="str">
            <v/>
          </cell>
          <cell r="HB298" t="str">
            <v/>
          </cell>
          <cell r="HC298" t="str">
            <v/>
          </cell>
          <cell r="HD298" t="str">
            <v/>
          </cell>
          <cell r="HE298" t="str">
            <v/>
          </cell>
          <cell r="HF298" t="str">
            <v/>
          </cell>
          <cell r="HG298" t="str">
            <v/>
          </cell>
          <cell r="HH298" t="str">
            <v/>
          </cell>
          <cell r="HI298" t="str">
            <v/>
          </cell>
          <cell r="HJ298" t="str">
            <v/>
          </cell>
          <cell r="HK298" t="str">
            <v/>
          </cell>
          <cell r="HL298" t="str">
            <v/>
          </cell>
          <cell r="HM298" t="str">
            <v/>
          </cell>
          <cell r="HN298" t="str">
            <v/>
          </cell>
          <cell r="HO298" t="str">
            <v/>
          </cell>
          <cell r="HP298" t="str">
            <v/>
          </cell>
          <cell r="HQ298" t="str">
            <v/>
          </cell>
          <cell r="HR298" t="str">
            <v/>
          </cell>
          <cell r="HS298" t="str">
            <v/>
          </cell>
          <cell r="HT298" t="str">
            <v/>
          </cell>
          <cell r="HU298" t="str">
            <v/>
          </cell>
          <cell r="HV298" t="str">
            <v/>
          </cell>
          <cell r="HW298" t="str">
            <v/>
          </cell>
          <cell r="MN298" t="str">
            <v/>
          </cell>
          <cell r="MO298" t="str">
            <v/>
          </cell>
          <cell r="MP298" t="str">
            <v/>
          </cell>
          <cell r="MQ298" t="str">
            <v/>
          </cell>
          <cell r="MR298" t="str">
            <v/>
          </cell>
          <cell r="MS298" t="str">
            <v/>
          </cell>
          <cell r="MT298" t="str">
            <v/>
          </cell>
          <cell r="MU298" t="str">
            <v/>
          </cell>
          <cell r="MV298" t="str">
            <v/>
          </cell>
          <cell r="MW298" t="str">
            <v/>
          </cell>
          <cell r="MX298" t="str">
            <v/>
          </cell>
          <cell r="MY298" t="str">
            <v/>
          </cell>
          <cell r="MZ298" t="str">
            <v/>
          </cell>
          <cell r="NA298" t="str">
            <v/>
          </cell>
          <cell r="NB298" t="str">
            <v/>
          </cell>
          <cell r="NC298" t="str">
            <v/>
          </cell>
          <cell r="ND298" t="str">
            <v/>
          </cell>
          <cell r="NE298" t="str">
            <v/>
          </cell>
          <cell r="NF298" t="str">
            <v/>
          </cell>
          <cell r="NG298" t="str">
            <v/>
          </cell>
          <cell r="NH298" t="str">
            <v/>
          </cell>
          <cell r="NI298" t="str">
            <v/>
          </cell>
          <cell r="NJ298" t="str">
            <v/>
          </cell>
        </row>
        <row r="299">
          <cell r="I299" t="str">
            <v>E07000227</v>
          </cell>
          <cell r="GZ299" t="str">
            <v/>
          </cell>
          <cell r="HA299" t="str">
            <v/>
          </cell>
          <cell r="HB299" t="str">
            <v/>
          </cell>
          <cell r="HC299" t="str">
            <v/>
          </cell>
          <cell r="HD299" t="str">
            <v/>
          </cell>
          <cell r="HE299" t="str">
            <v/>
          </cell>
          <cell r="HF299" t="str">
            <v/>
          </cell>
          <cell r="HG299" t="str">
            <v/>
          </cell>
          <cell r="HH299" t="str">
            <v/>
          </cell>
          <cell r="HI299" t="str">
            <v/>
          </cell>
          <cell r="HJ299" t="str">
            <v/>
          </cell>
          <cell r="HK299" t="str">
            <v/>
          </cell>
          <cell r="HL299" t="str">
            <v/>
          </cell>
          <cell r="HM299" t="str">
            <v/>
          </cell>
          <cell r="HN299" t="str">
            <v/>
          </cell>
          <cell r="HO299" t="str">
            <v/>
          </cell>
          <cell r="HP299" t="str">
            <v/>
          </cell>
          <cell r="HQ299" t="str">
            <v/>
          </cell>
          <cell r="HR299" t="str">
            <v/>
          </cell>
          <cell r="HS299" t="str">
            <v/>
          </cell>
          <cell r="HT299" t="str">
            <v/>
          </cell>
          <cell r="HU299" t="str">
            <v/>
          </cell>
          <cell r="HV299" t="str">
            <v/>
          </cell>
          <cell r="HW299" t="str">
            <v/>
          </cell>
          <cell r="MN299" t="str">
            <v/>
          </cell>
          <cell r="MO299" t="str">
            <v/>
          </cell>
          <cell r="MP299" t="str">
            <v/>
          </cell>
          <cell r="MQ299" t="str">
            <v/>
          </cell>
          <cell r="MR299" t="str">
            <v/>
          </cell>
          <cell r="MS299" t="str">
            <v/>
          </cell>
          <cell r="MT299" t="str">
            <v/>
          </cell>
          <cell r="MU299" t="str">
            <v/>
          </cell>
          <cell r="MV299" t="str">
            <v/>
          </cell>
          <cell r="MW299" t="str">
            <v/>
          </cell>
          <cell r="MX299" t="str">
            <v/>
          </cell>
          <cell r="MY299" t="str">
            <v/>
          </cell>
          <cell r="MZ299" t="str">
            <v/>
          </cell>
          <cell r="NA299" t="str">
            <v/>
          </cell>
          <cell r="NB299" t="str">
            <v/>
          </cell>
          <cell r="NC299" t="str">
            <v/>
          </cell>
          <cell r="ND299" t="str">
            <v/>
          </cell>
          <cell r="NE299" t="str">
            <v/>
          </cell>
          <cell r="NF299" t="str">
            <v/>
          </cell>
          <cell r="NG299" t="str">
            <v/>
          </cell>
          <cell r="NH299" t="str">
            <v/>
          </cell>
          <cell r="NI299" t="str">
            <v/>
          </cell>
          <cell r="NJ299" t="str">
            <v/>
          </cell>
        </row>
        <row r="300">
          <cell r="I300" t="str">
            <v>E07000147</v>
          </cell>
          <cell r="GZ300" t="str">
            <v/>
          </cell>
          <cell r="HA300" t="str">
            <v/>
          </cell>
          <cell r="HB300" t="str">
            <v/>
          </cell>
          <cell r="HC300" t="str">
            <v/>
          </cell>
          <cell r="HD300" t="str">
            <v/>
          </cell>
          <cell r="HE300" t="str">
            <v/>
          </cell>
          <cell r="HF300" t="str">
            <v/>
          </cell>
          <cell r="HG300" t="str">
            <v/>
          </cell>
          <cell r="HH300" t="str">
            <v/>
          </cell>
          <cell r="HI300" t="str">
            <v/>
          </cell>
          <cell r="HJ300" t="str">
            <v/>
          </cell>
          <cell r="HK300" t="str">
            <v/>
          </cell>
          <cell r="HL300" t="str">
            <v/>
          </cell>
          <cell r="HM300" t="str">
            <v/>
          </cell>
          <cell r="HN300" t="str">
            <v/>
          </cell>
          <cell r="HO300" t="str">
            <v/>
          </cell>
          <cell r="HP300" t="str">
            <v/>
          </cell>
          <cell r="HQ300" t="str">
            <v/>
          </cell>
          <cell r="HR300" t="str">
            <v/>
          </cell>
          <cell r="HS300" t="str">
            <v/>
          </cell>
          <cell r="HT300" t="str">
            <v/>
          </cell>
          <cell r="HU300" t="str">
            <v/>
          </cell>
          <cell r="HV300" t="str">
            <v/>
          </cell>
          <cell r="HW300" t="str">
            <v/>
          </cell>
          <cell r="MN300" t="str">
            <v/>
          </cell>
          <cell r="MO300" t="str">
            <v/>
          </cell>
          <cell r="MP300" t="str">
            <v/>
          </cell>
          <cell r="MQ300" t="str">
            <v/>
          </cell>
          <cell r="MR300" t="str">
            <v/>
          </cell>
          <cell r="MS300" t="str">
            <v/>
          </cell>
          <cell r="MT300" t="str">
            <v/>
          </cell>
          <cell r="MU300" t="str">
            <v/>
          </cell>
          <cell r="MV300" t="str">
            <v/>
          </cell>
          <cell r="MW300" t="str">
            <v/>
          </cell>
          <cell r="MX300" t="str">
            <v/>
          </cell>
          <cell r="MY300" t="str">
            <v/>
          </cell>
          <cell r="MZ300" t="str">
            <v/>
          </cell>
          <cell r="NA300" t="str">
            <v/>
          </cell>
          <cell r="NB300" t="str">
            <v/>
          </cell>
          <cell r="NC300" t="str">
            <v/>
          </cell>
          <cell r="ND300" t="str">
            <v/>
          </cell>
          <cell r="NE300" t="str">
            <v/>
          </cell>
          <cell r="NF300" t="str">
            <v/>
          </cell>
          <cell r="NG300" t="str">
            <v/>
          </cell>
          <cell r="NH300" t="str">
            <v/>
          </cell>
          <cell r="NI300" t="str">
            <v/>
          </cell>
          <cell r="NJ300" t="str">
            <v/>
          </cell>
        </row>
        <row r="301">
          <cell r="I301" t="str">
            <v>E08000036</v>
          </cell>
          <cell r="GZ301">
            <v>38078</v>
          </cell>
          <cell r="HA301">
            <v>39538</v>
          </cell>
          <cell r="HB301">
            <v>1170</v>
          </cell>
          <cell r="HC301">
            <v>1170</v>
          </cell>
          <cell r="HD301">
            <v>39539</v>
          </cell>
          <cell r="HE301">
            <v>46112</v>
          </cell>
          <cell r="HF301">
            <v>1600</v>
          </cell>
          <cell r="HG301">
            <v>1600</v>
          </cell>
          <cell r="HH301" t="str">
            <v/>
          </cell>
          <cell r="HI301" t="str">
            <v/>
          </cell>
          <cell r="HJ301" t="str">
            <v/>
          </cell>
          <cell r="HK301" t="str">
            <v/>
          </cell>
          <cell r="HL301" t="str">
            <v/>
          </cell>
          <cell r="HM301" t="str">
            <v/>
          </cell>
          <cell r="HN301" t="str">
            <v/>
          </cell>
          <cell r="HO301" t="str">
            <v/>
          </cell>
          <cell r="HP301" t="str">
            <v/>
          </cell>
          <cell r="HQ301" t="str">
            <v/>
          </cell>
          <cell r="HR301" t="str">
            <v/>
          </cell>
          <cell r="HS301" t="str">
            <v/>
          </cell>
          <cell r="HT301" t="str">
            <v/>
          </cell>
          <cell r="HU301" t="str">
            <v/>
          </cell>
          <cell r="HV301" t="str">
            <v/>
          </cell>
          <cell r="HW301" t="str">
            <v/>
          </cell>
          <cell r="MN301" t="str">
            <v/>
          </cell>
          <cell r="MO301" t="str">
            <v/>
          </cell>
          <cell r="MP301" t="str">
            <v/>
          </cell>
          <cell r="MQ301" t="str">
            <v/>
          </cell>
          <cell r="MR301" t="str">
            <v/>
          </cell>
          <cell r="MS301" t="str">
            <v/>
          </cell>
          <cell r="MT301" t="str">
            <v/>
          </cell>
          <cell r="MU301" t="str">
            <v/>
          </cell>
          <cell r="MV301" t="str">
            <v/>
          </cell>
          <cell r="MW301" t="str">
            <v/>
          </cell>
          <cell r="MX301" t="str">
            <v/>
          </cell>
          <cell r="MY301" t="str">
            <v/>
          </cell>
          <cell r="MZ301" t="str">
            <v/>
          </cell>
          <cell r="NA301" t="str">
            <v/>
          </cell>
          <cell r="NB301" t="str">
            <v/>
          </cell>
          <cell r="NC301" t="str">
            <v/>
          </cell>
          <cell r="ND301" t="str">
            <v/>
          </cell>
          <cell r="NE301" t="str">
            <v/>
          </cell>
          <cell r="NF301" t="str">
            <v/>
          </cell>
          <cell r="NG301" t="str">
            <v/>
          </cell>
          <cell r="NH301" t="str">
            <v/>
          </cell>
          <cell r="NI301" t="str">
            <v/>
          </cell>
          <cell r="NJ301" t="str">
            <v/>
          </cell>
        </row>
        <row r="302">
          <cell r="I302" t="str">
            <v>E07000113</v>
          </cell>
          <cell r="GZ302" t="str">
            <v/>
          </cell>
          <cell r="HA302" t="str">
            <v/>
          </cell>
          <cell r="HB302" t="str">
            <v/>
          </cell>
          <cell r="HC302" t="str">
            <v/>
          </cell>
          <cell r="HD302" t="str">
            <v/>
          </cell>
          <cell r="HE302" t="str">
            <v/>
          </cell>
          <cell r="HF302" t="str">
            <v/>
          </cell>
          <cell r="HG302" t="str">
            <v/>
          </cell>
          <cell r="HH302" t="str">
            <v/>
          </cell>
          <cell r="HI302" t="str">
            <v/>
          </cell>
          <cell r="HJ302" t="str">
            <v/>
          </cell>
          <cell r="HK302" t="str">
            <v/>
          </cell>
          <cell r="HL302" t="str">
            <v/>
          </cell>
          <cell r="HM302" t="str">
            <v/>
          </cell>
          <cell r="HN302" t="str">
            <v/>
          </cell>
          <cell r="HO302" t="str">
            <v/>
          </cell>
          <cell r="HP302" t="str">
            <v/>
          </cell>
          <cell r="HQ302" t="str">
            <v/>
          </cell>
          <cell r="HR302" t="str">
            <v/>
          </cell>
          <cell r="HS302" t="str">
            <v/>
          </cell>
          <cell r="HT302" t="str">
            <v/>
          </cell>
          <cell r="HU302" t="str">
            <v/>
          </cell>
          <cell r="HV302" t="str">
            <v/>
          </cell>
          <cell r="HW302" t="str">
            <v/>
          </cell>
          <cell r="MN302" t="str">
            <v/>
          </cell>
          <cell r="MO302" t="str">
            <v/>
          </cell>
          <cell r="MP302" t="str">
            <v/>
          </cell>
          <cell r="MQ302" t="str">
            <v/>
          </cell>
          <cell r="MR302" t="str">
            <v/>
          </cell>
          <cell r="MS302" t="str">
            <v/>
          </cell>
          <cell r="MT302" t="str">
            <v/>
          </cell>
          <cell r="MU302" t="str">
            <v/>
          </cell>
          <cell r="MV302" t="str">
            <v/>
          </cell>
          <cell r="MW302" t="str">
            <v/>
          </cell>
          <cell r="MX302" t="str">
            <v/>
          </cell>
          <cell r="MY302" t="str">
            <v/>
          </cell>
          <cell r="MZ302" t="str">
            <v/>
          </cell>
          <cell r="NA302" t="str">
            <v/>
          </cell>
          <cell r="NB302" t="str">
            <v/>
          </cell>
          <cell r="NC302" t="str">
            <v/>
          </cell>
          <cell r="ND302" t="str">
            <v/>
          </cell>
          <cell r="NE302" t="str">
            <v/>
          </cell>
          <cell r="NF302" t="str">
            <v/>
          </cell>
          <cell r="NG302" t="str">
            <v/>
          </cell>
          <cell r="NH302" t="str">
            <v/>
          </cell>
          <cell r="NI302" t="str">
            <v/>
          </cell>
          <cell r="NJ302" t="str">
            <v/>
          </cell>
        </row>
        <row r="303">
          <cell r="I303" t="str">
            <v>E07000090</v>
          </cell>
          <cell r="GZ303" t="str">
            <v/>
          </cell>
          <cell r="HA303" t="str">
            <v/>
          </cell>
          <cell r="HB303" t="str">
            <v/>
          </cell>
          <cell r="HC303" t="str">
            <v/>
          </cell>
          <cell r="HD303" t="str">
            <v/>
          </cell>
          <cell r="HE303" t="str">
            <v/>
          </cell>
          <cell r="HF303" t="str">
            <v/>
          </cell>
          <cell r="HG303" t="str">
            <v/>
          </cell>
          <cell r="HH303" t="str">
            <v/>
          </cell>
          <cell r="HI303" t="str">
            <v/>
          </cell>
          <cell r="HJ303" t="str">
            <v/>
          </cell>
          <cell r="HK303" t="str">
            <v/>
          </cell>
          <cell r="HL303" t="str">
            <v/>
          </cell>
          <cell r="HM303" t="str">
            <v/>
          </cell>
          <cell r="HN303" t="str">
            <v/>
          </cell>
          <cell r="HO303" t="str">
            <v/>
          </cell>
          <cell r="HP303" t="str">
            <v/>
          </cell>
          <cell r="HQ303" t="str">
            <v/>
          </cell>
          <cell r="HR303" t="str">
            <v/>
          </cell>
          <cell r="HS303" t="str">
            <v/>
          </cell>
          <cell r="HT303" t="str">
            <v/>
          </cell>
          <cell r="HU303" t="str">
            <v/>
          </cell>
          <cell r="HV303" t="str">
            <v/>
          </cell>
          <cell r="HW303" t="str">
            <v/>
          </cell>
          <cell r="MN303" t="str">
            <v/>
          </cell>
          <cell r="MO303" t="str">
            <v/>
          </cell>
          <cell r="MP303" t="str">
            <v/>
          </cell>
          <cell r="MQ303" t="str">
            <v/>
          </cell>
          <cell r="MR303" t="str">
            <v/>
          </cell>
          <cell r="MS303" t="str">
            <v/>
          </cell>
          <cell r="MT303" t="str">
            <v/>
          </cell>
          <cell r="MU303" t="str">
            <v/>
          </cell>
          <cell r="MV303" t="str">
            <v/>
          </cell>
          <cell r="MW303" t="str">
            <v/>
          </cell>
          <cell r="MX303" t="str">
            <v/>
          </cell>
          <cell r="MY303" t="str">
            <v/>
          </cell>
          <cell r="MZ303" t="str">
            <v/>
          </cell>
          <cell r="NA303" t="str">
            <v/>
          </cell>
          <cell r="NB303" t="str">
            <v/>
          </cell>
          <cell r="NC303" t="str">
            <v/>
          </cell>
          <cell r="ND303" t="str">
            <v/>
          </cell>
          <cell r="NE303" t="str">
            <v/>
          </cell>
          <cell r="NF303" t="str">
            <v/>
          </cell>
          <cell r="NG303" t="str">
            <v/>
          </cell>
          <cell r="NH303" t="str">
            <v/>
          </cell>
          <cell r="NI303" t="str">
            <v/>
          </cell>
          <cell r="NJ303" t="str">
            <v/>
          </cell>
        </row>
        <row r="304">
          <cell r="I304" t="str">
            <v>E07000046</v>
          </cell>
          <cell r="GZ304" t="str">
            <v/>
          </cell>
          <cell r="HA304" t="str">
            <v/>
          </cell>
          <cell r="HB304" t="str">
            <v/>
          </cell>
          <cell r="HC304" t="str">
            <v/>
          </cell>
          <cell r="HD304" t="str">
            <v/>
          </cell>
          <cell r="HE304" t="str">
            <v/>
          </cell>
          <cell r="HF304" t="str">
            <v/>
          </cell>
          <cell r="HG304" t="str">
            <v/>
          </cell>
          <cell r="HH304" t="str">
            <v/>
          </cell>
          <cell r="HI304" t="str">
            <v/>
          </cell>
          <cell r="HJ304" t="str">
            <v/>
          </cell>
          <cell r="HK304" t="str">
            <v/>
          </cell>
          <cell r="HL304" t="str">
            <v/>
          </cell>
          <cell r="HM304" t="str">
            <v/>
          </cell>
          <cell r="HN304" t="str">
            <v/>
          </cell>
          <cell r="HO304" t="str">
            <v/>
          </cell>
          <cell r="HP304" t="str">
            <v/>
          </cell>
          <cell r="HQ304" t="str">
            <v/>
          </cell>
          <cell r="HR304" t="str">
            <v/>
          </cell>
          <cell r="HS304" t="str">
            <v/>
          </cell>
          <cell r="HT304" t="str">
            <v/>
          </cell>
          <cell r="HU304" t="str">
            <v/>
          </cell>
          <cell r="HV304" t="str">
            <v/>
          </cell>
          <cell r="HW304" t="str">
            <v/>
          </cell>
          <cell r="MN304" t="str">
            <v/>
          </cell>
          <cell r="MO304" t="str">
            <v/>
          </cell>
          <cell r="MP304" t="str">
            <v/>
          </cell>
          <cell r="MQ304" t="str">
            <v/>
          </cell>
          <cell r="MR304" t="str">
            <v/>
          </cell>
          <cell r="MS304" t="str">
            <v/>
          </cell>
          <cell r="MT304" t="str">
            <v/>
          </cell>
          <cell r="MU304" t="str">
            <v/>
          </cell>
          <cell r="MV304" t="str">
            <v/>
          </cell>
          <cell r="MW304" t="str">
            <v/>
          </cell>
          <cell r="MX304" t="str">
            <v/>
          </cell>
          <cell r="MY304" t="str">
            <v/>
          </cell>
          <cell r="MZ304" t="str">
            <v/>
          </cell>
          <cell r="NA304" t="str">
            <v/>
          </cell>
          <cell r="NB304" t="str">
            <v/>
          </cell>
          <cell r="NC304" t="str">
            <v/>
          </cell>
          <cell r="ND304" t="str">
            <v/>
          </cell>
          <cell r="NE304" t="str">
            <v/>
          </cell>
          <cell r="NF304" t="str">
            <v/>
          </cell>
          <cell r="NG304" t="str">
            <v/>
          </cell>
          <cell r="NH304" t="str">
            <v/>
          </cell>
          <cell r="NI304" t="str">
            <v/>
          </cell>
          <cell r="NJ304" t="str">
            <v/>
          </cell>
        </row>
        <row r="305">
          <cell r="I305" t="str">
            <v>E07000134</v>
          </cell>
          <cell r="GZ305" t="str">
            <v/>
          </cell>
          <cell r="HA305" t="str">
            <v/>
          </cell>
          <cell r="HB305" t="str">
            <v/>
          </cell>
          <cell r="HC305" t="str">
            <v/>
          </cell>
          <cell r="HD305" t="str">
            <v/>
          </cell>
          <cell r="HE305" t="str">
            <v/>
          </cell>
          <cell r="HF305" t="str">
            <v/>
          </cell>
          <cell r="HG305" t="str">
            <v/>
          </cell>
          <cell r="HH305" t="str">
            <v/>
          </cell>
          <cell r="HI305" t="str">
            <v/>
          </cell>
          <cell r="HJ305" t="str">
            <v/>
          </cell>
          <cell r="HK305" t="str">
            <v/>
          </cell>
          <cell r="HL305" t="str">
            <v/>
          </cell>
          <cell r="HM305" t="str">
            <v/>
          </cell>
          <cell r="HN305" t="str">
            <v/>
          </cell>
          <cell r="HO305" t="str">
            <v/>
          </cell>
          <cell r="HP305" t="str">
            <v/>
          </cell>
          <cell r="HQ305" t="str">
            <v/>
          </cell>
          <cell r="HR305" t="str">
            <v/>
          </cell>
          <cell r="HS305" t="str">
            <v/>
          </cell>
          <cell r="HT305" t="str">
            <v/>
          </cell>
          <cell r="HU305" t="str">
            <v/>
          </cell>
          <cell r="HV305" t="str">
            <v/>
          </cell>
          <cell r="HW305" t="str">
            <v/>
          </cell>
          <cell r="MN305" t="str">
            <v/>
          </cell>
          <cell r="MO305" t="str">
            <v/>
          </cell>
          <cell r="MP305" t="str">
            <v/>
          </cell>
          <cell r="MQ305" t="str">
            <v/>
          </cell>
          <cell r="MR305" t="str">
            <v/>
          </cell>
          <cell r="MS305" t="str">
            <v/>
          </cell>
          <cell r="MT305" t="str">
            <v/>
          </cell>
          <cell r="MU305" t="str">
            <v/>
          </cell>
          <cell r="MV305" t="str">
            <v/>
          </cell>
          <cell r="MW305" t="str">
            <v/>
          </cell>
          <cell r="MX305" t="str">
            <v/>
          </cell>
          <cell r="MY305" t="str">
            <v/>
          </cell>
          <cell r="MZ305" t="str">
            <v/>
          </cell>
          <cell r="NA305" t="str">
            <v/>
          </cell>
          <cell r="NB305" t="str">
            <v/>
          </cell>
          <cell r="NC305" t="str">
            <v/>
          </cell>
          <cell r="ND305" t="str">
            <v/>
          </cell>
          <cell r="NE305" t="str">
            <v/>
          </cell>
          <cell r="NF305" t="str">
            <v/>
          </cell>
          <cell r="NG305" t="str">
            <v/>
          </cell>
          <cell r="NH305" t="str">
            <v/>
          </cell>
          <cell r="NI305" t="str">
            <v/>
          </cell>
          <cell r="NJ305" t="str">
            <v/>
          </cell>
        </row>
        <row r="306">
          <cell r="I306" t="str">
            <v>E06000031</v>
          </cell>
          <cell r="GZ306" t="str">
            <v/>
          </cell>
          <cell r="HA306" t="str">
            <v/>
          </cell>
          <cell r="HB306" t="str">
            <v/>
          </cell>
          <cell r="HC306" t="str">
            <v/>
          </cell>
          <cell r="HD306" t="str">
            <v/>
          </cell>
          <cell r="HE306" t="str">
            <v/>
          </cell>
          <cell r="HF306" t="str">
            <v/>
          </cell>
          <cell r="HG306" t="str">
            <v/>
          </cell>
          <cell r="HH306" t="str">
            <v/>
          </cell>
          <cell r="HI306" t="str">
            <v/>
          </cell>
          <cell r="HJ306" t="str">
            <v/>
          </cell>
          <cell r="HK306" t="str">
            <v/>
          </cell>
          <cell r="HL306" t="str">
            <v/>
          </cell>
          <cell r="HM306" t="str">
            <v/>
          </cell>
          <cell r="HN306" t="str">
            <v/>
          </cell>
          <cell r="HO306" t="str">
            <v/>
          </cell>
          <cell r="HP306" t="str">
            <v/>
          </cell>
          <cell r="HQ306" t="str">
            <v/>
          </cell>
          <cell r="HR306" t="str">
            <v/>
          </cell>
          <cell r="HS306" t="str">
            <v/>
          </cell>
          <cell r="HT306" t="str">
            <v/>
          </cell>
          <cell r="HU306" t="str">
            <v/>
          </cell>
          <cell r="HV306" t="str">
            <v/>
          </cell>
          <cell r="HW306" t="str">
            <v/>
          </cell>
          <cell r="MN306" t="str">
            <v/>
          </cell>
          <cell r="MO306" t="str">
            <v/>
          </cell>
          <cell r="MP306" t="str">
            <v/>
          </cell>
          <cell r="MQ306" t="str">
            <v/>
          </cell>
          <cell r="MR306" t="str">
            <v/>
          </cell>
          <cell r="MS306" t="str">
            <v/>
          </cell>
          <cell r="MT306" t="str">
            <v/>
          </cell>
          <cell r="MU306" t="str">
            <v/>
          </cell>
          <cell r="MV306" t="str">
            <v/>
          </cell>
          <cell r="MW306" t="str">
            <v/>
          </cell>
          <cell r="MX306" t="str">
            <v/>
          </cell>
          <cell r="MY306" t="str">
            <v/>
          </cell>
          <cell r="MZ306" t="str">
            <v/>
          </cell>
          <cell r="NA306" t="str">
            <v/>
          </cell>
          <cell r="NB306" t="str">
            <v/>
          </cell>
          <cell r="NC306" t="str">
            <v/>
          </cell>
          <cell r="ND306" t="str">
            <v/>
          </cell>
          <cell r="NE306" t="str">
            <v/>
          </cell>
          <cell r="NF306" t="str">
            <v/>
          </cell>
          <cell r="NG306" t="str">
            <v/>
          </cell>
          <cell r="NH306" t="str">
            <v/>
          </cell>
          <cell r="NI306" t="str">
            <v/>
          </cell>
          <cell r="NJ306" t="str">
            <v/>
          </cell>
        </row>
        <row r="307">
          <cell r="I307" t="str">
            <v>E07000217</v>
          </cell>
          <cell r="GZ307" t="str">
            <v/>
          </cell>
          <cell r="HA307" t="str">
            <v/>
          </cell>
          <cell r="HB307" t="str">
            <v/>
          </cell>
          <cell r="HC307" t="str">
            <v/>
          </cell>
          <cell r="HD307" t="str">
            <v/>
          </cell>
          <cell r="HE307" t="str">
            <v/>
          </cell>
          <cell r="HF307" t="str">
            <v/>
          </cell>
          <cell r="HG307" t="str">
            <v/>
          </cell>
          <cell r="HH307" t="str">
            <v/>
          </cell>
          <cell r="HI307" t="str">
            <v/>
          </cell>
          <cell r="HJ307" t="str">
            <v/>
          </cell>
          <cell r="HK307" t="str">
            <v/>
          </cell>
          <cell r="HL307" t="str">
            <v/>
          </cell>
          <cell r="HM307" t="str">
            <v/>
          </cell>
          <cell r="HN307" t="str">
            <v/>
          </cell>
          <cell r="HO307" t="str">
            <v/>
          </cell>
          <cell r="HP307" t="str">
            <v/>
          </cell>
          <cell r="HQ307" t="str">
            <v/>
          </cell>
          <cell r="HR307" t="str">
            <v/>
          </cell>
          <cell r="HS307" t="str">
            <v/>
          </cell>
          <cell r="HT307" t="str">
            <v/>
          </cell>
          <cell r="HU307" t="str">
            <v/>
          </cell>
          <cell r="HV307" t="str">
            <v/>
          </cell>
          <cell r="HW307" t="str">
            <v/>
          </cell>
          <cell r="MN307" t="str">
            <v/>
          </cell>
          <cell r="MO307" t="str">
            <v/>
          </cell>
          <cell r="MP307" t="str">
            <v/>
          </cell>
          <cell r="MQ307" t="str">
            <v/>
          </cell>
          <cell r="MR307" t="str">
            <v/>
          </cell>
          <cell r="MS307" t="str">
            <v/>
          </cell>
          <cell r="MT307" t="str">
            <v/>
          </cell>
          <cell r="MU307" t="str">
            <v/>
          </cell>
          <cell r="MV307" t="str">
            <v/>
          </cell>
          <cell r="MW307" t="str">
            <v/>
          </cell>
          <cell r="MX307" t="str">
            <v/>
          </cell>
          <cell r="MY307" t="str">
            <v/>
          </cell>
          <cell r="MZ307" t="str">
            <v/>
          </cell>
          <cell r="NA307" t="str">
            <v/>
          </cell>
          <cell r="NB307" t="str">
            <v/>
          </cell>
          <cell r="NC307" t="str">
            <v/>
          </cell>
          <cell r="ND307" t="str">
            <v/>
          </cell>
          <cell r="NE307" t="str">
            <v/>
          </cell>
          <cell r="NF307" t="str">
            <v/>
          </cell>
          <cell r="NG307" t="str">
            <v/>
          </cell>
          <cell r="NH307" t="str">
            <v/>
          </cell>
          <cell r="NI307" t="str">
            <v/>
          </cell>
          <cell r="NJ307" t="str">
            <v/>
          </cell>
        </row>
        <row r="308">
          <cell r="I308" t="str">
            <v>E09000002</v>
          </cell>
          <cell r="GZ308" t="str">
            <v/>
          </cell>
          <cell r="HA308" t="str">
            <v/>
          </cell>
          <cell r="HB308" t="str">
            <v/>
          </cell>
          <cell r="HC308" t="str">
            <v/>
          </cell>
          <cell r="HD308" t="str">
            <v/>
          </cell>
          <cell r="HE308" t="str">
            <v/>
          </cell>
          <cell r="HF308" t="str">
            <v/>
          </cell>
          <cell r="HG308" t="str">
            <v/>
          </cell>
          <cell r="HH308" t="str">
            <v/>
          </cell>
          <cell r="HI308" t="str">
            <v/>
          </cell>
          <cell r="HJ308" t="str">
            <v/>
          </cell>
          <cell r="HK308" t="str">
            <v/>
          </cell>
          <cell r="HL308" t="str">
            <v/>
          </cell>
          <cell r="HM308" t="str">
            <v/>
          </cell>
          <cell r="HN308" t="str">
            <v/>
          </cell>
          <cell r="HO308" t="str">
            <v/>
          </cell>
          <cell r="HP308" t="str">
            <v/>
          </cell>
          <cell r="HQ308" t="str">
            <v/>
          </cell>
          <cell r="HR308" t="str">
            <v/>
          </cell>
          <cell r="HS308" t="str">
            <v/>
          </cell>
          <cell r="HT308" t="str">
            <v/>
          </cell>
          <cell r="HU308" t="str">
            <v/>
          </cell>
          <cell r="HV308" t="str">
            <v/>
          </cell>
          <cell r="HW308" t="str">
            <v/>
          </cell>
          <cell r="MQ308" t="str">
            <v>Analysts to manually calculate</v>
          </cell>
          <cell r="MU308" t="str">
            <v>Analysts to manually calculate</v>
          </cell>
          <cell r="MY308" t="str">
            <v>Analysts to manually calculate</v>
          </cell>
          <cell r="NC308" t="str">
            <v>Analysts to manually calculate</v>
          </cell>
          <cell r="NG308" t="str">
            <v>Analysts to manually calculate</v>
          </cell>
        </row>
        <row r="309">
          <cell r="I309" t="str">
            <v>E08000011</v>
          </cell>
          <cell r="GZ309" t="str">
            <v/>
          </cell>
          <cell r="HA309" t="str">
            <v/>
          </cell>
          <cell r="HB309" t="str">
            <v/>
          </cell>
          <cell r="HC309" t="str">
            <v/>
          </cell>
          <cell r="HD309" t="str">
            <v/>
          </cell>
          <cell r="HE309" t="str">
            <v/>
          </cell>
          <cell r="HF309" t="str">
            <v/>
          </cell>
          <cell r="HG309" t="str">
            <v/>
          </cell>
          <cell r="HH309" t="str">
            <v/>
          </cell>
          <cell r="HI309" t="str">
            <v/>
          </cell>
          <cell r="HJ309" t="str">
            <v/>
          </cell>
          <cell r="HK309" t="str">
            <v/>
          </cell>
          <cell r="HL309" t="str">
            <v/>
          </cell>
          <cell r="HM309" t="str">
            <v/>
          </cell>
          <cell r="HN309" t="str">
            <v/>
          </cell>
          <cell r="HO309" t="str">
            <v/>
          </cell>
          <cell r="HP309" t="str">
            <v/>
          </cell>
          <cell r="HQ309" t="str">
            <v/>
          </cell>
          <cell r="HR309" t="str">
            <v/>
          </cell>
          <cell r="HS309" t="str">
            <v/>
          </cell>
          <cell r="HT309" t="str">
            <v/>
          </cell>
          <cell r="HU309" t="str">
            <v/>
          </cell>
          <cell r="HV309" t="str">
            <v/>
          </cell>
          <cell r="HW309" t="str">
            <v/>
          </cell>
          <cell r="MN309" t="str">
            <v/>
          </cell>
          <cell r="MO309" t="str">
            <v/>
          </cell>
          <cell r="MP309" t="str">
            <v/>
          </cell>
          <cell r="MQ309" t="str">
            <v/>
          </cell>
          <cell r="MR309" t="str">
            <v/>
          </cell>
          <cell r="MS309" t="str">
            <v/>
          </cell>
          <cell r="MT309" t="str">
            <v/>
          </cell>
          <cell r="MU309" t="str">
            <v/>
          </cell>
          <cell r="MV309" t="str">
            <v/>
          </cell>
          <cell r="MW309" t="str">
            <v/>
          </cell>
          <cell r="MX309" t="str">
            <v/>
          </cell>
          <cell r="MY309" t="str">
            <v/>
          </cell>
          <cell r="MZ309" t="str">
            <v/>
          </cell>
          <cell r="NA309" t="str">
            <v/>
          </cell>
          <cell r="NB309" t="str">
            <v/>
          </cell>
          <cell r="NC309" t="str">
            <v/>
          </cell>
          <cell r="ND309" t="str">
            <v/>
          </cell>
          <cell r="NE309" t="str">
            <v/>
          </cell>
          <cell r="NF309" t="str">
            <v/>
          </cell>
          <cell r="NG309" t="str">
            <v/>
          </cell>
          <cell r="NH309" t="str">
            <v/>
          </cell>
          <cell r="NI309" t="str">
            <v/>
          </cell>
          <cell r="NJ309" t="str">
            <v/>
          </cell>
        </row>
        <row r="310">
          <cell r="I310" t="str">
            <v>E08000001</v>
          </cell>
          <cell r="GZ310" t="str">
            <v/>
          </cell>
          <cell r="HA310" t="str">
            <v/>
          </cell>
          <cell r="HB310" t="str">
            <v/>
          </cell>
          <cell r="HC310" t="str">
            <v/>
          </cell>
          <cell r="HD310" t="str">
            <v/>
          </cell>
          <cell r="HE310" t="str">
            <v/>
          </cell>
          <cell r="HF310" t="str">
            <v/>
          </cell>
          <cell r="HG310" t="str">
            <v/>
          </cell>
          <cell r="HH310" t="str">
            <v/>
          </cell>
          <cell r="HI310" t="str">
            <v/>
          </cell>
          <cell r="HJ310" t="str">
            <v/>
          </cell>
          <cell r="HK310" t="str">
            <v/>
          </cell>
          <cell r="HL310" t="str">
            <v/>
          </cell>
          <cell r="HM310" t="str">
            <v/>
          </cell>
          <cell r="HN310" t="str">
            <v/>
          </cell>
          <cell r="HO310" t="str">
            <v/>
          </cell>
          <cell r="HP310" t="str">
            <v/>
          </cell>
          <cell r="HQ310" t="str">
            <v/>
          </cell>
          <cell r="HR310" t="str">
            <v/>
          </cell>
          <cell r="HS310" t="str">
            <v/>
          </cell>
          <cell r="HT310" t="str">
            <v/>
          </cell>
          <cell r="HU310" t="str">
            <v/>
          </cell>
          <cell r="HV310" t="str">
            <v/>
          </cell>
          <cell r="HW310" t="str">
            <v/>
          </cell>
          <cell r="MN310" t="str">
            <v/>
          </cell>
          <cell r="MO310" t="str">
            <v/>
          </cell>
          <cell r="MP310" t="str">
            <v/>
          </cell>
          <cell r="MQ310" t="str">
            <v/>
          </cell>
          <cell r="MR310" t="str">
            <v/>
          </cell>
          <cell r="MS310" t="str">
            <v/>
          </cell>
          <cell r="MT310" t="str">
            <v/>
          </cell>
          <cell r="MU310" t="str">
            <v/>
          </cell>
          <cell r="MV310" t="str">
            <v/>
          </cell>
          <cell r="MW310" t="str">
            <v/>
          </cell>
          <cell r="MX310" t="str">
            <v/>
          </cell>
          <cell r="MY310" t="str">
            <v/>
          </cell>
          <cell r="MZ310" t="str">
            <v/>
          </cell>
          <cell r="NA310" t="str">
            <v/>
          </cell>
          <cell r="NB310" t="str">
            <v/>
          </cell>
          <cell r="NC310" t="str">
            <v/>
          </cell>
          <cell r="ND310" t="str">
            <v/>
          </cell>
          <cell r="NE310" t="str">
            <v/>
          </cell>
          <cell r="NF310" t="str">
            <v/>
          </cell>
          <cell r="NG310" t="str">
            <v/>
          </cell>
          <cell r="NH310" t="str">
            <v/>
          </cell>
          <cell r="NI310" t="str">
            <v/>
          </cell>
          <cell r="NJ310" t="str">
            <v/>
          </cell>
        </row>
        <row r="311">
          <cell r="I311" t="str">
            <v>E06000011</v>
          </cell>
          <cell r="GZ311" t="str">
            <v/>
          </cell>
          <cell r="HA311" t="str">
            <v/>
          </cell>
          <cell r="HB311" t="str">
            <v/>
          </cell>
          <cell r="HC311" t="str">
            <v/>
          </cell>
          <cell r="HD311" t="str">
            <v/>
          </cell>
          <cell r="HE311" t="str">
            <v/>
          </cell>
          <cell r="HF311" t="str">
            <v/>
          </cell>
          <cell r="HG311" t="str">
            <v/>
          </cell>
          <cell r="HH311" t="str">
            <v/>
          </cell>
          <cell r="HI311" t="str">
            <v/>
          </cell>
          <cell r="HJ311" t="str">
            <v/>
          </cell>
          <cell r="HK311" t="str">
            <v/>
          </cell>
          <cell r="HL311" t="str">
            <v/>
          </cell>
          <cell r="HM311" t="str">
            <v/>
          </cell>
          <cell r="HN311" t="str">
            <v/>
          </cell>
          <cell r="HO311" t="str">
            <v/>
          </cell>
          <cell r="HP311" t="str">
            <v/>
          </cell>
          <cell r="HQ311" t="str">
            <v/>
          </cell>
          <cell r="HR311" t="str">
            <v/>
          </cell>
          <cell r="HS311" t="str">
            <v/>
          </cell>
          <cell r="HT311" t="str">
            <v/>
          </cell>
          <cell r="HU311" t="str">
            <v/>
          </cell>
          <cell r="HV311" t="str">
            <v/>
          </cell>
          <cell r="HW311" t="str">
            <v/>
          </cell>
          <cell r="MN311" t="str">
            <v/>
          </cell>
          <cell r="MO311" t="str">
            <v/>
          </cell>
          <cell r="MP311" t="str">
            <v/>
          </cell>
          <cell r="MQ311" t="str">
            <v/>
          </cell>
          <cell r="MR311" t="str">
            <v/>
          </cell>
          <cell r="MS311" t="str">
            <v/>
          </cell>
          <cell r="MT311" t="str">
            <v/>
          </cell>
          <cell r="MU311" t="str">
            <v/>
          </cell>
          <cell r="MV311" t="str">
            <v/>
          </cell>
          <cell r="MW311" t="str">
            <v/>
          </cell>
          <cell r="MX311" t="str">
            <v/>
          </cell>
          <cell r="MY311" t="str">
            <v/>
          </cell>
          <cell r="MZ311" t="str">
            <v/>
          </cell>
          <cell r="NA311" t="str">
            <v/>
          </cell>
          <cell r="NB311" t="str">
            <v/>
          </cell>
          <cell r="NC311" t="str">
            <v/>
          </cell>
          <cell r="ND311" t="str">
            <v/>
          </cell>
          <cell r="NE311" t="str">
            <v/>
          </cell>
          <cell r="NF311" t="str">
            <v/>
          </cell>
          <cell r="NG311" t="str">
            <v/>
          </cell>
          <cell r="NH311" t="str">
            <v/>
          </cell>
          <cell r="NI311" t="str">
            <v/>
          </cell>
          <cell r="NJ311" t="str">
            <v/>
          </cell>
        </row>
        <row r="312">
          <cell r="I312" t="str">
            <v>E07000129</v>
          </cell>
          <cell r="GZ312" t="str">
            <v/>
          </cell>
          <cell r="HA312" t="str">
            <v/>
          </cell>
          <cell r="HB312" t="str">
            <v/>
          </cell>
          <cell r="HC312" t="str">
            <v/>
          </cell>
          <cell r="HD312" t="str">
            <v/>
          </cell>
          <cell r="HE312" t="str">
            <v/>
          </cell>
          <cell r="HF312" t="str">
            <v/>
          </cell>
          <cell r="HG312" t="str">
            <v/>
          </cell>
          <cell r="HH312" t="str">
            <v/>
          </cell>
          <cell r="HI312" t="str">
            <v/>
          </cell>
          <cell r="HJ312" t="str">
            <v/>
          </cell>
          <cell r="HK312" t="str">
            <v/>
          </cell>
          <cell r="HL312" t="str">
            <v/>
          </cell>
          <cell r="HM312" t="str">
            <v/>
          </cell>
          <cell r="HN312" t="str">
            <v/>
          </cell>
          <cell r="HO312" t="str">
            <v/>
          </cell>
          <cell r="HP312" t="str">
            <v/>
          </cell>
          <cell r="HQ312" t="str">
            <v/>
          </cell>
          <cell r="HR312" t="str">
            <v/>
          </cell>
          <cell r="HS312" t="str">
            <v/>
          </cell>
          <cell r="HT312" t="str">
            <v/>
          </cell>
          <cell r="HU312" t="str">
            <v/>
          </cell>
          <cell r="HV312" t="str">
            <v/>
          </cell>
          <cell r="HW312" t="str">
            <v/>
          </cell>
          <cell r="MN312" t="str">
            <v/>
          </cell>
          <cell r="MO312" t="str">
            <v/>
          </cell>
          <cell r="MP312" t="str">
            <v/>
          </cell>
          <cell r="MQ312" t="str">
            <v/>
          </cell>
          <cell r="MR312" t="str">
            <v/>
          </cell>
          <cell r="MS312" t="str">
            <v/>
          </cell>
          <cell r="MT312" t="str">
            <v/>
          </cell>
          <cell r="MU312" t="str">
            <v/>
          </cell>
          <cell r="MV312" t="str">
            <v/>
          </cell>
          <cell r="MW312" t="str">
            <v/>
          </cell>
          <cell r="MX312" t="str">
            <v/>
          </cell>
          <cell r="MY312" t="str">
            <v/>
          </cell>
          <cell r="MZ312" t="str">
            <v/>
          </cell>
          <cell r="NA312" t="str">
            <v/>
          </cell>
          <cell r="NB312" t="str">
            <v/>
          </cell>
          <cell r="NC312" t="str">
            <v/>
          </cell>
          <cell r="ND312" t="str">
            <v/>
          </cell>
          <cell r="NE312" t="str">
            <v/>
          </cell>
          <cell r="NF312" t="str">
            <v/>
          </cell>
          <cell r="NG312" t="str">
            <v/>
          </cell>
          <cell r="NH312" t="str">
            <v/>
          </cell>
          <cell r="NI312" t="str">
            <v/>
          </cell>
          <cell r="NJ312" t="str">
            <v/>
          </cell>
        </row>
        <row r="313">
          <cell r="I313" t="str">
            <v>E06000026</v>
          </cell>
          <cell r="GZ313" t="str">
            <v/>
          </cell>
          <cell r="HA313" t="str">
            <v/>
          </cell>
          <cell r="HB313" t="str">
            <v/>
          </cell>
          <cell r="HC313" t="str">
            <v/>
          </cell>
          <cell r="HD313" t="str">
            <v/>
          </cell>
          <cell r="HE313" t="str">
            <v/>
          </cell>
          <cell r="HF313" t="str">
            <v/>
          </cell>
          <cell r="HG313" t="str">
            <v/>
          </cell>
          <cell r="HH313" t="str">
            <v/>
          </cell>
          <cell r="HI313" t="str">
            <v/>
          </cell>
          <cell r="HJ313" t="str">
            <v/>
          </cell>
          <cell r="HK313" t="str">
            <v/>
          </cell>
          <cell r="HL313" t="str">
            <v/>
          </cell>
          <cell r="HM313" t="str">
            <v/>
          </cell>
          <cell r="HN313" t="str">
            <v/>
          </cell>
          <cell r="HO313" t="str">
            <v/>
          </cell>
          <cell r="HP313" t="str">
            <v/>
          </cell>
          <cell r="HQ313" t="str">
            <v/>
          </cell>
          <cell r="HR313" t="str">
            <v/>
          </cell>
          <cell r="HS313" t="str">
            <v/>
          </cell>
          <cell r="HT313" t="str">
            <v/>
          </cell>
          <cell r="HU313" t="str">
            <v/>
          </cell>
          <cell r="HV313" t="str">
            <v/>
          </cell>
          <cell r="HW313" t="str">
            <v/>
          </cell>
          <cell r="MN313" t="str">
            <v/>
          </cell>
          <cell r="MO313" t="str">
            <v/>
          </cell>
          <cell r="MP313" t="str">
            <v/>
          </cell>
          <cell r="MQ313" t="str">
            <v/>
          </cell>
          <cell r="MR313" t="str">
            <v/>
          </cell>
          <cell r="MS313" t="str">
            <v/>
          </cell>
          <cell r="MT313" t="str">
            <v/>
          </cell>
          <cell r="MU313" t="str">
            <v/>
          </cell>
          <cell r="MV313" t="str">
            <v/>
          </cell>
          <cell r="MW313" t="str">
            <v/>
          </cell>
          <cell r="MX313" t="str">
            <v/>
          </cell>
          <cell r="MY313" t="str">
            <v/>
          </cell>
          <cell r="MZ313" t="str">
            <v/>
          </cell>
          <cell r="NA313" t="str">
            <v/>
          </cell>
          <cell r="NB313" t="str">
            <v/>
          </cell>
          <cell r="NC313" t="str">
            <v/>
          </cell>
          <cell r="ND313" t="str">
            <v/>
          </cell>
          <cell r="NE313" t="str">
            <v/>
          </cell>
          <cell r="NF313" t="str">
            <v/>
          </cell>
          <cell r="NG313" t="str">
            <v/>
          </cell>
          <cell r="NH313" t="str">
            <v/>
          </cell>
          <cell r="NI313" t="str">
            <v/>
          </cell>
          <cell r="NJ313" t="str">
            <v/>
          </cell>
        </row>
        <row r="314">
          <cell r="I314" t="str">
            <v>E07000044</v>
          </cell>
          <cell r="GZ314" t="str">
            <v/>
          </cell>
          <cell r="HA314" t="str">
            <v/>
          </cell>
          <cell r="HB314" t="str">
            <v/>
          </cell>
          <cell r="HC314" t="str">
            <v/>
          </cell>
          <cell r="HD314" t="str">
            <v/>
          </cell>
          <cell r="HE314" t="str">
            <v/>
          </cell>
          <cell r="HF314" t="str">
            <v/>
          </cell>
          <cell r="HG314" t="str">
            <v/>
          </cell>
          <cell r="HH314" t="str">
            <v/>
          </cell>
          <cell r="HI314" t="str">
            <v/>
          </cell>
          <cell r="HJ314" t="str">
            <v/>
          </cell>
          <cell r="HK314" t="str">
            <v/>
          </cell>
          <cell r="HL314" t="str">
            <v/>
          </cell>
          <cell r="HM314" t="str">
            <v/>
          </cell>
          <cell r="HN314" t="str">
            <v/>
          </cell>
          <cell r="HO314" t="str">
            <v/>
          </cell>
          <cell r="HP314" t="str">
            <v/>
          </cell>
          <cell r="HQ314" t="str">
            <v/>
          </cell>
          <cell r="HR314" t="str">
            <v/>
          </cell>
          <cell r="HS314" t="str">
            <v/>
          </cell>
          <cell r="HT314" t="str">
            <v/>
          </cell>
          <cell r="HU314" t="str">
            <v/>
          </cell>
          <cell r="HV314" t="str">
            <v/>
          </cell>
          <cell r="HW314" t="str">
            <v/>
          </cell>
          <cell r="MN314" t="str">
            <v/>
          </cell>
          <cell r="MO314" t="str">
            <v/>
          </cell>
          <cell r="MP314" t="str">
            <v/>
          </cell>
          <cell r="MQ314" t="str">
            <v/>
          </cell>
          <cell r="MR314" t="str">
            <v/>
          </cell>
          <cell r="MS314" t="str">
            <v/>
          </cell>
          <cell r="MT314" t="str">
            <v/>
          </cell>
          <cell r="MU314" t="str">
            <v/>
          </cell>
          <cell r="MV314" t="str">
            <v/>
          </cell>
          <cell r="MW314" t="str">
            <v/>
          </cell>
          <cell r="MX314" t="str">
            <v/>
          </cell>
          <cell r="MY314" t="str">
            <v/>
          </cell>
          <cell r="MZ314" t="str">
            <v/>
          </cell>
          <cell r="NA314" t="str">
            <v/>
          </cell>
          <cell r="NB314" t="str">
            <v/>
          </cell>
          <cell r="NC314" t="str">
            <v/>
          </cell>
          <cell r="ND314" t="str">
            <v/>
          </cell>
          <cell r="NE314" t="str">
            <v/>
          </cell>
          <cell r="NF314" t="str">
            <v/>
          </cell>
          <cell r="NG314" t="str">
            <v/>
          </cell>
          <cell r="NH314" t="str">
            <v/>
          </cell>
          <cell r="NI314" t="str">
            <v/>
          </cell>
          <cell r="NJ314" t="str">
            <v/>
          </cell>
        </row>
        <row r="315">
          <cell r="I315" t="str">
            <v>E07000047</v>
          </cell>
          <cell r="GZ315" t="str">
            <v/>
          </cell>
          <cell r="HA315" t="str">
            <v/>
          </cell>
          <cell r="HB315" t="str">
            <v/>
          </cell>
          <cell r="HC315" t="str">
            <v/>
          </cell>
          <cell r="HD315" t="str">
            <v/>
          </cell>
          <cell r="HE315" t="str">
            <v/>
          </cell>
          <cell r="HF315" t="str">
            <v/>
          </cell>
          <cell r="HG315" t="str">
            <v/>
          </cell>
          <cell r="HH315" t="str">
            <v/>
          </cell>
          <cell r="HI315" t="str">
            <v/>
          </cell>
          <cell r="HJ315" t="str">
            <v/>
          </cell>
          <cell r="HK315" t="str">
            <v/>
          </cell>
          <cell r="HL315" t="str">
            <v/>
          </cell>
          <cell r="HM315" t="str">
            <v/>
          </cell>
          <cell r="HN315" t="str">
            <v/>
          </cell>
          <cell r="HO315" t="str">
            <v/>
          </cell>
          <cell r="HP315" t="str">
            <v/>
          </cell>
          <cell r="HQ315" t="str">
            <v/>
          </cell>
          <cell r="HR315" t="str">
            <v/>
          </cell>
          <cell r="HS315" t="str">
            <v/>
          </cell>
          <cell r="HT315" t="str">
            <v/>
          </cell>
          <cell r="HU315" t="str">
            <v/>
          </cell>
          <cell r="HV315" t="str">
            <v/>
          </cell>
          <cell r="HW315" t="str">
            <v/>
          </cell>
          <cell r="MN315" t="str">
            <v/>
          </cell>
          <cell r="MO315" t="str">
            <v/>
          </cell>
          <cell r="MP315" t="str">
            <v/>
          </cell>
          <cell r="MQ315" t="str">
            <v/>
          </cell>
          <cell r="MR315" t="str">
            <v/>
          </cell>
          <cell r="MS315" t="str">
            <v/>
          </cell>
          <cell r="MT315" t="str">
            <v/>
          </cell>
          <cell r="MU315" t="str">
            <v/>
          </cell>
          <cell r="MV315" t="str">
            <v/>
          </cell>
          <cell r="MW315" t="str">
            <v/>
          </cell>
          <cell r="MX315" t="str">
            <v/>
          </cell>
          <cell r="MY315" t="str">
            <v/>
          </cell>
          <cell r="MZ315" t="str">
            <v/>
          </cell>
          <cell r="NA315" t="str">
            <v/>
          </cell>
          <cell r="NB315" t="str">
            <v/>
          </cell>
          <cell r="NC315" t="str">
            <v/>
          </cell>
          <cell r="ND315" t="str">
            <v/>
          </cell>
          <cell r="NE315" t="str">
            <v/>
          </cell>
          <cell r="NF315" t="str">
            <v/>
          </cell>
          <cell r="NG315" t="str">
            <v/>
          </cell>
          <cell r="NH315" t="str">
            <v/>
          </cell>
          <cell r="NI315" t="str">
            <v/>
          </cell>
          <cell r="NJ315" t="str">
            <v/>
          </cell>
        </row>
        <row r="316">
          <cell r="I316" t="str">
            <v>E06000007</v>
          </cell>
          <cell r="GZ316" t="str">
            <v/>
          </cell>
          <cell r="HA316" t="str">
            <v/>
          </cell>
          <cell r="HB316" t="str">
            <v/>
          </cell>
          <cell r="HC316" t="str">
            <v/>
          </cell>
          <cell r="HD316" t="str">
            <v/>
          </cell>
          <cell r="HE316" t="str">
            <v/>
          </cell>
          <cell r="HF316" t="str">
            <v/>
          </cell>
          <cell r="HG316" t="str">
            <v/>
          </cell>
          <cell r="HH316" t="str">
            <v/>
          </cell>
          <cell r="HI316" t="str">
            <v/>
          </cell>
          <cell r="HJ316" t="str">
            <v/>
          </cell>
          <cell r="HK316" t="str">
            <v/>
          </cell>
          <cell r="HL316" t="str">
            <v/>
          </cell>
          <cell r="HM316" t="str">
            <v/>
          </cell>
          <cell r="HN316" t="str">
            <v/>
          </cell>
          <cell r="HO316" t="str">
            <v/>
          </cell>
          <cell r="HP316" t="str">
            <v/>
          </cell>
          <cell r="HQ316" t="str">
            <v/>
          </cell>
          <cell r="HR316" t="str">
            <v/>
          </cell>
          <cell r="HS316" t="str">
            <v/>
          </cell>
          <cell r="HT316" t="str">
            <v/>
          </cell>
          <cell r="HU316" t="str">
            <v/>
          </cell>
          <cell r="HV316" t="str">
            <v/>
          </cell>
          <cell r="HW316" t="str">
            <v/>
          </cell>
          <cell r="MN316" t="str">
            <v/>
          </cell>
          <cell r="MO316" t="str">
            <v/>
          </cell>
          <cell r="MP316" t="str">
            <v/>
          </cell>
          <cell r="MQ316" t="str">
            <v/>
          </cell>
          <cell r="MR316" t="str">
            <v/>
          </cell>
          <cell r="MS316" t="str">
            <v/>
          </cell>
          <cell r="MT316" t="str">
            <v/>
          </cell>
          <cell r="MU316" t="str">
            <v/>
          </cell>
          <cell r="MV316" t="str">
            <v/>
          </cell>
          <cell r="MW316" t="str">
            <v/>
          </cell>
          <cell r="MX316" t="str">
            <v/>
          </cell>
          <cell r="MY316" t="str">
            <v/>
          </cell>
          <cell r="MZ316" t="str">
            <v/>
          </cell>
          <cell r="NA316" t="str">
            <v/>
          </cell>
          <cell r="NB316" t="str">
            <v/>
          </cell>
          <cell r="NC316" t="str">
            <v/>
          </cell>
          <cell r="ND316" t="str">
            <v/>
          </cell>
          <cell r="NE316" t="str">
            <v/>
          </cell>
          <cell r="NF316" t="str">
            <v/>
          </cell>
          <cell r="NG316" t="str">
            <v/>
          </cell>
          <cell r="NH316" t="str">
            <v/>
          </cell>
          <cell r="NI316" t="str">
            <v/>
          </cell>
          <cell r="NJ316" t="str">
            <v/>
          </cell>
        </row>
        <row r="317">
          <cell r="I317" t="str">
            <v>E07000050</v>
          </cell>
          <cell r="GZ317" t="str">
            <v/>
          </cell>
          <cell r="HA317" t="str">
            <v/>
          </cell>
          <cell r="HB317" t="str">
            <v/>
          </cell>
          <cell r="HC317" t="str">
            <v/>
          </cell>
          <cell r="HD317" t="str">
            <v/>
          </cell>
          <cell r="HE317" t="str">
            <v/>
          </cell>
          <cell r="HF317" t="str">
            <v/>
          </cell>
          <cell r="HG317" t="str">
            <v/>
          </cell>
          <cell r="HH317" t="str">
            <v/>
          </cell>
          <cell r="HI317" t="str">
            <v/>
          </cell>
          <cell r="HJ317" t="str">
            <v/>
          </cell>
          <cell r="HK317" t="str">
            <v/>
          </cell>
          <cell r="HL317" t="str">
            <v/>
          </cell>
          <cell r="HM317" t="str">
            <v/>
          </cell>
          <cell r="HN317" t="str">
            <v/>
          </cell>
          <cell r="HO317" t="str">
            <v/>
          </cell>
          <cell r="HP317" t="str">
            <v/>
          </cell>
          <cell r="HQ317" t="str">
            <v/>
          </cell>
          <cell r="HR317" t="str">
            <v/>
          </cell>
          <cell r="HS317" t="str">
            <v/>
          </cell>
          <cell r="HT317" t="str">
            <v/>
          </cell>
          <cell r="HU317" t="str">
            <v/>
          </cell>
          <cell r="HV317" t="str">
            <v/>
          </cell>
          <cell r="HW317" t="str">
            <v/>
          </cell>
          <cell r="MN317" t="str">
            <v/>
          </cell>
          <cell r="MO317" t="str">
            <v/>
          </cell>
          <cell r="MP317" t="str">
            <v/>
          </cell>
          <cell r="MQ317" t="str">
            <v/>
          </cell>
          <cell r="MR317" t="str">
            <v/>
          </cell>
          <cell r="MS317" t="str">
            <v/>
          </cell>
          <cell r="MT317" t="str">
            <v/>
          </cell>
          <cell r="MU317" t="str">
            <v/>
          </cell>
          <cell r="MV317" t="str">
            <v/>
          </cell>
          <cell r="MW317" t="str">
            <v/>
          </cell>
          <cell r="MX317" t="str">
            <v/>
          </cell>
          <cell r="MY317" t="str">
            <v/>
          </cell>
          <cell r="MZ317" t="str">
            <v/>
          </cell>
          <cell r="NA317" t="str">
            <v/>
          </cell>
          <cell r="NB317" t="str">
            <v/>
          </cell>
          <cell r="NC317" t="str">
            <v/>
          </cell>
          <cell r="ND317" t="str">
            <v/>
          </cell>
          <cell r="NE317" t="str">
            <v/>
          </cell>
          <cell r="NF317" t="str">
            <v/>
          </cell>
          <cell r="NG317" t="str">
            <v/>
          </cell>
          <cell r="NH317" t="str">
            <v/>
          </cell>
          <cell r="NI317" t="str">
            <v/>
          </cell>
          <cell r="NJ317" t="str">
            <v/>
          </cell>
        </row>
        <row r="318">
          <cell r="I318" t="str">
            <v>E07000140</v>
          </cell>
          <cell r="GZ318" t="str">
            <v/>
          </cell>
          <cell r="HA318" t="str">
            <v/>
          </cell>
          <cell r="HB318" t="str">
            <v/>
          </cell>
          <cell r="HC318" t="str">
            <v/>
          </cell>
          <cell r="HD318" t="str">
            <v/>
          </cell>
          <cell r="HE318" t="str">
            <v/>
          </cell>
          <cell r="HF318" t="str">
            <v/>
          </cell>
          <cell r="HG318" t="str">
            <v/>
          </cell>
          <cell r="HH318" t="str">
            <v/>
          </cell>
          <cell r="HI318" t="str">
            <v/>
          </cell>
          <cell r="HJ318" t="str">
            <v/>
          </cell>
          <cell r="HK318" t="str">
            <v/>
          </cell>
          <cell r="HL318" t="str">
            <v/>
          </cell>
          <cell r="HM318" t="str">
            <v/>
          </cell>
          <cell r="HN318" t="str">
            <v/>
          </cell>
          <cell r="HO318" t="str">
            <v/>
          </cell>
          <cell r="HP318" t="str">
            <v/>
          </cell>
          <cell r="HQ318" t="str">
            <v/>
          </cell>
          <cell r="HR318" t="str">
            <v/>
          </cell>
          <cell r="HS318" t="str">
            <v/>
          </cell>
          <cell r="HT318" t="str">
            <v/>
          </cell>
          <cell r="HU318" t="str">
            <v/>
          </cell>
          <cell r="HV318" t="str">
            <v/>
          </cell>
          <cell r="HW318" t="str">
            <v/>
          </cell>
          <cell r="MN318" t="str">
            <v/>
          </cell>
          <cell r="MO318" t="str">
            <v/>
          </cell>
          <cell r="MP318" t="str">
            <v/>
          </cell>
          <cell r="MQ318" t="str">
            <v/>
          </cell>
          <cell r="MR318" t="str">
            <v/>
          </cell>
          <cell r="MS318" t="str">
            <v/>
          </cell>
          <cell r="MT318" t="str">
            <v/>
          </cell>
          <cell r="MU318" t="str">
            <v/>
          </cell>
          <cell r="MV318" t="str">
            <v/>
          </cell>
          <cell r="MW318" t="str">
            <v/>
          </cell>
          <cell r="MX318" t="str">
            <v/>
          </cell>
          <cell r="MY318" t="str">
            <v/>
          </cell>
          <cell r="MZ318" t="str">
            <v/>
          </cell>
          <cell r="NA318" t="str">
            <v/>
          </cell>
          <cell r="NB318" t="str">
            <v/>
          </cell>
          <cell r="NC318" t="str">
            <v/>
          </cell>
          <cell r="ND318" t="str">
            <v/>
          </cell>
          <cell r="NE318" t="str">
            <v/>
          </cell>
          <cell r="NF318" t="str">
            <v/>
          </cell>
          <cell r="NG318" t="str">
            <v/>
          </cell>
          <cell r="NH318" t="str">
            <v/>
          </cell>
          <cell r="NI318" t="str">
            <v/>
          </cell>
          <cell r="NJ318" t="str">
            <v/>
          </cell>
        </row>
        <row r="319">
          <cell r="I319" t="str">
            <v>E07000225</v>
          </cell>
          <cell r="GZ319" t="str">
            <v/>
          </cell>
          <cell r="HA319" t="str">
            <v/>
          </cell>
          <cell r="HB319" t="str">
            <v/>
          </cell>
          <cell r="HC319" t="str">
            <v/>
          </cell>
          <cell r="HD319" t="str">
            <v/>
          </cell>
          <cell r="HE319" t="str">
            <v/>
          </cell>
          <cell r="HF319" t="str">
            <v/>
          </cell>
          <cell r="HG319" t="str">
            <v/>
          </cell>
          <cell r="HH319" t="str">
            <v/>
          </cell>
          <cell r="HI319" t="str">
            <v/>
          </cell>
          <cell r="HJ319" t="str">
            <v/>
          </cell>
          <cell r="HK319" t="str">
            <v/>
          </cell>
          <cell r="HL319" t="str">
            <v/>
          </cell>
          <cell r="HM319" t="str">
            <v/>
          </cell>
          <cell r="HN319" t="str">
            <v/>
          </cell>
          <cell r="HO319" t="str">
            <v/>
          </cell>
          <cell r="HP319" t="str">
            <v/>
          </cell>
          <cell r="HQ319" t="str">
            <v/>
          </cell>
          <cell r="HR319" t="str">
            <v/>
          </cell>
          <cell r="HS319" t="str">
            <v/>
          </cell>
          <cell r="HT319" t="str">
            <v/>
          </cell>
          <cell r="HU319" t="str">
            <v/>
          </cell>
          <cell r="HV319" t="str">
            <v/>
          </cell>
          <cell r="HW319" t="str">
            <v/>
          </cell>
          <cell r="MN319" t="str">
            <v/>
          </cell>
          <cell r="MO319" t="str">
            <v/>
          </cell>
          <cell r="MP319" t="str">
            <v/>
          </cell>
          <cell r="MQ319" t="str">
            <v/>
          </cell>
          <cell r="MR319" t="str">
            <v/>
          </cell>
          <cell r="MS319" t="str">
            <v/>
          </cell>
          <cell r="MT319" t="str">
            <v/>
          </cell>
          <cell r="MU319" t="str">
            <v/>
          </cell>
          <cell r="MV319" t="str">
            <v/>
          </cell>
          <cell r="MW319" t="str">
            <v/>
          </cell>
          <cell r="MX319" t="str">
            <v/>
          </cell>
          <cell r="MY319" t="str">
            <v/>
          </cell>
          <cell r="MZ319" t="str">
            <v/>
          </cell>
          <cell r="NA319" t="str">
            <v/>
          </cell>
          <cell r="NB319" t="str">
            <v/>
          </cell>
          <cell r="NC319" t="str">
            <v/>
          </cell>
          <cell r="ND319" t="str">
            <v/>
          </cell>
          <cell r="NE319" t="str">
            <v/>
          </cell>
          <cell r="NF319" t="str">
            <v/>
          </cell>
          <cell r="NG319" t="str">
            <v/>
          </cell>
          <cell r="NH319" t="str">
            <v/>
          </cell>
          <cell r="NI319" t="str">
            <v/>
          </cell>
          <cell r="NJ319" t="str">
            <v/>
          </cell>
        </row>
        <row r="320">
          <cell r="I320" t="str">
            <v>E09000004</v>
          </cell>
          <cell r="GZ320" t="str">
            <v/>
          </cell>
          <cell r="HA320" t="str">
            <v/>
          </cell>
          <cell r="HB320" t="str">
            <v/>
          </cell>
          <cell r="HC320" t="str">
            <v/>
          </cell>
          <cell r="HD320" t="str">
            <v/>
          </cell>
          <cell r="HE320" t="str">
            <v/>
          </cell>
          <cell r="HF320" t="str">
            <v/>
          </cell>
          <cell r="HG320" t="str">
            <v/>
          </cell>
          <cell r="HH320" t="str">
            <v/>
          </cell>
          <cell r="HI320" t="str">
            <v/>
          </cell>
          <cell r="HJ320" t="str">
            <v/>
          </cell>
          <cell r="HK320" t="str">
            <v/>
          </cell>
          <cell r="HL320" t="str">
            <v/>
          </cell>
          <cell r="HM320" t="str">
            <v/>
          </cell>
          <cell r="HN320" t="str">
            <v/>
          </cell>
          <cell r="HO320" t="str">
            <v/>
          </cell>
          <cell r="HP320" t="str">
            <v/>
          </cell>
          <cell r="HQ320" t="str">
            <v/>
          </cell>
          <cell r="HR320" t="str">
            <v/>
          </cell>
          <cell r="HS320" t="str">
            <v/>
          </cell>
          <cell r="HT320" t="str">
            <v/>
          </cell>
          <cell r="HU320" t="str">
            <v/>
          </cell>
          <cell r="HV320" t="str">
            <v/>
          </cell>
          <cell r="HW320" t="str">
            <v/>
          </cell>
          <cell r="MQ320" t="str">
            <v>Analysts to manually calculate</v>
          </cell>
          <cell r="MU320" t="str">
            <v>Analysts to manually calculate</v>
          </cell>
          <cell r="MY320" t="str">
            <v>Analysts to manually calculate</v>
          </cell>
          <cell r="NC320" t="str">
            <v>Analysts to manually calculate</v>
          </cell>
          <cell r="NG320" t="str">
            <v>Analysts to manually calculate</v>
          </cell>
        </row>
        <row r="321">
          <cell r="I321" t="str">
            <v>E07000127</v>
          </cell>
          <cell r="GZ321">
            <v>41000</v>
          </cell>
          <cell r="HA321">
            <v>42825</v>
          </cell>
          <cell r="HB321">
            <v>302</v>
          </cell>
          <cell r="HC321">
            <v>302</v>
          </cell>
          <cell r="HD321">
            <v>42826</v>
          </cell>
          <cell r="HE321">
            <v>46477</v>
          </cell>
          <cell r="HF321">
            <v>335</v>
          </cell>
          <cell r="HG321">
            <v>335</v>
          </cell>
          <cell r="HH321" t="str">
            <v/>
          </cell>
          <cell r="HI321" t="str">
            <v/>
          </cell>
          <cell r="HJ321" t="str">
            <v/>
          </cell>
          <cell r="HK321" t="str">
            <v/>
          </cell>
          <cell r="HL321" t="str">
            <v/>
          </cell>
          <cell r="HM321" t="str">
            <v/>
          </cell>
          <cell r="HN321" t="str">
            <v/>
          </cell>
          <cell r="HO321" t="str">
            <v/>
          </cell>
          <cell r="HP321" t="str">
            <v/>
          </cell>
          <cell r="HQ321" t="str">
            <v/>
          </cell>
          <cell r="HR321" t="str">
            <v/>
          </cell>
          <cell r="HS321" t="str">
            <v/>
          </cell>
          <cell r="HT321" t="str">
            <v/>
          </cell>
          <cell r="HU321" t="str">
            <v/>
          </cell>
          <cell r="HV321" t="str">
            <v/>
          </cell>
          <cell r="HW321" t="str">
            <v/>
          </cell>
          <cell r="MN321" t="str">
            <v/>
          </cell>
          <cell r="MO321" t="str">
            <v/>
          </cell>
          <cell r="MP321" t="str">
            <v/>
          </cell>
          <cell r="MQ321" t="str">
            <v/>
          </cell>
          <cell r="MR321" t="str">
            <v/>
          </cell>
          <cell r="MS321" t="str">
            <v/>
          </cell>
          <cell r="MT321" t="str">
            <v/>
          </cell>
          <cell r="MU321" t="str">
            <v/>
          </cell>
          <cell r="MV321" t="str">
            <v/>
          </cell>
          <cell r="MW321" t="str">
            <v/>
          </cell>
          <cell r="MX321" t="str">
            <v/>
          </cell>
          <cell r="MY321" t="str">
            <v/>
          </cell>
          <cell r="MZ321" t="str">
            <v/>
          </cell>
          <cell r="NA321" t="str">
            <v/>
          </cell>
          <cell r="NB321" t="str">
            <v/>
          </cell>
          <cell r="NC321" t="str">
            <v/>
          </cell>
          <cell r="ND321" t="str">
            <v/>
          </cell>
          <cell r="NE321" t="str">
            <v/>
          </cell>
          <cell r="NF321" t="str">
            <v/>
          </cell>
          <cell r="NG321" t="str">
            <v/>
          </cell>
          <cell r="NH321" t="str">
            <v/>
          </cell>
          <cell r="NI321" t="str">
            <v/>
          </cell>
          <cell r="NJ321" t="str">
            <v/>
          </cell>
        </row>
        <row r="322">
          <cell r="I322" t="str">
            <v>E06000006</v>
          </cell>
          <cell r="GZ322" t="str">
            <v/>
          </cell>
          <cell r="HA322" t="str">
            <v/>
          </cell>
          <cell r="HB322" t="str">
            <v/>
          </cell>
          <cell r="HC322" t="str">
            <v/>
          </cell>
          <cell r="HD322" t="str">
            <v/>
          </cell>
          <cell r="HE322" t="str">
            <v/>
          </cell>
          <cell r="HF322" t="str">
            <v/>
          </cell>
          <cell r="HG322" t="str">
            <v/>
          </cell>
          <cell r="HH322" t="str">
            <v/>
          </cell>
          <cell r="HI322" t="str">
            <v/>
          </cell>
          <cell r="HJ322" t="str">
            <v/>
          </cell>
          <cell r="HK322" t="str">
            <v/>
          </cell>
          <cell r="HL322" t="str">
            <v/>
          </cell>
          <cell r="HM322" t="str">
            <v/>
          </cell>
          <cell r="HN322" t="str">
            <v/>
          </cell>
          <cell r="HO322" t="str">
            <v/>
          </cell>
          <cell r="HP322" t="str">
            <v/>
          </cell>
          <cell r="HQ322" t="str">
            <v/>
          </cell>
          <cell r="HR322" t="str">
            <v/>
          </cell>
          <cell r="HS322" t="str">
            <v/>
          </cell>
          <cell r="HT322" t="str">
            <v/>
          </cell>
          <cell r="HU322" t="str">
            <v/>
          </cell>
          <cell r="HV322" t="str">
            <v/>
          </cell>
          <cell r="HW322" t="str">
            <v/>
          </cell>
          <cell r="MN322" t="str">
            <v/>
          </cell>
          <cell r="MO322" t="str">
            <v/>
          </cell>
          <cell r="MP322" t="str">
            <v/>
          </cell>
          <cell r="MQ322" t="str">
            <v/>
          </cell>
          <cell r="MR322" t="str">
            <v/>
          </cell>
          <cell r="MS322" t="str">
            <v/>
          </cell>
          <cell r="MT322" t="str">
            <v/>
          </cell>
          <cell r="MU322" t="str">
            <v/>
          </cell>
          <cell r="MV322" t="str">
            <v/>
          </cell>
          <cell r="MW322" t="str">
            <v/>
          </cell>
          <cell r="MX322" t="str">
            <v/>
          </cell>
          <cell r="MY322" t="str">
            <v/>
          </cell>
          <cell r="MZ322" t="str">
            <v/>
          </cell>
          <cell r="NA322" t="str">
            <v/>
          </cell>
          <cell r="NB322" t="str">
            <v/>
          </cell>
          <cell r="NC322" t="str">
            <v/>
          </cell>
          <cell r="ND322" t="str">
            <v/>
          </cell>
          <cell r="NE322" t="str">
            <v/>
          </cell>
          <cell r="NF322" t="str">
            <v/>
          </cell>
          <cell r="NG322" t="str">
            <v/>
          </cell>
          <cell r="NH322" t="str">
            <v/>
          </cell>
          <cell r="NI322" t="str">
            <v/>
          </cell>
          <cell r="NJ322" t="str">
            <v/>
          </cell>
        </row>
        <row r="323">
          <cell r="I323" t="str">
            <v>E07000006</v>
          </cell>
          <cell r="GZ323" t="str">
            <v/>
          </cell>
          <cell r="HA323" t="str">
            <v/>
          </cell>
          <cell r="HB323" t="str">
            <v/>
          </cell>
          <cell r="HC323" t="str">
            <v/>
          </cell>
          <cell r="HD323" t="str">
            <v/>
          </cell>
          <cell r="HE323" t="str">
            <v/>
          </cell>
          <cell r="HF323" t="str">
            <v/>
          </cell>
          <cell r="HG323" t="str">
            <v/>
          </cell>
          <cell r="HH323" t="str">
            <v/>
          </cell>
          <cell r="HI323" t="str">
            <v/>
          </cell>
          <cell r="HJ323" t="str">
            <v/>
          </cell>
          <cell r="HK323" t="str">
            <v/>
          </cell>
          <cell r="HL323" t="str">
            <v/>
          </cell>
          <cell r="HM323" t="str">
            <v/>
          </cell>
          <cell r="HN323" t="str">
            <v/>
          </cell>
          <cell r="HO323" t="str">
            <v/>
          </cell>
          <cell r="HP323" t="str">
            <v/>
          </cell>
          <cell r="HQ323" t="str">
            <v/>
          </cell>
          <cell r="HR323" t="str">
            <v/>
          </cell>
          <cell r="HS323" t="str">
            <v/>
          </cell>
          <cell r="HT323" t="str">
            <v/>
          </cell>
          <cell r="HU323" t="str">
            <v/>
          </cell>
          <cell r="HV323" t="str">
            <v/>
          </cell>
          <cell r="HW323" t="str">
            <v/>
          </cell>
          <cell r="MN323" t="str">
            <v/>
          </cell>
          <cell r="MO323" t="str">
            <v/>
          </cell>
          <cell r="MP323" t="str">
            <v/>
          </cell>
          <cell r="MQ323" t="str">
            <v/>
          </cell>
          <cell r="MR323" t="str">
            <v/>
          </cell>
          <cell r="MS323" t="str">
            <v/>
          </cell>
          <cell r="MT323" t="str">
            <v/>
          </cell>
          <cell r="MU323" t="str">
            <v/>
          </cell>
          <cell r="MV323" t="str">
            <v/>
          </cell>
          <cell r="MW323" t="str">
            <v/>
          </cell>
          <cell r="MX323" t="str">
            <v/>
          </cell>
          <cell r="MY323" t="str">
            <v/>
          </cell>
          <cell r="MZ323" t="str">
            <v/>
          </cell>
          <cell r="NA323" t="str">
            <v/>
          </cell>
          <cell r="NB323" t="str">
            <v/>
          </cell>
          <cell r="NC323" t="str">
            <v/>
          </cell>
          <cell r="ND323" t="str">
            <v/>
          </cell>
          <cell r="NE323" t="str">
            <v/>
          </cell>
          <cell r="NF323" t="str">
            <v/>
          </cell>
          <cell r="NG323" t="str">
            <v/>
          </cell>
          <cell r="NH323" t="str">
            <v/>
          </cell>
          <cell r="NI323" t="str">
            <v/>
          </cell>
          <cell r="NJ323" t="str">
            <v/>
          </cell>
        </row>
        <row r="324">
          <cell r="I324" t="str">
            <v>E09000005</v>
          </cell>
          <cell r="GZ324" t="str">
            <v/>
          </cell>
          <cell r="HA324" t="str">
            <v/>
          </cell>
          <cell r="HB324" t="str">
            <v/>
          </cell>
          <cell r="HC324" t="str">
            <v/>
          </cell>
          <cell r="HD324" t="str">
            <v/>
          </cell>
          <cell r="HE324" t="str">
            <v/>
          </cell>
          <cell r="HF324" t="str">
            <v/>
          </cell>
          <cell r="HG324" t="str">
            <v/>
          </cell>
          <cell r="HH324" t="str">
            <v/>
          </cell>
          <cell r="HI324" t="str">
            <v/>
          </cell>
          <cell r="HJ324" t="str">
            <v/>
          </cell>
          <cell r="HK324" t="str">
            <v/>
          </cell>
          <cell r="HL324" t="str">
            <v/>
          </cell>
          <cell r="HM324" t="str">
            <v/>
          </cell>
          <cell r="HN324" t="str">
            <v/>
          </cell>
          <cell r="HO324" t="str">
            <v/>
          </cell>
          <cell r="HP324" t="str">
            <v/>
          </cell>
          <cell r="HQ324" t="str">
            <v/>
          </cell>
          <cell r="HR324" t="str">
            <v/>
          </cell>
          <cell r="HS324" t="str">
            <v/>
          </cell>
          <cell r="HT324" t="str">
            <v/>
          </cell>
          <cell r="HU324" t="str">
            <v/>
          </cell>
          <cell r="HV324" t="str">
            <v/>
          </cell>
          <cell r="HW324" t="str">
            <v/>
          </cell>
          <cell r="MQ324" t="str">
            <v>Analysts to manually calculate</v>
          </cell>
          <cell r="MU324" t="str">
            <v>Analysts to manually calculate</v>
          </cell>
          <cell r="MY324" t="str">
            <v>Analysts to manually calculate</v>
          </cell>
          <cell r="NC324" t="str">
            <v>Analysts to manually calculate</v>
          </cell>
          <cell r="NG324" t="str">
            <v>Analysts to manually calculate</v>
          </cell>
        </row>
        <row r="325">
          <cell r="I325" t="str">
            <v>E07000218</v>
          </cell>
          <cell r="GZ325" t="str">
            <v/>
          </cell>
          <cell r="HA325" t="str">
            <v/>
          </cell>
          <cell r="HB325" t="str">
            <v/>
          </cell>
          <cell r="HC325" t="str">
            <v/>
          </cell>
          <cell r="HD325" t="str">
            <v/>
          </cell>
          <cell r="HE325" t="str">
            <v/>
          </cell>
          <cell r="HF325" t="str">
            <v/>
          </cell>
          <cell r="HG325" t="str">
            <v/>
          </cell>
          <cell r="HH325" t="str">
            <v/>
          </cell>
          <cell r="HI325" t="str">
            <v/>
          </cell>
          <cell r="HJ325" t="str">
            <v/>
          </cell>
          <cell r="HK325" t="str">
            <v/>
          </cell>
          <cell r="HL325" t="str">
            <v/>
          </cell>
          <cell r="HM325" t="str">
            <v/>
          </cell>
          <cell r="HN325" t="str">
            <v/>
          </cell>
          <cell r="HO325" t="str">
            <v/>
          </cell>
          <cell r="HP325" t="str">
            <v/>
          </cell>
          <cell r="HQ325" t="str">
            <v/>
          </cell>
          <cell r="HR325" t="str">
            <v/>
          </cell>
          <cell r="HS325" t="str">
            <v/>
          </cell>
          <cell r="HT325" t="str">
            <v/>
          </cell>
          <cell r="HU325" t="str">
            <v/>
          </cell>
          <cell r="HV325" t="str">
            <v/>
          </cell>
          <cell r="HW325" t="str">
            <v/>
          </cell>
          <cell r="MN325" t="str">
            <v/>
          </cell>
          <cell r="MO325" t="str">
            <v/>
          </cell>
          <cell r="MP325" t="str">
            <v/>
          </cell>
          <cell r="MQ325" t="str">
            <v/>
          </cell>
          <cell r="MR325" t="str">
            <v/>
          </cell>
          <cell r="MS325" t="str">
            <v/>
          </cell>
          <cell r="MT325" t="str">
            <v/>
          </cell>
          <cell r="MU325" t="str">
            <v/>
          </cell>
          <cell r="MV325" t="str">
            <v/>
          </cell>
          <cell r="MW325" t="str">
            <v/>
          </cell>
          <cell r="MX325" t="str">
            <v/>
          </cell>
          <cell r="MY325" t="str">
            <v/>
          </cell>
          <cell r="MZ325" t="str">
            <v/>
          </cell>
          <cell r="NA325" t="str">
            <v/>
          </cell>
          <cell r="NB325" t="str">
            <v/>
          </cell>
          <cell r="NC325" t="str">
            <v/>
          </cell>
          <cell r="ND325" t="str">
            <v/>
          </cell>
          <cell r="NE325" t="str">
            <v/>
          </cell>
          <cell r="NF325" t="str">
            <v/>
          </cell>
          <cell r="NG325" t="str">
            <v/>
          </cell>
          <cell r="NH325" t="str">
            <v/>
          </cell>
          <cell r="NI325" t="str">
            <v/>
          </cell>
          <cell r="NJ325" t="str">
            <v/>
          </cell>
        </row>
        <row r="326">
          <cell r="I326" t="str">
            <v>E06000033</v>
          </cell>
          <cell r="GZ326" t="str">
            <v/>
          </cell>
          <cell r="HA326" t="str">
            <v/>
          </cell>
          <cell r="HB326" t="str">
            <v/>
          </cell>
          <cell r="HC326" t="str">
            <v/>
          </cell>
          <cell r="HD326" t="str">
            <v/>
          </cell>
          <cell r="HE326" t="str">
            <v/>
          </cell>
          <cell r="HF326" t="str">
            <v/>
          </cell>
          <cell r="HG326" t="str">
            <v/>
          </cell>
          <cell r="HH326" t="str">
            <v/>
          </cell>
          <cell r="HI326" t="str">
            <v/>
          </cell>
          <cell r="HJ326" t="str">
            <v/>
          </cell>
          <cell r="HK326" t="str">
            <v/>
          </cell>
          <cell r="HL326" t="str">
            <v/>
          </cell>
          <cell r="HM326" t="str">
            <v/>
          </cell>
          <cell r="HN326" t="str">
            <v/>
          </cell>
          <cell r="HO326" t="str">
            <v/>
          </cell>
          <cell r="HP326" t="str">
            <v/>
          </cell>
          <cell r="HQ326" t="str">
            <v/>
          </cell>
          <cell r="HR326" t="str">
            <v/>
          </cell>
          <cell r="HS326" t="str">
            <v/>
          </cell>
          <cell r="HT326" t="str">
            <v/>
          </cell>
          <cell r="HU326" t="str">
            <v/>
          </cell>
          <cell r="HV326" t="str">
            <v/>
          </cell>
          <cell r="HW326" t="str">
            <v/>
          </cell>
          <cell r="MN326" t="str">
            <v/>
          </cell>
          <cell r="MO326" t="str">
            <v/>
          </cell>
          <cell r="MP326" t="str">
            <v/>
          </cell>
          <cell r="MQ326" t="str">
            <v/>
          </cell>
          <cell r="MR326" t="str">
            <v/>
          </cell>
          <cell r="MS326" t="str">
            <v/>
          </cell>
          <cell r="MT326" t="str">
            <v/>
          </cell>
          <cell r="MU326" t="str">
            <v/>
          </cell>
          <cell r="MV326" t="str">
            <v/>
          </cell>
          <cell r="MW326" t="str">
            <v/>
          </cell>
          <cell r="MX326" t="str">
            <v/>
          </cell>
          <cell r="MY326" t="str">
            <v/>
          </cell>
          <cell r="MZ326" t="str">
            <v/>
          </cell>
          <cell r="NA326" t="str">
            <v/>
          </cell>
          <cell r="NB326" t="str">
            <v/>
          </cell>
          <cell r="NC326" t="str">
            <v/>
          </cell>
          <cell r="ND326" t="str">
            <v/>
          </cell>
          <cell r="NE326" t="str">
            <v/>
          </cell>
          <cell r="NF326" t="str">
            <v/>
          </cell>
          <cell r="NG326" t="str">
            <v/>
          </cell>
          <cell r="NH326" t="str">
            <v/>
          </cell>
          <cell r="NI326" t="str">
            <v/>
          </cell>
          <cell r="NJ326" t="str">
            <v/>
          </cell>
        </row>
        <row r="327">
          <cell r="I327" t="str">
            <v>E08000005</v>
          </cell>
          <cell r="GZ327" t="str">
            <v/>
          </cell>
          <cell r="HA327" t="str">
            <v/>
          </cell>
          <cell r="HB327" t="str">
            <v/>
          </cell>
          <cell r="HC327" t="str">
            <v/>
          </cell>
          <cell r="HD327" t="str">
            <v/>
          </cell>
          <cell r="HE327" t="str">
            <v/>
          </cell>
          <cell r="HF327" t="str">
            <v/>
          </cell>
          <cell r="HG327" t="str">
            <v/>
          </cell>
          <cell r="HH327" t="str">
            <v/>
          </cell>
          <cell r="HI327" t="str">
            <v/>
          </cell>
          <cell r="HJ327" t="str">
            <v/>
          </cell>
          <cell r="HK327" t="str">
            <v/>
          </cell>
          <cell r="HL327" t="str">
            <v/>
          </cell>
          <cell r="HM327" t="str">
            <v/>
          </cell>
          <cell r="HN327" t="str">
            <v/>
          </cell>
          <cell r="HO327" t="str">
            <v/>
          </cell>
          <cell r="HP327" t="str">
            <v/>
          </cell>
          <cell r="HQ327" t="str">
            <v/>
          </cell>
          <cell r="HR327" t="str">
            <v/>
          </cell>
          <cell r="HS327" t="str">
            <v/>
          </cell>
          <cell r="HT327" t="str">
            <v/>
          </cell>
          <cell r="HU327" t="str">
            <v/>
          </cell>
          <cell r="HV327" t="str">
            <v/>
          </cell>
          <cell r="HW327" t="str">
            <v/>
          </cell>
          <cell r="MN327" t="str">
            <v/>
          </cell>
          <cell r="MO327" t="str">
            <v/>
          </cell>
          <cell r="MP327" t="str">
            <v/>
          </cell>
          <cell r="MQ327" t="str">
            <v/>
          </cell>
          <cell r="MR327" t="str">
            <v/>
          </cell>
          <cell r="MS327" t="str">
            <v/>
          </cell>
          <cell r="MT327" t="str">
            <v/>
          </cell>
          <cell r="MU327" t="str">
            <v/>
          </cell>
          <cell r="MV327" t="str">
            <v/>
          </cell>
          <cell r="MW327" t="str">
            <v/>
          </cell>
          <cell r="MX327" t="str">
            <v/>
          </cell>
          <cell r="MY327" t="str">
            <v/>
          </cell>
          <cell r="MZ327" t="str">
            <v/>
          </cell>
          <cell r="NA327" t="str">
            <v/>
          </cell>
          <cell r="NB327" t="str">
            <v/>
          </cell>
          <cell r="NC327" t="str">
            <v/>
          </cell>
          <cell r="ND327" t="str">
            <v/>
          </cell>
          <cell r="NE327" t="str">
            <v/>
          </cell>
          <cell r="NF327" t="str">
            <v/>
          </cell>
          <cell r="NG327" t="str">
            <v/>
          </cell>
          <cell r="NH327" t="str">
            <v/>
          </cell>
          <cell r="NI327" t="str">
            <v/>
          </cell>
          <cell r="NJ327" t="str">
            <v/>
          </cell>
        </row>
        <row r="328">
          <cell r="I328" t="str">
            <v>E07000004</v>
          </cell>
          <cell r="GZ328" t="str">
            <v/>
          </cell>
          <cell r="HA328" t="str">
            <v/>
          </cell>
          <cell r="HB328" t="str">
            <v/>
          </cell>
          <cell r="HC328" t="str">
            <v/>
          </cell>
          <cell r="HD328" t="str">
            <v/>
          </cell>
          <cell r="HE328" t="str">
            <v/>
          </cell>
          <cell r="HF328" t="str">
            <v/>
          </cell>
          <cell r="HG328" t="str">
            <v/>
          </cell>
          <cell r="HH328" t="str">
            <v/>
          </cell>
          <cell r="HI328" t="str">
            <v/>
          </cell>
          <cell r="HJ328" t="str">
            <v/>
          </cell>
          <cell r="HK328" t="str">
            <v/>
          </cell>
          <cell r="HL328" t="str">
            <v/>
          </cell>
          <cell r="HM328" t="str">
            <v/>
          </cell>
          <cell r="HN328" t="str">
            <v/>
          </cell>
          <cell r="HO328" t="str">
            <v/>
          </cell>
          <cell r="HP328" t="str">
            <v/>
          </cell>
          <cell r="HQ328" t="str">
            <v/>
          </cell>
          <cell r="HR328" t="str">
            <v/>
          </cell>
          <cell r="HS328" t="str">
            <v/>
          </cell>
          <cell r="HT328" t="str">
            <v/>
          </cell>
          <cell r="HU328" t="str">
            <v/>
          </cell>
          <cell r="HV328" t="str">
            <v/>
          </cell>
          <cell r="HW328" t="str">
            <v/>
          </cell>
          <cell r="MN328" t="str">
            <v/>
          </cell>
          <cell r="MO328" t="str">
            <v/>
          </cell>
          <cell r="MP328" t="str">
            <v/>
          </cell>
          <cell r="MQ328" t="str">
            <v/>
          </cell>
          <cell r="MR328" t="str">
            <v/>
          </cell>
          <cell r="MS328" t="str">
            <v/>
          </cell>
          <cell r="MT328" t="str">
            <v/>
          </cell>
          <cell r="MU328" t="str">
            <v/>
          </cell>
          <cell r="MV328" t="str">
            <v/>
          </cell>
          <cell r="MW328" t="str">
            <v/>
          </cell>
          <cell r="MX328" t="str">
            <v/>
          </cell>
          <cell r="MY328" t="str">
            <v/>
          </cell>
          <cell r="MZ328" t="str">
            <v/>
          </cell>
          <cell r="NA328" t="str">
            <v/>
          </cell>
          <cell r="NB328" t="str">
            <v/>
          </cell>
          <cell r="NC328" t="str">
            <v/>
          </cell>
          <cell r="ND328" t="str">
            <v/>
          </cell>
          <cell r="NE328" t="str">
            <v/>
          </cell>
          <cell r="NF328" t="str">
            <v/>
          </cell>
          <cell r="NG328" t="str">
            <v/>
          </cell>
          <cell r="NH328" t="str">
            <v/>
          </cell>
          <cell r="NI328" t="str">
            <v/>
          </cell>
          <cell r="NJ328" t="str">
            <v/>
          </cell>
        </row>
        <row r="329">
          <cell r="I329" t="str">
            <v>E07000066</v>
          </cell>
          <cell r="GZ329" t="str">
            <v/>
          </cell>
          <cell r="HA329" t="str">
            <v/>
          </cell>
          <cell r="HB329" t="str">
            <v/>
          </cell>
          <cell r="HC329" t="str">
            <v/>
          </cell>
          <cell r="HD329" t="str">
            <v/>
          </cell>
          <cell r="HE329" t="str">
            <v/>
          </cell>
          <cell r="HF329" t="str">
            <v/>
          </cell>
          <cell r="HG329" t="str">
            <v/>
          </cell>
          <cell r="HH329" t="str">
            <v/>
          </cell>
          <cell r="HI329" t="str">
            <v/>
          </cell>
          <cell r="HJ329" t="str">
            <v/>
          </cell>
          <cell r="HK329" t="str">
            <v/>
          </cell>
          <cell r="HL329" t="str">
            <v/>
          </cell>
          <cell r="HM329" t="str">
            <v/>
          </cell>
          <cell r="HN329" t="str">
            <v/>
          </cell>
          <cell r="HO329" t="str">
            <v/>
          </cell>
          <cell r="HP329" t="str">
            <v/>
          </cell>
          <cell r="HQ329" t="str">
            <v/>
          </cell>
          <cell r="HR329" t="str">
            <v/>
          </cell>
          <cell r="HS329" t="str">
            <v/>
          </cell>
          <cell r="HT329" t="str">
            <v/>
          </cell>
          <cell r="HU329" t="str">
            <v/>
          </cell>
          <cell r="HV329" t="str">
            <v/>
          </cell>
          <cell r="HW329" t="str">
            <v/>
          </cell>
          <cell r="MN329" t="str">
            <v/>
          </cell>
          <cell r="MO329" t="str">
            <v/>
          </cell>
          <cell r="MP329" t="str">
            <v/>
          </cell>
          <cell r="MQ329" t="str">
            <v/>
          </cell>
          <cell r="MR329" t="str">
            <v/>
          </cell>
          <cell r="MS329" t="str">
            <v/>
          </cell>
          <cell r="MT329" t="str">
            <v/>
          </cell>
          <cell r="MU329" t="str">
            <v/>
          </cell>
          <cell r="MV329" t="str">
            <v/>
          </cell>
          <cell r="MW329" t="str">
            <v/>
          </cell>
          <cell r="MX329" t="str">
            <v/>
          </cell>
          <cell r="MY329" t="str">
            <v/>
          </cell>
          <cell r="MZ329" t="str">
            <v/>
          </cell>
          <cell r="NA329" t="str">
            <v/>
          </cell>
          <cell r="NB329" t="str">
            <v/>
          </cell>
          <cell r="NC329" t="str">
            <v/>
          </cell>
          <cell r="ND329" t="str">
            <v/>
          </cell>
          <cell r="NE329" t="str">
            <v/>
          </cell>
          <cell r="NF329" t="str">
            <v/>
          </cell>
          <cell r="NG329" t="str">
            <v/>
          </cell>
          <cell r="NH329" t="str">
            <v/>
          </cell>
          <cell r="NI329" t="str">
            <v/>
          </cell>
          <cell r="NJ329" t="str">
            <v/>
          </cell>
        </row>
        <row r="330">
          <cell r="I330" t="str">
            <v>E07000068</v>
          </cell>
          <cell r="GZ330" t="str">
            <v/>
          </cell>
          <cell r="HA330" t="str">
            <v/>
          </cell>
          <cell r="HB330" t="str">
            <v/>
          </cell>
          <cell r="HC330" t="str">
            <v/>
          </cell>
          <cell r="HD330" t="str">
            <v/>
          </cell>
          <cell r="HE330" t="str">
            <v/>
          </cell>
          <cell r="HF330" t="str">
            <v/>
          </cell>
          <cell r="HG330" t="str">
            <v/>
          </cell>
          <cell r="HH330" t="str">
            <v/>
          </cell>
          <cell r="HI330" t="str">
            <v/>
          </cell>
          <cell r="HJ330" t="str">
            <v/>
          </cell>
          <cell r="HK330" t="str">
            <v/>
          </cell>
          <cell r="HL330" t="str">
            <v/>
          </cell>
          <cell r="HM330" t="str">
            <v/>
          </cell>
          <cell r="HN330" t="str">
            <v/>
          </cell>
          <cell r="HO330" t="str">
            <v/>
          </cell>
          <cell r="HP330" t="str">
            <v/>
          </cell>
          <cell r="HQ330" t="str">
            <v/>
          </cell>
          <cell r="HR330" t="str">
            <v/>
          </cell>
          <cell r="HS330" t="str">
            <v/>
          </cell>
          <cell r="HT330" t="str">
            <v/>
          </cell>
          <cell r="HU330" t="str">
            <v/>
          </cell>
          <cell r="HV330" t="str">
            <v/>
          </cell>
          <cell r="HW330" t="str">
            <v/>
          </cell>
          <cell r="MN330" t="str">
            <v/>
          </cell>
          <cell r="MO330" t="str">
            <v/>
          </cell>
          <cell r="MP330" t="str">
            <v/>
          </cell>
          <cell r="MQ330" t="str">
            <v/>
          </cell>
          <cell r="MR330" t="str">
            <v/>
          </cell>
          <cell r="MS330" t="str">
            <v/>
          </cell>
          <cell r="MT330" t="str">
            <v/>
          </cell>
          <cell r="MU330" t="str">
            <v/>
          </cell>
          <cell r="MV330" t="str">
            <v/>
          </cell>
          <cell r="MW330" t="str">
            <v/>
          </cell>
          <cell r="MX330" t="str">
            <v/>
          </cell>
          <cell r="MY330" t="str">
            <v/>
          </cell>
          <cell r="MZ330" t="str">
            <v/>
          </cell>
          <cell r="NA330" t="str">
            <v/>
          </cell>
          <cell r="NB330" t="str">
            <v/>
          </cell>
          <cell r="NC330" t="str">
            <v/>
          </cell>
          <cell r="ND330" t="str">
            <v/>
          </cell>
          <cell r="NE330" t="str">
            <v/>
          </cell>
          <cell r="NF330" t="str">
            <v/>
          </cell>
          <cell r="NG330" t="str">
            <v/>
          </cell>
          <cell r="NH330" t="str">
            <v/>
          </cell>
          <cell r="NI330" t="str">
            <v/>
          </cell>
          <cell r="NJ330" t="str">
            <v/>
          </cell>
        </row>
        <row r="331">
          <cell r="I331" t="str">
            <v>E09000010</v>
          </cell>
          <cell r="GZ331" t="str">
            <v/>
          </cell>
          <cell r="HA331" t="str">
            <v/>
          </cell>
          <cell r="HB331" t="str">
            <v/>
          </cell>
          <cell r="HC331" t="str">
            <v/>
          </cell>
          <cell r="HD331" t="str">
            <v/>
          </cell>
          <cell r="HE331" t="str">
            <v/>
          </cell>
          <cell r="HF331" t="str">
            <v/>
          </cell>
          <cell r="HG331" t="str">
            <v/>
          </cell>
          <cell r="HH331" t="str">
            <v/>
          </cell>
          <cell r="HI331" t="str">
            <v/>
          </cell>
          <cell r="HJ331" t="str">
            <v/>
          </cell>
          <cell r="HK331" t="str">
            <v/>
          </cell>
          <cell r="HL331" t="str">
            <v/>
          </cell>
          <cell r="HM331" t="str">
            <v/>
          </cell>
          <cell r="HN331" t="str">
            <v/>
          </cell>
          <cell r="HO331" t="str">
            <v/>
          </cell>
          <cell r="HP331" t="str">
            <v/>
          </cell>
          <cell r="HQ331" t="str">
            <v/>
          </cell>
          <cell r="HR331" t="str">
            <v/>
          </cell>
          <cell r="HS331" t="str">
            <v/>
          </cell>
          <cell r="HT331" t="str">
            <v/>
          </cell>
          <cell r="HU331" t="str">
            <v/>
          </cell>
          <cell r="HV331" t="str">
            <v/>
          </cell>
          <cell r="HW331" t="str">
            <v/>
          </cell>
          <cell r="MN331" t="str">
            <v/>
          </cell>
          <cell r="MO331" t="str">
            <v/>
          </cell>
          <cell r="MP331" t="str">
            <v/>
          </cell>
          <cell r="MQ331" t="str">
            <v/>
          </cell>
          <cell r="MR331" t="str">
            <v/>
          </cell>
          <cell r="MS331" t="str">
            <v/>
          </cell>
          <cell r="MT331" t="str">
            <v/>
          </cell>
          <cell r="MU331" t="str">
            <v/>
          </cell>
          <cell r="MV331" t="str">
            <v/>
          </cell>
          <cell r="MW331" t="str">
            <v/>
          </cell>
          <cell r="MX331" t="str">
            <v/>
          </cell>
          <cell r="MY331" t="str">
            <v/>
          </cell>
          <cell r="MZ331" t="str">
            <v/>
          </cell>
          <cell r="NA331" t="str">
            <v/>
          </cell>
          <cell r="NB331" t="str">
            <v/>
          </cell>
          <cell r="NC331" t="str">
            <v/>
          </cell>
          <cell r="ND331" t="str">
            <v/>
          </cell>
          <cell r="NE331" t="str">
            <v/>
          </cell>
          <cell r="NF331" t="str">
            <v/>
          </cell>
          <cell r="NG331" t="str">
            <v/>
          </cell>
          <cell r="NH331" t="str">
            <v/>
          </cell>
          <cell r="NI331" t="str">
            <v/>
          </cell>
          <cell r="NJ331" t="str">
            <v/>
          </cell>
        </row>
        <row r="332">
          <cell r="I332" t="str">
            <v>E09000031</v>
          </cell>
          <cell r="GZ332" t="str">
            <v/>
          </cell>
          <cell r="HA332" t="str">
            <v/>
          </cell>
          <cell r="HB332" t="str">
            <v/>
          </cell>
          <cell r="HC332" t="str">
            <v/>
          </cell>
          <cell r="HD332" t="str">
            <v/>
          </cell>
          <cell r="HE332" t="str">
            <v/>
          </cell>
          <cell r="HF332" t="str">
            <v/>
          </cell>
          <cell r="HG332" t="str">
            <v/>
          </cell>
          <cell r="HH332" t="str">
            <v/>
          </cell>
          <cell r="HI332" t="str">
            <v/>
          </cell>
          <cell r="HJ332" t="str">
            <v/>
          </cell>
          <cell r="HK332" t="str">
            <v/>
          </cell>
          <cell r="HL332" t="str">
            <v/>
          </cell>
          <cell r="HM332" t="str">
            <v/>
          </cell>
          <cell r="HN332" t="str">
            <v/>
          </cell>
          <cell r="HO332" t="str">
            <v/>
          </cell>
          <cell r="HP332" t="str">
            <v/>
          </cell>
          <cell r="HQ332" t="str">
            <v/>
          </cell>
          <cell r="HR332" t="str">
            <v/>
          </cell>
          <cell r="HS332" t="str">
            <v/>
          </cell>
          <cell r="HT332" t="str">
            <v/>
          </cell>
          <cell r="HU332" t="str">
            <v/>
          </cell>
          <cell r="HV332" t="str">
            <v/>
          </cell>
          <cell r="HW332" t="str">
            <v/>
          </cell>
          <cell r="MQ332" t="str">
            <v>Analysts to manually calculate</v>
          </cell>
          <cell r="MU332" t="str">
            <v>Analysts to manually calculate</v>
          </cell>
          <cell r="MY332" t="str">
            <v>Analysts to manually calculate</v>
          </cell>
          <cell r="NC332" t="str">
            <v>Analysts to manually calculate</v>
          </cell>
          <cell r="NG332" t="str">
            <v>Analysts to manually calculate</v>
          </cell>
        </row>
        <row r="333">
          <cell r="I333" t="str">
            <v>E09000026</v>
          </cell>
          <cell r="GZ333" t="str">
            <v/>
          </cell>
          <cell r="HA333" t="str">
            <v/>
          </cell>
          <cell r="HB333" t="str">
            <v/>
          </cell>
          <cell r="HC333" t="str">
            <v/>
          </cell>
          <cell r="HD333" t="str">
            <v/>
          </cell>
          <cell r="HE333" t="str">
            <v/>
          </cell>
          <cell r="HF333" t="str">
            <v/>
          </cell>
          <cell r="HG333" t="str">
            <v/>
          </cell>
          <cell r="HH333" t="str">
            <v/>
          </cell>
          <cell r="HI333" t="str">
            <v/>
          </cell>
          <cell r="HJ333" t="str">
            <v/>
          </cell>
          <cell r="HK333" t="str">
            <v/>
          </cell>
          <cell r="HL333" t="str">
            <v/>
          </cell>
          <cell r="HM333" t="str">
            <v/>
          </cell>
          <cell r="HN333" t="str">
            <v/>
          </cell>
          <cell r="HO333" t="str">
            <v/>
          </cell>
          <cell r="HP333" t="str">
            <v/>
          </cell>
          <cell r="HQ333" t="str">
            <v/>
          </cell>
          <cell r="HR333" t="str">
            <v/>
          </cell>
          <cell r="HS333" t="str">
            <v/>
          </cell>
          <cell r="HT333" t="str">
            <v/>
          </cell>
          <cell r="HU333" t="str">
            <v/>
          </cell>
          <cell r="HV333" t="str">
            <v/>
          </cell>
          <cell r="HW333" t="str">
            <v/>
          </cell>
          <cell r="MN333" t="str">
            <v/>
          </cell>
          <cell r="MO333" t="str">
            <v/>
          </cell>
          <cell r="MP333" t="str">
            <v/>
          </cell>
          <cell r="MQ333" t="str">
            <v/>
          </cell>
          <cell r="MR333" t="str">
            <v/>
          </cell>
          <cell r="MS333" t="str">
            <v/>
          </cell>
          <cell r="MT333" t="str">
            <v/>
          </cell>
          <cell r="MU333" t="str">
            <v/>
          </cell>
          <cell r="MV333" t="str">
            <v/>
          </cell>
          <cell r="MW333" t="str">
            <v/>
          </cell>
          <cell r="MX333" t="str">
            <v/>
          </cell>
          <cell r="MY333" t="str">
            <v/>
          </cell>
          <cell r="MZ333" t="str">
            <v/>
          </cell>
          <cell r="NA333" t="str">
            <v/>
          </cell>
          <cell r="NB333" t="str">
            <v/>
          </cell>
          <cell r="NC333" t="str">
            <v/>
          </cell>
          <cell r="ND333" t="str">
            <v/>
          </cell>
          <cell r="NE333" t="str">
            <v/>
          </cell>
          <cell r="NF333" t="str">
            <v/>
          </cell>
          <cell r="NG333" t="str">
            <v/>
          </cell>
          <cell r="NH333" t="str">
            <v/>
          </cell>
          <cell r="NI333" t="str">
            <v/>
          </cell>
          <cell r="NJ333" t="str">
            <v/>
          </cell>
        </row>
        <row r="334">
          <cell r="I334" t="str">
            <v>E07000007</v>
          </cell>
          <cell r="GZ334" t="str">
            <v/>
          </cell>
          <cell r="HA334" t="str">
            <v/>
          </cell>
          <cell r="HB334" t="str">
            <v/>
          </cell>
          <cell r="HC334" t="str">
            <v/>
          </cell>
          <cell r="HD334" t="str">
            <v/>
          </cell>
          <cell r="HE334" t="str">
            <v/>
          </cell>
          <cell r="HF334" t="str">
            <v/>
          </cell>
          <cell r="HG334" t="str">
            <v/>
          </cell>
          <cell r="HH334" t="str">
            <v/>
          </cell>
          <cell r="HI334" t="str">
            <v/>
          </cell>
          <cell r="HJ334" t="str">
            <v/>
          </cell>
          <cell r="HK334" t="str">
            <v/>
          </cell>
          <cell r="HL334" t="str">
            <v/>
          </cell>
          <cell r="HM334" t="str">
            <v/>
          </cell>
          <cell r="HN334" t="str">
            <v/>
          </cell>
          <cell r="HO334" t="str">
            <v/>
          </cell>
          <cell r="HP334" t="str">
            <v/>
          </cell>
          <cell r="HQ334" t="str">
            <v/>
          </cell>
          <cell r="HR334" t="str">
            <v/>
          </cell>
          <cell r="HS334" t="str">
            <v/>
          </cell>
          <cell r="HT334" t="str">
            <v/>
          </cell>
          <cell r="HU334" t="str">
            <v/>
          </cell>
          <cell r="HV334" t="str">
            <v/>
          </cell>
          <cell r="HW334" t="str">
            <v/>
          </cell>
          <cell r="MN334" t="str">
            <v/>
          </cell>
          <cell r="MO334" t="str">
            <v/>
          </cell>
          <cell r="MP334" t="str">
            <v/>
          </cell>
          <cell r="MQ334" t="str">
            <v/>
          </cell>
          <cell r="MR334" t="str">
            <v/>
          </cell>
          <cell r="MS334" t="str">
            <v/>
          </cell>
          <cell r="MT334" t="str">
            <v/>
          </cell>
          <cell r="MU334" t="str">
            <v/>
          </cell>
          <cell r="MV334" t="str">
            <v/>
          </cell>
          <cell r="MW334" t="str">
            <v/>
          </cell>
          <cell r="MX334" t="str">
            <v/>
          </cell>
          <cell r="MY334" t="str">
            <v/>
          </cell>
          <cell r="MZ334" t="str">
            <v/>
          </cell>
          <cell r="NA334" t="str">
            <v/>
          </cell>
          <cell r="NB334" t="str">
            <v/>
          </cell>
          <cell r="NC334" t="str">
            <v/>
          </cell>
          <cell r="ND334" t="str">
            <v/>
          </cell>
          <cell r="NE334" t="str">
            <v/>
          </cell>
          <cell r="NF334" t="str">
            <v/>
          </cell>
          <cell r="NG334" t="str">
            <v/>
          </cell>
          <cell r="NH334" t="str">
            <v/>
          </cell>
          <cell r="NI334" t="str">
            <v/>
          </cell>
          <cell r="NJ334" t="str">
            <v/>
          </cell>
        </row>
        <row r="335">
          <cell r="I335" t="str">
            <v>E07000174</v>
          </cell>
          <cell r="GZ335" t="str">
            <v/>
          </cell>
          <cell r="HA335" t="str">
            <v/>
          </cell>
          <cell r="HB335" t="str">
            <v/>
          </cell>
          <cell r="HC335" t="str">
            <v/>
          </cell>
          <cell r="HD335" t="str">
            <v/>
          </cell>
          <cell r="HE335" t="str">
            <v/>
          </cell>
          <cell r="HF335" t="str">
            <v/>
          </cell>
          <cell r="HG335" t="str">
            <v/>
          </cell>
          <cell r="HH335" t="str">
            <v/>
          </cell>
          <cell r="HI335" t="str">
            <v/>
          </cell>
          <cell r="HJ335" t="str">
            <v/>
          </cell>
          <cell r="HK335" t="str">
            <v/>
          </cell>
          <cell r="HL335" t="str">
            <v/>
          </cell>
          <cell r="HM335" t="str">
            <v/>
          </cell>
          <cell r="HN335" t="str">
            <v/>
          </cell>
          <cell r="HO335" t="str">
            <v/>
          </cell>
          <cell r="HP335" t="str">
            <v/>
          </cell>
          <cell r="HQ335" t="str">
            <v/>
          </cell>
          <cell r="HR335" t="str">
            <v/>
          </cell>
          <cell r="HS335" t="str">
            <v/>
          </cell>
          <cell r="HT335" t="str">
            <v/>
          </cell>
          <cell r="HU335" t="str">
            <v/>
          </cell>
          <cell r="HV335" t="str">
            <v/>
          </cell>
          <cell r="HW335" t="str">
            <v/>
          </cell>
          <cell r="MN335" t="str">
            <v/>
          </cell>
          <cell r="MO335" t="str">
            <v/>
          </cell>
          <cell r="MP335" t="str">
            <v/>
          </cell>
          <cell r="MQ335" t="str">
            <v/>
          </cell>
          <cell r="MR335" t="str">
            <v/>
          </cell>
          <cell r="MS335" t="str">
            <v/>
          </cell>
          <cell r="MT335" t="str">
            <v/>
          </cell>
          <cell r="MU335" t="str">
            <v/>
          </cell>
          <cell r="MV335" t="str">
            <v/>
          </cell>
          <cell r="MW335" t="str">
            <v/>
          </cell>
          <cell r="MX335" t="str">
            <v/>
          </cell>
          <cell r="MY335" t="str">
            <v/>
          </cell>
          <cell r="MZ335" t="str">
            <v/>
          </cell>
          <cell r="NA335" t="str">
            <v/>
          </cell>
          <cell r="NB335" t="str">
            <v/>
          </cell>
          <cell r="NC335" t="str">
            <v/>
          </cell>
          <cell r="ND335" t="str">
            <v/>
          </cell>
          <cell r="NE335" t="str">
            <v/>
          </cell>
          <cell r="NF335" t="str">
            <v/>
          </cell>
          <cell r="NG335" t="str">
            <v/>
          </cell>
          <cell r="NH335" t="str">
            <v/>
          </cell>
          <cell r="NI335" t="str">
            <v/>
          </cell>
          <cell r="NJ335" t="str">
            <v/>
          </cell>
        </row>
        <row r="336">
          <cell r="I336" t="str">
            <v>E07000005</v>
          </cell>
          <cell r="GZ336" t="str">
            <v/>
          </cell>
          <cell r="HA336" t="str">
            <v/>
          </cell>
          <cell r="HB336" t="str">
            <v/>
          </cell>
          <cell r="HC336" t="str">
            <v/>
          </cell>
          <cell r="HD336" t="str">
            <v/>
          </cell>
          <cell r="HE336" t="str">
            <v/>
          </cell>
          <cell r="HF336" t="str">
            <v/>
          </cell>
          <cell r="HG336" t="str">
            <v/>
          </cell>
          <cell r="HH336" t="str">
            <v/>
          </cell>
          <cell r="HI336" t="str">
            <v/>
          </cell>
          <cell r="HJ336" t="str">
            <v/>
          </cell>
          <cell r="HK336" t="str">
            <v/>
          </cell>
          <cell r="HL336" t="str">
            <v/>
          </cell>
          <cell r="HM336" t="str">
            <v/>
          </cell>
          <cell r="HN336" t="str">
            <v/>
          </cell>
          <cell r="HO336" t="str">
            <v/>
          </cell>
          <cell r="HP336" t="str">
            <v/>
          </cell>
          <cell r="HQ336" t="str">
            <v/>
          </cell>
          <cell r="HR336" t="str">
            <v/>
          </cell>
          <cell r="HS336" t="str">
            <v/>
          </cell>
          <cell r="HT336" t="str">
            <v/>
          </cell>
          <cell r="HU336" t="str">
            <v/>
          </cell>
          <cell r="HV336" t="str">
            <v/>
          </cell>
          <cell r="HW336" t="str">
            <v/>
          </cell>
          <cell r="MN336" t="str">
            <v/>
          </cell>
          <cell r="MO336" t="str">
            <v/>
          </cell>
          <cell r="MP336" t="str">
            <v/>
          </cell>
          <cell r="MQ336" t="str">
            <v/>
          </cell>
          <cell r="MR336" t="str">
            <v/>
          </cell>
          <cell r="MS336" t="str">
            <v/>
          </cell>
          <cell r="MT336" t="str">
            <v/>
          </cell>
          <cell r="MU336" t="str">
            <v/>
          </cell>
          <cell r="MV336" t="str">
            <v/>
          </cell>
          <cell r="MW336" t="str">
            <v/>
          </cell>
          <cell r="MX336" t="str">
            <v/>
          </cell>
          <cell r="MY336" t="str">
            <v/>
          </cell>
          <cell r="MZ336" t="str">
            <v/>
          </cell>
          <cell r="NA336" t="str">
            <v/>
          </cell>
          <cell r="NB336" t="str">
            <v/>
          </cell>
          <cell r="NC336" t="str">
            <v/>
          </cell>
          <cell r="ND336" t="str">
            <v/>
          </cell>
          <cell r="NE336" t="str">
            <v/>
          </cell>
          <cell r="NF336" t="str">
            <v/>
          </cell>
          <cell r="NG336" t="str">
            <v/>
          </cell>
          <cell r="NH336" t="str">
            <v/>
          </cell>
          <cell r="NI336" t="str">
            <v/>
          </cell>
          <cell r="NJ336" t="str">
            <v/>
          </cell>
        </row>
        <row r="337">
          <cell r="I337" t="str">
            <v>E06000020</v>
          </cell>
          <cell r="GZ337" t="str">
            <v/>
          </cell>
          <cell r="HA337" t="str">
            <v/>
          </cell>
          <cell r="HB337" t="str">
            <v/>
          </cell>
          <cell r="HC337" t="str">
            <v/>
          </cell>
          <cell r="HD337" t="str">
            <v/>
          </cell>
          <cell r="HE337" t="str">
            <v/>
          </cell>
          <cell r="HF337" t="str">
            <v/>
          </cell>
          <cell r="HG337" t="str">
            <v/>
          </cell>
          <cell r="HH337" t="str">
            <v/>
          </cell>
          <cell r="HI337" t="str">
            <v/>
          </cell>
          <cell r="HJ337" t="str">
            <v/>
          </cell>
          <cell r="HK337" t="str">
            <v/>
          </cell>
          <cell r="HL337" t="str">
            <v/>
          </cell>
          <cell r="HM337" t="str">
            <v/>
          </cell>
          <cell r="HN337" t="str">
            <v/>
          </cell>
          <cell r="HO337" t="str">
            <v/>
          </cell>
          <cell r="HP337" t="str">
            <v/>
          </cell>
          <cell r="HQ337" t="str">
            <v/>
          </cell>
          <cell r="HR337" t="str">
            <v/>
          </cell>
          <cell r="HS337" t="str">
            <v/>
          </cell>
          <cell r="HT337" t="str">
            <v/>
          </cell>
          <cell r="HU337" t="str">
            <v/>
          </cell>
          <cell r="HV337" t="str">
            <v/>
          </cell>
          <cell r="HW337" t="str">
            <v/>
          </cell>
          <cell r="MN337" t="str">
            <v/>
          </cell>
          <cell r="MO337" t="str">
            <v/>
          </cell>
          <cell r="MP337" t="str">
            <v/>
          </cell>
          <cell r="MQ337" t="str">
            <v/>
          </cell>
          <cell r="MR337" t="str">
            <v/>
          </cell>
          <cell r="MS337" t="str">
            <v/>
          </cell>
          <cell r="MT337" t="str">
            <v/>
          </cell>
          <cell r="MU337" t="str">
            <v/>
          </cell>
          <cell r="MV337" t="str">
            <v/>
          </cell>
          <cell r="MW337" t="str">
            <v/>
          </cell>
          <cell r="MX337" t="str">
            <v/>
          </cell>
          <cell r="MY337" t="str">
            <v/>
          </cell>
          <cell r="MZ337" t="str">
            <v/>
          </cell>
          <cell r="NA337" t="str">
            <v/>
          </cell>
          <cell r="NB337" t="str">
            <v/>
          </cell>
          <cell r="NC337" t="str">
            <v/>
          </cell>
          <cell r="ND337" t="str">
            <v/>
          </cell>
          <cell r="NE337" t="str">
            <v/>
          </cell>
          <cell r="NF337" t="str">
            <v/>
          </cell>
          <cell r="NG337" t="str">
            <v/>
          </cell>
          <cell r="NH337" t="str">
            <v/>
          </cell>
          <cell r="NI337" t="str">
            <v/>
          </cell>
          <cell r="NJ337" t="str">
            <v/>
          </cell>
        </row>
        <row r="338">
          <cell r="I338" t="str">
            <v>E07000125</v>
          </cell>
          <cell r="GZ338" t="str">
            <v/>
          </cell>
          <cell r="HA338" t="str">
            <v/>
          </cell>
          <cell r="HB338" t="str">
            <v/>
          </cell>
          <cell r="HC338" t="str">
            <v/>
          </cell>
          <cell r="HD338" t="str">
            <v/>
          </cell>
          <cell r="HE338" t="str">
            <v/>
          </cell>
          <cell r="HF338" t="str">
            <v/>
          </cell>
          <cell r="HG338" t="str">
            <v/>
          </cell>
          <cell r="HH338" t="str">
            <v/>
          </cell>
          <cell r="HI338" t="str">
            <v/>
          </cell>
          <cell r="HJ338" t="str">
            <v/>
          </cell>
          <cell r="HK338" t="str">
            <v/>
          </cell>
          <cell r="HL338" t="str">
            <v/>
          </cell>
          <cell r="HM338" t="str">
            <v/>
          </cell>
          <cell r="HN338" t="str">
            <v/>
          </cell>
          <cell r="HO338" t="str">
            <v/>
          </cell>
          <cell r="HP338" t="str">
            <v/>
          </cell>
          <cell r="HQ338" t="str">
            <v/>
          </cell>
          <cell r="HR338" t="str">
            <v/>
          </cell>
          <cell r="HS338" t="str">
            <v/>
          </cell>
          <cell r="HT338" t="str">
            <v/>
          </cell>
          <cell r="HU338" t="str">
            <v/>
          </cell>
          <cell r="HV338" t="str">
            <v/>
          </cell>
          <cell r="HW338" t="str">
            <v/>
          </cell>
          <cell r="MN338" t="str">
            <v/>
          </cell>
          <cell r="MO338" t="str">
            <v/>
          </cell>
          <cell r="MP338" t="str">
            <v/>
          </cell>
          <cell r="MQ338" t="str">
            <v/>
          </cell>
          <cell r="MR338" t="str">
            <v/>
          </cell>
          <cell r="MS338" t="str">
            <v/>
          </cell>
          <cell r="MT338" t="str">
            <v/>
          </cell>
          <cell r="MU338" t="str">
            <v/>
          </cell>
          <cell r="MV338" t="str">
            <v/>
          </cell>
          <cell r="MW338" t="str">
            <v/>
          </cell>
          <cell r="MX338" t="str">
            <v/>
          </cell>
          <cell r="MY338" t="str">
            <v/>
          </cell>
          <cell r="MZ338" t="str">
            <v/>
          </cell>
          <cell r="NA338" t="str">
            <v/>
          </cell>
          <cell r="NB338" t="str">
            <v/>
          </cell>
          <cell r="NC338" t="str">
            <v/>
          </cell>
          <cell r="ND338" t="str">
            <v/>
          </cell>
          <cell r="NE338" t="str">
            <v/>
          </cell>
          <cell r="NF338" t="str">
            <v/>
          </cell>
          <cell r="NG338" t="str">
            <v/>
          </cell>
          <cell r="NH338" t="str">
            <v/>
          </cell>
          <cell r="NI338" t="str">
            <v/>
          </cell>
          <cell r="NJ338" t="str">
            <v/>
          </cell>
        </row>
        <row r="339">
          <cell r="I339" t="str">
            <v>E06000020</v>
          </cell>
          <cell r="GZ339" t="str">
            <v/>
          </cell>
          <cell r="HA339" t="str">
            <v/>
          </cell>
          <cell r="HB339" t="str">
            <v/>
          </cell>
          <cell r="HC339" t="str">
            <v/>
          </cell>
          <cell r="HD339" t="str">
            <v/>
          </cell>
          <cell r="HE339" t="str">
            <v/>
          </cell>
          <cell r="HF339" t="str">
            <v/>
          </cell>
          <cell r="HG339" t="str">
            <v/>
          </cell>
          <cell r="HH339" t="str">
            <v/>
          </cell>
          <cell r="HI339" t="str">
            <v/>
          </cell>
          <cell r="HJ339" t="str">
            <v/>
          </cell>
          <cell r="HK339" t="str">
            <v/>
          </cell>
          <cell r="HL339" t="str">
            <v/>
          </cell>
          <cell r="HM339" t="str">
            <v/>
          </cell>
          <cell r="HN339" t="str">
            <v/>
          </cell>
          <cell r="HO339" t="str">
            <v/>
          </cell>
          <cell r="HP339" t="str">
            <v/>
          </cell>
          <cell r="HQ339" t="str">
            <v/>
          </cell>
          <cell r="HR339" t="str">
            <v/>
          </cell>
          <cell r="HS339" t="str">
            <v/>
          </cell>
          <cell r="HT339" t="str">
            <v/>
          </cell>
          <cell r="HU339" t="str">
            <v/>
          </cell>
          <cell r="HV339" t="str">
            <v/>
          </cell>
          <cell r="HW339" t="str">
            <v/>
          </cell>
          <cell r="MN339" t="str">
            <v/>
          </cell>
          <cell r="MO339" t="str">
            <v/>
          </cell>
          <cell r="MP339" t="str">
            <v/>
          </cell>
          <cell r="MQ339" t="str">
            <v/>
          </cell>
          <cell r="MR339" t="str">
            <v/>
          </cell>
          <cell r="MS339" t="str">
            <v/>
          </cell>
          <cell r="MT339" t="str">
            <v/>
          </cell>
          <cell r="MU339" t="str">
            <v/>
          </cell>
          <cell r="MV339" t="str">
            <v/>
          </cell>
          <cell r="MW339" t="str">
            <v/>
          </cell>
          <cell r="MX339" t="str">
            <v/>
          </cell>
          <cell r="MY339" t="str">
            <v/>
          </cell>
          <cell r="MZ339" t="str">
            <v/>
          </cell>
          <cell r="NA339" t="str">
            <v/>
          </cell>
          <cell r="NB339" t="str">
            <v/>
          </cell>
          <cell r="NC339" t="str">
            <v/>
          </cell>
          <cell r="ND339" t="str">
            <v/>
          </cell>
          <cell r="NE339" t="str">
            <v/>
          </cell>
          <cell r="NF339" t="str">
            <v/>
          </cell>
          <cell r="NG339" t="str">
            <v/>
          </cell>
          <cell r="NH339" t="str">
            <v/>
          </cell>
          <cell r="NI339" t="str">
            <v/>
          </cell>
          <cell r="NJ339" t="str">
            <v/>
          </cell>
        </row>
        <row r="340">
          <cell r="I340" t="str">
            <v>E07000125</v>
          </cell>
          <cell r="GZ340" t="str">
            <v/>
          </cell>
          <cell r="HA340" t="str">
            <v/>
          </cell>
          <cell r="HB340" t="str">
            <v/>
          </cell>
          <cell r="HC340" t="str">
            <v/>
          </cell>
          <cell r="HD340" t="str">
            <v/>
          </cell>
          <cell r="HE340" t="str">
            <v/>
          </cell>
          <cell r="HF340" t="str">
            <v/>
          </cell>
          <cell r="HG340" t="str">
            <v/>
          </cell>
          <cell r="HH340" t="str">
            <v/>
          </cell>
          <cell r="HI340" t="str">
            <v/>
          </cell>
          <cell r="HJ340" t="str">
            <v/>
          </cell>
          <cell r="HK340" t="str">
            <v/>
          </cell>
          <cell r="HL340" t="str">
            <v/>
          </cell>
          <cell r="HM340" t="str">
            <v/>
          </cell>
          <cell r="HN340" t="str">
            <v/>
          </cell>
          <cell r="HO340" t="str">
            <v/>
          </cell>
          <cell r="HP340" t="str">
            <v/>
          </cell>
          <cell r="HQ340" t="str">
            <v/>
          </cell>
          <cell r="HR340" t="str">
            <v/>
          </cell>
          <cell r="HS340" t="str">
            <v/>
          </cell>
          <cell r="HT340" t="str">
            <v/>
          </cell>
          <cell r="HU340" t="str">
            <v/>
          </cell>
          <cell r="HV340" t="str">
            <v/>
          </cell>
          <cell r="HW340" t="str">
            <v/>
          </cell>
          <cell r="MN340" t="str">
            <v/>
          </cell>
          <cell r="MO340" t="str">
            <v/>
          </cell>
          <cell r="MP340" t="str">
            <v/>
          </cell>
          <cell r="MQ340" t="str">
            <v/>
          </cell>
          <cell r="MR340" t="str">
            <v/>
          </cell>
          <cell r="MS340" t="str">
            <v/>
          </cell>
          <cell r="MT340" t="str">
            <v/>
          </cell>
          <cell r="MU340" t="str">
            <v/>
          </cell>
          <cell r="MV340" t="str">
            <v/>
          </cell>
          <cell r="MW340" t="str">
            <v/>
          </cell>
          <cell r="MX340" t="str">
            <v/>
          </cell>
          <cell r="MY340" t="str">
            <v/>
          </cell>
          <cell r="MZ340" t="str">
            <v/>
          </cell>
          <cell r="NA340" t="str">
            <v/>
          </cell>
          <cell r="NB340" t="str">
            <v/>
          </cell>
          <cell r="NC340" t="str">
            <v/>
          </cell>
          <cell r="ND340" t="str">
            <v/>
          </cell>
          <cell r="NE340" t="str">
            <v/>
          </cell>
          <cell r="NF340" t="str">
            <v/>
          </cell>
          <cell r="NG340" t="str">
            <v/>
          </cell>
          <cell r="NH340" t="str">
            <v/>
          </cell>
          <cell r="NI340" t="str">
            <v/>
          </cell>
          <cell r="NJ340" t="str">
            <v/>
          </cell>
        </row>
        <row r="341">
          <cell r="I341" t="str">
            <v>E06000020</v>
          </cell>
          <cell r="GZ341" t="str">
            <v/>
          </cell>
          <cell r="HA341" t="str">
            <v/>
          </cell>
          <cell r="HB341" t="str">
            <v/>
          </cell>
          <cell r="HC341" t="str">
            <v/>
          </cell>
          <cell r="HD341" t="str">
            <v/>
          </cell>
          <cell r="HE341" t="str">
            <v/>
          </cell>
          <cell r="HF341" t="str">
            <v/>
          </cell>
          <cell r="HG341" t="str">
            <v/>
          </cell>
          <cell r="HH341" t="str">
            <v/>
          </cell>
          <cell r="HI341" t="str">
            <v/>
          </cell>
          <cell r="HJ341" t="str">
            <v/>
          </cell>
          <cell r="HK341" t="str">
            <v/>
          </cell>
          <cell r="HL341" t="str">
            <v/>
          </cell>
          <cell r="HM341" t="str">
            <v/>
          </cell>
          <cell r="HN341" t="str">
            <v/>
          </cell>
          <cell r="HO341" t="str">
            <v/>
          </cell>
          <cell r="HP341" t="str">
            <v/>
          </cell>
          <cell r="HQ341" t="str">
            <v/>
          </cell>
          <cell r="HR341" t="str">
            <v/>
          </cell>
          <cell r="HS341" t="str">
            <v/>
          </cell>
          <cell r="HT341" t="str">
            <v/>
          </cell>
          <cell r="HU341" t="str">
            <v/>
          </cell>
          <cell r="HV341" t="str">
            <v/>
          </cell>
          <cell r="HW341" t="str">
            <v/>
          </cell>
          <cell r="MN341" t="str">
            <v/>
          </cell>
          <cell r="MO341" t="str">
            <v/>
          </cell>
          <cell r="MP341" t="str">
            <v/>
          </cell>
          <cell r="MQ341" t="str">
            <v/>
          </cell>
          <cell r="MR341" t="str">
            <v/>
          </cell>
          <cell r="MS341" t="str">
            <v/>
          </cell>
          <cell r="MT341" t="str">
            <v/>
          </cell>
          <cell r="MU341" t="str">
            <v/>
          </cell>
          <cell r="MV341" t="str">
            <v/>
          </cell>
          <cell r="MW341" t="str">
            <v/>
          </cell>
          <cell r="MX341" t="str">
            <v/>
          </cell>
          <cell r="MY341" t="str">
            <v/>
          </cell>
          <cell r="MZ341" t="str">
            <v/>
          </cell>
          <cell r="NA341" t="str">
            <v/>
          </cell>
          <cell r="NB341" t="str">
            <v/>
          </cell>
          <cell r="NC341" t="str">
            <v/>
          </cell>
          <cell r="ND341" t="str">
            <v/>
          </cell>
          <cell r="NE341" t="str">
            <v/>
          </cell>
          <cell r="NF341" t="str">
            <v/>
          </cell>
          <cell r="NG341" t="str">
            <v/>
          </cell>
          <cell r="NH341" t="str">
            <v/>
          </cell>
          <cell r="NI341" t="str">
            <v/>
          </cell>
          <cell r="NJ341" t="str">
            <v/>
          </cell>
        </row>
        <row r="342">
          <cell r="I342" t="str">
            <v>E07000125</v>
          </cell>
          <cell r="GZ342" t="str">
            <v/>
          </cell>
          <cell r="HA342" t="str">
            <v/>
          </cell>
          <cell r="HB342" t="str">
            <v/>
          </cell>
          <cell r="HC342" t="str">
            <v/>
          </cell>
          <cell r="HD342" t="str">
            <v/>
          </cell>
          <cell r="HE342" t="str">
            <v/>
          </cell>
          <cell r="HF342" t="str">
            <v/>
          </cell>
          <cell r="HG342" t="str">
            <v/>
          </cell>
          <cell r="HH342" t="str">
            <v/>
          </cell>
          <cell r="HI342" t="str">
            <v/>
          </cell>
          <cell r="HJ342" t="str">
            <v/>
          </cell>
          <cell r="HK342" t="str">
            <v/>
          </cell>
          <cell r="HL342" t="str">
            <v/>
          </cell>
          <cell r="HM342" t="str">
            <v/>
          </cell>
          <cell r="HN342" t="str">
            <v/>
          </cell>
          <cell r="HO342" t="str">
            <v/>
          </cell>
          <cell r="HP342" t="str">
            <v/>
          </cell>
          <cell r="HQ342" t="str">
            <v/>
          </cell>
          <cell r="HR342" t="str">
            <v/>
          </cell>
          <cell r="HS342" t="str">
            <v/>
          </cell>
          <cell r="HT342" t="str">
            <v/>
          </cell>
          <cell r="HU342" t="str">
            <v/>
          </cell>
          <cell r="HV342" t="str">
            <v/>
          </cell>
          <cell r="HW342" t="str">
            <v/>
          </cell>
          <cell r="MN342" t="str">
            <v/>
          </cell>
          <cell r="MO342" t="str">
            <v/>
          </cell>
          <cell r="MP342" t="str">
            <v/>
          </cell>
          <cell r="MQ342" t="str">
            <v/>
          </cell>
          <cell r="MR342" t="str">
            <v/>
          </cell>
          <cell r="MS342" t="str">
            <v/>
          </cell>
          <cell r="MT342" t="str">
            <v/>
          </cell>
          <cell r="MU342" t="str">
            <v/>
          </cell>
          <cell r="MV342" t="str">
            <v/>
          </cell>
          <cell r="MW342" t="str">
            <v/>
          </cell>
          <cell r="MX342" t="str">
            <v/>
          </cell>
          <cell r="MY342" t="str">
            <v/>
          </cell>
          <cell r="MZ342" t="str">
            <v/>
          </cell>
          <cell r="NA342" t="str">
            <v/>
          </cell>
          <cell r="NB342" t="str">
            <v/>
          </cell>
          <cell r="NC342" t="str">
            <v/>
          </cell>
          <cell r="ND342" t="str">
            <v/>
          </cell>
          <cell r="NE342" t="str">
            <v/>
          </cell>
          <cell r="NF342" t="str">
            <v/>
          </cell>
          <cell r="NG342" t="str">
            <v/>
          </cell>
          <cell r="NH342" t="str">
            <v/>
          </cell>
          <cell r="NI342" t="str">
            <v/>
          </cell>
          <cell r="NJ342" t="str">
            <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9831407-210B-4FAA-9E77-21CED078B7F6}" name="Table1" displayName="Table1" ref="B3:H19" totalsRowShown="0" headerRowDxfId="58" dataDxfId="56" headerRowBorderDxfId="57" tableBorderDxfId="55" totalsRowBorderDxfId="54">
  <autoFilter ref="B3:H19" xr:uid="{C45D714E-5A6A-466F-BA58-CD18E66F1B50}"/>
  <tableColumns count="7">
    <tableColumn id="1" xr3:uid="{999DEFF6-88A0-4AED-8615-CEFA6D2ACA92}" name="Sheet No." dataDxfId="53"/>
    <tableColumn id="2" xr3:uid="{B9630E4D-237A-4939-83B6-FAE94BF0CDCD}" name="Sheet Name" dataDxfId="52">
      <calculatedColumnFormula array="1">RIGHT(CELL("filename",A1),LEN(CELL("filename",A1))-SEARCH("]",CELL("filename",A1)))</calculatedColumnFormula>
    </tableColumn>
    <tableColumn id="3" xr3:uid="{4651D989-9AB9-43B8-9585-990A093DDDFC}" name="Type" dataDxfId="51"/>
    <tableColumn id="4" xr3:uid="{D2BC4582-E406-4595-B792-152DF029F7DA}" name="Contents" dataDxfId="50"/>
    <tableColumn id="6" xr3:uid="{988D5E7C-3BC2-4E07-9118-B09293B56177}" name="Source (if rel.)" dataDxfId="49" dataCellStyle="Hyperlink"/>
    <tableColumn id="5" xr3:uid="{294C84DF-5878-4E9C-8BBD-EFD20AFFBACB}" name="Date of update" dataDxfId="48"/>
    <tableColumn id="7" xr3:uid="{84ED4A55-4481-40FB-80EE-8D0ABF1F5DC8}" name="Next date of update" dataDxfId="4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A402B38-B2EA-47EA-BF14-31A6C28FFD2F}" name="Table4" displayName="Table4" ref="B15:D21" totalsRowShown="0" headerRowDxfId="46" dataDxfId="45">
  <autoFilter ref="B15:D21" xr:uid="{A02BB910-6A17-4A76-AA3E-7D7F73F2A9A0}"/>
  <tableColumns count="3">
    <tableColumn id="1" xr3:uid="{8FBC69B1-0261-41BF-B72F-FB020E8C3DFC}" name="HDT Year" dataDxfId="44"/>
    <tableColumn id="2" xr3:uid="{DBBE0580-C33B-4E06-916F-C3F6E4A19F3A}" name="Per cent" dataDxfId="43"/>
    <tableColumn id="3" xr3:uid="{CB9D6C0C-ABE8-4B35-92DA-A0C6ECF301AB}" name="HDT Classification" dataDxfId="4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5333AE7-0EA4-4CC6-9E34-873962235CD1}" name="Table5" displayName="Table5" ref="B47:D53" totalsRowShown="0" headerRowDxfId="41" dataDxfId="40">
  <autoFilter ref="B47:D53" xr:uid="{88B79AC5-5E86-4EAD-AEB9-01CD42649F17}"/>
  <tableColumns count="3">
    <tableColumn id="1" xr3:uid="{827CF855-A380-484B-9AEA-6FA660D1B5E3}" name="Year" dataDxfId="39"/>
    <tableColumn id="2" xr3:uid="{DF569D9F-5223-4440-8549-8F64795A7743}" name="Net additional housing" dataDxfId="38">
      <calculatedColumnFormula>VLOOKUP($D$4,'Calculations (All)'!B:DH,74,FALSE)</calculatedColumnFormula>
    </tableColumn>
    <tableColumn id="3" xr3:uid="{B0237A47-A696-4C7C-B30D-D6EDA1046EBC}" name="Covid-19 adj. homes required" dataDxfId="3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EFABE4B-BE26-4571-9E37-7EE1A79EEB5D}" name="Table6" displayName="Table6" ref="B89:J91" totalsRowShown="0" headerRowDxfId="36" dataDxfId="35">
  <autoFilter ref="B89:J91" xr:uid="{E2FF848C-65DE-42B7-9A73-B78C500FEF7E}"/>
  <tableColumns count="9">
    <tableColumn id="1" xr3:uid="{B3460DC4-2799-4494-8B1B-637E2437C2AA}" name="Type of measure" dataDxfId="34"/>
    <tableColumn id="2" xr3:uid="{A46EC10D-2A06-466C-91F1-5FA95CCC07DC}" name="2018/19" dataDxfId="33"/>
    <tableColumn id="3" xr3:uid="{62E1AA0A-6DD9-4975-A358-15545055876B}" name="2019/20" dataDxfId="32"/>
    <tableColumn id="4" xr3:uid="{148D630C-9604-448A-9445-D427DBEA8300}" name="2020/21" dataDxfId="31"/>
    <tableColumn id="5" xr3:uid="{DCECA31A-3227-45F0-B720-EE3B9015CB45}" name="2021/22" dataDxfId="30"/>
    <tableColumn id="6" xr3:uid="{07261C3E-D0DC-4DAB-B43E-BA43B55409EC}" name="2022/23" dataDxfId="29"/>
    <tableColumn id="7" xr3:uid="{427CB04A-05CB-4E72-B1D3-32C901AE4426}" name="2023/24" dataDxfId="28"/>
    <tableColumn id="8" xr3:uid="{F8FE0753-69AF-4444-A997-FB3543CCE872}" name="2024/25" dataDxfId="27"/>
    <tableColumn id="9" xr3:uid="{A8D74F0A-B0D1-4950-AFF9-58DBD0BD4454}" name="2025/26" dataDxfId="2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B3AB654-BC1C-4206-ACAA-3BBB92F2460C}" name="Table7" displayName="Table7" ref="P17:R23" totalsRowShown="0" headerRowDxfId="25" dataDxfId="23" headerRowBorderDxfId="24" tableBorderDxfId="22" totalsRowBorderDxfId="21">
  <autoFilter ref="P17:R23" xr:uid="{0B3AB654-BC1C-4206-ACAA-3BBB92F2460C}"/>
  <tableColumns count="3">
    <tableColumn id="1" xr3:uid="{D32DBC4B-9FC8-40D7-9FDE-022DE6844AAD}" name="HDT Year" dataDxfId="20"/>
    <tableColumn id="2" xr3:uid="{B9DB7715-9355-4BD6-B1ED-7F726AD5B60B}" name="Per cent" dataDxfId="19">
      <calculatedColumnFormula>AVERAGEIF('Calculations (All)'!$D$5:$D$322,$R$14,'Calculations (All)'!CY4:CY322)</calculatedColumnFormula>
    </tableColumn>
    <tableColumn id="3" xr3:uid="{1275E38F-85E4-449C-A66C-54ED419275AC}" name="HDT Classification" dataDxfId="18">
      <calculatedColumnFormula>IF(Table7[[#This Row],[Per cent]]&lt;0.75, "Presumption", IF(Table7[[#This Row],[Per cent]]&lt;0.85, "Buffer and Action Plan", IF(Table7[[#This Row],[Per cent]]&lt;0.95, "Action Plan", "Pass")))</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B05F1BE-D5D9-4F16-9867-6178BC7024B2}" name="Table79" displayName="Table79" ref="P39:R45" totalsRowShown="0" headerRowDxfId="17" dataDxfId="15" headerRowBorderDxfId="16" tableBorderDxfId="14" totalsRowBorderDxfId="13">
  <autoFilter ref="P39:R45" xr:uid="{CB05F1BE-D5D9-4F16-9867-6178BC7024B2}"/>
  <tableColumns count="3">
    <tableColumn id="1" xr3:uid="{8E4E9EAF-E5B8-4238-83EA-AB5C9682661C}" name="HDT Year" dataDxfId="12"/>
    <tableColumn id="2" xr3:uid="{CA7328CC-C107-44A7-BF97-CF4EBCDBB51B}" name="Selected region" dataDxfId="11">
      <calculatedColumnFormula>Q18</calculatedColumnFormula>
    </tableColumn>
    <tableColumn id="3" xr3:uid="{B15649D8-E034-4343-BE01-E5F2A4606752}" name="Individual Local Authority" dataDxfId="10">
      <calculatedColumnFormula>C16</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643BDC7-33CB-4D84-B840-46C7ED69CA34}" name="Table410" displayName="Table410" ref="B16:D21" totalsRowShown="0" headerRowDxfId="9" dataDxfId="8">
  <autoFilter ref="B16:D21" xr:uid="{C643BDC7-33CB-4D84-B840-46C7ED69CA34}"/>
  <tableColumns count="3">
    <tableColumn id="1" xr3:uid="{23132465-4082-4247-8E8B-02B929DF96B1}" name="HDT Year" dataDxfId="7"/>
    <tableColumn id="2" xr3:uid="{EF052680-247B-41A7-BC2B-9DDE7D381A03}" name="Per cent" dataDxfId="6">
      <calculatedColumnFormula>'IndividualLA Sensitivity Test'!U15</calculatedColumnFormula>
    </tableColumn>
    <tableColumn id="3" xr3:uid="{51AAE2FD-904A-4337-8262-4B2547492173}" name="HDT Classification" dataDxfId="5">
      <calculatedColumnFormula>'IndividualLA Sensitivity Test'!V15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ogle.com/url?sa=t&amp;rct=j&amp;q=&amp;esrc=s&amp;source=web&amp;cd=&amp;ved=2ahUKEwjkp8K4vub2AhV0oVwKHSWQARsQFnoECAMQAQ&amp;url=https%3A%2F%2Fassets.publishing.service.gov.uk%2Fgovernment%2Fuploads%2Fsystem%2Fuploads%2Fattachment_data%2Ffile%2F1046293%2F2021_HDT_Final_Results_.ods&amp;usg=AOvVaw3ZgZCfISkKUJIdHFMBWTyi" TargetMode="External"/><Relationship Id="rId3" Type="http://schemas.openxmlformats.org/officeDocument/2006/relationships/hyperlink" Target="https://www.gov.uk/government/statistical-data-sets/live-tables-on-household-projections" TargetMode="External"/><Relationship Id="rId7" Type="http://schemas.openxmlformats.org/officeDocument/2006/relationships/hyperlink" Target="https://www.ons.gov.uk/peoplepopulationandcommunity/housing/datasets/ratioofhousepricetoworkplacebasedearningslowerquartileandmedian" TargetMode="External"/><Relationship Id="rId2" Type="http://schemas.openxmlformats.org/officeDocument/2006/relationships/hyperlink" Target="https://www.ons.gov.uk/peoplepopulationandcommunity/populationandmigration/populationprojections/bulletins/householdprojectionsforengland/2018based" TargetMode="External"/><Relationship Id="rId1" Type="http://schemas.openxmlformats.org/officeDocument/2006/relationships/hyperlink" Target="https://www.gov.uk/government/statistical-data-sets/live-tables-on-affordable-housing-supply" TargetMode="External"/><Relationship Id="rId6" Type="http://schemas.openxmlformats.org/officeDocument/2006/relationships/hyperlink" Target="https://www.ons.gov.uk/peoplepopulationandcommunity/populationandmigration/populationprojections/datasets/householdprojectionsforengland" TargetMode="External"/><Relationship Id="rId11" Type="http://schemas.openxmlformats.org/officeDocument/2006/relationships/table" Target="../tables/table1.xml"/><Relationship Id="rId5" Type="http://schemas.openxmlformats.org/officeDocument/2006/relationships/hyperlink" Target="https://www.gov.uk/government/consultations/changes-to-the-current-planning-system/outcome/government-response-to-the-local-housing-need-proposals-in-changes-to-the-current-planning-system" TargetMode="External"/><Relationship Id="rId10" Type="http://schemas.openxmlformats.org/officeDocument/2006/relationships/printerSettings" Target="../printerSettings/printerSettings1.bin"/><Relationship Id="rId4" Type="http://schemas.openxmlformats.org/officeDocument/2006/relationships/hyperlink" Target="https://geoportal.statistics.gov.uk/search?collection=Dataset&amp;sort=name&amp;tags=all(PRD_RUC)" TargetMode="External"/><Relationship Id="rId9" Type="http://schemas.openxmlformats.org/officeDocument/2006/relationships/hyperlink" Target="https://local-plans-prototype.herokuapp.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publications/housing-delivery-test-2021-measurement/housing-delivery-test-2021-measurement-technical-note" TargetMode="External"/><Relationship Id="rId2" Type="http://schemas.openxmlformats.org/officeDocument/2006/relationships/hyperlink" Target="https://www.gov.uk/government/publications/housing-delivery-test-measurement-rule-book/housing-delivery-test-measurement-rule-book" TargetMode="External"/><Relationship Id="rId1" Type="http://schemas.openxmlformats.org/officeDocument/2006/relationships/hyperlink" Target="https://www.gov.uk/government/publications/housing-delivery-test-2021-measurement/housing-delivery-test-2021-measurement-technical-not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A9218-AB84-46CA-B9D3-41DA9A2BF255}">
  <sheetPr>
    <tabColor theme="4" tint="0.39997558519241921"/>
  </sheetPr>
  <dimension ref="A1:H20"/>
  <sheetViews>
    <sheetView tabSelected="1" zoomScale="70" zoomScaleNormal="55" workbookViewId="0">
      <selection activeCell="C17" sqref="C17"/>
    </sheetView>
  </sheetViews>
  <sheetFormatPr defaultColWidth="8.90625" defaultRowHeight="14"/>
  <cols>
    <col min="1" max="1" width="8.90625" style="387" customWidth="1"/>
    <col min="2" max="2" width="12.6328125" style="387" customWidth="1"/>
    <col min="3" max="3" width="31" style="387" customWidth="1"/>
    <col min="4" max="4" width="13.08984375" style="387" customWidth="1"/>
    <col min="5" max="5" width="69.36328125" style="387" customWidth="1"/>
    <col min="6" max="6" width="96.36328125" style="387" customWidth="1"/>
    <col min="7" max="7" width="18.36328125" style="387" hidden="1" customWidth="1"/>
    <col min="8" max="8" width="19" style="387" hidden="1" customWidth="1"/>
    <col min="9" max="16384" width="8.90625" style="387"/>
  </cols>
  <sheetData>
    <row r="1" spans="1:8">
      <c r="A1" s="7" t="s">
        <v>0</v>
      </c>
    </row>
    <row r="3" spans="1:8">
      <c r="B3" s="54" t="s">
        <v>1</v>
      </c>
      <c r="C3" s="54" t="s">
        <v>2</v>
      </c>
      <c r="D3" s="54" t="s">
        <v>3</v>
      </c>
      <c r="E3" s="54" t="s">
        <v>4</v>
      </c>
      <c r="F3" s="54" t="s">
        <v>5</v>
      </c>
      <c r="G3" s="378" t="s">
        <v>4647</v>
      </c>
      <c r="H3" s="54" t="s">
        <v>4655</v>
      </c>
    </row>
    <row r="4" spans="1:8">
      <c r="B4" s="388">
        <v>1</v>
      </c>
      <c r="C4" s="110" t="str" cm="1">
        <f t="array" aca="1" ref="C4" ca="1">RIGHT(CELL("filename",A1),LEN(CELL("filename",A1))-SEARCH("]",CELL("filename",A1)))</f>
        <v>Read Me</v>
      </c>
      <c r="D4" s="389" t="s">
        <v>4</v>
      </c>
      <c r="E4" s="389" t="s">
        <v>4</v>
      </c>
      <c r="F4" s="390" t="s">
        <v>4658</v>
      </c>
      <c r="G4" s="391" t="s">
        <v>4658</v>
      </c>
      <c r="H4" s="392" t="s">
        <v>4658</v>
      </c>
    </row>
    <row r="5" spans="1:8">
      <c r="B5" s="388">
        <v>2</v>
      </c>
      <c r="C5" s="110" t="str" cm="1">
        <f t="array" aca="1" ref="C5" ca="1">RIGHT(CELL("filename",'User Guide'!A1),LEN(CELL("filename",'User Guide'!A1))-SEARCH("]",CELL("filename",'User Guide'!A1)))</f>
        <v>User Guide</v>
      </c>
      <c r="D5" s="389" t="s">
        <v>7</v>
      </c>
      <c r="E5" s="389" t="s">
        <v>8</v>
      </c>
      <c r="F5" s="390" t="s">
        <v>4658</v>
      </c>
      <c r="G5" s="391" t="s">
        <v>4658</v>
      </c>
      <c r="H5" s="392" t="s">
        <v>4658</v>
      </c>
    </row>
    <row r="6" spans="1:8">
      <c r="B6" s="388">
        <v>3</v>
      </c>
      <c r="C6" s="110" t="str" cm="1">
        <f t="array" aca="1" ref="C6" ca="1">RIGHT(CELL("filename",Dashboard!A1),LEN(CELL("filename",Dashboard!A1))-SEARCH("]",CELL("filename",Dashboard!A1)))</f>
        <v>Dashboard</v>
      </c>
      <c r="D6" s="389" t="s">
        <v>3993</v>
      </c>
      <c r="E6" s="389" t="s">
        <v>3994</v>
      </c>
      <c r="F6" s="390" t="s">
        <v>4658</v>
      </c>
      <c r="G6" s="391" t="s">
        <v>4658</v>
      </c>
      <c r="H6" s="392" t="s">
        <v>4658</v>
      </c>
    </row>
    <row r="7" spans="1:8">
      <c r="B7" s="388">
        <v>4</v>
      </c>
      <c r="C7" s="110" t="str" cm="1">
        <f t="array" aca="1" ref="C7" ca="1">RIGHT(CELL("filename",'Calculations (All)'!A1),LEN(CELL("filename",'Calculations (All)'!A1))-SEARCH("]",CELL("filename",'Calculations (All)'!A1)))</f>
        <v>Calculations (All)</v>
      </c>
      <c r="D7" s="389" t="s">
        <v>9</v>
      </c>
      <c r="E7" s="389" t="s">
        <v>10</v>
      </c>
      <c r="F7" s="390" t="s">
        <v>4658</v>
      </c>
      <c r="G7" s="391" t="s">
        <v>4658</v>
      </c>
      <c r="H7" s="392" t="s">
        <v>4658</v>
      </c>
    </row>
    <row r="8" spans="1:8">
      <c r="B8" s="388">
        <v>5</v>
      </c>
      <c r="C8" s="110" t="str" cm="1">
        <f t="array" aca="1" ref="C8" ca="1">RIGHT(CELL("filename",IndividualLATest!A1),LEN(CELL("filename",IndividualLATest!A1))-SEARCH("]",CELL("filename",IndividualLATest!A1)))</f>
        <v>IndividualLATest</v>
      </c>
      <c r="D8" s="389" t="s">
        <v>9</v>
      </c>
      <c r="E8" s="390" t="s">
        <v>4667</v>
      </c>
      <c r="F8" s="390" t="s">
        <v>4658</v>
      </c>
      <c r="G8" s="391" t="s">
        <v>4658</v>
      </c>
      <c r="H8" s="392" t="s">
        <v>4658</v>
      </c>
    </row>
    <row r="9" spans="1:8">
      <c r="B9" s="388">
        <v>6</v>
      </c>
      <c r="C9" s="109" t="str" cm="1">
        <f t="array" aca="1" ref="C9" ca="1">RIGHT(CELL("filename",'Sensitivity Tests'!A1),LEN(CELL("filename",'Sensitivity Tests'!A1))-SEARCH("]",CELL("filename",'Sensitivity Tests'!A1)))</f>
        <v>Sensitivity Tests</v>
      </c>
      <c r="D9" s="389" t="s">
        <v>9</v>
      </c>
      <c r="E9" s="390" t="s">
        <v>4668</v>
      </c>
      <c r="F9" s="398" t="s">
        <v>4658</v>
      </c>
      <c r="G9" s="393">
        <v>43698</v>
      </c>
      <c r="H9" s="394" t="s">
        <v>6</v>
      </c>
    </row>
    <row r="10" spans="1:8" ht="42">
      <c r="B10" s="388">
        <v>7</v>
      </c>
      <c r="C10" s="109" t="str" cm="1">
        <f t="array" aca="1" ref="C10" ca="1">RIGHT(CELL("filename",'Major Cities &amp; Towns'!A13),LEN(CELL("filename",'Major Cities &amp; Towns'!A13))-SEARCH("]",CELL("filename",'Major Cities &amp; Towns'!A13)))</f>
        <v>Major Cities &amp; Towns</v>
      </c>
      <c r="D10" s="389" t="s">
        <v>11</v>
      </c>
      <c r="E10" s="389" t="s">
        <v>12</v>
      </c>
      <c r="F10" s="399" t="s">
        <v>13</v>
      </c>
      <c r="G10" s="395">
        <v>2019</v>
      </c>
      <c r="H10" s="394" t="s">
        <v>6</v>
      </c>
    </row>
    <row r="11" spans="1:8" ht="28">
      <c r="B11" s="388">
        <v>8</v>
      </c>
      <c r="C11" s="109" t="str" cm="1">
        <f t="array" aca="1" ref="C11" ca="1">RIGHT(CELL("filename",Hshldprojections2018!A1),LEN(CELL("filename",Hshldprojections2018!A1))-SEARCH("]",CELL("filename",Hshldprojections2018!A1)))</f>
        <v>Hshldprojections2018</v>
      </c>
      <c r="D11" s="389" t="s">
        <v>11</v>
      </c>
      <c r="E11" s="389" t="s">
        <v>14</v>
      </c>
      <c r="F11" s="399" t="s">
        <v>4817</v>
      </c>
      <c r="G11" s="395">
        <v>2017</v>
      </c>
      <c r="H11" s="394" t="s">
        <v>6</v>
      </c>
    </row>
    <row r="12" spans="1:8" ht="28">
      <c r="B12" s="388">
        <v>9</v>
      </c>
      <c r="C12" s="109" t="str" cm="1">
        <f t="array" aca="1" ref="C12" ca="1">RIGHT(CELL("filename",Hshldprojections2016!A1),LEN(CELL("filename",Hshldprojections2016!A1))-SEARCH("]",CELL("filename",Hshldprojections2016!A1)))</f>
        <v>Hshldprojections2016</v>
      </c>
      <c r="D12" s="389" t="s">
        <v>11</v>
      </c>
      <c r="E12" s="389" t="s">
        <v>15</v>
      </c>
      <c r="F12" s="399" t="s">
        <v>4818</v>
      </c>
      <c r="G12" s="395">
        <v>2015</v>
      </c>
      <c r="H12" s="394" t="s">
        <v>6</v>
      </c>
    </row>
    <row r="13" spans="1:8" ht="28">
      <c r="B13" s="388">
        <v>10</v>
      </c>
      <c r="C13" s="109" t="str" cm="1">
        <f t="array" aca="1" ref="C13" ca="1">RIGHT(CELL("filename",Hshldprojections2014!A1),LEN(CELL("filename",Hshldprojections2014!A1))-SEARCH("]",CELL("filename",Hshldprojections2014!A1)))</f>
        <v>Hshldprojections2014</v>
      </c>
      <c r="D13" s="389" t="s">
        <v>11</v>
      </c>
      <c r="E13" s="389" t="s">
        <v>16</v>
      </c>
      <c r="F13" s="399" t="s">
        <v>4819</v>
      </c>
      <c r="G13" s="395">
        <v>2021</v>
      </c>
      <c r="H13" s="396" t="s">
        <v>4659</v>
      </c>
    </row>
    <row r="14" spans="1:8" ht="28">
      <c r="B14" s="388">
        <v>11</v>
      </c>
      <c r="C14" s="109" t="str" cm="1">
        <f t="array" aca="1" ref="C14" ca="1">RIGHT(CELL("filename",AffordabilityRatio!A1),LEN(CELL("filename",AffordabilityRatio!A1))-SEARCH("]",CELL("filename",AffordabilityRatio!A1)))</f>
        <v>AffordabilityRatio</v>
      </c>
      <c r="D14" s="389" t="s">
        <v>11</v>
      </c>
      <c r="E14" s="389" t="s">
        <v>4813</v>
      </c>
      <c r="F14" s="400" t="s">
        <v>4678</v>
      </c>
      <c r="G14" s="395">
        <v>2021</v>
      </c>
      <c r="H14" s="394" t="s">
        <v>6</v>
      </c>
    </row>
    <row r="15" spans="1:8">
      <c r="B15" s="388">
        <v>12</v>
      </c>
      <c r="C15" s="109" t="str" cm="1">
        <f t="array" aca="1" ref="C15" ca="1">RIGHT(CELL("filename",NetAdditions!A1),LEN(CELL("filename",NetAdditions!A1))-SEARCH("]",CELL("filename",NetAdditions!A1)))</f>
        <v>NetAdditions</v>
      </c>
      <c r="D15" s="389" t="s">
        <v>11</v>
      </c>
      <c r="E15" s="389" t="s">
        <v>17</v>
      </c>
      <c r="F15" s="399" t="s">
        <v>4820</v>
      </c>
      <c r="G15" s="395" t="s">
        <v>6</v>
      </c>
      <c r="H15" s="394" t="s">
        <v>6</v>
      </c>
    </row>
    <row r="16" spans="1:8">
      <c r="B16" s="388">
        <v>13</v>
      </c>
      <c r="C16" s="109" t="str" cm="1">
        <f t="array" aca="1" ref="C16" ca="1">RIGHT(CELL("filename",'local-plan-data'!A1),LEN(CELL("filename",'local-plan-data'!A1))-SEARCH("]",CELL("filename",'local-plan-data'!A1)))</f>
        <v>local-plan-data</v>
      </c>
      <c r="D16" s="389" t="s">
        <v>11</v>
      </c>
      <c r="E16" s="389" t="s">
        <v>18</v>
      </c>
      <c r="F16" s="399" t="s">
        <v>4812</v>
      </c>
      <c r="G16" s="393">
        <v>43530</v>
      </c>
      <c r="H16" s="394" t="s">
        <v>6</v>
      </c>
    </row>
    <row r="17" spans="2:8">
      <c r="B17" s="388">
        <v>14</v>
      </c>
      <c r="C17" s="109" t="str" cm="1">
        <f t="array" aca="1" ref="C17" ca="1">RIGHT(CELL("filename",UrbanRuralClassification!A1),LEN(CELL("filename",UrbanRuralClassification!A1))-SEARCH("]",CELL("filename",UrbanRuralClassification!A1)))</f>
        <v>UrbanRuralClassification</v>
      </c>
      <c r="D17" s="389" t="s">
        <v>11</v>
      </c>
      <c r="E17" s="389" t="s">
        <v>19</v>
      </c>
      <c r="F17" s="399" t="s">
        <v>20</v>
      </c>
      <c r="G17" s="395">
        <v>2021</v>
      </c>
      <c r="H17" s="394" t="s">
        <v>6</v>
      </c>
    </row>
    <row r="18" spans="2:8">
      <c r="B18" s="388">
        <v>15</v>
      </c>
      <c r="C18" s="110" t="str" cm="1">
        <f t="array" aca="1" ref="C18" ca="1">RIGHT(CELL("filename",PoliticalControl!A1),LEN(CELL("filename",PoliticalControl!A1))-SEARCH("]",CELL("filename",PoliticalControl!A1)))</f>
        <v>PoliticalControl</v>
      </c>
      <c r="D18" s="389" t="s">
        <v>11</v>
      </c>
      <c r="E18" s="389" t="s">
        <v>21</v>
      </c>
      <c r="F18" s="390" t="s">
        <v>3995</v>
      </c>
      <c r="G18" s="395"/>
      <c r="H18" s="394"/>
    </row>
    <row r="19" spans="2:8" ht="56">
      <c r="B19" s="388">
        <v>16</v>
      </c>
      <c r="C19" s="397" t="str" cm="1">
        <f t="array" aca="1" ref="C19" ca="1">RIGHT(CELL("filename",'HDT 2021 Measurement Results'!A1),LEN(CELL("filename",'HDT 2021 Measurement Results'!A1))-SEARCH("]",CELL("filename",'HDT 2021 Measurement Results'!A1)))</f>
        <v>HDT 2021 Measurement Results</v>
      </c>
      <c r="D19" s="389" t="s">
        <v>11</v>
      </c>
      <c r="E19" s="389" t="s">
        <v>4751</v>
      </c>
      <c r="F19" s="399" t="s">
        <v>4752</v>
      </c>
      <c r="G19" s="395"/>
      <c r="H19" s="394"/>
    </row>
    <row r="20" spans="2:8" ht="14.5">
      <c r="B20" s="379" t="s">
        <v>4821</v>
      </c>
    </row>
  </sheetData>
  <sheetProtection algorithmName="SHA-512" hashValue="yYH0rfj3O6sxBMJx+hKKQxlrXdD5EHu01j1qxvdtnYZMNT+hy/HKmwP1cLoFgTtU6hMtES2if0u70bj+p7UrUw==" saltValue="MHNHBHbJWdC9L/KTic1Z9w==" spinCount="100000" sheet="1" objects="1" scenarios="1"/>
  <conditionalFormatting sqref="F17 F4:H8 F10:F15">
    <cfRule type="containsBlanks" dxfId="59" priority="1">
      <formula>LEN(TRIM(F4))=0</formula>
    </cfRule>
  </conditionalFormatting>
  <hyperlinks>
    <hyperlink ref="F15" r:id="rId1" xr:uid="{22C7341F-F568-4012-BC96-302EC9546105}"/>
    <hyperlink ref="F11" r:id="rId2" xr:uid="{B8854B8F-10B1-4172-A72D-A8AD245051E7}"/>
    <hyperlink ref="F13" r:id="rId3" location="based-live-tables" xr:uid="{4EC993BC-98CC-483A-8406-0774FC297D94}"/>
    <hyperlink ref="F17" r:id="rId4" xr:uid="{FFDA931A-D359-4A41-8E3B-A207470D92C8}"/>
    <hyperlink ref="F10" r:id="rId5" xr:uid="{F7E0249A-96E9-421D-8948-6BB8CC0F8766}"/>
    <hyperlink ref="C4" location="'Read Me'!A1" display="'Read Me'!A1" xr:uid="{0E4B496E-9D14-42BF-A657-F8A5D72C63AF}"/>
    <hyperlink ref="F12" r:id="rId6" xr:uid="{4CEE6BA7-B17A-4033-98CB-6D046AFD9577}"/>
    <hyperlink ref="F14" r:id="rId7" xr:uid="{75E67539-D434-4E36-B8EC-3A9F04369463}"/>
    <hyperlink ref="C9" location="'Sensitivity Tests'!A1" display="'Sensitivity Tests'!A1" xr:uid="{A7D10EDE-0CC1-47FC-A176-BD29C39F9E55}"/>
    <hyperlink ref="C5" location="'User Guide'!A1" display="'User Guide'!A1" xr:uid="{A542EEEB-A505-4A3C-B5D6-D65E13CDDE3C}"/>
    <hyperlink ref="C7" location="'Calculations (All)'!A1" display="'Calculations (All)'!A1" xr:uid="{B21969D1-0C99-41B8-BF1C-A33C3A31C028}"/>
    <hyperlink ref="C8" location="IndividualLATest!A1" display="IndividualLATest!A1" xr:uid="{6F712C69-CD89-4F04-958F-237EAFC894E8}"/>
    <hyperlink ref="C10" location="'Major Cities &amp; Towns'!A1" display="'Major Cities &amp; Towns'!A1" xr:uid="{30040BD7-4CA9-4D53-A542-417CD6AAE1A0}"/>
    <hyperlink ref="C11" location="Hshldprojections2018!A1" display="Hshldprojections2018!A1" xr:uid="{A8EC81AC-03F7-4646-9253-217DC9D6FE52}"/>
    <hyperlink ref="C12" location="Hshldprojections2016!A1" display="Hshldprojections2016!A1" xr:uid="{C635CC70-5F4C-40A5-A3CB-61489DB35417}"/>
    <hyperlink ref="C13" location="Hshldprojections2014!A1" display="Hshldprojections2014!A1" xr:uid="{E12BCDA6-0A38-4E59-B0D6-B4258537C1D3}"/>
    <hyperlink ref="C14" location="AffordabilityRatio!A1" display="AffordabilityRatio!A1" xr:uid="{96B5A7BF-77F6-48B5-BABE-00BD997AEDCF}"/>
    <hyperlink ref="C15" location="NetAdditions!A1" display="NetAdditions!A1" xr:uid="{DF1A6F4F-8D8F-4B9F-903F-6745A683F7DE}"/>
    <hyperlink ref="C16" location="'local-plan-data@13112020'!A1" display="'local-plan-data@13112020'!A1" xr:uid="{87974A5B-4A8E-43B4-9EEF-5EC00F10DC6E}"/>
    <hyperlink ref="C17" location="UrbanRuralClassification!A1" display="UrbanRuralClassification!A1" xr:uid="{1004938E-B786-42A0-AE1B-07C9272236B3}"/>
    <hyperlink ref="C18" location="PoliticalControl!A1" display="PoliticalControl!A1" xr:uid="{3378F93A-69D9-4B2F-9D94-8AB71E1534E6}"/>
    <hyperlink ref="C6" location="Dashboard!A1" display="Dashboard!A1" xr:uid="{0143419B-5588-4F5B-B4E8-635200ECB8CE}"/>
    <hyperlink ref="F19" r:id="rId8" display="https://www.google.com/url?sa=t&amp;rct=j&amp;q=&amp;esrc=s&amp;source=web&amp;cd=&amp;ved=2ahUKEwjkp8K4vub2AhV0oVwKHSWQARsQFnoECAMQAQ&amp;url=https%3A%2F%2Fassets.publishing.service.gov.uk%2Fgovernment%2Fuploads%2Fsystem%2Fuploads%2Fattachment_data%2Ffile%2F1046293%2F2021_HDT_Final_Results_.ods&amp;usg=AOvVaw3ZgZCfISkKUJIdHFMBWTyi" xr:uid="{3E471F4C-CEFB-4166-AF0B-E87EB8236D76}"/>
    <hyperlink ref="C19" location="'HDT 2021 Measurement Results'!A1" display="'HDT 2021 Measurement Results'!A1" xr:uid="{D1647E29-1A50-4CC9-9E9A-F3E2AA319281}"/>
    <hyperlink ref="F16" r:id="rId9" xr:uid="{59474AC3-002D-476A-AFC8-6DA148FA8949}"/>
  </hyperlinks>
  <pageMargins left="0.7" right="0.7" top="0.75" bottom="0.75" header="0.3" footer="0.3"/>
  <pageSetup paperSize="9" orientation="portrait"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846CA-0224-4A1F-B194-A34DAAB59751}">
  <sheetPr>
    <tabColor theme="4" tint="0.39997558519241921"/>
  </sheetPr>
  <dimension ref="A1:A30"/>
  <sheetViews>
    <sheetView zoomScale="89" zoomScaleNormal="89" workbookViewId="0">
      <selection activeCell="A10" sqref="A10"/>
    </sheetView>
  </sheetViews>
  <sheetFormatPr defaultColWidth="8.90625" defaultRowHeight="14"/>
  <cols>
    <col min="1" max="1" width="150.08984375" style="8" customWidth="1"/>
    <col min="2" max="16384" width="8.90625" style="8"/>
  </cols>
  <sheetData>
    <row r="1" spans="1:1">
      <c r="A1" s="7" t="s">
        <v>22</v>
      </c>
    </row>
    <row r="2" spans="1:1">
      <c r="A2" s="44"/>
    </row>
    <row r="3" spans="1:1">
      <c r="A3" s="9" t="s">
        <v>23</v>
      </c>
    </row>
    <row r="4" spans="1:1" ht="44" customHeight="1">
      <c r="A4" s="347" t="s">
        <v>4781</v>
      </c>
    </row>
    <row r="5" spans="1:1">
      <c r="A5" s="44"/>
    </row>
    <row r="6" spans="1:1">
      <c r="A6" s="9" t="s">
        <v>24</v>
      </c>
    </row>
    <row r="7" spans="1:1">
      <c r="A7" s="45" t="s">
        <v>25</v>
      </c>
    </row>
    <row r="8" spans="1:1">
      <c r="A8" s="44"/>
    </row>
    <row r="9" spans="1:1">
      <c r="A9" s="9" t="s">
        <v>26</v>
      </c>
    </row>
    <row r="10" spans="1:1" ht="84">
      <c r="A10" s="321" t="s">
        <v>4783</v>
      </c>
    </row>
    <row r="11" spans="1:1">
      <c r="A11" s="321"/>
    </row>
    <row r="12" spans="1:1">
      <c r="A12" s="15" t="s">
        <v>4782</v>
      </c>
    </row>
    <row r="13" spans="1:1" ht="98">
      <c r="A13" s="347" t="s">
        <v>4791</v>
      </c>
    </row>
    <row r="14" spans="1:1">
      <c r="A14" s="44"/>
    </row>
    <row r="15" spans="1:1">
      <c r="A15" s="9" t="s">
        <v>27</v>
      </c>
    </row>
    <row r="16" spans="1:1" ht="70">
      <c r="A16" s="347" t="s">
        <v>4803</v>
      </c>
    </row>
    <row r="17" spans="1:1">
      <c r="A17" s="44"/>
    </row>
    <row r="18" spans="1:1">
      <c r="A18" s="9" t="s">
        <v>4753</v>
      </c>
    </row>
    <row r="19" spans="1:1">
      <c r="A19" s="289" t="s">
        <v>4754</v>
      </c>
    </row>
    <row r="20" spans="1:1">
      <c r="A20" s="44"/>
    </row>
    <row r="21" spans="1:1">
      <c r="A21" s="9" t="s">
        <v>4784</v>
      </c>
    </row>
    <row r="22" spans="1:1" ht="42">
      <c r="A22" s="321" t="s">
        <v>4785</v>
      </c>
    </row>
    <row r="23" spans="1:1">
      <c r="A23" s="44"/>
    </row>
    <row r="24" spans="1:1">
      <c r="A24" s="9" t="s">
        <v>28</v>
      </c>
    </row>
    <row r="25" spans="1:1">
      <c r="A25" s="33" t="s">
        <v>29</v>
      </c>
    </row>
    <row r="26" spans="1:1">
      <c r="A26" s="323" t="s">
        <v>4786</v>
      </c>
    </row>
    <row r="27" spans="1:1">
      <c r="A27" s="323" t="s">
        <v>4787</v>
      </c>
    </row>
    <row r="28" spans="1:1">
      <c r="A28" s="322"/>
    </row>
    <row r="29" spans="1:1">
      <c r="A29" s="9" t="s">
        <v>4788</v>
      </c>
    </row>
    <row r="30" spans="1:1" ht="56">
      <c r="A30" s="347" t="s">
        <v>4789</v>
      </c>
    </row>
  </sheetData>
  <sheetProtection algorithmName="SHA-512" hashValue="jvubE9MvXtlCFCsBdO3zE+ERfsqSQH2EXwT1u2PpodYu/kYo0yj8fIhZGNPtPjypRne3KimRZeK6wwCZwkZDUA==" saltValue="pTQsrSerVVSPMQTF7nT7uQ==" spinCount="100000" sheet="1" objects="1" scenarios="1"/>
  <hyperlinks>
    <hyperlink ref="A25" r:id="rId1" xr:uid="{F82A5392-C538-403F-B55B-DF52EBB64218}"/>
    <hyperlink ref="A26" r:id="rId2" xr:uid="{B3EC264B-96FC-472C-A6FF-F925DC3FAC1B}"/>
    <hyperlink ref="A27" r:id="rId3" xr:uid="{E5417D17-3C6B-4FB8-AA7B-57F4A1618118}"/>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354C8-815A-41AE-904A-5F69A9842261}">
  <sheetPr>
    <tabColor theme="4" tint="0.39997558519241921"/>
  </sheetPr>
  <dimension ref="A1:AC194"/>
  <sheetViews>
    <sheetView zoomScale="58" zoomScaleNormal="71" workbookViewId="0">
      <selection activeCell="D17" sqref="D17"/>
    </sheetView>
  </sheetViews>
  <sheetFormatPr defaultColWidth="8.90625" defaultRowHeight="14.5"/>
  <cols>
    <col min="1" max="1" width="8.90625" style="85"/>
    <col min="2" max="2" width="34.54296875" style="85" customWidth="1"/>
    <col min="3" max="3" width="30.81640625" style="85" customWidth="1"/>
    <col min="4" max="4" width="30" style="85" customWidth="1"/>
    <col min="5" max="5" width="24.453125" style="85" customWidth="1"/>
    <col min="6" max="6" width="13.36328125" style="85" customWidth="1"/>
    <col min="7" max="7" width="15.54296875" style="85" customWidth="1"/>
    <col min="8" max="8" width="13" style="85" customWidth="1"/>
    <col min="9" max="9" width="9.6328125" style="85" customWidth="1"/>
    <col min="10" max="10" width="11.6328125" style="85" customWidth="1"/>
    <col min="11" max="11" width="8.90625" style="85"/>
    <col min="12" max="12" width="15.36328125" style="85" customWidth="1"/>
    <col min="13" max="14" width="8.90625" style="85"/>
    <col min="15" max="15" width="12.54296875" style="85" customWidth="1"/>
    <col min="16" max="16" width="26" style="85" customWidth="1"/>
    <col min="17" max="17" width="18.81640625" style="85" customWidth="1"/>
    <col min="18" max="18" width="25.54296875" style="85" customWidth="1"/>
    <col min="19" max="19" width="14.54296875" style="85" customWidth="1"/>
    <col min="20" max="20" width="20.36328125" style="85" customWidth="1"/>
    <col min="21" max="16384" width="8.90625" style="85"/>
  </cols>
  <sheetData>
    <row r="1" spans="1:29">
      <c r="A1" s="83" t="s">
        <v>3993</v>
      </c>
      <c r="B1" s="84"/>
      <c r="C1" s="84"/>
      <c r="D1" s="84"/>
      <c r="E1" s="84"/>
      <c r="F1" s="84"/>
      <c r="G1" s="84"/>
      <c r="O1" s="84"/>
      <c r="P1" s="84"/>
      <c r="Q1" s="84"/>
      <c r="R1" s="84"/>
      <c r="S1" s="84"/>
    </row>
    <row r="2" spans="1:29" ht="23.4" customHeight="1">
      <c r="A2" s="84"/>
      <c r="B2" s="84"/>
      <c r="C2" s="84"/>
      <c r="D2" s="84"/>
      <c r="E2" s="84"/>
      <c r="F2" s="84"/>
      <c r="G2" s="84"/>
      <c r="O2" s="84"/>
      <c r="P2" s="84"/>
      <c r="Q2" s="84"/>
      <c r="R2" s="84"/>
      <c r="S2" s="84"/>
    </row>
    <row r="3" spans="1:29">
      <c r="A3" s="84"/>
      <c r="B3" s="86" t="s">
        <v>31</v>
      </c>
      <c r="C3" s="84"/>
      <c r="D3" s="87" t="str">
        <f>VLOOKUP($D$4,'Calculations (All)'!$B$4:$C$322,2,FALSE)</f>
        <v>E07000223</v>
      </c>
      <c r="E3" s="84"/>
      <c r="F3" s="84"/>
      <c r="G3" s="84"/>
      <c r="O3" s="84"/>
      <c r="P3" s="84"/>
      <c r="Q3" s="84"/>
      <c r="R3" s="84"/>
      <c r="S3" s="84"/>
    </row>
    <row r="4" spans="1:29" ht="18" customHeight="1">
      <c r="A4" s="84"/>
      <c r="B4" s="86" t="s">
        <v>759</v>
      </c>
      <c r="C4" s="84"/>
      <c r="D4" s="348" t="s">
        <v>112</v>
      </c>
      <c r="E4" s="84"/>
      <c r="F4" s="84"/>
      <c r="G4" s="84"/>
      <c r="O4" s="84"/>
      <c r="P4" s="84"/>
      <c r="Q4" s="84"/>
      <c r="R4" s="84"/>
      <c r="S4" s="84"/>
    </row>
    <row r="5" spans="1:29">
      <c r="A5" s="84"/>
      <c r="B5" s="86" t="s">
        <v>33</v>
      </c>
      <c r="D5" s="108" t="str">
        <f>VLOOKUP(D3,'Calculations (All)'!A4:J322,4,FALSE)</f>
        <v>SE</v>
      </c>
      <c r="E5" s="84"/>
      <c r="F5" s="84"/>
      <c r="G5" s="84"/>
      <c r="P5" s="84"/>
      <c r="Q5" s="84"/>
      <c r="R5" s="84"/>
      <c r="S5" s="84"/>
    </row>
    <row r="6" spans="1:29" ht="28">
      <c r="A6" s="84"/>
      <c r="B6" s="61" t="s">
        <v>4776</v>
      </c>
      <c r="C6" s="59"/>
      <c r="D6" s="62">
        <f>IF(ISNUMBER(VLOOKUP(D3,'Calculations (All)'!A4:J322,10,FALSE)),VLOOKUP(D3,'Calculations (All)'!A4:J322,10,FALSE),"-")</f>
        <v>177.04761904761904</v>
      </c>
      <c r="E6" s="84"/>
      <c r="F6" s="84"/>
      <c r="G6" s="84"/>
      <c r="P6" s="84"/>
      <c r="Q6" s="84"/>
      <c r="R6" s="84"/>
      <c r="S6" s="84"/>
    </row>
    <row r="7" spans="1:29" ht="28">
      <c r="A7" s="84"/>
      <c r="B7" s="61" t="s">
        <v>4814</v>
      </c>
      <c r="C7" s="59"/>
      <c r="D7" s="62">
        <f>VLOOKUP(D4,'Calculations (All)'!$B$4:$DB$322,69,FALSE)</f>
        <v>177.04761904761904</v>
      </c>
      <c r="E7" s="84"/>
      <c r="F7" s="84"/>
      <c r="G7" s="84"/>
      <c r="H7" s="88"/>
      <c r="I7" s="88"/>
      <c r="J7" s="88"/>
      <c r="K7" s="88"/>
      <c r="L7" s="88"/>
      <c r="M7" s="88"/>
      <c r="N7" s="88"/>
      <c r="P7" s="84"/>
      <c r="Q7" s="84"/>
      <c r="R7" s="84"/>
      <c r="S7" s="84"/>
    </row>
    <row r="8" spans="1:29">
      <c r="A8" s="84"/>
      <c r="B8" s="300" t="s">
        <v>4748</v>
      </c>
      <c r="C8" s="84"/>
      <c r="D8" s="287">
        <f>VLOOKUP($D$4,'HDT 2021 Measurement Results'!$B$5:$L$300,10,FALSE)</f>
        <v>0.77</v>
      </c>
      <c r="E8" s="84"/>
      <c r="F8" s="84"/>
      <c r="G8" s="84"/>
      <c r="H8" s="88"/>
      <c r="I8" s="88"/>
      <c r="J8" s="88"/>
      <c r="K8" s="88"/>
      <c r="L8" s="88"/>
      <c r="M8" s="88"/>
      <c r="N8" s="88"/>
      <c r="P8" s="84"/>
      <c r="Q8" s="84"/>
      <c r="R8" s="84"/>
      <c r="S8" s="84"/>
    </row>
    <row r="9" spans="1:29">
      <c r="A9" s="84"/>
      <c r="C9" s="84"/>
      <c r="D9" s="84"/>
      <c r="E9" s="84"/>
      <c r="F9" s="84"/>
      <c r="G9" s="84"/>
      <c r="H9" s="88"/>
      <c r="I9" s="88"/>
      <c r="J9" s="88"/>
      <c r="K9" s="88"/>
      <c r="L9" s="88"/>
      <c r="M9" s="88"/>
      <c r="N9" s="88"/>
      <c r="P9" s="84"/>
      <c r="Q9" s="84"/>
      <c r="R9" s="84"/>
      <c r="S9" s="84"/>
    </row>
    <row r="10" spans="1:29">
      <c r="A10" s="84"/>
      <c r="B10" s="89"/>
      <c r="C10" s="84"/>
      <c r="D10" s="84"/>
      <c r="E10" s="84"/>
      <c r="F10" s="84"/>
      <c r="G10" s="84"/>
      <c r="H10" s="90"/>
      <c r="I10" s="91"/>
      <c r="J10" s="91"/>
      <c r="K10" s="91"/>
      <c r="L10" s="91"/>
      <c r="M10" s="91"/>
      <c r="N10" s="91"/>
      <c r="P10" s="84"/>
      <c r="Q10" s="84"/>
      <c r="R10" s="84"/>
      <c r="S10" s="84"/>
    </row>
    <row r="11" spans="1:29">
      <c r="A11" s="84"/>
      <c r="B11" s="92" t="s">
        <v>4661</v>
      </c>
      <c r="C11" s="84"/>
      <c r="D11" s="84"/>
      <c r="E11" s="84"/>
      <c r="F11" s="84"/>
      <c r="G11" s="84"/>
      <c r="H11" s="90"/>
      <c r="I11" s="91"/>
      <c r="J11" s="91"/>
      <c r="K11" s="91"/>
      <c r="L11" s="91"/>
      <c r="M11" s="91"/>
      <c r="N11" s="91"/>
      <c r="P11" s="92" t="s">
        <v>4662</v>
      </c>
      <c r="Q11" s="92"/>
      <c r="R11" s="84"/>
      <c r="S11" s="84"/>
    </row>
    <row r="12" spans="1:29">
      <c r="A12" s="84"/>
      <c r="B12" s="93"/>
      <c r="C12" s="84"/>
      <c r="D12" s="84"/>
      <c r="E12" s="84"/>
      <c r="F12" s="84"/>
      <c r="G12" s="84"/>
      <c r="H12" s="90"/>
      <c r="I12" s="91"/>
      <c r="J12" s="91"/>
      <c r="K12" s="91"/>
      <c r="L12" s="91"/>
      <c r="M12" s="91"/>
      <c r="N12" s="91"/>
      <c r="P12" s="84"/>
      <c r="Q12" s="84"/>
      <c r="R12" s="84"/>
      <c r="S12" s="84"/>
    </row>
    <row r="13" spans="1:29" ht="18.649999999999999" customHeight="1">
      <c r="A13" s="84"/>
      <c r="B13" s="93" t="s">
        <v>4749</v>
      </c>
      <c r="C13" s="84"/>
      <c r="D13" s="84"/>
      <c r="E13" s="84"/>
      <c r="F13" s="84"/>
      <c r="G13" s="84"/>
      <c r="H13" s="90"/>
      <c r="I13" s="91"/>
      <c r="J13" s="91"/>
      <c r="K13" s="91"/>
      <c r="L13" s="91"/>
      <c r="M13" s="91"/>
      <c r="N13" s="91"/>
      <c r="P13" s="86"/>
      <c r="Q13" s="91"/>
      <c r="R13" s="94"/>
      <c r="S13" s="84"/>
      <c r="U13" s="95"/>
    </row>
    <row r="14" spans="1:29" ht="23" customHeight="1">
      <c r="A14" s="84"/>
      <c r="B14" s="84"/>
      <c r="C14" s="84"/>
      <c r="D14" s="84"/>
      <c r="E14" s="84"/>
      <c r="F14" s="84"/>
      <c r="G14" s="84"/>
      <c r="H14" s="88"/>
      <c r="I14" s="88"/>
      <c r="J14" s="88"/>
      <c r="K14" s="88"/>
      <c r="L14" s="88"/>
      <c r="M14" s="88"/>
      <c r="N14" s="88"/>
      <c r="P14" s="86" t="s">
        <v>4665</v>
      </c>
      <c r="Q14" s="84"/>
      <c r="R14" s="349" t="s">
        <v>119</v>
      </c>
      <c r="S14" s="84"/>
      <c r="T14" s="93" t="s">
        <v>4666</v>
      </c>
      <c r="U14" s="95"/>
    </row>
    <row r="15" spans="1:29">
      <c r="A15" s="59"/>
      <c r="B15" s="59" t="s">
        <v>3997</v>
      </c>
      <c r="C15" s="67" t="s">
        <v>4646</v>
      </c>
      <c r="D15" s="59" t="s">
        <v>3998</v>
      </c>
      <c r="M15" s="60"/>
      <c r="N15" s="60"/>
      <c r="O15" s="60"/>
      <c r="P15" s="59"/>
      <c r="Q15" s="59"/>
      <c r="R15" s="59"/>
      <c r="S15" s="59"/>
      <c r="T15" s="60"/>
      <c r="U15" s="60"/>
      <c r="V15" s="60"/>
      <c r="W15" s="60"/>
      <c r="X15" s="60"/>
      <c r="Y15" s="60"/>
      <c r="Z15" s="60"/>
      <c r="AA15" s="60"/>
      <c r="AB15" s="60"/>
      <c r="AC15" s="60"/>
    </row>
    <row r="16" spans="1:29" ht="28">
      <c r="A16" s="59"/>
      <c r="B16" s="306" t="s">
        <v>4770</v>
      </c>
      <c r="C16" s="313">
        <f>VLOOKUP($D$4,'HDT 2021 Measurement Results'!$B$5:$L$300,10,FALSE)</f>
        <v>0.77</v>
      </c>
      <c r="D16" s="314" t="str">
        <f>IF(Table4[[#This Row],[Per cent]]&lt;0.45, "Presumption", IF(Table4[[#This Row],[Per cent]]&lt;0.85, "Buffer and Action Plan", IF(Table4[[#This Row],[Per cent]]&lt;0.95, "Action Plan", "Pass")))</f>
        <v>Buffer and Action Plan</v>
      </c>
      <c r="M16" s="60"/>
      <c r="N16" s="60"/>
      <c r="O16" s="60"/>
      <c r="P16" s="59"/>
      <c r="Q16" s="59"/>
      <c r="R16" s="59"/>
      <c r="S16" s="59"/>
      <c r="T16" s="60"/>
      <c r="U16" s="60"/>
      <c r="V16" s="60"/>
      <c r="W16" s="60"/>
      <c r="X16" s="60"/>
      <c r="Y16" s="60"/>
      <c r="Z16" s="60"/>
      <c r="AA16" s="60"/>
      <c r="AB16" s="60"/>
      <c r="AC16" s="60"/>
    </row>
    <row r="17" spans="1:29" ht="28">
      <c r="A17" s="59"/>
      <c r="B17" s="309" t="s">
        <v>4771</v>
      </c>
      <c r="C17" s="315">
        <f>VLOOKUP($D$4,'Calculations (All)'!$B$4:$EB$322,102,FALSE)</f>
        <v>0.729528535980149</v>
      </c>
      <c r="D17" s="316" t="str">
        <f>VLOOKUP($D$4,'Calculations (All)'!$B$4:$EB$322,103,FALSE)</f>
        <v>Buffer and Action Plan</v>
      </c>
      <c r="M17" s="60"/>
      <c r="N17" s="60"/>
      <c r="O17" s="60"/>
      <c r="P17" s="68" t="s">
        <v>3997</v>
      </c>
      <c r="Q17" s="68" t="s">
        <v>4646</v>
      </c>
      <c r="R17" s="68" t="s">
        <v>3998</v>
      </c>
      <c r="S17" s="60"/>
      <c r="T17" s="60"/>
      <c r="U17" s="60"/>
      <c r="V17" s="60"/>
      <c r="W17" s="60"/>
      <c r="X17" s="60"/>
      <c r="Y17" s="60"/>
      <c r="Z17" s="60"/>
      <c r="AA17" s="60"/>
      <c r="AB17" s="60"/>
      <c r="AC17" s="60"/>
    </row>
    <row r="18" spans="1:29" ht="28">
      <c r="A18" s="59"/>
      <c r="B18" s="309" t="s">
        <v>4772</v>
      </c>
      <c r="C18" s="315">
        <f>VLOOKUP($D$4,'Calculations (All)'!$B$4:$EB$322,104,FALSE)</f>
        <v>0.90935136796408877</v>
      </c>
      <c r="D18" s="316" t="str">
        <f>VLOOKUP($D$4,'Calculations (All)'!$B$4:$EB$322,105,FALSE)</f>
        <v>Action Plan</v>
      </c>
      <c r="M18" s="60"/>
      <c r="N18" s="60"/>
      <c r="O18" s="60"/>
      <c r="P18" s="306" t="s">
        <v>4770</v>
      </c>
      <c r="Q18" s="307">
        <f>AVERAGEIF('HDT 2021 Measurement Results'!$M$7:$M$300,$R$14,'HDT 2021 Measurement Results'!$K$7:$K$300)</f>
        <v>1.4240540540540543</v>
      </c>
      <c r="R18" s="308" t="str">
        <f>IF(Table7[[#This Row],[Per cent]]&lt;0.75, "Presumption", IF(Table7[[#This Row],[Per cent]]&lt;0.85, "Buffer and Action Plan", IF(Table7[[#This Row],[Per cent]]&lt;0.95, "Action Plan", "Pass")))</f>
        <v>Pass</v>
      </c>
      <c r="S18" s="60"/>
      <c r="T18" s="60"/>
      <c r="U18" s="60"/>
      <c r="V18" s="60"/>
      <c r="W18" s="60"/>
      <c r="X18" s="60"/>
      <c r="Y18" s="60"/>
      <c r="Z18" s="60"/>
      <c r="AA18" s="60"/>
      <c r="AB18" s="60"/>
      <c r="AC18" s="60"/>
    </row>
    <row r="19" spans="1:29" ht="28">
      <c r="A19" s="59"/>
      <c r="B19" s="381" t="s">
        <v>4822</v>
      </c>
      <c r="C19" s="311">
        <f>VLOOKUP($D$4,'Calculations (All)'!$B$4:$EB$322,106,FALSE)</f>
        <v>0.59409438986098684</v>
      </c>
      <c r="D19" s="317" t="str">
        <f>VLOOKUP($D$4,'Calculations (All)'!$B$4:$EB$322,107,FALSE)</f>
        <v>Presumption</v>
      </c>
      <c r="M19" s="60"/>
      <c r="N19" s="60"/>
      <c r="O19" s="60"/>
      <c r="P19" s="309" t="s">
        <v>4771</v>
      </c>
      <c r="Q19" s="310">
        <f>AVERAGEIF('Calculations (All)'!$D$5:$D$322,$R$14,'Calculations (All)'!CY5:CY322)</f>
        <v>1.3542660952212808</v>
      </c>
      <c r="R19" s="308" t="str">
        <f>IF(Table7[[#This Row],[Per cent]]&lt;0.75, "Presumption", IF(Table7[[#This Row],[Per cent]]&lt;0.85, "Buffer and Action Plan", IF(Table7[[#This Row],[Per cent]]&lt;0.95, "Action Plan", "Pass")))</f>
        <v>Pass</v>
      </c>
      <c r="S19" s="60"/>
      <c r="T19" s="60"/>
      <c r="U19" s="60"/>
      <c r="V19" s="60"/>
      <c r="W19" s="60"/>
      <c r="X19" s="60"/>
      <c r="Y19" s="60"/>
      <c r="Z19" s="60"/>
      <c r="AA19" s="60"/>
      <c r="AB19" s="60"/>
      <c r="AC19" s="60"/>
    </row>
    <row r="20" spans="1:29" ht="28">
      <c r="A20" s="59"/>
      <c r="B20" s="381" t="s">
        <v>4823</v>
      </c>
      <c r="C20" s="311">
        <f>VLOOKUP($D$4,'Calculations (All)'!$B$4:$EB$322,108,FALSE)</f>
        <v>0.55392054276766167</v>
      </c>
      <c r="D20" s="317" t="str">
        <f>VLOOKUP($D$4,'Calculations (All)'!$B$4:$EB$322,109,FALSE)</f>
        <v>Presumption</v>
      </c>
      <c r="M20" s="60"/>
      <c r="N20" s="60"/>
      <c r="O20" s="60"/>
      <c r="P20" s="309" t="s">
        <v>4772</v>
      </c>
      <c r="Q20" s="310">
        <f>AVERAGEIF('Calculations (All)'!$D$5:$D$322,$R$14,'Calculations (All)'!DA5:DA322)</f>
        <v>1.2282309928186947</v>
      </c>
      <c r="R20" s="308" t="str">
        <f>IF(Table7[[#This Row],[Per cent]]&lt;0.75, "Presumption", IF(Table7[[#This Row],[Per cent]]&lt;0.85, "Buffer and Action Plan", IF(Table7[[#This Row],[Per cent]]&lt;0.95, "Action Plan", "Pass")))</f>
        <v>Pass</v>
      </c>
      <c r="S20" s="60"/>
      <c r="T20" s="60"/>
      <c r="U20" s="60"/>
      <c r="V20" s="60"/>
      <c r="W20" s="60"/>
      <c r="X20" s="60"/>
      <c r="Y20" s="60"/>
      <c r="Z20" s="60"/>
      <c r="AA20" s="60"/>
      <c r="AB20" s="60"/>
      <c r="AC20" s="60"/>
    </row>
    <row r="21" spans="1:29" ht="28">
      <c r="A21" s="59"/>
      <c r="B21" s="381" t="s">
        <v>4824</v>
      </c>
      <c r="C21" s="311">
        <f>VLOOKUP($D$4,'Calculations (All)'!$B$4:$EB$322,110,FALSE)</f>
        <v>0.54004126563049115</v>
      </c>
      <c r="D21" s="317" t="str">
        <f>VLOOKUP($D$4,'Calculations (All)'!$B$4:$EB$322,111,FALSE)</f>
        <v>Presumption</v>
      </c>
      <c r="M21" s="63"/>
      <c r="N21" s="63"/>
      <c r="O21" s="60"/>
      <c r="P21" s="309" t="s">
        <v>4773</v>
      </c>
      <c r="Q21" s="311">
        <f>AVERAGEIF('Calculations (All)'!$D$5:$D$322,$R$14,'Calculations (All)'!DC7:DC325)</f>
        <v>1.6807875262382703</v>
      </c>
      <c r="R21" s="308" t="str">
        <f>IF(Table7[[#This Row],[Per cent]]&lt;0.75, "Presumption", IF(Table7[[#This Row],[Per cent]]&lt;0.85, "Buffer and Action Plan", IF(Table7[[#This Row],[Per cent]]&lt;0.95, "Action Plan", "Pass")))</f>
        <v>Pass</v>
      </c>
      <c r="S21" s="59"/>
      <c r="T21" s="60"/>
      <c r="U21" s="60"/>
      <c r="V21" s="60"/>
      <c r="W21" s="60"/>
      <c r="X21" s="60"/>
      <c r="Y21" s="60"/>
      <c r="Z21" s="60"/>
      <c r="AA21" s="60"/>
      <c r="AB21" s="60"/>
      <c r="AC21" s="60"/>
    </row>
    <row r="22" spans="1:29" ht="16.25" customHeight="1">
      <c r="A22" s="59"/>
      <c r="B22" s="303" t="s">
        <v>4777</v>
      </c>
      <c r="C22" s="59"/>
      <c r="D22" s="59"/>
      <c r="E22" s="59"/>
      <c r="M22" s="65"/>
      <c r="N22" s="65"/>
      <c r="O22" s="59"/>
      <c r="P22" s="309" t="s">
        <v>4774</v>
      </c>
      <c r="Q22" s="311">
        <f>AVERAGEIF('Calculations (All)'!$D$5:$D$322,$R$14,'Calculations (All)'!DE8:DE326)</f>
        <v>1.2131524957610389</v>
      </c>
      <c r="R22" s="308" t="str">
        <f>IF(Table7[[#This Row],[Per cent]]&lt;0.75, "Presumption", IF(Table7[[#This Row],[Per cent]]&lt;0.85, "Buffer and Action Plan", IF(Table7[[#This Row],[Per cent]]&lt;0.95, "Action Plan", "Pass")))</f>
        <v>Pass</v>
      </c>
      <c r="S22" s="59"/>
      <c r="T22" s="60"/>
      <c r="U22" s="60"/>
      <c r="V22" s="60"/>
      <c r="W22" s="60"/>
      <c r="X22" s="60"/>
      <c r="Y22" s="60"/>
      <c r="Z22" s="60"/>
      <c r="AA22" s="60"/>
      <c r="AB22" s="60"/>
      <c r="AC22" s="60"/>
    </row>
    <row r="23" spans="1:29" ht="28">
      <c r="A23" s="59"/>
      <c r="B23" s="59"/>
      <c r="C23" s="59"/>
      <c r="D23" s="59"/>
      <c r="E23" s="59"/>
      <c r="M23" s="65"/>
      <c r="N23" s="65"/>
      <c r="O23" s="59"/>
      <c r="P23" s="309" t="s">
        <v>4775</v>
      </c>
      <c r="Q23" s="311">
        <f>AVERAGEIF('Calculations (All)'!$D$5:$D$322,$R$14,'Calculations (All)'!DG9:DG327)</f>
        <v>1.8006920863457396</v>
      </c>
      <c r="R23" s="308" t="str">
        <f>IF(Table7[[#This Row],[Per cent]]&lt;0.75, "Presumption", IF(Table7[[#This Row],[Per cent]]&lt;0.85, "Buffer and Action Plan", IF(Table7[[#This Row],[Per cent]]&lt;0.95, "Action Plan", "Pass")))</f>
        <v>Pass</v>
      </c>
      <c r="S23" s="59"/>
      <c r="T23" s="60"/>
      <c r="U23" s="60"/>
      <c r="V23" s="60"/>
      <c r="W23" s="60"/>
      <c r="X23" s="60"/>
      <c r="Y23" s="60"/>
      <c r="Z23" s="60"/>
      <c r="AA23" s="60"/>
      <c r="AB23" s="60"/>
      <c r="AC23" s="60"/>
    </row>
    <row r="24" spans="1:29">
      <c r="A24" s="59"/>
      <c r="B24" s="59"/>
      <c r="C24" s="59"/>
      <c r="D24" s="59"/>
      <c r="E24" s="59"/>
      <c r="M24" s="64"/>
      <c r="N24" s="64"/>
      <c r="O24" s="59"/>
      <c r="P24" s="305" t="s">
        <v>4779</v>
      </c>
      <c r="Q24" s="59"/>
      <c r="R24" s="59"/>
      <c r="S24" s="59"/>
      <c r="T24" s="60"/>
      <c r="U24" s="60"/>
      <c r="V24" s="60"/>
      <c r="W24" s="60"/>
      <c r="X24" s="60"/>
      <c r="Y24" s="60"/>
      <c r="Z24" s="60"/>
      <c r="AA24" s="60"/>
      <c r="AB24" s="60"/>
      <c r="AC24" s="60"/>
    </row>
    <row r="25" spans="1:29">
      <c r="A25" s="59"/>
      <c r="B25" s="59"/>
      <c r="C25" s="59"/>
      <c r="D25" s="59"/>
      <c r="E25" s="59"/>
      <c r="F25" s="59"/>
      <c r="G25" s="59"/>
      <c r="H25" s="69" t="s">
        <v>4648</v>
      </c>
      <c r="I25" s="70"/>
      <c r="J25" s="70"/>
      <c r="K25" s="70"/>
      <c r="L25" s="71"/>
      <c r="M25" s="64"/>
      <c r="N25" s="64"/>
      <c r="O25" s="59"/>
      <c r="P25" s="304" t="s">
        <v>4780</v>
      </c>
      <c r="Q25" s="59"/>
      <c r="R25" s="59"/>
      <c r="S25" s="59"/>
      <c r="T25" s="60"/>
      <c r="U25" s="60"/>
      <c r="V25" s="60"/>
      <c r="W25" s="60"/>
      <c r="X25" s="60"/>
      <c r="Y25" s="60"/>
      <c r="Z25" s="60"/>
      <c r="AA25" s="60"/>
      <c r="AB25" s="60"/>
      <c r="AC25" s="60"/>
    </row>
    <row r="26" spans="1:29">
      <c r="A26" s="59"/>
      <c r="B26" s="59"/>
      <c r="C26" s="59"/>
      <c r="D26" s="59"/>
      <c r="E26" s="59"/>
      <c r="F26" s="59"/>
      <c r="G26" s="59"/>
      <c r="H26" s="72"/>
      <c r="I26" s="73"/>
      <c r="J26" s="73"/>
      <c r="K26" s="73"/>
      <c r="L26" s="74"/>
      <c r="M26" s="64"/>
      <c r="N26" s="64"/>
      <c r="O26" s="59"/>
      <c r="P26" s="59"/>
      <c r="Q26" s="59"/>
      <c r="R26" s="59"/>
      <c r="S26" s="59"/>
      <c r="T26" s="60"/>
      <c r="U26" s="60"/>
      <c r="V26" s="60"/>
      <c r="W26" s="60"/>
      <c r="X26" s="60"/>
      <c r="Y26" s="60"/>
      <c r="Z26" s="60"/>
      <c r="AA26" s="60"/>
      <c r="AB26" s="60"/>
      <c r="AC26" s="60"/>
    </row>
    <row r="27" spans="1:29">
      <c r="A27" s="59"/>
      <c r="B27" s="59"/>
      <c r="C27" s="59"/>
      <c r="D27" s="59"/>
      <c r="E27" s="59"/>
      <c r="F27" s="59"/>
      <c r="G27" s="59"/>
      <c r="H27" s="75" t="s">
        <v>4652</v>
      </c>
      <c r="I27" s="76"/>
      <c r="J27" s="76"/>
      <c r="K27" s="76"/>
      <c r="L27" s="77"/>
      <c r="M27" s="64"/>
      <c r="N27" s="64"/>
      <c r="O27" s="59"/>
      <c r="P27" s="59"/>
      <c r="Q27" s="59"/>
      <c r="R27" s="59"/>
      <c r="S27" s="59"/>
      <c r="T27" s="60"/>
      <c r="U27" s="60"/>
      <c r="V27" s="60"/>
      <c r="W27" s="60"/>
      <c r="X27" s="60"/>
      <c r="Y27" s="60"/>
      <c r="Z27" s="60"/>
      <c r="AA27" s="60"/>
      <c r="AB27" s="60"/>
      <c r="AC27" s="60"/>
    </row>
    <row r="28" spans="1:29">
      <c r="A28" s="59"/>
      <c r="B28" s="59"/>
      <c r="C28" s="59"/>
      <c r="D28" s="59"/>
      <c r="E28" s="59"/>
      <c r="F28" s="59"/>
      <c r="G28" s="59"/>
      <c r="H28" s="75" t="s">
        <v>4653</v>
      </c>
      <c r="I28" s="76"/>
      <c r="J28" s="76"/>
      <c r="K28" s="76"/>
      <c r="L28" s="77"/>
      <c r="M28" s="64"/>
      <c r="N28" s="64"/>
      <c r="O28" s="59"/>
      <c r="P28" s="59"/>
      <c r="Q28" s="59"/>
      <c r="R28" s="59"/>
      <c r="S28" s="59"/>
      <c r="T28" s="60"/>
      <c r="U28" s="60"/>
      <c r="V28" s="60"/>
      <c r="W28" s="60"/>
      <c r="X28" s="60"/>
      <c r="Y28" s="60"/>
      <c r="Z28" s="60"/>
      <c r="AA28" s="60"/>
      <c r="AB28" s="60"/>
      <c r="AC28" s="60"/>
    </row>
    <row r="29" spans="1:29">
      <c r="A29" s="59"/>
      <c r="B29" s="59"/>
      <c r="C29" s="59"/>
      <c r="D29" s="59"/>
      <c r="E29" s="59"/>
      <c r="F29" s="59"/>
      <c r="G29" s="59"/>
      <c r="H29" s="75" t="s">
        <v>4660</v>
      </c>
      <c r="I29" s="76"/>
      <c r="J29" s="76"/>
      <c r="K29" s="76"/>
      <c r="L29" s="77"/>
      <c r="M29" s="64"/>
      <c r="N29" s="64"/>
      <c r="O29" s="59"/>
      <c r="P29" s="59"/>
      <c r="Q29" s="59"/>
      <c r="R29" s="59"/>
      <c r="S29" s="59"/>
      <c r="T29" s="60"/>
      <c r="U29" s="60"/>
      <c r="V29" s="60"/>
      <c r="W29" s="60"/>
      <c r="X29" s="60"/>
      <c r="Y29" s="60"/>
      <c r="Z29" s="60"/>
      <c r="AA29" s="60"/>
      <c r="AB29" s="60"/>
      <c r="AC29" s="60"/>
    </row>
    <row r="30" spans="1:29">
      <c r="A30" s="59"/>
      <c r="B30" s="59"/>
      <c r="C30" s="59"/>
      <c r="D30" s="59"/>
      <c r="E30" s="59"/>
      <c r="F30" s="59"/>
      <c r="G30" s="59"/>
      <c r="H30" s="75" t="s">
        <v>4649</v>
      </c>
      <c r="I30" s="76"/>
      <c r="J30" s="76"/>
      <c r="K30" s="76"/>
      <c r="L30" s="77"/>
      <c r="M30" s="65"/>
      <c r="N30" s="65"/>
      <c r="O30" s="59"/>
      <c r="P30" s="59"/>
      <c r="Q30" s="59"/>
      <c r="R30" s="59"/>
      <c r="S30" s="59"/>
      <c r="T30" s="60"/>
      <c r="U30" s="60"/>
      <c r="V30" s="60"/>
      <c r="W30" s="60"/>
      <c r="X30" s="60"/>
      <c r="Y30" s="60"/>
      <c r="Z30" s="60"/>
      <c r="AA30" s="60"/>
      <c r="AB30" s="60"/>
      <c r="AC30" s="60"/>
    </row>
    <row r="31" spans="1:29">
      <c r="A31" s="59"/>
      <c r="B31" s="59"/>
      <c r="C31" s="59"/>
      <c r="D31" s="59"/>
      <c r="E31" s="59"/>
      <c r="F31" s="59"/>
      <c r="G31" s="59"/>
      <c r="H31" s="75" t="s">
        <v>4654</v>
      </c>
      <c r="I31" s="76"/>
      <c r="J31" s="76"/>
      <c r="K31" s="76"/>
      <c r="L31" s="77"/>
      <c r="M31" s="81"/>
      <c r="N31" s="81"/>
      <c r="O31" s="59"/>
      <c r="P31" s="59"/>
      <c r="Q31" s="59"/>
      <c r="R31" s="59"/>
      <c r="S31" s="59"/>
      <c r="T31" s="60"/>
      <c r="U31" s="60"/>
      <c r="V31" s="60"/>
      <c r="W31" s="60"/>
      <c r="X31" s="60"/>
      <c r="Y31" s="60"/>
      <c r="Z31" s="60"/>
      <c r="AA31" s="60"/>
      <c r="AB31" s="60"/>
      <c r="AC31" s="60"/>
    </row>
    <row r="32" spans="1:29">
      <c r="A32" s="59"/>
      <c r="B32" s="59"/>
      <c r="C32" s="59"/>
      <c r="D32" s="59"/>
      <c r="E32" s="59"/>
      <c r="F32" s="59"/>
      <c r="G32" s="59"/>
      <c r="H32" s="75" t="s">
        <v>4650</v>
      </c>
      <c r="I32" s="76"/>
      <c r="J32" s="76"/>
      <c r="K32" s="76"/>
      <c r="L32" s="77"/>
      <c r="M32" s="59"/>
      <c r="N32" s="59"/>
      <c r="O32" s="59"/>
      <c r="P32" s="59"/>
      <c r="Q32" s="383"/>
      <c r="R32" s="59"/>
      <c r="S32" s="59"/>
      <c r="T32" s="60"/>
      <c r="U32" s="60"/>
      <c r="V32" s="60"/>
      <c r="W32" s="60"/>
      <c r="X32" s="60"/>
      <c r="Y32" s="60"/>
      <c r="Z32" s="60"/>
      <c r="AA32" s="60"/>
      <c r="AB32" s="60"/>
      <c r="AC32" s="60"/>
    </row>
    <row r="33" spans="1:29">
      <c r="A33" s="59"/>
      <c r="B33" s="59"/>
      <c r="C33" s="59"/>
      <c r="D33" s="59"/>
      <c r="E33" s="59"/>
      <c r="F33" s="59"/>
      <c r="G33" s="59"/>
      <c r="H33" s="78" t="s">
        <v>4651</v>
      </c>
      <c r="I33" s="79"/>
      <c r="J33" s="79"/>
      <c r="K33" s="79"/>
      <c r="L33" s="80"/>
      <c r="M33" s="59"/>
      <c r="N33" s="59"/>
      <c r="O33" s="59"/>
      <c r="P33" s="59"/>
      <c r="Q33" s="59"/>
      <c r="R33" s="59"/>
      <c r="S33" s="59"/>
      <c r="T33" s="60"/>
      <c r="U33" s="60"/>
      <c r="V33" s="60"/>
      <c r="W33" s="60"/>
      <c r="X33" s="60"/>
      <c r="Y33" s="60"/>
      <c r="Z33" s="60"/>
      <c r="AA33" s="60"/>
      <c r="AB33" s="60"/>
      <c r="AC33" s="60"/>
    </row>
    <row r="34" spans="1:29">
      <c r="A34" s="59"/>
      <c r="B34" s="59"/>
      <c r="C34" s="59"/>
      <c r="D34" s="59"/>
      <c r="E34" s="59"/>
      <c r="F34" s="59"/>
      <c r="G34" s="59"/>
      <c r="H34" s="59"/>
      <c r="I34" s="59"/>
      <c r="J34" s="59"/>
      <c r="K34" s="59"/>
      <c r="L34" s="59"/>
      <c r="M34" s="59"/>
      <c r="N34" s="59"/>
      <c r="O34" s="59"/>
      <c r="P34" s="59"/>
      <c r="Q34" s="59"/>
      <c r="R34" s="59"/>
      <c r="S34" s="59"/>
      <c r="T34" s="60"/>
      <c r="U34" s="60"/>
      <c r="V34" s="60"/>
      <c r="W34" s="60"/>
      <c r="X34" s="60"/>
      <c r="Y34" s="60"/>
      <c r="Z34" s="60"/>
      <c r="AA34" s="60"/>
      <c r="AB34" s="60"/>
      <c r="AC34" s="60"/>
    </row>
    <row r="35" spans="1:29">
      <c r="A35" s="59"/>
      <c r="B35" s="59"/>
      <c r="C35" s="59"/>
      <c r="D35" s="59"/>
      <c r="E35" s="59"/>
      <c r="F35" s="59"/>
      <c r="G35" s="59"/>
      <c r="H35" s="59"/>
      <c r="I35" s="59"/>
      <c r="J35" s="59"/>
      <c r="K35" s="59"/>
      <c r="L35" s="59"/>
      <c r="M35" s="59"/>
      <c r="N35" s="59"/>
      <c r="O35" s="59"/>
      <c r="P35" s="59"/>
      <c r="Q35" s="59"/>
      <c r="R35" s="59"/>
      <c r="S35" s="59"/>
      <c r="T35" s="60"/>
      <c r="U35" s="60"/>
      <c r="V35" s="60"/>
      <c r="W35" s="60"/>
      <c r="X35" s="60"/>
      <c r="Y35" s="60"/>
      <c r="Z35" s="60"/>
      <c r="AA35" s="60"/>
      <c r="AB35" s="60"/>
      <c r="AC35" s="60"/>
    </row>
    <row r="36" spans="1:29">
      <c r="A36" s="59"/>
      <c r="B36" s="59"/>
      <c r="C36" s="59"/>
      <c r="D36" s="59"/>
      <c r="E36" s="59"/>
      <c r="F36" s="59"/>
      <c r="G36" s="59"/>
      <c r="H36" s="59"/>
      <c r="I36" s="59"/>
      <c r="J36" s="59"/>
      <c r="K36" s="59"/>
      <c r="L36" s="59"/>
      <c r="M36" s="59"/>
      <c r="N36" s="59"/>
      <c r="O36" s="59"/>
      <c r="P36" s="59"/>
      <c r="Q36" s="59"/>
      <c r="R36" s="59"/>
      <c r="S36" s="59"/>
      <c r="T36" s="60"/>
      <c r="U36" s="60"/>
      <c r="V36" s="60"/>
      <c r="W36" s="60"/>
      <c r="X36" s="60"/>
      <c r="Y36" s="60"/>
      <c r="Z36" s="60"/>
      <c r="AA36" s="60"/>
      <c r="AB36" s="60"/>
      <c r="AC36" s="60"/>
    </row>
    <row r="37" spans="1:29" ht="15.5">
      <c r="P37" s="384"/>
      <c r="Q37" s="385"/>
      <c r="R37" s="386"/>
      <c r="S37" s="59"/>
      <c r="T37" s="60"/>
      <c r="U37" s="60"/>
      <c r="V37" s="60"/>
      <c r="W37" s="60"/>
      <c r="X37" s="60"/>
      <c r="Y37" s="60"/>
      <c r="Z37" s="60"/>
      <c r="AA37" s="60"/>
      <c r="AB37" s="60"/>
      <c r="AC37" s="60"/>
    </row>
    <row r="38" spans="1:29">
      <c r="P38" s="59"/>
      <c r="Q38" s="59"/>
      <c r="R38" s="59"/>
      <c r="S38" s="59"/>
      <c r="T38" s="60"/>
      <c r="U38" s="60"/>
      <c r="V38" s="60"/>
      <c r="W38" s="60"/>
      <c r="X38" s="60"/>
      <c r="Y38" s="60"/>
      <c r="Z38" s="60"/>
      <c r="AA38" s="60"/>
      <c r="AB38" s="60"/>
      <c r="AC38" s="60"/>
    </row>
    <row r="39" spans="1:29">
      <c r="P39" s="68" t="s">
        <v>3997</v>
      </c>
      <c r="Q39" s="382" t="s">
        <v>4663</v>
      </c>
      <c r="R39" s="68" t="s">
        <v>4664</v>
      </c>
      <c r="S39" s="59"/>
      <c r="T39" s="60"/>
      <c r="U39" s="60"/>
      <c r="V39" s="60"/>
      <c r="W39" s="60"/>
      <c r="X39" s="60"/>
      <c r="Y39" s="60"/>
      <c r="Z39" s="60"/>
      <c r="AA39" s="60"/>
      <c r="AB39" s="60"/>
      <c r="AC39" s="60"/>
    </row>
    <row r="40" spans="1:29" ht="28">
      <c r="P40" s="306" t="s">
        <v>4770</v>
      </c>
      <c r="Q40" s="312">
        <f>Q18</f>
        <v>1.4240540540540543</v>
      </c>
      <c r="R40" s="312">
        <f>C16</f>
        <v>0.77</v>
      </c>
      <c r="S40" s="59"/>
      <c r="T40" s="60"/>
      <c r="U40" s="60"/>
      <c r="V40" s="60"/>
      <c r="W40" s="60"/>
      <c r="X40" s="60"/>
      <c r="Y40" s="60"/>
      <c r="Z40" s="60"/>
      <c r="AA40" s="60"/>
      <c r="AB40" s="60"/>
      <c r="AC40" s="60"/>
    </row>
    <row r="41" spans="1:29" ht="28">
      <c r="P41" s="309" t="s">
        <v>4771</v>
      </c>
      <c r="Q41" s="312">
        <f t="shared" ref="Q41:Q45" si="0">Q19</f>
        <v>1.3542660952212808</v>
      </c>
      <c r="R41" s="312">
        <f t="shared" ref="R41:R45" si="1">C17</f>
        <v>0.729528535980149</v>
      </c>
      <c r="S41" s="59"/>
      <c r="T41" s="60"/>
      <c r="U41" s="60"/>
      <c r="V41" s="60"/>
      <c r="W41" s="60"/>
      <c r="X41" s="60"/>
      <c r="Y41" s="60"/>
      <c r="Z41" s="60"/>
      <c r="AA41" s="60"/>
      <c r="AB41" s="60"/>
      <c r="AC41" s="60"/>
    </row>
    <row r="42" spans="1:29" ht="28">
      <c r="P42" s="309" t="s">
        <v>4772</v>
      </c>
      <c r="Q42" s="312">
        <f t="shared" si="0"/>
        <v>1.2282309928186947</v>
      </c>
      <c r="R42" s="312">
        <f t="shared" si="1"/>
        <v>0.90935136796408877</v>
      </c>
      <c r="S42" s="59"/>
      <c r="T42" s="60"/>
      <c r="U42" s="60"/>
      <c r="V42" s="60"/>
      <c r="W42" s="60"/>
      <c r="X42" s="60"/>
      <c r="Y42" s="60"/>
      <c r="Z42" s="60"/>
      <c r="AA42" s="60"/>
      <c r="AB42" s="60"/>
      <c r="AC42" s="60"/>
    </row>
    <row r="43" spans="1:29" ht="28">
      <c r="P43" s="309" t="s">
        <v>4773</v>
      </c>
      <c r="Q43" s="312">
        <f t="shared" si="0"/>
        <v>1.6807875262382703</v>
      </c>
      <c r="R43" s="312">
        <f t="shared" si="1"/>
        <v>0.59409438986098684</v>
      </c>
      <c r="S43" s="59"/>
      <c r="T43" s="60"/>
      <c r="U43" s="60"/>
      <c r="V43" s="60"/>
      <c r="W43" s="60"/>
      <c r="X43" s="60"/>
      <c r="Y43" s="60"/>
      <c r="Z43" s="60"/>
      <c r="AA43" s="60"/>
      <c r="AB43" s="60"/>
      <c r="AC43" s="60"/>
    </row>
    <row r="44" spans="1:29" ht="28">
      <c r="A44" s="59"/>
      <c r="M44" s="59"/>
      <c r="N44" s="59"/>
      <c r="O44" s="59"/>
      <c r="P44" s="309" t="s">
        <v>4774</v>
      </c>
      <c r="Q44" s="312">
        <f t="shared" si="0"/>
        <v>1.2131524957610389</v>
      </c>
      <c r="R44" s="312">
        <f t="shared" si="1"/>
        <v>0.55392054276766167</v>
      </c>
      <c r="S44" s="60"/>
      <c r="T44" s="60"/>
      <c r="U44" s="60"/>
      <c r="V44" s="60"/>
      <c r="W44" s="60"/>
      <c r="X44" s="60"/>
      <c r="Y44" s="60"/>
      <c r="Z44" s="60"/>
      <c r="AA44" s="60"/>
      <c r="AB44" s="60"/>
      <c r="AC44" s="60"/>
    </row>
    <row r="45" spans="1:29" ht="28">
      <c r="A45" s="59"/>
      <c r="B45" s="66" t="s">
        <v>3999</v>
      </c>
      <c r="C45" s="59"/>
      <c r="D45" s="59"/>
      <c r="E45" s="59"/>
      <c r="F45" s="59"/>
      <c r="G45" s="59"/>
      <c r="H45" s="59"/>
      <c r="I45" s="59"/>
      <c r="J45" s="59"/>
      <c r="K45" s="59"/>
      <c r="L45" s="59"/>
      <c r="M45" s="59"/>
      <c r="N45" s="59"/>
      <c r="O45" s="59"/>
      <c r="P45" s="309" t="s">
        <v>4775</v>
      </c>
      <c r="Q45" s="312">
        <f t="shared" si="0"/>
        <v>1.8006920863457396</v>
      </c>
      <c r="R45" s="312">
        <f t="shared" si="1"/>
        <v>0.54004126563049115</v>
      </c>
      <c r="S45" s="60"/>
      <c r="T45" s="60"/>
      <c r="U45" s="60"/>
      <c r="V45" s="60"/>
      <c r="W45" s="60"/>
      <c r="X45" s="60"/>
      <c r="Y45" s="60"/>
      <c r="Z45" s="60"/>
      <c r="AA45" s="60"/>
      <c r="AB45" s="60"/>
      <c r="AC45" s="60"/>
    </row>
    <row r="46" spans="1:29" ht="23.4" customHeight="1">
      <c r="A46" s="59"/>
      <c r="B46" s="59"/>
      <c r="C46" s="59"/>
      <c r="D46" s="59"/>
      <c r="E46" s="59"/>
      <c r="F46" s="59"/>
      <c r="G46" s="59"/>
      <c r="H46" s="59"/>
      <c r="I46" s="59"/>
      <c r="J46" s="59"/>
      <c r="K46" s="59"/>
      <c r="L46" s="59"/>
      <c r="M46" s="59"/>
      <c r="N46" s="59"/>
      <c r="O46" s="59"/>
      <c r="P46" s="60"/>
      <c r="Q46" s="60"/>
      <c r="R46" s="60"/>
      <c r="S46" s="60"/>
      <c r="T46" s="60"/>
      <c r="U46" s="60"/>
      <c r="V46" s="60"/>
      <c r="W46" s="60"/>
      <c r="X46" s="60"/>
      <c r="Y46" s="60"/>
      <c r="Z46" s="60"/>
      <c r="AA46" s="60"/>
      <c r="AB46" s="60"/>
      <c r="AC46" s="60"/>
    </row>
    <row r="47" spans="1:29" ht="18" customHeight="1">
      <c r="A47" s="59"/>
      <c r="B47" s="59" t="s">
        <v>4000</v>
      </c>
      <c r="C47" s="302" t="s">
        <v>4001</v>
      </c>
      <c r="D47" s="301" t="s">
        <v>4778</v>
      </c>
      <c r="E47" s="59"/>
      <c r="F47" s="59"/>
      <c r="G47" s="59"/>
      <c r="H47" s="59"/>
      <c r="I47" s="59"/>
      <c r="J47" s="59"/>
      <c r="K47" s="59"/>
      <c r="L47" s="59"/>
      <c r="M47" s="59"/>
      <c r="N47" s="59"/>
      <c r="O47" s="59"/>
      <c r="P47" s="60"/>
      <c r="Q47" s="60"/>
      <c r="R47" s="60"/>
      <c r="S47" s="60"/>
      <c r="T47" s="60"/>
      <c r="U47" s="60"/>
      <c r="V47" s="60"/>
      <c r="W47" s="60"/>
      <c r="X47" s="60"/>
      <c r="Y47" s="60"/>
      <c r="Z47" s="60"/>
      <c r="AA47" s="60"/>
      <c r="AB47" s="60"/>
      <c r="AC47" s="60"/>
    </row>
    <row r="48" spans="1:29">
      <c r="A48" s="59"/>
      <c r="B48" s="380" t="s">
        <v>848</v>
      </c>
      <c r="C48" s="318">
        <f>VLOOKUP($D$4,'Calculations (All)'!B:DH,74,FALSE)</f>
        <v>113</v>
      </c>
      <c r="D48" s="318">
        <f>VLOOKUP($D$4,'Calculations (All)'!$B$4:$DB$322,88,FALSE)</f>
        <v>457.37301587301585</v>
      </c>
      <c r="E48" s="59"/>
      <c r="F48" s="59"/>
      <c r="G48" s="59"/>
      <c r="H48" s="59"/>
      <c r="I48" s="59"/>
      <c r="J48" s="59"/>
      <c r="K48" s="59"/>
      <c r="L48" s="59"/>
      <c r="M48" s="59"/>
      <c r="N48" s="59"/>
      <c r="O48" s="59"/>
      <c r="P48" s="60"/>
      <c r="Q48" s="60"/>
      <c r="R48" s="60"/>
      <c r="S48" s="59"/>
      <c r="T48" s="60"/>
      <c r="U48" s="60"/>
      <c r="V48" s="60"/>
      <c r="W48" s="60"/>
      <c r="X48" s="60"/>
      <c r="Y48" s="60"/>
      <c r="Z48" s="60"/>
      <c r="AA48" s="60"/>
      <c r="AB48" s="60"/>
      <c r="AC48" s="60"/>
    </row>
    <row r="49" spans="1:29">
      <c r="A49" s="59"/>
      <c r="B49" s="380" t="s">
        <v>849</v>
      </c>
      <c r="C49" s="318">
        <f>VLOOKUP($D$4,'Calculations (All)'!B:DH,75,FALSE)</f>
        <v>13</v>
      </c>
      <c r="D49" s="318">
        <f>VLOOKUP($D$4,'Calculations (All)'!$B$4:$DB$322,89,FALSE)</f>
        <v>457.37301587301585</v>
      </c>
      <c r="E49" s="59"/>
      <c r="F49" s="59"/>
      <c r="G49" s="59"/>
      <c r="H49" s="59"/>
      <c r="I49" s="59"/>
      <c r="J49" s="59"/>
      <c r="K49" s="59"/>
      <c r="L49" s="59"/>
      <c r="M49" s="59"/>
      <c r="N49" s="59"/>
      <c r="O49" s="59"/>
      <c r="P49" s="59"/>
      <c r="Q49" s="59"/>
      <c r="R49" s="59"/>
      <c r="S49" s="59"/>
      <c r="T49" s="60"/>
      <c r="U49" s="60"/>
      <c r="V49" s="60"/>
      <c r="W49" s="60"/>
      <c r="X49" s="60"/>
      <c r="Y49" s="60"/>
      <c r="Z49" s="60"/>
      <c r="AA49" s="60"/>
      <c r="AB49" s="60"/>
      <c r="AC49" s="60"/>
    </row>
    <row r="50" spans="1:29">
      <c r="A50" s="59"/>
      <c r="B50" s="380" t="s">
        <v>850</v>
      </c>
      <c r="C50" s="318">
        <f>VLOOKUP($D$4,'Calculations (All)'!B:DH,76,FALSE)</f>
        <v>209</v>
      </c>
      <c r="D50" s="318">
        <f>VLOOKUP($D$4,'Calculations (All)'!$B$4:$DB$322,90,FALSE)</f>
        <v>474.9417047184171</v>
      </c>
      <c r="E50" s="59"/>
      <c r="F50" s="59"/>
      <c r="G50" s="59"/>
      <c r="H50" s="59"/>
      <c r="I50" s="59"/>
      <c r="J50" s="59"/>
      <c r="K50" s="59"/>
      <c r="L50" s="59"/>
      <c r="M50" s="59"/>
      <c r="N50" s="59"/>
      <c r="O50" s="59"/>
      <c r="P50" s="59"/>
      <c r="Q50" s="59"/>
      <c r="R50" s="59"/>
      <c r="S50" s="59"/>
      <c r="T50" s="60"/>
      <c r="U50" s="60"/>
      <c r="V50" s="60"/>
      <c r="W50" s="60"/>
      <c r="X50" s="60"/>
      <c r="Y50" s="60"/>
      <c r="Z50" s="60"/>
      <c r="AA50" s="60"/>
      <c r="AB50" s="60"/>
      <c r="AC50" s="60"/>
    </row>
    <row r="51" spans="1:29">
      <c r="A51" s="59"/>
      <c r="B51" s="380" t="s">
        <v>4004</v>
      </c>
      <c r="C51" s="318">
        <f>VLOOKUP($D$4,'Calculations (All)'!B:DH,77,FALSE)</f>
        <v>111.66666666666667</v>
      </c>
      <c r="D51" s="318">
        <f>VLOOKUP($D$4,'Calculations (All)'!$B$4:$DB$322,91,FALSE)</f>
        <v>617.49758643183304</v>
      </c>
      <c r="E51" s="59"/>
      <c r="F51" s="59"/>
      <c r="G51" s="59"/>
      <c r="H51" s="59"/>
      <c r="I51" s="59"/>
      <c r="J51" s="59"/>
      <c r="K51" s="59"/>
      <c r="L51" s="59"/>
      <c r="M51" s="59"/>
      <c r="N51" s="59"/>
      <c r="O51" s="59"/>
      <c r="P51" s="59"/>
      <c r="Q51" s="59"/>
      <c r="R51" s="59"/>
      <c r="S51" s="59"/>
      <c r="T51" s="60"/>
      <c r="U51" s="60"/>
      <c r="V51" s="60"/>
      <c r="W51" s="60"/>
      <c r="X51" s="60"/>
      <c r="Y51" s="60"/>
      <c r="Z51" s="60"/>
      <c r="AA51" s="60"/>
      <c r="AB51" s="60"/>
      <c r="AC51" s="60"/>
    </row>
    <row r="52" spans="1:29">
      <c r="A52" s="59"/>
      <c r="B52" s="380" t="s">
        <v>4005</v>
      </c>
      <c r="C52" s="318">
        <f>VLOOKUP($D$4,'Calculations (All)'!B:DH,78,FALSE)</f>
        <v>111.22222222222223</v>
      </c>
      <c r="D52" s="318">
        <f>VLOOKUP($D$4,'Calculations (All)'!$B$4:$DB$322,92,FALSE)</f>
        <v>681.44996738421401</v>
      </c>
      <c r="E52" s="59"/>
      <c r="F52" s="59"/>
      <c r="G52" s="59"/>
      <c r="H52" s="59"/>
      <c r="I52" s="59"/>
      <c r="J52" s="59"/>
      <c r="K52" s="59"/>
      <c r="L52" s="59"/>
      <c r="M52" s="59"/>
      <c r="N52" s="59"/>
      <c r="O52" s="59"/>
      <c r="P52" s="59"/>
      <c r="Q52" s="59"/>
      <c r="R52" s="59"/>
      <c r="S52" s="59"/>
      <c r="T52" s="60"/>
      <c r="U52" s="60"/>
      <c r="V52" s="60"/>
      <c r="W52" s="60"/>
      <c r="X52" s="60"/>
      <c r="Y52" s="60"/>
      <c r="Z52" s="60"/>
      <c r="AA52" s="60"/>
      <c r="AB52" s="60"/>
      <c r="AC52" s="60"/>
    </row>
    <row r="53" spans="1:29">
      <c r="A53" s="59"/>
      <c r="B53" s="380" t="s">
        <v>4006</v>
      </c>
      <c r="C53" s="318">
        <f>VLOOKUP($D$4,'Calculations (All)'!B:DH,79,FALSE)</f>
        <v>143.96296296296296</v>
      </c>
      <c r="D53" s="318">
        <f>VLOOKUP($D$4,'Calculations (All)'!$B$4:$DB$322,93,FALSE)</f>
        <v>726</v>
      </c>
      <c r="E53" s="59"/>
      <c r="F53" s="59"/>
      <c r="G53" s="59"/>
      <c r="H53" s="59"/>
      <c r="I53" s="59"/>
      <c r="J53" s="59"/>
      <c r="K53" s="59"/>
      <c r="L53" s="59"/>
      <c r="M53" s="59"/>
      <c r="N53" s="59"/>
      <c r="O53" s="59"/>
      <c r="P53" s="59"/>
      <c r="Q53" s="59"/>
      <c r="R53" s="59"/>
      <c r="S53" s="59"/>
      <c r="T53" s="60"/>
      <c r="U53" s="60"/>
      <c r="V53" s="60"/>
      <c r="W53" s="60"/>
      <c r="X53" s="60"/>
      <c r="Y53" s="60"/>
      <c r="Z53" s="60"/>
      <c r="AA53" s="60"/>
      <c r="AB53" s="60"/>
      <c r="AC53" s="60"/>
    </row>
    <row r="54" spans="1:29">
      <c r="A54" s="59"/>
      <c r="B54" s="59"/>
      <c r="C54" s="59"/>
      <c r="D54" s="59"/>
      <c r="E54" s="59"/>
      <c r="F54" s="59"/>
      <c r="G54" s="59"/>
      <c r="H54" s="59"/>
      <c r="I54" s="59"/>
      <c r="J54" s="59"/>
      <c r="K54" s="59"/>
      <c r="L54" s="59"/>
      <c r="M54" s="59"/>
      <c r="N54" s="59"/>
      <c r="O54" s="59"/>
      <c r="P54" s="59"/>
      <c r="Q54" s="59"/>
      <c r="R54" s="59"/>
      <c r="S54" s="59"/>
      <c r="T54" s="60"/>
      <c r="U54" s="60"/>
      <c r="V54" s="60"/>
      <c r="W54" s="60"/>
      <c r="X54" s="60"/>
      <c r="Y54" s="60"/>
      <c r="Z54" s="60"/>
      <c r="AA54" s="60"/>
      <c r="AB54" s="60"/>
      <c r="AC54" s="60"/>
    </row>
    <row r="55" spans="1:29">
      <c r="A55" s="59"/>
      <c r="B55" s="59"/>
      <c r="C55" s="59"/>
      <c r="D55" s="59"/>
      <c r="E55" s="59"/>
      <c r="F55" s="59"/>
      <c r="G55" s="59"/>
      <c r="H55" s="59"/>
      <c r="I55" s="59"/>
      <c r="J55" s="59"/>
      <c r="K55" s="59"/>
      <c r="L55" s="59"/>
      <c r="M55" s="59"/>
      <c r="N55" s="59"/>
      <c r="O55" s="59"/>
      <c r="P55" s="59"/>
      <c r="Q55" s="59"/>
      <c r="R55" s="59"/>
      <c r="S55" s="59"/>
      <c r="T55" s="60"/>
      <c r="U55" s="60"/>
      <c r="V55" s="60"/>
      <c r="W55" s="60"/>
      <c r="X55" s="60"/>
      <c r="Y55" s="60"/>
      <c r="Z55" s="60"/>
      <c r="AA55" s="60"/>
      <c r="AB55" s="60"/>
      <c r="AC55" s="60"/>
    </row>
    <row r="56" spans="1:29">
      <c r="A56" s="59"/>
      <c r="B56" s="59"/>
      <c r="C56" s="59"/>
      <c r="D56" s="59"/>
      <c r="E56" s="59"/>
      <c r="F56" s="59"/>
      <c r="G56" s="59"/>
      <c r="H56" s="59"/>
      <c r="I56" s="59"/>
      <c r="J56" s="59"/>
      <c r="K56" s="59"/>
      <c r="L56" s="59"/>
      <c r="M56" s="59"/>
      <c r="N56" s="59"/>
      <c r="O56" s="59"/>
      <c r="P56" s="59"/>
      <c r="Q56" s="59"/>
      <c r="R56" s="59"/>
      <c r="S56" s="59"/>
      <c r="T56" s="60"/>
      <c r="U56" s="60"/>
      <c r="V56" s="60"/>
      <c r="W56" s="60"/>
      <c r="X56" s="60"/>
      <c r="Y56" s="60"/>
      <c r="Z56" s="60"/>
      <c r="AA56" s="60"/>
      <c r="AB56" s="60"/>
      <c r="AC56" s="60"/>
    </row>
    <row r="57" spans="1:29">
      <c r="A57" s="59"/>
      <c r="B57" s="59"/>
      <c r="C57" s="59"/>
      <c r="D57" s="59"/>
      <c r="E57" s="59"/>
      <c r="F57" s="59"/>
      <c r="G57" s="59"/>
      <c r="H57" s="59"/>
      <c r="I57" s="59"/>
      <c r="J57" s="59"/>
      <c r="K57" s="59"/>
      <c r="L57" s="59"/>
      <c r="M57" s="59"/>
      <c r="N57" s="59"/>
      <c r="O57" s="59"/>
      <c r="P57" s="59"/>
      <c r="Q57" s="59"/>
      <c r="R57" s="59"/>
      <c r="S57" s="59"/>
      <c r="T57" s="60"/>
      <c r="U57" s="60"/>
      <c r="V57" s="60"/>
      <c r="W57" s="60"/>
      <c r="X57" s="60"/>
      <c r="Y57" s="60"/>
      <c r="Z57" s="60"/>
      <c r="AA57" s="60"/>
      <c r="AB57" s="60"/>
      <c r="AC57" s="60"/>
    </row>
    <row r="58" spans="1:29">
      <c r="A58" s="59"/>
      <c r="B58" s="59"/>
      <c r="C58" s="59"/>
      <c r="D58" s="59"/>
      <c r="E58" s="59"/>
      <c r="F58" s="59"/>
      <c r="G58" s="59"/>
      <c r="H58" s="59"/>
      <c r="I58" s="59"/>
      <c r="J58" s="59"/>
      <c r="K58" s="59"/>
      <c r="L58" s="59"/>
      <c r="M58" s="59"/>
      <c r="N58" s="59"/>
      <c r="O58" s="59"/>
      <c r="P58" s="59"/>
      <c r="Q58" s="59"/>
      <c r="R58" s="59"/>
      <c r="S58" s="59"/>
      <c r="T58" s="60"/>
      <c r="U58" s="60"/>
      <c r="V58" s="60"/>
      <c r="W58" s="60"/>
      <c r="X58" s="60"/>
      <c r="Y58" s="60"/>
      <c r="Z58" s="60"/>
      <c r="AA58" s="60"/>
      <c r="AB58" s="60"/>
      <c r="AC58" s="60"/>
    </row>
    <row r="59" spans="1:29">
      <c r="A59" s="59"/>
      <c r="B59" s="59"/>
      <c r="C59" s="59"/>
      <c r="D59" s="59"/>
      <c r="E59" s="59"/>
      <c r="F59" s="59"/>
      <c r="G59" s="59"/>
      <c r="H59" s="59"/>
      <c r="I59" s="59"/>
      <c r="J59" s="59"/>
      <c r="K59" s="59"/>
      <c r="L59" s="59"/>
      <c r="M59" s="59"/>
      <c r="N59" s="59"/>
      <c r="O59" s="59"/>
      <c r="P59" s="59"/>
      <c r="Q59" s="59"/>
      <c r="R59" s="59"/>
      <c r="S59" s="59"/>
      <c r="T59" s="60"/>
      <c r="U59" s="60"/>
      <c r="V59" s="60"/>
      <c r="W59" s="60"/>
      <c r="X59" s="60"/>
      <c r="Y59" s="60"/>
      <c r="Z59" s="60"/>
      <c r="AA59" s="60"/>
      <c r="AB59" s="60"/>
      <c r="AC59" s="60"/>
    </row>
    <row r="60" spans="1:29">
      <c r="A60" s="59"/>
      <c r="B60" s="59"/>
      <c r="C60" s="59"/>
      <c r="D60" s="59"/>
      <c r="E60" s="59"/>
      <c r="F60" s="59"/>
      <c r="G60" s="59"/>
      <c r="H60" s="59"/>
      <c r="I60" s="59"/>
      <c r="J60" s="59"/>
      <c r="K60" s="59"/>
      <c r="L60" s="59"/>
      <c r="M60" s="59"/>
      <c r="N60" s="59"/>
      <c r="O60" s="59"/>
      <c r="P60" s="59"/>
      <c r="Q60" s="59"/>
      <c r="R60" s="59"/>
      <c r="S60" s="59"/>
      <c r="T60" s="60"/>
      <c r="U60" s="60"/>
      <c r="V60" s="60"/>
      <c r="W60" s="60"/>
      <c r="X60" s="60"/>
      <c r="Y60" s="60"/>
      <c r="Z60" s="60"/>
      <c r="AA60" s="60"/>
      <c r="AB60" s="60"/>
      <c r="AC60" s="60"/>
    </row>
    <row r="61" spans="1:29">
      <c r="A61" s="59"/>
      <c r="B61" s="59"/>
      <c r="C61" s="59"/>
      <c r="D61" s="59"/>
      <c r="E61" s="59"/>
      <c r="F61" s="59"/>
      <c r="G61" s="59"/>
      <c r="H61" s="59"/>
      <c r="I61" s="59"/>
      <c r="J61" s="59"/>
      <c r="K61" s="59"/>
      <c r="L61" s="59"/>
      <c r="M61" s="59"/>
      <c r="N61" s="59"/>
      <c r="O61" s="59"/>
      <c r="P61" s="59"/>
      <c r="Q61" s="59"/>
      <c r="R61" s="59"/>
      <c r="S61" s="59"/>
      <c r="T61" s="60"/>
      <c r="U61" s="60"/>
      <c r="V61" s="60"/>
      <c r="W61" s="60"/>
      <c r="X61" s="60"/>
      <c r="Y61" s="60"/>
      <c r="Z61" s="60"/>
      <c r="AA61" s="60"/>
      <c r="AB61" s="60"/>
      <c r="AC61" s="60"/>
    </row>
    <row r="62" spans="1:29">
      <c r="A62" s="59"/>
      <c r="B62" s="59"/>
      <c r="C62" s="59"/>
      <c r="D62" s="59"/>
      <c r="E62" s="59"/>
      <c r="F62" s="59"/>
      <c r="G62" s="59"/>
      <c r="H62" s="59"/>
      <c r="I62" s="59"/>
      <c r="J62" s="59"/>
      <c r="K62" s="59"/>
      <c r="L62" s="59"/>
      <c r="M62" s="59"/>
      <c r="N62" s="59"/>
      <c r="O62" s="59"/>
      <c r="P62" s="59"/>
      <c r="Q62" s="59"/>
      <c r="R62" s="59"/>
      <c r="S62" s="59"/>
      <c r="T62" s="60"/>
      <c r="U62" s="60"/>
      <c r="V62" s="60"/>
      <c r="W62" s="60"/>
      <c r="X62" s="60"/>
      <c r="Y62" s="60"/>
      <c r="Z62" s="60"/>
      <c r="AA62" s="60"/>
      <c r="AB62" s="60"/>
      <c r="AC62" s="60"/>
    </row>
    <row r="63" spans="1:29">
      <c r="A63" s="59"/>
      <c r="B63" s="59"/>
      <c r="C63" s="59"/>
      <c r="D63" s="59"/>
      <c r="E63" s="59"/>
      <c r="F63" s="59"/>
      <c r="G63" s="59"/>
      <c r="H63" s="59"/>
      <c r="I63" s="59"/>
      <c r="J63" s="59"/>
      <c r="K63" s="59"/>
      <c r="L63" s="59"/>
      <c r="M63" s="59"/>
      <c r="N63" s="59"/>
      <c r="O63" s="59"/>
      <c r="P63" s="59"/>
      <c r="Q63" s="59"/>
      <c r="R63" s="59"/>
      <c r="S63" s="59"/>
      <c r="T63" s="66"/>
      <c r="U63" s="60"/>
      <c r="V63" s="60"/>
      <c r="W63" s="60"/>
      <c r="X63" s="60"/>
      <c r="Y63" s="60"/>
      <c r="Z63" s="60"/>
      <c r="AA63" s="60"/>
      <c r="AB63" s="60"/>
      <c r="AC63" s="60"/>
    </row>
    <row r="64" spans="1:29">
      <c r="A64" s="59"/>
      <c r="B64" s="59"/>
      <c r="C64" s="59"/>
      <c r="D64" s="59"/>
      <c r="E64" s="59"/>
      <c r="F64" s="59"/>
      <c r="G64" s="59"/>
      <c r="H64" s="59"/>
      <c r="I64" s="59"/>
      <c r="J64" s="59"/>
      <c r="K64" s="59"/>
      <c r="L64" s="59"/>
      <c r="M64" s="59"/>
      <c r="N64" s="59"/>
      <c r="O64" s="59"/>
      <c r="P64" s="59"/>
      <c r="Q64" s="59"/>
      <c r="R64" s="59"/>
      <c r="S64" s="59"/>
      <c r="T64" s="60"/>
      <c r="U64" s="60"/>
      <c r="V64" s="60"/>
      <c r="W64" s="60"/>
      <c r="X64" s="60"/>
      <c r="Y64" s="60"/>
      <c r="Z64" s="60"/>
      <c r="AA64" s="60"/>
      <c r="AB64" s="60"/>
      <c r="AC64" s="60"/>
    </row>
    <row r="65" spans="1:29">
      <c r="A65" s="59"/>
      <c r="B65" s="59"/>
      <c r="C65" s="59"/>
      <c r="D65" s="59"/>
      <c r="E65" s="59"/>
      <c r="F65" s="59"/>
      <c r="G65" s="59"/>
      <c r="H65" s="59"/>
      <c r="I65" s="59"/>
      <c r="J65" s="59"/>
      <c r="K65" s="59"/>
      <c r="L65" s="59"/>
      <c r="M65" s="59"/>
      <c r="N65" s="59"/>
      <c r="O65" s="59"/>
      <c r="P65" s="59"/>
      <c r="Q65" s="59"/>
      <c r="R65" s="59"/>
      <c r="S65" s="59"/>
      <c r="T65" s="60"/>
      <c r="U65" s="60"/>
      <c r="V65" s="60"/>
      <c r="W65" s="60"/>
      <c r="X65" s="60"/>
      <c r="Y65" s="60"/>
      <c r="Z65" s="60"/>
      <c r="AA65" s="60"/>
      <c r="AB65" s="60"/>
      <c r="AC65" s="60"/>
    </row>
    <row r="66" spans="1:29">
      <c r="A66" s="59"/>
      <c r="B66" s="59"/>
      <c r="C66" s="59"/>
      <c r="D66" s="59"/>
      <c r="E66" s="59"/>
      <c r="F66" s="59"/>
      <c r="G66" s="59"/>
      <c r="H66" s="59"/>
      <c r="I66" s="59"/>
      <c r="J66" s="59"/>
      <c r="K66" s="59"/>
      <c r="L66" s="59"/>
      <c r="M66" s="59"/>
      <c r="N66" s="59"/>
      <c r="O66" s="59"/>
      <c r="P66" s="59"/>
      <c r="Q66" s="59"/>
      <c r="R66" s="59"/>
      <c r="S66" s="59"/>
      <c r="T66" s="60"/>
      <c r="U66" s="60"/>
      <c r="V66" s="60"/>
      <c r="W66" s="60"/>
      <c r="X66" s="60"/>
      <c r="Y66" s="60"/>
      <c r="Z66" s="60"/>
      <c r="AA66" s="60"/>
      <c r="AB66" s="60"/>
      <c r="AC66" s="60"/>
    </row>
    <row r="67" spans="1:29">
      <c r="A67" s="59"/>
      <c r="B67" s="59"/>
      <c r="C67" s="59"/>
      <c r="D67" s="59"/>
      <c r="E67" s="59"/>
      <c r="F67" s="59"/>
      <c r="G67" s="59"/>
      <c r="H67" s="59"/>
      <c r="I67" s="59"/>
      <c r="J67" s="59"/>
      <c r="K67" s="59"/>
      <c r="L67" s="59"/>
      <c r="M67" s="59"/>
      <c r="N67" s="59"/>
      <c r="O67" s="59"/>
      <c r="S67" s="59"/>
      <c r="T67" s="60"/>
      <c r="U67" s="60"/>
      <c r="V67" s="60"/>
      <c r="W67" s="60"/>
      <c r="X67" s="60"/>
      <c r="Y67" s="60"/>
      <c r="Z67" s="60"/>
      <c r="AA67" s="60"/>
      <c r="AB67" s="60"/>
      <c r="AC67" s="60"/>
    </row>
    <row r="68" spans="1:29">
      <c r="A68" s="59"/>
      <c r="B68" s="59"/>
      <c r="C68" s="59"/>
      <c r="D68" s="59"/>
      <c r="E68" s="59"/>
      <c r="F68" s="59"/>
      <c r="G68" s="59"/>
      <c r="H68" s="59"/>
      <c r="I68" s="59"/>
      <c r="J68" s="59"/>
      <c r="K68" s="59"/>
      <c r="L68" s="59"/>
      <c r="M68" s="59"/>
      <c r="N68" s="59"/>
      <c r="O68" s="59"/>
      <c r="S68" s="59"/>
      <c r="T68" s="60"/>
      <c r="U68" s="60"/>
      <c r="V68" s="60"/>
      <c r="W68" s="60"/>
      <c r="X68" s="60"/>
      <c r="Y68" s="60"/>
      <c r="Z68" s="60"/>
      <c r="AA68" s="60"/>
      <c r="AB68" s="60"/>
      <c r="AC68" s="60"/>
    </row>
    <row r="69" spans="1:29">
      <c r="A69" s="59"/>
      <c r="B69" s="59"/>
      <c r="C69" s="59"/>
      <c r="D69" s="59"/>
      <c r="E69" s="59"/>
      <c r="F69" s="59"/>
      <c r="G69" s="59"/>
      <c r="H69" s="59"/>
      <c r="I69" s="59"/>
      <c r="J69" s="59"/>
      <c r="K69" s="59"/>
      <c r="L69" s="59"/>
      <c r="M69" s="59"/>
      <c r="N69" s="59"/>
      <c r="O69" s="59"/>
      <c r="S69" s="59"/>
      <c r="T69" s="60"/>
      <c r="U69" s="60"/>
      <c r="V69" s="60"/>
      <c r="W69" s="60"/>
      <c r="X69" s="60"/>
      <c r="Y69" s="60"/>
      <c r="Z69" s="60"/>
      <c r="AA69" s="60"/>
      <c r="AB69" s="60"/>
      <c r="AC69" s="60"/>
    </row>
    <row r="70" spans="1:29">
      <c r="A70" s="59"/>
      <c r="B70" s="59"/>
      <c r="C70" s="59"/>
      <c r="D70" s="59"/>
      <c r="E70" s="59"/>
      <c r="F70" s="59"/>
      <c r="G70" s="59"/>
      <c r="H70" s="59"/>
      <c r="I70" s="59"/>
      <c r="J70" s="59"/>
      <c r="K70" s="59"/>
      <c r="L70" s="59"/>
      <c r="M70" s="59"/>
      <c r="N70" s="59"/>
      <c r="O70" s="59"/>
      <c r="S70" s="59"/>
      <c r="T70" s="60"/>
      <c r="U70" s="60"/>
      <c r="V70" s="60"/>
      <c r="W70" s="60"/>
      <c r="X70" s="60"/>
      <c r="Y70" s="60"/>
      <c r="Z70" s="60"/>
      <c r="AA70" s="60"/>
      <c r="AB70" s="60"/>
      <c r="AC70" s="60"/>
    </row>
    <row r="71" spans="1:29">
      <c r="A71" s="59"/>
      <c r="B71" s="59"/>
      <c r="C71" s="59"/>
      <c r="D71" s="59"/>
      <c r="E71" s="59"/>
      <c r="F71" s="59"/>
      <c r="G71" s="59"/>
      <c r="H71" s="59"/>
      <c r="I71" s="59"/>
      <c r="J71" s="59"/>
      <c r="K71" s="59"/>
      <c r="L71" s="59"/>
      <c r="M71" s="59"/>
      <c r="N71" s="59"/>
      <c r="O71" s="59"/>
      <c r="P71" s="59"/>
      <c r="Q71" s="59"/>
      <c r="R71" s="59"/>
      <c r="S71" s="59"/>
      <c r="T71" s="60"/>
      <c r="U71" s="60"/>
      <c r="V71" s="60"/>
      <c r="W71" s="60"/>
      <c r="X71" s="60"/>
      <c r="Y71" s="60"/>
      <c r="Z71" s="60"/>
      <c r="AA71" s="60"/>
      <c r="AB71" s="60"/>
      <c r="AC71" s="60"/>
    </row>
    <row r="72" spans="1:29">
      <c r="A72" s="59"/>
      <c r="B72" s="59"/>
      <c r="C72" s="59"/>
      <c r="D72" s="59"/>
      <c r="E72" s="59"/>
      <c r="F72" s="59"/>
      <c r="G72" s="59"/>
      <c r="H72" s="59"/>
      <c r="I72" s="59"/>
      <c r="J72" s="59"/>
      <c r="K72" s="59"/>
      <c r="L72" s="59"/>
      <c r="M72" s="59"/>
      <c r="N72" s="59"/>
      <c r="O72" s="59"/>
      <c r="P72" s="59"/>
      <c r="Q72" s="59"/>
      <c r="R72" s="59"/>
      <c r="S72" s="59"/>
      <c r="T72" s="60"/>
      <c r="U72" s="60"/>
      <c r="V72" s="60"/>
      <c r="W72" s="60"/>
      <c r="X72" s="60"/>
      <c r="Y72" s="60"/>
      <c r="Z72" s="60"/>
      <c r="AA72" s="60"/>
      <c r="AB72" s="60"/>
      <c r="AC72" s="60"/>
    </row>
    <row r="73" spans="1:29">
      <c r="A73" s="59"/>
      <c r="B73" s="59"/>
      <c r="C73" s="59"/>
      <c r="D73" s="59"/>
      <c r="E73" s="59"/>
      <c r="F73" s="59"/>
      <c r="G73" s="59"/>
      <c r="H73" s="59"/>
      <c r="I73" s="59"/>
      <c r="J73" s="59"/>
      <c r="K73" s="59"/>
      <c r="L73" s="59"/>
      <c r="M73" s="59"/>
      <c r="N73" s="59"/>
      <c r="O73" s="59"/>
      <c r="P73" s="59"/>
      <c r="Q73" s="59"/>
      <c r="R73" s="59"/>
      <c r="S73" s="59"/>
      <c r="T73" s="60"/>
      <c r="U73" s="60"/>
      <c r="V73" s="60"/>
      <c r="W73" s="60"/>
      <c r="X73" s="60"/>
      <c r="Y73" s="60"/>
      <c r="Z73" s="60"/>
      <c r="AA73" s="60"/>
      <c r="AB73" s="60"/>
      <c r="AC73" s="60"/>
    </row>
    <row r="74" spans="1:29">
      <c r="A74" s="59"/>
      <c r="B74" s="59"/>
      <c r="C74" s="59"/>
      <c r="D74" s="59"/>
      <c r="E74" s="59"/>
      <c r="F74" s="59"/>
      <c r="G74" s="59"/>
      <c r="H74" s="59"/>
      <c r="I74" s="59"/>
      <c r="J74" s="59"/>
      <c r="K74" s="59"/>
      <c r="L74" s="59"/>
      <c r="M74" s="59"/>
      <c r="N74" s="59"/>
      <c r="O74" s="59"/>
      <c r="P74" s="59"/>
      <c r="Q74" s="59"/>
      <c r="R74" s="59"/>
      <c r="S74" s="59"/>
      <c r="T74" s="60"/>
      <c r="U74" s="60"/>
      <c r="V74" s="60"/>
      <c r="W74" s="60"/>
      <c r="X74" s="60"/>
      <c r="Y74" s="60"/>
      <c r="Z74" s="60"/>
      <c r="AA74" s="60"/>
      <c r="AB74" s="60"/>
      <c r="AC74" s="60"/>
    </row>
    <row r="75" spans="1:29">
      <c r="A75" s="59"/>
      <c r="B75" s="59"/>
      <c r="C75" s="59"/>
      <c r="D75" s="59"/>
      <c r="E75" s="59"/>
      <c r="F75" s="59"/>
      <c r="G75" s="59"/>
      <c r="H75" s="59"/>
      <c r="I75" s="59"/>
      <c r="J75" s="59"/>
      <c r="K75" s="59"/>
      <c r="L75" s="59"/>
      <c r="M75" s="59"/>
      <c r="N75" s="59"/>
      <c r="O75" s="59"/>
      <c r="P75" s="59"/>
      <c r="Q75" s="59"/>
      <c r="R75" s="59"/>
      <c r="S75" s="59"/>
      <c r="T75" s="60"/>
      <c r="U75" s="60"/>
      <c r="V75" s="60"/>
      <c r="W75" s="60"/>
      <c r="X75" s="60"/>
      <c r="Y75" s="60"/>
      <c r="Z75" s="60"/>
      <c r="AA75" s="60"/>
      <c r="AB75" s="60"/>
      <c r="AC75" s="60"/>
    </row>
    <row r="76" spans="1:29">
      <c r="A76" s="59"/>
      <c r="B76" s="59"/>
      <c r="C76" s="59"/>
      <c r="D76" s="59"/>
      <c r="E76" s="59"/>
      <c r="F76" s="59"/>
      <c r="G76" s="59"/>
      <c r="H76" s="59"/>
      <c r="I76" s="59"/>
      <c r="J76" s="59"/>
      <c r="K76" s="59"/>
      <c r="L76" s="59"/>
      <c r="M76" s="59"/>
      <c r="N76" s="59"/>
      <c r="O76" s="59"/>
      <c r="P76" s="59"/>
      <c r="Q76" s="59"/>
      <c r="R76" s="59"/>
      <c r="S76" s="59"/>
      <c r="T76" s="60"/>
      <c r="U76" s="60"/>
      <c r="V76" s="60"/>
      <c r="W76" s="60"/>
      <c r="X76" s="60"/>
      <c r="Y76" s="60"/>
      <c r="Z76" s="60"/>
      <c r="AA76" s="60"/>
      <c r="AB76" s="60"/>
      <c r="AC76" s="60"/>
    </row>
    <row r="77" spans="1:29">
      <c r="A77" s="59"/>
      <c r="B77" s="59"/>
      <c r="C77" s="59"/>
      <c r="D77" s="59"/>
      <c r="E77" s="59"/>
      <c r="F77" s="59"/>
      <c r="G77" s="59"/>
      <c r="H77" s="59"/>
      <c r="I77" s="59"/>
      <c r="J77" s="59"/>
      <c r="K77" s="59"/>
      <c r="L77" s="59"/>
      <c r="M77" s="59"/>
      <c r="N77" s="59"/>
      <c r="O77" s="59"/>
      <c r="P77" s="59"/>
      <c r="Q77" s="59"/>
      <c r="R77" s="59"/>
      <c r="S77" s="59"/>
      <c r="T77" s="60"/>
      <c r="U77" s="60"/>
      <c r="V77" s="60"/>
      <c r="W77" s="60"/>
      <c r="X77" s="60"/>
      <c r="Y77" s="60"/>
      <c r="Z77" s="60"/>
      <c r="AA77" s="60"/>
      <c r="AB77" s="60"/>
      <c r="AC77" s="60"/>
    </row>
    <row r="78" spans="1:29">
      <c r="A78" s="59"/>
      <c r="B78" s="59"/>
      <c r="C78" s="59"/>
      <c r="D78" s="59"/>
      <c r="E78" s="59"/>
      <c r="F78" s="59"/>
      <c r="G78" s="59"/>
      <c r="H78" s="59"/>
      <c r="I78" s="59"/>
      <c r="J78" s="59"/>
      <c r="K78" s="59"/>
      <c r="L78" s="59"/>
      <c r="M78" s="59"/>
      <c r="N78" s="59"/>
      <c r="O78" s="59"/>
      <c r="P78" s="59"/>
      <c r="Q78" s="59"/>
      <c r="R78" s="59"/>
      <c r="S78" s="59"/>
      <c r="T78" s="60"/>
      <c r="U78" s="60"/>
      <c r="V78" s="60"/>
      <c r="W78" s="60"/>
      <c r="X78" s="60"/>
      <c r="Y78" s="60"/>
      <c r="Z78" s="60"/>
      <c r="AA78" s="60"/>
      <c r="AB78" s="60"/>
      <c r="AC78" s="60"/>
    </row>
    <row r="79" spans="1:29">
      <c r="A79" s="59"/>
      <c r="B79" s="59"/>
      <c r="C79" s="59"/>
      <c r="D79" s="59"/>
      <c r="E79" s="59"/>
      <c r="F79" s="59"/>
      <c r="G79" s="59"/>
      <c r="H79" s="59"/>
      <c r="I79" s="59"/>
      <c r="J79" s="59"/>
      <c r="K79" s="59"/>
      <c r="L79" s="59"/>
      <c r="M79" s="59"/>
      <c r="N79" s="59"/>
      <c r="O79" s="59"/>
      <c r="P79" s="59"/>
      <c r="Q79" s="59"/>
      <c r="R79" s="59"/>
      <c r="S79" s="59"/>
      <c r="T79" s="60"/>
      <c r="U79" s="60"/>
      <c r="V79" s="60"/>
      <c r="W79" s="60"/>
      <c r="X79" s="60"/>
      <c r="Y79" s="60"/>
      <c r="Z79" s="60"/>
      <c r="AA79" s="60"/>
      <c r="AB79" s="60"/>
      <c r="AC79" s="60"/>
    </row>
    <row r="80" spans="1:29">
      <c r="A80" s="59"/>
      <c r="B80" s="59"/>
      <c r="C80" s="59"/>
      <c r="D80" s="59"/>
      <c r="E80" s="59"/>
      <c r="F80" s="59"/>
      <c r="G80" s="59"/>
      <c r="H80" s="59"/>
      <c r="I80" s="59"/>
      <c r="J80" s="59"/>
      <c r="K80" s="59"/>
      <c r="L80" s="59"/>
      <c r="M80" s="59"/>
      <c r="N80" s="59"/>
      <c r="O80" s="59"/>
      <c r="P80" s="59"/>
      <c r="Q80" s="59"/>
      <c r="R80" s="59"/>
      <c r="S80" s="59"/>
      <c r="T80" s="60"/>
      <c r="U80" s="60"/>
      <c r="V80" s="60"/>
      <c r="W80" s="60"/>
      <c r="X80" s="60"/>
      <c r="Y80" s="60"/>
      <c r="Z80" s="60"/>
      <c r="AA80" s="60"/>
      <c r="AB80" s="60"/>
      <c r="AC80" s="60"/>
    </row>
    <row r="81" spans="1:29">
      <c r="A81" s="59"/>
      <c r="B81" s="59"/>
      <c r="C81" s="59"/>
      <c r="D81" s="59"/>
      <c r="E81" s="59"/>
      <c r="F81" s="59"/>
      <c r="G81" s="59"/>
      <c r="H81" s="59"/>
      <c r="I81" s="59"/>
      <c r="J81" s="59"/>
      <c r="K81" s="59"/>
      <c r="L81" s="59"/>
      <c r="M81" s="59"/>
      <c r="N81" s="59"/>
      <c r="O81" s="59"/>
      <c r="P81" s="59"/>
      <c r="Q81" s="59"/>
      <c r="R81" s="59"/>
      <c r="S81" s="59"/>
      <c r="T81" s="60"/>
      <c r="U81" s="60"/>
      <c r="V81" s="60"/>
      <c r="W81" s="60"/>
      <c r="X81" s="60"/>
      <c r="Y81" s="60"/>
      <c r="Z81" s="60"/>
      <c r="AA81" s="60"/>
      <c r="AB81" s="60"/>
      <c r="AC81" s="60"/>
    </row>
    <row r="82" spans="1:29">
      <c r="A82" s="59"/>
      <c r="B82" s="59"/>
      <c r="C82" s="59"/>
      <c r="D82" s="59"/>
      <c r="E82" s="59"/>
      <c r="F82" s="59"/>
      <c r="G82" s="59"/>
      <c r="H82" s="59"/>
      <c r="I82" s="59"/>
      <c r="J82" s="59"/>
      <c r="K82" s="59"/>
      <c r="L82" s="59"/>
      <c r="M82" s="59"/>
      <c r="N82" s="59"/>
      <c r="O82" s="59"/>
      <c r="P82" s="59"/>
      <c r="Q82" s="59"/>
      <c r="R82" s="59"/>
      <c r="S82" s="59"/>
      <c r="T82" s="60"/>
      <c r="U82" s="60"/>
      <c r="V82" s="60"/>
      <c r="W82" s="60"/>
      <c r="X82" s="60"/>
      <c r="Y82" s="60"/>
      <c r="Z82" s="60"/>
      <c r="AA82" s="60"/>
      <c r="AB82" s="60"/>
      <c r="AC82" s="60"/>
    </row>
    <row r="83" spans="1:29">
      <c r="A83" s="59"/>
      <c r="B83" s="59"/>
      <c r="C83" s="59"/>
      <c r="D83" s="59"/>
      <c r="E83" s="59"/>
      <c r="F83" s="59"/>
      <c r="G83" s="59"/>
      <c r="H83" s="59"/>
      <c r="I83" s="59"/>
      <c r="J83" s="59"/>
      <c r="K83" s="59"/>
      <c r="L83" s="59"/>
      <c r="M83" s="59"/>
      <c r="N83" s="59"/>
      <c r="O83" s="59"/>
      <c r="P83" s="59"/>
      <c r="Q83" s="59"/>
      <c r="R83" s="59"/>
      <c r="S83" s="59"/>
      <c r="T83" s="60"/>
      <c r="U83" s="60"/>
      <c r="V83" s="60"/>
      <c r="W83" s="60"/>
      <c r="X83" s="60"/>
      <c r="Y83" s="60"/>
      <c r="Z83" s="60"/>
      <c r="AA83" s="60"/>
      <c r="AB83" s="60"/>
      <c r="AC83" s="60"/>
    </row>
    <row r="84" spans="1:29">
      <c r="A84" s="59"/>
      <c r="M84" s="59"/>
      <c r="N84" s="59"/>
      <c r="O84" s="59"/>
      <c r="P84" s="59"/>
      <c r="Q84" s="59"/>
      <c r="R84" s="59"/>
      <c r="S84" s="59"/>
      <c r="T84" s="60"/>
      <c r="U84" s="60"/>
      <c r="V84" s="60"/>
      <c r="W84" s="60"/>
      <c r="X84" s="60"/>
      <c r="Y84" s="60"/>
      <c r="Z84" s="60"/>
      <c r="AA84" s="60"/>
      <c r="AB84" s="60"/>
      <c r="AC84" s="60"/>
    </row>
    <row r="85" spans="1:29">
      <c r="A85" s="59"/>
      <c r="M85" s="59"/>
      <c r="N85" s="59"/>
      <c r="O85" s="59"/>
      <c r="P85" s="59"/>
      <c r="Q85" s="59"/>
      <c r="R85" s="59"/>
      <c r="S85" s="59"/>
      <c r="T85" s="60"/>
      <c r="U85" s="60"/>
      <c r="V85" s="60"/>
      <c r="W85" s="60"/>
      <c r="X85" s="60"/>
      <c r="Y85" s="60"/>
      <c r="Z85" s="60"/>
      <c r="AA85" s="60"/>
      <c r="AB85" s="60"/>
      <c r="AC85" s="60"/>
    </row>
    <row r="86" spans="1:29">
      <c r="A86" s="59"/>
      <c r="M86" s="59"/>
      <c r="N86" s="59"/>
      <c r="O86" s="59"/>
      <c r="P86" s="59"/>
      <c r="Q86" s="59"/>
      <c r="R86" s="59"/>
      <c r="S86" s="59"/>
      <c r="T86" s="60"/>
      <c r="U86" s="60"/>
      <c r="V86" s="60"/>
      <c r="W86" s="60"/>
      <c r="X86" s="60"/>
      <c r="Y86" s="60"/>
      <c r="Z86" s="60"/>
      <c r="AA86" s="60"/>
      <c r="AB86" s="60"/>
      <c r="AC86" s="60"/>
    </row>
    <row r="87" spans="1:29">
      <c r="A87" s="59"/>
      <c r="B87" s="66" t="s">
        <v>4008</v>
      </c>
      <c r="C87" s="59"/>
      <c r="D87" s="59"/>
      <c r="E87" s="59"/>
      <c r="F87" s="59"/>
      <c r="G87" s="59"/>
      <c r="H87" s="59"/>
      <c r="I87" s="59"/>
      <c r="J87" s="59"/>
      <c r="K87" s="59"/>
      <c r="M87" s="59"/>
      <c r="N87" s="59"/>
      <c r="O87" s="59"/>
      <c r="P87" s="59"/>
      <c r="Q87" s="59"/>
      <c r="R87" s="59"/>
      <c r="S87" s="59"/>
      <c r="T87" s="60"/>
      <c r="U87" s="60"/>
      <c r="V87" s="60"/>
      <c r="W87" s="60"/>
      <c r="X87" s="60"/>
      <c r="Y87" s="60"/>
      <c r="Z87" s="60"/>
      <c r="AA87" s="60"/>
      <c r="AB87" s="60"/>
      <c r="AC87" s="60"/>
    </row>
    <row r="88" spans="1:29">
      <c r="A88" s="59"/>
      <c r="B88" s="59"/>
      <c r="C88" s="59"/>
      <c r="D88" s="59"/>
      <c r="E88" s="59"/>
      <c r="F88" s="59"/>
      <c r="G88" s="59"/>
      <c r="H88" s="59"/>
      <c r="I88" s="59"/>
      <c r="J88" s="59"/>
      <c r="K88" s="59"/>
      <c r="M88" s="59"/>
      <c r="N88" s="59"/>
      <c r="O88" s="59"/>
      <c r="P88" s="59"/>
      <c r="Q88" s="59"/>
      <c r="R88" s="59"/>
      <c r="S88" s="59"/>
      <c r="T88" s="60"/>
      <c r="U88" s="60"/>
      <c r="V88" s="60"/>
      <c r="W88" s="60"/>
      <c r="X88" s="60"/>
      <c r="Y88" s="60"/>
      <c r="Z88" s="60"/>
      <c r="AA88" s="60"/>
      <c r="AB88" s="60"/>
      <c r="AC88" s="60"/>
    </row>
    <row r="89" spans="1:29">
      <c r="A89" s="59"/>
      <c r="B89" s="59" t="s">
        <v>4002</v>
      </c>
      <c r="C89" s="59" t="s">
        <v>848</v>
      </c>
      <c r="D89" s="59" t="s">
        <v>849</v>
      </c>
      <c r="E89" s="59" t="s">
        <v>850</v>
      </c>
      <c r="F89" s="59" t="s">
        <v>4003</v>
      </c>
      <c r="G89" s="59" t="s">
        <v>4004</v>
      </c>
      <c r="H89" s="59" t="s">
        <v>4005</v>
      </c>
      <c r="I89" s="59" t="s">
        <v>4006</v>
      </c>
      <c r="J89" s="59" t="s">
        <v>4007</v>
      </c>
      <c r="K89" s="59"/>
      <c r="L89" s="59"/>
      <c r="M89" s="59"/>
      <c r="N89" s="59"/>
      <c r="O89" s="59"/>
      <c r="P89" s="59"/>
      <c r="Q89" s="59"/>
      <c r="R89" s="59"/>
      <c r="S89" s="59"/>
      <c r="T89" s="60"/>
      <c r="U89" s="60"/>
      <c r="V89" s="60"/>
      <c r="W89" s="60"/>
      <c r="X89" s="60"/>
      <c r="Y89" s="60"/>
      <c r="Z89" s="60"/>
      <c r="AA89" s="60"/>
      <c r="AB89" s="60"/>
      <c r="AC89" s="60"/>
    </row>
    <row r="90" spans="1:29">
      <c r="A90" s="59"/>
      <c r="B90" s="319" t="s">
        <v>763</v>
      </c>
      <c r="C90" s="318">
        <f>VLOOKUP($D$4,'Calculations (All)'!$B$4:$DB$322,10,FALSE)</f>
        <v>177.04761904761904</v>
      </c>
      <c r="D90" s="318">
        <f>VLOOKUP($D$4,'Calculations (All)'!$B$4:$DB$322,11,FALSE)</f>
        <v>177.04761904761904</v>
      </c>
      <c r="E90" s="318">
        <f>VLOOKUP($D$4,'Calculations (All)'!$B$4:$DB$322,12,FALSE)</f>
        <v>177.04761904761904</v>
      </c>
      <c r="F90" s="318">
        <f>VLOOKUP($D$4,'Calculations (All)'!$B$4:$DB$322,13,FALSE)</f>
        <v>177.04761904761904</v>
      </c>
      <c r="G90" s="318">
        <f>VLOOKUP($D$4,'Calculations (All)'!$B$4:$DB$322,14,FALSE)</f>
        <v>177.04761904761904</v>
      </c>
      <c r="H90" s="318" t="str">
        <f>VLOOKUP($D$4,'Calculations (All)'!$B$4:$DB$322,15,FALSE)</f>
        <v>-</v>
      </c>
      <c r="I90" s="318" t="str">
        <f>VLOOKUP($D$4,'Calculations (All)'!$B$4:$DB$322,16,FALSE)</f>
        <v>-</v>
      </c>
      <c r="J90" s="318" t="str">
        <f>VLOOKUP($D$4,'Calculations (All)'!$B$4:$DB$322,17,FALSE)</f>
        <v>-</v>
      </c>
      <c r="K90" s="59"/>
      <c r="L90" s="59"/>
      <c r="M90" s="59"/>
      <c r="N90" s="59"/>
      <c r="O90" s="59"/>
      <c r="P90" s="59"/>
      <c r="Q90" s="59"/>
      <c r="R90" s="59"/>
      <c r="S90" s="59"/>
      <c r="T90" s="60"/>
      <c r="U90" s="60"/>
      <c r="V90" s="60"/>
      <c r="W90" s="60"/>
      <c r="X90" s="60"/>
      <c r="Y90" s="60"/>
      <c r="Z90" s="60"/>
      <c r="AA90" s="60"/>
      <c r="AB90" s="60"/>
      <c r="AC90" s="60"/>
    </row>
    <row r="91" spans="1:29">
      <c r="A91" s="59"/>
      <c r="B91" s="320" t="s">
        <v>4750</v>
      </c>
      <c r="C91" s="318">
        <f>VLOOKUP($D$4,'Calculations (All)'!$B$4:$DB$322,66,FALSE)</f>
        <v>177.04761904761904</v>
      </c>
      <c r="D91" s="318">
        <f>VLOOKUP($D$4,'Calculations (All)'!$B$4:$DB$322,67,FALSE)</f>
        <v>177.04761904761904</v>
      </c>
      <c r="E91" s="318">
        <f>VLOOKUP($D$4,'Calculations (All)'!$B$4:$DB$322,68,FALSE)</f>
        <v>177.04761904761904</v>
      </c>
      <c r="F91" s="318">
        <f>VLOOKUP($D$4,'Calculations (All)'!$B$4:$DB$322,69,FALSE)</f>
        <v>177.04761904761904</v>
      </c>
      <c r="G91" s="318">
        <f>VLOOKUP($D$4,'Calculations (All)'!$B$4:$DB$322,70,FALSE)</f>
        <v>197.44996738421395</v>
      </c>
      <c r="H91" s="318">
        <f>VLOOKUP($D$4,'Calculations (All)'!$B$4:$DB$322,71,FALSE)</f>
        <v>243</v>
      </c>
      <c r="I91" s="318">
        <f>VLOOKUP($D$4,'Calculations (All)'!$B$4:$DB$322,72,FALSE)</f>
        <v>241</v>
      </c>
      <c r="J91" s="318">
        <f>VLOOKUP($D$4,'Calculations (All)'!$B$4:$DB$322,73,FALSE)</f>
        <v>242</v>
      </c>
      <c r="K91" s="59"/>
      <c r="L91" s="59"/>
      <c r="M91" s="59"/>
      <c r="N91" s="59"/>
      <c r="O91" s="59"/>
      <c r="P91" s="59"/>
      <c r="Q91" s="59"/>
      <c r="R91" s="59"/>
      <c r="S91" s="59"/>
      <c r="T91" s="60"/>
      <c r="U91" s="60"/>
      <c r="V91" s="60"/>
      <c r="W91" s="60"/>
      <c r="X91" s="60"/>
      <c r="Y91" s="60"/>
      <c r="Z91" s="60"/>
      <c r="AA91" s="60"/>
      <c r="AB91" s="60"/>
      <c r="AC91" s="60"/>
    </row>
    <row r="92" spans="1:29">
      <c r="A92" s="59"/>
      <c r="B92" s="82"/>
      <c r="C92" s="59"/>
      <c r="D92" s="59"/>
      <c r="E92" s="59"/>
      <c r="F92" s="59"/>
      <c r="G92" s="59"/>
      <c r="H92" s="59"/>
      <c r="I92" s="59"/>
      <c r="J92" s="59"/>
      <c r="K92" s="59"/>
      <c r="L92" s="59"/>
      <c r="M92" s="59"/>
      <c r="N92" s="59"/>
      <c r="O92" s="59"/>
      <c r="P92" s="59"/>
      <c r="Q92" s="59"/>
      <c r="R92" s="59"/>
      <c r="S92" s="59"/>
      <c r="T92" s="60"/>
      <c r="U92" s="60"/>
      <c r="V92" s="60"/>
      <c r="W92" s="60"/>
      <c r="X92" s="60"/>
      <c r="Y92" s="60"/>
      <c r="Z92" s="60"/>
      <c r="AA92" s="60"/>
      <c r="AB92" s="60"/>
      <c r="AC92" s="60"/>
    </row>
    <row r="93" spans="1:29">
      <c r="A93" s="59"/>
      <c r="B93" s="59"/>
      <c r="C93" s="59"/>
      <c r="D93" s="59"/>
      <c r="E93" s="59"/>
      <c r="F93" s="59"/>
      <c r="G93" s="59"/>
      <c r="H93" s="59"/>
      <c r="I93" s="59"/>
      <c r="J93" s="59"/>
      <c r="K93" s="59"/>
      <c r="L93" s="59"/>
      <c r="M93" s="59"/>
      <c r="N93" s="59"/>
      <c r="O93" s="59"/>
      <c r="P93" s="59"/>
      <c r="Q93" s="59"/>
      <c r="R93" s="59"/>
      <c r="S93" s="59"/>
      <c r="T93" s="60"/>
      <c r="U93" s="60"/>
      <c r="V93" s="60"/>
      <c r="W93" s="60"/>
      <c r="X93" s="60"/>
      <c r="Y93" s="60"/>
      <c r="Z93" s="60"/>
      <c r="AA93" s="60"/>
      <c r="AB93" s="60"/>
      <c r="AC93" s="60"/>
    </row>
    <row r="94" spans="1:29">
      <c r="A94" s="59"/>
      <c r="B94" s="59"/>
      <c r="C94" s="59"/>
      <c r="D94" s="59"/>
      <c r="E94" s="59"/>
      <c r="F94" s="59"/>
      <c r="G94" s="59"/>
      <c r="H94" s="59"/>
      <c r="I94" s="59"/>
      <c r="J94" s="59"/>
      <c r="K94" s="59"/>
      <c r="L94" s="59"/>
      <c r="M94" s="59"/>
      <c r="N94" s="59"/>
      <c r="O94" s="59"/>
      <c r="P94" s="59"/>
      <c r="Q94" s="59"/>
      <c r="R94" s="59"/>
      <c r="S94" s="59"/>
      <c r="T94" s="60"/>
      <c r="U94" s="60"/>
      <c r="V94" s="60"/>
      <c r="W94" s="60"/>
      <c r="X94" s="60"/>
      <c r="Y94" s="60"/>
      <c r="Z94" s="60"/>
      <c r="AA94" s="60"/>
      <c r="AB94" s="60"/>
      <c r="AC94" s="60"/>
    </row>
    <row r="95" spans="1:29">
      <c r="A95" s="59"/>
      <c r="B95" s="59"/>
      <c r="C95" s="59"/>
      <c r="D95" s="59"/>
      <c r="E95" s="59"/>
      <c r="F95" s="59"/>
      <c r="G95" s="59"/>
      <c r="H95" s="59"/>
      <c r="I95" s="59"/>
      <c r="J95" s="59"/>
      <c r="K95" s="59"/>
      <c r="L95" s="59"/>
      <c r="M95" s="59"/>
      <c r="N95" s="59"/>
      <c r="O95" s="59"/>
      <c r="P95" s="59"/>
      <c r="Q95" s="59"/>
      <c r="R95" s="59"/>
      <c r="S95" s="59"/>
      <c r="T95" s="60"/>
      <c r="U95" s="60"/>
      <c r="V95" s="60"/>
      <c r="W95" s="60"/>
      <c r="X95" s="60"/>
      <c r="Y95" s="60"/>
      <c r="Z95" s="60"/>
      <c r="AA95" s="60"/>
      <c r="AB95" s="60"/>
      <c r="AC95" s="60"/>
    </row>
    <row r="96" spans="1:29">
      <c r="A96" s="59"/>
      <c r="B96" s="59"/>
      <c r="C96" s="59"/>
      <c r="D96" s="59"/>
      <c r="E96" s="59"/>
      <c r="F96" s="59"/>
      <c r="G96" s="59"/>
      <c r="H96" s="59"/>
      <c r="I96" s="59"/>
      <c r="J96" s="59"/>
      <c r="K96" s="59"/>
      <c r="L96" s="59"/>
      <c r="M96" s="59"/>
      <c r="N96" s="59"/>
      <c r="O96" s="59"/>
      <c r="P96" s="59"/>
      <c r="Q96" s="59"/>
      <c r="R96" s="59"/>
      <c r="S96" s="59"/>
      <c r="T96" s="60"/>
      <c r="U96" s="60"/>
      <c r="V96" s="60"/>
      <c r="W96" s="60"/>
      <c r="X96" s="60"/>
      <c r="Y96" s="60"/>
      <c r="Z96" s="60"/>
      <c r="AA96" s="60"/>
      <c r="AB96" s="60"/>
      <c r="AC96" s="60"/>
    </row>
    <row r="97" spans="1:29">
      <c r="A97" s="59"/>
      <c r="B97" s="59"/>
      <c r="C97" s="59"/>
      <c r="D97" s="59"/>
      <c r="E97" s="59"/>
      <c r="F97" s="59"/>
      <c r="G97" s="59"/>
      <c r="H97" s="59"/>
      <c r="I97" s="59"/>
      <c r="J97" s="59"/>
      <c r="K97" s="59"/>
      <c r="L97" s="59"/>
      <c r="M97" s="59"/>
      <c r="N97" s="59"/>
      <c r="O97" s="59"/>
      <c r="P97" s="59"/>
      <c r="Q97" s="59"/>
      <c r="R97" s="59"/>
      <c r="S97" s="59"/>
      <c r="T97" s="60"/>
      <c r="U97" s="60"/>
      <c r="V97" s="60"/>
      <c r="W97" s="60"/>
      <c r="X97" s="60"/>
      <c r="Y97" s="60"/>
      <c r="Z97" s="60"/>
      <c r="AA97" s="60"/>
      <c r="AB97" s="60"/>
      <c r="AC97" s="60"/>
    </row>
    <row r="98" spans="1:29">
      <c r="A98" s="59"/>
      <c r="B98" s="59"/>
      <c r="C98" s="59"/>
      <c r="D98" s="59"/>
      <c r="E98" s="59"/>
      <c r="F98" s="59"/>
      <c r="G98" s="59"/>
      <c r="H98" s="59"/>
      <c r="I98" s="59"/>
      <c r="J98" s="59"/>
      <c r="K98" s="59"/>
      <c r="L98" s="59"/>
      <c r="M98" s="59"/>
      <c r="N98" s="59"/>
      <c r="O98" s="59"/>
      <c r="P98" s="59"/>
      <c r="Q98" s="59"/>
      <c r="R98" s="59"/>
      <c r="S98" s="59"/>
      <c r="T98" s="60"/>
      <c r="U98" s="60"/>
      <c r="V98" s="60"/>
      <c r="W98" s="60"/>
      <c r="X98" s="60"/>
      <c r="Y98" s="60"/>
      <c r="Z98" s="60"/>
      <c r="AA98" s="60"/>
      <c r="AB98" s="60"/>
      <c r="AC98" s="60"/>
    </row>
    <row r="99" spans="1:29">
      <c r="A99" s="59"/>
      <c r="B99" s="59"/>
      <c r="C99" s="59"/>
      <c r="D99" s="59"/>
      <c r="E99" s="59"/>
      <c r="F99" s="59"/>
      <c r="G99" s="59"/>
      <c r="H99" s="59"/>
      <c r="I99" s="59"/>
      <c r="J99" s="59"/>
      <c r="K99" s="59"/>
      <c r="L99" s="59"/>
      <c r="M99" s="59"/>
      <c r="N99" s="59"/>
      <c r="O99" s="59"/>
      <c r="P99" s="59"/>
      <c r="Q99" s="59"/>
      <c r="R99" s="59"/>
      <c r="S99" s="59"/>
      <c r="T99" s="60"/>
      <c r="U99" s="60"/>
      <c r="V99" s="60"/>
      <c r="W99" s="60"/>
      <c r="X99" s="60"/>
      <c r="Y99" s="60"/>
      <c r="Z99" s="60"/>
      <c r="AA99" s="60"/>
      <c r="AB99" s="60"/>
      <c r="AC99" s="60"/>
    </row>
    <row r="100" spans="1:29">
      <c r="A100" s="59"/>
      <c r="B100" s="59"/>
      <c r="C100" s="59"/>
      <c r="D100" s="59"/>
      <c r="E100" s="59"/>
      <c r="F100" s="59"/>
      <c r="G100" s="59"/>
      <c r="H100" s="59"/>
      <c r="I100" s="59"/>
      <c r="J100" s="59"/>
      <c r="K100" s="59"/>
      <c r="L100" s="59"/>
      <c r="M100" s="59"/>
      <c r="N100" s="59"/>
      <c r="O100" s="59"/>
      <c r="P100" s="59"/>
      <c r="Q100" s="59"/>
      <c r="R100" s="59"/>
      <c r="S100" s="59"/>
      <c r="T100" s="60"/>
      <c r="U100" s="60"/>
      <c r="V100" s="60"/>
      <c r="W100" s="60"/>
      <c r="X100" s="60"/>
      <c r="Y100" s="60"/>
      <c r="Z100" s="60"/>
      <c r="AA100" s="60"/>
      <c r="AB100" s="60"/>
      <c r="AC100" s="60"/>
    </row>
    <row r="101" spans="1:29">
      <c r="A101" s="59"/>
      <c r="B101" s="59"/>
      <c r="C101" s="59"/>
      <c r="D101" s="59"/>
      <c r="E101" s="59"/>
      <c r="F101" s="59"/>
      <c r="G101" s="59"/>
      <c r="H101" s="59"/>
      <c r="I101" s="59"/>
      <c r="J101" s="59"/>
      <c r="K101" s="59"/>
      <c r="L101" s="59"/>
      <c r="M101" s="59"/>
      <c r="N101" s="59"/>
      <c r="O101" s="59"/>
      <c r="P101" s="59"/>
      <c r="Q101" s="59"/>
      <c r="R101" s="59"/>
      <c r="S101" s="59"/>
      <c r="T101" s="60"/>
      <c r="U101" s="60"/>
      <c r="V101" s="60"/>
      <c r="W101" s="60"/>
      <c r="X101" s="60"/>
      <c r="Y101" s="60"/>
      <c r="Z101" s="60"/>
      <c r="AA101" s="60"/>
      <c r="AB101" s="60"/>
      <c r="AC101" s="60"/>
    </row>
    <row r="102" spans="1:29">
      <c r="A102" s="59"/>
      <c r="B102" s="59"/>
      <c r="C102" s="59"/>
      <c r="D102" s="59"/>
      <c r="E102" s="59"/>
      <c r="F102" s="59"/>
      <c r="G102" s="59"/>
      <c r="H102" s="59"/>
      <c r="I102" s="59"/>
      <c r="J102" s="59"/>
      <c r="K102" s="59"/>
      <c r="L102" s="59"/>
      <c r="M102" s="59"/>
      <c r="N102" s="59"/>
      <c r="O102" s="59"/>
      <c r="P102" s="59"/>
      <c r="Q102" s="59"/>
      <c r="R102" s="59"/>
      <c r="S102" s="59"/>
      <c r="T102" s="60"/>
      <c r="U102" s="60"/>
      <c r="V102" s="60"/>
      <c r="W102" s="60"/>
      <c r="X102" s="60"/>
      <c r="Y102" s="60"/>
      <c r="Z102" s="60"/>
      <c r="AA102" s="60"/>
      <c r="AB102" s="60"/>
      <c r="AC102" s="60"/>
    </row>
    <row r="103" spans="1:29">
      <c r="A103" s="59"/>
      <c r="B103" s="59"/>
      <c r="C103" s="59"/>
      <c r="D103" s="59"/>
      <c r="E103" s="59"/>
      <c r="F103" s="59"/>
      <c r="G103" s="59"/>
      <c r="H103" s="59"/>
      <c r="I103" s="59"/>
      <c r="J103" s="59"/>
      <c r="K103" s="59"/>
      <c r="L103" s="59"/>
      <c r="M103" s="59"/>
      <c r="N103" s="59"/>
      <c r="O103" s="59"/>
      <c r="P103" s="59"/>
      <c r="Q103" s="59"/>
      <c r="R103" s="59"/>
      <c r="S103" s="59"/>
      <c r="T103" s="60"/>
      <c r="U103" s="60"/>
      <c r="V103" s="60"/>
      <c r="W103" s="60"/>
      <c r="X103" s="60"/>
      <c r="Y103" s="60"/>
      <c r="Z103" s="60"/>
      <c r="AA103" s="60"/>
      <c r="AB103" s="60"/>
      <c r="AC103" s="60"/>
    </row>
    <row r="104" spans="1:29">
      <c r="A104" s="59"/>
      <c r="B104" s="59"/>
      <c r="C104" s="59"/>
      <c r="D104" s="59"/>
      <c r="E104" s="59"/>
      <c r="F104" s="59"/>
      <c r="G104" s="59"/>
      <c r="H104" s="59"/>
      <c r="I104" s="59"/>
      <c r="J104" s="59"/>
      <c r="K104" s="59"/>
      <c r="L104" s="59"/>
      <c r="M104" s="59"/>
      <c r="N104" s="59"/>
      <c r="O104" s="59"/>
      <c r="P104" s="59"/>
      <c r="Q104" s="59"/>
      <c r="R104" s="59"/>
      <c r="S104" s="59"/>
      <c r="T104" s="60"/>
      <c r="U104" s="60"/>
      <c r="V104" s="60"/>
      <c r="W104" s="60"/>
      <c r="X104" s="60"/>
      <c r="Y104" s="60"/>
      <c r="Z104" s="60"/>
      <c r="AA104" s="60"/>
      <c r="AB104" s="60"/>
      <c r="AC104" s="60"/>
    </row>
    <row r="105" spans="1:29">
      <c r="A105" s="59"/>
      <c r="B105" s="59"/>
      <c r="C105" s="59"/>
      <c r="D105" s="59"/>
      <c r="E105" s="59"/>
      <c r="F105" s="59"/>
      <c r="G105" s="59"/>
      <c r="H105" s="59"/>
      <c r="I105" s="59"/>
      <c r="J105" s="59"/>
      <c r="K105" s="59"/>
      <c r="L105" s="59"/>
      <c r="M105" s="59"/>
      <c r="N105" s="59"/>
      <c r="O105" s="59"/>
      <c r="P105" s="59"/>
      <c r="Q105" s="59"/>
      <c r="R105" s="59"/>
      <c r="S105" s="59"/>
      <c r="T105" s="60"/>
      <c r="U105" s="60"/>
      <c r="V105" s="60"/>
      <c r="W105" s="60"/>
      <c r="X105" s="60"/>
      <c r="Y105" s="60"/>
      <c r="Z105" s="60"/>
      <c r="AA105" s="60"/>
      <c r="AB105" s="60"/>
      <c r="AC105" s="60"/>
    </row>
    <row r="106" spans="1:29">
      <c r="A106" s="59"/>
      <c r="B106" s="59"/>
      <c r="C106" s="59"/>
      <c r="D106" s="59"/>
      <c r="E106" s="59"/>
      <c r="F106" s="59"/>
      <c r="G106" s="59"/>
      <c r="H106" s="59"/>
      <c r="I106" s="59"/>
      <c r="J106" s="59"/>
      <c r="K106" s="59"/>
      <c r="L106" s="59"/>
      <c r="M106" s="59"/>
      <c r="N106" s="59"/>
      <c r="O106" s="59"/>
      <c r="P106" s="59"/>
      <c r="Q106" s="59"/>
      <c r="R106" s="59"/>
      <c r="S106" s="59"/>
      <c r="T106" s="60"/>
      <c r="U106" s="60"/>
      <c r="V106" s="60"/>
      <c r="W106" s="60"/>
      <c r="X106" s="60"/>
      <c r="Y106" s="60"/>
      <c r="Z106" s="60"/>
      <c r="AA106" s="60"/>
      <c r="AB106" s="60"/>
      <c r="AC106" s="60"/>
    </row>
    <row r="107" spans="1:29">
      <c r="A107" s="59"/>
      <c r="B107" s="59"/>
      <c r="C107" s="59"/>
      <c r="D107" s="59"/>
      <c r="E107" s="59"/>
      <c r="F107" s="59"/>
      <c r="G107" s="59"/>
      <c r="H107" s="59"/>
      <c r="I107" s="59"/>
      <c r="J107" s="59"/>
      <c r="K107" s="59"/>
      <c r="L107" s="59"/>
      <c r="M107" s="59"/>
      <c r="N107" s="59"/>
      <c r="O107" s="59"/>
      <c r="P107" s="59"/>
      <c r="Q107" s="59"/>
      <c r="R107" s="59"/>
      <c r="S107" s="59"/>
      <c r="T107" s="60"/>
      <c r="U107" s="60"/>
      <c r="V107" s="60"/>
      <c r="W107" s="60"/>
      <c r="X107" s="60"/>
      <c r="Y107" s="60"/>
      <c r="Z107" s="60"/>
      <c r="AA107" s="60"/>
      <c r="AB107" s="60"/>
      <c r="AC107" s="60"/>
    </row>
    <row r="108" spans="1:29">
      <c r="A108" s="59"/>
      <c r="B108" s="59"/>
      <c r="C108" s="59"/>
      <c r="D108" s="59"/>
      <c r="E108" s="59"/>
      <c r="F108" s="59"/>
      <c r="G108" s="59"/>
      <c r="H108" s="59"/>
      <c r="I108" s="59"/>
      <c r="J108" s="59"/>
      <c r="K108" s="59"/>
      <c r="L108" s="59"/>
      <c r="M108" s="59"/>
      <c r="N108" s="59"/>
      <c r="O108" s="59"/>
      <c r="P108" s="59"/>
      <c r="Q108" s="59"/>
      <c r="R108" s="59"/>
      <c r="S108" s="59"/>
      <c r="T108" s="60"/>
      <c r="U108" s="60"/>
      <c r="V108" s="60"/>
      <c r="W108" s="60"/>
      <c r="X108" s="60"/>
      <c r="Y108" s="60"/>
      <c r="Z108" s="60"/>
      <c r="AA108" s="60"/>
      <c r="AB108" s="60"/>
      <c r="AC108" s="60"/>
    </row>
    <row r="109" spans="1:29">
      <c r="A109" s="59"/>
      <c r="B109" s="59"/>
      <c r="C109" s="59"/>
      <c r="D109" s="59"/>
      <c r="E109" s="59"/>
      <c r="F109" s="59"/>
      <c r="G109" s="59"/>
      <c r="H109" s="59"/>
      <c r="I109" s="59"/>
      <c r="J109" s="59"/>
      <c r="K109" s="59"/>
      <c r="L109" s="59"/>
      <c r="M109" s="59"/>
      <c r="N109" s="59"/>
      <c r="O109" s="59"/>
      <c r="P109" s="59"/>
      <c r="Q109" s="59"/>
      <c r="R109" s="59"/>
      <c r="S109" s="59"/>
      <c r="T109" s="60"/>
      <c r="U109" s="60"/>
      <c r="V109" s="60"/>
      <c r="W109" s="60"/>
      <c r="X109" s="60"/>
      <c r="Y109" s="60"/>
      <c r="Z109" s="60"/>
      <c r="AA109" s="60"/>
      <c r="AB109" s="60"/>
      <c r="AC109" s="60"/>
    </row>
    <row r="110" spans="1:29">
      <c r="A110" s="59"/>
      <c r="B110" s="59"/>
      <c r="C110" s="59"/>
      <c r="D110" s="59"/>
      <c r="E110" s="59"/>
      <c r="F110" s="59"/>
      <c r="G110" s="59"/>
      <c r="H110" s="59"/>
      <c r="I110" s="59"/>
      <c r="J110" s="59"/>
      <c r="K110" s="59"/>
      <c r="L110" s="59"/>
      <c r="M110" s="59"/>
      <c r="N110" s="59"/>
      <c r="O110" s="59"/>
      <c r="P110" s="59"/>
      <c r="Q110" s="59"/>
      <c r="R110" s="59"/>
      <c r="S110" s="59"/>
      <c r="T110" s="60"/>
      <c r="U110" s="60"/>
      <c r="V110" s="60"/>
      <c r="W110" s="60"/>
      <c r="X110" s="60"/>
      <c r="Y110" s="60"/>
      <c r="Z110" s="60"/>
      <c r="AA110" s="60"/>
      <c r="AB110" s="60"/>
      <c r="AC110" s="60"/>
    </row>
    <row r="111" spans="1:29">
      <c r="A111" s="59"/>
      <c r="B111" s="59"/>
      <c r="C111" s="59"/>
      <c r="D111" s="59"/>
      <c r="E111" s="59"/>
      <c r="F111" s="59"/>
      <c r="G111" s="59"/>
      <c r="H111" s="59"/>
      <c r="I111" s="59"/>
      <c r="J111" s="59"/>
      <c r="K111" s="59"/>
      <c r="L111" s="59"/>
      <c r="M111" s="59"/>
      <c r="N111" s="59"/>
      <c r="O111" s="59"/>
      <c r="P111" s="59"/>
      <c r="Q111" s="59"/>
      <c r="R111" s="59"/>
      <c r="S111" s="59"/>
      <c r="T111" s="60"/>
      <c r="U111" s="60"/>
      <c r="V111" s="60"/>
      <c r="W111" s="60"/>
      <c r="X111" s="60"/>
      <c r="Y111" s="60"/>
      <c r="Z111" s="60"/>
      <c r="AA111" s="60"/>
      <c r="AB111" s="60"/>
      <c r="AC111" s="60"/>
    </row>
    <row r="112" spans="1:29">
      <c r="A112" s="59"/>
      <c r="B112" s="59"/>
      <c r="C112" s="59"/>
      <c r="D112" s="59"/>
      <c r="E112" s="59"/>
      <c r="F112" s="59"/>
      <c r="G112" s="59"/>
      <c r="H112" s="59"/>
      <c r="I112" s="59"/>
      <c r="J112" s="59"/>
      <c r="K112" s="59"/>
      <c r="L112" s="59"/>
      <c r="M112" s="59"/>
      <c r="N112" s="59"/>
      <c r="O112" s="59"/>
      <c r="P112" s="59"/>
      <c r="Q112" s="59"/>
      <c r="R112" s="59"/>
      <c r="S112" s="59"/>
      <c r="T112" s="60"/>
      <c r="U112" s="60"/>
      <c r="V112" s="60"/>
      <c r="W112" s="60"/>
      <c r="X112" s="60"/>
      <c r="Y112" s="60"/>
      <c r="Z112" s="60"/>
      <c r="AA112" s="60"/>
      <c r="AB112" s="60"/>
      <c r="AC112" s="60"/>
    </row>
    <row r="113" spans="1:29">
      <c r="A113" s="59"/>
      <c r="B113" s="59"/>
      <c r="C113" s="59"/>
      <c r="D113" s="59"/>
      <c r="E113" s="59"/>
      <c r="F113" s="59"/>
      <c r="G113" s="59"/>
      <c r="H113" s="59"/>
      <c r="I113" s="59"/>
      <c r="J113" s="59"/>
      <c r="K113" s="59"/>
      <c r="L113" s="59"/>
      <c r="M113" s="59"/>
      <c r="N113" s="59"/>
      <c r="O113" s="59"/>
      <c r="P113" s="59"/>
      <c r="Q113" s="59"/>
      <c r="R113" s="59"/>
      <c r="S113" s="59"/>
      <c r="T113" s="60"/>
      <c r="U113" s="60"/>
      <c r="V113" s="60"/>
      <c r="W113" s="60"/>
      <c r="X113" s="60"/>
      <c r="Y113" s="60"/>
      <c r="Z113" s="60"/>
      <c r="AA113" s="60"/>
      <c r="AB113" s="60"/>
      <c r="AC113" s="60"/>
    </row>
    <row r="114" spans="1:29">
      <c r="A114" s="59"/>
      <c r="B114" s="59"/>
      <c r="C114" s="59"/>
      <c r="D114" s="59"/>
      <c r="E114" s="59"/>
      <c r="F114" s="59"/>
      <c r="G114" s="59"/>
      <c r="H114" s="59"/>
      <c r="I114" s="59"/>
      <c r="J114" s="59"/>
      <c r="K114" s="59"/>
      <c r="L114" s="59"/>
      <c r="M114" s="59"/>
      <c r="N114" s="59"/>
      <c r="O114" s="59"/>
      <c r="P114" s="59"/>
      <c r="Q114" s="59"/>
      <c r="R114" s="59"/>
      <c r="S114" s="59"/>
      <c r="T114" s="60"/>
      <c r="U114" s="60"/>
      <c r="V114" s="60"/>
      <c r="W114" s="60"/>
      <c r="X114" s="60"/>
      <c r="Y114" s="60"/>
      <c r="Z114" s="60"/>
      <c r="AA114" s="60"/>
      <c r="AB114" s="60"/>
      <c r="AC114" s="60"/>
    </row>
    <row r="115" spans="1:29">
      <c r="A115" s="59"/>
      <c r="B115" s="59"/>
      <c r="C115" s="59"/>
      <c r="D115" s="59"/>
      <c r="E115" s="59"/>
      <c r="F115" s="59"/>
      <c r="G115" s="59"/>
      <c r="H115" s="59"/>
      <c r="I115" s="59"/>
      <c r="J115" s="59"/>
      <c r="K115" s="59"/>
      <c r="L115" s="59"/>
      <c r="M115" s="59"/>
      <c r="N115" s="59"/>
      <c r="O115" s="59"/>
      <c r="P115" s="59"/>
      <c r="Q115" s="59"/>
      <c r="R115" s="59"/>
      <c r="S115" s="59"/>
      <c r="T115" s="60"/>
      <c r="U115" s="60"/>
      <c r="V115" s="60"/>
      <c r="W115" s="60"/>
      <c r="X115" s="60"/>
      <c r="Y115" s="60"/>
      <c r="Z115" s="60"/>
      <c r="AA115" s="60"/>
      <c r="AB115" s="60"/>
      <c r="AC115" s="60"/>
    </row>
    <row r="116" spans="1:29">
      <c r="A116" s="59"/>
      <c r="B116" s="59"/>
      <c r="C116" s="59"/>
      <c r="D116" s="59"/>
      <c r="E116" s="59"/>
      <c r="F116" s="59"/>
      <c r="G116" s="59"/>
      <c r="H116" s="59"/>
      <c r="I116" s="59"/>
      <c r="J116" s="59"/>
      <c r="K116" s="59"/>
      <c r="L116" s="59"/>
      <c r="M116" s="59"/>
      <c r="N116" s="59"/>
      <c r="O116" s="59"/>
      <c r="P116" s="59"/>
      <c r="Q116" s="59"/>
      <c r="R116" s="59"/>
      <c r="S116" s="59"/>
      <c r="T116" s="60"/>
      <c r="U116" s="60"/>
      <c r="V116" s="60"/>
      <c r="W116" s="60"/>
      <c r="X116" s="60"/>
      <c r="Y116" s="60"/>
      <c r="Z116" s="60"/>
      <c r="AA116" s="60"/>
      <c r="AB116" s="60"/>
      <c r="AC116" s="60"/>
    </row>
    <row r="117" spans="1:29">
      <c r="A117" s="59"/>
      <c r="B117" s="59"/>
      <c r="C117" s="59"/>
      <c r="D117" s="59"/>
      <c r="E117" s="59"/>
      <c r="F117" s="59"/>
      <c r="G117" s="59"/>
      <c r="H117" s="59"/>
      <c r="I117" s="59"/>
      <c r="J117" s="59"/>
      <c r="K117" s="59"/>
      <c r="L117" s="59"/>
      <c r="M117" s="59"/>
      <c r="N117" s="59"/>
      <c r="O117" s="59"/>
      <c r="P117" s="59"/>
      <c r="Q117" s="59"/>
      <c r="R117" s="59"/>
      <c r="S117" s="59"/>
      <c r="T117" s="60"/>
      <c r="U117" s="60"/>
      <c r="V117" s="60"/>
      <c r="W117" s="60"/>
      <c r="X117" s="60"/>
      <c r="Y117" s="60"/>
      <c r="Z117" s="60"/>
      <c r="AA117" s="60"/>
      <c r="AB117" s="60"/>
      <c r="AC117" s="60"/>
    </row>
    <row r="118" spans="1:29">
      <c r="A118" s="59"/>
      <c r="B118" s="59"/>
      <c r="C118" s="59"/>
      <c r="D118" s="59"/>
      <c r="E118" s="59"/>
      <c r="F118" s="59"/>
      <c r="G118" s="59"/>
      <c r="H118" s="59"/>
      <c r="I118" s="59"/>
      <c r="J118" s="59"/>
      <c r="K118" s="59"/>
      <c r="L118" s="59"/>
      <c r="M118" s="59"/>
      <c r="N118" s="59"/>
      <c r="O118" s="59"/>
      <c r="P118" s="59"/>
      <c r="Q118" s="59"/>
      <c r="R118" s="59"/>
      <c r="S118" s="59"/>
      <c r="T118" s="60"/>
      <c r="U118" s="60"/>
      <c r="V118" s="60"/>
      <c r="W118" s="60"/>
      <c r="X118" s="60"/>
      <c r="Y118" s="60"/>
      <c r="Z118" s="60"/>
      <c r="AA118" s="60"/>
      <c r="AB118" s="60"/>
      <c r="AC118" s="60"/>
    </row>
    <row r="119" spans="1:29">
      <c r="A119" s="59"/>
      <c r="B119" s="59"/>
      <c r="C119" s="59"/>
      <c r="D119" s="59"/>
      <c r="E119" s="59"/>
      <c r="F119" s="59"/>
      <c r="G119" s="59"/>
      <c r="H119" s="59"/>
      <c r="I119" s="59"/>
      <c r="J119" s="59"/>
      <c r="K119" s="59"/>
      <c r="L119" s="59"/>
      <c r="M119" s="59"/>
      <c r="N119" s="59"/>
      <c r="O119" s="59"/>
      <c r="P119" s="59"/>
      <c r="Q119" s="59"/>
      <c r="R119" s="59"/>
      <c r="S119" s="59"/>
      <c r="T119" s="60"/>
      <c r="U119" s="60"/>
      <c r="V119" s="60"/>
      <c r="W119" s="60"/>
      <c r="X119" s="60"/>
      <c r="Y119" s="60"/>
      <c r="Z119" s="60"/>
      <c r="AA119" s="60"/>
      <c r="AB119" s="60"/>
      <c r="AC119" s="60"/>
    </row>
    <row r="120" spans="1:29">
      <c r="A120" s="59"/>
      <c r="B120" s="59"/>
      <c r="C120" s="59"/>
      <c r="D120" s="59"/>
      <c r="E120" s="59"/>
      <c r="F120" s="59"/>
      <c r="G120" s="59"/>
      <c r="H120" s="59"/>
      <c r="I120" s="59"/>
      <c r="J120" s="59"/>
      <c r="K120" s="59"/>
      <c r="L120" s="59"/>
      <c r="M120" s="59"/>
      <c r="N120" s="59"/>
      <c r="O120" s="59"/>
      <c r="P120" s="59"/>
      <c r="Q120" s="59"/>
      <c r="R120" s="59"/>
      <c r="S120" s="59"/>
      <c r="T120" s="60"/>
      <c r="U120" s="60"/>
      <c r="V120" s="60"/>
      <c r="W120" s="60"/>
      <c r="X120" s="60"/>
      <c r="Y120" s="60"/>
      <c r="Z120" s="60"/>
      <c r="AA120" s="60"/>
      <c r="AB120" s="60"/>
      <c r="AC120" s="60"/>
    </row>
    <row r="121" spans="1:29">
      <c r="A121" s="59"/>
      <c r="L121" s="59"/>
      <c r="M121" s="59"/>
      <c r="N121" s="59"/>
      <c r="O121" s="59"/>
      <c r="P121" s="59"/>
      <c r="Q121" s="59"/>
      <c r="R121" s="59"/>
      <c r="S121" s="59"/>
      <c r="T121" s="60"/>
      <c r="U121" s="60"/>
      <c r="V121" s="60"/>
      <c r="W121" s="60"/>
      <c r="X121" s="60"/>
      <c r="Y121" s="60"/>
      <c r="Z121" s="60"/>
      <c r="AA121" s="60"/>
      <c r="AB121" s="60"/>
      <c r="AC121" s="60"/>
    </row>
    <row r="122" spans="1:29">
      <c r="A122" s="59"/>
      <c r="L122" s="59"/>
      <c r="M122" s="59"/>
      <c r="N122" s="59"/>
      <c r="O122" s="59"/>
      <c r="P122" s="59"/>
      <c r="Q122" s="59"/>
      <c r="R122" s="59"/>
      <c r="S122" s="59"/>
      <c r="T122" s="60"/>
      <c r="U122" s="60"/>
      <c r="V122" s="60"/>
      <c r="W122" s="60"/>
      <c r="X122" s="60"/>
      <c r="Y122" s="60"/>
      <c r="Z122" s="60"/>
      <c r="AA122" s="60"/>
      <c r="AB122" s="60"/>
      <c r="AC122" s="60"/>
    </row>
    <row r="123" spans="1:29">
      <c r="A123" s="59"/>
      <c r="B123" s="59"/>
      <c r="C123" s="59"/>
      <c r="D123" s="59"/>
      <c r="E123" s="59"/>
      <c r="F123" s="59"/>
      <c r="G123" s="59"/>
      <c r="H123" s="59"/>
      <c r="I123" s="59"/>
      <c r="J123" s="59"/>
      <c r="K123" s="59"/>
      <c r="L123" s="59"/>
      <c r="M123" s="59"/>
      <c r="N123" s="59"/>
      <c r="O123" s="59"/>
      <c r="P123" s="59"/>
      <c r="Q123" s="59"/>
      <c r="R123" s="59"/>
      <c r="S123" s="59"/>
      <c r="T123" s="60"/>
      <c r="U123" s="60"/>
      <c r="V123" s="60"/>
      <c r="W123" s="60"/>
      <c r="X123" s="60"/>
      <c r="Y123" s="60"/>
      <c r="Z123" s="60"/>
      <c r="AA123" s="60"/>
      <c r="AB123" s="60"/>
      <c r="AC123" s="60"/>
    </row>
    <row r="124" spans="1:29">
      <c r="A124" s="59"/>
      <c r="B124" s="59"/>
      <c r="C124" s="59"/>
      <c r="D124" s="59"/>
      <c r="E124" s="59"/>
      <c r="F124" s="59"/>
      <c r="G124" s="59"/>
      <c r="H124" s="59"/>
      <c r="I124" s="59"/>
      <c r="J124" s="59"/>
      <c r="K124" s="59"/>
      <c r="L124" s="59"/>
      <c r="M124" s="59"/>
      <c r="N124" s="59"/>
      <c r="O124" s="59"/>
      <c r="P124" s="59"/>
      <c r="Q124" s="59"/>
      <c r="R124" s="59"/>
      <c r="S124" s="59"/>
      <c r="T124" s="60"/>
      <c r="U124" s="60"/>
      <c r="V124" s="60"/>
      <c r="W124" s="60"/>
      <c r="X124" s="60"/>
      <c r="Y124" s="60"/>
      <c r="Z124" s="60"/>
      <c r="AA124" s="60"/>
      <c r="AB124" s="60"/>
      <c r="AC124" s="60"/>
    </row>
    <row r="125" spans="1:29">
      <c r="A125" s="59"/>
      <c r="B125" s="59"/>
      <c r="C125" s="59"/>
      <c r="D125" s="59"/>
      <c r="E125" s="59"/>
      <c r="F125" s="59"/>
      <c r="G125" s="59"/>
      <c r="H125" s="59"/>
      <c r="I125" s="59"/>
      <c r="J125" s="59"/>
      <c r="K125" s="59"/>
      <c r="L125" s="59"/>
      <c r="M125" s="59"/>
      <c r="N125" s="59"/>
      <c r="O125" s="59"/>
      <c r="P125" s="59"/>
      <c r="Q125" s="59"/>
      <c r="R125" s="59"/>
      <c r="S125" s="59"/>
      <c r="T125" s="60"/>
      <c r="U125" s="60"/>
      <c r="V125" s="60"/>
      <c r="W125" s="60"/>
      <c r="X125" s="60"/>
      <c r="Y125" s="60"/>
      <c r="Z125" s="60"/>
      <c r="AA125" s="60"/>
      <c r="AB125" s="60"/>
      <c r="AC125" s="60"/>
    </row>
    <row r="126" spans="1:29">
      <c r="A126" s="59"/>
      <c r="B126" s="59"/>
      <c r="C126" s="59"/>
      <c r="D126" s="59"/>
      <c r="E126" s="59"/>
      <c r="F126" s="59"/>
      <c r="G126" s="59"/>
      <c r="H126" s="59"/>
      <c r="I126" s="59"/>
      <c r="J126" s="59"/>
      <c r="K126" s="59"/>
      <c r="L126" s="59"/>
      <c r="M126" s="59"/>
      <c r="N126" s="59"/>
      <c r="O126" s="59"/>
      <c r="P126" s="59"/>
      <c r="Q126" s="59"/>
      <c r="R126" s="59"/>
      <c r="S126" s="59"/>
      <c r="T126" s="60"/>
      <c r="U126" s="60"/>
      <c r="V126" s="60"/>
      <c r="W126" s="60"/>
      <c r="X126" s="60"/>
      <c r="Y126" s="60"/>
      <c r="Z126" s="60"/>
      <c r="AA126" s="60"/>
      <c r="AB126" s="60"/>
      <c r="AC126" s="60"/>
    </row>
    <row r="127" spans="1:29">
      <c r="A127" s="59"/>
      <c r="B127" s="59"/>
      <c r="C127" s="59"/>
      <c r="D127" s="59"/>
      <c r="E127" s="59"/>
      <c r="F127" s="59"/>
      <c r="G127" s="59"/>
      <c r="H127" s="59"/>
      <c r="I127" s="59"/>
      <c r="J127" s="59"/>
      <c r="K127" s="59"/>
      <c r="L127" s="59"/>
      <c r="M127" s="59"/>
      <c r="N127" s="59"/>
      <c r="O127" s="59"/>
      <c r="P127" s="59"/>
      <c r="Q127" s="59"/>
      <c r="R127" s="59"/>
      <c r="S127" s="59"/>
      <c r="T127" s="60"/>
      <c r="U127" s="60"/>
      <c r="V127" s="60"/>
      <c r="W127" s="60"/>
      <c r="X127" s="60"/>
      <c r="Y127" s="60"/>
      <c r="Z127" s="60"/>
      <c r="AA127" s="60"/>
      <c r="AB127" s="60"/>
      <c r="AC127" s="60"/>
    </row>
    <row r="128" spans="1:29">
      <c r="A128" s="59"/>
      <c r="B128" s="59"/>
      <c r="C128" s="59"/>
      <c r="D128" s="59"/>
      <c r="E128" s="59"/>
      <c r="F128" s="59"/>
      <c r="G128" s="59"/>
      <c r="H128" s="59"/>
      <c r="I128" s="59"/>
      <c r="J128" s="59"/>
      <c r="K128" s="59"/>
      <c r="L128" s="59"/>
      <c r="M128" s="59"/>
      <c r="N128" s="59"/>
      <c r="O128" s="59"/>
      <c r="P128" s="59"/>
      <c r="Q128" s="59"/>
      <c r="R128" s="59"/>
      <c r="S128" s="59"/>
      <c r="T128" s="60"/>
      <c r="U128" s="60"/>
      <c r="V128" s="60"/>
      <c r="W128" s="60"/>
      <c r="X128" s="60"/>
      <c r="Y128" s="60"/>
      <c r="Z128" s="60"/>
      <c r="AA128" s="60"/>
      <c r="AB128" s="60"/>
      <c r="AC128" s="60"/>
    </row>
    <row r="129" spans="1:29">
      <c r="A129" s="59"/>
      <c r="B129" s="59"/>
      <c r="C129" s="59"/>
      <c r="D129" s="59"/>
      <c r="E129" s="59"/>
      <c r="F129" s="59"/>
      <c r="G129" s="59"/>
      <c r="H129" s="59"/>
      <c r="I129" s="59"/>
      <c r="J129" s="59"/>
      <c r="K129" s="59"/>
      <c r="L129" s="59"/>
      <c r="M129" s="59"/>
      <c r="N129" s="59"/>
      <c r="O129" s="59"/>
      <c r="P129" s="59"/>
      <c r="Q129" s="59"/>
      <c r="R129" s="59"/>
      <c r="S129" s="59"/>
      <c r="T129" s="60"/>
      <c r="U129" s="60"/>
      <c r="V129" s="60"/>
      <c r="W129" s="60"/>
      <c r="X129" s="60"/>
      <c r="Y129" s="60"/>
      <c r="Z129" s="60"/>
      <c r="AA129" s="60"/>
      <c r="AB129" s="60"/>
      <c r="AC129" s="60"/>
    </row>
    <row r="130" spans="1:29">
      <c r="A130" s="59"/>
      <c r="B130" s="59"/>
      <c r="C130" s="59"/>
      <c r="D130" s="59"/>
      <c r="E130" s="59"/>
      <c r="F130" s="59"/>
      <c r="G130" s="59"/>
      <c r="H130" s="59"/>
      <c r="I130" s="59"/>
      <c r="J130" s="59"/>
      <c r="K130" s="59"/>
      <c r="L130" s="59"/>
      <c r="M130" s="59"/>
      <c r="N130" s="59"/>
      <c r="O130" s="59"/>
      <c r="P130" s="59"/>
      <c r="Q130" s="59"/>
      <c r="R130" s="59"/>
      <c r="S130" s="59"/>
      <c r="T130" s="60"/>
      <c r="U130" s="60"/>
      <c r="V130" s="60"/>
      <c r="W130" s="60"/>
      <c r="X130" s="60"/>
      <c r="Y130" s="60"/>
      <c r="Z130" s="60"/>
      <c r="AA130" s="60"/>
      <c r="AB130" s="60"/>
      <c r="AC130" s="60"/>
    </row>
    <row r="131" spans="1:29">
      <c r="A131" s="59"/>
      <c r="B131" s="59"/>
      <c r="C131" s="59"/>
      <c r="D131" s="59"/>
      <c r="E131" s="59"/>
      <c r="F131" s="59"/>
      <c r="G131" s="59"/>
      <c r="H131" s="59"/>
      <c r="I131" s="59"/>
      <c r="J131" s="59"/>
      <c r="K131" s="59"/>
      <c r="L131" s="59"/>
      <c r="M131" s="59"/>
      <c r="N131" s="59"/>
      <c r="O131" s="59"/>
      <c r="P131" s="59"/>
      <c r="Q131" s="59"/>
      <c r="R131" s="59"/>
      <c r="S131" s="59"/>
      <c r="T131" s="60"/>
      <c r="U131" s="60"/>
      <c r="V131" s="60"/>
      <c r="W131" s="60"/>
      <c r="X131" s="60"/>
      <c r="Y131" s="60"/>
      <c r="Z131" s="60"/>
      <c r="AA131" s="60"/>
      <c r="AB131" s="60"/>
      <c r="AC131" s="60"/>
    </row>
    <row r="132" spans="1:29">
      <c r="A132" s="59"/>
      <c r="B132" s="59"/>
      <c r="C132" s="59"/>
      <c r="D132" s="59"/>
      <c r="E132" s="59"/>
      <c r="F132" s="59"/>
      <c r="G132" s="59"/>
      <c r="H132" s="59"/>
      <c r="I132" s="59"/>
      <c r="J132" s="59"/>
      <c r="K132" s="59"/>
      <c r="L132" s="59"/>
      <c r="M132" s="59"/>
      <c r="N132" s="59"/>
      <c r="O132" s="59"/>
      <c r="P132" s="59"/>
      <c r="Q132" s="59"/>
      <c r="R132" s="59"/>
      <c r="S132" s="59"/>
      <c r="T132" s="60"/>
      <c r="U132" s="60"/>
      <c r="V132" s="60"/>
      <c r="W132" s="60"/>
      <c r="X132" s="60"/>
      <c r="Y132" s="60"/>
      <c r="Z132" s="60"/>
      <c r="AA132" s="60"/>
      <c r="AB132" s="60"/>
      <c r="AC132" s="60"/>
    </row>
    <row r="133" spans="1:29">
      <c r="A133" s="59"/>
      <c r="B133" s="59"/>
      <c r="C133" s="59"/>
      <c r="D133" s="59"/>
      <c r="E133" s="59"/>
      <c r="F133" s="59"/>
      <c r="G133" s="59"/>
      <c r="H133" s="59"/>
      <c r="I133" s="59"/>
      <c r="J133" s="59"/>
      <c r="K133" s="59"/>
      <c r="L133" s="59"/>
      <c r="M133" s="59"/>
      <c r="N133" s="59"/>
      <c r="O133" s="59"/>
      <c r="P133" s="59"/>
      <c r="Q133" s="59"/>
      <c r="R133" s="59"/>
      <c r="S133" s="59"/>
      <c r="T133" s="60"/>
      <c r="U133" s="60"/>
      <c r="V133" s="60"/>
      <c r="W133" s="60"/>
      <c r="X133" s="60"/>
      <c r="Y133" s="60"/>
      <c r="Z133" s="60"/>
      <c r="AA133" s="60"/>
      <c r="AB133" s="60"/>
      <c r="AC133" s="60"/>
    </row>
    <row r="134" spans="1:29">
      <c r="A134" s="59"/>
      <c r="B134" s="59"/>
      <c r="C134" s="59"/>
      <c r="D134" s="59"/>
      <c r="E134" s="59"/>
      <c r="F134" s="59"/>
      <c r="G134" s="59"/>
      <c r="H134" s="59"/>
      <c r="I134" s="59"/>
      <c r="J134" s="59"/>
      <c r="K134" s="59"/>
      <c r="L134" s="59"/>
      <c r="M134" s="59"/>
      <c r="N134" s="59"/>
      <c r="O134" s="59"/>
      <c r="P134" s="59"/>
      <c r="Q134" s="59"/>
      <c r="R134" s="59"/>
      <c r="S134" s="59"/>
      <c r="T134" s="60"/>
      <c r="U134" s="60"/>
      <c r="V134" s="60"/>
      <c r="W134" s="60"/>
      <c r="X134" s="60"/>
      <c r="Y134" s="60"/>
      <c r="Z134" s="60"/>
      <c r="AA134" s="60"/>
      <c r="AB134" s="60"/>
      <c r="AC134" s="60"/>
    </row>
    <row r="135" spans="1:29">
      <c r="A135" s="59"/>
      <c r="B135" s="59"/>
      <c r="C135" s="59"/>
      <c r="D135" s="59"/>
      <c r="E135" s="59"/>
      <c r="F135" s="59"/>
      <c r="G135" s="59"/>
      <c r="H135" s="59"/>
      <c r="I135" s="59"/>
      <c r="J135" s="59"/>
      <c r="K135" s="59"/>
      <c r="L135" s="59"/>
      <c r="M135" s="59"/>
      <c r="N135" s="59"/>
      <c r="O135" s="59"/>
      <c r="P135" s="59"/>
      <c r="Q135" s="59"/>
      <c r="R135" s="59"/>
      <c r="S135" s="59"/>
      <c r="T135" s="60"/>
      <c r="U135" s="60"/>
      <c r="V135" s="60"/>
      <c r="W135" s="60"/>
      <c r="X135" s="60"/>
      <c r="Y135" s="60"/>
      <c r="Z135" s="60"/>
      <c r="AA135" s="60"/>
      <c r="AB135" s="60"/>
      <c r="AC135" s="60"/>
    </row>
    <row r="136" spans="1:29">
      <c r="A136" s="59"/>
      <c r="B136" s="59"/>
      <c r="C136" s="59"/>
      <c r="D136" s="59"/>
      <c r="E136" s="59"/>
      <c r="F136" s="59"/>
      <c r="G136" s="59"/>
      <c r="H136" s="59"/>
      <c r="I136" s="59"/>
      <c r="J136" s="59"/>
      <c r="K136" s="59"/>
      <c r="L136" s="59"/>
      <c r="M136" s="59"/>
      <c r="N136" s="59"/>
      <c r="O136" s="59"/>
      <c r="P136" s="59"/>
      <c r="Q136" s="59"/>
      <c r="R136" s="59"/>
      <c r="S136" s="59"/>
      <c r="T136" s="60"/>
      <c r="U136" s="60"/>
      <c r="V136" s="60"/>
      <c r="W136" s="60"/>
      <c r="X136" s="60"/>
      <c r="Y136" s="60"/>
      <c r="Z136" s="60"/>
      <c r="AA136" s="60"/>
      <c r="AB136" s="60"/>
      <c r="AC136" s="60"/>
    </row>
    <row r="137" spans="1:29">
      <c r="A137" s="59"/>
      <c r="B137" s="59"/>
      <c r="C137" s="59"/>
      <c r="D137" s="59"/>
      <c r="E137" s="59"/>
      <c r="F137" s="59"/>
      <c r="G137" s="59"/>
      <c r="H137" s="59"/>
      <c r="I137" s="59"/>
      <c r="J137" s="59"/>
      <c r="K137" s="59"/>
      <c r="L137" s="59"/>
      <c r="M137" s="59"/>
      <c r="N137" s="59"/>
      <c r="O137" s="59"/>
      <c r="P137" s="59"/>
      <c r="Q137" s="59"/>
      <c r="R137" s="59"/>
      <c r="S137" s="59"/>
      <c r="T137" s="60"/>
      <c r="U137" s="60"/>
      <c r="V137" s="60"/>
      <c r="W137" s="60"/>
      <c r="X137" s="60"/>
      <c r="Y137" s="60"/>
      <c r="Z137" s="60"/>
      <c r="AA137" s="60"/>
      <c r="AB137" s="60"/>
      <c r="AC137" s="60"/>
    </row>
    <row r="138" spans="1:29">
      <c r="A138" s="59"/>
      <c r="B138" s="59"/>
      <c r="C138" s="59"/>
      <c r="D138" s="59"/>
      <c r="E138" s="59"/>
      <c r="F138" s="59"/>
      <c r="G138" s="59"/>
      <c r="H138" s="59"/>
      <c r="I138" s="59"/>
      <c r="J138" s="59"/>
      <c r="K138" s="59"/>
      <c r="L138" s="59"/>
      <c r="M138" s="59"/>
      <c r="N138" s="59"/>
      <c r="O138" s="59"/>
      <c r="P138" s="59"/>
      <c r="Q138" s="59"/>
      <c r="R138" s="59"/>
      <c r="S138" s="59"/>
      <c r="T138" s="60"/>
      <c r="U138" s="60"/>
      <c r="V138" s="60"/>
      <c r="W138" s="60"/>
      <c r="X138" s="60"/>
      <c r="Y138" s="60"/>
      <c r="Z138" s="60"/>
      <c r="AA138" s="60"/>
      <c r="AB138" s="60"/>
      <c r="AC138" s="60"/>
    </row>
    <row r="139" spans="1:29">
      <c r="A139" s="59"/>
      <c r="B139" s="59"/>
      <c r="C139" s="59"/>
      <c r="D139" s="59"/>
      <c r="E139" s="59"/>
      <c r="F139" s="59"/>
      <c r="G139" s="59"/>
      <c r="H139" s="59"/>
      <c r="I139" s="59"/>
      <c r="J139" s="59"/>
      <c r="K139" s="59"/>
      <c r="L139" s="59"/>
      <c r="M139" s="59"/>
      <c r="N139" s="59"/>
      <c r="O139" s="59"/>
      <c r="P139" s="59"/>
      <c r="Q139" s="59"/>
      <c r="R139" s="59"/>
      <c r="S139" s="59"/>
      <c r="T139" s="60"/>
      <c r="U139" s="60"/>
      <c r="V139" s="60"/>
      <c r="W139" s="60"/>
      <c r="X139" s="60"/>
      <c r="Y139" s="60"/>
      <c r="Z139" s="60"/>
      <c r="AA139" s="60"/>
      <c r="AB139" s="60"/>
      <c r="AC139" s="60"/>
    </row>
    <row r="140" spans="1:29">
      <c r="A140" s="59"/>
      <c r="B140" s="59"/>
      <c r="C140" s="59"/>
      <c r="D140" s="59"/>
      <c r="E140" s="59"/>
      <c r="F140" s="59"/>
      <c r="G140" s="59"/>
      <c r="H140" s="59"/>
      <c r="I140" s="59"/>
      <c r="J140" s="59"/>
      <c r="K140" s="59"/>
      <c r="L140" s="59"/>
      <c r="M140" s="59"/>
      <c r="N140" s="59"/>
      <c r="O140" s="59"/>
      <c r="P140" s="59"/>
      <c r="Q140" s="59"/>
      <c r="R140" s="59"/>
      <c r="S140" s="59"/>
      <c r="T140" s="60"/>
      <c r="U140" s="60"/>
      <c r="V140" s="60"/>
      <c r="W140" s="60"/>
      <c r="X140" s="60"/>
      <c r="Y140" s="60"/>
      <c r="Z140" s="60"/>
      <c r="AA140" s="60"/>
      <c r="AB140" s="60"/>
      <c r="AC140" s="60"/>
    </row>
    <row r="141" spans="1:29">
      <c r="A141" s="59"/>
      <c r="B141" s="59"/>
      <c r="C141" s="59"/>
      <c r="D141" s="59"/>
      <c r="E141" s="59"/>
      <c r="F141" s="59"/>
      <c r="G141" s="59"/>
      <c r="H141" s="59"/>
      <c r="I141" s="59"/>
      <c r="J141" s="59"/>
      <c r="K141" s="59"/>
      <c r="L141" s="59"/>
      <c r="M141" s="59"/>
      <c r="N141" s="59"/>
      <c r="O141" s="59"/>
      <c r="P141" s="59"/>
      <c r="Q141" s="59"/>
      <c r="R141" s="59"/>
      <c r="S141" s="59"/>
      <c r="T141" s="60"/>
      <c r="U141" s="60"/>
      <c r="V141" s="60"/>
      <c r="W141" s="60"/>
      <c r="X141" s="60"/>
      <c r="Y141" s="60"/>
      <c r="Z141" s="60"/>
      <c r="AA141" s="60"/>
      <c r="AB141" s="60"/>
      <c r="AC141" s="60"/>
    </row>
    <row r="142" spans="1:29">
      <c r="A142" s="59"/>
      <c r="B142" s="59"/>
      <c r="C142" s="59"/>
      <c r="D142" s="59"/>
      <c r="E142" s="59"/>
      <c r="F142" s="59"/>
      <c r="G142" s="59"/>
      <c r="H142" s="59"/>
      <c r="I142" s="59"/>
      <c r="J142" s="59"/>
      <c r="K142" s="59"/>
      <c r="L142" s="59"/>
      <c r="M142" s="59"/>
      <c r="N142" s="59"/>
      <c r="O142" s="59"/>
      <c r="P142" s="59"/>
      <c r="Q142" s="59"/>
      <c r="R142" s="59"/>
      <c r="S142" s="59"/>
      <c r="T142" s="60"/>
      <c r="U142" s="60"/>
      <c r="V142" s="60"/>
      <c r="W142" s="60"/>
      <c r="X142" s="60"/>
      <c r="Y142" s="60"/>
      <c r="Z142" s="60"/>
      <c r="AA142" s="60"/>
      <c r="AB142" s="60"/>
      <c r="AC142" s="60"/>
    </row>
    <row r="143" spans="1:29">
      <c r="A143" s="59"/>
      <c r="B143" s="59"/>
      <c r="C143" s="59"/>
      <c r="D143" s="59"/>
      <c r="E143" s="59"/>
      <c r="F143" s="59"/>
      <c r="G143" s="59"/>
      <c r="H143" s="59"/>
      <c r="I143" s="59"/>
      <c r="J143" s="59"/>
      <c r="K143" s="59"/>
      <c r="L143" s="59"/>
      <c r="M143" s="59"/>
      <c r="N143" s="59"/>
      <c r="O143" s="59"/>
      <c r="P143" s="59"/>
      <c r="Q143" s="59"/>
      <c r="R143" s="59"/>
      <c r="S143" s="59"/>
      <c r="T143" s="60"/>
      <c r="U143" s="60"/>
      <c r="V143" s="60"/>
      <c r="W143" s="60"/>
      <c r="X143" s="60"/>
      <c r="Y143" s="60"/>
      <c r="Z143" s="60"/>
      <c r="AA143" s="60"/>
      <c r="AB143" s="60"/>
      <c r="AC143" s="60"/>
    </row>
    <row r="144" spans="1:29">
      <c r="A144" s="59"/>
      <c r="B144" s="59"/>
      <c r="C144" s="59"/>
      <c r="D144" s="59"/>
      <c r="E144" s="59"/>
      <c r="F144" s="59"/>
      <c r="G144" s="59"/>
      <c r="H144" s="59"/>
      <c r="I144" s="59"/>
      <c r="J144" s="59"/>
      <c r="K144" s="59"/>
      <c r="L144" s="59"/>
      <c r="M144" s="59"/>
      <c r="N144" s="59"/>
      <c r="O144" s="59"/>
      <c r="P144" s="59"/>
      <c r="Q144" s="59"/>
      <c r="R144" s="59"/>
      <c r="S144" s="59"/>
      <c r="T144" s="60"/>
      <c r="U144" s="60"/>
      <c r="V144" s="60"/>
      <c r="W144" s="60"/>
      <c r="X144" s="60"/>
      <c r="Y144" s="60"/>
      <c r="Z144" s="60"/>
      <c r="AA144" s="60"/>
      <c r="AB144" s="60"/>
      <c r="AC144" s="60"/>
    </row>
    <row r="145" spans="1:29">
      <c r="A145" s="59"/>
      <c r="B145" s="59"/>
      <c r="C145" s="59"/>
      <c r="D145" s="59"/>
      <c r="E145" s="59"/>
      <c r="F145" s="59"/>
      <c r="G145" s="59"/>
      <c r="H145" s="59"/>
      <c r="I145" s="59"/>
      <c r="J145" s="59"/>
      <c r="K145" s="59"/>
      <c r="L145" s="59"/>
      <c r="M145" s="59"/>
      <c r="N145" s="59"/>
      <c r="O145" s="59"/>
      <c r="P145" s="59"/>
      <c r="Q145" s="59"/>
      <c r="R145" s="59"/>
      <c r="S145" s="59"/>
      <c r="T145" s="60"/>
      <c r="U145" s="60"/>
      <c r="V145" s="60"/>
      <c r="W145" s="60"/>
      <c r="X145" s="60"/>
      <c r="Y145" s="60"/>
      <c r="Z145" s="60"/>
      <c r="AA145" s="60"/>
      <c r="AB145" s="60"/>
      <c r="AC145" s="60"/>
    </row>
    <row r="146" spans="1:29">
      <c r="A146" s="59"/>
      <c r="B146" s="59"/>
      <c r="C146" s="59"/>
      <c r="D146" s="59"/>
      <c r="E146" s="59"/>
      <c r="F146" s="59"/>
      <c r="G146" s="59"/>
      <c r="H146" s="59"/>
      <c r="I146" s="59"/>
      <c r="J146" s="59"/>
      <c r="K146" s="59"/>
      <c r="L146" s="59"/>
      <c r="M146" s="59"/>
      <c r="N146" s="59"/>
      <c r="O146" s="59"/>
      <c r="P146" s="59"/>
      <c r="Q146" s="59"/>
      <c r="R146" s="59"/>
      <c r="S146" s="59"/>
      <c r="T146" s="60"/>
      <c r="U146" s="60"/>
      <c r="V146" s="60"/>
      <c r="W146" s="60"/>
      <c r="X146" s="60"/>
      <c r="Y146" s="60"/>
      <c r="Z146" s="60"/>
      <c r="AA146" s="60"/>
      <c r="AB146" s="60"/>
      <c r="AC146" s="60"/>
    </row>
    <row r="147" spans="1:29">
      <c r="A147" s="59"/>
      <c r="B147" s="59"/>
      <c r="C147" s="59"/>
      <c r="D147" s="59"/>
      <c r="E147" s="59"/>
      <c r="F147" s="59"/>
      <c r="G147" s="59"/>
      <c r="H147" s="59"/>
      <c r="I147" s="59"/>
      <c r="J147" s="59"/>
      <c r="K147" s="59"/>
      <c r="L147" s="59"/>
      <c r="M147" s="59"/>
      <c r="N147" s="59"/>
      <c r="O147" s="59"/>
      <c r="P147" s="59"/>
      <c r="Q147" s="59"/>
      <c r="R147" s="59"/>
      <c r="S147" s="59"/>
      <c r="T147" s="60"/>
      <c r="U147" s="60"/>
      <c r="V147" s="60"/>
      <c r="W147" s="60"/>
      <c r="X147" s="60"/>
      <c r="Y147" s="60"/>
      <c r="Z147" s="60"/>
      <c r="AA147" s="60"/>
      <c r="AB147" s="60"/>
      <c r="AC147" s="60"/>
    </row>
    <row r="148" spans="1:29">
      <c r="A148" s="59"/>
      <c r="B148" s="59"/>
      <c r="C148" s="59"/>
      <c r="D148" s="59"/>
      <c r="E148" s="59"/>
      <c r="F148" s="59"/>
      <c r="G148" s="59"/>
      <c r="H148" s="59"/>
      <c r="I148" s="59"/>
      <c r="J148" s="59"/>
      <c r="K148" s="59"/>
      <c r="L148" s="59"/>
      <c r="M148" s="59"/>
      <c r="N148" s="59"/>
      <c r="O148" s="59"/>
      <c r="P148" s="59"/>
      <c r="Q148" s="59"/>
      <c r="R148" s="59"/>
      <c r="S148" s="59"/>
      <c r="T148" s="60"/>
      <c r="U148" s="60"/>
      <c r="V148" s="60"/>
      <c r="W148" s="60"/>
      <c r="X148" s="60"/>
      <c r="Y148" s="60"/>
      <c r="Z148" s="60"/>
      <c r="AA148" s="60"/>
      <c r="AB148" s="60"/>
      <c r="AC148" s="60"/>
    </row>
    <row r="149" spans="1:29">
      <c r="A149" s="59"/>
      <c r="B149" s="59"/>
      <c r="C149" s="59"/>
      <c r="D149" s="59"/>
      <c r="E149" s="59"/>
      <c r="F149" s="59"/>
      <c r="G149" s="59"/>
      <c r="H149" s="59"/>
      <c r="I149" s="59"/>
      <c r="J149" s="59"/>
      <c r="K149" s="59"/>
      <c r="L149" s="59"/>
      <c r="M149" s="59"/>
      <c r="N149" s="59"/>
      <c r="O149" s="59"/>
      <c r="P149" s="59"/>
      <c r="Q149" s="59"/>
      <c r="R149" s="59"/>
      <c r="S149" s="59"/>
      <c r="T149" s="60"/>
      <c r="U149" s="60"/>
      <c r="V149" s="60"/>
      <c r="W149" s="60"/>
      <c r="X149" s="60"/>
      <c r="Y149" s="60"/>
      <c r="Z149" s="60"/>
      <c r="AA149" s="60"/>
      <c r="AB149" s="60"/>
      <c r="AC149" s="60"/>
    </row>
    <row r="150" spans="1:29">
      <c r="A150" s="59"/>
      <c r="B150" s="59"/>
      <c r="C150" s="59"/>
      <c r="D150" s="59"/>
      <c r="E150" s="59"/>
      <c r="F150" s="59"/>
      <c r="G150" s="59"/>
      <c r="H150" s="59"/>
      <c r="I150" s="59"/>
      <c r="J150" s="59"/>
      <c r="K150" s="59"/>
      <c r="L150" s="59"/>
      <c r="M150" s="59"/>
      <c r="N150" s="59"/>
      <c r="O150" s="59"/>
      <c r="P150" s="59"/>
      <c r="Q150" s="59"/>
      <c r="R150" s="59"/>
      <c r="S150" s="59"/>
      <c r="T150" s="60"/>
      <c r="U150" s="60"/>
      <c r="V150" s="60"/>
      <c r="W150" s="60"/>
      <c r="X150" s="60"/>
      <c r="Y150" s="60"/>
      <c r="Z150" s="60"/>
      <c r="AA150" s="60"/>
      <c r="AB150" s="60"/>
      <c r="AC150" s="60"/>
    </row>
    <row r="151" spans="1:29">
      <c r="A151" s="59"/>
      <c r="B151" s="59"/>
      <c r="C151" s="59"/>
      <c r="D151" s="59"/>
      <c r="E151" s="59"/>
      <c r="F151" s="59"/>
      <c r="G151" s="59"/>
      <c r="H151" s="59"/>
      <c r="I151" s="59"/>
      <c r="J151" s="59"/>
      <c r="K151" s="59"/>
      <c r="L151" s="59"/>
      <c r="M151" s="59"/>
      <c r="N151" s="59"/>
      <c r="O151" s="59"/>
      <c r="P151" s="59"/>
      <c r="Q151" s="59"/>
      <c r="R151" s="59"/>
      <c r="S151" s="59"/>
      <c r="T151" s="60"/>
      <c r="U151" s="60"/>
      <c r="V151" s="60"/>
      <c r="W151" s="60"/>
      <c r="X151" s="60"/>
      <c r="Y151" s="60"/>
      <c r="Z151" s="60"/>
      <c r="AA151" s="60"/>
      <c r="AB151" s="60"/>
      <c r="AC151" s="60"/>
    </row>
    <row r="152" spans="1:29">
      <c r="A152" s="59"/>
      <c r="B152" s="59"/>
      <c r="C152" s="59"/>
      <c r="D152" s="59"/>
      <c r="E152" s="59"/>
      <c r="F152" s="59"/>
      <c r="G152" s="59"/>
      <c r="H152" s="59"/>
      <c r="I152" s="59"/>
      <c r="J152" s="59"/>
      <c r="K152" s="59"/>
      <c r="L152" s="59"/>
      <c r="M152" s="59"/>
      <c r="N152" s="59"/>
      <c r="O152" s="59"/>
      <c r="P152" s="59"/>
      <c r="Q152" s="59"/>
      <c r="R152" s="59"/>
      <c r="S152" s="59"/>
      <c r="T152" s="60"/>
      <c r="U152" s="60"/>
      <c r="V152" s="60"/>
      <c r="W152" s="60"/>
      <c r="X152" s="60"/>
      <c r="Y152" s="60"/>
      <c r="Z152" s="60"/>
      <c r="AA152" s="60"/>
      <c r="AB152" s="60"/>
      <c r="AC152" s="60"/>
    </row>
    <row r="153" spans="1:29">
      <c r="A153" s="59"/>
      <c r="B153" s="59"/>
      <c r="C153" s="59"/>
      <c r="D153" s="59"/>
      <c r="E153" s="59"/>
      <c r="F153" s="59"/>
      <c r="G153" s="59"/>
      <c r="H153" s="59"/>
      <c r="I153" s="59"/>
      <c r="J153" s="59"/>
      <c r="K153" s="59"/>
      <c r="L153" s="59"/>
      <c r="M153" s="59"/>
      <c r="N153" s="59"/>
      <c r="O153" s="59"/>
      <c r="P153" s="59"/>
      <c r="Q153" s="59"/>
      <c r="R153" s="59"/>
      <c r="S153" s="59"/>
      <c r="T153" s="60"/>
      <c r="U153" s="60"/>
      <c r="V153" s="60"/>
      <c r="W153" s="60"/>
      <c r="X153" s="60"/>
      <c r="Y153" s="60"/>
      <c r="Z153" s="60"/>
      <c r="AA153" s="60"/>
      <c r="AB153" s="60"/>
      <c r="AC153" s="60"/>
    </row>
    <row r="154" spans="1:29">
      <c r="A154" s="59"/>
      <c r="B154" s="59"/>
      <c r="C154" s="59"/>
      <c r="D154" s="59"/>
      <c r="E154" s="59"/>
      <c r="F154" s="59"/>
      <c r="G154" s="59"/>
      <c r="H154" s="59"/>
      <c r="I154" s="59"/>
      <c r="J154" s="59"/>
      <c r="K154" s="59"/>
      <c r="L154" s="59"/>
      <c r="M154" s="59"/>
      <c r="N154" s="59"/>
      <c r="O154" s="59"/>
      <c r="P154" s="59"/>
      <c r="Q154" s="59"/>
      <c r="R154" s="59"/>
      <c r="S154" s="59"/>
      <c r="T154" s="60"/>
      <c r="U154" s="60"/>
      <c r="V154" s="60"/>
      <c r="W154" s="60"/>
      <c r="X154" s="60"/>
      <c r="Y154" s="60"/>
      <c r="Z154" s="60"/>
      <c r="AA154" s="60"/>
      <c r="AB154" s="60"/>
      <c r="AC154" s="60"/>
    </row>
    <row r="155" spans="1:29">
      <c r="A155" s="59"/>
      <c r="B155" s="59"/>
      <c r="C155" s="59"/>
      <c r="D155" s="59"/>
      <c r="E155" s="59"/>
      <c r="F155" s="59"/>
      <c r="G155" s="59"/>
      <c r="H155" s="59"/>
      <c r="I155" s="59"/>
      <c r="J155" s="59"/>
      <c r="K155" s="59"/>
      <c r="L155" s="59"/>
      <c r="M155" s="59"/>
      <c r="N155" s="59"/>
      <c r="O155" s="59"/>
      <c r="P155" s="59"/>
      <c r="Q155" s="59"/>
      <c r="R155" s="59"/>
      <c r="S155" s="59"/>
      <c r="T155" s="60"/>
      <c r="U155" s="60"/>
      <c r="V155" s="60"/>
      <c r="W155" s="60"/>
      <c r="X155" s="60"/>
      <c r="Y155" s="60"/>
      <c r="Z155" s="60"/>
      <c r="AA155" s="60"/>
      <c r="AB155" s="60"/>
      <c r="AC155" s="60"/>
    </row>
    <row r="156" spans="1:29">
      <c r="A156" s="59"/>
      <c r="B156" s="59"/>
      <c r="C156" s="59"/>
      <c r="D156" s="59"/>
      <c r="E156" s="59"/>
      <c r="F156" s="59"/>
      <c r="G156" s="59"/>
      <c r="H156" s="59"/>
      <c r="I156" s="59"/>
      <c r="J156" s="59"/>
      <c r="K156" s="59"/>
      <c r="L156" s="59"/>
      <c r="M156" s="59"/>
      <c r="N156" s="59"/>
      <c r="O156" s="59"/>
      <c r="P156" s="59"/>
      <c r="Q156" s="59"/>
      <c r="R156" s="59"/>
      <c r="S156" s="59"/>
      <c r="T156" s="60"/>
      <c r="U156" s="60"/>
      <c r="V156" s="60"/>
      <c r="W156" s="60"/>
      <c r="X156" s="60"/>
      <c r="Y156" s="60"/>
      <c r="Z156" s="60"/>
      <c r="AA156" s="60"/>
      <c r="AB156" s="60"/>
      <c r="AC156" s="60"/>
    </row>
    <row r="157" spans="1:29">
      <c r="A157" s="59"/>
      <c r="B157" s="59"/>
      <c r="C157" s="59"/>
      <c r="D157" s="59"/>
      <c r="E157" s="59"/>
      <c r="F157" s="59"/>
      <c r="G157" s="59"/>
      <c r="H157" s="59"/>
      <c r="I157" s="59"/>
      <c r="J157" s="59"/>
      <c r="K157" s="59"/>
      <c r="L157" s="59"/>
      <c r="M157" s="59"/>
      <c r="N157" s="59"/>
      <c r="O157" s="59"/>
      <c r="P157" s="59"/>
      <c r="Q157" s="59"/>
      <c r="R157" s="59"/>
      <c r="S157" s="59"/>
      <c r="T157" s="60"/>
      <c r="U157" s="60"/>
      <c r="V157" s="60"/>
      <c r="W157" s="60"/>
      <c r="X157" s="60"/>
      <c r="Y157" s="60"/>
      <c r="Z157" s="60"/>
      <c r="AA157" s="60"/>
      <c r="AB157" s="60"/>
      <c r="AC157" s="60"/>
    </row>
    <row r="158" spans="1:29">
      <c r="A158" s="59"/>
      <c r="B158" s="59"/>
      <c r="C158" s="59"/>
      <c r="D158" s="59"/>
      <c r="E158" s="59"/>
      <c r="F158" s="59"/>
      <c r="G158" s="59"/>
      <c r="H158" s="59"/>
      <c r="I158" s="59"/>
      <c r="J158" s="59"/>
      <c r="K158" s="59"/>
      <c r="L158" s="59"/>
      <c r="M158" s="59"/>
      <c r="N158" s="59"/>
      <c r="O158" s="59"/>
      <c r="P158" s="59"/>
      <c r="Q158" s="59"/>
      <c r="R158" s="59"/>
      <c r="S158" s="59"/>
      <c r="T158" s="60"/>
      <c r="U158" s="60"/>
      <c r="V158" s="60"/>
      <c r="W158" s="60"/>
      <c r="X158" s="60"/>
      <c r="Y158" s="60"/>
      <c r="Z158" s="60"/>
      <c r="AA158" s="60"/>
      <c r="AB158" s="60"/>
      <c r="AC158" s="60"/>
    </row>
    <row r="159" spans="1:29">
      <c r="A159" s="59"/>
      <c r="B159" s="59"/>
      <c r="C159" s="59"/>
      <c r="D159" s="59"/>
      <c r="E159" s="59"/>
      <c r="F159" s="59"/>
      <c r="G159" s="59"/>
      <c r="H159" s="59"/>
      <c r="I159" s="59"/>
      <c r="J159" s="59"/>
      <c r="K159" s="59"/>
      <c r="L159" s="59"/>
      <c r="M159" s="59"/>
      <c r="N159" s="59"/>
      <c r="O159" s="59"/>
      <c r="P159" s="59"/>
      <c r="Q159" s="59"/>
      <c r="R159" s="59"/>
      <c r="S159" s="59"/>
      <c r="T159" s="60"/>
      <c r="U159" s="60"/>
      <c r="V159" s="60"/>
      <c r="W159" s="60"/>
      <c r="X159" s="60"/>
      <c r="Y159" s="60"/>
      <c r="Z159" s="60"/>
      <c r="AA159" s="60"/>
      <c r="AB159" s="60"/>
      <c r="AC159" s="60"/>
    </row>
    <row r="160" spans="1:29">
      <c r="A160" s="59"/>
      <c r="B160" s="59"/>
      <c r="C160" s="59"/>
      <c r="D160" s="59"/>
      <c r="E160" s="59"/>
      <c r="F160" s="59"/>
      <c r="G160" s="59"/>
      <c r="H160" s="59"/>
      <c r="I160" s="59"/>
      <c r="J160" s="59"/>
      <c r="K160" s="59"/>
      <c r="L160" s="59"/>
      <c r="M160" s="59"/>
      <c r="N160" s="59"/>
      <c r="O160" s="59"/>
      <c r="P160" s="59"/>
      <c r="Q160" s="59"/>
      <c r="R160" s="59"/>
      <c r="S160" s="59"/>
      <c r="T160" s="60"/>
      <c r="U160" s="60"/>
      <c r="V160" s="60"/>
      <c r="W160" s="60"/>
      <c r="X160" s="60"/>
      <c r="Y160" s="60"/>
      <c r="Z160" s="60"/>
      <c r="AA160" s="60"/>
      <c r="AB160" s="60"/>
      <c r="AC160" s="60"/>
    </row>
    <row r="161" spans="1:29">
      <c r="A161" s="59"/>
      <c r="B161" s="59"/>
      <c r="C161" s="59"/>
      <c r="D161" s="59"/>
      <c r="E161" s="59"/>
      <c r="F161" s="59"/>
      <c r="G161" s="59"/>
      <c r="H161" s="59"/>
      <c r="I161" s="59"/>
      <c r="J161" s="59"/>
      <c r="K161" s="59"/>
      <c r="L161" s="59"/>
      <c r="M161" s="59"/>
      <c r="N161" s="59"/>
      <c r="O161" s="59"/>
      <c r="P161" s="59"/>
      <c r="Q161" s="59"/>
      <c r="R161" s="59"/>
      <c r="S161" s="59"/>
      <c r="T161" s="60"/>
      <c r="U161" s="60"/>
      <c r="V161" s="60"/>
      <c r="W161" s="60"/>
      <c r="X161" s="60"/>
      <c r="Y161" s="60"/>
      <c r="Z161" s="60"/>
      <c r="AA161" s="60"/>
      <c r="AB161" s="60"/>
      <c r="AC161" s="60"/>
    </row>
    <row r="162" spans="1:29">
      <c r="A162" s="59"/>
      <c r="B162" s="59"/>
      <c r="C162" s="59"/>
      <c r="D162" s="59"/>
      <c r="E162" s="59"/>
      <c r="F162" s="59"/>
      <c r="G162" s="59"/>
      <c r="H162" s="59"/>
      <c r="I162" s="59"/>
      <c r="J162" s="59"/>
      <c r="K162" s="59"/>
      <c r="L162" s="59"/>
      <c r="M162" s="59"/>
      <c r="N162" s="59"/>
      <c r="O162" s="59"/>
      <c r="P162" s="59"/>
      <c r="Q162" s="59"/>
      <c r="R162" s="59"/>
      <c r="S162" s="59"/>
      <c r="T162" s="60"/>
      <c r="U162" s="60"/>
      <c r="V162" s="60"/>
      <c r="W162" s="60"/>
      <c r="X162" s="60"/>
      <c r="Y162" s="60"/>
      <c r="Z162" s="60"/>
      <c r="AA162" s="60"/>
      <c r="AB162" s="60"/>
      <c r="AC162" s="60"/>
    </row>
    <row r="163" spans="1:29">
      <c r="A163" s="59"/>
      <c r="B163" s="59"/>
      <c r="C163" s="59"/>
      <c r="D163" s="59"/>
      <c r="E163" s="59"/>
      <c r="F163" s="59"/>
      <c r="G163" s="59"/>
      <c r="H163" s="59"/>
      <c r="I163" s="59"/>
      <c r="J163" s="59"/>
      <c r="K163" s="59"/>
      <c r="L163" s="59"/>
      <c r="M163" s="59"/>
      <c r="N163" s="59"/>
      <c r="O163" s="59"/>
      <c r="P163" s="59"/>
      <c r="Q163" s="59"/>
      <c r="R163" s="59"/>
      <c r="S163" s="59"/>
      <c r="T163" s="60"/>
      <c r="U163" s="60"/>
      <c r="V163" s="60"/>
      <c r="W163" s="60"/>
      <c r="X163" s="60"/>
      <c r="Y163" s="60"/>
      <c r="Z163" s="60"/>
      <c r="AA163" s="60"/>
      <c r="AB163" s="60"/>
      <c r="AC163" s="60"/>
    </row>
    <row r="164" spans="1:29">
      <c r="A164" s="59"/>
      <c r="B164" s="59"/>
      <c r="C164" s="59"/>
      <c r="D164" s="59"/>
      <c r="E164" s="59"/>
      <c r="F164" s="59"/>
      <c r="G164" s="59"/>
      <c r="H164" s="59"/>
      <c r="I164" s="59"/>
      <c r="J164" s="59"/>
      <c r="K164" s="59"/>
      <c r="L164" s="59"/>
      <c r="M164" s="59"/>
      <c r="N164" s="59"/>
      <c r="O164" s="59"/>
      <c r="P164" s="59"/>
      <c r="Q164" s="59"/>
      <c r="R164" s="59"/>
      <c r="S164" s="59"/>
      <c r="T164" s="60"/>
      <c r="U164" s="60"/>
      <c r="V164" s="60"/>
      <c r="W164" s="60"/>
      <c r="X164" s="60"/>
      <c r="Y164" s="60"/>
      <c r="Z164" s="60"/>
      <c r="AA164" s="60"/>
      <c r="AB164" s="60"/>
      <c r="AC164" s="60"/>
    </row>
    <row r="165" spans="1:29">
      <c r="A165" s="59"/>
      <c r="B165" s="59"/>
      <c r="C165" s="59"/>
      <c r="D165" s="59"/>
      <c r="E165" s="59"/>
      <c r="F165" s="59"/>
      <c r="G165" s="59"/>
      <c r="H165" s="59"/>
      <c r="I165" s="59"/>
      <c r="J165" s="59"/>
      <c r="K165" s="59"/>
      <c r="L165" s="59"/>
      <c r="M165" s="59"/>
      <c r="N165" s="59"/>
      <c r="O165" s="59"/>
      <c r="P165" s="59"/>
      <c r="Q165" s="59"/>
      <c r="R165" s="59"/>
      <c r="S165" s="59"/>
      <c r="T165" s="60"/>
      <c r="U165" s="60"/>
      <c r="V165" s="60"/>
      <c r="W165" s="60"/>
      <c r="X165" s="60"/>
      <c r="Y165" s="60"/>
      <c r="Z165" s="60"/>
      <c r="AA165" s="60"/>
      <c r="AB165" s="60"/>
      <c r="AC165" s="60"/>
    </row>
    <row r="166" spans="1:29">
      <c r="A166" s="59"/>
      <c r="B166" s="59"/>
      <c r="C166" s="59"/>
      <c r="D166" s="59"/>
      <c r="E166" s="59"/>
      <c r="F166" s="59"/>
      <c r="G166" s="59"/>
      <c r="H166" s="59"/>
      <c r="I166" s="59"/>
      <c r="J166" s="59"/>
      <c r="K166" s="59"/>
      <c r="L166" s="59"/>
      <c r="M166" s="59"/>
      <c r="N166" s="59"/>
      <c r="O166" s="59"/>
      <c r="P166" s="59"/>
      <c r="Q166" s="59"/>
      <c r="R166" s="59"/>
      <c r="S166" s="59"/>
      <c r="T166" s="60"/>
      <c r="U166" s="60"/>
      <c r="V166" s="60"/>
      <c r="W166" s="60"/>
      <c r="X166" s="60"/>
      <c r="Y166" s="60"/>
      <c r="Z166" s="60"/>
      <c r="AA166" s="60"/>
      <c r="AB166" s="60"/>
      <c r="AC166" s="60"/>
    </row>
    <row r="167" spans="1:29">
      <c r="A167" s="59"/>
      <c r="B167" s="59"/>
      <c r="C167" s="59"/>
      <c r="D167" s="59"/>
      <c r="E167" s="59"/>
      <c r="F167" s="59"/>
      <c r="G167" s="59"/>
      <c r="H167" s="59"/>
      <c r="I167" s="59"/>
      <c r="J167" s="59"/>
      <c r="K167" s="59"/>
      <c r="L167" s="59"/>
      <c r="M167" s="59"/>
      <c r="N167" s="59"/>
      <c r="O167" s="59"/>
      <c r="P167" s="59"/>
      <c r="Q167" s="59"/>
      <c r="R167" s="59"/>
      <c r="S167" s="59"/>
      <c r="T167" s="60"/>
      <c r="U167" s="60"/>
      <c r="V167" s="60"/>
      <c r="W167" s="60"/>
      <c r="X167" s="60"/>
      <c r="Y167" s="60"/>
      <c r="Z167" s="60"/>
      <c r="AA167" s="60"/>
      <c r="AB167" s="60"/>
      <c r="AC167" s="60"/>
    </row>
    <row r="168" spans="1:29">
      <c r="A168" s="59"/>
      <c r="B168" s="59"/>
      <c r="C168" s="59"/>
      <c r="D168" s="59"/>
      <c r="E168" s="59"/>
      <c r="F168" s="59"/>
      <c r="G168" s="59"/>
      <c r="H168" s="59"/>
      <c r="I168" s="59"/>
      <c r="J168" s="59"/>
      <c r="K168" s="59"/>
      <c r="L168" s="59"/>
      <c r="M168" s="59"/>
      <c r="N168" s="59"/>
      <c r="O168" s="59"/>
      <c r="P168" s="59"/>
      <c r="Q168" s="59"/>
      <c r="R168" s="59"/>
      <c r="S168" s="59"/>
      <c r="T168" s="60"/>
      <c r="U168" s="60"/>
      <c r="V168" s="60"/>
      <c r="W168" s="60"/>
      <c r="X168" s="60"/>
      <c r="Y168" s="60"/>
      <c r="Z168" s="60"/>
      <c r="AA168" s="60"/>
      <c r="AB168" s="60"/>
      <c r="AC168" s="60"/>
    </row>
    <row r="169" spans="1:29">
      <c r="A169" s="59"/>
      <c r="B169" s="59"/>
      <c r="C169" s="59"/>
      <c r="D169" s="59"/>
      <c r="E169" s="59"/>
      <c r="F169" s="59"/>
      <c r="G169" s="59"/>
      <c r="H169" s="59"/>
      <c r="I169" s="59"/>
      <c r="J169" s="59"/>
      <c r="K169" s="59"/>
      <c r="L169" s="59"/>
      <c r="M169" s="59"/>
      <c r="N169" s="59"/>
      <c r="O169" s="59"/>
      <c r="P169" s="59"/>
      <c r="Q169" s="59"/>
      <c r="R169" s="59"/>
      <c r="S169" s="59"/>
      <c r="T169" s="60"/>
      <c r="U169" s="60"/>
      <c r="V169" s="60"/>
      <c r="W169" s="60"/>
      <c r="X169" s="60"/>
      <c r="Y169" s="60"/>
      <c r="Z169" s="60"/>
      <c r="AA169" s="60"/>
      <c r="AB169" s="60"/>
      <c r="AC169" s="60"/>
    </row>
    <row r="170" spans="1:29">
      <c r="A170" s="59"/>
      <c r="B170" s="59"/>
      <c r="C170" s="59"/>
      <c r="D170" s="59"/>
      <c r="E170" s="59"/>
      <c r="F170" s="59"/>
      <c r="G170" s="59"/>
      <c r="H170" s="59"/>
      <c r="I170" s="59"/>
      <c r="J170" s="59"/>
      <c r="K170" s="59"/>
      <c r="L170" s="59"/>
      <c r="M170" s="59"/>
      <c r="N170" s="59"/>
      <c r="O170" s="59"/>
      <c r="P170" s="59"/>
      <c r="Q170" s="59"/>
      <c r="R170" s="59"/>
      <c r="S170" s="59"/>
      <c r="T170" s="60"/>
      <c r="U170" s="60"/>
      <c r="V170" s="60"/>
      <c r="W170" s="60"/>
      <c r="X170" s="60"/>
      <c r="Y170" s="60"/>
      <c r="Z170" s="60"/>
      <c r="AA170" s="60"/>
      <c r="AB170" s="60"/>
      <c r="AC170" s="60"/>
    </row>
    <row r="171" spans="1:29">
      <c r="A171" s="59"/>
      <c r="B171" s="59"/>
      <c r="C171" s="59"/>
      <c r="D171" s="59"/>
      <c r="E171" s="59"/>
      <c r="F171" s="59"/>
      <c r="G171" s="59"/>
      <c r="H171" s="59"/>
      <c r="I171" s="59"/>
      <c r="J171" s="59"/>
      <c r="K171" s="59"/>
      <c r="L171" s="59"/>
      <c r="M171" s="59"/>
      <c r="N171" s="59"/>
      <c r="O171" s="59"/>
      <c r="P171" s="59"/>
      <c r="Q171" s="59"/>
      <c r="R171" s="59"/>
      <c r="S171" s="59"/>
      <c r="T171" s="60"/>
      <c r="U171" s="60"/>
      <c r="V171" s="60"/>
      <c r="W171" s="60"/>
      <c r="X171" s="60"/>
      <c r="Y171" s="60"/>
      <c r="Z171" s="60"/>
      <c r="AA171" s="60"/>
      <c r="AB171" s="60"/>
      <c r="AC171" s="60"/>
    </row>
    <row r="172" spans="1:29">
      <c r="A172" s="59"/>
      <c r="B172" s="59"/>
      <c r="C172" s="59"/>
      <c r="D172" s="59"/>
      <c r="E172" s="59"/>
      <c r="F172" s="59"/>
      <c r="G172" s="59"/>
      <c r="H172" s="59"/>
      <c r="I172" s="59"/>
      <c r="J172" s="59"/>
      <c r="K172" s="59"/>
      <c r="L172" s="59"/>
      <c r="M172" s="59"/>
      <c r="N172" s="59"/>
      <c r="O172" s="59"/>
      <c r="P172" s="59"/>
      <c r="Q172" s="59"/>
      <c r="R172" s="59"/>
      <c r="S172" s="59"/>
      <c r="T172" s="60"/>
      <c r="U172" s="60"/>
      <c r="V172" s="60"/>
      <c r="W172" s="60"/>
      <c r="X172" s="60"/>
      <c r="Y172" s="60"/>
      <c r="Z172" s="60"/>
      <c r="AA172" s="60"/>
      <c r="AB172" s="60"/>
      <c r="AC172" s="60"/>
    </row>
    <row r="173" spans="1:29">
      <c r="A173" s="59"/>
      <c r="B173" s="59"/>
      <c r="C173" s="59"/>
      <c r="D173" s="59"/>
      <c r="E173" s="59"/>
      <c r="F173" s="59"/>
      <c r="G173" s="59"/>
      <c r="H173" s="59"/>
      <c r="I173" s="59"/>
      <c r="J173" s="59"/>
      <c r="K173" s="59"/>
      <c r="L173" s="59"/>
      <c r="M173" s="59"/>
      <c r="N173" s="59"/>
      <c r="O173" s="59"/>
      <c r="P173" s="59"/>
      <c r="Q173" s="59"/>
      <c r="R173" s="59"/>
      <c r="S173" s="59"/>
      <c r="T173" s="60"/>
      <c r="U173" s="60"/>
      <c r="V173" s="60"/>
      <c r="W173" s="60"/>
      <c r="X173" s="60"/>
      <c r="Y173" s="60"/>
      <c r="Z173" s="60"/>
      <c r="AA173" s="60"/>
      <c r="AB173" s="60"/>
      <c r="AC173" s="60"/>
    </row>
    <row r="174" spans="1:29">
      <c r="A174" s="59"/>
      <c r="B174" s="59"/>
      <c r="C174" s="59"/>
      <c r="D174" s="59"/>
      <c r="E174" s="59"/>
      <c r="F174" s="59"/>
      <c r="G174" s="59"/>
      <c r="H174" s="59"/>
      <c r="I174" s="59"/>
      <c r="J174" s="59"/>
      <c r="K174" s="59"/>
      <c r="L174" s="59"/>
      <c r="M174" s="59"/>
      <c r="N174" s="59"/>
      <c r="O174" s="59"/>
      <c r="P174" s="59"/>
      <c r="Q174" s="59"/>
      <c r="R174" s="59"/>
      <c r="S174" s="59"/>
      <c r="T174" s="60"/>
      <c r="U174" s="60"/>
      <c r="V174" s="60"/>
      <c r="W174" s="60"/>
      <c r="X174" s="60"/>
      <c r="Y174" s="60"/>
      <c r="Z174" s="60"/>
      <c r="AA174" s="60"/>
      <c r="AB174" s="60"/>
      <c r="AC174" s="60"/>
    </row>
    <row r="175" spans="1:29">
      <c r="A175" s="59"/>
      <c r="B175" s="59"/>
      <c r="C175" s="59"/>
      <c r="D175" s="59"/>
      <c r="E175" s="59"/>
      <c r="F175" s="59"/>
      <c r="G175" s="59"/>
      <c r="H175" s="59"/>
      <c r="I175" s="59"/>
      <c r="J175" s="59"/>
      <c r="K175" s="59"/>
      <c r="L175" s="59"/>
      <c r="M175" s="59"/>
      <c r="N175" s="59"/>
      <c r="O175" s="59"/>
      <c r="P175" s="59"/>
      <c r="Q175" s="59"/>
      <c r="R175" s="59"/>
      <c r="S175" s="59"/>
      <c r="T175" s="60"/>
      <c r="U175" s="60"/>
      <c r="V175" s="60"/>
      <c r="W175" s="60"/>
      <c r="X175" s="60"/>
      <c r="Y175" s="60"/>
      <c r="Z175" s="60"/>
      <c r="AA175" s="60"/>
      <c r="AB175" s="60"/>
      <c r="AC175" s="60"/>
    </row>
    <row r="176" spans="1:29">
      <c r="A176" s="59"/>
      <c r="B176" s="59"/>
      <c r="C176" s="59"/>
      <c r="D176" s="59"/>
      <c r="E176" s="59"/>
      <c r="F176" s="59"/>
      <c r="G176" s="59"/>
      <c r="H176" s="59"/>
      <c r="I176" s="59"/>
      <c r="J176" s="59"/>
      <c r="K176" s="59"/>
      <c r="L176" s="59"/>
      <c r="M176" s="59"/>
      <c r="N176" s="59"/>
      <c r="O176" s="59"/>
      <c r="P176" s="59"/>
      <c r="Q176" s="59"/>
      <c r="R176" s="59"/>
      <c r="S176" s="59"/>
      <c r="T176" s="60"/>
      <c r="U176" s="60"/>
      <c r="V176" s="60"/>
      <c r="W176" s="60"/>
      <c r="X176" s="60"/>
      <c r="Y176" s="60"/>
      <c r="Z176" s="60"/>
      <c r="AA176" s="60"/>
      <c r="AB176" s="60"/>
      <c r="AC176" s="60"/>
    </row>
    <row r="177" spans="1:29">
      <c r="A177" s="59"/>
      <c r="B177" s="59"/>
      <c r="C177" s="59"/>
      <c r="D177" s="59"/>
      <c r="E177" s="59"/>
      <c r="F177" s="59"/>
      <c r="G177" s="59"/>
      <c r="H177" s="59"/>
      <c r="I177" s="59"/>
      <c r="J177" s="59"/>
      <c r="K177" s="59"/>
      <c r="L177" s="59"/>
      <c r="M177" s="59"/>
      <c r="N177" s="59"/>
      <c r="O177" s="59"/>
      <c r="P177" s="59"/>
      <c r="Q177" s="59"/>
      <c r="R177" s="59"/>
      <c r="S177" s="59"/>
      <c r="T177" s="60"/>
      <c r="U177" s="60"/>
      <c r="V177" s="60"/>
      <c r="W177" s="60"/>
      <c r="X177" s="60"/>
      <c r="Y177" s="60"/>
      <c r="Z177" s="60"/>
      <c r="AA177" s="60"/>
      <c r="AB177" s="60"/>
      <c r="AC177" s="60"/>
    </row>
    <row r="178" spans="1:29">
      <c r="A178" s="59"/>
      <c r="B178" s="59"/>
      <c r="C178" s="59"/>
      <c r="D178" s="59"/>
      <c r="E178" s="59"/>
      <c r="F178" s="59"/>
      <c r="G178" s="59"/>
      <c r="H178" s="59"/>
      <c r="I178" s="59"/>
      <c r="J178" s="59"/>
      <c r="K178" s="59"/>
      <c r="L178" s="59"/>
      <c r="M178" s="59"/>
      <c r="N178" s="59"/>
      <c r="O178" s="59"/>
      <c r="P178" s="59"/>
      <c r="Q178" s="59"/>
      <c r="R178" s="59"/>
      <c r="S178" s="59"/>
      <c r="T178" s="60"/>
      <c r="U178" s="60"/>
      <c r="V178" s="60"/>
      <c r="W178" s="60"/>
      <c r="X178" s="60"/>
      <c r="Y178" s="60"/>
      <c r="Z178" s="60"/>
      <c r="AA178" s="60"/>
      <c r="AB178" s="60"/>
      <c r="AC178" s="60"/>
    </row>
    <row r="179" spans="1:29">
      <c r="A179" s="59"/>
      <c r="B179" s="59"/>
      <c r="C179" s="59"/>
      <c r="D179" s="59"/>
      <c r="E179" s="59"/>
      <c r="F179" s="59"/>
      <c r="G179" s="59"/>
      <c r="H179" s="59"/>
      <c r="I179" s="59"/>
      <c r="J179" s="59"/>
      <c r="K179" s="59"/>
      <c r="L179" s="59"/>
      <c r="M179" s="59"/>
      <c r="N179" s="59"/>
      <c r="O179" s="59"/>
      <c r="P179" s="59"/>
      <c r="Q179" s="59"/>
      <c r="R179" s="59"/>
      <c r="S179" s="59"/>
      <c r="T179" s="60"/>
      <c r="U179" s="60"/>
      <c r="V179" s="60"/>
      <c r="W179" s="60"/>
      <c r="X179" s="60"/>
      <c r="Y179" s="60"/>
      <c r="Z179" s="60"/>
      <c r="AA179" s="60"/>
      <c r="AB179" s="60"/>
      <c r="AC179" s="60"/>
    </row>
    <row r="180" spans="1:29">
      <c r="A180" s="59"/>
      <c r="B180" s="59"/>
      <c r="C180" s="59"/>
      <c r="D180" s="59"/>
      <c r="E180" s="59"/>
      <c r="F180" s="59"/>
      <c r="G180" s="59"/>
      <c r="H180" s="59"/>
      <c r="I180" s="59"/>
      <c r="J180" s="59"/>
      <c r="K180" s="59"/>
      <c r="L180" s="59"/>
      <c r="M180" s="59"/>
      <c r="N180" s="59"/>
      <c r="O180" s="59"/>
      <c r="P180" s="59"/>
      <c r="Q180" s="59"/>
      <c r="R180" s="59"/>
      <c r="S180" s="59"/>
      <c r="T180" s="60"/>
      <c r="U180" s="60"/>
      <c r="V180" s="60"/>
      <c r="W180" s="60"/>
      <c r="X180" s="60"/>
      <c r="Y180" s="60"/>
      <c r="Z180" s="60"/>
      <c r="AA180" s="60"/>
      <c r="AB180" s="60"/>
      <c r="AC180" s="60"/>
    </row>
    <row r="181" spans="1:29">
      <c r="A181" s="59"/>
      <c r="B181" s="59"/>
      <c r="C181" s="59"/>
      <c r="D181" s="59"/>
      <c r="E181" s="59"/>
      <c r="F181" s="59"/>
      <c r="G181" s="59"/>
      <c r="H181" s="59"/>
      <c r="I181" s="59"/>
      <c r="J181" s="59"/>
      <c r="K181" s="59"/>
      <c r="L181" s="59"/>
      <c r="M181" s="59"/>
      <c r="N181" s="59"/>
      <c r="O181" s="59"/>
      <c r="P181" s="59"/>
      <c r="Q181" s="59"/>
      <c r="R181" s="59"/>
      <c r="S181" s="59"/>
      <c r="T181" s="60"/>
      <c r="U181" s="60"/>
      <c r="V181" s="60"/>
      <c r="W181" s="60"/>
      <c r="X181" s="60"/>
      <c r="Y181" s="60"/>
      <c r="Z181" s="60"/>
      <c r="AA181" s="60"/>
      <c r="AB181" s="60"/>
      <c r="AC181" s="60"/>
    </row>
    <row r="182" spans="1:29">
      <c r="A182" s="59"/>
      <c r="B182" s="59"/>
      <c r="C182" s="59"/>
      <c r="D182" s="59"/>
      <c r="E182" s="59"/>
      <c r="F182" s="59"/>
      <c r="G182" s="59"/>
      <c r="H182" s="59"/>
      <c r="I182" s="59"/>
      <c r="J182" s="59"/>
      <c r="K182" s="59"/>
      <c r="L182" s="59"/>
      <c r="M182" s="59"/>
      <c r="N182" s="59"/>
      <c r="O182" s="59"/>
      <c r="P182" s="59"/>
      <c r="Q182" s="59"/>
      <c r="R182" s="59"/>
      <c r="S182" s="59"/>
      <c r="T182" s="60"/>
      <c r="U182" s="60"/>
      <c r="V182" s="60"/>
      <c r="W182" s="60"/>
      <c r="X182" s="60"/>
      <c r="Y182" s="60"/>
      <c r="Z182" s="60"/>
      <c r="AA182" s="60"/>
      <c r="AB182" s="60"/>
      <c r="AC182" s="60"/>
    </row>
    <row r="183" spans="1:29">
      <c r="A183" s="59"/>
      <c r="B183" s="59"/>
      <c r="C183" s="59"/>
      <c r="D183" s="59"/>
      <c r="E183" s="59"/>
      <c r="F183" s="59"/>
      <c r="G183" s="59"/>
      <c r="H183" s="59"/>
      <c r="I183" s="59"/>
      <c r="J183" s="59"/>
      <c r="K183" s="59"/>
      <c r="L183" s="59"/>
      <c r="M183" s="59"/>
      <c r="N183" s="59"/>
      <c r="O183" s="59"/>
      <c r="P183" s="59"/>
      <c r="Q183" s="59"/>
      <c r="R183" s="59"/>
      <c r="S183" s="59"/>
      <c r="T183" s="60"/>
      <c r="U183" s="60"/>
      <c r="V183" s="60"/>
      <c r="W183" s="60"/>
      <c r="X183" s="60"/>
      <c r="Y183" s="60"/>
      <c r="Z183" s="60"/>
      <c r="AA183" s="60"/>
      <c r="AB183" s="60"/>
      <c r="AC183" s="60"/>
    </row>
    <row r="184" spans="1:29">
      <c r="A184" s="59"/>
      <c r="B184" s="59"/>
      <c r="C184" s="59"/>
      <c r="D184" s="59"/>
      <c r="E184" s="59"/>
      <c r="F184" s="59"/>
      <c r="G184" s="59"/>
      <c r="H184" s="59"/>
      <c r="I184" s="59"/>
      <c r="J184" s="59"/>
      <c r="K184" s="59"/>
      <c r="L184" s="59"/>
      <c r="M184" s="59"/>
      <c r="N184" s="59"/>
      <c r="O184" s="59"/>
      <c r="P184" s="59"/>
      <c r="Q184" s="59"/>
      <c r="R184" s="59"/>
      <c r="S184" s="59"/>
      <c r="T184" s="60"/>
      <c r="U184" s="60"/>
      <c r="V184" s="60"/>
      <c r="W184" s="60"/>
      <c r="X184" s="60"/>
      <c r="Y184" s="60"/>
      <c r="Z184" s="60"/>
      <c r="AA184" s="60"/>
      <c r="AB184" s="60"/>
      <c r="AC184" s="60"/>
    </row>
    <row r="185" spans="1:29">
      <c r="A185" s="59"/>
      <c r="B185" s="59"/>
      <c r="C185" s="59"/>
      <c r="D185" s="59"/>
      <c r="E185" s="59"/>
      <c r="F185" s="59"/>
      <c r="G185" s="59"/>
      <c r="H185" s="59"/>
      <c r="I185" s="59"/>
      <c r="J185" s="59"/>
      <c r="K185" s="59"/>
      <c r="L185" s="59"/>
      <c r="M185" s="59"/>
      <c r="N185" s="59"/>
      <c r="O185" s="59"/>
      <c r="P185" s="59"/>
      <c r="Q185" s="84"/>
      <c r="R185" s="84"/>
      <c r="S185" s="84"/>
      <c r="T185" s="60"/>
      <c r="U185" s="60"/>
      <c r="V185" s="60"/>
      <c r="W185" s="60"/>
      <c r="X185" s="60"/>
      <c r="Y185" s="60"/>
      <c r="Z185" s="60"/>
      <c r="AA185" s="60"/>
      <c r="AB185" s="60"/>
      <c r="AC185" s="60"/>
    </row>
    <row r="186" spans="1:29">
      <c r="A186" s="59"/>
      <c r="B186" s="59"/>
      <c r="C186" s="59"/>
      <c r="D186" s="59"/>
      <c r="E186" s="59"/>
      <c r="F186" s="59"/>
      <c r="G186" s="59"/>
      <c r="H186" s="59"/>
      <c r="I186" s="59"/>
      <c r="J186" s="59"/>
      <c r="K186" s="59"/>
      <c r="L186" s="59"/>
      <c r="M186" s="59"/>
      <c r="N186" s="59"/>
      <c r="O186" s="59"/>
      <c r="P186" s="59"/>
      <c r="Q186" s="84"/>
      <c r="R186" s="84"/>
      <c r="S186" s="84"/>
      <c r="T186" s="60"/>
      <c r="U186" s="60"/>
      <c r="V186" s="60"/>
      <c r="W186" s="60"/>
      <c r="X186" s="60"/>
      <c r="Y186" s="60"/>
      <c r="Z186" s="60"/>
      <c r="AA186" s="60"/>
      <c r="AB186" s="60"/>
      <c r="AC186" s="60"/>
    </row>
    <row r="187" spans="1:29">
      <c r="A187" s="59"/>
      <c r="B187" s="59"/>
      <c r="C187" s="59"/>
      <c r="D187" s="59"/>
      <c r="E187" s="59"/>
      <c r="F187" s="59"/>
      <c r="G187" s="59"/>
      <c r="H187" s="59"/>
      <c r="I187" s="59"/>
      <c r="J187" s="59"/>
      <c r="K187" s="59"/>
      <c r="L187" s="59"/>
      <c r="M187" s="59"/>
      <c r="N187" s="59"/>
      <c r="O187" s="59"/>
      <c r="P187" s="59"/>
      <c r="Q187" s="84"/>
      <c r="R187" s="84"/>
      <c r="S187" s="84"/>
      <c r="T187" s="60"/>
      <c r="U187" s="60"/>
      <c r="V187" s="60"/>
      <c r="W187" s="60"/>
      <c r="X187" s="60"/>
      <c r="Y187" s="60"/>
      <c r="Z187" s="60"/>
      <c r="AA187" s="60"/>
      <c r="AB187" s="60"/>
      <c r="AC187" s="60"/>
    </row>
    <row r="188" spans="1:29">
      <c r="A188" s="59"/>
      <c r="B188" s="59"/>
      <c r="C188" s="59"/>
      <c r="D188" s="59"/>
      <c r="E188" s="59"/>
      <c r="F188" s="59"/>
      <c r="G188" s="59"/>
      <c r="H188" s="59"/>
      <c r="I188" s="59"/>
      <c r="J188" s="59"/>
      <c r="K188" s="59"/>
      <c r="L188" s="59"/>
      <c r="M188" s="59"/>
      <c r="N188" s="59"/>
      <c r="O188" s="59"/>
      <c r="P188" s="59"/>
      <c r="Q188" s="84"/>
      <c r="R188" s="84"/>
      <c r="S188" s="84"/>
      <c r="T188" s="60"/>
      <c r="U188" s="60"/>
      <c r="V188" s="60"/>
      <c r="W188" s="60"/>
      <c r="X188" s="60"/>
      <c r="Y188" s="60"/>
      <c r="Z188" s="60"/>
      <c r="AA188" s="60"/>
      <c r="AB188" s="60"/>
      <c r="AC188" s="60"/>
    </row>
    <row r="189" spans="1:29">
      <c r="A189" s="84"/>
      <c r="B189" s="59"/>
      <c r="C189" s="59"/>
      <c r="D189" s="59"/>
      <c r="E189" s="59"/>
      <c r="F189" s="59"/>
      <c r="G189" s="59"/>
      <c r="H189" s="59"/>
      <c r="I189" s="59"/>
      <c r="J189" s="59"/>
      <c r="K189" s="59"/>
      <c r="L189" s="59"/>
      <c r="M189" s="84"/>
      <c r="N189" s="84"/>
      <c r="O189" s="84"/>
      <c r="P189" s="84"/>
      <c r="Q189" s="84"/>
      <c r="R189" s="84"/>
      <c r="S189" s="84"/>
    </row>
    <row r="190" spans="1:29">
      <c r="A190" s="84"/>
      <c r="B190" s="84"/>
      <c r="C190" s="84"/>
      <c r="D190" s="84"/>
      <c r="E190" s="84"/>
      <c r="F190" s="84"/>
      <c r="G190" s="84"/>
      <c r="H190" s="84"/>
      <c r="I190" s="84"/>
      <c r="J190" s="84"/>
      <c r="K190" s="84"/>
      <c r="L190" s="84"/>
      <c r="M190" s="84"/>
      <c r="N190" s="84"/>
      <c r="O190" s="84"/>
      <c r="P190" s="84"/>
      <c r="Q190" s="84"/>
      <c r="R190" s="84"/>
      <c r="S190" s="84"/>
    </row>
    <row r="191" spans="1:29">
      <c r="A191" s="84"/>
      <c r="B191" s="84"/>
      <c r="C191" s="84"/>
      <c r="D191" s="84"/>
      <c r="E191" s="84"/>
      <c r="F191" s="84"/>
      <c r="G191" s="84"/>
      <c r="H191" s="84"/>
      <c r="I191" s="84"/>
      <c r="J191" s="84"/>
      <c r="K191" s="84"/>
      <c r="L191" s="84"/>
      <c r="M191" s="84"/>
      <c r="N191" s="84"/>
      <c r="O191" s="84"/>
      <c r="P191" s="84"/>
    </row>
    <row r="192" spans="1:29">
      <c r="A192" s="84"/>
      <c r="K192" s="84"/>
      <c r="L192" s="84"/>
      <c r="M192" s="84"/>
      <c r="N192" s="84"/>
      <c r="O192" s="84"/>
      <c r="P192" s="84"/>
    </row>
    <row r="193" spans="1:16">
      <c r="A193" s="84"/>
      <c r="K193" s="84"/>
      <c r="L193" s="84"/>
      <c r="M193" s="84"/>
      <c r="N193" s="84"/>
      <c r="O193" s="84"/>
      <c r="P193" s="84"/>
    </row>
    <row r="194" spans="1:16">
      <c r="A194" s="84"/>
      <c r="K194" s="84"/>
      <c r="L194" s="84"/>
      <c r="M194" s="84"/>
      <c r="N194" s="84"/>
      <c r="O194" s="84"/>
      <c r="P194" s="84"/>
    </row>
  </sheetData>
  <sheetProtection algorithmName="SHA-512" hashValue="46WRc1ElBtX7r/nnbU+LbxNY6I4UVu5xJ4nqoDo8yi5CVsFlDDB/MSnWCFHqyvwZdLSNcoThTzrqUjjXSb4bBg==" saltValue="23wEI2giHZrttN8RPqIbug==" spinCount="100000" sheet="1" sort="0" autoFilter="0" pivotTables="0"/>
  <phoneticPr fontId="53" type="noConversion"/>
  <pageMargins left="0.7" right="0.7" top="0.75" bottom="0.75" header="0.3" footer="0.3"/>
  <pageSetup paperSize="9" orientation="portrait" r:id="rId1"/>
  <drawing r:id="rId2"/>
  <tableParts count="5">
    <tablePart r:id="rId3"/>
    <tablePart r:id="rId4"/>
    <tablePart r:id="rId5"/>
    <tablePart r:id="rId6"/>
    <tablePart r:id="rId7"/>
  </tableParts>
  <extLst>
    <ext xmlns:x14="http://schemas.microsoft.com/office/spreadsheetml/2009/9/main" uri="{CCE6A557-97BC-4b89-ADB6-D9C93CAAB3DF}">
      <x14:dataValidations xmlns:xm="http://schemas.microsoft.com/office/excel/2006/main" count="2">
        <x14:dataValidation type="list" allowBlank="1" showInputMessage="1" showErrorMessage="1" xr:uid="{88CBB4B7-B04D-4C54-AA37-CA5F552B611F}">
          <x14:formula1>
            <xm:f>'List of Regions'!$A$1:$A$9</xm:f>
          </x14:formula1>
          <xm:sqref>R14</xm:sqref>
        </x14:dataValidation>
        <x14:dataValidation type="list" allowBlank="1" showInputMessage="1" showErrorMessage="1" xr:uid="{35524F7D-BC69-4E70-AC72-F2EC964A9066}">
          <x14:formula1>
            <xm:f>'Calculations (All)'!$B$5:$B$322</xm:f>
          </x14:formula1>
          <xm:sqref>D4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7030A0"/>
    <pageSetUpPr fitToPage="1"/>
  </sheetPr>
  <dimension ref="A1:DH326"/>
  <sheetViews>
    <sheetView zoomScale="69" zoomScaleNormal="100" workbookViewId="0">
      <pane xSplit="4" ySplit="4" topLeftCell="BO5" activePane="bottomRight" state="frozen"/>
      <selection pane="topRight" activeCell="E1" sqref="E1"/>
      <selection pane="bottomLeft" activeCell="A5" sqref="A5"/>
      <selection pane="bottomRight" activeCell="BR6" sqref="BR6"/>
    </sheetView>
  </sheetViews>
  <sheetFormatPr defaultColWidth="9.36328125" defaultRowHeight="14.5"/>
  <cols>
    <col min="1" max="1" width="13.36328125" style="8" customWidth="1"/>
    <col min="2" max="2" width="11.453125" style="8" customWidth="1"/>
    <col min="3" max="5" width="13.36328125" style="8" customWidth="1"/>
    <col min="6" max="6" width="19.08984375" style="8" customWidth="1"/>
    <col min="7" max="7" width="18.453125" style="8" customWidth="1"/>
    <col min="8" max="8" width="17" style="8" customWidth="1"/>
    <col min="9" max="9" width="44.453125" style="8" customWidth="1"/>
    <col min="10" max="10" width="9.453125" style="10" customWidth="1"/>
    <col min="11" max="15" width="14.36328125" style="11" customWidth="1"/>
    <col min="16" max="18" width="14.453125" style="11" customWidth="1"/>
    <col min="19" max="29" width="14.453125" style="8" customWidth="1"/>
    <col min="30" max="34" width="16.6328125" style="8" customWidth="1"/>
    <col min="35" max="66" width="14.453125" style="8" customWidth="1"/>
    <col min="67" max="74" width="11.6328125" bestFit="1" customWidth="1"/>
    <col min="75" max="78" width="14.453125" style="8" customWidth="1"/>
    <col min="79" max="79" width="16" style="8" customWidth="1"/>
    <col min="80" max="82" width="14.453125" style="8" customWidth="1"/>
    <col min="83" max="88" width="14.6328125" style="47" customWidth="1"/>
    <col min="89" max="89" width="19.90625" style="47" customWidth="1"/>
    <col min="90" max="90" width="19.36328125" style="47" customWidth="1"/>
    <col min="91" max="94" width="19" style="47" customWidth="1"/>
    <col min="95" max="100" width="14.6328125" style="47" customWidth="1"/>
    <col min="101" max="101" width="13.08984375" style="47" bestFit="1" customWidth="1"/>
    <col min="102" max="102" width="25.6328125" style="48" bestFit="1" customWidth="1"/>
    <col min="103" max="103" width="13.08984375" style="47" bestFit="1" customWidth="1"/>
    <col min="104" max="104" width="25.6328125" style="48" bestFit="1" customWidth="1"/>
    <col min="105" max="105" width="13.08984375" style="47" bestFit="1" customWidth="1"/>
    <col min="106" max="106" width="25.6328125" style="48" bestFit="1" customWidth="1"/>
    <col min="107" max="107" width="13" style="8" bestFit="1" customWidth="1"/>
    <col min="108" max="108" width="29.90625" style="8" bestFit="1" customWidth="1"/>
    <col min="109" max="109" width="13" style="8" bestFit="1" customWidth="1"/>
    <col min="110" max="110" width="29.90625" style="8" bestFit="1" customWidth="1"/>
    <col min="111" max="111" width="13" style="8" bestFit="1" customWidth="1"/>
    <col min="112" max="112" width="29.90625" style="8" bestFit="1" customWidth="1"/>
    <col min="113" max="16384" width="9.36328125" style="8"/>
  </cols>
  <sheetData>
    <row r="1" spans="1:112" ht="105" customHeight="1">
      <c r="A1" s="34"/>
      <c r="B1" s="34"/>
      <c r="C1" s="34"/>
      <c r="D1" s="34"/>
      <c r="E1" s="34"/>
      <c r="F1" s="34"/>
      <c r="G1" s="34"/>
      <c r="H1" s="34"/>
      <c r="I1" s="34"/>
      <c r="K1" s="265">
        <v>43191</v>
      </c>
      <c r="L1" s="265">
        <v>43556</v>
      </c>
      <c r="M1" s="265">
        <v>43922</v>
      </c>
      <c r="N1" s="265">
        <v>44287</v>
      </c>
      <c r="O1" s="265">
        <v>44652</v>
      </c>
      <c r="P1" s="265">
        <v>45017</v>
      </c>
      <c r="Q1" s="265">
        <v>45383</v>
      </c>
      <c r="R1" s="265">
        <v>45748</v>
      </c>
      <c r="S1" s="265">
        <v>43191</v>
      </c>
      <c r="T1" s="265">
        <v>43556</v>
      </c>
      <c r="U1" s="265">
        <v>43922</v>
      </c>
      <c r="V1" s="265">
        <v>44287</v>
      </c>
      <c r="W1" s="265">
        <v>44652</v>
      </c>
      <c r="X1" s="265">
        <v>45017</v>
      </c>
      <c r="Y1" s="265">
        <v>45383</v>
      </c>
      <c r="Z1" s="265">
        <v>45748</v>
      </c>
      <c r="AA1" s="271" t="s">
        <v>30</v>
      </c>
      <c r="AB1" s="272"/>
      <c r="AC1" s="272"/>
      <c r="AD1" s="273"/>
      <c r="AE1" s="274"/>
      <c r="AF1" s="274"/>
      <c r="AG1" s="274"/>
      <c r="AH1" s="274"/>
      <c r="AI1" s="272"/>
      <c r="AJ1" s="272"/>
      <c r="AK1" s="272"/>
      <c r="AL1" s="272"/>
      <c r="AM1" s="272"/>
      <c r="AN1" s="272"/>
      <c r="AO1" s="272"/>
      <c r="AP1" s="272"/>
      <c r="AQ1" s="272"/>
      <c r="AR1" s="272"/>
      <c r="AS1" s="272"/>
      <c r="AT1" s="272"/>
      <c r="AU1" s="272"/>
      <c r="AV1" s="272"/>
      <c r="AW1" s="272"/>
      <c r="AX1" s="272"/>
      <c r="AY1" s="272"/>
      <c r="AZ1" s="272"/>
      <c r="BA1" s="272"/>
      <c r="BB1" s="272"/>
      <c r="BC1" s="272"/>
      <c r="BD1" s="272"/>
      <c r="BE1" s="272"/>
      <c r="BF1" s="272"/>
      <c r="BG1" s="272"/>
      <c r="BH1" s="272"/>
      <c r="BI1" s="272"/>
      <c r="BJ1" s="272"/>
      <c r="BK1" s="272"/>
      <c r="BL1" s="272"/>
      <c r="BM1" s="272"/>
      <c r="BN1" s="272"/>
      <c r="BO1" s="272">
        <v>43191</v>
      </c>
      <c r="BP1" s="272">
        <v>43556</v>
      </c>
      <c r="BQ1" s="272">
        <v>43922</v>
      </c>
      <c r="BR1" s="272">
        <v>44287</v>
      </c>
      <c r="BS1" s="272">
        <v>44652</v>
      </c>
      <c r="BT1" s="272">
        <v>45017</v>
      </c>
      <c r="BU1" s="272">
        <v>45383</v>
      </c>
      <c r="BV1" s="272">
        <v>45748</v>
      </c>
      <c r="BW1" s="36">
        <v>43191</v>
      </c>
      <c r="BX1" s="36">
        <v>43556</v>
      </c>
      <c r="BY1" s="36">
        <v>43922</v>
      </c>
      <c r="BZ1" s="36">
        <v>44287</v>
      </c>
      <c r="CA1" s="36">
        <v>44652</v>
      </c>
      <c r="CB1" s="36">
        <v>45017</v>
      </c>
      <c r="CC1" s="36">
        <v>45383</v>
      </c>
      <c r="CD1" s="36">
        <v>45748</v>
      </c>
      <c r="CE1" s="284"/>
      <c r="CF1" s="285"/>
      <c r="CG1" s="285"/>
      <c r="CH1" s="285"/>
      <c r="CI1" s="285"/>
      <c r="CJ1" s="285"/>
      <c r="CK1" s="285"/>
      <c r="CL1" s="285"/>
      <c r="CM1" s="285"/>
      <c r="CN1" s="285"/>
      <c r="CO1" s="285"/>
      <c r="CP1" s="285"/>
      <c r="CQ1" s="286"/>
      <c r="CR1" s="286"/>
      <c r="CS1" s="286"/>
      <c r="CT1" s="286"/>
      <c r="CU1" s="286"/>
      <c r="CV1" s="286"/>
      <c r="CW1" s="49"/>
      <c r="CY1" s="49"/>
      <c r="DA1" s="49"/>
    </row>
    <row r="2" spans="1:112">
      <c r="A2" s="34"/>
      <c r="B2" s="34"/>
      <c r="C2" s="34"/>
      <c r="D2" s="34"/>
      <c r="E2" s="34"/>
      <c r="F2" s="34"/>
      <c r="G2" s="34"/>
      <c r="H2" s="34"/>
      <c r="I2" s="34"/>
      <c r="S2" s="34"/>
      <c r="T2" s="34"/>
      <c r="U2" s="34"/>
      <c r="V2" s="34"/>
      <c r="W2" s="34"/>
      <c r="X2" s="34"/>
      <c r="Y2" s="34"/>
      <c r="Z2" s="34"/>
      <c r="AA2" s="37"/>
      <c r="AB2" s="37"/>
      <c r="AC2" s="37"/>
      <c r="AD2" s="10"/>
      <c r="AE2" s="10"/>
      <c r="AF2" s="10"/>
      <c r="AG2" s="10"/>
      <c r="AH2" s="10"/>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W2" s="34"/>
      <c r="BX2" s="34"/>
      <c r="BY2" s="34"/>
      <c r="BZ2" s="34"/>
      <c r="CA2" s="34"/>
      <c r="CB2" s="34"/>
      <c r="CC2" s="34"/>
      <c r="CD2" s="34"/>
      <c r="CE2" s="48"/>
      <c r="CF2" s="49"/>
      <c r="CG2" s="49"/>
      <c r="CH2" s="49"/>
      <c r="CI2" s="49"/>
      <c r="CJ2" s="49"/>
      <c r="CK2" s="49"/>
      <c r="CL2" s="49"/>
      <c r="CM2" s="49"/>
      <c r="CN2" s="49"/>
      <c r="CO2" s="49"/>
      <c r="CP2" s="49"/>
      <c r="CQ2" s="49"/>
      <c r="CR2" s="50"/>
      <c r="CS2" s="49"/>
      <c r="CT2" s="49"/>
      <c r="CU2" s="49"/>
      <c r="CV2" s="49"/>
      <c r="CW2" s="49"/>
      <c r="CY2" s="49"/>
      <c r="DA2" s="49"/>
    </row>
    <row r="3" spans="1:112" s="12" customFormat="1" thickBot="1">
      <c r="A3" s="35"/>
      <c r="B3" s="35"/>
      <c r="C3" s="35"/>
      <c r="D3" s="35"/>
      <c r="E3" s="35"/>
      <c r="F3" s="35"/>
      <c r="G3" s="35"/>
      <c r="H3" s="35"/>
      <c r="I3" s="35"/>
      <c r="J3" s="13"/>
      <c r="K3" s="14"/>
      <c r="L3" s="14"/>
      <c r="M3" s="14"/>
      <c r="N3" s="14"/>
      <c r="O3" s="14"/>
      <c r="P3" s="14"/>
      <c r="Q3" s="14"/>
      <c r="R3" s="14"/>
      <c r="S3" s="35"/>
      <c r="T3" s="35"/>
      <c r="U3" s="35"/>
      <c r="V3" s="35"/>
      <c r="W3" s="35"/>
      <c r="X3" s="35"/>
      <c r="Y3" s="35"/>
      <c r="Z3" s="35"/>
      <c r="AA3" s="13" t="str">
        <f>IndividualLATest!$J$7&amp;" projections"</f>
        <v xml:space="preserve"> projections</v>
      </c>
      <c r="AB3" s="13" t="str">
        <f>IndividualLATest!$J$7&amp;" projections"</f>
        <v xml:space="preserve"> projections</v>
      </c>
      <c r="AC3" s="13" t="str">
        <f>IndividualLATest!$J$7&amp;" projections"</f>
        <v xml:space="preserve"> projections</v>
      </c>
      <c r="AD3" s="13" t="str">
        <f>IndividualLATest!$J$7&amp;" projections"</f>
        <v xml:space="preserve"> projections</v>
      </c>
      <c r="AE3" s="13" t="str">
        <f>IndividualLATest!$J$7&amp;" projections"</f>
        <v xml:space="preserve"> projections</v>
      </c>
      <c r="AF3" s="13" t="str">
        <f>IndividualLATest!$J$7&amp;" projections"</f>
        <v xml:space="preserve"> projections</v>
      </c>
      <c r="AG3" s="13" t="str">
        <f>IndividualLATest!$J$7&amp;" projections"</f>
        <v xml:space="preserve"> projections</v>
      </c>
      <c r="AH3" s="13" t="str">
        <f>IndividualLATest!$J$7&amp;" projections"</f>
        <v xml:space="preserve"> projections</v>
      </c>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W3" s="35"/>
      <c r="BX3" s="35"/>
      <c r="BY3" s="35"/>
      <c r="BZ3" s="35"/>
      <c r="CA3" s="35"/>
      <c r="CB3" s="35"/>
      <c r="CC3" s="35"/>
      <c r="CD3" s="35"/>
      <c r="CE3" s="51"/>
      <c r="CF3" s="51"/>
      <c r="CG3" s="51"/>
      <c r="CH3" s="51"/>
      <c r="CI3" s="51"/>
      <c r="CJ3" s="51"/>
      <c r="CK3" s="51"/>
      <c r="CL3" s="51"/>
      <c r="CM3" s="51"/>
      <c r="CN3" s="51"/>
      <c r="CO3" s="51"/>
      <c r="CP3" s="51"/>
      <c r="CQ3" s="51"/>
      <c r="CR3" s="51"/>
      <c r="CS3" s="51"/>
      <c r="CT3" s="51"/>
      <c r="CU3" s="51"/>
      <c r="CV3" s="51"/>
      <c r="CW3" s="51"/>
      <c r="CX3" s="52"/>
      <c r="CY3" s="51"/>
      <c r="CZ3" s="52"/>
      <c r="DA3" s="51"/>
      <c r="DB3" s="52"/>
    </row>
    <row r="4" spans="1:112" ht="58.5" customHeight="1" thickTop="1" thickBot="1">
      <c r="A4" s="61" t="s">
        <v>31</v>
      </c>
      <c r="B4" s="61" t="s">
        <v>32</v>
      </c>
      <c r="C4" s="61" t="s">
        <v>31</v>
      </c>
      <c r="D4" s="61" t="s">
        <v>33</v>
      </c>
      <c r="E4" s="61" t="s">
        <v>34</v>
      </c>
      <c r="F4" s="61" t="s">
        <v>35</v>
      </c>
      <c r="G4" s="61" t="s">
        <v>36</v>
      </c>
      <c r="H4" s="255" t="s">
        <v>37</v>
      </c>
      <c r="I4" s="255" t="s">
        <v>38</v>
      </c>
      <c r="J4" s="256" t="s">
        <v>39</v>
      </c>
      <c r="K4" s="257" t="s">
        <v>40</v>
      </c>
      <c r="L4" s="257" t="s">
        <v>41</v>
      </c>
      <c r="M4" s="257" t="s">
        <v>42</v>
      </c>
      <c r="N4" s="257" t="s">
        <v>43</v>
      </c>
      <c r="O4" s="257" t="s">
        <v>44</v>
      </c>
      <c r="P4" s="257" t="s">
        <v>45</v>
      </c>
      <c r="Q4" s="257" t="s">
        <v>46</v>
      </c>
      <c r="R4" s="257" t="s">
        <v>47</v>
      </c>
      <c r="S4" s="257" t="s">
        <v>80</v>
      </c>
      <c r="T4" s="257" t="s">
        <v>81</v>
      </c>
      <c r="U4" s="257" t="s">
        <v>82</v>
      </c>
      <c r="V4" s="257" t="s">
        <v>83</v>
      </c>
      <c r="W4" s="257" t="s">
        <v>84</v>
      </c>
      <c r="X4" s="257" t="s">
        <v>85</v>
      </c>
      <c r="Y4" s="257" t="s">
        <v>86</v>
      </c>
      <c r="Z4" s="257" t="s">
        <v>87</v>
      </c>
      <c r="AA4" s="129" t="s">
        <v>48</v>
      </c>
      <c r="AB4" s="129" t="s">
        <v>49</v>
      </c>
      <c r="AC4" s="129" t="s">
        <v>50</v>
      </c>
      <c r="AD4" s="129" t="s">
        <v>51</v>
      </c>
      <c r="AE4" s="129" t="s">
        <v>52</v>
      </c>
      <c r="AF4" s="129" t="s">
        <v>53</v>
      </c>
      <c r="AG4" s="129" t="s">
        <v>54</v>
      </c>
      <c r="AH4" s="129" t="s">
        <v>55</v>
      </c>
      <c r="AI4" s="266" t="s">
        <v>56</v>
      </c>
      <c r="AJ4" s="266" t="s">
        <v>57</v>
      </c>
      <c r="AK4" s="266" t="s">
        <v>58</v>
      </c>
      <c r="AL4" s="266" t="s">
        <v>59</v>
      </c>
      <c r="AM4" s="266" t="s">
        <v>60</v>
      </c>
      <c r="AN4" s="266" t="s">
        <v>61</v>
      </c>
      <c r="AO4" s="266" t="s">
        <v>62</v>
      </c>
      <c r="AP4" s="266" t="s">
        <v>63</v>
      </c>
      <c r="AQ4" s="266" t="s">
        <v>64</v>
      </c>
      <c r="AR4" s="266" t="s">
        <v>65</v>
      </c>
      <c r="AS4" s="266" t="s">
        <v>66</v>
      </c>
      <c r="AT4" s="266" t="s">
        <v>67</v>
      </c>
      <c r="AU4" s="266" t="s">
        <v>68</v>
      </c>
      <c r="AV4" s="266" t="s">
        <v>69</v>
      </c>
      <c r="AW4" s="266" t="s">
        <v>70</v>
      </c>
      <c r="AX4" s="266" t="s">
        <v>71</v>
      </c>
      <c r="AY4" s="266" t="s">
        <v>72</v>
      </c>
      <c r="AZ4" s="266" t="s">
        <v>73</v>
      </c>
      <c r="BA4" s="266" t="s">
        <v>74</v>
      </c>
      <c r="BB4" s="266" t="s">
        <v>75</v>
      </c>
      <c r="BC4" s="266" t="s">
        <v>76</v>
      </c>
      <c r="BD4" s="266" t="s">
        <v>77</v>
      </c>
      <c r="BE4" s="266" t="s">
        <v>78</v>
      </c>
      <c r="BF4" s="266" t="s">
        <v>79</v>
      </c>
      <c r="BG4" s="266" t="s">
        <v>88</v>
      </c>
      <c r="BH4" s="266" t="s">
        <v>89</v>
      </c>
      <c r="BI4" s="266" t="s">
        <v>90</v>
      </c>
      <c r="BJ4" s="266" t="s">
        <v>91</v>
      </c>
      <c r="BK4" s="266" t="s">
        <v>92</v>
      </c>
      <c r="BL4" s="266" t="s">
        <v>93</v>
      </c>
      <c r="BM4" s="266" t="s">
        <v>94</v>
      </c>
      <c r="BN4" s="266" t="s">
        <v>95</v>
      </c>
      <c r="BO4" s="266" t="s">
        <v>4732</v>
      </c>
      <c r="BP4" s="266" t="s">
        <v>4733</v>
      </c>
      <c r="BQ4" s="266" t="s">
        <v>4734</v>
      </c>
      <c r="BR4" s="266" t="s">
        <v>4735</v>
      </c>
      <c r="BS4" s="266" t="s">
        <v>4736</v>
      </c>
      <c r="BT4" s="266" t="s">
        <v>4737</v>
      </c>
      <c r="BU4" s="266" t="s">
        <v>4738</v>
      </c>
      <c r="BV4" s="266" t="s">
        <v>4739</v>
      </c>
      <c r="BW4" s="275" t="s">
        <v>96</v>
      </c>
      <c r="BX4" s="275" t="s">
        <v>97</v>
      </c>
      <c r="BY4" s="275" t="s">
        <v>98</v>
      </c>
      <c r="BZ4" s="275" t="s">
        <v>99</v>
      </c>
      <c r="CA4" s="275" t="s">
        <v>100</v>
      </c>
      <c r="CB4" s="275" t="s">
        <v>101</v>
      </c>
      <c r="CC4" s="275" t="s">
        <v>102</v>
      </c>
      <c r="CD4" s="275" t="s">
        <v>103</v>
      </c>
      <c r="CE4" s="191" t="s">
        <v>4740</v>
      </c>
      <c r="CF4" s="191" t="s">
        <v>4741</v>
      </c>
      <c r="CG4" s="294" t="s">
        <v>104</v>
      </c>
      <c r="CH4" s="294" t="s">
        <v>4761</v>
      </c>
      <c r="CI4" s="294" t="s">
        <v>4762</v>
      </c>
      <c r="CJ4" s="294" t="s">
        <v>4763</v>
      </c>
      <c r="CK4" s="281" t="s">
        <v>4742</v>
      </c>
      <c r="CL4" s="281" t="s">
        <v>4743</v>
      </c>
      <c r="CM4" s="281" t="s">
        <v>4744</v>
      </c>
      <c r="CN4" s="294" t="s">
        <v>4766</v>
      </c>
      <c r="CO4" s="294" t="s">
        <v>4764</v>
      </c>
      <c r="CP4" s="294" t="s">
        <v>4765</v>
      </c>
      <c r="CQ4" s="283" t="s">
        <v>4745</v>
      </c>
      <c r="CR4" s="283" t="s">
        <v>4746</v>
      </c>
      <c r="CS4" s="295" t="s">
        <v>4747</v>
      </c>
      <c r="CT4" s="298" t="s">
        <v>4767</v>
      </c>
      <c r="CU4" s="298" t="s">
        <v>4768</v>
      </c>
      <c r="CV4" s="298" t="s">
        <v>4769</v>
      </c>
      <c r="CW4" s="296" t="s">
        <v>105</v>
      </c>
      <c r="CX4" s="280" t="s">
        <v>106</v>
      </c>
      <c r="CY4" s="280" t="s">
        <v>107</v>
      </c>
      <c r="CZ4" s="280" t="s">
        <v>108</v>
      </c>
      <c r="DA4" s="280" t="s">
        <v>109</v>
      </c>
      <c r="DB4" s="291" t="s">
        <v>110</v>
      </c>
      <c r="DC4" s="280" t="s">
        <v>4755</v>
      </c>
      <c r="DD4" s="280" t="s">
        <v>4758</v>
      </c>
      <c r="DE4" s="280" t="s">
        <v>4756</v>
      </c>
      <c r="DF4" s="280" t="s">
        <v>4759</v>
      </c>
      <c r="DG4" s="280" t="s">
        <v>4757</v>
      </c>
      <c r="DH4" s="280" t="s">
        <v>4760</v>
      </c>
    </row>
    <row r="5" spans="1:112" ht="15" thickTop="1" thickBot="1">
      <c r="A5" s="38" t="s">
        <v>111</v>
      </c>
      <c r="B5" s="38" t="s">
        <v>112</v>
      </c>
      <c r="C5" s="38" t="s">
        <v>111</v>
      </c>
      <c r="D5" s="38" t="s">
        <v>113</v>
      </c>
      <c r="E5" s="38" t="str">
        <f>VLOOKUP(C5,PoliticalControl!A:K,11,FALSE)</f>
        <v>CON</v>
      </c>
      <c r="F5" s="38" t="str">
        <f>VLOOKUP(C5,UrbanRuralClassification!A:N,13,FALSE)</f>
        <v>Urban with City and Town</v>
      </c>
      <c r="G5" s="38" t="str">
        <f>VLOOKUP(C5,UrbanRuralClassification!A:N,14,FALSE)</f>
        <v>Predominantly Urban</v>
      </c>
      <c r="H5" s="258">
        <f>IF(ISBLANK((VLOOKUP($A5,'local-plan-data'!$C$1:$AD$566,27,FALSE)))=TRUE,"",VLOOKUP($A5,'local-plan-data'!$C$1:$AD$566,27,FALSE))</f>
        <v>43083</v>
      </c>
      <c r="I5" s="259">
        <f>VLOOKUP($A5,'local-plan-data'!$C$1:$AD$566,28,FALSE)</f>
        <v>177.04761904761904</v>
      </c>
      <c r="J5" s="260">
        <f>IFERROR(IF(ISNUMBER(I5),I5,VALUE(LEFT(I5,FIND("-",I5)-1))),"-")</f>
        <v>177.04761904761904</v>
      </c>
      <c r="K5" s="259">
        <f>IF(AND(ISNUMBER($H5),ISNUMBER($J5)),IF(($H5-K$1&gt;0),$J5,IF(DATEDIF($H5,K$1,"y")&lt;5,$J5,"-")),"-")</f>
        <v>177.04761904761904</v>
      </c>
      <c r="L5" s="259">
        <f t="shared" ref="L5:R20" si="0">IF(AND(ISNUMBER($H5),ISNUMBER($J5)),IF(($H5-L$1&gt;0),$J5,IF(DATEDIF($H5,L$1,"y")&lt;5,$J5,"-")),"-")</f>
        <v>177.04761904761904</v>
      </c>
      <c r="M5" s="259">
        <f t="shared" si="0"/>
        <v>177.04761904761904</v>
      </c>
      <c r="N5" s="259">
        <f t="shared" si="0"/>
        <v>177.04761904761904</v>
      </c>
      <c r="O5" s="259">
        <f t="shared" si="0"/>
        <v>177.04761904761904</v>
      </c>
      <c r="P5" s="259" t="str">
        <f t="shared" si="0"/>
        <v>-</v>
      </c>
      <c r="Q5" s="259" t="str">
        <f t="shared" si="0"/>
        <v>-</v>
      </c>
      <c r="R5" s="259" t="str">
        <f t="shared" si="0"/>
        <v>-</v>
      </c>
      <c r="S5" s="259">
        <f>IFERROR((EDATE($H5,60))-S$1,"-")</f>
        <v>1718</v>
      </c>
      <c r="T5" s="259">
        <f t="shared" ref="T5:Z20" si="1">IFERROR((EDATE($H5,60))-T$1,"-")</f>
        <v>1353</v>
      </c>
      <c r="U5" s="259">
        <f t="shared" si="1"/>
        <v>987</v>
      </c>
      <c r="V5" s="259">
        <f>IFERROR((EDATE($H5,60))-V$1,"-")</f>
        <v>622</v>
      </c>
      <c r="W5" s="259">
        <f t="shared" si="1"/>
        <v>257</v>
      </c>
      <c r="X5" s="259">
        <f t="shared" si="1"/>
        <v>-108</v>
      </c>
      <c r="Y5" s="259">
        <f t="shared" si="1"/>
        <v>-474</v>
      </c>
      <c r="Z5" s="259">
        <f t="shared" si="1"/>
        <v>-839</v>
      </c>
      <c r="AA5" s="267">
        <f>(VLOOKUP(A5,Hshldprojections2014!$A$2:$AW$319,40, FALSE)-VLOOKUP(A5,Hshldprojections2014!$A$2:$AW$319,30, FALSE))/10</f>
        <v>305.5</v>
      </c>
      <c r="AB5" s="267">
        <f>(VLOOKUP(A5,Hshldprojections2014!$A$2:$AW$319,41, FALSE)-VLOOKUP(A5,Hshldprojections2014!$A$2:$AW$319,31, FALSE))/10</f>
        <v>308.8</v>
      </c>
      <c r="AC5" s="267">
        <f>(VLOOKUP(A5,Hshldprojections2014!$A$2:$AW$319,42, FALSE)-VLOOKUP(A5,Hshldprojections2014!$A$2:$AW$319,32, FALSE))/10</f>
        <v>312.5</v>
      </c>
      <c r="AD5" s="267">
        <f>IF(IndividualLATest!$J$7=2014,(VLOOKUP($A5,Hshldprojections2014!$A$2:$AY$326,43,FALSE)-VLOOKUP($A5,Hshldprojections2014!$A$2:$AY$326,33,FALSE))/10,IF(IndividualLATest!$J$7=2016,(VLOOKUP($A5,Hshldprojections2016!$A$1:$AQ$322,33,FALSE)-VLOOKUP($A5,Hshldprojections2016!$A$1:$AQ$322,23,FALSE))/10,(VLOOKUP($A5,Hshldprojections2018!$A$1:$AQ$327,33,FALSE)-VLOOKUP($A5,Hshldprojections2018!$A$1:$AQ$327,23,FALSE))/10))</f>
        <v>155.19999999999999</v>
      </c>
      <c r="AE5" s="267">
        <f>IF(IndividualLATest!$J$7=2014,(VLOOKUP($A5,Hshldprojections2014!$A$2:$AY$326,44,FALSE)-VLOOKUP($A5,Hshldprojections2014!$A$2:$AY$326,34,FALSE))/10,IF(IndividualLATest!$J$7=2016,(VLOOKUP($A5,Hshldprojections2016!$A$1:$AQ$322,34,FALSE)-VLOOKUP($A5,Hshldprojections2016!$A$1:$AQ$322,24,FALSE))/10,(VLOOKUP($A5,Hshldprojections2018!$A$1:$AQ$327,34,FALSE)-VLOOKUP($A5,Hshldprojections2018!$A$1:$AQ$327,24,FALSE))/10))</f>
        <v>154.6</v>
      </c>
      <c r="AF5" s="267">
        <f>IF(IndividualLATest!$J$7=2014,(VLOOKUP($A5,Hshldprojections2014!$A$2:$AY$326,45,FALSE)-VLOOKUP($A5,Hshldprojections2014!$A$2:$AY$326,35,FALSE))/10,IF(IndividualLATest!$J$7=2016,(VLOOKUP($A5,Hshldprojections2016!$A$1:$AQ$322,35,FALSE)-VLOOKUP($A5,Hshldprojections2016!$A$1:$AQ$322,25,FALSE))/10,(VLOOKUP($A5,Hshldprojections2018!$A$1:$AQ$327,35,FALSE)-VLOOKUP($A5,Hshldprojections2018!$A$1:$AQ$327,25,FALSE))/10))</f>
        <v>153.30000000000001</v>
      </c>
      <c r="AG5" s="267">
        <f>IF(IndividualLATest!$J$7=2014,(VLOOKUP($A5,Hshldprojections2014!$A$2:$AY$326,46,FALSE)-VLOOKUP($A5,Hshldprojections2014!$A$2:$AY$326,36,FALSE))/10,IF(IndividualLATest!$J$7=2016,(VLOOKUP($A5,Hshldprojections2016!$A$1:$AQ$322,36,FALSE)-VLOOKUP($A5,Hshldprojections2016!$A$1:$AQ$322,26,FALSE))/10,(VLOOKUP($A5,Hshldprojections2018!$A$1:$AQ$327,36,FALSE)-VLOOKUP($A5,Hshldprojections2018!$A$1:$AQ$327,26,FALSE))/10))</f>
        <v>151.80000000000001</v>
      </c>
      <c r="AH5" s="267">
        <f>IF(IndividualLATest!$J$7=2014,(VLOOKUP($A5,Hshldprojections2014!$A$2:$AY$326,47,FALSE)-VLOOKUP($A5,Hshldprojections2014!$A$2:$AY$326,37,FALSE))/10,IF(IndividualLATest!$J$7=2016,(VLOOKUP($A5,Hshldprojections2016!$A$1:$AQ$322,37,FALSE)-VLOOKUP($A5,Hshldprojections2016!$A$1:$AQ$322,27,FALSE))/10,(VLOOKUP($A5,Hshldprojections2018!$A$1:$AQ$327,37,FALSE)-VLOOKUP($A5,Hshldprojections2018!$A$1:$AQ$327,27,FALSE))/10))</f>
        <v>152.19999999999999</v>
      </c>
      <c r="AI5" s="268">
        <f>VLOOKUP($A5,AffordabilityRatio!$A$2:$I$321,5,FALSE)</f>
        <v>11.59</v>
      </c>
      <c r="AJ5" s="268">
        <f>VLOOKUP($A5,AffordabilityRatio!$A$2:$I$321,6,FALSE)</f>
        <v>11.81</v>
      </c>
      <c r="AK5" s="268">
        <f>VLOOKUP($A5,AffordabilityRatio!$A$2:$I$321,7,FALSE)</f>
        <v>11.49</v>
      </c>
      <c r="AL5" s="268">
        <f>IF((VLOOKUP($A5,AffordabilityRatio!$A$2:$I$321,8,FALSE))="",AK5,VLOOKUP($A5,AffordabilityRatio!$A$2:$I$321,8,FALSE))</f>
        <v>11.52</v>
      </c>
      <c r="AM5" s="268">
        <f>IF((VLOOKUP($A5,AffordabilityRatio!$A$2:$I$321,9,FALSE))="",AL5,VLOOKUP($A5,AffordabilityRatio!$A$2:$I$321,9,FALSE))</f>
        <v>13.41</v>
      </c>
      <c r="AN5" s="268">
        <f>IF((VLOOKUP($A5,AffordabilityRatio!$A$2:$I$321,9,FALSE))="",AM5,VLOOKUP($A5,AffordabilityRatio!$A$2:$I$321,9,FALSE))</f>
        <v>13.41</v>
      </c>
      <c r="AO5" s="268">
        <f>IF((VLOOKUP($A5,AffordabilityRatio!$A$2:$I$321,9,FALSE))="",AN5,VLOOKUP($A5,AffordabilityRatio!$A$2:$I$321,9,FALSE))</f>
        <v>13.41</v>
      </c>
      <c r="AP5" s="268">
        <f>IF((VLOOKUP($A5,AffordabilityRatio!$A$2:$I$321,9,FALSE))="",AO5,VLOOKUP($A5,AffordabilityRatio!$A$2:$I$321,9,FALSE))</f>
        <v>13.41</v>
      </c>
      <c r="AQ5" s="267">
        <f>IF(AA5&lt;0,0,IF(AI5&gt;4,ROUND((1+((AI5-4)/4*0.25))*AA5,0),AA5))</f>
        <v>450</v>
      </c>
      <c r="AR5" s="267">
        <f t="shared" ref="AR5:AX5" si="2">IF(AB5&lt;0,0,IF(AJ5&gt;4,ROUND((1+((AJ5-4)/4*0.25))*AB5,0),AB5))</f>
        <v>460</v>
      </c>
      <c r="AS5" s="267">
        <f t="shared" si="2"/>
        <v>459</v>
      </c>
      <c r="AT5" s="267">
        <f t="shared" si="2"/>
        <v>228</v>
      </c>
      <c r="AU5" s="267">
        <f t="shared" si="2"/>
        <v>246</v>
      </c>
      <c r="AV5" s="267">
        <f t="shared" si="2"/>
        <v>243</v>
      </c>
      <c r="AW5" s="267">
        <f t="shared" si="2"/>
        <v>241</v>
      </c>
      <c r="AX5" s="267">
        <f t="shared" si="2"/>
        <v>242</v>
      </c>
      <c r="AY5" s="267">
        <f>IF(AA5&lt;0,0,IF(K5="-",MIN((MAX(J5, AA5)+((MAX(J5, AA5))*0.4)),AQ5),MIN(K5+(K5*0.4),AQ5)))</f>
        <v>247.86666666666667</v>
      </c>
      <c r="AZ5" s="267">
        <f>IF(AB5&lt;0,0,IF(L5="-",MIN((MAX(J5, AB5)+((MAX(J5, AB5))*0.4)),AR5),MIN(L5+(L5*0.4),AR5)))</f>
        <v>247.86666666666667</v>
      </c>
      <c r="BA5" s="267">
        <f>IF(AC5&lt;0,0,IF(M5="-",MIN((MAX(J5, AC5)+((MAX(J5, AC5))*0.4)),AS5),MIN(M5+(M5*0.4),AS5)))</f>
        <v>247.86666666666667</v>
      </c>
      <c r="BB5" s="267">
        <f>IF(AD5&lt;0,0,IF(N5="-",MIN((MAX(J5, AD5)+((MAX(J5, AD5))*0.4)),AT5),MIN(N5+(N5*0.4),AT5)))</f>
        <v>228</v>
      </c>
      <c r="BC5" s="267">
        <f>IF(AE5&lt;0,0,IF(O5="-",MIN((MAX(J5, AE5)+((MAX(J5, AE5))*0.4)),AU5),MIN(O5+(O5*0.4),AU5)))</f>
        <v>246</v>
      </c>
      <c r="BD5" s="267">
        <f>IF(AF5&lt;0,0,IF(P5="-",MIN((MAX(J5, AF5)+((MAX(J5, AF5))*0.4)),AV5),MIN(P5+(P5*0.4),AV5)))</f>
        <v>243</v>
      </c>
      <c r="BE5" s="267">
        <f>IF(AG5&lt;0,0,IF(Q5="-",MIN((MAX(J5, AG5)+((MAX(J5, AG5))*0.4)),AW5),MIN(Q5+(Q5*0.4),AW5)))</f>
        <v>241</v>
      </c>
      <c r="BF5" s="267">
        <f>IF(AH5&lt;0,0,IF(R5="-",MIN((MAX(J5, AH5)+((MAX(J5, AH5))*0.4)),AX5),MIN(R5+(R5*0.4),AX5)))</f>
        <v>242</v>
      </c>
      <c r="BG5" s="269">
        <f>AY5*VLOOKUP($B5,'Major Cities &amp; Towns'!$A$28:$B$345,2,FALSE)</f>
        <v>247.86666666666667</v>
      </c>
      <c r="BH5" s="269">
        <f>AZ5*VLOOKUP($B5,'Major Cities &amp; Towns'!$A$28:$B$345,2,FALSE)</f>
        <v>247.86666666666667</v>
      </c>
      <c r="BI5" s="269">
        <f>BA5*VLOOKUP($B5,'Major Cities &amp; Towns'!$A$28:$B$345,2,FALSE)</f>
        <v>247.86666666666667</v>
      </c>
      <c r="BJ5" s="269">
        <f>BB5*VLOOKUP($B5,'Major Cities &amp; Towns'!$A$28:$B$345,2,FALSE)</f>
        <v>228</v>
      </c>
      <c r="BK5" s="269">
        <f>BC5*VLOOKUP($B5,'Major Cities &amp; Towns'!$A$28:$B$345,2,FALSE)</f>
        <v>246</v>
      </c>
      <c r="BL5" s="269">
        <f>BD5*VLOOKUP($B5,'Major Cities &amp; Towns'!$A$28:$B$345,2,FALSE)</f>
        <v>243</v>
      </c>
      <c r="BM5" s="269">
        <f>BE5*VLOOKUP($B5,'Major Cities &amp; Towns'!$A$28:$B$345,2,FALSE)</f>
        <v>241</v>
      </c>
      <c r="BN5" s="269">
        <f>BF5*VLOOKUP($B5,'Major Cities &amp; Towns'!$A$28:$B$345,2,FALSE)</f>
        <v>242</v>
      </c>
      <c r="BO5" s="270">
        <f>IFERROR(IF(AND(S5&lt;365,S5&gt;0),SUM(((S5/365)*(MIN(K5,BG5)))+(((365-S5)/365)*AQ5)),(MIN(K5,AQ5))),AQ5)</f>
        <v>177.04761904761904</v>
      </c>
      <c r="BP5" s="270">
        <f t="shared" ref="BP5:BU5" si="3">IFERROR(IF(AND(T5&lt;365,T5&gt;0),SUM(((T5/365)*(MIN(L5,BH5)))+(((365-T5)/365)*AR5)),(MIN(L5,AR5))),AR5)</f>
        <v>177.04761904761904</v>
      </c>
      <c r="BQ5" s="270">
        <f t="shared" si="3"/>
        <v>177.04761904761904</v>
      </c>
      <c r="BR5" s="270">
        <f>IFERROR(IF(AND(V5&lt;365,V5&gt;0),SUM(((V5/365)*(MIN(N5,BJ5)))+(((365-V5)/365)*AT5)),(MIN(N5,AT5))),AT5)</f>
        <v>177.04761904761904</v>
      </c>
      <c r="BS5" s="270">
        <f t="shared" si="3"/>
        <v>197.44996738421395</v>
      </c>
      <c r="BT5" s="270">
        <f t="shared" si="3"/>
        <v>243</v>
      </c>
      <c r="BU5" s="270">
        <f t="shared" si="3"/>
        <v>241</v>
      </c>
      <c r="BV5" s="270">
        <f>IFERROR(IF(AND(Z5&lt;365,Z5&gt;0),SUM(((Z5/365)*(MIN(R5,BN5)))+(((365-Z5)/365)*AX5)),(MIN(R5,AX5))),AX5)</f>
        <v>242</v>
      </c>
      <c r="BW5" s="39">
        <f>VLOOKUP($A5,NetAdditions!$A$2:$H$336,6,FALSE)</f>
        <v>113</v>
      </c>
      <c r="BX5" s="39">
        <f>VLOOKUP($A5,NetAdditions!$A$2:$H$336,7,FALSE)</f>
        <v>13</v>
      </c>
      <c r="BY5" s="39">
        <f>IF((VLOOKUP($C5,NetAdditions!$A$2:$H$336,8,FALSE))="",(AVERAGE(VLOOKUP($C5,NetAdditions!$A$2:$H$336,5,FALSE),VLOOKUP($C5,NetAdditions!$A$2:$H$336,6,FALSE),VLOOKUP($C5,NetAdditions!$A$2:$H$336,7,FALSE))),VLOOKUP($C5,NetAdditions!$A$2:$H$336,8,FALSE))</f>
        <v>209</v>
      </c>
      <c r="BZ5" s="39">
        <f>AVERAGE(BW5:BY5)</f>
        <v>111.66666666666667</v>
      </c>
      <c r="CA5" s="39">
        <f t="shared" ref="CA5:CC5" si="4">AVERAGE(BX5:BZ5)</f>
        <v>111.22222222222223</v>
      </c>
      <c r="CB5" s="39">
        <f t="shared" si="4"/>
        <v>143.96296296296296</v>
      </c>
      <c r="CC5" s="39">
        <f t="shared" si="4"/>
        <v>122.28395061728395</v>
      </c>
      <c r="CD5" s="39">
        <f>AVERAGE(CA5:CC5)</f>
        <v>125.82304526748972</v>
      </c>
      <c r="CE5" s="276">
        <f t="shared" ref="CE5:CE68" si="5">SUM(BO5:BQ5)</f>
        <v>531.14285714285711</v>
      </c>
      <c r="CF5" s="276">
        <f t="shared" ref="CF5:CF68" si="6">SUM(BP5:BR5)</f>
        <v>531.14285714285711</v>
      </c>
      <c r="CG5" s="276">
        <f t="shared" ref="CG5:CG68" si="7">SUM(BQ5:BS5)</f>
        <v>551.54520547945208</v>
      </c>
      <c r="CH5" s="276">
        <f t="shared" ref="CH5:CH68" si="8">SUM(BR5:BT5)</f>
        <v>617.49758643183304</v>
      </c>
      <c r="CI5" s="276">
        <f t="shared" ref="CI5:CI68" si="9">SUM(BS5:BU5)</f>
        <v>681.44996738421401</v>
      </c>
      <c r="CJ5" s="276">
        <f t="shared" ref="CJ5:CJ68" si="10">SUM(BT5:BV5)</f>
        <v>726</v>
      </c>
      <c r="CK5" s="276">
        <f>CE5*((24+7)/36)</f>
        <v>457.37301587301585</v>
      </c>
      <c r="CL5" s="276">
        <f>CF5*((24+7)/36)</f>
        <v>457.37301587301585</v>
      </c>
      <c r="CM5" s="276">
        <f>CG5*((24+7)/36)</f>
        <v>474.9417047184171</v>
      </c>
      <c r="CN5" s="276">
        <f>CH5</f>
        <v>617.49758643183304</v>
      </c>
      <c r="CO5" s="276">
        <f>CI5</f>
        <v>681.44996738421401</v>
      </c>
      <c r="CP5" s="276">
        <f t="shared" ref="CP5" si="11">CJ5</f>
        <v>726</v>
      </c>
      <c r="CQ5" s="39">
        <f t="shared" ref="CQ5:CQ68" si="12">SUM(BW5:BY5)</f>
        <v>335</v>
      </c>
      <c r="CR5" s="39">
        <f t="shared" ref="CR5:CR68" si="13">SUM(BX5:BZ5)</f>
        <v>333.66666666666669</v>
      </c>
      <c r="CS5" s="39">
        <f t="shared" ref="CS5:CS68" si="14">SUM(BY5:CA5)</f>
        <v>431.88888888888891</v>
      </c>
      <c r="CT5" s="39">
        <f t="shared" ref="CT5:CT68" si="15">SUM(BZ5:CB5)</f>
        <v>366.85185185185185</v>
      </c>
      <c r="CU5" s="39">
        <f t="shared" ref="CU5:CU68" si="16">SUM(CA5:CC5)</f>
        <v>377.46913580246917</v>
      </c>
      <c r="CV5" s="39">
        <f t="shared" ref="CV5" si="17">SUM(CB5:CD5)</f>
        <v>392.06995884773659</v>
      </c>
      <c r="CW5" s="297">
        <f t="shared" ref="CW5:CW68" si="18">IFERROR(CQ5/CK5,"-")</f>
        <v>0.7324437349251246</v>
      </c>
      <c r="CX5" s="279" t="str">
        <f>IF(CW5&lt;0.25, "Presumption", IF(CW5&lt;0.85, "Buffer and Action Plan", IF(CW5&lt;0.95, "Action Plan", "Pass")))</f>
        <v>Buffer and Action Plan</v>
      </c>
      <c r="CY5" s="278">
        <f t="shared" ref="CY5:CY68" si="19">IFERROR(CR5/CL5,"-")</f>
        <v>0.729528535980149</v>
      </c>
      <c r="CZ5" s="279" t="str">
        <f>IF(CY5&lt;0.45, "Presumption", IF(CY5&lt;0.85, "Buffer and Action Plan", IF(CY5&lt;0.95, "Action Plan", "Pass")))</f>
        <v>Buffer and Action Plan</v>
      </c>
      <c r="DA5" s="278">
        <f t="shared" ref="DA5:DA68" si="20">IFERROR(CS5/CM5,"-")</f>
        <v>0.90935136796408877</v>
      </c>
      <c r="DB5" s="292" t="str">
        <f>IF(DA5&lt;0.75, "Presumption", IF(DA5&lt;0.85, "Buffer and Action Plan", IF(DA5&lt;0.95, "Action Plan", "Pass")))</f>
        <v>Action Plan</v>
      </c>
      <c r="DC5" s="299">
        <f>IFERROR(CT5/CN5,"-")</f>
        <v>0.59409438986098684</v>
      </c>
      <c r="DD5" s="293" t="str">
        <f>IF(DC5&lt;0.75, "Presumption", IF(DC5&lt;0.85, "Buffer and Action Plan", IF(DC5&lt;0.95, "Action Plan", "Pass")))</f>
        <v>Presumption</v>
      </c>
      <c r="DE5" s="299">
        <f>IFERROR(CU5/CO5,"-")</f>
        <v>0.55392054276766167</v>
      </c>
      <c r="DF5" s="293" t="str">
        <f>IF(DE5&lt;0.75, "Presumption", IF(DE5&lt;0.85, "Buffer and Action Plan", IF(DE5&lt;0.95, "Action Plan", "Pass")))</f>
        <v>Presumption</v>
      </c>
      <c r="DG5" s="299">
        <f>IFERROR(CV5/CP5,"-")</f>
        <v>0.54004126563049115</v>
      </c>
      <c r="DH5" s="293" t="str">
        <f>IF(DG5&lt;0.75, "Presumption", IF(DG5&lt;0.85, "Buffer and Action Plan", IF(DG5&lt;0.95, "Action Plan", "Pass")))</f>
        <v>Presumption</v>
      </c>
    </row>
    <row r="6" spans="1:112" ht="15" thickTop="1" thickBot="1">
      <c r="A6" s="38" t="s">
        <v>114</v>
      </c>
      <c r="B6" s="38" t="s">
        <v>115</v>
      </c>
      <c r="C6" s="38" t="s">
        <v>114</v>
      </c>
      <c r="D6" s="38" t="s">
        <v>116</v>
      </c>
      <c r="E6" s="38" t="str">
        <f>VLOOKUP(C6,PoliticalControl!A:K,11,FALSE)</f>
        <v>NOC</v>
      </c>
      <c r="F6" s="38" t="str">
        <f>VLOOKUP(C6,UrbanRuralClassification!A:N,13,FALSE)</f>
        <v xml:space="preserve">Mainly Rural (rural including hub towns &gt;=80%) </v>
      </c>
      <c r="G6" s="38" t="str">
        <f>VLOOKUP(C6,UrbanRuralClassification!A:N,14,FALSE)</f>
        <v>Predominantly Rural</v>
      </c>
      <c r="H6" s="258">
        <f>IF(ISBLANK((VLOOKUP($A6,'local-plan-data'!$C$1:$AD$566,27,FALSE)))=TRUE,"",VLOOKUP($A6,'local-plan-data'!$C$1:$AD$566,27,FALSE))</f>
        <v>41836</v>
      </c>
      <c r="I6" s="259">
        <f>VLOOKUP($A6,'local-plan-data'!$C$1:$AD$566,28,FALSE)</f>
        <v>304</v>
      </c>
      <c r="J6" s="260">
        <f t="shared" ref="J6:J69" si="21">IFERROR(IF(ISNUMBER(I6),I6,VALUE(LEFT(I6,FIND("-",I6)-1))),"-")</f>
        <v>304</v>
      </c>
      <c r="K6" s="259">
        <f t="shared" ref="K6:R50" si="22">IF(AND(ISNUMBER($H6),ISNUMBER($J6)),IF(($H6-K$1&gt;0),$J6,IF(DATEDIF($H6,K$1,"y")&lt;5,$J6,"-")),"-")</f>
        <v>304</v>
      </c>
      <c r="L6" s="259">
        <f t="shared" si="0"/>
        <v>304</v>
      </c>
      <c r="M6" s="259" t="str">
        <f t="shared" si="0"/>
        <v>-</v>
      </c>
      <c r="N6" s="259" t="str">
        <f t="shared" si="0"/>
        <v>-</v>
      </c>
      <c r="O6" s="259" t="str">
        <f t="shared" si="0"/>
        <v>-</v>
      </c>
      <c r="P6" s="259" t="str">
        <f t="shared" si="0"/>
        <v>-</v>
      </c>
      <c r="Q6" s="259" t="str">
        <f t="shared" si="0"/>
        <v>-</v>
      </c>
      <c r="R6" s="259" t="str">
        <f t="shared" si="0"/>
        <v>-</v>
      </c>
      <c r="S6" s="259">
        <f t="shared" ref="S6:Z50" si="23">IFERROR((EDATE($H6,60))-S$1,"-")</f>
        <v>471</v>
      </c>
      <c r="T6" s="259">
        <f t="shared" si="1"/>
        <v>106</v>
      </c>
      <c r="U6" s="259">
        <f t="shared" si="1"/>
        <v>-260</v>
      </c>
      <c r="V6" s="259">
        <f t="shared" si="1"/>
        <v>-625</v>
      </c>
      <c r="W6" s="259">
        <f t="shared" si="1"/>
        <v>-990</v>
      </c>
      <c r="X6" s="259">
        <f t="shared" si="1"/>
        <v>-1355</v>
      </c>
      <c r="Y6" s="259">
        <f t="shared" si="1"/>
        <v>-1721</v>
      </c>
      <c r="Z6" s="259">
        <f t="shared" si="1"/>
        <v>-2086</v>
      </c>
      <c r="AA6" s="267">
        <f>(VLOOKUP(A6,Hshldprojections2014!$A$2:$AW$319,40, FALSE)-VLOOKUP(A6,Hshldprojections2014!$A$2:$AW$319,30, FALSE))/10</f>
        <v>102.5</v>
      </c>
      <c r="AB6" s="267">
        <f>(VLOOKUP(A6,Hshldprojections2014!$A$2:$AW$319,41, FALSE)-VLOOKUP(A6,Hshldprojections2014!$A$2:$AW$319,31, FALSE))/10</f>
        <v>95.3</v>
      </c>
      <c r="AC6" s="267">
        <f>(VLOOKUP(A6,Hshldprojections2014!$A$2:$AW$319,42, FALSE)-VLOOKUP(A6,Hshldprojections2014!$A$2:$AW$319,32, FALSE))/10</f>
        <v>90.7</v>
      </c>
      <c r="AD6" s="267">
        <f>IF(IndividualLATest!$J$7=2014,(VLOOKUP($A6,Hshldprojections2014!$A$2:$AY$326,43,FALSE)-VLOOKUP($A6,Hshldprojections2014!$A$2:$AY$326,33,FALSE))/10,IF(IndividualLATest!$J$7=2016,(VLOOKUP($A6,Hshldprojections2016!$A$1:$AQ$322,33,FALSE)-VLOOKUP($A6,Hshldprojections2016!$A$1:$AQ$322,23,FALSE))/10,(VLOOKUP($A6,Hshldprojections2018!$A$1:$AQ$327,33,FALSE)-VLOOKUP($A6,Hshldprojections2018!$A$1:$AQ$327,23,FALSE))/10))</f>
        <v>110.8</v>
      </c>
      <c r="AE6" s="267">
        <f>IF(IndividualLATest!$J$7=2014,(VLOOKUP($A6,Hshldprojections2014!$A$2:$AY$326,44,FALSE)-VLOOKUP($A6,Hshldprojections2014!$A$2:$AY$326,34,FALSE))/10,IF(IndividualLATest!$J$7=2016,(VLOOKUP($A6,Hshldprojections2016!$A$1:$AQ$322,34,FALSE)-VLOOKUP($A6,Hshldprojections2016!$A$1:$AQ$322,24,FALSE))/10,(VLOOKUP($A6,Hshldprojections2018!$A$1:$AQ$327,34,FALSE)-VLOOKUP($A6,Hshldprojections2018!$A$1:$AQ$327,24,FALSE))/10))</f>
        <v>100.8</v>
      </c>
      <c r="AF6" s="267">
        <f>IF(IndividualLATest!$J$7=2014,(VLOOKUP($A6,Hshldprojections2014!$A$2:$AY$326,45,FALSE)-VLOOKUP($A6,Hshldprojections2014!$A$2:$AY$326,35,FALSE))/10,IF(IndividualLATest!$J$7=2016,(VLOOKUP($A6,Hshldprojections2016!$A$1:$AQ$322,35,FALSE)-VLOOKUP($A6,Hshldprojections2016!$A$1:$AQ$322,25,FALSE))/10,(VLOOKUP($A6,Hshldprojections2018!$A$1:$AQ$327,35,FALSE)-VLOOKUP($A6,Hshldprojections2018!$A$1:$AQ$327,25,FALSE))/10))</f>
        <v>94.1</v>
      </c>
      <c r="AG6" s="267">
        <f>IF(IndividualLATest!$J$7=2014,(VLOOKUP($A6,Hshldprojections2014!$A$2:$AY$326,46,FALSE)-VLOOKUP($A6,Hshldprojections2014!$A$2:$AY$326,36,FALSE))/10,IF(IndividualLATest!$J$7=2016,(VLOOKUP($A6,Hshldprojections2016!$A$1:$AQ$322,36,FALSE)-VLOOKUP($A6,Hshldprojections2016!$A$1:$AQ$322,26,FALSE))/10,(VLOOKUP($A6,Hshldprojections2018!$A$1:$AQ$327,36,FALSE)-VLOOKUP($A6,Hshldprojections2018!$A$1:$AQ$327,26,FALSE))/10))</f>
        <v>89.8</v>
      </c>
      <c r="AH6" s="267">
        <f>IF(IndividualLATest!$J$7=2014,(VLOOKUP($A6,Hshldprojections2014!$A$2:$AY$326,47,FALSE)-VLOOKUP($A6,Hshldprojections2014!$A$2:$AY$326,37,FALSE))/10,IF(IndividualLATest!$J$7=2016,(VLOOKUP($A6,Hshldprojections2016!$A$1:$AQ$322,37,FALSE)-VLOOKUP($A6,Hshldprojections2016!$A$1:$AQ$322,27,FALSE))/10,(VLOOKUP($A6,Hshldprojections2018!$A$1:$AQ$327,37,FALSE)-VLOOKUP($A6,Hshldprojections2018!$A$1:$AQ$327,27,FALSE))/10))</f>
        <v>87.7</v>
      </c>
      <c r="AI6" s="268">
        <f>VLOOKUP($A6,AffordabilityRatio!$A$2:$I$321,5,FALSE)</f>
        <v>6.47</v>
      </c>
      <c r="AJ6" s="268">
        <f>VLOOKUP($A6,AffordabilityRatio!$A$2:$I$321,6,FALSE)</f>
        <v>6.65</v>
      </c>
      <c r="AK6" s="268">
        <f>VLOOKUP($A6,AffordabilityRatio!$A$2:$I$321,7,FALSE)</f>
        <v>6.69</v>
      </c>
      <c r="AL6" s="268">
        <f>IF((VLOOKUP($A6,AffordabilityRatio!$A$2:$I$321,8,FALSE))="",AK6,VLOOKUP($A6,AffordabilityRatio!$A$2:$I$321,8,FALSE))</f>
        <v>6.09</v>
      </c>
      <c r="AM6" s="268">
        <f>IF((VLOOKUP($A6,AffordabilityRatio!$A$2:$I$321,9,FALSE))="",AL6,VLOOKUP($A6,AffordabilityRatio!$A$2:$I$321,9,FALSE))</f>
        <v>6.6</v>
      </c>
      <c r="AN6" s="268">
        <f>IF((VLOOKUP($A6,AffordabilityRatio!$A$2:$I$321,9,FALSE))="",AM6,VLOOKUP($A6,AffordabilityRatio!$A$2:$I$321,9,FALSE))</f>
        <v>6.6</v>
      </c>
      <c r="AO6" s="268">
        <f>IF((VLOOKUP($A6,AffordabilityRatio!$A$2:$I$321,9,FALSE))="",AN6,VLOOKUP($A6,AffordabilityRatio!$A$2:$I$321,9,FALSE))</f>
        <v>6.6</v>
      </c>
      <c r="AP6" s="268">
        <f>IF((VLOOKUP($A6,AffordabilityRatio!$A$2:$I$321,9,FALSE))="",AO6,VLOOKUP($A6,AffordabilityRatio!$A$2:$I$321,9,FALSE))</f>
        <v>6.6</v>
      </c>
      <c r="AQ6" s="267">
        <f t="shared" ref="AQ6:AQ69" si="24">IF(AA6&lt;0,0,IF(AI6&gt;4,ROUND((1+((AI6-4)/4*0.25))*AA6,0),AA6))</f>
        <v>118</v>
      </c>
      <c r="AR6" s="267">
        <f t="shared" ref="AR6:AR69" si="25">IF(AB6&lt;0,0,IF(AJ6&gt;4,ROUND((1+((AJ6-4)/4*0.25))*AB6,0),AB6))</f>
        <v>111</v>
      </c>
      <c r="AS6" s="267">
        <f t="shared" ref="AS6:AS69" si="26">IF(AC6&lt;0,0,IF(AK6&gt;4,ROUND((1+((AK6-4)/4*0.25))*AC6,0),AC6))</f>
        <v>106</v>
      </c>
      <c r="AT6" s="267">
        <f t="shared" ref="AT6:AT69" si="27">IF(AD6&lt;0,0,IF(AL6&gt;4,ROUND((1+((AL6-4)/4*0.25))*AD6,0),AD6))</f>
        <v>125</v>
      </c>
      <c r="AU6" s="267">
        <f t="shared" ref="AU6:AU69" si="28">IF(AE6&lt;0,0,IF(AM6&gt;4,ROUND((1+((AM6-4)/4*0.25))*AE6,0),AE6))</f>
        <v>117</v>
      </c>
      <c r="AV6" s="267">
        <f t="shared" ref="AV6:AV69" si="29">IF(AF6&lt;0,0,IF(AN6&gt;4,ROUND((1+((AN6-4)/4*0.25))*AF6,0),AF6))</f>
        <v>109</v>
      </c>
      <c r="AW6" s="267">
        <f t="shared" ref="AW6:AW69" si="30">IF(AG6&lt;0,0,IF(AO6&gt;4,ROUND((1+((AO6-4)/4*0.25))*AG6,0),AG6))</f>
        <v>104</v>
      </c>
      <c r="AX6" s="267">
        <f t="shared" ref="AX6:AX69" si="31">IF(AH6&lt;0,0,IF(AP6&gt;4,ROUND((1+((AP6-4)/4*0.25))*AH6,0),AH6))</f>
        <v>102</v>
      </c>
      <c r="AY6" s="267">
        <f t="shared" ref="AY6:AY69" si="32">IF(AA6&lt;0,0,IF(K6="-",MIN((MAX(J6, AA6)+((MAX(J6, AA6))*0.4)),AQ6),MIN(K6+(K6*0.4),AQ6)))</f>
        <v>118</v>
      </c>
      <c r="AZ6" s="267">
        <f t="shared" ref="AZ6:AZ69" si="33">IF(AB6&lt;0,0,IF(L6="-",MIN((MAX(J6, AB6)+((MAX(J6, AB6))*0.4)),AR6),MIN(L6+(L6*0.4),AR6)))</f>
        <v>111</v>
      </c>
      <c r="BA6" s="267">
        <f t="shared" ref="BA6:BA69" si="34">IF(AC6&lt;0,0,IF(M6="-",MIN((MAX(J6, AC6)+((MAX(J6, AC6))*0.4)),AS6),MIN(M6+(M6*0.4),AS6)))</f>
        <v>106</v>
      </c>
      <c r="BB6" s="267">
        <f t="shared" ref="BB6:BB69" si="35">IF(AD6&lt;0,0,IF(N6="-",MIN((MAX(J6, AD6)+((MAX(J6, AD6))*0.4)),AT6),MIN(N6+(N6*0.4),AT6)))</f>
        <v>125</v>
      </c>
      <c r="BC6" s="267">
        <f t="shared" ref="BC6:BC69" si="36">IF(AE6&lt;0,0,IF(O6="-",MIN((MAX(J6, AE6)+((MAX(J6, AE6))*0.4)),AU6),MIN(O6+(O6*0.4),AU6)))</f>
        <v>117</v>
      </c>
      <c r="BD6" s="267">
        <f t="shared" ref="BD6:BD69" si="37">IF(AF6&lt;0,0,IF(P6="-",MIN((MAX(J6, AF6)+((MAX(J6, AF6))*0.4)),AV6),MIN(P6+(P6*0.4),AV6)))</f>
        <v>109</v>
      </c>
      <c r="BE6" s="267">
        <f t="shared" ref="BE6:BE69" si="38">IF(AG6&lt;0,0,IF(Q6="-",MIN((MAX(J6, AG6)+((MAX(J6, AG6))*0.4)),AW6),MIN(Q6+(Q6*0.4),AW6)))</f>
        <v>104</v>
      </c>
      <c r="BF6" s="267">
        <f t="shared" ref="BF6:BF69" si="39">IF(AH6&lt;0,0,IF(R6="-",MIN((MAX(J6, AH6)+((MAX(J6, AH6))*0.4)),AX6),MIN(R6+(R6*0.4),AX6)))</f>
        <v>102</v>
      </c>
      <c r="BG6" s="269">
        <f>AY6*VLOOKUP($B6,'Major Cities &amp; Towns'!$A$28:$B$345,2,FALSE)</f>
        <v>118</v>
      </c>
      <c r="BH6" s="269">
        <f>AZ6*VLOOKUP($B6,'Major Cities &amp; Towns'!$A$28:$B$345,2,FALSE)</f>
        <v>111</v>
      </c>
      <c r="BI6" s="269">
        <f>BA6*VLOOKUP($B6,'Major Cities &amp; Towns'!$A$28:$B$345,2,FALSE)</f>
        <v>106</v>
      </c>
      <c r="BJ6" s="269">
        <f>BB6*VLOOKUP($B6,'Major Cities &amp; Towns'!$A$28:$B$345,2,FALSE)</f>
        <v>125</v>
      </c>
      <c r="BK6" s="269">
        <f>BC6*VLOOKUP($B6,'Major Cities &amp; Towns'!$A$28:$B$345,2,FALSE)</f>
        <v>117</v>
      </c>
      <c r="BL6" s="269">
        <f>BD6*VLOOKUP($B6,'Major Cities &amp; Towns'!$A$28:$B$345,2,FALSE)</f>
        <v>109</v>
      </c>
      <c r="BM6" s="269">
        <f>BE6*VLOOKUP($B6,'Major Cities &amp; Towns'!$A$28:$B$345,2,FALSE)</f>
        <v>104</v>
      </c>
      <c r="BN6" s="269">
        <f>BF6*VLOOKUP($B6,'Major Cities &amp; Towns'!$A$28:$B$345,2,FALSE)</f>
        <v>102</v>
      </c>
      <c r="BO6" s="270">
        <f t="shared" ref="BO6:BO69" si="40">IFERROR(IF(AND(S6&lt;365,S6&gt;0),SUM(((S6/365)*(MIN(K6,BG6)))+(((365-S6)/365)*AQ6)),(MIN(K6,AQ6))),AQ6)</f>
        <v>118</v>
      </c>
      <c r="BP6" s="270">
        <f t="shared" ref="BP6:BP69" si="41">IFERROR(IF(AND(T6&lt;365,T6&gt;0),SUM(((T6/365)*(MIN(L6,BH6)))+(((365-T6)/365)*AR6)),(MIN(L6,AR6))),AR6)</f>
        <v>111</v>
      </c>
      <c r="BQ6" s="270">
        <f t="shared" ref="BQ6:BQ69" si="42">IFERROR(IF(AND(U6&lt;365,U6&gt;0),SUM(((U6/365)*(MIN(M6,BI6)))+(((365-U6)/365)*AS6)),(MIN(M6,AS6))),AS6)</f>
        <v>106</v>
      </c>
      <c r="BR6" s="270">
        <f t="shared" ref="BR6:BR69" si="43">IFERROR(IF(AND(V6&lt;365,V6&gt;0),SUM(((V6/365)*(MIN(N6,BJ6)))+(((365-V6)/365)*AT6)),(MIN(N6,AT6))),AT6)</f>
        <v>125</v>
      </c>
      <c r="BS6" s="270">
        <f t="shared" ref="BS6:BS69" si="44">IFERROR(IF(AND(W6&lt;365,W6&gt;0),SUM(((W6/365)*(MIN(O6,BK6)))+(((365-W6)/365)*AU6)),(MIN(O6,AU6))),AU6)</f>
        <v>117</v>
      </c>
      <c r="BT6" s="270">
        <f t="shared" ref="BT6:BT69" si="45">IFERROR(IF(AND(X6&lt;365,X6&gt;0),SUM(((X6/365)*(MIN(P6,BL6)))+(((365-X6)/365)*AV6)),(MIN(P6,AV6))),AV6)</f>
        <v>109</v>
      </c>
      <c r="BU6" s="270">
        <f t="shared" ref="BU6:BU69" si="46">IFERROR(IF(AND(Y6&lt;365,Y6&gt;0),SUM(((Y6/365)*(MIN(Q6,BM6)))+(((365-Y6)/365)*AW6)),(MIN(Q6,AW6))),AW6)</f>
        <v>104</v>
      </c>
      <c r="BV6" s="270">
        <f t="shared" ref="BV6:BV69" si="47">IFERROR(IF(AND(Z6&lt;365,Z6&gt;0),SUM(((Z6/365)*(MIN(R6,BN6)))+(((365-Z6)/365)*AX6)),(MIN(R6,AX6))),AX6)</f>
        <v>102</v>
      </c>
      <c r="BW6" s="39">
        <f>VLOOKUP($A6,NetAdditions!$A$2:$H$336,6,FALSE)</f>
        <v>337</v>
      </c>
      <c r="BX6" s="39">
        <f>VLOOKUP($A6,NetAdditions!$A$2:$H$336,7,FALSE)</f>
        <v>256</v>
      </c>
      <c r="BY6" s="39">
        <f>IF((VLOOKUP($C6,NetAdditions!$A$2:$H$336,8,FALSE))="",(AVERAGE(VLOOKUP($C6,NetAdditions!$A$2:$H$336,5,FALSE),VLOOKUP($C6,NetAdditions!$A$2:$H$336,6,FALSE),VLOOKUP($C6,NetAdditions!$A$2:$H$336,7,FALSE))),VLOOKUP($C6,NetAdditions!$A$2:$H$336,8,FALSE))</f>
        <v>300</v>
      </c>
      <c r="BZ6" s="39">
        <f t="shared" ref="BZ6:BZ69" si="48">AVERAGE(BW6:BY6)</f>
        <v>297.66666666666669</v>
      </c>
      <c r="CA6" s="39">
        <f t="shared" ref="CA6:CA69" si="49">AVERAGE(BX6:BZ6)</f>
        <v>284.5555555555556</v>
      </c>
      <c r="CB6" s="39">
        <f t="shared" ref="CB6:CB69" si="50">AVERAGE(BY6:CA6)</f>
        <v>294.07407407407413</v>
      </c>
      <c r="CC6" s="39">
        <f t="shared" ref="CC6:CC69" si="51">AVERAGE(BZ6:CB6)</f>
        <v>292.09876543209879</v>
      </c>
      <c r="CD6" s="39">
        <f t="shared" ref="CD6:CD69" si="52">AVERAGE(CA6:CC6)</f>
        <v>290.24279835390956</v>
      </c>
      <c r="CE6" s="276">
        <f t="shared" si="5"/>
        <v>335</v>
      </c>
      <c r="CF6" s="276">
        <f t="shared" si="6"/>
        <v>342</v>
      </c>
      <c r="CG6" s="276">
        <f t="shared" si="7"/>
        <v>348</v>
      </c>
      <c r="CH6" s="276">
        <f t="shared" si="8"/>
        <v>351</v>
      </c>
      <c r="CI6" s="276">
        <f t="shared" si="9"/>
        <v>330</v>
      </c>
      <c r="CJ6" s="276">
        <f t="shared" si="10"/>
        <v>315</v>
      </c>
      <c r="CK6" s="276">
        <f t="shared" ref="CK6:CK69" si="53">CE6*((24+7)/36)</f>
        <v>288.47222222222223</v>
      </c>
      <c r="CL6" s="276">
        <f t="shared" ref="CL6:CL69" si="54">CF6*((24+7)/36)</f>
        <v>294.5</v>
      </c>
      <c r="CM6" s="276">
        <f t="shared" ref="CM6:CM69" si="55">CG6*((24+9)/36)</f>
        <v>319</v>
      </c>
      <c r="CN6" s="276">
        <f t="shared" ref="CN6:CN69" si="56">CH6</f>
        <v>351</v>
      </c>
      <c r="CO6" s="276">
        <f t="shared" ref="CO6:CO69" si="57">CI6</f>
        <v>330</v>
      </c>
      <c r="CP6" s="276">
        <f t="shared" ref="CP6:CP69" si="58">CJ6</f>
        <v>315</v>
      </c>
      <c r="CQ6" s="39">
        <f t="shared" si="12"/>
        <v>893</v>
      </c>
      <c r="CR6" s="39">
        <f t="shared" si="13"/>
        <v>853.66666666666674</v>
      </c>
      <c r="CS6" s="277">
        <f t="shared" si="14"/>
        <v>882.2222222222224</v>
      </c>
      <c r="CT6" s="39">
        <f t="shared" si="15"/>
        <v>876.29629629629642</v>
      </c>
      <c r="CU6" s="39">
        <f t="shared" si="16"/>
        <v>870.72839506172863</v>
      </c>
      <c r="CV6" s="39">
        <f t="shared" ref="CV6:CV69" si="59">SUM(CB6:CD6)</f>
        <v>876.4156378600826</v>
      </c>
      <c r="CW6" s="297">
        <f t="shared" si="18"/>
        <v>3.0956186807896002</v>
      </c>
      <c r="CX6" s="279" t="str">
        <f t="shared" ref="CX6:CX69" si="60">IF(CW6&lt;0.25, "Presumption", IF(CW6&lt;0.85, "Buffer and Action Plan", IF(CW6&lt;0.95, "Action Plan", "Pass")))</f>
        <v>Pass</v>
      </c>
      <c r="CY6" s="278">
        <f t="shared" si="19"/>
        <v>2.8986983588002264</v>
      </c>
      <c r="CZ6" s="279" t="str">
        <f t="shared" ref="CZ6:CZ69" si="61">IF(CY6&lt;0.45, "Presumption", IF(CY6&lt;0.85, "Buffer and Action Plan", IF(CY6&lt;0.95, "Action Plan", "Pass")))</f>
        <v>Pass</v>
      </c>
      <c r="DA6" s="278">
        <f t="shared" si="20"/>
        <v>2.7655869035179386</v>
      </c>
      <c r="DB6" s="292" t="str">
        <f t="shared" ref="DB6:DB69" si="62">IF(DA6&lt;0.75, "Presumption", IF(DA6&lt;0.85, "Buffer and Action Plan", IF(DA6&lt;0.95, "Action Plan", "Pass")))</f>
        <v>Pass</v>
      </c>
      <c r="DC6" s="299">
        <f t="shared" ref="DC6:DC69" si="63">IFERROR(CT6/CN6,"-")</f>
        <v>2.4965706447187932</v>
      </c>
      <c r="DD6" s="293" t="str">
        <f t="shared" ref="DD6:DD69" si="64">IF(DC6&lt;0.75, "Presumption", IF(DC6&lt;0.85, "Buffer and Action Plan", IF(DC6&lt;0.95, "Action Plan", "Pass")))</f>
        <v>Pass</v>
      </c>
      <c r="DE6" s="299">
        <f t="shared" ref="DE6:DE69" si="65">IFERROR(CU6/CO6,"-")</f>
        <v>2.6385708941264503</v>
      </c>
      <c r="DF6" s="293" t="str">
        <f t="shared" ref="DF6:DF69" si="66">IF(DE6&lt;0.75, "Presumption", IF(DE6&lt;0.85, "Buffer and Action Plan", IF(DE6&lt;0.95, "Action Plan", "Pass")))</f>
        <v>Pass</v>
      </c>
      <c r="DG6" s="299">
        <f t="shared" ref="DG6:DG69" si="67">IFERROR(CV6/CP6,"-")</f>
        <v>2.7822718662224846</v>
      </c>
      <c r="DH6" s="293" t="str">
        <f t="shared" ref="DH6:DH69" si="68">IF(DG6&lt;0.75, "Presumption", IF(DG6&lt;0.85, "Buffer and Action Plan", IF(DG6&lt;0.95, "Action Plan", "Pass")))</f>
        <v>Pass</v>
      </c>
    </row>
    <row r="7" spans="1:112" ht="15" thickTop="1" thickBot="1">
      <c r="A7" s="38" t="s">
        <v>117</v>
      </c>
      <c r="B7" s="38" t="s">
        <v>118</v>
      </c>
      <c r="C7" s="38" t="s">
        <v>117</v>
      </c>
      <c r="D7" s="38" t="s">
        <v>119</v>
      </c>
      <c r="E7" s="38" t="str">
        <f>VLOOKUP(C7,PoliticalControl!A:K,11,FALSE)</f>
        <v>CON</v>
      </c>
      <c r="F7" s="38" t="str">
        <f>VLOOKUP(C7,UrbanRuralClassification!A:N,13,FALSE)</f>
        <v>Urban with Minor Conurbation</v>
      </c>
      <c r="G7" s="38" t="str">
        <f>VLOOKUP(C7,UrbanRuralClassification!A:N,14,FALSE)</f>
        <v>Predominantly Urban</v>
      </c>
      <c r="H7" s="261" t="str">
        <f>IF(ISBLANK((VLOOKUP($A7,'local-plan-data'!$C$1:$AD$566,27,FALSE)))=TRUE,"",VLOOKUP($A7,'local-plan-data'!$C$1:$AD$566,27,FALSE))</f>
        <v/>
      </c>
      <c r="I7" s="259">
        <f>VLOOKUP($A7,'local-plan-data'!$C$1:$AD$566,28,FALSE)</f>
        <v>574.70588235294122</v>
      </c>
      <c r="J7" s="260">
        <f t="shared" si="21"/>
        <v>574.70588235294122</v>
      </c>
      <c r="K7" s="259" t="str">
        <f t="shared" si="22"/>
        <v>-</v>
      </c>
      <c r="L7" s="259" t="str">
        <f t="shared" si="0"/>
        <v>-</v>
      </c>
      <c r="M7" s="259" t="str">
        <f t="shared" si="0"/>
        <v>-</v>
      </c>
      <c r="N7" s="259" t="str">
        <f t="shared" si="0"/>
        <v>-</v>
      </c>
      <c r="O7" s="259" t="str">
        <f t="shared" si="0"/>
        <v>-</v>
      </c>
      <c r="P7" s="259" t="str">
        <f t="shared" si="0"/>
        <v>-</v>
      </c>
      <c r="Q7" s="259" t="str">
        <f t="shared" si="0"/>
        <v>-</v>
      </c>
      <c r="R7" s="259" t="str">
        <f t="shared" si="0"/>
        <v>-</v>
      </c>
      <c r="S7" s="259" t="str">
        <f t="shared" si="23"/>
        <v>-</v>
      </c>
      <c r="T7" s="259" t="str">
        <f t="shared" si="1"/>
        <v>-</v>
      </c>
      <c r="U7" s="259" t="str">
        <f t="shared" si="1"/>
        <v>-</v>
      </c>
      <c r="V7" s="259" t="str">
        <f t="shared" si="1"/>
        <v>-</v>
      </c>
      <c r="W7" s="259" t="str">
        <f t="shared" si="1"/>
        <v>-</v>
      </c>
      <c r="X7" s="259" t="str">
        <f t="shared" si="1"/>
        <v>-</v>
      </c>
      <c r="Y7" s="259" t="str">
        <f t="shared" si="1"/>
        <v>-</v>
      </c>
      <c r="Z7" s="259" t="str">
        <f t="shared" si="1"/>
        <v>-</v>
      </c>
      <c r="AA7" s="267">
        <f>(VLOOKUP(A7,Hshldprojections2014!$A$2:$AW$319,40, FALSE)-VLOOKUP(A7,Hshldprojections2014!$A$2:$AW$319,30, FALSE))/10</f>
        <v>355.6</v>
      </c>
      <c r="AB7" s="267">
        <f>(VLOOKUP(A7,Hshldprojections2014!$A$2:$AW$319,41, FALSE)-VLOOKUP(A7,Hshldprojections2014!$A$2:$AW$319,31, FALSE))/10</f>
        <v>346.8</v>
      </c>
      <c r="AC7" s="267">
        <f>(VLOOKUP(A7,Hshldprojections2014!$A$2:$AW$319,42, FALSE)-VLOOKUP(A7,Hshldprojections2014!$A$2:$AW$319,32, FALSE))/10</f>
        <v>339.2</v>
      </c>
      <c r="AD7" s="267">
        <f>IF(IndividualLATest!$J$7=2014,(VLOOKUP($A7,Hshldprojections2014!$A$2:$AY$326,43,FALSE)-VLOOKUP($A7,Hshldprojections2014!$A$2:$AY$326,33,FALSE))/10,IF(IndividualLATest!$J$7=2016,(VLOOKUP($A7,Hshldprojections2016!$A$1:$AQ$322,33,FALSE)-VLOOKUP($A7,Hshldprojections2016!$A$1:$AQ$322,23,FALSE))/10,(VLOOKUP($A7,Hshldprojections2018!$A$1:$AQ$327,33,FALSE)-VLOOKUP($A7,Hshldprojections2018!$A$1:$AQ$327,23,FALSE))/10))</f>
        <v>479.5</v>
      </c>
      <c r="AE7" s="267">
        <f>IF(IndividualLATest!$J$7=2014,(VLOOKUP($A7,Hshldprojections2014!$A$2:$AY$326,44,FALSE)-VLOOKUP($A7,Hshldprojections2014!$A$2:$AY$326,34,FALSE))/10,IF(IndividualLATest!$J$7=2016,(VLOOKUP($A7,Hshldprojections2016!$A$1:$AQ$322,34,FALSE)-VLOOKUP($A7,Hshldprojections2016!$A$1:$AQ$322,24,FALSE))/10,(VLOOKUP($A7,Hshldprojections2018!$A$1:$AQ$327,34,FALSE)-VLOOKUP($A7,Hshldprojections2018!$A$1:$AQ$327,24,FALSE))/10))</f>
        <v>460.6</v>
      </c>
      <c r="AF7" s="267">
        <f>IF(IndividualLATest!$J$7=2014,(VLOOKUP($A7,Hshldprojections2014!$A$2:$AY$326,45,FALSE)-VLOOKUP($A7,Hshldprojections2014!$A$2:$AY$326,35,FALSE))/10,IF(IndividualLATest!$J$7=2016,(VLOOKUP($A7,Hshldprojections2016!$A$1:$AQ$322,35,FALSE)-VLOOKUP($A7,Hshldprojections2016!$A$1:$AQ$322,25,FALSE))/10,(VLOOKUP($A7,Hshldprojections2018!$A$1:$AQ$327,35,FALSE)-VLOOKUP($A7,Hshldprojections2018!$A$1:$AQ$327,25,FALSE))/10))</f>
        <v>447.4</v>
      </c>
      <c r="AG7" s="267">
        <f>IF(IndividualLATest!$J$7=2014,(VLOOKUP($A7,Hshldprojections2014!$A$2:$AY$326,46,FALSE)-VLOOKUP($A7,Hshldprojections2014!$A$2:$AY$326,36,FALSE))/10,IF(IndividualLATest!$J$7=2016,(VLOOKUP($A7,Hshldprojections2016!$A$1:$AQ$322,36,FALSE)-VLOOKUP($A7,Hshldprojections2016!$A$1:$AQ$322,26,FALSE))/10,(VLOOKUP($A7,Hshldprojections2018!$A$1:$AQ$327,36,FALSE)-VLOOKUP($A7,Hshldprojections2018!$A$1:$AQ$327,26,FALSE))/10))</f>
        <v>433.5</v>
      </c>
      <c r="AH7" s="267">
        <f>IF(IndividualLATest!$J$7=2014,(VLOOKUP($A7,Hshldprojections2014!$A$2:$AY$326,47,FALSE)-VLOOKUP($A7,Hshldprojections2014!$A$2:$AY$326,37,FALSE))/10,IF(IndividualLATest!$J$7=2016,(VLOOKUP($A7,Hshldprojections2016!$A$1:$AQ$322,37,FALSE)-VLOOKUP($A7,Hshldprojections2016!$A$1:$AQ$322,27,FALSE))/10,(VLOOKUP($A7,Hshldprojections2018!$A$1:$AQ$327,37,FALSE)-VLOOKUP($A7,Hshldprojections2018!$A$1:$AQ$327,27,FALSE))/10))</f>
        <v>423.4</v>
      </c>
      <c r="AI7" s="268">
        <f>VLOOKUP($A7,AffordabilityRatio!$A$2:$I$321,5,FALSE)</f>
        <v>5.39</v>
      </c>
      <c r="AJ7" s="268">
        <f>VLOOKUP($A7,AffordabilityRatio!$A$2:$I$321,6,FALSE)</f>
        <v>5.94</v>
      </c>
      <c r="AK7" s="268">
        <f>VLOOKUP($A7,AffordabilityRatio!$A$2:$I$321,7,FALSE)</f>
        <v>5.95</v>
      </c>
      <c r="AL7" s="268">
        <f>IF((VLOOKUP($A7,AffordabilityRatio!$A$2:$I$321,8,FALSE))="",AK7,VLOOKUP($A7,AffordabilityRatio!$A$2:$I$321,8,FALSE))</f>
        <v>5.97</v>
      </c>
      <c r="AM7" s="268">
        <f>IF((VLOOKUP($A7,AffordabilityRatio!$A$2:$I$321,9,FALSE))="",AL7,VLOOKUP($A7,AffordabilityRatio!$A$2:$I$321,9,FALSE))</f>
        <v>6.69</v>
      </c>
      <c r="AN7" s="268">
        <f>IF((VLOOKUP($A7,AffordabilityRatio!$A$2:$I$321,9,FALSE))="",AM7,VLOOKUP($A7,AffordabilityRatio!$A$2:$I$321,9,FALSE))</f>
        <v>6.69</v>
      </c>
      <c r="AO7" s="268">
        <f>IF((VLOOKUP($A7,AffordabilityRatio!$A$2:$I$321,9,FALSE))="",AN7,VLOOKUP($A7,AffordabilityRatio!$A$2:$I$321,9,FALSE))</f>
        <v>6.69</v>
      </c>
      <c r="AP7" s="268">
        <f>IF((VLOOKUP($A7,AffordabilityRatio!$A$2:$I$321,9,FALSE))="",AO7,VLOOKUP($A7,AffordabilityRatio!$A$2:$I$321,9,FALSE))</f>
        <v>6.69</v>
      </c>
      <c r="AQ7" s="267">
        <f t="shared" si="24"/>
        <v>386</v>
      </c>
      <c r="AR7" s="267">
        <f t="shared" si="25"/>
        <v>389</v>
      </c>
      <c r="AS7" s="267">
        <f t="shared" si="26"/>
        <v>381</v>
      </c>
      <c r="AT7" s="267">
        <f t="shared" si="27"/>
        <v>539</v>
      </c>
      <c r="AU7" s="267">
        <f t="shared" si="28"/>
        <v>538</v>
      </c>
      <c r="AV7" s="267">
        <f t="shared" si="29"/>
        <v>523</v>
      </c>
      <c r="AW7" s="267">
        <f t="shared" si="30"/>
        <v>506</v>
      </c>
      <c r="AX7" s="267">
        <f t="shared" si="31"/>
        <v>495</v>
      </c>
      <c r="AY7" s="267">
        <f t="shared" si="32"/>
        <v>386</v>
      </c>
      <c r="AZ7" s="267">
        <f t="shared" si="33"/>
        <v>389</v>
      </c>
      <c r="BA7" s="267">
        <f t="shared" si="34"/>
        <v>381</v>
      </c>
      <c r="BB7" s="267">
        <f t="shared" si="35"/>
        <v>539</v>
      </c>
      <c r="BC7" s="267">
        <f t="shared" si="36"/>
        <v>538</v>
      </c>
      <c r="BD7" s="267">
        <f t="shared" si="37"/>
        <v>523</v>
      </c>
      <c r="BE7" s="267">
        <f t="shared" si="38"/>
        <v>506</v>
      </c>
      <c r="BF7" s="267">
        <f t="shared" si="39"/>
        <v>495</v>
      </c>
      <c r="BG7" s="269">
        <f>AY7*VLOOKUP($B7,'Major Cities &amp; Towns'!$A$28:$B$345,2,FALSE)</f>
        <v>386</v>
      </c>
      <c r="BH7" s="269">
        <f>AZ7*VLOOKUP($B7,'Major Cities &amp; Towns'!$A$28:$B$345,2,FALSE)</f>
        <v>389</v>
      </c>
      <c r="BI7" s="269">
        <f>BA7*VLOOKUP($B7,'Major Cities &amp; Towns'!$A$28:$B$345,2,FALSE)</f>
        <v>381</v>
      </c>
      <c r="BJ7" s="269">
        <f>BB7*VLOOKUP($B7,'Major Cities &amp; Towns'!$A$28:$B$345,2,FALSE)</f>
        <v>539</v>
      </c>
      <c r="BK7" s="269">
        <f>BC7*VLOOKUP($B7,'Major Cities &amp; Towns'!$A$28:$B$345,2,FALSE)</f>
        <v>538</v>
      </c>
      <c r="BL7" s="269">
        <f>BD7*VLOOKUP($B7,'Major Cities &amp; Towns'!$A$28:$B$345,2,FALSE)</f>
        <v>523</v>
      </c>
      <c r="BM7" s="269">
        <f>BE7*VLOOKUP($B7,'Major Cities &amp; Towns'!$A$28:$B$345,2,FALSE)</f>
        <v>506</v>
      </c>
      <c r="BN7" s="269">
        <f>BF7*VLOOKUP($B7,'Major Cities &amp; Towns'!$A$28:$B$345,2,FALSE)</f>
        <v>495</v>
      </c>
      <c r="BO7" s="270">
        <f t="shared" si="40"/>
        <v>386</v>
      </c>
      <c r="BP7" s="270">
        <f t="shared" si="41"/>
        <v>389</v>
      </c>
      <c r="BQ7" s="270">
        <f t="shared" si="42"/>
        <v>381</v>
      </c>
      <c r="BR7" s="270">
        <f t="shared" si="43"/>
        <v>539</v>
      </c>
      <c r="BS7" s="270">
        <f t="shared" si="44"/>
        <v>538</v>
      </c>
      <c r="BT7" s="270">
        <f t="shared" si="45"/>
        <v>523</v>
      </c>
      <c r="BU7" s="270">
        <f t="shared" si="46"/>
        <v>506</v>
      </c>
      <c r="BV7" s="270">
        <f t="shared" si="47"/>
        <v>495</v>
      </c>
      <c r="BW7" s="39">
        <f>VLOOKUP($A7,NetAdditions!$A$2:$H$336,6,FALSE)</f>
        <v>594</v>
      </c>
      <c r="BX7" s="39">
        <f>VLOOKUP($A7,NetAdditions!$A$2:$H$336,7,FALSE)</f>
        <v>458</v>
      </c>
      <c r="BY7" s="39">
        <f>IF((VLOOKUP($C7,NetAdditions!$A$2:$H$336,8,FALSE))="",(AVERAGE(VLOOKUP($C7,NetAdditions!$A$2:$H$336,5,FALSE),VLOOKUP($C7,NetAdditions!$A$2:$H$336,6,FALSE),VLOOKUP($C7,NetAdditions!$A$2:$H$336,7,FALSE))),VLOOKUP($C7,NetAdditions!$A$2:$H$336,8,FALSE))</f>
        <v>509</v>
      </c>
      <c r="BZ7" s="39">
        <f t="shared" si="48"/>
        <v>520.33333333333337</v>
      </c>
      <c r="CA7" s="39">
        <f t="shared" si="49"/>
        <v>495.77777777777783</v>
      </c>
      <c r="CB7" s="39">
        <f t="shared" si="50"/>
        <v>508.37037037037044</v>
      </c>
      <c r="CC7" s="39">
        <f t="shared" si="51"/>
        <v>508.16049382716056</v>
      </c>
      <c r="CD7" s="39">
        <f t="shared" si="52"/>
        <v>504.10288065843628</v>
      </c>
      <c r="CE7" s="276">
        <f t="shared" si="5"/>
        <v>1156</v>
      </c>
      <c r="CF7" s="276">
        <f t="shared" si="6"/>
        <v>1309</v>
      </c>
      <c r="CG7" s="276">
        <f t="shared" si="7"/>
        <v>1458</v>
      </c>
      <c r="CH7" s="276">
        <f t="shared" si="8"/>
        <v>1600</v>
      </c>
      <c r="CI7" s="276">
        <f t="shared" si="9"/>
        <v>1567</v>
      </c>
      <c r="CJ7" s="276">
        <f t="shared" si="10"/>
        <v>1524</v>
      </c>
      <c r="CK7" s="276">
        <f t="shared" si="53"/>
        <v>995.44444444444446</v>
      </c>
      <c r="CL7" s="276">
        <f t="shared" si="54"/>
        <v>1127.1944444444446</v>
      </c>
      <c r="CM7" s="276">
        <f t="shared" si="55"/>
        <v>1336.5</v>
      </c>
      <c r="CN7" s="276">
        <f t="shared" si="56"/>
        <v>1600</v>
      </c>
      <c r="CO7" s="276">
        <f t="shared" si="57"/>
        <v>1567</v>
      </c>
      <c r="CP7" s="276">
        <f t="shared" si="58"/>
        <v>1524</v>
      </c>
      <c r="CQ7" s="39">
        <f t="shared" si="12"/>
        <v>1561</v>
      </c>
      <c r="CR7" s="39">
        <f t="shared" si="13"/>
        <v>1487.3333333333335</v>
      </c>
      <c r="CS7" s="277">
        <f t="shared" si="14"/>
        <v>1525.1111111111113</v>
      </c>
      <c r="CT7" s="39">
        <f t="shared" si="15"/>
        <v>1524.4814814814818</v>
      </c>
      <c r="CU7" s="39">
        <f t="shared" si="16"/>
        <v>1512.3086419753088</v>
      </c>
      <c r="CV7" s="39">
        <f t="shared" si="59"/>
        <v>1520.6337448559673</v>
      </c>
      <c r="CW7" s="297">
        <f t="shared" si="18"/>
        <v>1.5681437660453175</v>
      </c>
      <c r="CX7" s="279" t="str">
        <f t="shared" si="60"/>
        <v>Pass</v>
      </c>
      <c r="CY7" s="278">
        <f t="shared" si="19"/>
        <v>1.3195002341112398</v>
      </c>
      <c r="CZ7" s="279" t="str">
        <f t="shared" si="61"/>
        <v>Pass</v>
      </c>
      <c r="DA7" s="278">
        <f t="shared" si="20"/>
        <v>1.141123165814524</v>
      </c>
      <c r="DB7" s="292" t="str">
        <f t="shared" si="62"/>
        <v>Pass</v>
      </c>
      <c r="DC7" s="299">
        <f t="shared" si="63"/>
        <v>0.95280092592592613</v>
      </c>
      <c r="DD7" s="293" t="str">
        <f t="shared" si="64"/>
        <v>Pass</v>
      </c>
      <c r="DE7" s="299">
        <f t="shared" si="65"/>
        <v>0.96509804848456204</v>
      </c>
      <c r="DF7" s="293" t="str">
        <f t="shared" si="66"/>
        <v>Pass</v>
      </c>
      <c r="DG7" s="299">
        <f t="shared" si="67"/>
        <v>0.99779117116533289</v>
      </c>
      <c r="DH7" s="293" t="str">
        <f t="shared" si="68"/>
        <v>Pass</v>
      </c>
    </row>
    <row r="8" spans="1:112" ht="15" thickTop="1" thickBot="1">
      <c r="A8" s="38" t="s">
        <v>120</v>
      </c>
      <c r="B8" s="38" t="s">
        <v>121</v>
      </c>
      <c r="C8" s="38" t="s">
        <v>120</v>
      </c>
      <c r="D8" s="38" t="s">
        <v>113</v>
      </c>
      <c r="E8" s="38" t="str">
        <f>VLOOKUP(C8,PoliticalControl!A:K,11,FALSE)</f>
        <v>NOC</v>
      </c>
      <c r="F8" s="38" t="str">
        <f>VLOOKUP(C8,UrbanRuralClassification!A:N,13,FALSE)</f>
        <v>Urban with City and Town</v>
      </c>
      <c r="G8" s="38" t="str">
        <f>VLOOKUP(C8,UrbanRuralClassification!A:N,14,FALSE)</f>
        <v>Predominantly Urban</v>
      </c>
      <c r="H8" s="258">
        <f>IF(ISBLANK((VLOOKUP($A8,'local-plan-data'!$C$1:$AD$566,27,FALSE)))=TRUE,"",VLOOKUP($A8,'local-plan-data'!$C$1:$AD$566,27,FALSE))</f>
        <v>43299</v>
      </c>
      <c r="I8" s="259">
        <f>VLOOKUP($A8,'local-plan-data'!$C$1:$AD$566,28,FALSE)</f>
        <v>1000</v>
      </c>
      <c r="J8" s="260">
        <f t="shared" si="21"/>
        <v>1000</v>
      </c>
      <c r="K8" s="259">
        <f t="shared" si="22"/>
        <v>1000</v>
      </c>
      <c r="L8" s="259">
        <f t="shared" si="0"/>
        <v>1000</v>
      </c>
      <c r="M8" s="259">
        <f t="shared" si="0"/>
        <v>1000</v>
      </c>
      <c r="N8" s="259">
        <f t="shared" si="0"/>
        <v>1000</v>
      </c>
      <c r="O8" s="259">
        <f t="shared" si="0"/>
        <v>1000</v>
      </c>
      <c r="P8" s="259">
        <f t="shared" si="0"/>
        <v>1000</v>
      </c>
      <c r="Q8" s="259" t="str">
        <f t="shared" si="0"/>
        <v>-</v>
      </c>
      <c r="R8" s="259" t="str">
        <f t="shared" si="0"/>
        <v>-</v>
      </c>
      <c r="S8" s="259">
        <f t="shared" si="23"/>
        <v>1934</v>
      </c>
      <c r="T8" s="259">
        <f t="shared" si="1"/>
        <v>1569</v>
      </c>
      <c r="U8" s="259">
        <f t="shared" si="1"/>
        <v>1203</v>
      </c>
      <c r="V8" s="259">
        <f t="shared" si="1"/>
        <v>838</v>
      </c>
      <c r="W8" s="259">
        <f t="shared" si="1"/>
        <v>473</v>
      </c>
      <c r="X8" s="259">
        <f t="shared" si="1"/>
        <v>108</v>
      </c>
      <c r="Y8" s="259">
        <f t="shared" si="1"/>
        <v>-258</v>
      </c>
      <c r="Z8" s="259">
        <f t="shared" si="1"/>
        <v>-623</v>
      </c>
      <c r="AA8" s="267">
        <f>(VLOOKUP(A8,Hshldprojections2014!$A$2:$AW$319,40, FALSE)-VLOOKUP(A8,Hshldprojections2014!$A$2:$AW$319,30, FALSE))/10</f>
        <v>871.7</v>
      </c>
      <c r="AB8" s="267">
        <f>(VLOOKUP(A8,Hshldprojections2014!$A$2:$AW$319,41, FALSE)-VLOOKUP(A8,Hshldprojections2014!$A$2:$AW$319,31, FALSE))/10</f>
        <v>879.1</v>
      </c>
      <c r="AC8" s="267">
        <f>(VLOOKUP(A8,Hshldprojections2014!$A$2:$AW$319,42, FALSE)-VLOOKUP(A8,Hshldprojections2014!$A$2:$AW$319,32, FALSE))/10</f>
        <v>885.5</v>
      </c>
      <c r="AD8" s="267">
        <f>IF(IndividualLATest!$J$7=2014,(VLOOKUP($A8,Hshldprojections2014!$A$2:$AY$326,43,FALSE)-VLOOKUP($A8,Hshldprojections2014!$A$2:$AY$326,33,FALSE))/10,IF(IndividualLATest!$J$7=2016,(VLOOKUP($A8,Hshldprojections2016!$A$1:$AQ$322,33,FALSE)-VLOOKUP($A8,Hshldprojections2016!$A$1:$AQ$322,23,FALSE))/10,(VLOOKUP($A8,Hshldprojections2018!$A$1:$AQ$327,33,FALSE)-VLOOKUP($A8,Hshldprojections2018!$A$1:$AQ$327,23,FALSE))/10))</f>
        <v>792.6</v>
      </c>
      <c r="AE8" s="267">
        <f>IF(IndividualLATest!$J$7=2014,(VLOOKUP($A8,Hshldprojections2014!$A$2:$AY$326,44,FALSE)-VLOOKUP($A8,Hshldprojections2014!$A$2:$AY$326,34,FALSE))/10,IF(IndividualLATest!$J$7=2016,(VLOOKUP($A8,Hshldprojections2016!$A$1:$AQ$322,34,FALSE)-VLOOKUP($A8,Hshldprojections2016!$A$1:$AQ$322,24,FALSE))/10,(VLOOKUP($A8,Hshldprojections2018!$A$1:$AQ$327,34,FALSE)-VLOOKUP($A8,Hshldprojections2018!$A$1:$AQ$327,24,FALSE))/10))</f>
        <v>784</v>
      </c>
      <c r="AF8" s="267">
        <f>IF(IndividualLATest!$J$7=2014,(VLOOKUP($A8,Hshldprojections2014!$A$2:$AY$326,45,FALSE)-VLOOKUP($A8,Hshldprojections2014!$A$2:$AY$326,35,FALSE))/10,IF(IndividualLATest!$J$7=2016,(VLOOKUP($A8,Hshldprojections2016!$A$1:$AQ$322,35,FALSE)-VLOOKUP($A8,Hshldprojections2016!$A$1:$AQ$322,25,FALSE))/10,(VLOOKUP($A8,Hshldprojections2018!$A$1:$AQ$327,35,FALSE)-VLOOKUP($A8,Hshldprojections2018!$A$1:$AQ$327,25,FALSE))/10))</f>
        <v>772.4</v>
      </c>
      <c r="AG8" s="267">
        <f>IF(IndividualLATest!$J$7=2014,(VLOOKUP($A8,Hshldprojections2014!$A$2:$AY$326,46,FALSE)-VLOOKUP($A8,Hshldprojections2014!$A$2:$AY$326,36,FALSE))/10,IF(IndividualLATest!$J$7=2016,(VLOOKUP($A8,Hshldprojections2016!$A$1:$AQ$322,36,FALSE)-VLOOKUP($A8,Hshldprojections2016!$A$1:$AQ$322,26,FALSE))/10,(VLOOKUP($A8,Hshldprojections2018!$A$1:$AQ$327,36,FALSE)-VLOOKUP($A8,Hshldprojections2018!$A$1:$AQ$327,26,FALSE))/10))</f>
        <v>763.3</v>
      </c>
      <c r="AH8" s="267">
        <f>IF(IndividualLATest!$J$7=2014,(VLOOKUP($A8,Hshldprojections2014!$A$2:$AY$326,47,FALSE)-VLOOKUP($A8,Hshldprojections2014!$A$2:$AY$326,37,FALSE))/10,IF(IndividualLATest!$J$7=2016,(VLOOKUP($A8,Hshldprojections2016!$A$1:$AQ$322,37,FALSE)-VLOOKUP($A8,Hshldprojections2016!$A$1:$AQ$322,27,FALSE))/10,(VLOOKUP($A8,Hshldprojections2018!$A$1:$AQ$327,37,FALSE)-VLOOKUP($A8,Hshldprojections2018!$A$1:$AQ$327,27,FALSE))/10))</f>
        <v>755.6</v>
      </c>
      <c r="AI8" s="268">
        <f>VLOOKUP($A8,AffordabilityRatio!$A$2:$I$321,5,FALSE)</f>
        <v>12.26</v>
      </c>
      <c r="AJ8" s="268">
        <f>VLOOKUP($A8,AffordabilityRatio!$A$2:$I$321,6,FALSE)</f>
        <v>12.12</v>
      </c>
      <c r="AK8" s="268">
        <f>VLOOKUP($A8,AffordabilityRatio!$A$2:$I$321,7,FALSE)</f>
        <v>12.16</v>
      </c>
      <c r="AL8" s="268">
        <f>IF((VLOOKUP($A8,AffordabilityRatio!$A$2:$I$321,8,FALSE))="",AK8,VLOOKUP($A8,AffordabilityRatio!$A$2:$I$321,8,FALSE))</f>
        <v>11.45</v>
      </c>
      <c r="AM8" s="268">
        <f>IF((VLOOKUP($A8,AffordabilityRatio!$A$2:$I$321,9,FALSE))="",AL8,VLOOKUP($A8,AffordabilityRatio!$A$2:$I$321,9,FALSE))</f>
        <v>12.16</v>
      </c>
      <c r="AN8" s="268">
        <f>IF((VLOOKUP($A8,AffordabilityRatio!$A$2:$I$321,9,FALSE))="",AM8,VLOOKUP($A8,AffordabilityRatio!$A$2:$I$321,9,FALSE))</f>
        <v>12.16</v>
      </c>
      <c r="AO8" s="268">
        <f>IF((VLOOKUP($A8,AffordabilityRatio!$A$2:$I$321,9,FALSE))="",AN8,VLOOKUP($A8,AffordabilityRatio!$A$2:$I$321,9,FALSE))</f>
        <v>12.16</v>
      </c>
      <c r="AP8" s="268">
        <f>IF((VLOOKUP($A8,AffordabilityRatio!$A$2:$I$321,9,FALSE))="",AO8,VLOOKUP($A8,AffordabilityRatio!$A$2:$I$321,9,FALSE))</f>
        <v>12.16</v>
      </c>
      <c r="AQ8" s="267">
        <f t="shared" si="24"/>
        <v>1322</v>
      </c>
      <c r="AR8" s="267">
        <f t="shared" si="25"/>
        <v>1325</v>
      </c>
      <c r="AS8" s="267">
        <f t="shared" si="26"/>
        <v>1337</v>
      </c>
      <c r="AT8" s="267">
        <f t="shared" si="27"/>
        <v>1162</v>
      </c>
      <c r="AU8" s="267">
        <f t="shared" si="28"/>
        <v>1184</v>
      </c>
      <c r="AV8" s="267">
        <f t="shared" si="29"/>
        <v>1166</v>
      </c>
      <c r="AW8" s="267">
        <f t="shared" si="30"/>
        <v>1153</v>
      </c>
      <c r="AX8" s="267">
        <f t="shared" si="31"/>
        <v>1141</v>
      </c>
      <c r="AY8" s="267">
        <f t="shared" si="32"/>
        <v>1322</v>
      </c>
      <c r="AZ8" s="267">
        <f t="shared" si="33"/>
        <v>1325</v>
      </c>
      <c r="BA8" s="267">
        <f t="shared" si="34"/>
        <v>1337</v>
      </c>
      <c r="BB8" s="267">
        <f t="shared" si="35"/>
        <v>1162</v>
      </c>
      <c r="BC8" s="267">
        <f t="shared" si="36"/>
        <v>1184</v>
      </c>
      <c r="BD8" s="267">
        <f t="shared" si="37"/>
        <v>1166</v>
      </c>
      <c r="BE8" s="267">
        <f t="shared" si="38"/>
        <v>1153</v>
      </c>
      <c r="BF8" s="267">
        <f t="shared" si="39"/>
        <v>1141</v>
      </c>
      <c r="BG8" s="269">
        <f>AY8*VLOOKUP($B8,'Major Cities &amp; Towns'!$A$28:$B$345,2,FALSE)</f>
        <v>1322</v>
      </c>
      <c r="BH8" s="269">
        <f>AZ8*VLOOKUP($B8,'Major Cities &amp; Towns'!$A$28:$B$345,2,FALSE)</f>
        <v>1325</v>
      </c>
      <c r="BI8" s="269">
        <f>BA8*VLOOKUP($B8,'Major Cities &amp; Towns'!$A$28:$B$345,2,FALSE)</f>
        <v>1337</v>
      </c>
      <c r="BJ8" s="269">
        <f>BB8*VLOOKUP($B8,'Major Cities &amp; Towns'!$A$28:$B$345,2,FALSE)</f>
        <v>1162</v>
      </c>
      <c r="BK8" s="269">
        <f>BC8*VLOOKUP($B8,'Major Cities &amp; Towns'!$A$28:$B$345,2,FALSE)</f>
        <v>1184</v>
      </c>
      <c r="BL8" s="269">
        <f>BD8*VLOOKUP($B8,'Major Cities &amp; Towns'!$A$28:$B$345,2,FALSE)</f>
        <v>1166</v>
      </c>
      <c r="BM8" s="269">
        <f>BE8*VLOOKUP($B8,'Major Cities &amp; Towns'!$A$28:$B$345,2,FALSE)</f>
        <v>1153</v>
      </c>
      <c r="BN8" s="269">
        <f>BF8*VLOOKUP($B8,'Major Cities &amp; Towns'!$A$28:$B$345,2,FALSE)</f>
        <v>1141</v>
      </c>
      <c r="BO8" s="270">
        <f t="shared" si="40"/>
        <v>1000</v>
      </c>
      <c r="BP8" s="270">
        <f t="shared" si="41"/>
        <v>1000</v>
      </c>
      <c r="BQ8" s="270">
        <f t="shared" si="42"/>
        <v>1000</v>
      </c>
      <c r="BR8" s="270">
        <f t="shared" si="43"/>
        <v>1000</v>
      </c>
      <c r="BS8" s="270">
        <f t="shared" si="44"/>
        <v>1000</v>
      </c>
      <c r="BT8" s="270">
        <f t="shared" si="45"/>
        <v>1116.8821917808218</v>
      </c>
      <c r="BU8" s="270">
        <f t="shared" si="46"/>
        <v>1153</v>
      </c>
      <c r="BV8" s="270">
        <f t="shared" si="47"/>
        <v>1141</v>
      </c>
      <c r="BW8" s="39">
        <f>VLOOKUP($A8,NetAdditions!$A$2:$H$336,6,FALSE)</f>
        <v>609</v>
      </c>
      <c r="BX8" s="39">
        <f>VLOOKUP($A8,NetAdditions!$A$2:$H$336,7,FALSE)</f>
        <v>512</v>
      </c>
      <c r="BY8" s="39">
        <f>IF((VLOOKUP($C8,NetAdditions!$A$2:$H$336,8,FALSE))="",(AVERAGE(VLOOKUP($C8,NetAdditions!$A$2:$H$336,5,FALSE),VLOOKUP($C8,NetAdditions!$A$2:$H$336,6,FALSE),VLOOKUP($C8,NetAdditions!$A$2:$H$336,7,FALSE))),VLOOKUP($C8,NetAdditions!$A$2:$H$336,8,FALSE))</f>
        <v>691</v>
      </c>
      <c r="BZ8" s="39">
        <f t="shared" si="48"/>
        <v>604</v>
      </c>
      <c r="CA8" s="39">
        <f t="shared" si="49"/>
        <v>602.33333333333337</v>
      </c>
      <c r="CB8" s="39">
        <f t="shared" si="50"/>
        <v>632.44444444444446</v>
      </c>
      <c r="CC8" s="39">
        <f t="shared" si="51"/>
        <v>612.92592592592598</v>
      </c>
      <c r="CD8" s="39">
        <f t="shared" si="52"/>
        <v>615.90123456790127</v>
      </c>
      <c r="CE8" s="276">
        <f t="shared" si="5"/>
        <v>3000</v>
      </c>
      <c r="CF8" s="276">
        <f t="shared" si="6"/>
        <v>3000</v>
      </c>
      <c r="CG8" s="276">
        <f t="shared" si="7"/>
        <v>3000</v>
      </c>
      <c r="CH8" s="276">
        <f t="shared" si="8"/>
        <v>3116.8821917808218</v>
      </c>
      <c r="CI8" s="276">
        <f t="shared" si="9"/>
        <v>3269.8821917808218</v>
      </c>
      <c r="CJ8" s="276">
        <f t="shared" si="10"/>
        <v>3410.8821917808218</v>
      </c>
      <c r="CK8" s="276">
        <f t="shared" si="53"/>
        <v>2583.3333333333335</v>
      </c>
      <c r="CL8" s="276">
        <f t="shared" si="54"/>
        <v>2583.3333333333335</v>
      </c>
      <c r="CM8" s="276">
        <f t="shared" si="55"/>
        <v>2750</v>
      </c>
      <c r="CN8" s="276">
        <f t="shared" si="56"/>
        <v>3116.8821917808218</v>
      </c>
      <c r="CO8" s="276">
        <f t="shared" si="57"/>
        <v>3269.8821917808218</v>
      </c>
      <c r="CP8" s="276">
        <f t="shared" si="58"/>
        <v>3410.8821917808218</v>
      </c>
      <c r="CQ8" s="39">
        <f t="shared" si="12"/>
        <v>1812</v>
      </c>
      <c r="CR8" s="39">
        <f t="shared" si="13"/>
        <v>1807</v>
      </c>
      <c r="CS8" s="277">
        <f t="shared" si="14"/>
        <v>1897.3333333333335</v>
      </c>
      <c r="CT8" s="39">
        <f t="shared" si="15"/>
        <v>1838.7777777777778</v>
      </c>
      <c r="CU8" s="39">
        <f t="shared" si="16"/>
        <v>1847.7037037037039</v>
      </c>
      <c r="CV8" s="39">
        <f t="shared" si="59"/>
        <v>1861.2716049382716</v>
      </c>
      <c r="CW8" s="297">
        <f t="shared" si="18"/>
        <v>0.70141935483870965</v>
      </c>
      <c r="CX8" s="279" t="str">
        <f t="shared" si="60"/>
        <v>Buffer and Action Plan</v>
      </c>
      <c r="CY8" s="278">
        <f t="shared" si="19"/>
        <v>0.69948387096774189</v>
      </c>
      <c r="CZ8" s="279" t="str">
        <f t="shared" si="61"/>
        <v>Buffer and Action Plan</v>
      </c>
      <c r="DA8" s="278">
        <f t="shared" si="20"/>
        <v>0.68993939393939396</v>
      </c>
      <c r="DB8" s="292" t="str">
        <f t="shared" si="62"/>
        <v>Presumption</v>
      </c>
      <c r="DC8" s="299">
        <f t="shared" si="63"/>
        <v>0.58994137880046005</v>
      </c>
      <c r="DD8" s="293" t="str">
        <f t="shared" si="64"/>
        <v>Presumption</v>
      </c>
      <c r="DE8" s="299">
        <f t="shared" si="65"/>
        <v>0.56506736186034268</v>
      </c>
      <c r="DF8" s="293" t="str">
        <f t="shared" si="66"/>
        <v>Presumption</v>
      </c>
      <c r="DG8" s="299">
        <f t="shared" si="67"/>
        <v>0.54568627712307516</v>
      </c>
      <c r="DH8" s="293" t="str">
        <f t="shared" si="68"/>
        <v>Presumption</v>
      </c>
    </row>
    <row r="9" spans="1:112" ht="15" thickTop="1" thickBot="1">
      <c r="A9" s="38" t="s">
        <v>122</v>
      </c>
      <c r="B9" s="38" t="s">
        <v>123</v>
      </c>
      <c r="C9" s="38" t="s">
        <v>122</v>
      </c>
      <c r="D9" s="38" t="s">
        <v>119</v>
      </c>
      <c r="E9" s="38" t="str">
        <f>VLOOKUP(C9,PoliticalControl!A:K,11,FALSE)</f>
        <v>IND/OTHER</v>
      </c>
      <c r="F9" s="38" t="str">
        <f>VLOOKUP(C9,UrbanRuralClassification!A:N,13,FALSE)</f>
        <v>Urban with City and Town</v>
      </c>
      <c r="G9" s="38" t="str">
        <f>VLOOKUP(C9,UrbanRuralClassification!A:N,14,FALSE)</f>
        <v>Predominantly Urban</v>
      </c>
      <c r="H9" s="258" t="str">
        <f>IF(ISBLANK((VLOOKUP($A9,'local-plan-data'!$C$1:$AD$566,27,FALSE)))=TRUE,"",VLOOKUP($A9,'local-plan-data'!$C$1:$AD$566,27,FALSE))</f>
        <v/>
      </c>
      <c r="I9" s="259" t="str">
        <f>VLOOKUP($A9,'local-plan-data'!$C$1:$AD$566,28,FALSE)</f>
        <v/>
      </c>
      <c r="J9" s="260" t="str">
        <f t="shared" si="21"/>
        <v>-</v>
      </c>
      <c r="K9" s="259" t="str">
        <f t="shared" si="22"/>
        <v>-</v>
      </c>
      <c r="L9" s="259" t="str">
        <f t="shared" si="0"/>
        <v>-</v>
      </c>
      <c r="M9" s="259" t="str">
        <f t="shared" si="0"/>
        <v>-</v>
      </c>
      <c r="N9" s="259" t="str">
        <f t="shared" si="0"/>
        <v>-</v>
      </c>
      <c r="O9" s="259" t="str">
        <f t="shared" si="0"/>
        <v>-</v>
      </c>
      <c r="P9" s="259" t="str">
        <f t="shared" si="0"/>
        <v>-</v>
      </c>
      <c r="Q9" s="259" t="str">
        <f t="shared" si="0"/>
        <v>-</v>
      </c>
      <c r="R9" s="259" t="str">
        <f t="shared" si="0"/>
        <v>-</v>
      </c>
      <c r="S9" s="259" t="str">
        <f t="shared" si="23"/>
        <v>-</v>
      </c>
      <c r="T9" s="259" t="str">
        <f t="shared" si="1"/>
        <v>-</v>
      </c>
      <c r="U9" s="259" t="str">
        <f t="shared" si="1"/>
        <v>-</v>
      </c>
      <c r="V9" s="259" t="str">
        <f t="shared" si="1"/>
        <v>-</v>
      </c>
      <c r="W9" s="259" t="str">
        <f t="shared" si="1"/>
        <v>-</v>
      </c>
      <c r="X9" s="259" t="str">
        <f t="shared" si="1"/>
        <v>-</v>
      </c>
      <c r="Y9" s="259" t="str">
        <f t="shared" si="1"/>
        <v>-</v>
      </c>
      <c r="Z9" s="259" t="str">
        <f t="shared" si="1"/>
        <v>-</v>
      </c>
      <c r="AA9" s="267">
        <f>(VLOOKUP(A9,Hshldprojections2014!$A$2:$AW$319,40, FALSE)-VLOOKUP(A9,Hshldprojections2014!$A$2:$AW$319,30, FALSE))/10</f>
        <v>458.3</v>
      </c>
      <c r="AB9" s="267">
        <f>(VLOOKUP(A9,Hshldprojections2014!$A$2:$AW$319,41, FALSE)-VLOOKUP(A9,Hshldprojections2014!$A$2:$AW$319,31, FALSE))/10</f>
        <v>445.7</v>
      </c>
      <c r="AC9" s="267">
        <f>(VLOOKUP(A9,Hshldprojections2014!$A$2:$AW$319,42, FALSE)-VLOOKUP(A9,Hshldprojections2014!$A$2:$AW$319,32, FALSE))/10</f>
        <v>434.2</v>
      </c>
      <c r="AD9" s="267">
        <f>IF(IndividualLATest!$J$7=2014,(VLOOKUP($A9,Hshldprojections2014!$A$2:$AY$326,43,FALSE)-VLOOKUP($A9,Hshldprojections2014!$A$2:$AY$326,33,FALSE))/10,IF(IndividualLATest!$J$7=2016,(VLOOKUP($A9,Hshldprojections2016!$A$1:$AQ$322,33,FALSE)-VLOOKUP($A9,Hshldprojections2016!$A$1:$AQ$322,23,FALSE))/10,(VLOOKUP($A9,Hshldprojections2018!$A$1:$AQ$327,33,FALSE)-VLOOKUP($A9,Hshldprojections2018!$A$1:$AQ$327,23,FALSE))/10))</f>
        <v>553</v>
      </c>
      <c r="AE9" s="267">
        <f>IF(IndividualLATest!$J$7=2014,(VLOOKUP($A9,Hshldprojections2014!$A$2:$AY$326,44,FALSE)-VLOOKUP($A9,Hshldprojections2014!$A$2:$AY$326,34,FALSE))/10,IF(IndividualLATest!$J$7=2016,(VLOOKUP($A9,Hshldprojections2016!$A$1:$AQ$322,34,FALSE)-VLOOKUP($A9,Hshldprojections2016!$A$1:$AQ$322,24,FALSE))/10,(VLOOKUP($A9,Hshldprojections2018!$A$1:$AQ$327,34,FALSE)-VLOOKUP($A9,Hshldprojections2018!$A$1:$AQ$327,24,FALSE))/10))</f>
        <v>540.79999999999995</v>
      </c>
      <c r="AF9" s="267">
        <f>IF(IndividualLATest!$J$7=2014,(VLOOKUP($A9,Hshldprojections2014!$A$2:$AY$326,45,FALSE)-VLOOKUP($A9,Hshldprojections2014!$A$2:$AY$326,35,FALSE))/10,IF(IndividualLATest!$J$7=2016,(VLOOKUP($A9,Hshldprojections2016!$A$1:$AQ$322,35,FALSE)-VLOOKUP($A9,Hshldprojections2016!$A$1:$AQ$322,25,FALSE))/10,(VLOOKUP($A9,Hshldprojections2018!$A$1:$AQ$327,35,FALSE)-VLOOKUP($A9,Hshldprojections2018!$A$1:$AQ$327,25,FALSE))/10))</f>
        <v>530.20000000000005</v>
      </c>
      <c r="AG9" s="267">
        <f>IF(IndividualLATest!$J$7=2014,(VLOOKUP($A9,Hshldprojections2014!$A$2:$AY$326,46,FALSE)-VLOOKUP($A9,Hshldprojections2014!$A$2:$AY$326,36,FALSE))/10,IF(IndividualLATest!$J$7=2016,(VLOOKUP($A9,Hshldprojections2016!$A$1:$AQ$322,36,FALSE)-VLOOKUP($A9,Hshldprojections2016!$A$1:$AQ$322,26,FALSE))/10,(VLOOKUP($A9,Hshldprojections2018!$A$1:$AQ$327,36,FALSE)-VLOOKUP($A9,Hshldprojections2018!$A$1:$AQ$327,26,FALSE))/10))</f>
        <v>523.79999999999995</v>
      </c>
      <c r="AH9" s="267">
        <f>IF(IndividualLATest!$J$7=2014,(VLOOKUP($A9,Hshldprojections2014!$A$2:$AY$326,47,FALSE)-VLOOKUP($A9,Hshldprojections2014!$A$2:$AY$326,37,FALSE))/10,IF(IndividualLATest!$J$7=2016,(VLOOKUP($A9,Hshldprojections2016!$A$1:$AQ$322,37,FALSE)-VLOOKUP($A9,Hshldprojections2016!$A$1:$AQ$322,27,FALSE))/10,(VLOOKUP($A9,Hshldprojections2018!$A$1:$AQ$327,37,FALSE)-VLOOKUP($A9,Hshldprojections2018!$A$1:$AQ$327,27,FALSE))/10))</f>
        <v>520.70000000000005</v>
      </c>
      <c r="AI9" s="268">
        <f>VLOOKUP($A9,AffordabilityRatio!$A$2:$I$321,5,FALSE)</f>
        <v>5.56</v>
      </c>
      <c r="AJ9" s="268">
        <f>VLOOKUP($A9,AffordabilityRatio!$A$2:$I$321,6,FALSE)</f>
        <v>5.04</v>
      </c>
      <c r="AK9" s="268">
        <f>VLOOKUP($A9,AffordabilityRatio!$A$2:$I$321,7,FALSE)</f>
        <v>5.76</v>
      </c>
      <c r="AL9" s="268">
        <f>IF((VLOOKUP($A9,AffordabilityRatio!$A$2:$I$321,8,FALSE))="",AK9,VLOOKUP($A9,AffordabilityRatio!$A$2:$I$321,8,FALSE))</f>
        <v>5.28</v>
      </c>
      <c r="AM9" s="268">
        <f>IF((VLOOKUP($A9,AffordabilityRatio!$A$2:$I$321,9,FALSE))="",AL9,VLOOKUP($A9,AffordabilityRatio!$A$2:$I$321,9,FALSE))</f>
        <v>6.15</v>
      </c>
      <c r="AN9" s="268">
        <f>IF((VLOOKUP($A9,AffordabilityRatio!$A$2:$I$321,9,FALSE))="",AM9,VLOOKUP($A9,AffordabilityRatio!$A$2:$I$321,9,FALSE))</f>
        <v>6.15</v>
      </c>
      <c r="AO9" s="268">
        <f>IF((VLOOKUP($A9,AffordabilityRatio!$A$2:$I$321,9,FALSE))="",AN9,VLOOKUP($A9,AffordabilityRatio!$A$2:$I$321,9,FALSE))</f>
        <v>6.15</v>
      </c>
      <c r="AP9" s="268">
        <f>IF((VLOOKUP($A9,AffordabilityRatio!$A$2:$I$321,9,FALSE))="",AO9,VLOOKUP($A9,AffordabilityRatio!$A$2:$I$321,9,FALSE))</f>
        <v>6.15</v>
      </c>
      <c r="AQ9" s="267">
        <f t="shared" si="24"/>
        <v>503</v>
      </c>
      <c r="AR9" s="267">
        <f t="shared" si="25"/>
        <v>475</v>
      </c>
      <c r="AS9" s="267">
        <f t="shared" si="26"/>
        <v>482</v>
      </c>
      <c r="AT9" s="267">
        <f t="shared" si="27"/>
        <v>597</v>
      </c>
      <c r="AU9" s="267">
        <f t="shared" si="28"/>
        <v>613</v>
      </c>
      <c r="AV9" s="267">
        <f t="shared" si="29"/>
        <v>601</v>
      </c>
      <c r="AW9" s="267">
        <f t="shared" si="30"/>
        <v>594</v>
      </c>
      <c r="AX9" s="267">
        <f t="shared" si="31"/>
        <v>591</v>
      </c>
      <c r="AY9" s="267">
        <f t="shared" si="32"/>
        <v>503</v>
      </c>
      <c r="AZ9" s="267">
        <f t="shared" si="33"/>
        <v>475</v>
      </c>
      <c r="BA9" s="267">
        <f t="shared" si="34"/>
        <v>482</v>
      </c>
      <c r="BB9" s="267">
        <f t="shared" si="35"/>
        <v>597</v>
      </c>
      <c r="BC9" s="267">
        <f t="shared" si="36"/>
        <v>613</v>
      </c>
      <c r="BD9" s="267">
        <f t="shared" si="37"/>
        <v>601</v>
      </c>
      <c r="BE9" s="267">
        <f t="shared" si="38"/>
        <v>594</v>
      </c>
      <c r="BF9" s="267">
        <f t="shared" si="39"/>
        <v>591</v>
      </c>
      <c r="BG9" s="269">
        <f>AY9*VLOOKUP($B9,'Major Cities &amp; Towns'!$A$28:$B$345,2,FALSE)</f>
        <v>503</v>
      </c>
      <c r="BH9" s="269">
        <f>AZ9*VLOOKUP($B9,'Major Cities &amp; Towns'!$A$28:$B$345,2,FALSE)</f>
        <v>475</v>
      </c>
      <c r="BI9" s="269">
        <f>BA9*VLOOKUP($B9,'Major Cities &amp; Towns'!$A$28:$B$345,2,FALSE)</f>
        <v>482</v>
      </c>
      <c r="BJ9" s="269">
        <f>BB9*VLOOKUP($B9,'Major Cities &amp; Towns'!$A$28:$B$345,2,FALSE)</f>
        <v>597</v>
      </c>
      <c r="BK9" s="269">
        <f>BC9*VLOOKUP($B9,'Major Cities &amp; Towns'!$A$28:$B$345,2,FALSE)</f>
        <v>613</v>
      </c>
      <c r="BL9" s="269">
        <f>BD9*VLOOKUP($B9,'Major Cities &amp; Towns'!$A$28:$B$345,2,FALSE)</f>
        <v>601</v>
      </c>
      <c r="BM9" s="269">
        <f>BE9*VLOOKUP($B9,'Major Cities &amp; Towns'!$A$28:$B$345,2,FALSE)</f>
        <v>594</v>
      </c>
      <c r="BN9" s="269">
        <f>BF9*VLOOKUP($B9,'Major Cities &amp; Towns'!$A$28:$B$345,2,FALSE)</f>
        <v>591</v>
      </c>
      <c r="BO9" s="270">
        <f t="shared" si="40"/>
        <v>503</v>
      </c>
      <c r="BP9" s="270">
        <f t="shared" si="41"/>
        <v>475</v>
      </c>
      <c r="BQ9" s="270">
        <f t="shared" si="42"/>
        <v>482</v>
      </c>
      <c r="BR9" s="270">
        <f t="shared" si="43"/>
        <v>597</v>
      </c>
      <c r="BS9" s="270">
        <f t="shared" si="44"/>
        <v>613</v>
      </c>
      <c r="BT9" s="270">
        <f t="shared" si="45"/>
        <v>601</v>
      </c>
      <c r="BU9" s="270">
        <f t="shared" si="46"/>
        <v>594</v>
      </c>
      <c r="BV9" s="270">
        <f t="shared" si="47"/>
        <v>591</v>
      </c>
      <c r="BW9" s="39">
        <f>VLOOKUP($A9,NetAdditions!$A$2:$H$336,6,FALSE)</f>
        <v>300</v>
      </c>
      <c r="BX9" s="39">
        <f>VLOOKUP($A9,NetAdditions!$A$2:$H$336,7,FALSE)</f>
        <v>173</v>
      </c>
      <c r="BY9" s="39">
        <f>IF((VLOOKUP($C9,NetAdditions!$A$2:$H$336,8,FALSE))="",(AVERAGE(VLOOKUP($C9,NetAdditions!$A$2:$H$336,5,FALSE),VLOOKUP($C9,NetAdditions!$A$2:$H$336,6,FALSE),VLOOKUP($C9,NetAdditions!$A$2:$H$336,7,FALSE))),VLOOKUP($C9,NetAdditions!$A$2:$H$336,8,FALSE))</f>
        <v>265</v>
      </c>
      <c r="BZ9" s="39">
        <f t="shared" si="48"/>
        <v>246</v>
      </c>
      <c r="CA9" s="39">
        <f t="shared" si="49"/>
        <v>228</v>
      </c>
      <c r="CB9" s="39">
        <f t="shared" si="50"/>
        <v>246.33333333333334</v>
      </c>
      <c r="CC9" s="39">
        <f t="shared" si="51"/>
        <v>240.11111111111111</v>
      </c>
      <c r="CD9" s="39">
        <f t="shared" si="52"/>
        <v>238.14814814814815</v>
      </c>
      <c r="CE9" s="276">
        <f t="shared" si="5"/>
        <v>1460</v>
      </c>
      <c r="CF9" s="276">
        <f t="shared" si="6"/>
        <v>1554</v>
      </c>
      <c r="CG9" s="276">
        <f t="shared" si="7"/>
        <v>1692</v>
      </c>
      <c r="CH9" s="276">
        <f t="shared" si="8"/>
        <v>1811</v>
      </c>
      <c r="CI9" s="276">
        <f t="shared" si="9"/>
        <v>1808</v>
      </c>
      <c r="CJ9" s="276">
        <f t="shared" si="10"/>
        <v>1786</v>
      </c>
      <c r="CK9" s="276">
        <f t="shared" si="53"/>
        <v>1257.2222222222224</v>
      </c>
      <c r="CL9" s="276">
        <f t="shared" si="54"/>
        <v>1338.1666666666667</v>
      </c>
      <c r="CM9" s="276">
        <f t="shared" si="55"/>
        <v>1551</v>
      </c>
      <c r="CN9" s="276">
        <f t="shared" si="56"/>
        <v>1811</v>
      </c>
      <c r="CO9" s="276">
        <f t="shared" si="57"/>
        <v>1808</v>
      </c>
      <c r="CP9" s="276">
        <f t="shared" si="58"/>
        <v>1786</v>
      </c>
      <c r="CQ9" s="39">
        <f t="shared" si="12"/>
        <v>738</v>
      </c>
      <c r="CR9" s="39">
        <f t="shared" si="13"/>
        <v>684</v>
      </c>
      <c r="CS9" s="277">
        <f t="shared" si="14"/>
        <v>739</v>
      </c>
      <c r="CT9" s="39">
        <f t="shared" si="15"/>
        <v>720.33333333333337</v>
      </c>
      <c r="CU9" s="39">
        <f t="shared" si="16"/>
        <v>714.44444444444446</v>
      </c>
      <c r="CV9" s="39">
        <f t="shared" si="59"/>
        <v>724.59259259259261</v>
      </c>
      <c r="CW9" s="297">
        <f t="shared" si="18"/>
        <v>0.58700839593459997</v>
      </c>
      <c r="CX9" s="279" t="str">
        <f t="shared" si="60"/>
        <v>Buffer and Action Plan</v>
      </c>
      <c r="CY9" s="278">
        <f t="shared" si="19"/>
        <v>0.51114709179225304</v>
      </c>
      <c r="CZ9" s="279" t="str">
        <f t="shared" si="61"/>
        <v>Buffer and Action Plan</v>
      </c>
      <c r="DA9" s="278">
        <f t="shared" si="20"/>
        <v>0.4764667956157318</v>
      </c>
      <c r="DB9" s="292" t="str">
        <f t="shared" si="62"/>
        <v>Presumption</v>
      </c>
      <c r="DC9" s="299">
        <f t="shared" si="63"/>
        <v>0.39775446346401622</v>
      </c>
      <c r="DD9" s="293" t="str">
        <f t="shared" si="64"/>
        <v>Presumption</v>
      </c>
      <c r="DE9" s="299">
        <f t="shared" si="65"/>
        <v>0.39515732546706001</v>
      </c>
      <c r="DF9" s="293" t="str">
        <f t="shared" si="66"/>
        <v>Presumption</v>
      </c>
      <c r="DG9" s="299">
        <f t="shared" si="67"/>
        <v>0.4057069387416532</v>
      </c>
      <c r="DH9" s="293" t="str">
        <f t="shared" si="68"/>
        <v>Presumption</v>
      </c>
    </row>
    <row r="10" spans="1:112" ht="15" thickTop="1" thickBot="1">
      <c r="A10" s="38" t="s">
        <v>124</v>
      </c>
      <c r="B10" s="38" t="s">
        <v>125</v>
      </c>
      <c r="C10" s="38" t="s">
        <v>124</v>
      </c>
      <c r="D10" s="38" t="s">
        <v>113</v>
      </c>
      <c r="E10" s="38" t="str">
        <f>VLOOKUP(C10,PoliticalControl!A:K,11,FALSE)</f>
        <v>CON</v>
      </c>
      <c r="F10" s="38" t="str">
        <f>VLOOKUP(C10,UrbanRuralClassification!A:N,13,FALSE)</f>
        <v>Urban with Significant Rural (rural including hub towns 26-49%)</v>
      </c>
      <c r="G10" s="38" t="str">
        <f>VLOOKUP(C10,UrbanRuralClassification!A:N,14,FALSE)</f>
        <v>Urban with Significant Rural</v>
      </c>
      <c r="H10" s="258">
        <f>IF(ISBLANK((VLOOKUP($A10,'local-plan-data'!$C$1:$AD$566,27,FALSE)))=TRUE,"",VLOOKUP($A10,'local-plan-data'!$C$1:$AD$566,27,FALSE))</f>
        <v>43517</v>
      </c>
      <c r="I10" s="259">
        <f>VLOOKUP($A10,'local-plan-data'!$C$1:$AD$566,28,FALSE)</f>
        <v>888</v>
      </c>
      <c r="J10" s="260">
        <f t="shared" si="21"/>
        <v>888</v>
      </c>
      <c r="K10" s="259">
        <f t="shared" si="22"/>
        <v>888</v>
      </c>
      <c r="L10" s="259">
        <f t="shared" si="0"/>
        <v>888</v>
      </c>
      <c r="M10" s="259">
        <f t="shared" si="0"/>
        <v>888</v>
      </c>
      <c r="N10" s="259">
        <f t="shared" si="0"/>
        <v>888</v>
      </c>
      <c r="O10" s="259">
        <f t="shared" si="0"/>
        <v>888</v>
      </c>
      <c r="P10" s="259">
        <f t="shared" si="0"/>
        <v>888</v>
      </c>
      <c r="Q10" s="259" t="str">
        <f t="shared" si="0"/>
        <v>-</v>
      </c>
      <c r="R10" s="259" t="str">
        <f t="shared" si="0"/>
        <v>-</v>
      </c>
      <c r="S10" s="259">
        <f t="shared" si="23"/>
        <v>2152</v>
      </c>
      <c r="T10" s="259">
        <f t="shared" si="1"/>
        <v>1787</v>
      </c>
      <c r="U10" s="259">
        <f t="shared" si="1"/>
        <v>1421</v>
      </c>
      <c r="V10" s="259">
        <f t="shared" si="1"/>
        <v>1056</v>
      </c>
      <c r="W10" s="259">
        <f t="shared" si="1"/>
        <v>691</v>
      </c>
      <c r="X10" s="259">
        <f t="shared" si="1"/>
        <v>326</v>
      </c>
      <c r="Y10" s="259">
        <f t="shared" si="1"/>
        <v>-40</v>
      </c>
      <c r="Z10" s="259">
        <f t="shared" si="1"/>
        <v>-405</v>
      </c>
      <c r="AA10" s="267">
        <f>(VLOOKUP(A10,Hshldprojections2014!$A$2:$AW$319,40, FALSE)-VLOOKUP(A10,Hshldprojections2014!$A$2:$AW$319,30, FALSE))/10</f>
        <v>744.3</v>
      </c>
      <c r="AB10" s="267">
        <f>(VLOOKUP(A10,Hshldprojections2014!$A$2:$AW$319,41, FALSE)-VLOOKUP(A10,Hshldprojections2014!$A$2:$AW$319,31, FALSE))/10</f>
        <v>735.5</v>
      </c>
      <c r="AC10" s="267">
        <f>(VLOOKUP(A10,Hshldprojections2014!$A$2:$AW$319,42, FALSE)-VLOOKUP(A10,Hshldprojections2014!$A$2:$AW$319,32, FALSE))/10</f>
        <v>725.7</v>
      </c>
      <c r="AD10" s="267">
        <f>IF(IndividualLATest!$J$7=2014,(VLOOKUP($A10,Hshldprojections2014!$A$2:$AY$326,43,FALSE)-VLOOKUP($A10,Hshldprojections2014!$A$2:$AY$326,33,FALSE))/10,IF(IndividualLATest!$J$7=2016,(VLOOKUP($A10,Hshldprojections2016!$A$1:$AQ$322,33,FALSE)-VLOOKUP($A10,Hshldprojections2016!$A$1:$AQ$322,23,FALSE))/10,(VLOOKUP($A10,Hshldprojections2018!$A$1:$AQ$327,33,FALSE)-VLOOKUP($A10,Hshldprojections2018!$A$1:$AQ$327,23,FALSE))/10))</f>
        <v>660.7</v>
      </c>
      <c r="AE10" s="267">
        <f>IF(IndividualLATest!$J$7=2014,(VLOOKUP($A10,Hshldprojections2014!$A$2:$AY$326,44,FALSE)-VLOOKUP($A10,Hshldprojections2014!$A$2:$AY$326,34,FALSE))/10,IF(IndividualLATest!$J$7=2016,(VLOOKUP($A10,Hshldprojections2016!$A$1:$AQ$322,34,FALSE)-VLOOKUP($A10,Hshldprojections2016!$A$1:$AQ$322,24,FALSE))/10,(VLOOKUP($A10,Hshldprojections2018!$A$1:$AQ$327,34,FALSE)-VLOOKUP($A10,Hshldprojections2018!$A$1:$AQ$327,24,FALSE))/10))</f>
        <v>642.1</v>
      </c>
      <c r="AF10" s="267">
        <f>IF(IndividualLATest!$J$7=2014,(VLOOKUP($A10,Hshldprojections2014!$A$2:$AY$326,45,FALSE)-VLOOKUP($A10,Hshldprojections2014!$A$2:$AY$326,35,FALSE))/10,IF(IndividualLATest!$J$7=2016,(VLOOKUP($A10,Hshldprojections2016!$A$1:$AQ$322,35,FALSE)-VLOOKUP($A10,Hshldprojections2016!$A$1:$AQ$322,25,FALSE))/10,(VLOOKUP($A10,Hshldprojections2018!$A$1:$AQ$327,35,FALSE)-VLOOKUP($A10,Hshldprojections2018!$A$1:$AQ$327,25,FALSE))/10))</f>
        <v>626.6</v>
      </c>
      <c r="AG10" s="267">
        <f>IF(IndividualLATest!$J$7=2014,(VLOOKUP($A10,Hshldprojections2014!$A$2:$AY$326,46,FALSE)-VLOOKUP($A10,Hshldprojections2014!$A$2:$AY$326,36,FALSE))/10,IF(IndividualLATest!$J$7=2016,(VLOOKUP($A10,Hshldprojections2016!$A$1:$AQ$322,36,FALSE)-VLOOKUP($A10,Hshldprojections2016!$A$1:$AQ$322,26,FALSE))/10,(VLOOKUP($A10,Hshldprojections2018!$A$1:$AQ$327,36,FALSE)-VLOOKUP($A10,Hshldprojections2018!$A$1:$AQ$327,26,FALSE))/10))</f>
        <v>612.5</v>
      </c>
      <c r="AH10" s="267">
        <f>IF(IndividualLATest!$J$7=2014,(VLOOKUP($A10,Hshldprojections2014!$A$2:$AY$326,47,FALSE)-VLOOKUP($A10,Hshldprojections2014!$A$2:$AY$326,37,FALSE))/10,IF(IndividualLATest!$J$7=2016,(VLOOKUP($A10,Hshldprojections2016!$A$1:$AQ$322,37,FALSE)-VLOOKUP($A10,Hshldprojections2016!$A$1:$AQ$322,27,FALSE))/10,(VLOOKUP($A10,Hshldprojections2018!$A$1:$AQ$327,37,FALSE)-VLOOKUP($A10,Hshldprojections2018!$A$1:$AQ$327,27,FALSE))/10))</f>
        <v>600.6</v>
      </c>
      <c r="AI10" s="268">
        <f>VLOOKUP($A10,AffordabilityRatio!$A$2:$I$321,5,FALSE)</f>
        <v>9.6199999999999992</v>
      </c>
      <c r="AJ10" s="268">
        <f>VLOOKUP($A10,AffordabilityRatio!$A$2:$I$321,6,FALSE)</f>
        <v>10.61</v>
      </c>
      <c r="AK10" s="268">
        <f>VLOOKUP($A10,AffordabilityRatio!$A$2:$I$321,7,FALSE)</f>
        <v>9.33</v>
      </c>
      <c r="AL10" s="268">
        <f>IF((VLOOKUP($A10,AffordabilityRatio!$A$2:$I$321,8,FALSE))="",AK10,VLOOKUP($A10,AffordabilityRatio!$A$2:$I$321,8,FALSE))</f>
        <v>10.38</v>
      </c>
      <c r="AM10" s="268">
        <f>IF((VLOOKUP($A10,AffordabilityRatio!$A$2:$I$321,9,FALSE))="",AL10,VLOOKUP($A10,AffordabilityRatio!$A$2:$I$321,9,FALSE))</f>
        <v>10.45</v>
      </c>
      <c r="AN10" s="268">
        <f>IF((VLOOKUP($A10,AffordabilityRatio!$A$2:$I$321,9,FALSE))="",AM10,VLOOKUP($A10,AffordabilityRatio!$A$2:$I$321,9,FALSE))</f>
        <v>10.45</v>
      </c>
      <c r="AO10" s="268">
        <f>IF((VLOOKUP($A10,AffordabilityRatio!$A$2:$I$321,9,FALSE))="",AN10,VLOOKUP($A10,AffordabilityRatio!$A$2:$I$321,9,FALSE))</f>
        <v>10.45</v>
      </c>
      <c r="AP10" s="268">
        <f>IF((VLOOKUP($A10,AffordabilityRatio!$A$2:$I$321,9,FALSE))="",AO10,VLOOKUP($A10,AffordabilityRatio!$A$2:$I$321,9,FALSE))</f>
        <v>10.45</v>
      </c>
      <c r="AQ10" s="267">
        <f t="shared" si="24"/>
        <v>1006</v>
      </c>
      <c r="AR10" s="267">
        <f t="shared" si="25"/>
        <v>1039</v>
      </c>
      <c r="AS10" s="267">
        <f t="shared" si="26"/>
        <v>967</v>
      </c>
      <c r="AT10" s="267">
        <f t="shared" si="27"/>
        <v>924</v>
      </c>
      <c r="AU10" s="267">
        <f t="shared" si="28"/>
        <v>901</v>
      </c>
      <c r="AV10" s="267">
        <f t="shared" si="29"/>
        <v>879</v>
      </c>
      <c r="AW10" s="267">
        <f t="shared" si="30"/>
        <v>859</v>
      </c>
      <c r="AX10" s="267">
        <f t="shared" si="31"/>
        <v>843</v>
      </c>
      <c r="AY10" s="267">
        <f t="shared" si="32"/>
        <v>1006</v>
      </c>
      <c r="AZ10" s="267">
        <f t="shared" si="33"/>
        <v>1039</v>
      </c>
      <c r="BA10" s="267">
        <f t="shared" si="34"/>
        <v>967</v>
      </c>
      <c r="BB10" s="267">
        <f t="shared" si="35"/>
        <v>924</v>
      </c>
      <c r="BC10" s="267">
        <f t="shared" si="36"/>
        <v>901</v>
      </c>
      <c r="BD10" s="267">
        <f t="shared" si="37"/>
        <v>879</v>
      </c>
      <c r="BE10" s="267">
        <f t="shared" si="38"/>
        <v>859</v>
      </c>
      <c r="BF10" s="267">
        <f t="shared" si="39"/>
        <v>843</v>
      </c>
      <c r="BG10" s="269">
        <f>AY10*VLOOKUP($B10,'Major Cities &amp; Towns'!$A$28:$B$345,2,FALSE)</f>
        <v>1006</v>
      </c>
      <c r="BH10" s="269">
        <f>AZ10*VLOOKUP($B10,'Major Cities &amp; Towns'!$A$28:$B$345,2,FALSE)</f>
        <v>1039</v>
      </c>
      <c r="BI10" s="269">
        <f>BA10*VLOOKUP($B10,'Major Cities &amp; Towns'!$A$28:$B$345,2,FALSE)</f>
        <v>967</v>
      </c>
      <c r="BJ10" s="269">
        <f>BB10*VLOOKUP($B10,'Major Cities &amp; Towns'!$A$28:$B$345,2,FALSE)</f>
        <v>924</v>
      </c>
      <c r="BK10" s="269">
        <f>BC10*VLOOKUP($B10,'Major Cities &amp; Towns'!$A$28:$B$345,2,FALSE)</f>
        <v>901</v>
      </c>
      <c r="BL10" s="269">
        <f>BD10*VLOOKUP($B10,'Major Cities &amp; Towns'!$A$28:$B$345,2,FALSE)</f>
        <v>879</v>
      </c>
      <c r="BM10" s="269">
        <f>BE10*VLOOKUP($B10,'Major Cities &amp; Towns'!$A$28:$B$345,2,FALSE)</f>
        <v>859</v>
      </c>
      <c r="BN10" s="269">
        <f>BF10*VLOOKUP($B10,'Major Cities &amp; Towns'!$A$28:$B$345,2,FALSE)</f>
        <v>843</v>
      </c>
      <c r="BO10" s="270">
        <f t="shared" si="40"/>
        <v>888</v>
      </c>
      <c r="BP10" s="270">
        <f t="shared" si="41"/>
        <v>888</v>
      </c>
      <c r="BQ10" s="270">
        <f t="shared" si="42"/>
        <v>888</v>
      </c>
      <c r="BR10" s="270">
        <f t="shared" si="43"/>
        <v>888</v>
      </c>
      <c r="BS10" s="270">
        <f t="shared" si="44"/>
        <v>888</v>
      </c>
      <c r="BT10" s="270">
        <f t="shared" si="45"/>
        <v>879</v>
      </c>
      <c r="BU10" s="270">
        <f t="shared" si="46"/>
        <v>859</v>
      </c>
      <c r="BV10" s="270">
        <f t="shared" si="47"/>
        <v>843</v>
      </c>
      <c r="BW10" s="39">
        <f>VLOOKUP($A10,NetAdditions!$A$2:$H$336,6,FALSE)</f>
        <v>878</v>
      </c>
      <c r="BX10" s="39">
        <f>VLOOKUP($A10,NetAdditions!$A$2:$H$336,7,FALSE)</f>
        <v>708</v>
      </c>
      <c r="BY10" s="39">
        <f>IF((VLOOKUP($C10,NetAdditions!$A$2:$H$336,8,FALSE))="",(AVERAGE(VLOOKUP($C10,NetAdditions!$A$2:$H$336,5,FALSE),VLOOKUP($C10,NetAdditions!$A$2:$H$336,6,FALSE),VLOOKUP($C10,NetAdditions!$A$2:$H$336,7,FALSE))),VLOOKUP($C10,NetAdditions!$A$2:$H$336,8,FALSE))</f>
        <v>1099</v>
      </c>
      <c r="BZ10" s="39">
        <f t="shared" si="48"/>
        <v>895</v>
      </c>
      <c r="CA10" s="39">
        <f t="shared" si="49"/>
        <v>900.66666666666663</v>
      </c>
      <c r="CB10" s="39">
        <f t="shared" si="50"/>
        <v>964.8888888888888</v>
      </c>
      <c r="CC10" s="39">
        <f t="shared" si="51"/>
        <v>920.18518518518511</v>
      </c>
      <c r="CD10" s="39">
        <f t="shared" si="52"/>
        <v>928.58024691358014</v>
      </c>
      <c r="CE10" s="276">
        <f t="shared" si="5"/>
        <v>2664</v>
      </c>
      <c r="CF10" s="276">
        <f t="shared" si="6"/>
        <v>2664</v>
      </c>
      <c r="CG10" s="276">
        <f t="shared" si="7"/>
        <v>2664</v>
      </c>
      <c r="CH10" s="276">
        <f t="shared" si="8"/>
        <v>2655</v>
      </c>
      <c r="CI10" s="276">
        <f t="shared" si="9"/>
        <v>2626</v>
      </c>
      <c r="CJ10" s="276">
        <f t="shared" si="10"/>
        <v>2581</v>
      </c>
      <c r="CK10" s="276">
        <f t="shared" si="53"/>
        <v>2294</v>
      </c>
      <c r="CL10" s="276">
        <f t="shared" si="54"/>
        <v>2294</v>
      </c>
      <c r="CM10" s="276">
        <f t="shared" si="55"/>
        <v>2442</v>
      </c>
      <c r="CN10" s="276">
        <f t="shared" si="56"/>
        <v>2655</v>
      </c>
      <c r="CO10" s="276">
        <f t="shared" si="57"/>
        <v>2626</v>
      </c>
      <c r="CP10" s="276">
        <f t="shared" si="58"/>
        <v>2581</v>
      </c>
      <c r="CQ10" s="39">
        <f t="shared" si="12"/>
        <v>2685</v>
      </c>
      <c r="CR10" s="39">
        <f t="shared" si="13"/>
        <v>2702</v>
      </c>
      <c r="CS10" s="277">
        <f t="shared" si="14"/>
        <v>2894.6666666666665</v>
      </c>
      <c r="CT10" s="39">
        <f t="shared" si="15"/>
        <v>2760.5555555555552</v>
      </c>
      <c r="CU10" s="39">
        <f t="shared" si="16"/>
        <v>2785.7407407407404</v>
      </c>
      <c r="CV10" s="39">
        <f t="shared" si="59"/>
        <v>2813.654320987654</v>
      </c>
      <c r="CW10" s="297">
        <f t="shared" si="18"/>
        <v>1.1704446381865736</v>
      </c>
      <c r="CX10" s="279" t="str">
        <f t="shared" si="60"/>
        <v>Pass</v>
      </c>
      <c r="CY10" s="278">
        <f t="shared" si="19"/>
        <v>1.1778552746294682</v>
      </c>
      <c r="CZ10" s="279" t="str">
        <f t="shared" si="61"/>
        <v>Pass</v>
      </c>
      <c r="DA10" s="278">
        <f t="shared" si="20"/>
        <v>1.1853671853671852</v>
      </c>
      <c r="DB10" s="292" t="str">
        <f t="shared" si="62"/>
        <v>Pass</v>
      </c>
      <c r="DC10" s="299">
        <f t="shared" si="63"/>
        <v>1.0397572713956893</v>
      </c>
      <c r="DD10" s="293" t="str">
        <f t="shared" si="64"/>
        <v>Pass</v>
      </c>
      <c r="DE10" s="299">
        <f t="shared" si="65"/>
        <v>1.0608304420185608</v>
      </c>
      <c r="DF10" s="293" t="str">
        <f t="shared" si="66"/>
        <v>Pass</v>
      </c>
      <c r="DG10" s="299">
        <f t="shared" si="67"/>
        <v>1.0901411549739071</v>
      </c>
      <c r="DH10" s="293" t="str">
        <f t="shared" si="68"/>
        <v>Pass</v>
      </c>
    </row>
    <row r="11" spans="1:112" ht="15" thickTop="1" thickBot="1">
      <c r="A11" s="38" t="s">
        <v>126</v>
      </c>
      <c r="B11" s="38" t="s">
        <v>127</v>
      </c>
      <c r="C11" s="38" t="s">
        <v>126</v>
      </c>
      <c r="D11" s="38" t="s">
        <v>128</v>
      </c>
      <c r="E11" s="38" t="str">
        <f>VLOOKUP(C11,PoliticalControl!A:K,11,FALSE)</f>
        <v>NOC</v>
      </c>
      <c r="F11" s="38" t="str">
        <f>VLOOKUP(C11,UrbanRuralClassification!A:N,13,FALSE)</f>
        <v xml:space="preserve">Mainly Rural (rural including hub towns &gt;=80%) </v>
      </c>
      <c r="G11" s="38" t="str">
        <f>VLOOKUP(C11,UrbanRuralClassification!A:N,14,FALSE)</f>
        <v>Predominantly Rural</v>
      </c>
      <c r="H11" s="258">
        <f>IF(ISBLANK((VLOOKUP($A11,'local-plan-data'!$C$1:$AD$566,27,FALSE)))=TRUE,"",VLOOKUP($A11,'local-plan-data'!$C$1:$AD$566,27,FALSE))</f>
        <v>41695</v>
      </c>
      <c r="I11" s="259">
        <f>VLOOKUP($A11,'local-plan-data'!$C$1:$AD$566,28,FALSE)</f>
        <v>298.75</v>
      </c>
      <c r="J11" s="260">
        <f t="shared" si="21"/>
        <v>298.75</v>
      </c>
      <c r="K11" s="259">
        <f t="shared" si="22"/>
        <v>298.75</v>
      </c>
      <c r="L11" s="259" t="str">
        <f t="shared" si="0"/>
        <v>-</v>
      </c>
      <c r="M11" s="259" t="str">
        <f t="shared" si="0"/>
        <v>-</v>
      </c>
      <c r="N11" s="259" t="str">
        <f t="shared" si="0"/>
        <v>-</v>
      </c>
      <c r="O11" s="259" t="str">
        <f t="shared" si="0"/>
        <v>-</v>
      </c>
      <c r="P11" s="259" t="str">
        <f t="shared" si="0"/>
        <v>-</v>
      </c>
      <c r="Q11" s="259" t="str">
        <f t="shared" si="0"/>
        <v>-</v>
      </c>
      <c r="R11" s="259" t="str">
        <f t="shared" si="0"/>
        <v>-</v>
      </c>
      <c r="S11" s="259">
        <f t="shared" si="23"/>
        <v>330</v>
      </c>
      <c r="T11" s="259">
        <f t="shared" si="1"/>
        <v>-35</v>
      </c>
      <c r="U11" s="259">
        <f t="shared" si="1"/>
        <v>-401</v>
      </c>
      <c r="V11" s="259">
        <f t="shared" si="1"/>
        <v>-766</v>
      </c>
      <c r="W11" s="259">
        <f t="shared" si="1"/>
        <v>-1131</v>
      </c>
      <c r="X11" s="259">
        <f t="shared" si="1"/>
        <v>-1496</v>
      </c>
      <c r="Y11" s="259">
        <f t="shared" si="1"/>
        <v>-1862</v>
      </c>
      <c r="Z11" s="259">
        <f t="shared" si="1"/>
        <v>-2227</v>
      </c>
      <c r="AA11" s="267">
        <f>(VLOOKUP(A11,Hshldprojections2014!$A$2:$AW$319,40, FALSE)-VLOOKUP(A11,Hshldprojections2014!$A$2:$AW$319,30, FALSE))/10</f>
        <v>298</v>
      </c>
      <c r="AB11" s="267">
        <f>(VLOOKUP(A11,Hshldprojections2014!$A$2:$AW$319,41, FALSE)-VLOOKUP(A11,Hshldprojections2014!$A$2:$AW$319,31, FALSE))/10</f>
        <v>293.2</v>
      </c>
      <c r="AC11" s="267">
        <f>(VLOOKUP(A11,Hshldprojections2014!$A$2:$AW$319,42, FALSE)-VLOOKUP(A11,Hshldprojections2014!$A$2:$AW$319,32, FALSE))/10</f>
        <v>290</v>
      </c>
      <c r="AD11" s="267">
        <f>IF(IndividualLATest!$J$7=2014,(VLOOKUP($A11,Hshldprojections2014!$A$2:$AY$326,43,FALSE)-VLOOKUP($A11,Hshldprojections2014!$A$2:$AY$326,33,FALSE))/10,IF(IndividualLATest!$J$7=2016,(VLOOKUP($A11,Hshldprojections2016!$A$1:$AQ$322,33,FALSE)-VLOOKUP($A11,Hshldprojections2016!$A$1:$AQ$322,23,FALSE))/10,(VLOOKUP($A11,Hshldprojections2018!$A$1:$AQ$327,33,FALSE)-VLOOKUP($A11,Hshldprojections2018!$A$1:$AQ$327,23,FALSE))/10))</f>
        <v>338.9</v>
      </c>
      <c r="AE11" s="267">
        <f>IF(IndividualLATest!$J$7=2014,(VLOOKUP($A11,Hshldprojections2014!$A$2:$AY$326,44,FALSE)-VLOOKUP($A11,Hshldprojections2014!$A$2:$AY$326,34,FALSE))/10,IF(IndividualLATest!$J$7=2016,(VLOOKUP($A11,Hshldprojections2016!$A$1:$AQ$322,34,FALSE)-VLOOKUP($A11,Hshldprojections2016!$A$1:$AQ$322,24,FALSE))/10,(VLOOKUP($A11,Hshldprojections2018!$A$1:$AQ$327,34,FALSE)-VLOOKUP($A11,Hshldprojections2018!$A$1:$AQ$327,24,FALSE))/10))</f>
        <v>326.3</v>
      </c>
      <c r="AF11" s="267">
        <f>IF(IndividualLATest!$J$7=2014,(VLOOKUP($A11,Hshldprojections2014!$A$2:$AY$326,45,FALSE)-VLOOKUP($A11,Hshldprojections2014!$A$2:$AY$326,35,FALSE))/10,IF(IndividualLATest!$J$7=2016,(VLOOKUP($A11,Hshldprojections2016!$A$1:$AQ$322,35,FALSE)-VLOOKUP($A11,Hshldprojections2016!$A$1:$AQ$322,25,FALSE))/10,(VLOOKUP($A11,Hshldprojections2018!$A$1:$AQ$327,35,FALSE)-VLOOKUP($A11,Hshldprojections2018!$A$1:$AQ$327,25,FALSE))/10))</f>
        <v>315.5</v>
      </c>
      <c r="AG11" s="267">
        <f>IF(IndividualLATest!$J$7=2014,(VLOOKUP($A11,Hshldprojections2014!$A$2:$AY$326,46,FALSE)-VLOOKUP($A11,Hshldprojections2014!$A$2:$AY$326,36,FALSE))/10,IF(IndividualLATest!$J$7=2016,(VLOOKUP($A11,Hshldprojections2016!$A$1:$AQ$322,36,FALSE)-VLOOKUP($A11,Hshldprojections2016!$A$1:$AQ$322,26,FALSE))/10,(VLOOKUP($A11,Hshldprojections2018!$A$1:$AQ$327,36,FALSE)-VLOOKUP($A11,Hshldprojections2018!$A$1:$AQ$327,26,FALSE))/10))</f>
        <v>304.3</v>
      </c>
      <c r="AH11" s="267">
        <f>IF(IndividualLATest!$J$7=2014,(VLOOKUP($A11,Hshldprojections2014!$A$2:$AY$326,47,FALSE)-VLOOKUP($A11,Hshldprojections2014!$A$2:$AY$326,37,FALSE))/10,IF(IndividualLATest!$J$7=2016,(VLOOKUP($A11,Hshldprojections2016!$A$1:$AQ$322,37,FALSE)-VLOOKUP($A11,Hshldprojections2016!$A$1:$AQ$322,27,FALSE))/10,(VLOOKUP($A11,Hshldprojections2018!$A$1:$AQ$327,37,FALSE)-VLOOKUP($A11,Hshldprojections2018!$A$1:$AQ$327,27,FALSE))/10))</f>
        <v>294.89999999999998</v>
      </c>
      <c r="AI11" s="268">
        <f>VLOOKUP($A11,AffordabilityRatio!$A$2:$I$321,5,FALSE)</f>
        <v>10.74</v>
      </c>
      <c r="AJ11" s="268">
        <f>VLOOKUP($A11,AffordabilityRatio!$A$2:$I$321,6,FALSE)</f>
        <v>11.48</v>
      </c>
      <c r="AK11" s="268">
        <f>VLOOKUP($A11,AffordabilityRatio!$A$2:$I$321,7,FALSE)</f>
        <v>10.87</v>
      </c>
      <c r="AL11" s="268">
        <f>IF((VLOOKUP($A11,AffordabilityRatio!$A$2:$I$321,8,FALSE))="",AK11,VLOOKUP($A11,AffordabilityRatio!$A$2:$I$321,8,FALSE))</f>
        <v>10.68</v>
      </c>
      <c r="AM11" s="268">
        <f>IF((VLOOKUP($A11,AffordabilityRatio!$A$2:$I$321,9,FALSE))="",AL11,VLOOKUP($A11,AffordabilityRatio!$A$2:$I$321,9,FALSE))</f>
        <v>11.84</v>
      </c>
      <c r="AN11" s="268">
        <f>IF((VLOOKUP($A11,AffordabilityRatio!$A$2:$I$321,9,FALSE))="",AM11,VLOOKUP($A11,AffordabilityRatio!$A$2:$I$321,9,FALSE))</f>
        <v>11.84</v>
      </c>
      <c r="AO11" s="268">
        <f>IF((VLOOKUP($A11,AffordabilityRatio!$A$2:$I$321,9,FALSE))="",AN11,VLOOKUP($A11,AffordabilityRatio!$A$2:$I$321,9,FALSE))</f>
        <v>11.84</v>
      </c>
      <c r="AP11" s="268">
        <f>IF((VLOOKUP($A11,AffordabilityRatio!$A$2:$I$321,9,FALSE))="",AO11,VLOOKUP($A11,AffordabilityRatio!$A$2:$I$321,9,FALSE))</f>
        <v>11.84</v>
      </c>
      <c r="AQ11" s="267">
        <f t="shared" si="24"/>
        <v>424</v>
      </c>
      <c r="AR11" s="267">
        <f t="shared" si="25"/>
        <v>430</v>
      </c>
      <c r="AS11" s="267">
        <f t="shared" si="26"/>
        <v>415</v>
      </c>
      <c r="AT11" s="267">
        <f t="shared" si="27"/>
        <v>480</v>
      </c>
      <c r="AU11" s="267">
        <f t="shared" si="28"/>
        <v>486</v>
      </c>
      <c r="AV11" s="267">
        <f t="shared" si="29"/>
        <v>470</v>
      </c>
      <c r="AW11" s="267">
        <f t="shared" si="30"/>
        <v>453</v>
      </c>
      <c r="AX11" s="267">
        <f t="shared" si="31"/>
        <v>439</v>
      </c>
      <c r="AY11" s="267">
        <f t="shared" si="32"/>
        <v>418.25</v>
      </c>
      <c r="AZ11" s="267">
        <f t="shared" si="33"/>
        <v>418.25</v>
      </c>
      <c r="BA11" s="267">
        <f t="shared" si="34"/>
        <v>415</v>
      </c>
      <c r="BB11" s="267">
        <f t="shared" si="35"/>
        <v>474.46</v>
      </c>
      <c r="BC11" s="267">
        <f t="shared" si="36"/>
        <v>456.82000000000005</v>
      </c>
      <c r="BD11" s="267">
        <f t="shared" si="37"/>
        <v>441.7</v>
      </c>
      <c r="BE11" s="267">
        <f t="shared" si="38"/>
        <v>426.02000000000004</v>
      </c>
      <c r="BF11" s="267">
        <f t="shared" si="39"/>
        <v>418.25</v>
      </c>
      <c r="BG11" s="269">
        <f>AY11*VLOOKUP($B11,'Major Cities &amp; Towns'!$A$28:$B$345,2,FALSE)</f>
        <v>418.25</v>
      </c>
      <c r="BH11" s="269">
        <f>AZ11*VLOOKUP($B11,'Major Cities &amp; Towns'!$A$28:$B$345,2,FALSE)</f>
        <v>418.25</v>
      </c>
      <c r="BI11" s="269">
        <f>BA11*VLOOKUP($B11,'Major Cities &amp; Towns'!$A$28:$B$345,2,FALSE)</f>
        <v>415</v>
      </c>
      <c r="BJ11" s="269">
        <f>BB11*VLOOKUP($B11,'Major Cities &amp; Towns'!$A$28:$B$345,2,FALSE)</f>
        <v>474.46</v>
      </c>
      <c r="BK11" s="269">
        <f>BC11*VLOOKUP($B11,'Major Cities &amp; Towns'!$A$28:$B$345,2,FALSE)</f>
        <v>456.82000000000005</v>
      </c>
      <c r="BL11" s="269">
        <f>BD11*VLOOKUP($B11,'Major Cities &amp; Towns'!$A$28:$B$345,2,FALSE)</f>
        <v>441.7</v>
      </c>
      <c r="BM11" s="269">
        <f>BE11*VLOOKUP($B11,'Major Cities &amp; Towns'!$A$28:$B$345,2,FALSE)</f>
        <v>426.02000000000004</v>
      </c>
      <c r="BN11" s="269">
        <f>BF11*VLOOKUP($B11,'Major Cities &amp; Towns'!$A$28:$B$345,2,FALSE)</f>
        <v>418.25</v>
      </c>
      <c r="BO11" s="270">
        <f t="shared" si="40"/>
        <v>310.7602739726027</v>
      </c>
      <c r="BP11" s="270">
        <f t="shared" si="41"/>
        <v>430</v>
      </c>
      <c r="BQ11" s="270">
        <f t="shared" si="42"/>
        <v>415</v>
      </c>
      <c r="BR11" s="270">
        <f t="shared" si="43"/>
        <v>480</v>
      </c>
      <c r="BS11" s="270">
        <f t="shared" si="44"/>
        <v>486</v>
      </c>
      <c r="BT11" s="270">
        <f t="shared" si="45"/>
        <v>470</v>
      </c>
      <c r="BU11" s="270">
        <f t="shared" si="46"/>
        <v>453</v>
      </c>
      <c r="BV11" s="270">
        <f t="shared" si="47"/>
        <v>439</v>
      </c>
      <c r="BW11" s="39">
        <f>VLOOKUP($A11,NetAdditions!$A$2:$H$336,6,FALSE)</f>
        <v>579</v>
      </c>
      <c r="BX11" s="39">
        <f>VLOOKUP($A11,NetAdditions!$A$2:$H$336,7,FALSE)</f>
        <v>293</v>
      </c>
      <c r="BY11" s="39">
        <f>IF((VLOOKUP($C11,NetAdditions!$A$2:$H$336,8,FALSE))="",(AVERAGE(VLOOKUP($C11,NetAdditions!$A$2:$H$336,5,FALSE),VLOOKUP($C11,NetAdditions!$A$2:$H$336,6,FALSE),VLOOKUP($C11,NetAdditions!$A$2:$H$336,7,FALSE))),VLOOKUP($C11,NetAdditions!$A$2:$H$336,8,FALSE))</f>
        <v>527</v>
      </c>
      <c r="BZ11" s="39">
        <f t="shared" si="48"/>
        <v>466.33333333333331</v>
      </c>
      <c r="CA11" s="39">
        <f t="shared" si="49"/>
        <v>428.77777777777777</v>
      </c>
      <c r="CB11" s="39">
        <f t="shared" si="50"/>
        <v>474.03703703703701</v>
      </c>
      <c r="CC11" s="39">
        <f t="shared" si="51"/>
        <v>456.38271604938268</v>
      </c>
      <c r="CD11" s="39">
        <f t="shared" si="52"/>
        <v>453.06584362139915</v>
      </c>
      <c r="CE11" s="276">
        <f t="shared" si="5"/>
        <v>1155.7602739726026</v>
      </c>
      <c r="CF11" s="276">
        <f t="shared" si="6"/>
        <v>1325</v>
      </c>
      <c r="CG11" s="276">
        <f t="shared" si="7"/>
        <v>1381</v>
      </c>
      <c r="CH11" s="276">
        <f t="shared" si="8"/>
        <v>1436</v>
      </c>
      <c r="CI11" s="276">
        <f t="shared" si="9"/>
        <v>1409</v>
      </c>
      <c r="CJ11" s="276">
        <f t="shared" si="10"/>
        <v>1362</v>
      </c>
      <c r="CK11" s="276">
        <f t="shared" si="53"/>
        <v>995.23801369863008</v>
      </c>
      <c r="CL11" s="276">
        <f t="shared" si="54"/>
        <v>1140.9722222222224</v>
      </c>
      <c r="CM11" s="276">
        <f t="shared" si="55"/>
        <v>1265.9166666666665</v>
      </c>
      <c r="CN11" s="276">
        <f t="shared" si="56"/>
        <v>1436</v>
      </c>
      <c r="CO11" s="276">
        <f t="shared" si="57"/>
        <v>1409</v>
      </c>
      <c r="CP11" s="276">
        <f t="shared" si="58"/>
        <v>1362</v>
      </c>
      <c r="CQ11" s="39">
        <f t="shared" si="12"/>
        <v>1399</v>
      </c>
      <c r="CR11" s="39">
        <f t="shared" si="13"/>
        <v>1286.3333333333333</v>
      </c>
      <c r="CS11" s="277">
        <f t="shared" si="14"/>
        <v>1422.1111111111111</v>
      </c>
      <c r="CT11" s="39">
        <f t="shared" si="15"/>
        <v>1369.148148148148</v>
      </c>
      <c r="CU11" s="39">
        <f t="shared" si="16"/>
        <v>1359.1975308641975</v>
      </c>
      <c r="CV11" s="39">
        <f t="shared" si="59"/>
        <v>1383.4855967078188</v>
      </c>
      <c r="CW11" s="297">
        <f t="shared" si="18"/>
        <v>1.4056938950722533</v>
      </c>
      <c r="CX11" s="279" t="str">
        <f t="shared" si="60"/>
        <v>Pass</v>
      </c>
      <c r="CY11" s="278">
        <f t="shared" si="19"/>
        <v>1.1274010955569078</v>
      </c>
      <c r="CZ11" s="279" t="str">
        <f t="shared" si="61"/>
        <v>Pass</v>
      </c>
      <c r="DA11" s="278">
        <f t="shared" si="20"/>
        <v>1.1233844600969873</v>
      </c>
      <c r="DB11" s="292" t="str">
        <f t="shared" si="62"/>
        <v>Pass</v>
      </c>
      <c r="DC11" s="299">
        <f t="shared" si="63"/>
        <v>0.95344578561848747</v>
      </c>
      <c r="DD11" s="293" t="str">
        <f t="shared" si="64"/>
        <v>Pass</v>
      </c>
      <c r="DE11" s="299">
        <f t="shared" si="65"/>
        <v>0.96465403184116216</v>
      </c>
      <c r="DF11" s="293" t="str">
        <f t="shared" si="66"/>
        <v>Pass</v>
      </c>
      <c r="DG11" s="299">
        <f t="shared" si="67"/>
        <v>1.0157750342935528</v>
      </c>
      <c r="DH11" s="293" t="str">
        <f t="shared" si="68"/>
        <v>Pass</v>
      </c>
    </row>
    <row r="12" spans="1:112" customFormat="1" ht="15.5" thickTop="1" thickBot="1">
      <c r="A12" s="3" t="s">
        <v>129</v>
      </c>
      <c r="B12" s="3" t="s">
        <v>130</v>
      </c>
      <c r="C12" s="3" t="s">
        <v>129</v>
      </c>
      <c r="D12" s="3" t="s">
        <v>131</v>
      </c>
      <c r="E12" s="3" t="str">
        <f>VLOOKUP(C12,PoliticalControl!A:K,11,FALSE)</f>
        <v>LAB</v>
      </c>
      <c r="F12" s="3" t="str">
        <f>VLOOKUP(C12,UrbanRuralClassification!A:N,13,FALSE)</f>
        <v>Urban with Major Conurbation</v>
      </c>
      <c r="G12" s="3" t="str">
        <f>VLOOKUP(C12,UrbanRuralClassification!A:N,14,FALSE)</f>
        <v>Predominantly Urban</v>
      </c>
      <c r="H12" s="262">
        <f>IF(ISBLANK((VLOOKUP($A12,'local-plan-data'!$C$1:$AD$566,27,FALSE)))=TRUE,"",VLOOKUP($A12,'local-plan-data'!$C$1:$AD$566,27,FALSE))</f>
        <v>40380</v>
      </c>
      <c r="I12" s="263">
        <f>VLOOKUP($A12,'local-plan-data'!$C$1:$AD$566,28,FALSE)</f>
        <v>1190</v>
      </c>
      <c r="J12" s="264">
        <f t="shared" si="21"/>
        <v>1190</v>
      </c>
      <c r="K12" s="259" t="str">
        <f t="shared" si="22"/>
        <v>-</v>
      </c>
      <c r="L12" s="259" t="str">
        <f t="shared" si="0"/>
        <v>-</v>
      </c>
      <c r="M12" s="259" t="str">
        <f t="shared" si="0"/>
        <v>-</v>
      </c>
      <c r="N12" s="259" t="str">
        <f t="shared" si="0"/>
        <v>-</v>
      </c>
      <c r="O12" s="259" t="str">
        <f t="shared" si="0"/>
        <v>-</v>
      </c>
      <c r="P12" s="259" t="str">
        <f t="shared" si="0"/>
        <v>-</v>
      </c>
      <c r="Q12" s="259" t="str">
        <f t="shared" si="0"/>
        <v>-</v>
      </c>
      <c r="R12" s="259" t="str">
        <f t="shared" si="0"/>
        <v>-</v>
      </c>
      <c r="S12" s="259">
        <f t="shared" si="23"/>
        <v>-985</v>
      </c>
      <c r="T12" s="259">
        <f t="shared" si="1"/>
        <v>-1350</v>
      </c>
      <c r="U12" s="259">
        <f t="shared" si="1"/>
        <v>-1716</v>
      </c>
      <c r="V12" s="259">
        <f t="shared" si="1"/>
        <v>-2081</v>
      </c>
      <c r="W12" s="259">
        <f t="shared" si="1"/>
        <v>-2446</v>
      </c>
      <c r="X12" s="259">
        <f t="shared" si="1"/>
        <v>-2811</v>
      </c>
      <c r="Y12" s="259">
        <f t="shared" si="1"/>
        <v>-3177</v>
      </c>
      <c r="Z12" s="259">
        <f t="shared" si="1"/>
        <v>-3542</v>
      </c>
      <c r="AA12" s="267">
        <f>(VLOOKUP(A12,Hshldprojections2014!$A$2:$AW$319,40, FALSE)-VLOOKUP(A12,Hshldprojections2014!$A$2:$AW$319,30, FALSE))/10</f>
        <v>1597.7</v>
      </c>
      <c r="AB12" s="267">
        <f>(VLOOKUP(A12,Hshldprojections2014!$A$2:$AW$319,41, FALSE)-VLOOKUP(A12,Hshldprojections2014!$A$2:$AW$319,31, FALSE))/10</f>
        <v>1589.4</v>
      </c>
      <c r="AC12" s="267">
        <f>(VLOOKUP(A12,Hshldprojections2014!$A$2:$AW$319,42, FALSE)-VLOOKUP(A12,Hshldprojections2014!$A$2:$AW$319,32, FALSE))/10</f>
        <v>1578.4</v>
      </c>
      <c r="AD12" s="267">
        <f>IF(IndividualLATest!$J$7=2014,(VLOOKUP($A12,Hshldprojections2014!$A$2:$AY$326,43,FALSE)-VLOOKUP($A12,Hshldprojections2014!$A$2:$AY$326,33,FALSE))/10,IF(IndividualLATest!$J$7=2016,(VLOOKUP($A12,Hshldprojections2016!$A$1:$AQ$322,33,FALSE)-VLOOKUP($A12,Hshldprojections2016!$A$1:$AQ$322,23,FALSE))/10,(VLOOKUP($A12,Hshldprojections2018!$A$1:$AQ$327,33,FALSE)-VLOOKUP($A12,Hshldprojections2018!$A$1:$AQ$327,23,FALSE))/10))</f>
        <v>574.20000000000005</v>
      </c>
      <c r="AE12" s="267">
        <f>IF(IndividualLATest!$J$7=2014,(VLOOKUP($A12,Hshldprojections2014!$A$2:$AY$326,44,FALSE)-VLOOKUP($A12,Hshldprojections2014!$A$2:$AY$326,34,FALSE))/10,IF(IndividualLATest!$J$7=2016,(VLOOKUP($A12,Hshldprojections2016!$A$1:$AQ$322,34,FALSE)-VLOOKUP($A12,Hshldprojections2016!$A$1:$AQ$322,24,FALSE))/10,(VLOOKUP($A12,Hshldprojections2018!$A$1:$AQ$327,34,FALSE)-VLOOKUP($A12,Hshldprojections2018!$A$1:$AQ$327,24,FALSE))/10))</f>
        <v>557.1</v>
      </c>
      <c r="AF12" s="267">
        <f>IF(IndividualLATest!$J$7=2014,(VLOOKUP($A12,Hshldprojections2014!$A$2:$AY$326,45,FALSE)-VLOOKUP($A12,Hshldprojections2014!$A$2:$AY$326,35,FALSE))/10,IF(IndividualLATest!$J$7=2016,(VLOOKUP($A12,Hshldprojections2016!$A$1:$AQ$322,35,FALSE)-VLOOKUP($A12,Hshldprojections2016!$A$1:$AQ$322,25,FALSE))/10,(VLOOKUP($A12,Hshldprojections2018!$A$1:$AQ$327,35,FALSE)-VLOOKUP($A12,Hshldprojections2018!$A$1:$AQ$327,25,FALSE))/10))</f>
        <v>540.1</v>
      </c>
      <c r="AG12" s="267">
        <f>IF(IndividualLATest!$J$7=2014,(VLOOKUP($A12,Hshldprojections2014!$A$2:$AY$326,46,FALSE)-VLOOKUP($A12,Hshldprojections2014!$A$2:$AY$326,36,FALSE))/10,IF(IndividualLATest!$J$7=2016,(VLOOKUP($A12,Hshldprojections2016!$A$1:$AQ$322,36,FALSE)-VLOOKUP($A12,Hshldprojections2016!$A$1:$AQ$322,26,FALSE))/10,(VLOOKUP($A12,Hshldprojections2018!$A$1:$AQ$327,36,FALSE)-VLOOKUP($A12,Hshldprojections2018!$A$1:$AQ$327,26,FALSE))/10))</f>
        <v>527.9</v>
      </c>
      <c r="AH12" s="267">
        <f>IF(IndividualLATest!$J$7=2014,(VLOOKUP($A12,Hshldprojections2014!$A$2:$AY$326,47,FALSE)-VLOOKUP($A12,Hshldprojections2014!$A$2:$AY$326,37,FALSE))/10,IF(IndividualLATest!$J$7=2016,(VLOOKUP($A12,Hshldprojections2016!$A$1:$AQ$322,37,FALSE)-VLOOKUP($A12,Hshldprojections2016!$A$1:$AQ$322,27,FALSE))/10,(VLOOKUP($A12,Hshldprojections2018!$A$1:$AQ$327,37,FALSE)-VLOOKUP($A12,Hshldprojections2018!$A$1:$AQ$327,27,FALSE))/10))</f>
        <v>514.5</v>
      </c>
      <c r="AI12" s="268">
        <f>VLOOKUP($A12,AffordabilityRatio!$A$2:$I$321,5,FALSE)</f>
        <v>10.58</v>
      </c>
      <c r="AJ12" s="268">
        <f>VLOOKUP($A12,AffordabilityRatio!$A$2:$I$321,6,FALSE)</f>
        <v>10.17</v>
      </c>
      <c r="AK12" s="268">
        <f>VLOOKUP($A12,AffordabilityRatio!$A$2:$I$321,7,FALSE)</f>
        <v>10.98</v>
      </c>
      <c r="AL12" s="268">
        <f>IF((VLOOKUP($A12,AffordabilityRatio!$A$2:$I$321,8,FALSE))="",AK12,VLOOKUP($A12,AffordabilityRatio!$A$2:$I$321,8,FALSE))</f>
        <v>9.86</v>
      </c>
      <c r="AM12" s="268">
        <f>IF((VLOOKUP($A12,AffordabilityRatio!$A$2:$I$321,9,FALSE))="",AL12,VLOOKUP($A12,AffordabilityRatio!$A$2:$I$321,9,FALSE))</f>
        <v>10.3</v>
      </c>
      <c r="AN12" s="268">
        <f>IF((VLOOKUP($A12,AffordabilityRatio!$A$2:$I$321,9,FALSE))="",AM12,VLOOKUP($A12,AffordabilityRatio!$A$2:$I$321,9,FALSE))</f>
        <v>10.3</v>
      </c>
      <c r="AO12" s="268">
        <f>IF((VLOOKUP($A12,AffordabilityRatio!$A$2:$I$321,9,FALSE))="",AN12,VLOOKUP($A12,AffordabilityRatio!$A$2:$I$321,9,FALSE))</f>
        <v>10.3</v>
      </c>
      <c r="AP12" s="268">
        <f>IF((VLOOKUP($A12,AffordabilityRatio!$A$2:$I$321,9,FALSE))="",AO12,VLOOKUP($A12,AffordabilityRatio!$A$2:$I$321,9,FALSE))</f>
        <v>10.3</v>
      </c>
      <c r="AQ12" s="267">
        <f t="shared" si="24"/>
        <v>2255</v>
      </c>
      <c r="AR12" s="267">
        <f t="shared" si="25"/>
        <v>2202</v>
      </c>
      <c r="AS12" s="267">
        <f t="shared" si="26"/>
        <v>2267</v>
      </c>
      <c r="AT12" s="267">
        <f t="shared" si="27"/>
        <v>785</v>
      </c>
      <c r="AU12" s="267">
        <f t="shared" si="28"/>
        <v>776</v>
      </c>
      <c r="AV12" s="267">
        <f t="shared" si="29"/>
        <v>753</v>
      </c>
      <c r="AW12" s="267">
        <f t="shared" si="30"/>
        <v>736</v>
      </c>
      <c r="AX12" s="267">
        <f t="shared" si="31"/>
        <v>717</v>
      </c>
      <c r="AY12" s="267">
        <f t="shared" si="32"/>
        <v>2236.7800000000002</v>
      </c>
      <c r="AZ12" s="267">
        <f t="shared" si="33"/>
        <v>2202</v>
      </c>
      <c r="BA12" s="267">
        <f t="shared" si="34"/>
        <v>2209.7600000000002</v>
      </c>
      <c r="BB12" s="267">
        <f t="shared" si="35"/>
        <v>785</v>
      </c>
      <c r="BC12" s="267">
        <f t="shared" si="36"/>
        <v>776</v>
      </c>
      <c r="BD12" s="267">
        <f t="shared" si="37"/>
        <v>753</v>
      </c>
      <c r="BE12" s="267">
        <f t="shared" si="38"/>
        <v>736</v>
      </c>
      <c r="BF12" s="267">
        <f t="shared" si="39"/>
        <v>717</v>
      </c>
      <c r="BG12" s="269">
        <f>AY12*VLOOKUP($B12,'Major Cities &amp; Towns'!$A$28:$B$345,2,FALSE)</f>
        <v>3019.6530000000002</v>
      </c>
      <c r="BH12" s="269">
        <f>AZ12*VLOOKUP($B12,'Major Cities &amp; Towns'!$A$28:$B$345,2,FALSE)</f>
        <v>2972.7000000000003</v>
      </c>
      <c r="BI12" s="269">
        <f>BA12*VLOOKUP($B12,'Major Cities &amp; Towns'!$A$28:$B$345,2,FALSE)</f>
        <v>2983.1760000000004</v>
      </c>
      <c r="BJ12" s="269">
        <f>BB12*VLOOKUP($B12,'Major Cities &amp; Towns'!$A$28:$B$345,2,FALSE)</f>
        <v>1059.75</v>
      </c>
      <c r="BK12" s="269">
        <f>BC12*VLOOKUP($B12,'Major Cities &amp; Towns'!$A$28:$B$345,2,FALSE)</f>
        <v>1047.6000000000001</v>
      </c>
      <c r="BL12" s="269">
        <f>BD12*VLOOKUP($B12,'Major Cities &amp; Towns'!$A$28:$B$345,2,FALSE)</f>
        <v>1016.5500000000001</v>
      </c>
      <c r="BM12" s="269">
        <f>BE12*VLOOKUP($B12,'Major Cities &amp; Towns'!$A$28:$B$345,2,FALSE)</f>
        <v>993.6</v>
      </c>
      <c r="BN12" s="269">
        <f>BF12*VLOOKUP($B12,'Major Cities &amp; Towns'!$A$28:$B$345,2,FALSE)</f>
        <v>967.95</v>
      </c>
      <c r="BO12" s="270">
        <f t="shared" si="40"/>
        <v>2255</v>
      </c>
      <c r="BP12" s="270">
        <f t="shared" si="41"/>
        <v>2202</v>
      </c>
      <c r="BQ12" s="270">
        <f t="shared" si="42"/>
        <v>2267</v>
      </c>
      <c r="BR12" s="270">
        <f t="shared" si="43"/>
        <v>785</v>
      </c>
      <c r="BS12" s="270">
        <f t="shared" si="44"/>
        <v>776</v>
      </c>
      <c r="BT12" s="270">
        <f t="shared" si="45"/>
        <v>753</v>
      </c>
      <c r="BU12" s="270">
        <f t="shared" si="46"/>
        <v>736</v>
      </c>
      <c r="BV12" s="270">
        <f t="shared" si="47"/>
        <v>717</v>
      </c>
      <c r="BW12" s="39">
        <f>VLOOKUP($A12,NetAdditions!$A$2:$H$336,6,FALSE)</f>
        <v>906</v>
      </c>
      <c r="BX12" s="39">
        <f>VLOOKUP($A12,NetAdditions!$A$2:$H$336,7,FALSE)</f>
        <v>741</v>
      </c>
      <c r="BY12" s="39">
        <f>IF((VLOOKUP($C12,NetAdditions!$A$2:$H$336,8,FALSE))="",(AVERAGE(VLOOKUP($C12,NetAdditions!$A$2:$H$336,5,FALSE),VLOOKUP($C12,NetAdditions!$A$2:$H$336,6,FALSE),VLOOKUP($C12,NetAdditions!$A$2:$H$336,7,FALSE))),VLOOKUP($C12,NetAdditions!$A$2:$H$336,8,FALSE))</f>
        <v>1048</v>
      </c>
      <c r="BZ12" s="39">
        <f t="shared" si="48"/>
        <v>898.33333333333337</v>
      </c>
      <c r="CA12" s="39">
        <f t="shared" si="49"/>
        <v>895.77777777777783</v>
      </c>
      <c r="CB12" s="39">
        <f t="shared" si="50"/>
        <v>947.37037037037044</v>
      </c>
      <c r="CC12" s="39">
        <f t="shared" si="51"/>
        <v>913.82716049382725</v>
      </c>
      <c r="CD12" s="39">
        <f t="shared" si="52"/>
        <v>918.99176954732513</v>
      </c>
      <c r="CE12" s="276">
        <f t="shared" si="5"/>
        <v>6724</v>
      </c>
      <c r="CF12" s="276">
        <f t="shared" si="6"/>
        <v>5254</v>
      </c>
      <c r="CG12" s="276">
        <f t="shared" si="7"/>
        <v>3828</v>
      </c>
      <c r="CH12" s="276">
        <f t="shared" si="8"/>
        <v>2314</v>
      </c>
      <c r="CI12" s="276">
        <f t="shared" si="9"/>
        <v>2265</v>
      </c>
      <c r="CJ12" s="276">
        <f t="shared" si="10"/>
        <v>2206</v>
      </c>
      <c r="CK12" s="276">
        <f t="shared" si="53"/>
        <v>5790.1111111111113</v>
      </c>
      <c r="CL12" s="276">
        <f t="shared" si="54"/>
        <v>4524.2777777777783</v>
      </c>
      <c r="CM12" s="276">
        <f t="shared" si="55"/>
        <v>3509</v>
      </c>
      <c r="CN12" s="276">
        <f t="shared" si="56"/>
        <v>2314</v>
      </c>
      <c r="CO12" s="276">
        <f t="shared" si="57"/>
        <v>2265</v>
      </c>
      <c r="CP12" s="276">
        <f t="shared" si="58"/>
        <v>2206</v>
      </c>
      <c r="CQ12" s="39">
        <f t="shared" si="12"/>
        <v>2695</v>
      </c>
      <c r="CR12" s="39">
        <f t="shared" si="13"/>
        <v>2687.3333333333335</v>
      </c>
      <c r="CS12" s="277">
        <f t="shared" si="14"/>
        <v>2842.1111111111113</v>
      </c>
      <c r="CT12" s="39">
        <f t="shared" si="15"/>
        <v>2741.4814814814818</v>
      </c>
      <c r="CU12" s="39">
        <f t="shared" si="16"/>
        <v>2756.9753086419755</v>
      </c>
      <c r="CV12" s="39">
        <f t="shared" si="59"/>
        <v>2780.1893004115227</v>
      </c>
      <c r="CW12" s="297">
        <f t="shared" si="18"/>
        <v>0.46544875362207594</v>
      </c>
      <c r="CX12" s="279" t="str">
        <f t="shared" si="60"/>
        <v>Buffer and Action Plan</v>
      </c>
      <c r="CY12" s="278">
        <f t="shared" si="19"/>
        <v>0.593980623058315</v>
      </c>
      <c r="CZ12" s="279" t="str">
        <f t="shared" si="61"/>
        <v>Buffer and Action Plan</v>
      </c>
      <c r="DA12" s="278">
        <f t="shared" si="20"/>
        <v>0.80994901998036795</v>
      </c>
      <c r="DB12" s="292" t="str">
        <f t="shared" si="62"/>
        <v>Buffer and Action Plan</v>
      </c>
      <c r="DC12" s="299">
        <f t="shared" si="63"/>
        <v>1.1847370274336568</v>
      </c>
      <c r="DD12" s="293" t="str">
        <f t="shared" si="64"/>
        <v>Pass</v>
      </c>
      <c r="DE12" s="299">
        <f t="shared" si="65"/>
        <v>1.2172076417845366</v>
      </c>
      <c r="DF12" s="293" t="str">
        <f t="shared" si="66"/>
        <v>Pass</v>
      </c>
      <c r="DG12" s="299">
        <f t="shared" si="67"/>
        <v>1.2602852676389495</v>
      </c>
      <c r="DH12" s="293" t="str">
        <f t="shared" si="68"/>
        <v>Pass</v>
      </c>
    </row>
    <row r="13" spans="1:112" customFormat="1" ht="15.5" thickTop="1" thickBot="1">
      <c r="A13" s="3" t="s">
        <v>132</v>
      </c>
      <c r="B13" s="3" t="s">
        <v>133</v>
      </c>
      <c r="C13" s="3" t="s">
        <v>132</v>
      </c>
      <c r="D13" s="3" t="s">
        <v>131</v>
      </c>
      <c r="E13" s="3" t="str">
        <f>VLOOKUP(C13,PoliticalControl!A:K,11,FALSE)</f>
        <v>CON</v>
      </c>
      <c r="F13" s="3" t="str">
        <f>VLOOKUP(C13,UrbanRuralClassification!A:N,13,FALSE)</f>
        <v>Urban with Major Conurbation</v>
      </c>
      <c r="G13" s="3" t="str">
        <f>VLOOKUP(C13,UrbanRuralClassification!A:N,14,FALSE)</f>
        <v>Predominantly Urban</v>
      </c>
      <c r="H13" s="262">
        <f>IF(ISBLANK((VLOOKUP($A13,'local-plan-data'!$C$1:$AD$566,27,FALSE)))=TRUE,"",VLOOKUP($A13,'local-plan-data'!$C$1:$AD$566,27,FALSE))</f>
        <v>41163</v>
      </c>
      <c r="I13" s="263">
        <f>VLOOKUP($A13,'local-plan-data'!$C$1:$AD$566,28,FALSE)</f>
        <v>1866.6666666666667</v>
      </c>
      <c r="J13" s="264">
        <f t="shared" si="21"/>
        <v>1866.6666666666667</v>
      </c>
      <c r="K13" s="259" t="str">
        <f t="shared" si="22"/>
        <v>-</v>
      </c>
      <c r="L13" s="259" t="str">
        <f t="shared" si="0"/>
        <v>-</v>
      </c>
      <c r="M13" s="259" t="str">
        <f t="shared" si="0"/>
        <v>-</v>
      </c>
      <c r="N13" s="259" t="str">
        <f t="shared" si="0"/>
        <v>-</v>
      </c>
      <c r="O13" s="259" t="str">
        <f t="shared" si="0"/>
        <v>-</v>
      </c>
      <c r="P13" s="259" t="str">
        <f t="shared" si="0"/>
        <v>-</v>
      </c>
      <c r="Q13" s="259" t="str">
        <f t="shared" si="0"/>
        <v>-</v>
      </c>
      <c r="R13" s="259" t="str">
        <f t="shared" si="0"/>
        <v>-</v>
      </c>
      <c r="S13" s="259">
        <f t="shared" si="23"/>
        <v>-202</v>
      </c>
      <c r="T13" s="259">
        <f t="shared" si="1"/>
        <v>-567</v>
      </c>
      <c r="U13" s="259">
        <f t="shared" si="1"/>
        <v>-933</v>
      </c>
      <c r="V13" s="259">
        <f t="shared" si="1"/>
        <v>-1298</v>
      </c>
      <c r="W13" s="259">
        <f t="shared" si="1"/>
        <v>-1663</v>
      </c>
      <c r="X13" s="259">
        <f t="shared" si="1"/>
        <v>-2028</v>
      </c>
      <c r="Y13" s="259">
        <f t="shared" si="1"/>
        <v>-2394</v>
      </c>
      <c r="Z13" s="259">
        <f t="shared" si="1"/>
        <v>-2759</v>
      </c>
      <c r="AA13" s="267">
        <f>(VLOOKUP(A13,Hshldprojections2014!$A$2:$AW$319,40, FALSE)-VLOOKUP(A13,Hshldprojections2014!$A$2:$AW$319,30, FALSE))/10</f>
        <v>2891.5</v>
      </c>
      <c r="AB13" s="267">
        <f>(VLOOKUP(A13,Hshldprojections2014!$A$2:$AW$319,41, FALSE)-VLOOKUP(A13,Hshldprojections2014!$A$2:$AW$319,31, FALSE))/10</f>
        <v>2863.2</v>
      </c>
      <c r="AC13" s="267">
        <f>(VLOOKUP(A13,Hshldprojections2014!$A$2:$AW$319,42, FALSE)-VLOOKUP(A13,Hshldprojections2014!$A$2:$AW$319,32, FALSE))/10</f>
        <v>2836.3</v>
      </c>
      <c r="AD13" s="267">
        <f>IF(IndividualLATest!$J$7=2014,(VLOOKUP($A13,Hshldprojections2014!$A$2:$AY$326,43,FALSE)-VLOOKUP($A13,Hshldprojections2014!$A$2:$AY$326,33,FALSE))/10,IF(IndividualLATest!$J$7=2016,(VLOOKUP($A13,Hshldprojections2016!$A$1:$AQ$322,33,FALSE)-VLOOKUP($A13,Hshldprojections2016!$A$1:$AQ$322,23,FALSE))/10,(VLOOKUP($A13,Hshldprojections2018!$A$1:$AQ$327,33,FALSE)-VLOOKUP($A13,Hshldprojections2018!$A$1:$AQ$327,23,FALSE))/10))</f>
        <v>1629.4</v>
      </c>
      <c r="AE13" s="267">
        <f>IF(IndividualLATest!$J$7=2014,(VLOOKUP($A13,Hshldprojections2014!$A$2:$AY$326,44,FALSE)-VLOOKUP($A13,Hshldprojections2014!$A$2:$AY$326,34,FALSE))/10,IF(IndividualLATest!$J$7=2016,(VLOOKUP($A13,Hshldprojections2016!$A$1:$AQ$322,34,FALSE)-VLOOKUP($A13,Hshldprojections2016!$A$1:$AQ$322,24,FALSE))/10,(VLOOKUP($A13,Hshldprojections2018!$A$1:$AQ$327,34,FALSE)-VLOOKUP($A13,Hshldprojections2018!$A$1:$AQ$327,24,FALSE))/10))</f>
        <v>1572.6</v>
      </c>
      <c r="AF13" s="267">
        <f>IF(IndividualLATest!$J$7=2014,(VLOOKUP($A13,Hshldprojections2014!$A$2:$AY$326,45,FALSE)-VLOOKUP($A13,Hshldprojections2014!$A$2:$AY$326,35,FALSE))/10,IF(IndividualLATest!$J$7=2016,(VLOOKUP($A13,Hshldprojections2016!$A$1:$AQ$322,35,FALSE)-VLOOKUP($A13,Hshldprojections2016!$A$1:$AQ$322,25,FALSE))/10,(VLOOKUP($A13,Hshldprojections2018!$A$1:$AQ$327,35,FALSE)-VLOOKUP($A13,Hshldprojections2018!$A$1:$AQ$327,25,FALSE))/10))</f>
        <v>1521.9</v>
      </c>
      <c r="AG13" s="267">
        <f>IF(IndividualLATest!$J$7=2014,(VLOOKUP($A13,Hshldprojections2014!$A$2:$AY$326,46,FALSE)-VLOOKUP($A13,Hshldprojections2014!$A$2:$AY$326,36,FALSE))/10,IF(IndividualLATest!$J$7=2016,(VLOOKUP($A13,Hshldprojections2016!$A$1:$AQ$322,36,FALSE)-VLOOKUP($A13,Hshldprojections2016!$A$1:$AQ$322,26,FALSE))/10,(VLOOKUP($A13,Hshldprojections2018!$A$1:$AQ$327,36,FALSE)-VLOOKUP($A13,Hshldprojections2018!$A$1:$AQ$327,26,FALSE))/10))</f>
        <v>1479</v>
      </c>
      <c r="AH13" s="267">
        <f>IF(IndividualLATest!$J$7=2014,(VLOOKUP($A13,Hshldprojections2014!$A$2:$AY$326,47,FALSE)-VLOOKUP($A13,Hshldprojections2014!$A$2:$AY$326,37,FALSE))/10,IF(IndividualLATest!$J$7=2016,(VLOOKUP($A13,Hshldprojections2016!$A$1:$AQ$322,37,FALSE)-VLOOKUP($A13,Hshldprojections2016!$A$1:$AQ$322,27,FALSE))/10,(VLOOKUP($A13,Hshldprojections2018!$A$1:$AQ$327,37,FALSE)-VLOOKUP($A13,Hshldprojections2018!$A$1:$AQ$327,27,FALSE))/10))</f>
        <v>1437.1</v>
      </c>
      <c r="AI13" s="268">
        <f>VLOOKUP($A13,AffordabilityRatio!$A$2:$I$321,5,FALSE)</f>
        <v>15.91</v>
      </c>
      <c r="AJ13" s="268">
        <f>VLOOKUP($A13,AffordabilityRatio!$A$2:$I$321,6,FALSE)</f>
        <v>17.21</v>
      </c>
      <c r="AK13" s="268">
        <f>VLOOKUP($A13,AffordabilityRatio!$A$2:$I$321,7,FALSE)</f>
        <v>16.28</v>
      </c>
      <c r="AL13" s="268">
        <f>IF((VLOOKUP($A13,AffordabilityRatio!$A$2:$I$321,8,FALSE))="",AK13,VLOOKUP($A13,AffordabilityRatio!$A$2:$I$321,8,FALSE))</f>
        <v>16.170000000000002</v>
      </c>
      <c r="AM13" s="268">
        <f>IF((VLOOKUP($A13,AffordabilityRatio!$A$2:$I$321,9,FALSE))="",AL13,VLOOKUP($A13,AffordabilityRatio!$A$2:$I$321,9,FALSE))</f>
        <v>16.55</v>
      </c>
      <c r="AN13" s="268">
        <f>IF((VLOOKUP($A13,AffordabilityRatio!$A$2:$I$321,9,FALSE))="",AM13,VLOOKUP($A13,AffordabilityRatio!$A$2:$I$321,9,FALSE))</f>
        <v>16.55</v>
      </c>
      <c r="AO13" s="268">
        <f>IF((VLOOKUP($A13,AffordabilityRatio!$A$2:$I$321,9,FALSE))="",AN13,VLOOKUP($A13,AffordabilityRatio!$A$2:$I$321,9,FALSE))</f>
        <v>16.55</v>
      </c>
      <c r="AP13" s="268">
        <f>IF((VLOOKUP($A13,AffordabilityRatio!$A$2:$I$321,9,FALSE))="",AO13,VLOOKUP($A13,AffordabilityRatio!$A$2:$I$321,9,FALSE))</f>
        <v>16.55</v>
      </c>
      <c r="AQ13" s="267">
        <f t="shared" si="24"/>
        <v>5044</v>
      </c>
      <c r="AR13" s="267">
        <f t="shared" si="25"/>
        <v>5227</v>
      </c>
      <c r="AS13" s="267">
        <f t="shared" si="26"/>
        <v>5013</v>
      </c>
      <c r="AT13" s="267">
        <f t="shared" si="27"/>
        <v>2869</v>
      </c>
      <c r="AU13" s="267">
        <f t="shared" si="28"/>
        <v>2806</v>
      </c>
      <c r="AV13" s="267">
        <f t="shared" si="29"/>
        <v>2716</v>
      </c>
      <c r="AW13" s="267">
        <f t="shared" si="30"/>
        <v>2639</v>
      </c>
      <c r="AX13" s="267">
        <f t="shared" si="31"/>
        <v>2564</v>
      </c>
      <c r="AY13" s="267">
        <f t="shared" si="32"/>
        <v>4048.1000000000004</v>
      </c>
      <c r="AZ13" s="267">
        <f t="shared" si="33"/>
        <v>4008.4799999999996</v>
      </c>
      <c r="BA13" s="267">
        <f t="shared" si="34"/>
        <v>3970.8200000000006</v>
      </c>
      <c r="BB13" s="267">
        <f t="shared" si="35"/>
        <v>2613.3333333333335</v>
      </c>
      <c r="BC13" s="267">
        <f t="shared" si="36"/>
        <v>2613.3333333333335</v>
      </c>
      <c r="BD13" s="267">
        <f t="shared" si="37"/>
        <v>2613.3333333333335</v>
      </c>
      <c r="BE13" s="267">
        <f t="shared" si="38"/>
        <v>2613.3333333333335</v>
      </c>
      <c r="BF13" s="267">
        <f t="shared" si="39"/>
        <v>2564</v>
      </c>
      <c r="BG13" s="269">
        <f>AY13*VLOOKUP($B13,'Major Cities &amp; Towns'!$A$28:$B$345,2,FALSE)</f>
        <v>5464.9350000000004</v>
      </c>
      <c r="BH13" s="269">
        <f>AZ13*VLOOKUP($B13,'Major Cities &amp; Towns'!$A$28:$B$345,2,FALSE)</f>
        <v>5411.4479999999994</v>
      </c>
      <c r="BI13" s="269">
        <f>BA13*VLOOKUP($B13,'Major Cities &amp; Towns'!$A$28:$B$345,2,FALSE)</f>
        <v>5360.6070000000009</v>
      </c>
      <c r="BJ13" s="269">
        <f>BB13*VLOOKUP($B13,'Major Cities &amp; Towns'!$A$28:$B$345,2,FALSE)</f>
        <v>3528.0000000000005</v>
      </c>
      <c r="BK13" s="269">
        <f>BC13*VLOOKUP($B13,'Major Cities &amp; Towns'!$A$28:$B$345,2,FALSE)</f>
        <v>3528.0000000000005</v>
      </c>
      <c r="BL13" s="269">
        <f>BD13*VLOOKUP($B13,'Major Cities &amp; Towns'!$A$28:$B$345,2,FALSE)</f>
        <v>3528.0000000000005</v>
      </c>
      <c r="BM13" s="269">
        <f>BE13*VLOOKUP($B13,'Major Cities &amp; Towns'!$A$28:$B$345,2,FALSE)</f>
        <v>3528.0000000000005</v>
      </c>
      <c r="BN13" s="269">
        <f>BF13*VLOOKUP($B13,'Major Cities &amp; Towns'!$A$28:$B$345,2,FALSE)</f>
        <v>3461.4</v>
      </c>
      <c r="BO13" s="270">
        <f t="shared" si="40"/>
        <v>5044</v>
      </c>
      <c r="BP13" s="270">
        <f t="shared" si="41"/>
        <v>5227</v>
      </c>
      <c r="BQ13" s="270">
        <f t="shared" si="42"/>
        <v>5013</v>
      </c>
      <c r="BR13" s="270">
        <f t="shared" si="43"/>
        <v>2869</v>
      </c>
      <c r="BS13" s="270">
        <f t="shared" si="44"/>
        <v>2806</v>
      </c>
      <c r="BT13" s="270">
        <f t="shared" si="45"/>
        <v>2716</v>
      </c>
      <c r="BU13" s="270">
        <f t="shared" si="46"/>
        <v>2639</v>
      </c>
      <c r="BV13" s="270">
        <f t="shared" si="47"/>
        <v>2564</v>
      </c>
      <c r="BW13" s="39">
        <f>VLOOKUP($A13,NetAdditions!$A$2:$H$336,6,FALSE)</f>
        <v>2209</v>
      </c>
      <c r="BX13" s="39">
        <f>VLOOKUP($A13,NetAdditions!$A$2:$H$336,7,FALSE)</f>
        <v>1990</v>
      </c>
      <c r="BY13" s="39">
        <f>IF((VLOOKUP($C13,NetAdditions!$A$2:$H$336,8,FALSE))="",(AVERAGE(VLOOKUP($C13,NetAdditions!$A$2:$H$336,5,FALSE),VLOOKUP($C13,NetAdditions!$A$2:$H$336,6,FALSE),VLOOKUP($C13,NetAdditions!$A$2:$H$336,7,FALSE))),VLOOKUP($C13,NetAdditions!$A$2:$H$336,8,FALSE))</f>
        <v>2250</v>
      </c>
      <c r="BZ13" s="39">
        <f t="shared" si="48"/>
        <v>2149.6666666666665</v>
      </c>
      <c r="CA13" s="39">
        <f t="shared" si="49"/>
        <v>2129.8888888888887</v>
      </c>
      <c r="CB13" s="39">
        <f t="shared" si="50"/>
        <v>2176.5185185185182</v>
      </c>
      <c r="CC13" s="39">
        <f t="shared" si="51"/>
        <v>2152.0246913580245</v>
      </c>
      <c r="CD13" s="39">
        <f t="shared" si="52"/>
        <v>2152.8106995884773</v>
      </c>
      <c r="CE13" s="276">
        <f t="shared" si="5"/>
        <v>15284</v>
      </c>
      <c r="CF13" s="276">
        <f t="shared" si="6"/>
        <v>13109</v>
      </c>
      <c r="CG13" s="276">
        <f t="shared" si="7"/>
        <v>10688</v>
      </c>
      <c r="CH13" s="276">
        <f t="shared" si="8"/>
        <v>8391</v>
      </c>
      <c r="CI13" s="276">
        <f t="shared" si="9"/>
        <v>8161</v>
      </c>
      <c r="CJ13" s="276">
        <f t="shared" si="10"/>
        <v>7919</v>
      </c>
      <c r="CK13" s="276">
        <f t="shared" si="53"/>
        <v>13161.222222222223</v>
      </c>
      <c r="CL13" s="276">
        <f t="shared" si="54"/>
        <v>11288.305555555557</v>
      </c>
      <c r="CM13" s="276">
        <f t="shared" si="55"/>
        <v>9797.3333333333321</v>
      </c>
      <c r="CN13" s="276">
        <f t="shared" si="56"/>
        <v>8391</v>
      </c>
      <c r="CO13" s="276">
        <f t="shared" si="57"/>
        <v>8161</v>
      </c>
      <c r="CP13" s="276">
        <f t="shared" si="58"/>
        <v>7919</v>
      </c>
      <c r="CQ13" s="39">
        <f t="shared" si="12"/>
        <v>6449</v>
      </c>
      <c r="CR13" s="39">
        <f t="shared" si="13"/>
        <v>6389.6666666666661</v>
      </c>
      <c r="CS13" s="277">
        <f t="shared" si="14"/>
        <v>6529.5555555555547</v>
      </c>
      <c r="CT13" s="39">
        <f t="shared" si="15"/>
        <v>6456.074074074073</v>
      </c>
      <c r="CU13" s="39">
        <f t="shared" si="16"/>
        <v>6458.4320987654319</v>
      </c>
      <c r="CV13" s="39">
        <f t="shared" si="59"/>
        <v>6481.3539094650205</v>
      </c>
      <c r="CW13" s="297">
        <f t="shared" si="18"/>
        <v>0.49000008442309478</v>
      </c>
      <c r="CX13" s="279" t="str">
        <f t="shared" si="60"/>
        <v>Buffer and Action Plan</v>
      </c>
      <c r="CY13" s="278">
        <f t="shared" si="19"/>
        <v>0.56604302879823998</v>
      </c>
      <c r="CZ13" s="279" t="str">
        <f t="shared" si="61"/>
        <v>Buffer and Action Plan</v>
      </c>
      <c r="DA13" s="278">
        <f t="shared" si="20"/>
        <v>0.66646252948648155</v>
      </c>
      <c r="DB13" s="292" t="str">
        <f t="shared" si="62"/>
        <v>Presumption</v>
      </c>
      <c r="DC13" s="299">
        <f t="shared" si="63"/>
        <v>0.7694046089946458</v>
      </c>
      <c r="DD13" s="293" t="str">
        <f t="shared" si="64"/>
        <v>Buffer and Action Plan</v>
      </c>
      <c r="DE13" s="299">
        <f t="shared" si="65"/>
        <v>0.79137753936593946</v>
      </c>
      <c r="DF13" s="293" t="str">
        <f t="shared" si="66"/>
        <v>Buffer and Action Plan</v>
      </c>
      <c r="DG13" s="299">
        <f t="shared" si="67"/>
        <v>0.81845610676411418</v>
      </c>
      <c r="DH13" s="293" t="str">
        <f t="shared" si="68"/>
        <v>Buffer and Action Plan</v>
      </c>
    </row>
    <row r="14" spans="1:112" ht="15" thickTop="1" thickBot="1">
      <c r="A14" s="38" t="s">
        <v>134</v>
      </c>
      <c r="B14" s="38" t="s">
        <v>135</v>
      </c>
      <c r="C14" s="38" t="s">
        <v>134</v>
      </c>
      <c r="D14" s="38" t="s">
        <v>136</v>
      </c>
      <c r="E14" s="38" t="str">
        <f>VLOOKUP(C14,PoliticalControl!A:K,11,FALSE)</f>
        <v>LAB</v>
      </c>
      <c r="F14" s="38" t="str">
        <f>VLOOKUP(C14,UrbanRuralClassification!A:N,13,FALSE)</f>
        <v>Urban with Minor Conurbation</v>
      </c>
      <c r="G14" s="38" t="str">
        <f>VLOOKUP(C14,UrbanRuralClassification!A:N,14,FALSE)</f>
        <v>Predominantly Urban</v>
      </c>
      <c r="H14" s="258">
        <f>IF(ISBLANK((VLOOKUP($A14,'local-plan-data'!$C$1:$AD$566,27,FALSE)))=TRUE,"",VLOOKUP($A14,'local-plan-data'!$C$1:$AD$566,27,FALSE))</f>
        <v>43468</v>
      </c>
      <c r="I14" s="259">
        <f>VLOOKUP($A14,'local-plan-data'!$C$1:$AD$566,28,FALSE)</f>
        <v>1134</v>
      </c>
      <c r="J14" s="260">
        <f t="shared" si="21"/>
        <v>1134</v>
      </c>
      <c r="K14" s="259">
        <f t="shared" si="22"/>
        <v>1134</v>
      </c>
      <c r="L14" s="259">
        <f t="shared" si="0"/>
        <v>1134</v>
      </c>
      <c r="M14" s="259">
        <f t="shared" si="0"/>
        <v>1134</v>
      </c>
      <c r="N14" s="259">
        <f t="shared" si="0"/>
        <v>1134</v>
      </c>
      <c r="O14" s="259">
        <f t="shared" si="0"/>
        <v>1134</v>
      </c>
      <c r="P14" s="259">
        <f t="shared" si="0"/>
        <v>1134</v>
      </c>
      <c r="Q14" s="259" t="str">
        <f t="shared" si="0"/>
        <v>-</v>
      </c>
      <c r="R14" s="259" t="str">
        <f t="shared" si="0"/>
        <v>-</v>
      </c>
      <c r="S14" s="259">
        <f t="shared" si="23"/>
        <v>2103</v>
      </c>
      <c r="T14" s="259">
        <f t="shared" si="1"/>
        <v>1738</v>
      </c>
      <c r="U14" s="259">
        <f t="shared" si="1"/>
        <v>1372</v>
      </c>
      <c r="V14" s="259">
        <f t="shared" si="1"/>
        <v>1007</v>
      </c>
      <c r="W14" s="259">
        <f t="shared" si="1"/>
        <v>642</v>
      </c>
      <c r="X14" s="259">
        <f t="shared" si="1"/>
        <v>277</v>
      </c>
      <c r="Y14" s="259">
        <f t="shared" si="1"/>
        <v>-89</v>
      </c>
      <c r="Z14" s="259">
        <f t="shared" si="1"/>
        <v>-454</v>
      </c>
      <c r="AA14" s="267">
        <f>(VLOOKUP(A14,Hshldprojections2014!$A$2:$AW$319,40, FALSE)-VLOOKUP(A14,Hshldprojections2014!$A$2:$AW$319,30, FALSE))/10</f>
        <v>842.5</v>
      </c>
      <c r="AB14" s="267">
        <f>(VLOOKUP(A14,Hshldprojections2014!$A$2:$AW$319,41, FALSE)-VLOOKUP(A14,Hshldprojections2014!$A$2:$AW$319,31, FALSE))/10</f>
        <v>830.6</v>
      </c>
      <c r="AC14" s="267">
        <f>(VLOOKUP(A14,Hshldprojections2014!$A$2:$AW$319,42, FALSE)-VLOOKUP(A14,Hshldprojections2014!$A$2:$AW$319,32, FALSE))/10</f>
        <v>822.9</v>
      </c>
      <c r="AD14" s="267">
        <f>IF(IndividualLATest!$J$7=2014,(VLOOKUP($A14,Hshldprojections2014!$A$2:$AY$326,43,FALSE)-VLOOKUP($A14,Hshldprojections2014!$A$2:$AY$326,33,FALSE))/10,IF(IndividualLATest!$J$7=2016,(VLOOKUP($A14,Hshldprojections2016!$A$1:$AQ$322,33,FALSE)-VLOOKUP($A14,Hshldprojections2016!$A$1:$AQ$322,23,FALSE))/10,(VLOOKUP($A14,Hshldprojections2018!$A$1:$AQ$327,33,FALSE)-VLOOKUP($A14,Hshldprojections2018!$A$1:$AQ$327,23,FALSE))/10))</f>
        <v>858.4</v>
      </c>
      <c r="AE14" s="267">
        <f>IF(IndividualLATest!$J$7=2014,(VLOOKUP($A14,Hshldprojections2014!$A$2:$AY$326,44,FALSE)-VLOOKUP($A14,Hshldprojections2014!$A$2:$AY$326,34,FALSE))/10,IF(IndividualLATest!$J$7=2016,(VLOOKUP($A14,Hshldprojections2016!$A$1:$AQ$322,34,FALSE)-VLOOKUP($A14,Hshldprojections2016!$A$1:$AQ$322,24,FALSE))/10,(VLOOKUP($A14,Hshldprojections2018!$A$1:$AQ$327,34,FALSE)-VLOOKUP($A14,Hshldprojections2018!$A$1:$AQ$327,24,FALSE))/10))</f>
        <v>850.5</v>
      </c>
      <c r="AF14" s="267">
        <f>IF(IndividualLATest!$J$7=2014,(VLOOKUP($A14,Hshldprojections2014!$A$2:$AY$326,45,FALSE)-VLOOKUP($A14,Hshldprojections2014!$A$2:$AY$326,35,FALSE))/10,IF(IndividualLATest!$J$7=2016,(VLOOKUP($A14,Hshldprojections2016!$A$1:$AQ$322,35,FALSE)-VLOOKUP($A14,Hshldprojections2016!$A$1:$AQ$322,25,FALSE))/10,(VLOOKUP($A14,Hshldprojections2018!$A$1:$AQ$327,35,FALSE)-VLOOKUP($A14,Hshldprojections2018!$A$1:$AQ$327,25,FALSE))/10))</f>
        <v>845.5</v>
      </c>
      <c r="AG14" s="267">
        <f>IF(IndividualLATest!$J$7=2014,(VLOOKUP($A14,Hshldprojections2014!$A$2:$AY$326,46,FALSE)-VLOOKUP($A14,Hshldprojections2014!$A$2:$AY$326,36,FALSE))/10,IF(IndividualLATest!$J$7=2016,(VLOOKUP($A14,Hshldprojections2016!$A$1:$AQ$322,36,FALSE)-VLOOKUP($A14,Hshldprojections2016!$A$1:$AQ$322,26,FALSE))/10,(VLOOKUP($A14,Hshldprojections2018!$A$1:$AQ$327,36,FALSE)-VLOOKUP($A14,Hshldprojections2018!$A$1:$AQ$327,26,FALSE))/10))</f>
        <v>838</v>
      </c>
      <c r="AH14" s="267">
        <f>IF(IndividualLATest!$J$7=2014,(VLOOKUP($A14,Hshldprojections2014!$A$2:$AY$326,47,FALSE)-VLOOKUP($A14,Hshldprojections2014!$A$2:$AY$326,37,FALSE))/10,IF(IndividualLATest!$J$7=2016,(VLOOKUP($A14,Hshldprojections2016!$A$1:$AQ$322,37,FALSE)-VLOOKUP($A14,Hshldprojections2016!$A$1:$AQ$322,27,FALSE))/10,(VLOOKUP($A14,Hshldprojections2018!$A$1:$AQ$327,37,FALSE)-VLOOKUP($A14,Hshldprojections2018!$A$1:$AQ$327,27,FALSE))/10))</f>
        <v>837.2</v>
      </c>
      <c r="AI14" s="268">
        <f>VLOOKUP($A14,AffordabilityRatio!$A$2:$I$321,5,FALSE)</f>
        <v>4.9000000000000004</v>
      </c>
      <c r="AJ14" s="268">
        <f>VLOOKUP($A14,AffordabilityRatio!$A$2:$I$321,6,FALSE)</f>
        <v>5.14</v>
      </c>
      <c r="AK14" s="268">
        <f>VLOOKUP($A14,AffordabilityRatio!$A$2:$I$321,7,FALSE)</f>
        <v>4.87</v>
      </c>
      <c r="AL14" s="268">
        <f>IF((VLOOKUP($A14,AffordabilityRatio!$A$2:$I$321,8,FALSE))="",AK14,VLOOKUP($A14,AffordabilityRatio!$A$2:$I$321,8,FALSE))</f>
        <v>5.0599999999999996</v>
      </c>
      <c r="AM14" s="268">
        <f>IF((VLOOKUP($A14,AffordabilityRatio!$A$2:$I$321,9,FALSE))="",AL14,VLOOKUP($A14,AffordabilityRatio!$A$2:$I$321,9,FALSE))</f>
        <v>5.0199999999999996</v>
      </c>
      <c r="AN14" s="268">
        <f>IF((VLOOKUP($A14,AffordabilityRatio!$A$2:$I$321,9,FALSE))="",AM14,VLOOKUP($A14,AffordabilityRatio!$A$2:$I$321,9,FALSE))</f>
        <v>5.0199999999999996</v>
      </c>
      <c r="AO14" s="268">
        <f>IF((VLOOKUP($A14,AffordabilityRatio!$A$2:$I$321,9,FALSE))="",AN14,VLOOKUP($A14,AffordabilityRatio!$A$2:$I$321,9,FALSE))</f>
        <v>5.0199999999999996</v>
      </c>
      <c r="AP14" s="268">
        <f>IF((VLOOKUP($A14,AffordabilityRatio!$A$2:$I$321,9,FALSE))="",AO14,VLOOKUP($A14,AffordabilityRatio!$A$2:$I$321,9,FALSE))</f>
        <v>5.0199999999999996</v>
      </c>
      <c r="AQ14" s="267">
        <f t="shared" si="24"/>
        <v>890</v>
      </c>
      <c r="AR14" s="267">
        <f t="shared" si="25"/>
        <v>890</v>
      </c>
      <c r="AS14" s="267">
        <f t="shared" si="26"/>
        <v>868</v>
      </c>
      <c r="AT14" s="267">
        <f t="shared" si="27"/>
        <v>915</v>
      </c>
      <c r="AU14" s="267">
        <f t="shared" si="28"/>
        <v>905</v>
      </c>
      <c r="AV14" s="267">
        <f t="shared" si="29"/>
        <v>899</v>
      </c>
      <c r="AW14" s="267">
        <f t="shared" si="30"/>
        <v>891</v>
      </c>
      <c r="AX14" s="267">
        <f t="shared" si="31"/>
        <v>891</v>
      </c>
      <c r="AY14" s="267">
        <f t="shared" si="32"/>
        <v>890</v>
      </c>
      <c r="AZ14" s="267">
        <f t="shared" si="33"/>
        <v>890</v>
      </c>
      <c r="BA14" s="267">
        <f t="shared" si="34"/>
        <v>868</v>
      </c>
      <c r="BB14" s="267">
        <f t="shared" si="35"/>
        <v>915</v>
      </c>
      <c r="BC14" s="267">
        <f t="shared" si="36"/>
        <v>905</v>
      </c>
      <c r="BD14" s="267">
        <f t="shared" si="37"/>
        <v>899</v>
      </c>
      <c r="BE14" s="267">
        <f t="shared" si="38"/>
        <v>891</v>
      </c>
      <c r="BF14" s="267">
        <f t="shared" si="39"/>
        <v>891</v>
      </c>
      <c r="BG14" s="269">
        <f>AY14*VLOOKUP($B14,'Major Cities &amp; Towns'!$A$28:$B$345,2,FALSE)</f>
        <v>890</v>
      </c>
      <c r="BH14" s="269">
        <f>AZ14*VLOOKUP($B14,'Major Cities &amp; Towns'!$A$28:$B$345,2,FALSE)</f>
        <v>890</v>
      </c>
      <c r="BI14" s="269">
        <f>BA14*VLOOKUP($B14,'Major Cities &amp; Towns'!$A$28:$B$345,2,FALSE)</f>
        <v>868</v>
      </c>
      <c r="BJ14" s="269">
        <f>BB14*VLOOKUP($B14,'Major Cities &amp; Towns'!$A$28:$B$345,2,FALSE)</f>
        <v>915</v>
      </c>
      <c r="BK14" s="269">
        <f>BC14*VLOOKUP($B14,'Major Cities &amp; Towns'!$A$28:$B$345,2,FALSE)</f>
        <v>905</v>
      </c>
      <c r="BL14" s="269">
        <f>BD14*VLOOKUP($B14,'Major Cities &amp; Towns'!$A$28:$B$345,2,FALSE)</f>
        <v>899</v>
      </c>
      <c r="BM14" s="269">
        <f>BE14*VLOOKUP($B14,'Major Cities &amp; Towns'!$A$28:$B$345,2,FALSE)</f>
        <v>891</v>
      </c>
      <c r="BN14" s="269">
        <f>BF14*VLOOKUP($B14,'Major Cities &amp; Towns'!$A$28:$B$345,2,FALSE)</f>
        <v>891</v>
      </c>
      <c r="BO14" s="270">
        <f t="shared" si="40"/>
        <v>890</v>
      </c>
      <c r="BP14" s="270">
        <f t="shared" si="41"/>
        <v>890</v>
      </c>
      <c r="BQ14" s="270">
        <f t="shared" si="42"/>
        <v>868</v>
      </c>
      <c r="BR14" s="270">
        <f t="shared" si="43"/>
        <v>915</v>
      </c>
      <c r="BS14" s="270">
        <f t="shared" si="44"/>
        <v>905</v>
      </c>
      <c r="BT14" s="270">
        <f t="shared" si="45"/>
        <v>899</v>
      </c>
      <c r="BU14" s="270">
        <f t="shared" si="46"/>
        <v>891</v>
      </c>
      <c r="BV14" s="270">
        <f t="shared" si="47"/>
        <v>891</v>
      </c>
      <c r="BW14" s="39">
        <f>VLOOKUP($A14,NetAdditions!$A$2:$H$336,6,FALSE)</f>
        <v>988</v>
      </c>
      <c r="BX14" s="39">
        <f>VLOOKUP($A14,NetAdditions!$A$2:$H$336,7,FALSE)</f>
        <v>1052</v>
      </c>
      <c r="BY14" s="39">
        <f>IF((VLOOKUP($C14,NetAdditions!$A$2:$H$336,8,FALSE))="",(AVERAGE(VLOOKUP($C14,NetAdditions!$A$2:$H$336,5,FALSE),VLOOKUP($C14,NetAdditions!$A$2:$H$336,6,FALSE),VLOOKUP($C14,NetAdditions!$A$2:$H$336,7,FALSE))),VLOOKUP($C14,NetAdditions!$A$2:$H$336,8,FALSE))</f>
        <v>590</v>
      </c>
      <c r="BZ14" s="39">
        <f t="shared" si="48"/>
        <v>876.66666666666663</v>
      </c>
      <c r="CA14" s="39">
        <f t="shared" si="49"/>
        <v>839.55555555555554</v>
      </c>
      <c r="CB14" s="39">
        <f t="shared" si="50"/>
        <v>768.74074074074076</v>
      </c>
      <c r="CC14" s="39">
        <f t="shared" si="51"/>
        <v>828.32098765432102</v>
      </c>
      <c r="CD14" s="39">
        <f t="shared" si="52"/>
        <v>812.20576131687233</v>
      </c>
      <c r="CE14" s="276">
        <f t="shared" si="5"/>
        <v>2648</v>
      </c>
      <c r="CF14" s="276">
        <f t="shared" si="6"/>
        <v>2673</v>
      </c>
      <c r="CG14" s="276">
        <f t="shared" si="7"/>
        <v>2688</v>
      </c>
      <c r="CH14" s="276">
        <f t="shared" si="8"/>
        <v>2719</v>
      </c>
      <c r="CI14" s="276">
        <f t="shared" si="9"/>
        <v>2695</v>
      </c>
      <c r="CJ14" s="276">
        <f t="shared" si="10"/>
        <v>2681</v>
      </c>
      <c r="CK14" s="276">
        <f t="shared" si="53"/>
        <v>2280.2222222222222</v>
      </c>
      <c r="CL14" s="276">
        <f t="shared" si="54"/>
        <v>2301.75</v>
      </c>
      <c r="CM14" s="276">
        <f t="shared" si="55"/>
        <v>2464</v>
      </c>
      <c r="CN14" s="276">
        <f t="shared" si="56"/>
        <v>2719</v>
      </c>
      <c r="CO14" s="276">
        <f t="shared" si="57"/>
        <v>2695</v>
      </c>
      <c r="CP14" s="276">
        <f t="shared" si="58"/>
        <v>2681</v>
      </c>
      <c r="CQ14" s="39">
        <f t="shared" si="12"/>
        <v>2630</v>
      </c>
      <c r="CR14" s="39">
        <f t="shared" si="13"/>
        <v>2518.6666666666665</v>
      </c>
      <c r="CS14" s="277">
        <f t="shared" si="14"/>
        <v>2306.2222222222222</v>
      </c>
      <c r="CT14" s="39">
        <f t="shared" si="15"/>
        <v>2484.962962962963</v>
      </c>
      <c r="CU14" s="39">
        <f t="shared" si="16"/>
        <v>2436.6172839506171</v>
      </c>
      <c r="CV14" s="39">
        <f t="shared" si="59"/>
        <v>2409.2674897119341</v>
      </c>
      <c r="CW14" s="297">
        <f t="shared" si="18"/>
        <v>1.1533963551310789</v>
      </c>
      <c r="CX14" s="279" t="str">
        <f t="shared" si="60"/>
        <v>Pass</v>
      </c>
      <c r="CY14" s="278">
        <f t="shared" si="19"/>
        <v>1.0942398899388146</v>
      </c>
      <c r="CZ14" s="279" t="str">
        <f t="shared" si="61"/>
        <v>Pass</v>
      </c>
      <c r="DA14" s="278">
        <f t="shared" si="20"/>
        <v>0.93596681096681089</v>
      </c>
      <c r="DB14" s="292" t="str">
        <f t="shared" si="62"/>
        <v>Action Plan</v>
      </c>
      <c r="DC14" s="299">
        <f t="shared" si="63"/>
        <v>0.91392532657703685</v>
      </c>
      <c r="DD14" s="293" t="str">
        <f t="shared" si="64"/>
        <v>Action Plan</v>
      </c>
      <c r="DE14" s="299">
        <f t="shared" si="65"/>
        <v>0.90412515174419927</v>
      </c>
      <c r="DF14" s="293" t="str">
        <f t="shared" si="66"/>
        <v>Action Plan</v>
      </c>
      <c r="DG14" s="299">
        <f t="shared" si="67"/>
        <v>0.89864509127636483</v>
      </c>
      <c r="DH14" s="293" t="str">
        <f t="shared" si="68"/>
        <v>Action Plan</v>
      </c>
    </row>
    <row r="15" spans="1:112" ht="15" thickTop="1" thickBot="1">
      <c r="A15" s="38" t="s">
        <v>137</v>
      </c>
      <c r="B15" s="38" t="s">
        <v>138</v>
      </c>
      <c r="C15" s="38" t="s">
        <v>137</v>
      </c>
      <c r="D15" s="38" t="s">
        <v>116</v>
      </c>
      <c r="E15" s="38" t="str">
        <f>VLOOKUP(C15,PoliticalControl!A:K,11,FALSE)</f>
        <v>LAB</v>
      </c>
      <c r="F15" s="38" t="str">
        <f>VLOOKUP(C15,UrbanRuralClassification!A:N,13,FALSE)</f>
        <v>Urban with Significant Rural (rural including hub towns 26-49%)</v>
      </c>
      <c r="G15" s="38" t="str">
        <f>VLOOKUP(C15,UrbanRuralClassification!A:N,14,FALSE)</f>
        <v>Urban with Significant Rural</v>
      </c>
      <c r="H15" s="258">
        <f>IF(ISBLANK((VLOOKUP($A15,'local-plan-data'!$C$1:$AD$566,27,FALSE)))=TRUE,"",VLOOKUP($A15,'local-plan-data'!$C$1:$AD$566,27,FALSE))</f>
        <v>43620</v>
      </c>
      <c r="I15" s="259">
        <f>VLOOKUP($A15,'local-plan-data'!$C$1:$AD$566,28,FALSE)</f>
        <v>119</v>
      </c>
      <c r="J15" s="260">
        <f t="shared" si="21"/>
        <v>119</v>
      </c>
      <c r="K15" s="259">
        <f t="shared" si="22"/>
        <v>119</v>
      </c>
      <c r="L15" s="259">
        <f t="shared" si="0"/>
        <v>119</v>
      </c>
      <c r="M15" s="259">
        <f t="shared" si="0"/>
        <v>119</v>
      </c>
      <c r="N15" s="259">
        <f t="shared" si="0"/>
        <v>119</v>
      </c>
      <c r="O15" s="259">
        <f t="shared" si="0"/>
        <v>119</v>
      </c>
      <c r="P15" s="259">
        <f t="shared" si="0"/>
        <v>119</v>
      </c>
      <c r="Q15" s="259">
        <f>IF(AND(ISNUMBER($H15),ISNUMBER($J15)),IF(($H15-Q$1&gt;0),$J15,IF(DATEDIF($H15,Q$1,"y")&lt;5,$J15,"-")),"-")</f>
        <v>119</v>
      </c>
      <c r="R15" s="259" t="str">
        <f t="shared" si="0"/>
        <v>-</v>
      </c>
      <c r="S15" s="259">
        <f t="shared" si="23"/>
        <v>2256</v>
      </c>
      <c r="T15" s="259">
        <f t="shared" si="1"/>
        <v>1891</v>
      </c>
      <c r="U15" s="259">
        <f t="shared" si="1"/>
        <v>1525</v>
      </c>
      <c r="V15" s="259">
        <f t="shared" si="1"/>
        <v>1160</v>
      </c>
      <c r="W15" s="259">
        <f t="shared" si="1"/>
        <v>795</v>
      </c>
      <c r="X15" s="259">
        <f t="shared" si="1"/>
        <v>430</v>
      </c>
      <c r="Y15" s="259">
        <f t="shared" si="1"/>
        <v>64</v>
      </c>
      <c r="Z15" s="259">
        <f t="shared" si="1"/>
        <v>-301</v>
      </c>
      <c r="AA15" s="267">
        <f>(VLOOKUP(A15,Hshldprojections2014!$A$2:$AW$319,40, FALSE)-VLOOKUP(A15,Hshldprojections2014!$A$2:$AW$319,30, FALSE))/10</f>
        <v>-70.3</v>
      </c>
      <c r="AB15" s="267">
        <f>(VLOOKUP(A15,Hshldprojections2014!$A$2:$AW$319,41, FALSE)-VLOOKUP(A15,Hshldprojections2014!$A$2:$AW$319,31, FALSE))/10</f>
        <v>-74.2</v>
      </c>
      <c r="AC15" s="267">
        <f>(VLOOKUP(A15,Hshldprojections2014!$A$2:$AW$319,42, FALSE)-VLOOKUP(A15,Hshldprojections2014!$A$2:$AW$319,32, FALSE))/10</f>
        <v>-77.7</v>
      </c>
      <c r="AD15" s="267">
        <f>IF(IndividualLATest!$J$7=2014,(VLOOKUP($A15,Hshldprojections2014!$A$2:$AY$326,43,FALSE)-VLOOKUP($A15,Hshldprojections2014!$A$2:$AY$326,33,FALSE))/10,IF(IndividualLATest!$J$7=2016,(VLOOKUP($A15,Hshldprojections2016!$A$1:$AQ$322,33,FALSE)-VLOOKUP($A15,Hshldprojections2016!$A$1:$AQ$322,23,FALSE))/10,(VLOOKUP($A15,Hshldprojections2018!$A$1:$AQ$327,33,FALSE)-VLOOKUP($A15,Hshldprojections2018!$A$1:$AQ$327,23,FALSE))/10))</f>
        <v>-58</v>
      </c>
      <c r="AE15" s="267">
        <f>IF(IndividualLATest!$J$7=2014,(VLOOKUP($A15,Hshldprojections2014!$A$2:$AY$326,44,FALSE)-VLOOKUP($A15,Hshldprojections2014!$A$2:$AY$326,34,FALSE))/10,IF(IndividualLATest!$J$7=2016,(VLOOKUP($A15,Hshldprojections2016!$A$1:$AQ$322,34,FALSE)-VLOOKUP($A15,Hshldprojections2016!$A$1:$AQ$322,24,FALSE))/10,(VLOOKUP($A15,Hshldprojections2018!$A$1:$AQ$327,34,FALSE)-VLOOKUP($A15,Hshldprojections2018!$A$1:$AQ$327,24,FALSE))/10))</f>
        <v>-57.9</v>
      </c>
      <c r="AF15" s="267">
        <f>IF(IndividualLATest!$J$7=2014,(VLOOKUP($A15,Hshldprojections2014!$A$2:$AY$326,45,FALSE)-VLOOKUP($A15,Hshldprojections2014!$A$2:$AY$326,35,FALSE))/10,IF(IndividualLATest!$J$7=2016,(VLOOKUP($A15,Hshldprojections2016!$A$1:$AQ$322,35,FALSE)-VLOOKUP($A15,Hshldprojections2016!$A$1:$AQ$322,25,FALSE))/10,(VLOOKUP($A15,Hshldprojections2018!$A$1:$AQ$327,35,FALSE)-VLOOKUP($A15,Hshldprojections2018!$A$1:$AQ$327,25,FALSE))/10))</f>
        <v>-58.5</v>
      </c>
      <c r="AG15" s="267">
        <f>IF(IndividualLATest!$J$7=2014,(VLOOKUP($A15,Hshldprojections2014!$A$2:$AY$326,46,FALSE)-VLOOKUP($A15,Hshldprojections2014!$A$2:$AY$326,36,FALSE))/10,IF(IndividualLATest!$J$7=2016,(VLOOKUP($A15,Hshldprojections2016!$A$1:$AQ$322,36,FALSE)-VLOOKUP($A15,Hshldprojections2016!$A$1:$AQ$322,26,FALSE))/10,(VLOOKUP($A15,Hshldprojections2018!$A$1:$AQ$327,36,FALSE)-VLOOKUP($A15,Hshldprojections2018!$A$1:$AQ$327,26,FALSE))/10))</f>
        <v>-57.1</v>
      </c>
      <c r="AH15" s="267">
        <f>IF(IndividualLATest!$J$7=2014,(VLOOKUP($A15,Hshldprojections2014!$A$2:$AY$326,47,FALSE)-VLOOKUP($A15,Hshldprojections2014!$A$2:$AY$326,37,FALSE))/10,IF(IndividualLATest!$J$7=2016,(VLOOKUP($A15,Hshldprojections2016!$A$1:$AQ$322,37,FALSE)-VLOOKUP($A15,Hshldprojections2016!$A$1:$AQ$322,27,FALSE))/10,(VLOOKUP($A15,Hshldprojections2018!$A$1:$AQ$327,37,FALSE)-VLOOKUP($A15,Hshldprojections2018!$A$1:$AQ$327,27,FALSE))/10))</f>
        <v>-53.4</v>
      </c>
      <c r="AI15" s="268">
        <f>VLOOKUP($A15,AffordabilityRatio!$A$2:$I$321,5,FALSE)</f>
        <v>3.72</v>
      </c>
      <c r="AJ15" s="268">
        <f>VLOOKUP($A15,AffordabilityRatio!$A$2:$I$321,6,FALSE)</f>
        <v>3.54</v>
      </c>
      <c r="AK15" s="268">
        <f>VLOOKUP($A15,AffordabilityRatio!$A$2:$I$321,7,FALSE)</f>
        <v>3.59</v>
      </c>
      <c r="AL15" s="268">
        <f>IF((VLOOKUP($A15,AffordabilityRatio!$A$2:$I$321,8,FALSE))="",AK15,VLOOKUP($A15,AffordabilityRatio!$A$2:$I$321,8,FALSE))</f>
        <v>3.44</v>
      </c>
      <c r="AM15" s="268">
        <f>IF((VLOOKUP($A15,AffordabilityRatio!$A$2:$I$321,9,FALSE))="",AL15,VLOOKUP($A15,AffordabilityRatio!$A$2:$I$321,9,FALSE))</f>
        <v>3.74</v>
      </c>
      <c r="AN15" s="268">
        <f>IF((VLOOKUP($A15,AffordabilityRatio!$A$2:$I$321,9,FALSE))="",AM15,VLOOKUP($A15,AffordabilityRatio!$A$2:$I$321,9,FALSE))</f>
        <v>3.74</v>
      </c>
      <c r="AO15" s="268">
        <f>IF((VLOOKUP($A15,AffordabilityRatio!$A$2:$I$321,9,FALSE))="",AN15,VLOOKUP($A15,AffordabilityRatio!$A$2:$I$321,9,FALSE))</f>
        <v>3.74</v>
      </c>
      <c r="AP15" s="268">
        <f>IF((VLOOKUP($A15,AffordabilityRatio!$A$2:$I$321,9,FALSE))="",AO15,VLOOKUP($A15,AffordabilityRatio!$A$2:$I$321,9,FALSE))</f>
        <v>3.74</v>
      </c>
      <c r="AQ15" s="267">
        <f t="shared" si="24"/>
        <v>0</v>
      </c>
      <c r="AR15" s="267">
        <f t="shared" si="25"/>
        <v>0</v>
      </c>
      <c r="AS15" s="267">
        <f t="shared" si="26"/>
        <v>0</v>
      </c>
      <c r="AT15" s="267">
        <f t="shared" si="27"/>
        <v>0</v>
      </c>
      <c r="AU15" s="267">
        <f t="shared" si="28"/>
        <v>0</v>
      </c>
      <c r="AV15" s="267">
        <f t="shared" si="29"/>
        <v>0</v>
      </c>
      <c r="AW15" s="267">
        <f t="shared" si="30"/>
        <v>0</v>
      </c>
      <c r="AX15" s="267">
        <f t="shared" si="31"/>
        <v>0</v>
      </c>
      <c r="AY15" s="267">
        <f t="shared" si="32"/>
        <v>0</v>
      </c>
      <c r="AZ15" s="267">
        <f t="shared" si="33"/>
        <v>0</v>
      </c>
      <c r="BA15" s="267">
        <f t="shared" si="34"/>
        <v>0</v>
      </c>
      <c r="BB15" s="267">
        <f t="shared" si="35"/>
        <v>0</v>
      </c>
      <c r="BC15" s="267">
        <f t="shared" si="36"/>
        <v>0</v>
      </c>
      <c r="BD15" s="267">
        <f t="shared" si="37"/>
        <v>0</v>
      </c>
      <c r="BE15" s="267">
        <f t="shared" si="38"/>
        <v>0</v>
      </c>
      <c r="BF15" s="267">
        <f t="shared" si="39"/>
        <v>0</v>
      </c>
      <c r="BG15" s="269">
        <f>AY15*VLOOKUP($B15,'Major Cities &amp; Towns'!$A$28:$B$345,2,FALSE)</f>
        <v>0</v>
      </c>
      <c r="BH15" s="269">
        <f>AZ15*VLOOKUP($B15,'Major Cities &amp; Towns'!$A$28:$B$345,2,FALSE)</f>
        <v>0</v>
      </c>
      <c r="BI15" s="269">
        <f>BA15*VLOOKUP($B15,'Major Cities &amp; Towns'!$A$28:$B$345,2,FALSE)</f>
        <v>0</v>
      </c>
      <c r="BJ15" s="269">
        <f>BB15*VLOOKUP($B15,'Major Cities &amp; Towns'!$A$28:$B$345,2,FALSE)</f>
        <v>0</v>
      </c>
      <c r="BK15" s="269">
        <f>BC15*VLOOKUP($B15,'Major Cities &amp; Towns'!$A$28:$B$345,2,FALSE)</f>
        <v>0</v>
      </c>
      <c r="BL15" s="269">
        <f>BD15*VLOOKUP($B15,'Major Cities &amp; Towns'!$A$28:$B$345,2,FALSE)</f>
        <v>0</v>
      </c>
      <c r="BM15" s="269">
        <f>BE15*VLOOKUP($B15,'Major Cities &amp; Towns'!$A$28:$B$345,2,FALSE)</f>
        <v>0</v>
      </c>
      <c r="BN15" s="269">
        <f>BF15*VLOOKUP($B15,'Major Cities &amp; Towns'!$A$28:$B$345,2,FALSE)</f>
        <v>0</v>
      </c>
      <c r="BO15" s="270">
        <f t="shared" si="40"/>
        <v>0</v>
      </c>
      <c r="BP15" s="270">
        <f t="shared" si="41"/>
        <v>0</v>
      </c>
      <c r="BQ15" s="270">
        <f t="shared" si="42"/>
        <v>0</v>
      </c>
      <c r="BR15" s="270">
        <f t="shared" si="43"/>
        <v>0</v>
      </c>
      <c r="BS15" s="270">
        <f t="shared" si="44"/>
        <v>0</v>
      </c>
      <c r="BT15" s="270">
        <f t="shared" si="45"/>
        <v>0</v>
      </c>
      <c r="BU15" s="270">
        <f t="shared" si="46"/>
        <v>0</v>
      </c>
      <c r="BV15" s="270">
        <f t="shared" si="47"/>
        <v>0</v>
      </c>
      <c r="BW15" s="39">
        <f>VLOOKUP($A15,NetAdditions!$A$2:$H$336,6,FALSE)</f>
        <v>122</v>
      </c>
      <c r="BX15" s="39">
        <f>VLOOKUP($A15,NetAdditions!$A$2:$H$336,7,FALSE)</f>
        <v>103</v>
      </c>
      <c r="BY15" s="39">
        <f>IF((VLOOKUP($C15,NetAdditions!$A$2:$H$336,8,FALSE))="",(AVERAGE(VLOOKUP($C15,NetAdditions!$A$2:$H$336,5,FALSE),VLOOKUP($C15,NetAdditions!$A$2:$H$336,6,FALSE),VLOOKUP($C15,NetAdditions!$A$2:$H$336,7,FALSE))),VLOOKUP($C15,NetAdditions!$A$2:$H$336,8,FALSE))</f>
        <v>88</v>
      </c>
      <c r="BZ15" s="39">
        <f t="shared" si="48"/>
        <v>104.33333333333333</v>
      </c>
      <c r="CA15" s="39">
        <f t="shared" si="49"/>
        <v>98.444444444444443</v>
      </c>
      <c r="CB15" s="39">
        <f t="shared" si="50"/>
        <v>96.925925925925924</v>
      </c>
      <c r="CC15" s="39">
        <f t="shared" si="51"/>
        <v>99.901234567901227</v>
      </c>
      <c r="CD15" s="39">
        <f t="shared" si="52"/>
        <v>98.423868312757193</v>
      </c>
      <c r="CE15" s="276">
        <f t="shared" si="5"/>
        <v>0</v>
      </c>
      <c r="CF15" s="276">
        <f t="shared" si="6"/>
        <v>0</v>
      </c>
      <c r="CG15" s="276">
        <f t="shared" si="7"/>
        <v>0</v>
      </c>
      <c r="CH15" s="276">
        <f t="shared" si="8"/>
        <v>0</v>
      </c>
      <c r="CI15" s="276">
        <f t="shared" si="9"/>
        <v>0</v>
      </c>
      <c r="CJ15" s="276">
        <f t="shared" si="10"/>
        <v>0</v>
      </c>
      <c r="CK15" s="276">
        <f t="shared" si="53"/>
        <v>0</v>
      </c>
      <c r="CL15" s="276">
        <f t="shared" si="54"/>
        <v>0</v>
      </c>
      <c r="CM15" s="276">
        <f t="shared" si="55"/>
        <v>0</v>
      </c>
      <c r="CN15" s="276">
        <f t="shared" si="56"/>
        <v>0</v>
      </c>
      <c r="CO15" s="276">
        <f t="shared" si="57"/>
        <v>0</v>
      </c>
      <c r="CP15" s="276">
        <f t="shared" si="58"/>
        <v>0</v>
      </c>
      <c r="CQ15" s="39">
        <f t="shared" si="12"/>
        <v>313</v>
      </c>
      <c r="CR15" s="39">
        <f t="shared" si="13"/>
        <v>295.33333333333331</v>
      </c>
      <c r="CS15" s="277">
        <f t="shared" si="14"/>
        <v>290.77777777777777</v>
      </c>
      <c r="CT15" s="39">
        <f t="shared" si="15"/>
        <v>299.7037037037037</v>
      </c>
      <c r="CU15" s="39">
        <f t="shared" si="16"/>
        <v>295.27160493827159</v>
      </c>
      <c r="CV15" s="39">
        <f t="shared" si="59"/>
        <v>295.25102880658432</v>
      </c>
      <c r="CW15" s="297" t="str">
        <f t="shared" si="18"/>
        <v>-</v>
      </c>
      <c r="CX15" s="279" t="str">
        <f>IF(CW15&lt;0.25, "Presumption", IF(CW15&lt;0.85, "Buffer and Action Plan", IF(CW15&lt;0.95, "Action Plan", "Pass")))</f>
        <v>Pass</v>
      </c>
      <c r="CY15" s="278" t="str">
        <f t="shared" si="19"/>
        <v>-</v>
      </c>
      <c r="CZ15" s="279" t="str">
        <f t="shared" si="61"/>
        <v>Pass</v>
      </c>
      <c r="DA15" s="278" t="str">
        <f t="shared" si="20"/>
        <v>-</v>
      </c>
      <c r="DB15" s="292" t="str">
        <f t="shared" si="62"/>
        <v>Pass</v>
      </c>
      <c r="DC15" s="299" t="str">
        <f t="shared" si="63"/>
        <v>-</v>
      </c>
      <c r="DD15" s="293" t="str">
        <f t="shared" si="64"/>
        <v>Pass</v>
      </c>
      <c r="DE15" s="299" t="str">
        <f t="shared" si="65"/>
        <v>-</v>
      </c>
      <c r="DF15" s="293" t="str">
        <f t="shared" si="66"/>
        <v>Pass</v>
      </c>
      <c r="DG15" s="299" t="str">
        <f t="shared" si="67"/>
        <v>-</v>
      </c>
      <c r="DH15" s="293" t="str">
        <f t="shared" si="68"/>
        <v>Pass</v>
      </c>
    </row>
    <row r="16" spans="1:112" ht="15" thickTop="1" thickBot="1">
      <c r="A16" s="38" t="s">
        <v>139</v>
      </c>
      <c r="B16" s="38" t="s">
        <v>140</v>
      </c>
      <c r="C16" s="38" t="s">
        <v>139</v>
      </c>
      <c r="D16" s="38" t="s">
        <v>128</v>
      </c>
      <c r="E16" s="38" t="str">
        <f>VLOOKUP(C16,PoliticalControl!A:K,11,FALSE)</f>
        <v>CON</v>
      </c>
      <c r="F16" s="38" t="str">
        <f>VLOOKUP(C16,UrbanRuralClassification!A:N,13,FALSE)</f>
        <v>Urban with City and Town</v>
      </c>
      <c r="G16" s="38" t="str">
        <f>VLOOKUP(C16,UrbanRuralClassification!A:N,14,FALSE)</f>
        <v>Predominantly Urban</v>
      </c>
      <c r="H16" s="258" t="str">
        <f>IF(ISBLANK((VLOOKUP($A16,'local-plan-data'!$C$1:$AD$566,27,FALSE)))=TRUE,"",VLOOKUP($A16,'local-plan-data'!$C$1:$AD$566,27,FALSE))</f>
        <v/>
      </c>
      <c r="I16" s="259">
        <f>VLOOKUP($A16,'local-plan-data'!$C$1:$AD$566,28,FALSE)</f>
        <v>773.25</v>
      </c>
      <c r="J16" s="260">
        <f t="shared" si="21"/>
        <v>773.25</v>
      </c>
      <c r="K16" s="259" t="str">
        <f t="shared" si="22"/>
        <v>-</v>
      </c>
      <c r="L16" s="259" t="str">
        <f t="shared" si="0"/>
        <v>-</v>
      </c>
      <c r="M16" s="259" t="str">
        <f t="shared" si="0"/>
        <v>-</v>
      </c>
      <c r="N16" s="259" t="str">
        <f t="shared" si="0"/>
        <v>-</v>
      </c>
      <c r="O16" s="259" t="str">
        <f t="shared" si="0"/>
        <v>-</v>
      </c>
      <c r="P16" s="259" t="str">
        <f t="shared" si="0"/>
        <v>-</v>
      </c>
      <c r="Q16" s="259" t="str">
        <f t="shared" si="0"/>
        <v>-</v>
      </c>
      <c r="R16" s="259" t="str">
        <f t="shared" si="0"/>
        <v>-</v>
      </c>
      <c r="S16" s="259" t="str">
        <f t="shared" si="23"/>
        <v>-</v>
      </c>
      <c r="T16" s="259" t="str">
        <f t="shared" si="1"/>
        <v>-</v>
      </c>
      <c r="U16" s="259" t="str">
        <f t="shared" si="1"/>
        <v>-</v>
      </c>
      <c r="V16" s="259" t="str">
        <f t="shared" si="1"/>
        <v>-</v>
      </c>
      <c r="W16" s="259" t="str">
        <f t="shared" si="1"/>
        <v>-</v>
      </c>
      <c r="X16" s="259" t="str">
        <f t="shared" si="1"/>
        <v>-</v>
      </c>
      <c r="Y16" s="259" t="str">
        <f t="shared" si="1"/>
        <v>-</v>
      </c>
      <c r="Z16" s="259" t="str">
        <f t="shared" si="1"/>
        <v>-</v>
      </c>
      <c r="AA16" s="267">
        <f>(VLOOKUP(A16,Hshldprojections2014!$A$2:$AW$319,40, FALSE)-VLOOKUP(A16,Hshldprojections2014!$A$2:$AW$319,30, FALSE))/10</f>
        <v>768.7</v>
      </c>
      <c r="AB16" s="267">
        <f>(VLOOKUP(A16,Hshldprojections2014!$A$2:$AW$319,41, FALSE)-VLOOKUP(A16,Hshldprojections2014!$A$2:$AW$319,31, FALSE))/10</f>
        <v>759.7</v>
      </c>
      <c r="AC16" s="267">
        <f>(VLOOKUP(A16,Hshldprojections2014!$A$2:$AW$319,42, FALSE)-VLOOKUP(A16,Hshldprojections2014!$A$2:$AW$319,32, FALSE))/10</f>
        <v>750.2</v>
      </c>
      <c r="AD16" s="267">
        <f>IF(IndividualLATest!$J$7=2014,(VLOOKUP($A16,Hshldprojections2014!$A$2:$AY$326,43,FALSE)-VLOOKUP($A16,Hshldprojections2014!$A$2:$AY$326,33,FALSE))/10,IF(IndividualLATest!$J$7=2016,(VLOOKUP($A16,Hshldprojections2016!$A$1:$AQ$322,33,FALSE)-VLOOKUP($A16,Hshldprojections2016!$A$1:$AQ$322,23,FALSE))/10,(VLOOKUP($A16,Hshldprojections2018!$A$1:$AQ$327,33,FALSE)-VLOOKUP($A16,Hshldprojections2018!$A$1:$AQ$327,23,FALSE))/10))</f>
        <v>421.3</v>
      </c>
      <c r="AE16" s="267">
        <f>IF(IndividualLATest!$J$7=2014,(VLOOKUP($A16,Hshldprojections2014!$A$2:$AY$326,44,FALSE)-VLOOKUP($A16,Hshldprojections2014!$A$2:$AY$326,34,FALSE))/10,IF(IndividualLATest!$J$7=2016,(VLOOKUP($A16,Hshldprojections2016!$A$1:$AQ$322,34,FALSE)-VLOOKUP($A16,Hshldprojections2016!$A$1:$AQ$322,24,FALSE))/10,(VLOOKUP($A16,Hshldprojections2018!$A$1:$AQ$327,34,FALSE)-VLOOKUP($A16,Hshldprojections2018!$A$1:$AQ$327,24,FALSE))/10))</f>
        <v>418.8</v>
      </c>
      <c r="AF16" s="267">
        <f>IF(IndividualLATest!$J$7=2014,(VLOOKUP($A16,Hshldprojections2014!$A$2:$AY$326,45,FALSE)-VLOOKUP($A16,Hshldprojections2014!$A$2:$AY$326,35,FALSE))/10,IF(IndividualLATest!$J$7=2016,(VLOOKUP($A16,Hshldprojections2016!$A$1:$AQ$322,35,FALSE)-VLOOKUP($A16,Hshldprojections2016!$A$1:$AQ$322,25,FALSE))/10,(VLOOKUP($A16,Hshldprojections2018!$A$1:$AQ$327,35,FALSE)-VLOOKUP($A16,Hshldprojections2018!$A$1:$AQ$327,25,FALSE))/10))</f>
        <v>419</v>
      </c>
      <c r="AG16" s="267">
        <f>IF(IndividualLATest!$J$7=2014,(VLOOKUP($A16,Hshldprojections2014!$A$2:$AY$326,46,FALSE)-VLOOKUP($A16,Hshldprojections2014!$A$2:$AY$326,36,FALSE))/10,IF(IndividualLATest!$J$7=2016,(VLOOKUP($A16,Hshldprojections2016!$A$1:$AQ$322,36,FALSE)-VLOOKUP($A16,Hshldprojections2016!$A$1:$AQ$322,26,FALSE))/10,(VLOOKUP($A16,Hshldprojections2018!$A$1:$AQ$327,36,FALSE)-VLOOKUP($A16,Hshldprojections2018!$A$1:$AQ$327,26,FALSE))/10))</f>
        <v>418.1</v>
      </c>
      <c r="AH16" s="267">
        <f>IF(IndividualLATest!$J$7=2014,(VLOOKUP($A16,Hshldprojections2014!$A$2:$AY$326,47,FALSE)-VLOOKUP($A16,Hshldprojections2014!$A$2:$AY$326,37,FALSE))/10,IF(IndividualLATest!$J$7=2016,(VLOOKUP($A16,Hshldprojections2016!$A$1:$AQ$322,37,FALSE)-VLOOKUP($A16,Hshldprojections2016!$A$1:$AQ$322,27,FALSE))/10,(VLOOKUP($A16,Hshldprojections2018!$A$1:$AQ$327,37,FALSE)-VLOOKUP($A16,Hshldprojections2018!$A$1:$AQ$327,27,FALSE))/10))</f>
        <v>419.4</v>
      </c>
      <c r="AI16" s="268">
        <f>VLOOKUP($A16,AffordabilityRatio!$A$2:$I$321,5,FALSE)</f>
        <v>10.27</v>
      </c>
      <c r="AJ16" s="268">
        <f>VLOOKUP($A16,AffordabilityRatio!$A$2:$I$321,6,FALSE)</f>
        <v>10.66</v>
      </c>
      <c r="AK16" s="268">
        <f>VLOOKUP($A16,AffordabilityRatio!$A$2:$I$321,7,FALSE)</f>
        <v>9.39</v>
      </c>
      <c r="AL16" s="268">
        <f>IF((VLOOKUP($A16,AffordabilityRatio!$A$2:$I$321,8,FALSE))="",AK16,VLOOKUP($A16,AffordabilityRatio!$A$2:$I$321,8,FALSE))</f>
        <v>9.7899999999999991</v>
      </c>
      <c r="AM16" s="268">
        <f>IF((VLOOKUP($A16,AffordabilityRatio!$A$2:$I$321,9,FALSE))="",AL16,VLOOKUP($A16,AffordabilityRatio!$A$2:$I$321,9,FALSE))</f>
        <v>10.36</v>
      </c>
      <c r="AN16" s="268">
        <f>IF((VLOOKUP($A16,AffordabilityRatio!$A$2:$I$321,9,FALSE))="",AM16,VLOOKUP($A16,AffordabilityRatio!$A$2:$I$321,9,FALSE))</f>
        <v>10.36</v>
      </c>
      <c r="AO16" s="268">
        <f>IF((VLOOKUP($A16,AffordabilityRatio!$A$2:$I$321,9,FALSE))="",AN16,VLOOKUP($A16,AffordabilityRatio!$A$2:$I$321,9,FALSE))</f>
        <v>10.36</v>
      </c>
      <c r="AP16" s="268">
        <f>IF((VLOOKUP($A16,AffordabilityRatio!$A$2:$I$321,9,FALSE))="",AO16,VLOOKUP($A16,AffordabilityRatio!$A$2:$I$321,9,FALSE))</f>
        <v>10.36</v>
      </c>
      <c r="AQ16" s="267">
        <f t="shared" si="24"/>
        <v>1070</v>
      </c>
      <c r="AR16" s="267">
        <f t="shared" si="25"/>
        <v>1076</v>
      </c>
      <c r="AS16" s="267">
        <f t="shared" si="26"/>
        <v>1003</v>
      </c>
      <c r="AT16" s="267">
        <f t="shared" si="27"/>
        <v>574</v>
      </c>
      <c r="AU16" s="267">
        <f t="shared" si="28"/>
        <v>585</v>
      </c>
      <c r="AV16" s="267">
        <f t="shared" si="29"/>
        <v>586</v>
      </c>
      <c r="AW16" s="267">
        <f t="shared" si="30"/>
        <v>584</v>
      </c>
      <c r="AX16" s="267">
        <f t="shared" si="31"/>
        <v>586</v>
      </c>
      <c r="AY16" s="267">
        <f t="shared" si="32"/>
        <v>1070</v>
      </c>
      <c r="AZ16" s="267">
        <f t="shared" si="33"/>
        <v>1076</v>
      </c>
      <c r="BA16" s="267">
        <f t="shared" si="34"/>
        <v>1003</v>
      </c>
      <c r="BB16" s="267">
        <f t="shared" si="35"/>
        <v>574</v>
      </c>
      <c r="BC16" s="267">
        <f t="shared" si="36"/>
        <v>585</v>
      </c>
      <c r="BD16" s="267">
        <f t="shared" si="37"/>
        <v>586</v>
      </c>
      <c r="BE16" s="267">
        <f t="shared" si="38"/>
        <v>584</v>
      </c>
      <c r="BF16" s="267">
        <f t="shared" si="39"/>
        <v>586</v>
      </c>
      <c r="BG16" s="269">
        <f>AY16*VLOOKUP($B16,'Major Cities &amp; Towns'!$A$28:$B$345,2,FALSE)</f>
        <v>1070</v>
      </c>
      <c r="BH16" s="269">
        <f>AZ16*VLOOKUP($B16,'Major Cities &amp; Towns'!$A$28:$B$345,2,FALSE)</f>
        <v>1076</v>
      </c>
      <c r="BI16" s="269">
        <f>BA16*VLOOKUP($B16,'Major Cities &amp; Towns'!$A$28:$B$345,2,FALSE)</f>
        <v>1003</v>
      </c>
      <c r="BJ16" s="269">
        <f>BB16*VLOOKUP($B16,'Major Cities &amp; Towns'!$A$28:$B$345,2,FALSE)</f>
        <v>574</v>
      </c>
      <c r="BK16" s="269">
        <f>BC16*VLOOKUP($B16,'Major Cities &amp; Towns'!$A$28:$B$345,2,FALSE)</f>
        <v>585</v>
      </c>
      <c r="BL16" s="269">
        <f>BD16*VLOOKUP($B16,'Major Cities &amp; Towns'!$A$28:$B$345,2,FALSE)</f>
        <v>586</v>
      </c>
      <c r="BM16" s="269">
        <f>BE16*VLOOKUP($B16,'Major Cities &amp; Towns'!$A$28:$B$345,2,FALSE)</f>
        <v>584</v>
      </c>
      <c r="BN16" s="269">
        <f>BF16*VLOOKUP($B16,'Major Cities &amp; Towns'!$A$28:$B$345,2,FALSE)</f>
        <v>586</v>
      </c>
      <c r="BO16" s="270">
        <f t="shared" si="40"/>
        <v>1070</v>
      </c>
      <c r="BP16" s="270">
        <f t="shared" si="41"/>
        <v>1076</v>
      </c>
      <c r="BQ16" s="270">
        <f t="shared" si="42"/>
        <v>1003</v>
      </c>
      <c r="BR16" s="270">
        <f t="shared" si="43"/>
        <v>574</v>
      </c>
      <c r="BS16" s="270">
        <f t="shared" si="44"/>
        <v>585</v>
      </c>
      <c r="BT16" s="270">
        <f t="shared" si="45"/>
        <v>586</v>
      </c>
      <c r="BU16" s="270">
        <f t="shared" si="46"/>
        <v>584</v>
      </c>
      <c r="BV16" s="270">
        <f t="shared" si="47"/>
        <v>586</v>
      </c>
      <c r="BW16" s="39">
        <f>VLOOKUP($A16,NetAdditions!$A$2:$H$336,6,FALSE)</f>
        <v>340</v>
      </c>
      <c r="BX16" s="39">
        <f>VLOOKUP($A16,NetAdditions!$A$2:$H$336,7,FALSE)</f>
        <v>460</v>
      </c>
      <c r="BY16" s="39">
        <f>IF((VLOOKUP($C16,NetAdditions!$A$2:$H$336,8,FALSE))="",(AVERAGE(VLOOKUP($C16,NetAdditions!$A$2:$H$336,5,FALSE),VLOOKUP($C16,NetAdditions!$A$2:$H$336,6,FALSE),VLOOKUP($C16,NetAdditions!$A$2:$H$336,7,FALSE))),VLOOKUP($C16,NetAdditions!$A$2:$H$336,8,FALSE))</f>
        <v>317</v>
      </c>
      <c r="BZ16" s="39">
        <f t="shared" si="48"/>
        <v>372.33333333333331</v>
      </c>
      <c r="CA16" s="39">
        <f t="shared" si="49"/>
        <v>383.11111111111109</v>
      </c>
      <c r="CB16" s="39">
        <f t="shared" si="50"/>
        <v>357.48148148148147</v>
      </c>
      <c r="CC16" s="39">
        <f t="shared" si="51"/>
        <v>370.97530864197529</v>
      </c>
      <c r="CD16" s="39">
        <f t="shared" si="52"/>
        <v>370.52263374485597</v>
      </c>
      <c r="CE16" s="276">
        <f t="shared" si="5"/>
        <v>3149</v>
      </c>
      <c r="CF16" s="276">
        <f t="shared" si="6"/>
        <v>2653</v>
      </c>
      <c r="CG16" s="276">
        <f t="shared" si="7"/>
        <v>2162</v>
      </c>
      <c r="CH16" s="276">
        <f t="shared" si="8"/>
        <v>1745</v>
      </c>
      <c r="CI16" s="276">
        <f t="shared" si="9"/>
        <v>1755</v>
      </c>
      <c r="CJ16" s="276">
        <f t="shared" si="10"/>
        <v>1756</v>
      </c>
      <c r="CK16" s="276">
        <f t="shared" si="53"/>
        <v>2711.6388888888891</v>
      </c>
      <c r="CL16" s="276">
        <f t="shared" si="54"/>
        <v>2284.5277777777778</v>
      </c>
      <c r="CM16" s="276">
        <f t="shared" si="55"/>
        <v>1981.8333333333333</v>
      </c>
      <c r="CN16" s="276">
        <f t="shared" si="56"/>
        <v>1745</v>
      </c>
      <c r="CO16" s="276">
        <f t="shared" si="57"/>
        <v>1755</v>
      </c>
      <c r="CP16" s="276">
        <f t="shared" si="58"/>
        <v>1756</v>
      </c>
      <c r="CQ16" s="39">
        <f t="shared" si="12"/>
        <v>1117</v>
      </c>
      <c r="CR16" s="39">
        <f t="shared" si="13"/>
        <v>1149.3333333333333</v>
      </c>
      <c r="CS16" s="277">
        <f t="shared" si="14"/>
        <v>1072.4444444444443</v>
      </c>
      <c r="CT16" s="39">
        <f t="shared" si="15"/>
        <v>1112.9259259259259</v>
      </c>
      <c r="CU16" s="39">
        <f t="shared" si="16"/>
        <v>1111.5679012345679</v>
      </c>
      <c r="CV16" s="39">
        <f t="shared" si="59"/>
        <v>1098.9794238683128</v>
      </c>
      <c r="CW16" s="297">
        <f t="shared" si="18"/>
        <v>0.41192800581853939</v>
      </c>
      <c r="CX16" s="279" t="str">
        <f t="shared" si="60"/>
        <v>Buffer and Action Plan</v>
      </c>
      <c r="CY16" s="278">
        <f t="shared" si="19"/>
        <v>0.50309448828471715</v>
      </c>
      <c r="CZ16" s="279" t="str">
        <f t="shared" si="61"/>
        <v>Buffer and Action Plan</v>
      </c>
      <c r="DA16" s="278">
        <f t="shared" si="20"/>
        <v>0.54113755501359573</v>
      </c>
      <c r="DB16" s="292" t="str">
        <f t="shared" si="62"/>
        <v>Presumption</v>
      </c>
      <c r="DC16" s="299">
        <f t="shared" si="63"/>
        <v>0.6377799002440836</v>
      </c>
      <c r="DD16" s="293" t="str">
        <f t="shared" si="64"/>
        <v>Presumption</v>
      </c>
      <c r="DE16" s="299">
        <f t="shared" si="65"/>
        <v>0.63337202349548027</v>
      </c>
      <c r="DF16" s="293" t="str">
        <f t="shared" si="66"/>
        <v>Presumption</v>
      </c>
      <c r="DG16" s="299">
        <f t="shared" si="67"/>
        <v>0.62584249650815083</v>
      </c>
      <c r="DH16" s="293" t="str">
        <f t="shared" si="68"/>
        <v>Presumption</v>
      </c>
    </row>
    <row r="17" spans="1:112" ht="15" thickTop="1" thickBot="1">
      <c r="A17" s="38" t="s">
        <v>141</v>
      </c>
      <c r="B17" s="38" t="s">
        <v>142</v>
      </c>
      <c r="C17" s="38" t="s">
        <v>141</v>
      </c>
      <c r="D17" s="38" t="s">
        <v>113</v>
      </c>
      <c r="E17" s="38" t="str">
        <f>VLOOKUP(C17,PoliticalControl!A:K,11,FALSE)</f>
        <v>CON</v>
      </c>
      <c r="F17" s="38" t="str">
        <f>VLOOKUP(C17,UrbanRuralClassification!A:N,13,FALSE)</f>
        <v>Urban with Significant Rural (rural including hub towns 26-49%)</v>
      </c>
      <c r="G17" s="38" t="str">
        <f>VLOOKUP(C17,UrbanRuralClassification!A:N,14,FALSE)</f>
        <v>Urban with Significant Rural</v>
      </c>
      <c r="H17" s="258">
        <f>IF(ISBLANK((VLOOKUP($A17,'local-plan-data'!$C$1:$AD$566,27,FALSE)))=TRUE,"",VLOOKUP($A17,'local-plan-data'!$C$1:$AD$566,27,FALSE))</f>
        <v>42516</v>
      </c>
      <c r="I17" s="259">
        <f>VLOOKUP($A17,'local-plan-data'!$C$1:$AD$566,28,FALSE)</f>
        <v>850</v>
      </c>
      <c r="J17" s="260">
        <f t="shared" si="21"/>
        <v>850</v>
      </c>
      <c r="K17" s="259">
        <f t="shared" si="22"/>
        <v>850</v>
      </c>
      <c r="L17" s="259">
        <f t="shared" si="0"/>
        <v>850</v>
      </c>
      <c r="M17" s="259">
        <f t="shared" si="0"/>
        <v>850</v>
      </c>
      <c r="N17" s="259">
        <f t="shared" si="0"/>
        <v>850</v>
      </c>
      <c r="O17" s="259" t="str">
        <f t="shared" si="0"/>
        <v>-</v>
      </c>
      <c r="P17" s="259" t="str">
        <f t="shared" si="0"/>
        <v>-</v>
      </c>
      <c r="Q17" s="259" t="str">
        <f t="shared" si="0"/>
        <v>-</v>
      </c>
      <c r="R17" s="259" t="str">
        <f t="shared" si="0"/>
        <v>-</v>
      </c>
      <c r="S17" s="259">
        <f t="shared" si="23"/>
        <v>1151</v>
      </c>
      <c r="T17" s="259">
        <f t="shared" si="1"/>
        <v>786</v>
      </c>
      <c r="U17" s="259">
        <f t="shared" si="1"/>
        <v>420</v>
      </c>
      <c r="V17" s="259">
        <f t="shared" si="1"/>
        <v>55</v>
      </c>
      <c r="W17" s="259">
        <f t="shared" si="1"/>
        <v>-310</v>
      </c>
      <c r="X17" s="259">
        <f t="shared" si="1"/>
        <v>-675</v>
      </c>
      <c r="Y17" s="259">
        <f t="shared" si="1"/>
        <v>-1041</v>
      </c>
      <c r="Z17" s="259">
        <f t="shared" si="1"/>
        <v>-1406</v>
      </c>
      <c r="AA17" s="267">
        <f>(VLOOKUP(A17,Hshldprojections2014!$A$2:$AW$319,40, FALSE)-VLOOKUP(A17,Hshldprojections2014!$A$2:$AW$319,30, FALSE))/10</f>
        <v>735</v>
      </c>
      <c r="AB17" s="267">
        <f>(VLOOKUP(A17,Hshldprojections2014!$A$2:$AW$319,41, FALSE)-VLOOKUP(A17,Hshldprojections2014!$A$2:$AW$319,31, FALSE))/10</f>
        <v>711.1</v>
      </c>
      <c r="AC17" s="267">
        <f>(VLOOKUP(A17,Hshldprojections2014!$A$2:$AW$319,42, FALSE)-VLOOKUP(A17,Hshldprojections2014!$A$2:$AW$319,32, FALSE))/10</f>
        <v>691.6</v>
      </c>
      <c r="AD17" s="267">
        <f>IF(IndividualLATest!$J$7=2014,(VLOOKUP($A17,Hshldprojections2014!$A$2:$AY$326,43,FALSE)-VLOOKUP($A17,Hshldprojections2014!$A$2:$AY$326,33,FALSE))/10,IF(IndividualLATest!$J$7=2016,(VLOOKUP($A17,Hshldprojections2016!$A$1:$AQ$322,33,FALSE)-VLOOKUP($A17,Hshldprojections2016!$A$1:$AQ$322,23,FALSE))/10,(VLOOKUP($A17,Hshldprojections2018!$A$1:$AQ$327,33,FALSE)-VLOOKUP($A17,Hshldprojections2018!$A$1:$AQ$327,23,FALSE))/10))</f>
        <v>254.8</v>
      </c>
      <c r="AE17" s="267">
        <f>IF(IndividualLATest!$J$7=2014,(VLOOKUP($A17,Hshldprojections2014!$A$2:$AY$326,44,FALSE)-VLOOKUP($A17,Hshldprojections2014!$A$2:$AY$326,34,FALSE))/10,IF(IndividualLATest!$J$7=2016,(VLOOKUP($A17,Hshldprojections2016!$A$1:$AQ$322,34,FALSE)-VLOOKUP($A17,Hshldprojections2016!$A$1:$AQ$322,24,FALSE))/10,(VLOOKUP($A17,Hshldprojections2018!$A$1:$AQ$327,34,FALSE)-VLOOKUP($A17,Hshldprojections2018!$A$1:$AQ$327,24,FALSE))/10))</f>
        <v>246.5</v>
      </c>
      <c r="AF17" s="267">
        <f>IF(IndividualLATest!$J$7=2014,(VLOOKUP($A17,Hshldprojections2014!$A$2:$AY$326,45,FALSE)-VLOOKUP($A17,Hshldprojections2014!$A$2:$AY$326,35,FALSE))/10,IF(IndividualLATest!$J$7=2016,(VLOOKUP($A17,Hshldprojections2016!$A$1:$AQ$322,35,FALSE)-VLOOKUP($A17,Hshldprojections2016!$A$1:$AQ$322,25,FALSE))/10,(VLOOKUP($A17,Hshldprojections2018!$A$1:$AQ$327,35,FALSE)-VLOOKUP($A17,Hshldprojections2018!$A$1:$AQ$327,25,FALSE))/10))</f>
        <v>239.3</v>
      </c>
      <c r="AG17" s="267">
        <f>IF(IndividualLATest!$J$7=2014,(VLOOKUP($A17,Hshldprojections2014!$A$2:$AY$326,46,FALSE)-VLOOKUP($A17,Hshldprojections2014!$A$2:$AY$326,36,FALSE))/10,IF(IndividualLATest!$J$7=2016,(VLOOKUP($A17,Hshldprojections2016!$A$1:$AQ$322,36,FALSE)-VLOOKUP($A17,Hshldprojections2016!$A$1:$AQ$322,26,FALSE))/10,(VLOOKUP($A17,Hshldprojections2018!$A$1:$AQ$327,36,FALSE)-VLOOKUP($A17,Hshldprojections2018!$A$1:$AQ$327,26,FALSE))/10))</f>
        <v>231.5</v>
      </c>
      <c r="AH17" s="267">
        <f>IF(IndividualLATest!$J$7=2014,(VLOOKUP($A17,Hshldprojections2014!$A$2:$AY$326,47,FALSE)-VLOOKUP($A17,Hshldprojections2014!$A$2:$AY$326,37,FALSE))/10,IF(IndividualLATest!$J$7=2016,(VLOOKUP($A17,Hshldprojections2016!$A$1:$AQ$322,37,FALSE)-VLOOKUP($A17,Hshldprojections2016!$A$1:$AQ$322,27,FALSE))/10,(VLOOKUP($A17,Hshldprojections2018!$A$1:$AQ$327,37,FALSE)-VLOOKUP($A17,Hshldprojections2018!$A$1:$AQ$327,27,FALSE))/10))</f>
        <v>229.2</v>
      </c>
      <c r="AI17" s="268">
        <f>VLOOKUP($A17,AffordabilityRatio!$A$2:$I$321,5,FALSE)</f>
        <v>9.5500000000000007</v>
      </c>
      <c r="AJ17" s="268">
        <f>VLOOKUP($A17,AffordabilityRatio!$A$2:$I$321,6,FALSE)</f>
        <v>9.5399999999999991</v>
      </c>
      <c r="AK17" s="268">
        <f>VLOOKUP($A17,AffordabilityRatio!$A$2:$I$321,7,FALSE)</f>
        <v>8.48</v>
      </c>
      <c r="AL17" s="268">
        <f>IF((VLOOKUP($A17,AffordabilityRatio!$A$2:$I$321,8,FALSE))="",AK17,VLOOKUP($A17,AffordabilityRatio!$A$2:$I$321,8,FALSE))</f>
        <v>8.86</v>
      </c>
      <c r="AM17" s="268">
        <f>IF((VLOOKUP($A17,AffordabilityRatio!$A$2:$I$321,9,FALSE))="",AL17,VLOOKUP($A17,AffordabilityRatio!$A$2:$I$321,9,FALSE))</f>
        <v>9.24</v>
      </c>
      <c r="AN17" s="268">
        <f>IF((VLOOKUP($A17,AffordabilityRatio!$A$2:$I$321,9,FALSE))="",AM17,VLOOKUP($A17,AffordabilityRatio!$A$2:$I$321,9,FALSE))</f>
        <v>9.24</v>
      </c>
      <c r="AO17" s="268">
        <f>IF((VLOOKUP($A17,AffordabilityRatio!$A$2:$I$321,9,FALSE))="",AN17,VLOOKUP($A17,AffordabilityRatio!$A$2:$I$321,9,FALSE))</f>
        <v>9.24</v>
      </c>
      <c r="AP17" s="268">
        <f>IF((VLOOKUP($A17,AffordabilityRatio!$A$2:$I$321,9,FALSE))="",AO17,VLOOKUP($A17,AffordabilityRatio!$A$2:$I$321,9,FALSE))</f>
        <v>9.24</v>
      </c>
      <c r="AQ17" s="267">
        <f t="shared" si="24"/>
        <v>990</v>
      </c>
      <c r="AR17" s="267">
        <f t="shared" si="25"/>
        <v>957</v>
      </c>
      <c r="AS17" s="267">
        <f t="shared" si="26"/>
        <v>885</v>
      </c>
      <c r="AT17" s="267">
        <f t="shared" si="27"/>
        <v>332</v>
      </c>
      <c r="AU17" s="267">
        <f t="shared" si="28"/>
        <v>327</v>
      </c>
      <c r="AV17" s="267">
        <f t="shared" si="29"/>
        <v>318</v>
      </c>
      <c r="AW17" s="267">
        <f t="shared" si="30"/>
        <v>307</v>
      </c>
      <c r="AX17" s="267">
        <f t="shared" si="31"/>
        <v>304</v>
      </c>
      <c r="AY17" s="267">
        <f t="shared" si="32"/>
        <v>990</v>
      </c>
      <c r="AZ17" s="267">
        <f t="shared" si="33"/>
        <v>957</v>
      </c>
      <c r="BA17" s="267">
        <f t="shared" si="34"/>
        <v>885</v>
      </c>
      <c r="BB17" s="267">
        <f t="shared" si="35"/>
        <v>332</v>
      </c>
      <c r="BC17" s="267">
        <f t="shared" si="36"/>
        <v>327</v>
      </c>
      <c r="BD17" s="267">
        <f t="shared" si="37"/>
        <v>318</v>
      </c>
      <c r="BE17" s="267">
        <f t="shared" si="38"/>
        <v>307</v>
      </c>
      <c r="BF17" s="267">
        <f t="shared" si="39"/>
        <v>304</v>
      </c>
      <c r="BG17" s="269">
        <f>AY17*VLOOKUP($B17,'Major Cities &amp; Towns'!$A$28:$B$345,2,FALSE)</f>
        <v>990</v>
      </c>
      <c r="BH17" s="269">
        <f>AZ17*VLOOKUP($B17,'Major Cities &amp; Towns'!$A$28:$B$345,2,FALSE)</f>
        <v>957</v>
      </c>
      <c r="BI17" s="269">
        <f>BA17*VLOOKUP($B17,'Major Cities &amp; Towns'!$A$28:$B$345,2,FALSE)</f>
        <v>885</v>
      </c>
      <c r="BJ17" s="269">
        <f>BB17*VLOOKUP($B17,'Major Cities &amp; Towns'!$A$28:$B$345,2,FALSE)</f>
        <v>332</v>
      </c>
      <c r="BK17" s="269">
        <f>BC17*VLOOKUP($B17,'Major Cities &amp; Towns'!$A$28:$B$345,2,FALSE)</f>
        <v>327</v>
      </c>
      <c r="BL17" s="269">
        <f>BD17*VLOOKUP($B17,'Major Cities &amp; Towns'!$A$28:$B$345,2,FALSE)</f>
        <v>318</v>
      </c>
      <c r="BM17" s="269">
        <f>BE17*VLOOKUP($B17,'Major Cities &amp; Towns'!$A$28:$B$345,2,FALSE)</f>
        <v>307</v>
      </c>
      <c r="BN17" s="269">
        <f>BF17*VLOOKUP($B17,'Major Cities &amp; Towns'!$A$28:$B$345,2,FALSE)</f>
        <v>304</v>
      </c>
      <c r="BO17" s="270">
        <f t="shared" si="40"/>
        <v>850</v>
      </c>
      <c r="BP17" s="270">
        <f t="shared" si="41"/>
        <v>850</v>
      </c>
      <c r="BQ17" s="270">
        <f t="shared" si="42"/>
        <v>850</v>
      </c>
      <c r="BR17" s="270">
        <f t="shared" si="43"/>
        <v>332</v>
      </c>
      <c r="BS17" s="270">
        <f t="shared" si="44"/>
        <v>327</v>
      </c>
      <c r="BT17" s="270">
        <f t="shared" si="45"/>
        <v>318</v>
      </c>
      <c r="BU17" s="270">
        <f t="shared" si="46"/>
        <v>307</v>
      </c>
      <c r="BV17" s="270">
        <f t="shared" si="47"/>
        <v>304</v>
      </c>
      <c r="BW17" s="39">
        <f>VLOOKUP($A17,NetAdditions!$A$2:$H$336,6,FALSE)</f>
        <v>1200</v>
      </c>
      <c r="BX17" s="39">
        <f>VLOOKUP($A17,NetAdditions!$A$2:$H$336,7,FALSE)</f>
        <v>1574</v>
      </c>
      <c r="BY17" s="39">
        <f>IF((VLOOKUP($C17,NetAdditions!$A$2:$H$336,8,FALSE))="",(AVERAGE(VLOOKUP($C17,NetAdditions!$A$2:$H$336,5,FALSE),VLOOKUP($C17,NetAdditions!$A$2:$H$336,6,FALSE),VLOOKUP($C17,NetAdditions!$A$2:$H$336,7,FALSE))),VLOOKUP($C17,NetAdditions!$A$2:$H$336,8,FALSE))</f>
        <v>1241</v>
      </c>
      <c r="BZ17" s="39">
        <f t="shared" si="48"/>
        <v>1338.3333333333333</v>
      </c>
      <c r="CA17" s="39">
        <f t="shared" si="49"/>
        <v>1384.4444444444443</v>
      </c>
      <c r="CB17" s="39">
        <f t="shared" si="50"/>
        <v>1321.2592592592591</v>
      </c>
      <c r="CC17" s="39">
        <f t="shared" si="51"/>
        <v>1348.0123456790122</v>
      </c>
      <c r="CD17" s="39">
        <f t="shared" si="52"/>
        <v>1351.2386831275719</v>
      </c>
      <c r="CE17" s="276">
        <f t="shared" si="5"/>
        <v>2550</v>
      </c>
      <c r="CF17" s="276">
        <f t="shared" si="6"/>
        <v>2032</v>
      </c>
      <c r="CG17" s="276">
        <f t="shared" si="7"/>
        <v>1509</v>
      </c>
      <c r="CH17" s="276">
        <f t="shared" si="8"/>
        <v>977</v>
      </c>
      <c r="CI17" s="276">
        <f t="shared" si="9"/>
        <v>952</v>
      </c>
      <c r="CJ17" s="276">
        <f t="shared" si="10"/>
        <v>929</v>
      </c>
      <c r="CK17" s="276">
        <f t="shared" si="53"/>
        <v>2195.8333333333335</v>
      </c>
      <c r="CL17" s="276">
        <f t="shared" si="54"/>
        <v>1749.7777777777778</v>
      </c>
      <c r="CM17" s="276">
        <f t="shared" si="55"/>
        <v>1383.25</v>
      </c>
      <c r="CN17" s="276">
        <f t="shared" si="56"/>
        <v>977</v>
      </c>
      <c r="CO17" s="276">
        <f t="shared" si="57"/>
        <v>952</v>
      </c>
      <c r="CP17" s="276">
        <f t="shared" si="58"/>
        <v>929</v>
      </c>
      <c r="CQ17" s="39">
        <f t="shared" si="12"/>
        <v>4015</v>
      </c>
      <c r="CR17" s="39">
        <f t="shared" si="13"/>
        <v>4153.333333333333</v>
      </c>
      <c r="CS17" s="277">
        <f t="shared" si="14"/>
        <v>3963.7777777777774</v>
      </c>
      <c r="CT17" s="39">
        <f t="shared" si="15"/>
        <v>4044.0370370370365</v>
      </c>
      <c r="CU17" s="39">
        <f t="shared" si="16"/>
        <v>4053.7160493827159</v>
      </c>
      <c r="CV17" s="39">
        <f t="shared" si="59"/>
        <v>4020.5102880658433</v>
      </c>
      <c r="CW17" s="297">
        <f t="shared" si="18"/>
        <v>1.8284629981024667</v>
      </c>
      <c r="CX17" s="279" t="str">
        <f t="shared" si="60"/>
        <v>Pass</v>
      </c>
      <c r="CY17" s="278">
        <f t="shared" si="19"/>
        <v>2.3736347472694943</v>
      </c>
      <c r="CZ17" s="279" t="str">
        <f t="shared" si="61"/>
        <v>Pass</v>
      </c>
      <c r="DA17" s="278">
        <f t="shared" si="20"/>
        <v>2.8655541498483843</v>
      </c>
      <c r="DB17" s="292" t="str">
        <f t="shared" si="62"/>
        <v>Pass</v>
      </c>
      <c r="DC17" s="299">
        <f t="shared" si="63"/>
        <v>4.1392395466090441</v>
      </c>
      <c r="DD17" s="293" t="str">
        <f t="shared" si="64"/>
        <v>Pass</v>
      </c>
      <c r="DE17" s="299">
        <f t="shared" si="65"/>
        <v>4.2581050938894078</v>
      </c>
      <c r="DF17" s="293" t="str">
        <f t="shared" si="66"/>
        <v>Pass</v>
      </c>
      <c r="DG17" s="299">
        <f t="shared" si="67"/>
        <v>4.32778287197615</v>
      </c>
      <c r="DH17" s="293" t="str">
        <f t="shared" si="68"/>
        <v>Pass</v>
      </c>
    </row>
    <row r="18" spans="1:112" ht="15" thickTop="1" thickBot="1">
      <c r="A18" s="38" t="s">
        <v>143</v>
      </c>
      <c r="B18" s="38" t="s">
        <v>144</v>
      </c>
      <c r="C18" s="38" t="s">
        <v>143</v>
      </c>
      <c r="D18" s="38" t="s">
        <v>119</v>
      </c>
      <c r="E18" s="38" t="str">
        <f>VLOOKUP(C18,PoliticalControl!A:K,11,FALSE)</f>
        <v>LAB</v>
      </c>
      <c r="F18" s="38" t="str">
        <f>VLOOKUP(C18,UrbanRuralClassification!A:N,13,FALSE)</f>
        <v xml:space="preserve">Largely Rural (rural including hub towns 50-79%) </v>
      </c>
      <c r="G18" s="38" t="str">
        <f>VLOOKUP(C18,UrbanRuralClassification!A:N,14,FALSE)</f>
        <v>Predominantly Rural</v>
      </c>
      <c r="H18" s="258">
        <f>IF(ISBLANK((VLOOKUP($A18,'local-plan-data'!$C$1:$AD$566,27,FALSE)))=TRUE,"",VLOOKUP($A18,'local-plan-data'!$C$1:$AD$566,27,FALSE))</f>
        <v>40899</v>
      </c>
      <c r="I18" s="259">
        <f>VLOOKUP($A18,'local-plan-data'!$C$1:$AD$566,28,FALSE)</f>
        <v>350</v>
      </c>
      <c r="J18" s="260">
        <f t="shared" si="21"/>
        <v>350</v>
      </c>
      <c r="K18" s="259" t="str">
        <f t="shared" si="22"/>
        <v>-</v>
      </c>
      <c r="L18" s="259" t="str">
        <f t="shared" si="0"/>
        <v>-</v>
      </c>
      <c r="M18" s="259" t="str">
        <f t="shared" si="0"/>
        <v>-</v>
      </c>
      <c r="N18" s="259" t="str">
        <f t="shared" si="0"/>
        <v>-</v>
      </c>
      <c r="O18" s="259" t="str">
        <f t="shared" si="0"/>
        <v>-</v>
      </c>
      <c r="P18" s="259" t="str">
        <f t="shared" si="0"/>
        <v>-</v>
      </c>
      <c r="Q18" s="259" t="str">
        <f t="shared" si="0"/>
        <v>-</v>
      </c>
      <c r="R18" s="259" t="str">
        <f t="shared" si="0"/>
        <v>-</v>
      </c>
      <c r="S18" s="259">
        <f t="shared" si="23"/>
        <v>-465</v>
      </c>
      <c r="T18" s="259">
        <f t="shared" si="1"/>
        <v>-830</v>
      </c>
      <c r="U18" s="259">
        <f t="shared" si="1"/>
        <v>-1196</v>
      </c>
      <c r="V18" s="259">
        <f t="shared" si="1"/>
        <v>-1561</v>
      </c>
      <c r="W18" s="259">
        <f t="shared" si="1"/>
        <v>-1926</v>
      </c>
      <c r="X18" s="259">
        <f t="shared" si="1"/>
        <v>-2291</v>
      </c>
      <c r="Y18" s="259">
        <f t="shared" si="1"/>
        <v>-2657</v>
      </c>
      <c r="Z18" s="259">
        <f t="shared" si="1"/>
        <v>-3022</v>
      </c>
      <c r="AA18" s="267">
        <f>(VLOOKUP(A18,Hshldprojections2014!$A$2:$AW$319,40, FALSE)-VLOOKUP(A18,Hshldprojections2014!$A$2:$AW$319,30, FALSE))/10</f>
        <v>271.10000000000002</v>
      </c>
      <c r="AB18" s="267">
        <f>(VLOOKUP(A18,Hshldprojections2014!$A$2:$AW$319,41, FALSE)-VLOOKUP(A18,Hshldprojections2014!$A$2:$AW$319,31, FALSE))/10</f>
        <v>261.10000000000002</v>
      </c>
      <c r="AC18" s="267">
        <f>(VLOOKUP(A18,Hshldprojections2014!$A$2:$AW$319,42, FALSE)-VLOOKUP(A18,Hshldprojections2014!$A$2:$AW$319,32, FALSE))/10</f>
        <v>251.4</v>
      </c>
      <c r="AD18" s="267">
        <f>IF(IndividualLATest!$J$7=2014,(VLOOKUP($A18,Hshldprojections2014!$A$2:$AY$326,43,FALSE)-VLOOKUP($A18,Hshldprojections2014!$A$2:$AY$326,33,FALSE))/10,IF(IndividualLATest!$J$7=2016,(VLOOKUP($A18,Hshldprojections2016!$A$1:$AQ$322,33,FALSE)-VLOOKUP($A18,Hshldprojections2016!$A$1:$AQ$322,23,FALSE))/10,(VLOOKUP($A18,Hshldprojections2018!$A$1:$AQ$327,33,FALSE)-VLOOKUP($A18,Hshldprojections2018!$A$1:$AQ$327,23,FALSE))/10))</f>
        <v>390</v>
      </c>
      <c r="AE18" s="267">
        <f>IF(IndividualLATest!$J$7=2014,(VLOOKUP($A18,Hshldprojections2014!$A$2:$AY$326,44,FALSE)-VLOOKUP($A18,Hshldprojections2014!$A$2:$AY$326,34,FALSE))/10,IF(IndividualLATest!$J$7=2016,(VLOOKUP($A18,Hshldprojections2016!$A$1:$AQ$322,34,FALSE)-VLOOKUP($A18,Hshldprojections2016!$A$1:$AQ$322,24,FALSE))/10,(VLOOKUP($A18,Hshldprojections2018!$A$1:$AQ$327,34,FALSE)-VLOOKUP($A18,Hshldprojections2018!$A$1:$AQ$327,24,FALSE))/10))</f>
        <v>379.3</v>
      </c>
      <c r="AF18" s="267">
        <f>IF(IndividualLATest!$J$7=2014,(VLOOKUP($A18,Hshldprojections2014!$A$2:$AY$326,45,FALSE)-VLOOKUP($A18,Hshldprojections2014!$A$2:$AY$326,35,FALSE))/10,IF(IndividualLATest!$J$7=2016,(VLOOKUP($A18,Hshldprojections2016!$A$1:$AQ$322,35,FALSE)-VLOOKUP($A18,Hshldprojections2016!$A$1:$AQ$322,25,FALSE))/10,(VLOOKUP($A18,Hshldprojections2018!$A$1:$AQ$327,35,FALSE)-VLOOKUP($A18,Hshldprojections2018!$A$1:$AQ$327,25,FALSE))/10))</f>
        <v>368.8</v>
      </c>
      <c r="AG18" s="267">
        <f>IF(IndividualLATest!$J$7=2014,(VLOOKUP($A18,Hshldprojections2014!$A$2:$AY$326,46,FALSE)-VLOOKUP($A18,Hshldprojections2014!$A$2:$AY$326,36,FALSE))/10,IF(IndividualLATest!$J$7=2016,(VLOOKUP($A18,Hshldprojections2016!$A$1:$AQ$322,36,FALSE)-VLOOKUP($A18,Hshldprojections2016!$A$1:$AQ$322,26,FALSE))/10,(VLOOKUP($A18,Hshldprojections2018!$A$1:$AQ$327,36,FALSE)-VLOOKUP($A18,Hshldprojections2018!$A$1:$AQ$327,26,FALSE))/10))</f>
        <v>362</v>
      </c>
      <c r="AH18" s="267">
        <f>IF(IndividualLATest!$J$7=2014,(VLOOKUP($A18,Hshldprojections2014!$A$2:$AY$326,47,FALSE)-VLOOKUP($A18,Hshldprojections2014!$A$2:$AY$326,37,FALSE))/10,IF(IndividualLATest!$J$7=2016,(VLOOKUP($A18,Hshldprojections2016!$A$1:$AQ$322,37,FALSE)-VLOOKUP($A18,Hshldprojections2016!$A$1:$AQ$322,27,FALSE))/10,(VLOOKUP($A18,Hshldprojections2018!$A$1:$AQ$327,37,FALSE)-VLOOKUP($A18,Hshldprojections2018!$A$1:$AQ$327,27,FALSE))/10))</f>
        <v>355.4</v>
      </c>
      <c r="AI18" s="268">
        <f>VLOOKUP($A18,AffordabilityRatio!$A$2:$I$321,5,FALSE)</f>
        <v>6.1</v>
      </c>
      <c r="AJ18" s="268">
        <f>VLOOKUP($A18,AffordabilityRatio!$A$2:$I$321,6,FALSE)</f>
        <v>6.23</v>
      </c>
      <c r="AK18" s="268">
        <f>VLOOKUP($A18,AffordabilityRatio!$A$2:$I$321,7,FALSE)</f>
        <v>6.42</v>
      </c>
      <c r="AL18" s="268">
        <f>IF((VLOOKUP($A18,AffordabilityRatio!$A$2:$I$321,8,FALSE))="",AK18,VLOOKUP($A18,AffordabilityRatio!$A$2:$I$321,8,FALSE))</f>
        <v>6.39</v>
      </c>
      <c r="AM18" s="268">
        <f>IF((VLOOKUP($A18,AffordabilityRatio!$A$2:$I$321,9,FALSE))="",AL18,VLOOKUP($A18,AffordabilityRatio!$A$2:$I$321,9,FALSE))</f>
        <v>6.81</v>
      </c>
      <c r="AN18" s="268">
        <f>IF((VLOOKUP($A18,AffordabilityRatio!$A$2:$I$321,9,FALSE))="",AM18,VLOOKUP($A18,AffordabilityRatio!$A$2:$I$321,9,FALSE))</f>
        <v>6.81</v>
      </c>
      <c r="AO18" s="268">
        <f>IF((VLOOKUP($A18,AffordabilityRatio!$A$2:$I$321,9,FALSE))="",AN18,VLOOKUP($A18,AffordabilityRatio!$A$2:$I$321,9,FALSE))</f>
        <v>6.81</v>
      </c>
      <c r="AP18" s="268">
        <f>IF((VLOOKUP($A18,AffordabilityRatio!$A$2:$I$321,9,FALSE))="",AO18,VLOOKUP($A18,AffordabilityRatio!$A$2:$I$321,9,FALSE))</f>
        <v>6.81</v>
      </c>
      <c r="AQ18" s="267">
        <f t="shared" si="24"/>
        <v>307</v>
      </c>
      <c r="AR18" s="267">
        <f t="shared" si="25"/>
        <v>297</v>
      </c>
      <c r="AS18" s="267">
        <f t="shared" si="26"/>
        <v>289</v>
      </c>
      <c r="AT18" s="267">
        <f t="shared" si="27"/>
        <v>448</v>
      </c>
      <c r="AU18" s="267">
        <f t="shared" si="28"/>
        <v>446</v>
      </c>
      <c r="AV18" s="267">
        <f t="shared" si="29"/>
        <v>434</v>
      </c>
      <c r="AW18" s="267">
        <f t="shared" si="30"/>
        <v>426</v>
      </c>
      <c r="AX18" s="267">
        <f t="shared" si="31"/>
        <v>418</v>
      </c>
      <c r="AY18" s="267">
        <f t="shared" si="32"/>
        <v>307</v>
      </c>
      <c r="AZ18" s="267">
        <f t="shared" si="33"/>
        <v>297</v>
      </c>
      <c r="BA18" s="267">
        <f t="shared" si="34"/>
        <v>289</v>
      </c>
      <c r="BB18" s="267">
        <f t="shared" si="35"/>
        <v>448</v>
      </c>
      <c r="BC18" s="267">
        <f t="shared" si="36"/>
        <v>446</v>
      </c>
      <c r="BD18" s="267">
        <f t="shared" si="37"/>
        <v>434</v>
      </c>
      <c r="BE18" s="267">
        <f t="shared" si="38"/>
        <v>426</v>
      </c>
      <c r="BF18" s="267">
        <f t="shared" si="39"/>
        <v>418</v>
      </c>
      <c r="BG18" s="269">
        <f>AY18*VLOOKUP($B18,'Major Cities &amp; Towns'!$A$28:$B$345,2,FALSE)</f>
        <v>307</v>
      </c>
      <c r="BH18" s="269">
        <f>AZ18*VLOOKUP($B18,'Major Cities &amp; Towns'!$A$28:$B$345,2,FALSE)</f>
        <v>297</v>
      </c>
      <c r="BI18" s="269">
        <f>BA18*VLOOKUP($B18,'Major Cities &amp; Towns'!$A$28:$B$345,2,FALSE)</f>
        <v>289</v>
      </c>
      <c r="BJ18" s="269">
        <f>BB18*VLOOKUP($B18,'Major Cities &amp; Towns'!$A$28:$B$345,2,FALSE)</f>
        <v>448</v>
      </c>
      <c r="BK18" s="269">
        <f>BC18*VLOOKUP($B18,'Major Cities &amp; Towns'!$A$28:$B$345,2,FALSE)</f>
        <v>446</v>
      </c>
      <c r="BL18" s="269">
        <f>BD18*VLOOKUP($B18,'Major Cities &amp; Towns'!$A$28:$B$345,2,FALSE)</f>
        <v>434</v>
      </c>
      <c r="BM18" s="269">
        <f>BE18*VLOOKUP($B18,'Major Cities &amp; Towns'!$A$28:$B$345,2,FALSE)</f>
        <v>426</v>
      </c>
      <c r="BN18" s="269">
        <f>BF18*VLOOKUP($B18,'Major Cities &amp; Towns'!$A$28:$B$345,2,FALSE)</f>
        <v>418</v>
      </c>
      <c r="BO18" s="270">
        <f t="shared" si="40"/>
        <v>307</v>
      </c>
      <c r="BP18" s="270">
        <f t="shared" si="41"/>
        <v>297</v>
      </c>
      <c r="BQ18" s="270">
        <f t="shared" si="42"/>
        <v>289</v>
      </c>
      <c r="BR18" s="270">
        <f t="shared" si="43"/>
        <v>448</v>
      </c>
      <c r="BS18" s="270">
        <f t="shared" si="44"/>
        <v>446</v>
      </c>
      <c r="BT18" s="270">
        <f t="shared" si="45"/>
        <v>434</v>
      </c>
      <c r="BU18" s="270">
        <f t="shared" si="46"/>
        <v>426</v>
      </c>
      <c r="BV18" s="270">
        <f t="shared" si="47"/>
        <v>418</v>
      </c>
      <c r="BW18" s="39">
        <f>VLOOKUP($A18,NetAdditions!$A$2:$H$336,6,FALSE)</f>
        <v>434</v>
      </c>
      <c r="BX18" s="39">
        <f>VLOOKUP($A18,NetAdditions!$A$2:$H$336,7,FALSE)</f>
        <v>694</v>
      </c>
      <c r="BY18" s="39">
        <f>IF((VLOOKUP($C18,NetAdditions!$A$2:$H$336,8,FALSE))="",(AVERAGE(VLOOKUP($C18,NetAdditions!$A$2:$H$336,5,FALSE),VLOOKUP($C18,NetAdditions!$A$2:$H$336,6,FALSE),VLOOKUP($C18,NetAdditions!$A$2:$H$336,7,FALSE))),VLOOKUP($C18,NetAdditions!$A$2:$H$336,8,FALSE))</f>
        <v>776</v>
      </c>
      <c r="BZ18" s="39">
        <f t="shared" si="48"/>
        <v>634.66666666666663</v>
      </c>
      <c r="CA18" s="39">
        <f t="shared" si="49"/>
        <v>701.55555555555554</v>
      </c>
      <c r="CB18" s="39">
        <f t="shared" si="50"/>
        <v>704.07407407407402</v>
      </c>
      <c r="CC18" s="39">
        <f t="shared" si="51"/>
        <v>680.09876543209873</v>
      </c>
      <c r="CD18" s="39">
        <f t="shared" si="52"/>
        <v>695.24279835390951</v>
      </c>
      <c r="CE18" s="276">
        <f t="shared" si="5"/>
        <v>893</v>
      </c>
      <c r="CF18" s="276">
        <f t="shared" si="6"/>
        <v>1034</v>
      </c>
      <c r="CG18" s="276">
        <f t="shared" si="7"/>
        <v>1183</v>
      </c>
      <c r="CH18" s="276">
        <f t="shared" si="8"/>
        <v>1328</v>
      </c>
      <c r="CI18" s="276">
        <f t="shared" si="9"/>
        <v>1306</v>
      </c>
      <c r="CJ18" s="276">
        <f t="shared" si="10"/>
        <v>1278</v>
      </c>
      <c r="CK18" s="276">
        <f t="shared" si="53"/>
        <v>768.97222222222229</v>
      </c>
      <c r="CL18" s="276">
        <f t="shared" si="54"/>
        <v>890.38888888888891</v>
      </c>
      <c r="CM18" s="276">
        <f t="shared" si="55"/>
        <v>1084.4166666666665</v>
      </c>
      <c r="CN18" s="276">
        <f t="shared" si="56"/>
        <v>1328</v>
      </c>
      <c r="CO18" s="276">
        <f t="shared" si="57"/>
        <v>1306</v>
      </c>
      <c r="CP18" s="276">
        <f t="shared" si="58"/>
        <v>1278</v>
      </c>
      <c r="CQ18" s="39">
        <f t="shared" si="12"/>
        <v>1904</v>
      </c>
      <c r="CR18" s="39">
        <f t="shared" si="13"/>
        <v>2104.6666666666665</v>
      </c>
      <c r="CS18" s="277">
        <f t="shared" si="14"/>
        <v>2112.2222222222222</v>
      </c>
      <c r="CT18" s="39">
        <f t="shared" si="15"/>
        <v>2040.2962962962961</v>
      </c>
      <c r="CU18" s="39">
        <f t="shared" si="16"/>
        <v>2085.7283950617284</v>
      </c>
      <c r="CV18" s="39">
        <f t="shared" si="59"/>
        <v>2079.4156378600824</v>
      </c>
      <c r="CW18" s="297">
        <f t="shared" si="18"/>
        <v>2.4760322219412636</v>
      </c>
      <c r="CX18" s="279" t="str">
        <f t="shared" si="60"/>
        <v>Pass</v>
      </c>
      <c r="CY18" s="278">
        <f t="shared" si="19"/>
        <v>2.3637611530542206</v>
      </c>
      <c r="CZ18" s="279" t="str">
        <f t="shared" si="61"/>
        <v>Pass</v>
      </c>
      <c r="DA18" s="278">
        <f t="shared" si="20"/>
        <v>1.9477957939496404</v>
      </c>
      <c r="DB18" s="292" t="str">
        <f t="shared" si="62"/>
        <v>Pass</v>
      </c>
      <c r="DC18" s="299">
        <f t="shared" si="63"/>
        <v>1.536367692994199</v>
      </c>
      <c r="DD18" s="293" t="str">
        <f t="shared" si="64"/>
        <v>Pass</v>
      </c>
      <c r="DE18" s="299">
        <f t="shared" si="65"/>
        <v>1.5970355245495624</v>
      </c>
      <c r="DF18" s="293" t="str">
        <f t="shared" si="66"/>
        <v>Pass</v>
      </c>
      <c r="DG18" s="299">
        <f t="shared" si="67"/>
        <v>1.6270857886229126</v>
      </c>
      <c r="DH18" s="293" t="str">
        <f t="shared" si="68"/>
        <v>Pass</v>
      </c>
    </row>
    <row r="19" spans="1:112" ht="15" thickTop="1" thickBot="1">
      <c r="A19" s="38" t="s">
        <v>145</v>
      </c>
      <c r="B19" s="38" t="s">
        <v>146</v>
      </c>
      <c r="C19" s="38" t="s">
        <v>145</v>
      </c>
      <c r="D19" s="38" t="s">
        <v>147</v>
      </c>
      <c r="E19" s="38" t="str">
        <f>VLOOKUP(C19,PoliticalControl!A:K,11,FALSE)</f>
        <v>LD</v>
      </c>
      <c r="F19" s="38" t="str">
        <f>VLOOKUP(C19,UrbanRuralClassification!A:N,13,FALSE)</f>
        <v>Urban with Significant Rural (rural including hub towns 26-49%)</v>
      </c>
      <c r="G19" s="38" t="str">
        <f>VLOOKUP(C19,UrbanRuralClassification!A:N,14,FALSE)</f>
        <v>Urban with Significant Rural</v>
      </c>
      <c r="H19" s="258" t="str">
        <f>IF(ISBLANK((VLOOKUP($A19,'local-plan-data'!$C$1:$AD$566,27,FALSE)))=TRUE,"",VLOOKUP($A19,'local-plan-data'!$C$1:$AD$566,27,FALSE))</f>
        <v/>
      </c>
      <c r="I19" s="259">
        <f>VLOOKUP($A19,'local-plan-data'!$C$1:$AD$566,28,FALSE)</f>
        <v>722.22222222222217</v>
      </c>
      <c r="J19" s="260">
        <f t="shared" si="21"/>
        <v>722.22222222222217</v>
      </c>
      <c r="K19" s="259" t="str">
        <f t="shared" si="22"/>
        <v>-</v>
      </c>
      <c r="L19" s="259" t="str">
        <f t="shared" si="0"/>
        <v>-</v>
      </c>
      <c r="M19" s="259" t="str">
        <f t="shared" si="0"/>
        <v>-</v>
      </c>
      <c r="N19" s="259" t="str">
        <f t="shared" si="0"/>
        <v>-</v>
      </c>
      <c r="O19" s="259" t="str">
        <f t="shared" si="0"/>
        <v>-</v>
      </c>
      <c r="P19" s="259" t="str">
        <f t="shared" si="0"/>
        <v>-</v>
      </c>
      <c r="Q19" s="259" t="str">
        <f t="shared" si="0"/>
        <v>-</v>
      </c>
      <c r="R19" s="259" t="str">
        <f t="shared" si="0"/>
        <v>-</v>
      </c>
      <c r="S19" s="259" t="str">
        <f t="shared" si="23"/>
        <v>-</v>
      </c>
      <c r="T19" s="259" t="str">
        <f t="shared" si="1"/>
        <v>-</v>
      </c>
      <c r="U19" s="259" t="str">
        <f t="shared" si="1"/>
        <v>-</v>
      </c>
      <c r="V19" s="259" t="str">
        <f t="shared" si="1"/>
        <v>-</v>
      </c>
      <c r="W19" s="259" t="str">
        <f t="shared" si="1"/>
        <v>-</v>
      </c>
      <c r="X19" s="259" t="str">
        <f t="shared" si="1"/>
        <v>-</v>
      </c>
      <c r="Y19" s="259" t="str">
        <f t="shared" si="1"/>
        <v>-</v>
      </c>
      <c r="Z19" s="259" t="str">
        <f t="shared" si="1"/>
        <v>-</v>
      </c>
      <c r="AA19" s="267">
        <f>(VLOOKUP(A19,Hshldprojections2014!$A$2:$AW$319,40, FALSE)-VLOOKUP(A19,Hshldprojections2014!$A$2:$AW$319,30, FALSE))/10</f>
        <v>455</v>
      </c>
      <c r="AB19" s="267">
        <f>(VLOOKUP(A19,Hshldprojections2014!$A$2:$AW$319,41, FALSE)-VLOOKUP(A19,Hshldprojections2014!$A$2:$AW$319,31, FALSE))/10</f>
        <v>458.5</v>
      </c>
      <c r="AC19" s="267">
        <f>(VLOOKUP(A19,Hshldprojections2014!$A$2:$AW$319,42, FALSE)-VLOOKUP(A19,Hshldprojections2014!$A$2:$AW$319,32, FALSE))/10</f>
        <v>467.6</v>
      </c>
      <c r="AD19" s="267">
        <f>IF(IndividualLATest!$J$7=2014,(VLOOKUP($A19,Hshldprojections2014!$A$2:$AY$326,43,FALSE)-VLOOKUP($A19,Hshldprojections2014!$A$2:$AY$326,33,FALSE))/10,IF(IndividualLATest!$J$7=2016,(VLOOKUP($A19,Hshldprojections2016!$A$1:$AQ$322,33,FALSE)-VLOOKUP($A19,Hshldprojections2016!$A$1:$AQ$322,23,FALSE))/10,(VLOOKUP($A19,Hshldprojections2018!$A$1:$AQ$327,33,FALSE)-VLOOKUP($A19,Hshldprojections2018!$A$1:$AQ$327,23,FALSE))/10))</f>
        <v>655.1</v>
      </c>
      <c r="AE19" s="267">
        <f>IF(IndividualLATest!$J$7=2014,(VLOOKUP($A19,Hshldprojections2014!$A$2:$AY$326,44,FALSE)-VLOOKUP($A19,Hshldprojections2014!$A$2:$AY$326,34,FALSE))/10,IF(IndividualLATest!$J$7=2016,(VLOOKUP($A19,Hshldprojections2016!$A$1:$AQ$322,34,FALSE)-VLOOKUP($A19,Hshldprojections2016!$A$1:$AQ$322,24,FALSE))/10,(VLOOKUP($A19,Hshldprojections2018!$A$1:$AQ$327,34,FALSE)-VLOOKUP($A19,Hshldprojections2018!$A$1:$AQ$327,24,FALSE))/10))</f>
        <v>656.3</v>
      </c>
      <c r="AF19" s="267">
        <f>IF(IndividualLATest!$J$7=2014,(VLOOKUP($A19,Hshldprojections2014!$A$2:$AY$326,45,FALSE)-VLOOKUP($A19,Hshldprojections2014!$A$2:$AY$326,35,FALSE))/10,IF(IndividualLATest!$J$7=2016,(VLOOKUP($A19,Hshldprojections2016!$A$1:$AQ$322,35,FALSE)-VLOOKUP($A19,Hshldprojections2016!$A$1:$AQ$322,25,FALSE))/10,(VLOOKUP($A19,Hshldprojections2018!$A$1:$AQ$327,35,FALSE)-VLOOKUP($A19,Hshldprojections2018!$A$1:$AQ$327,25,FALSE))/10))</f>
        <v>648.9</v>
      </c>
      <c r="AG19" s="267">
        <f>IF(IndividualLATest!$J$7=2014,(VLOOKUP($A19,Hshldprojections2014!$A$2:$AY$326,46,FALSE)-VLOOKUP($A19,Hshldprojections2014!$A$2:$AY$326,36,FALSE))/10,IF(IndividualLATest!$J$7=2016,(VLOOKUP($A19,Hshldprojections2016!$A$1:$AQ$322,36,FALSE)-VLOOKUP($A19,Hshldprojections2016!$A$1:$AQ$322,26,FALSE))/10,(VLOOKUP($A19,Hshldprojections2018!$A$1:$AQ$327,36,FALSE)-VLOOKUP($A19,Hshldprojections2018!$A$1:$AQ$327,26,FALSE))/10))</f>
        <v>640.6</v>
      </c>
      <c r="AH19" s="267">
        <f>IF(IndividualLATest!$J$7=2014,(VLOOKUP($A19,Hshldprojections2014!$A$2:$AY$326,47,FALSE)-VLOOKUP($A19,Hshldprojections2014!$A$2:$AY$326,37,FALSE))/10,IF(IndividualLATest!$J$7=2016,(VLOOKUP($A19,Hshldprojections2016!$A$1:$AQ$322,37,FALSE)-VLOOKUP($A19,Hshldprojections2016!$A$1:$AQ$322,27,FALSE))/10,(VLOOKUP($A19,Hshldprojections2018!$A$1:$AQ$327,37,FALSE)-VLOOKUP($A19,Hshldprojections2018!$A$1:$AQ$327,27,FALSE))/10))</f>
        <v>630.79999999999995</v>
      </c>
      <c r="AI19" s="268">
        <f>VLOOKUP($A19,AffordabilityRatio!$A$2:$I$321,5,FALSE)</f>
        <v>11.11</v>
      </c>
      <c r="AJ19" s="268">
        <f>VLOOKUP($A19,AffordabilityRatio!$A$2:$I$321,6,FALSE)</f>
        <v>10.85</v>
      </c>
      <c r="AK19" s="268">
        <f>VLOOKUP($A19,AffordabilityRatio!$A$2:$I$321,7,FALSE)</f>
        <v>10.199999999999999</v>
      </c>
      <c r="AL19" s="268">
        <f>IF((VLOOKUP($A19,AffordabilityRatio!$A$2:$I$321,8,FALSE))="",AK19,VLOOKUP($A19,AffordabilityRatio!$A$2:$I$321,8,FALSE))</f>
        <v>10.29</v>
      </c>
      <c r="AM19" s="268">
        <f>IF((VLOOKUP($A19,AffordabilityRatio!$A$2:$I$321,9,FALSE))="",AL19,VLOOKUP($A19,AffordabilityRatio!$A$2:$I$321,9,FALSE))</f>
        <v>12.15</v>
      </c>
      <c r="AN19" s="268">
        <f>IF((VLOOKUP($A19,AffordabilityRatio!$A$2:$I$321,9,FALSE))="",AM19,VLOOKUP($A19,AffordabilityRatio!$A$2:$I$321,9,FALSE))</f>
        <v>12.15</v>
      </c>
      <c r="AO19" s="268">
        <f>IF((VLOOKUP($A19,AffordabilityRatio!$A$2:$I$321,9,FALSE))="",AN19,VLOOKUP($A19,AffordabilityRatio!$A$2:$I$321,9,FALSE))</f>
        <v>12.15</v>
      </c>
      <c r="AP19" s="268">
        <f>IF((VLOOKUP($A19,AffordabilityRatio!$A$2:$I$321,9,FALSE))="",AO19,VLOOKUP($A19,AffordabilityRatio!$A$2:$I$321,9,FALSE))</f>
        <v>12.15</v>
      </c>
      <c r="AQ19" s="267">
        <f t="shared" si="24"/>
        <v>657</v>
      </c>
      <c r="AR19" s="267">
        <f t="shared" si="25"/>
        <v>655</v>
      </c>
      <c r="AS19" s="267">
        <f t="shared" si="26"/>
        <v>649</v>
      </c>
      <c r="AT19" s="267">
        <f t="shared" si="27"/>
        <v>913</v>
      </c>
      <c r="AU19" s="267">
        <f t="shared" si="28"/>
        <v>991</v>
      </c>
      <c r="AV19" s="267">
        <f t="shared" si="29"/>
        <v>979</v>
      </c>
      <c r="AW19" s="267">
        <f t="shared" si="30"/>
        <v>967</v>
      </c>
      <c r="AX19" s="267">
        <f t="shared" si="31"/>
        <v>952</v>
      </c>
      <c r="AY19" s="267">
        <f t="shared" si="32"/>
        <v>657</v>
      </c>
      <c r="AZ19" s="267">
        <f t="shared" si="33"/>
        <v>655</v>
      </c>
      <c r="BA19" s="267">
        <f t="shared" si="34"/>
        <v>649</v>
      </c>
      <c r="BB19" s="267">
        <f t="shared" si="35"/>
        <v>913</v>
      </c>
      <c r="BC19" s="267">
        <f t="shared" si="36"/>
        <v>991</v>
      </c>
      <c r="BD19" s="267">
        <f t="shared" si="37"/>
        <v>979</v>
      </c>
      <c r="BE19" s="267">
        <f t="shared" si="38"/>
        <v>967</v>
      </c>
      <c r="BF19" s="267">
        <f t="shared" si="39"/>
        <v>952</v>
      </c>
      <c r="BG19" s="269">
        <f>AY19*VLOOKUP($B19,'Major Cities &amp; Towns'!$A$28:$B$345,2,FALSE)</f>
        <v>657</v>
      </c>
      <c r="BH19" s="269">
        <f>AZ19*VLOOKUP($B19,'Major Cities &amp; Towns'!$A$28:$B$345,2,FALSE)</f>
        <v>655</v>
      </c>
      <c r="BI19" s="269">
        <f>BA19*VLOOKUP($B19,'Major Cities &amp; Towns'!$A$28:$B$345,2,FALSE)</f>
        <v>649</v>
      </c>
      <c r="BJ19" s="269">
        <f>BB19*VLOOKUP($B19,'Major Cities &amp; Towns'!$A$28:$B$345,2,FALSE)</f>
        <v>913</v>
      </c>
      <c r="BK19" s="269">
        <f>BC19*VLOOKUP($B19,'Major Cities &amp; Towns'!$A$28:$B$345,2,FALSE)</f>
        <v>991</v>
      </c>
      <c r="BL19" s="269">
        <f>BD19*VLOOKUP($B19,'Major Cities &amp; Towns'!$A$28:$B$345,2,FALSE)</f>
        <v>979</v>
      </c>
      <c r="BM19" s="269">
        <f>BE19*VLOOKUP($B19,'Major Cities &amp; Towns'!$A$28:$B$345,2,FALSE)</f>
        <v>967</v>
      </c>
      <c r="BN19" s="269">
        <f>BF19*VLOOKUP($B19,'Major Cities &amp; Towns'!$A$28:$B$345,2,FALSE)</f>
        <v>952</v>
      </c>
      <c r="BO19" s="270">
        <f t="shared" si="40"/>
        <v>657</v>
      </c>
      <c r="BP19" s="270">
        <f t="shared" si="41"/>
        <v>655</v>
      </c>
      <c r="BQ19" s="270">
        <f t="shared" si="42"/>
        <v>649</v>
      </c>
      <c r="BR19" s="270">
        <f t="shared" si="43"/>
        <v>913</v>
      </c>
      <c r="BS19" s="270">
        <f t="shared" si="44"/>
        <v>991</v>
      </c>
      <c r="BT19" s="270">
        <f t="shared" si="45"/>
        <v>979</v>
      </c>
      <c r="BU19" s="270">
        <f t="shared" si="46"/>
        <v>967</v>
      </c>
      <c r="BV19" s="270">
        <f t="shared" si="47"/>
        <v>952</v>
      </c>
      <c r="BW19" s="39">
        <f>VLOOKUP($A19,NetAdditions!$A$2:$H$336,6,FALSE)</f>
        <v>1040</v>
      </c>
      <c r="BX19" s="39">
        <f>VLOOKUP($A19,NetAdditions!$A$2:$H$336,7,FALSE)</f>
        <v>1167</v>
      </c>
      <c r="BY19" s="39">
        <f>IF((VLOOKUP($C19,NetAdditions!$A$2:$H$336,8,FALSE))="",(AVERAGE(VLOOKUP($C19,NetAdditions!$A$2:$H$336,5,FALSE),VLOOKUP($C19,NetAdditions!$A$2:$H$336,6,FALSE),VLOOKUP($C19,NetAdditions!$A$2:$H$336,7,FALSE))),VLOOKUP($C19,NetAdditions!$A$2:$H$336,8,FALSE))</f>
        <v>764</v>
      </c>
      <c r="BZ19" s="39">
        <f t="shared" si="48"/>
        <v>990.33333333333337</v>
      </c>
      <c r="CA19" s="39">
        <f t="shared" si="49"/>
        <v>973.77777777777783</v>
      </c>
      <c r="CB19" s="39">
        <f t="shared" si="50"/>
        <v>909.37037037037044</v>
      </c>
      <c r="CC19" s="39">
        <f t="shared" si="51"/>
        <v>957.82716049382725</v>
      </c>
      <c r="CD19" s="39">
        <f t="shared" si="52"/>
        <v>946.99176954732513</v>
      </c>
      <c r="CE19" s="276">
        <f t="shared" si="5"/>
        <v>1961</v>
      </c>
      <c r="CF19" s="276">
        <f t="shared" si="6"/>
        <v>2217</v>
      </c>
      <c r="CG19" s="276">
        <f t="shared" si="7"/>
        <v>2553</v>
      </c>
      <c r="CH19" s="276">
        <f t="shared" si="8"/>
        <v>2883</v>
      </c>
      <c r="CI19" s="276">
        <f t="shared" si="9"/>
        <v>2937</v>
      </c>
      <c r="CJ19" s="276">
        <f t="shared" si="10"/>
        <v>2898</v>
      </c>
      <c r="CK19" s="276">
        <f t="shared" si="53"/>
        <v>1688.6388888888889</v>
      </c>
      <c r="CL19" s="276">
        <f t="shared" si="54"/>
        <v>1909.0833333333335</v>
      </c>
      <c r="CM19" s="276">
        <f t="shared" si="55"/>
        <v>2340.25</v>
      </c>
      <c r="CN19" s="276">
        <f t="shared" si="56"/>
        <v>2883</v>
      </c>
      <c r="CO19" s="276">
        <f t="shared" si="57"/>
        <v>2937</v>
      </c>
      <c r="CP19" s="276">
        <f t="shared" si="58"/>
        <v>2898</v>
      </c>
      <c r="CQ19" s="39">
        <f t="shared" si="12"/>
        <v>2971</v>
      </c>
      <c r="CR19" s="39">
        <f t="shared" si="13"/>
        <v>2921.3333333333335</v>
      </c>
      <c r="CS19" s="277">
        <f t="shared" si="14"/>
        <v>2728.1111111111113</v>
      </c>
      <c r="CT19" s="39">
        <f t="shared" si="15"/>
        <v>2873.4814814814818</v>
      </c>
      <c r="CU19" s="39">
        <f t="shared" si="16"/>
        <v>2840.9753086419755</v>
      </c>
      <c r="CV19" s="39">
        <f t="shared" si="59"/>
        <v>2814.1893004115227</v>
      </c>
      <c r="CW19" s="297">
        <f t="shared" si="18"/>
        <v>1.7594051751081574</v>
      </c>
      <c r="CX19" s="279" t="str">
        <f t="shared" si="60"/>
        <v>Pass</v>
      </c>
      <c r="CY19" s="278">
        <f t="shared" si="19"/>
        <v>1.5302282945567245</v>
      </c>
      <c r="CZ19" s="279" t="str">
        <f t="shared" si="61"/>
        <v>Pass</v>
      </c>
      <c r="DA19" s="278">
        <f t="shared" si="20"/>
        <v>1.1657349048653398</v>
      </c>
      <c r="DB19" s="292" t="str">
        <f t="shared" si="62"/>
        <v>Pass</v>
      </c>
      <c r="DC19" s="299">
        <f t="shared" si="63"/>
        <v>0.99669839801646953</v>
      </c>
      <c r="DD19" s="293" t="str">
        <f t="shared" si="64"/>
        <v>Pass</v>
      </c>
      <c r="DE19" s="299">
        <f t="shared" si="65"/>
        <v>0.96730517829144558</v>
      </c>
      <c r="DF19" s="293" t="str">
        <f t="shared" si="66"/>
        <v>Pass</v>
      </c>
      <c r="DG19" s="299">
        <f t="shared" si="67"/>
        <v>0.97107981380659858</v>
      </c>
      <c r="DH19" s="293" t="str">
        <f t="shared" si="68"/>
        <v>Pass</v>
      </c>
    </row>
    <row r="20" spans="1:112" ht="15" thickTop="1" thickBot="1">
      <c r="A20" s="38" t="s">
        <v>148</v>
      </c>
      <c r="B20" s="38" t="s">
        <v>149</v>
      </c>
      <c r="C20" s="38" t="s">
        <v>148</v>
      </c>
      <c r="D20" s="38" t="s">
        <v>128</v>
      </c>
      <c r="E20" s="38" t="str">
        <f>VLOOKUP(C20,PoliticalControl!A:K,11,FALSE)</f>
        <v>NOC</v>
      </c>
      <c r="F20" s="38" t="str">
        <f>VLOOKUP(C20,UrbanRuralClassification!A:N,13,FALSE)</f>
        <v>Urban with Significant Rural (rural including hub towns 26-49%)</v>
      </c>
      <c r="G20" s="38" t="str">
        <f>VLOOKUP(C20,UrbanRuralClassification!A:N,14,FALSE)</f>
        <v>Urban with Significant Rural</v>
      </c>
      <c r="H20" s="258">
        <f>IF(ISBLANK((VLOOKUP($A20,'local-plan-data'!$C$1:$AD$566,27,FALSE)))=TRUE,"",VLOOKUP($A20,'local-plan-data'!$C$1:$AD$566,27,FALSE))</f>
        <v>43845</v>
      </c>
      <c r="I20" s="259">
        <f>VLOOKUP($A20,'local-plan-data'!$C$1:$AD$566,28,FALSE)</f>
        <v>970</v>
      </c>
      <c r="J20" s="260">
        <f t="shared" si="21"/>
        <v>970</v>
      </c>
      <c r="K20" s="259">
        <f t="shared" si="22"/>
        <v>970</v>
      </c>
      <c r="L20" s="259">
        <f t="shared" si="0"/>
        <v>970</v>
      </c>
      <c r="M20" s="259">
        <f t="shared" si="0"/>
        <v>970</v>
      </c>
      <c r="N20" s="259">
        <f t="shared" si="0"/>
        <v>970</v>
      </c>
      <c r="O20" s="259">
        <f t="shared" si="0"/>
        <v>970</v>
      </c>
      <c r="P20" s="259">
        <f t="shared" si="0"/>
        <v>970</v>
      </c>
      <c r="Q20" s="259">
        <f t="shared" si="0"/>
        <v>970</v>
      </c>
      <c r="R20" s="259" t="str">
        <f t="shared" si="0"/>
        <v>-</v>
      </c>
      <c r="S20" s="259">
        <f t="shared" si="23"/>
        <v>2481</v>
      </c>
      <c r="T20" s="259">
        <f t="shared" si="1"/>
        <v>2116</v>
      </c>
      <c r="U20" s="259">
        <f t="shared" si="1"/>
        <v>1750</v>
      </c>
      <c r="V20" s="259">
        <f t="shared" si="1"/>
        <v>1385</v>
      </c>
      <c r="W20" s="259">
        <f t="shared" si="1"/>
        <v>1020</v>
      </c>
      <c r="X20" s="259">
        <f t="shared" si="1"/>
        <v>655</v>
      </c>
      <c r="Y20" s="259">
        <f t="shared" si="1"/>
        <v>289</v>
      </c>
      <c r="Z20" s="259">
        <f t="shared" si="1"/>
        <v>-76</v>
      </c>
      <c r="AA20" s="267">
        <f>(VLOOKUP(A20,Hshldprojections2014!$A$2:$AW$319,40, FALSE)-VLOOKUP(A20,Hshldprojections2014!$A$2:$AW$319,30, FALSE))/10</f>
        <v>989.7</v>
      </c>
      <c r="AB20" s="267">
        <f>(VLOOKUP(A20,Hshldprojections2014!$A$2:$AW$319,41, FALSE)-VLOOKUP(A20,Hshldprojections2014!$A$2:$AW$319,31, FALSE))/10</f>
        <v>986.4</v>
      </c>
      <c r="AC20" s="267">
        <f>(VLOOKUP(A20,Hshldprojections2014!$A$2:$AW$319,42, FALSE)-VLOOKUP(A20,Hshldprojections2014!$A$2:$AW$319,32, FALSE))/10</f>
        <v>985.1</v>
      </c>
      <c r="AD20" s="267">
        <f>IF(IndividualLATest!$J$7=2014,(VLOOKUP($A20,Hshldprojections2014!$A$2:$AY$326,43,FALSE)-VLOOKUP($A20,Hshldprojections2014!$A$2:$AY$326,33,FALSE))/10,IF(IndividualLATest!$J$7=2016,(VLOOKUP($A20,Hshldprojections2016!$A$1:$AQ$322,33,FALSE)-VLOOKUP($A20,Hshldprojections2016!$A$1:$AQ$322,23,FALSE))/10,(VLOOKUP($A20,Hshldprojections2018!$A$1:$AQ$327,33,FALSE)-VLOOKUP($A20,Hshldprojections2018!$A$1:$AQ$327,23,FALSE))/10))</f>
        <v>615.70000000000005</v>
      </c>
      <c r="AE20" s="267">
        <f>IF(IndividualLATest!$J$7=2014,(VLOOKUP($A20,Hshldprojections2014!$A$2:$AY$326,44,FALSE)-VLOOKUP($A20,Hshldprojections2014!$A$2:$AY$326,34,FALSE))/10,IF(IndividualLATest!$J$7=2016,(VLOOKUP($A20,Hshldprojections2016!$A$1:$AQ$322,34,FALSE)-VLOOKUP($A20,Hshldprojections2016!$A$1:$AQ$322,24,FALSE))/10,(VLOOKUP($A20,Hshldprojections2018!$A$1:$AQ$327,34,FALSE)-VLOOKUP($A20,Hshldprojections2018!$A$1:$AQ$327,24,FALSE))/10))</f>
        <v>604.4</v>
      </c>
      <c r="AF20" s="267">
        <f>IF(IndividualLATest!$J$7=2014,(VLOOKUP($A20,Hshldprojections2014!$A$2:$AY$326,45,FALSE)-VLOOKUP($A20,Hshldprojections2014!$A$2:$AY$326,35,FALSE))/10,IF(IndividualLATest!$J$7=2016,(VLOOKUP($A20,Hshldprojections2016!$A$1:$AQ$322,35,FALSE)-VLOOKUP($A20,Hshldprojections2016!$A$1:$AQ$322,25,FALSE))/10,(VLOOKUP($A20,Hshldprojections2018!$A$1:$AQ$327,35,FALSE)-VLOOKUP($A20,Hshldprojections2018!$A$1:$AQ$327,25,FALSE))/10))</f>
        <v>594.4</v>
      </c>
      <c r="AG20" s="267">
        <f>IF(IndividualLATest!$J$7=2014,(VLOOKUP($A20,Hshldprojections2014!$A$2:$AY$326,46,FALSE)-VLOOKUP($A20,Hshldprojections2014!$A$2:$AY$326,36,FALSE))/10,IF(IndividualLATest!$J$7=2016,(VLOOKUP($A20,Hshldprojections2016!$A$1:$AQ$322,36,FALSE)-VLOOKUP($A20,Hshldprojections2016!$A$1:$AQ$322,26,FALSE))/10,(VLOOKUP($A20,Hshldprojections2018!$A$1:$AQ$327,36,FALSE)-VLOOKUP($A20,Hshldprojections2018!$A$1:$AQ$327,26,FALSE))/10))</f>
        <v>585.9</v>
      </c>
      <c r="AH20" s="267">
        <f>IF(IndividualLATest!$J$7=2014,(VLOOKUP($A20,Hshldprojections2014!$A$2:$AY$326,47,FALSE)-VLOOKUP($A20,Hshldprojections2014!$A$2:$AY$326,37,FALSE))/10,IF(IndividualLATest!$J$7=2016,(VLOOKUP($A20,Hshldprojections2016!$A$1:$AQ$322,37,FALSE)-VLOOKUP($A20,Hshldprojections2016!$A$1:$AQ$322,27,FALSE))/10,(VLOOKUP($A20,Hshldprojections2018!$A$1:$AQ$327,37,FALSE)-VLOOKUP($A20,Hshldprojections2018!$A$1:$AQ$327,27,FALSE))/10))</f>
        <v>576.70000000000005</v>
      </c>
      <c r="AI20" s="268">
        <f>VLOOKUP($A20,AffordabilityRatio!$A$2:$I$321,5,FALSE)</f>
        <v>9.35</v>
      </c>
      <c r="AJ20" s="268">
        <f>VLOOKUP($A20,AffordabilityRatio!$A$2:$I$321,6,FALSE)</f>
        <v>9.83</v>
      </c>
      <c r="AK20" s="268">
        <f>VLOOKUP($A20,AffordabilityRatio!$A$2:$I$321,7,FALSE)</f>
        <v>9.0399999999999991</v>
      </c>
      <c r="AL20" s="268">
        <f>IF((VLOOKUP($A20,AffordabilityRatio!$A$2:$I$321,8,FALSE))="",AK20,VLOOKUP($A20,AffordabilityRatio!$A$2:$I$321,8,FALSE))</f>
        <v>8.92</v>
      </c>
      <c r="AM20" s="268">
        <f>IF((VLOOKUP($A20,AffordabilityRatio!$A$2:$I$321,9,FALSE))="",AL20,VLOOKUP($A20,AffordabilityRatio!$A$2:$I$321,9,FALSE))</f>
        <v>10.19</v>
      </c>
      <c r="AN20" s="268">
        <f>IF((VLOOKUP($A20,AffordabilityRatio!$A$2:$I$321,9,FALSE))="",AM20,VLOOKUP($A20,AffordabilityRatio!$A$2:$I$321,9,FALSE))</f>
        <v>10.19</v>
      </c>
      <c r="AO20" s="268">
        <f>IF((VLOOKUP($A20,AffordabilityRatio!$A$2:$I$321,9,FALSE))="",AN20,VLOOKUP($A20,AffordabilityRatio!$A$2:$I$321,9,FALSE))</f>
        <v>10.19</v>
      </c>
      <c r="AP20" s="268">
        <f>IF((VLOOKUP($A20,AffordabilityRatio!$A$2:$I$321,9,FALSE))="",AO20,VLOOKUP($A20,AffordabilityRatio!$A$2:$I$321,9,FALSE))</f>
        <v>10.19</v>
      </c>
      <c r="AQ20" s="267">
        <f t="shared" si="24"/>
        <v>1321</v>
      </c>
      <c r="AR20" s="267">
        <f t="shared" si="25"/>
        <v>1346</v>
      </c>
      <c r="AS20" s="267">
        <f t="shared" si="26"/>
        <v>1295</v>
      </c>
      <c r="AT20" s="267">
        <f t="shared" si="27"/>
        <v>805</v>
      </c>
      <c r="AU20" s="267">
        <f t="shared" si="28"/>
        <v>838</v>
      </c>
      <c r="AV20" s="267">
        <f t="shared" si="29"/>
        <v>824</v>
      </c>
      <c r="AW20" s="267">
        <f t="shared" si="30"/>
        <v>813</v>
      </c>
      <c r="AX20" s="267">
        <f t="shared" si="31"/>
        <v>800</v>
      </c>
      <c r="AY20" s="267">
        <f t="shared" si="32"/>
        <v>1321</v>
      </c>
      <c r="AZ20" s="267">
        <f t="shared" si="33"/>
        <v>1346</v>
      </c>
      <c r="BA20" s="267">
        <f t="shared" si="34"/>
        <v>1295</v>
      </c>
      <c r="BB20" s="267">
        <f t="shared" si="35"/>
        <v>805</v>
      </c>
      <c r="BC20" s="267">
        <f t="shared" si="36"/>
        <v>838</v>
      </c>
      <c r="BD20" s="267">
        <f t="shared" si="37"/>
        <v>824</v>
      </c>
      <c r="BE20" s="267">
        <f t="shared" si="38"/>
        <v>813</v>
      </c>
      <c r="BF20" s="267">
        <f t="shared" si="39"/>
        <v>800</v>
      </c>
      <c r="BG20" s="269">
        <f>AY20*VLOOKUP($B20,'Major Cities &amp; Towns'!$A$28:$B$345,2,FALSE)</f>
        <v>1321</v>
      </c>
      <c r="BH20" s="269">
        <f>AZ20*VLOOKUP($B20,'Major Cities &amp; Towns'!$A$28:$B$345,2,FALSE)</f>
        <v>1346</v>
      </c>
      <c r="BI20" s="269">
        <f>BA20*VLOOKUP($B20,'Major Cities &amp; Towns'!$A$28:$B$345,2,FALSE)</f>
        <v>1295</v>
      </c>
      <c r="BJ20" s="269">
        <f>BB20*VLOOKUP($B20,'Major Cities &amp; Towns'!$A$28:$B$345,2,FALSE)</f>
        <v>805</v>
      </c>
      <c r="BK20" s="269">
        <f>BC20*VLOOKUP($B20,'Major Cities &amp; Towns'!$A$28:$B$345,2,FALSE)</f>
        <v>838</v>
      </c>
      <c r="BL20" s="269">
        <f>BD20*VLOOKUP($B20,'Major Cities &amp; Towns'!$A$28:$B$345,2,FALSE)</f>
        <v>824</v>
      </c>
      <c r="BM20" s="269">
        <f>BE20*VLOOKUP($B20,'Major Cities &amp; Towns'!$A$28:$B$345,2,FALSE)</f>
        <v>813</v>
      </c>
      <c r="BN20" s="269">
        <f>BF20*VLOOKUP($B20,'Major Cities &amp; Towns'!$A$28:$B$345,2,FALSE)</f>
        <v>800</v>
      </c>
      <c r="BO20" s="270">
        <f t="shared" si="40"/>
        <v>970</v>
      </c>
      <c r="BP20" s="270">
        <f t="shared" si="41"/>
        <v>970</v>
      </c>
      <c r="BQ20" s="270">
        <f t="shared" si="42"/>
        <v>970</v>
      </c>
      <c r="BR20" s="270">
        <f t="shared" si="43"/>
        <v>805</v>
      </c>
      <c r="BS20" s="270">
        <f t="shared" si="44"/>
        <v>838</v>
      </c>
      <c r="BT20" s="270">
        <f t="shared" si="45"/>
        <v>824</v>
      </c>
      <c r="BU20" s="270">
        <f t="shared" si="46"/>
        <v>813</v>
      </c>
      <c r="BV20" s="270">
        <f t="shared" si="47"/>
        <v>800</v>
      </c>
      <c r="BW20" s="39">
        <f>VLOOKUP($A20,NetAdditions!$A$2:$H$336,6,FALSE)</f>
        <v>1359</v>
      </c>
      <c r="BX20" s="39">
        <f>VLOOKUP($A20,NetAdditions!$A$2:$H$336,7,FALSE)</f>
        <v>1026</v>
      </c>
      <c r="BY20" s="39">
        <f>IF((VLOOKUP($C20,NetAdditions!$A$2:$H$336,8,FALSE))="",(AVERAGE(VLOOKUP($C20,NetAdditions!$A$2:$H$336,5,FALSE),VLOOKUP($C20,NetAdditions!$A$2:$H$336,6,FALSE),VLOOKUP($C20,NetAdditions!$A$2:$H$336,7,FALSE))),VLOOKUP($C20,NetAdditions!$A$2:$H$336,8,FALSE))</f>
        <v>1199</v>
      </c>
      <c r="BZ20" s="39">
        <f t="shared" si="48"/>
        <v>1194.6666666666667</v>
      </c>
      <c r="CA20" s="39">
        <f t="shared" si="49"/>
        <v>1139.8888888888889</v>
      </c>
      <c r="CB20" s="39">
        <f t="shared" si="50"/>
        <v>1177.851851851852</v>
      </c>
      <c r="CC20" s="39">
        <f t="shared" si="51"/>
        <v>1170.8024691358025</v>
      </c>
      <c r="CD20" s="39">
        <f t="shared" si="52"/>
        <v>1162.8477366255145</v>
      </c>
      <c r="CE20" s="276">
        <f t="shared" si="5"/>
        <v>2910</v>
      </c>
      <c r="CF20" s="276">
        <f t="shared" si="6"/>
        <v>2745</v>
      </c>
      <c r="CG20" s="276">
        <f t="shared" si="7"/>
        <v>2613</v>
      </c>
      <c r="CH20" s="276">
        <f t="shared" si="8"/>
        <v>2467</v>
      </c>
      <c r="CI20" s="276">
        <f t="shared" si="9"/>
        <v>2475</v>
      </c>
      <c r="CJ20" s="276">
        <f t="shared" si="10"/>
        <v>2437</v>
      </c>
      <c r="CK20" s="276">
        <f t="shared" si="53"/>
        <v>2505.8333333333335</v>
      </c>
      <c r="CL20" s="276">
        <f t="shared" si="54"/>
        <v>2363.75</v>
      </c>
      <c r="CM20" s="276">
        <f t="shared" si="55"/>
        <v>2395.25</v>
      </c>
      <c r="CN20" s="276">
        <f t="shared" si="56"/>
        <v>2467</v>
      </c>
      <c r="CO20" s="276">
        <f t="shared" si="57"/>
        <v>2475</v>
      </c>
      <c r="CP20" s="276">
        <f t="shared" si="58"/>
        <v>2437</v>
      </c>
      <c r="CQ20" s="39">
        <f t="shared" si="12"/>
        <v>3584</v>
      </c>
      <c r="CR20" s="39">
        <f t="shared" si="13"/>
        <v>3419.666666666667</v>
      </c>
      <c r="CS20" s="277">
        <f t="shared" si="14"/>
        <v>3533.5555555555557</v>
      </c>
      <c r="CT20" s="39">
        <f t="shared" si="15"/>
        <v>3512.4074074074078</v>
      </c>
      <c r="CU20" s="39">
        <f t="shared" si="16"/>
        <v>3488.5432098765432</v>
      </c>
      <c r="CV20" s="39">
        <f t="shared" si="59"/>
        <v>3511.5020576131692</v>
      </c>
      <c r="CW20" s="297">
        <f t="shared" si="18"/>
        <v>1.4302627203192551</v>
      </c>
      <c r="CX20" s="279" t="str">
        <f t="shared" si="60"/>
        <v>Pass</v>
      </c>
      <c r="CY20" s="278">
        <f t="shared" si="19"/>
        <v>1.4467124977965804</v>
      </c>
      <c r="CZ20" s="279" t="str">
        <f t="shared" si="61"/>
        <v>Pass</v>
      </c>
      <c r="DA20" s="278">
        <f t="shared" si="20"/>
        <v>1.4752345498614157</v>
      </c>
      <c r="DB20" s="292" t="str">
        <f t="shared" si="62"/>
        <v>Pass</v>
      </c>
      <c r="DC20" s="299">
        <f t="shared" si="63"/>
        <v>1.4237565494152444</v>
      </c>
      <c r="DD20" s="293" t="str">
        <f t="shared" si="64"/>
        <v>Pass</v>
      </c>
      <c r="DE20" s="299">
        <f t="shared" si="65"/>
        <v>1.4095124080309265</v>
      </c>
      <c r="DF20" s="293" t="str">
        <f t="shared" si="66"/>
        <v>Pass</v>
      </c>
      <c r="DG20" s="299">
        <f t="shared" si="67"/>
        <v>1.4409118004157444</v>
      </c>
      <c r="DH20" s="293" t="str">
        <f t="shared" si="68"/>
        <v>Pass</v>
      </c>
    </row>
    <row r="21" spans="1:112" customFormat="1" ht="15.5" thickTop="1" thickBot="1">
      <c r="A21" s="3" t="s">
        <v>150</v>
      </c>
      <c r="B21" s="3" t="s">
        <v>151</v>
      </c>
      <c r="C21" s="3" t="s">
        <v>150</v>
      </c>
      <c r="D21" s="3" t="s">
        <v>131</v>
      </c>
      <c r="E21" s="3" t="str">
        <f>VLOOKUP(C21,PoliticalControl!A:K,11,FALSE)</f>
        <v>CON</v>
      </c>
      <c r="F21" s="3" t="str">
        <f>VLOOKUP(C21,UrbanRuralClassification!A:N,13,FALSE)</f>
        <v>Urban with Major Conurbation</v>
      </c>
      <c r="G21" s="3" t="str">
        <f>VLOOKUP(C21,UrbanRuralClassification!A:N,14,FALSE)</f>
        <v>Predominantly Urban</v>
      </c>
      <c r="H21" s="262">
        <f>IF(ISBLANK((VLOOKUP($A21,'local-plan-data'!$C$1:$AD$566,27,FALSE)))=TRUE,"",VLOOKUP($A21,'local-plan-data'!$C$1:$AD$566,27,FALSE))</f>
        <v>40961</v>
      </c>
      <c r="I21" s="263">
        <f>VLOOKUP($A21,'local-plan-data'!$C$1:$AD$566,28,FALSE)</f>
        <v>335</v>
      </c>
      <c r="J21" s="264">
        <f t="shared" si="21"/>
        <v>335</v>
      </c>
      <c r="K21" s="259" t="str">
        <f t="shared" si="22"/>
        <v>-</v>
      </c>
      <c r="L21" s="259" t="str">
        <f t="shared" si="22"/>
        <v>-</v>
      </c>
      <c r="M21" s="259" t="str">
        <f t="shared" si="22"/>
        <v>-</v>
      </c>
      <c r="N21" s="259" t="str">
        <f t="shared" si="22"/>
        <v>-</v>
      </c>
      <c r="O21" s="259" t="str">
        <f t="shared" si="22"/>
        <v>-</v>
      </c>
      <c r="P21" s="259" t="str">
        <f t="shared" si="22"/>
        <v>-</v>
      </c>
      <c r="Q21" s="259" t="str">
        <f t="shared" si="22"/>
        <v>-</v>
      </c>
      <c r="R21" s="259" t="str">
        <f t="shared" si="22"/>
        <v>-</v>
      </c>
      <c r="S21" s="259">
        <f t="shared" si="23"/>
        <v>-403</v>
      </c>
      <c r="T21" s="259">
        <f t="shared" si="23"/>
        <v>-768</v>
      </c>
      <c r="U21" s="259">
        <f t="shared" si="23"/>
        <v>-1134</v>
      </c>
      <c r="V21" s="259">
        <f t="shared" si="23"/>
        <v>-1499</v>
      </c>
      <c r="W21" s="259">
        <f t="shared" si="23"/>
        <v>-1864</v>
      </c>
      <c r="X21" s="259">
        <f t="shared" si="23"/>
        <v>-2229</v>
      </c>
      <c r="Y21" s="259">
        <f t="shared" si="23"/>
        <v>-2595</v>
      </c>
      <c r="Z21" s="259">
        <f t="shared" si="23"/>
        <v>-2960</v>
      </c>
      <c r="AA21" s="267">
        <f>(VLOOKUP(A21,Hshldprojections2014!$A$2:$AW$319,40, FALSE)-VLOOKUP(A21,Hshldprojections2014!$A$2:$AW$319,30, FALSE))/10</f>
        <v>1256.4000000000001</v>
      </c>
      <c r="AB21" s="267">
        <f>(VLOOKUP(A21,Hshldprojections2014!$A$2:$AW$319,41, FALSE)-VLOOKUP(A21,Hshldprojections2014!$A$2:$AW$319,31, FALSE))/10</f>
        <v>1259.7</v>
      </c>
      <c r="AC21" s="267">
        <f>(VLOOKUP(A21,Hshldprojections2014!$A$2:$AW$319,42, FALSE)-VLOOKUP(A21,Hshldprojections2014!$A$2:$AW$319,32, FALSE))/10</f>
        <v>1266.5999999999999</v>
      </c>
      <c r="AD21" s="267">
        <f>IF(IndividualLATest!$J$7=2014,(VLOOKUP($A21,Hshldprojections2014!$A$2:$AY$326,43,FALSE)-VLOOKUP($A21,Hshldprojections2014!$A$2:$AY$326,33,FALSE))/10,IF(IndividualLATest!$J$7=2016,(VLOOKUP($A21,Hshldprojections2016!$A$1:$AQ$322,33,FALSE)-VLOOKUP($A21,Hshldprojections2016!$A$1:$AQ$322,23,FALSE))/10,(VLOOKUP($A21,Hshldprojections2018!$A$1:$AQ$327,33,FALSE)-VLOOKUP($A21,Hshldprojections2018!$A$1:$AQ$327,23,FALSE))/10))</f>
        <v>723.5</v>
      </c>
      <c r="AE21" s="267">
        <f>IF(IndividualLATest!$J$7=2014,(VLOOKUP($A21,Hshldprojections2014!$A$2:$AY$326,44,FALSE)-VLOOKUP($A21,Hshldprojections2014!$A$2:$AY$326,34,FALSE))/10,IF(IndividualLATest!$J$7=2016,(VLOOKUP($A21,Hshldprojections2016!$A$1:$AQ$322,34,FALSE)-VLOOKUP($A21,Hshldprojections2016!$A$1:$AQ$322,24,FALSE))/10,(VLOOKUP($A21,Hshldprojections2018!$A$1:$AQ$327,34,FALSE)-VLOOKUP($A21,Hshldprojections2018!$A$1:$AQ$327,24,FALSE))/10))</f>
        <v>720.1</v>
      </c>
      <c r="AF21" s="267">
        <f>IF(IndividualLATest!$J$7=2014,(VLOOKUP($A21,Hshldprojections2014!$A$2:$AY$326,45,FALSE)-VLOOKUP($A21,Hshldprojections2014!$A$2:$AY$326,35,FALSE))/10,IF(IndividualLATest!$J$7=2016,(VLOOKUP($A21,Hshldprojections2016!$A$1:$AQ$322,35,FALSE)-VLOOKUP($A21,Hshldprojections2016!$A$1:$AQ$322,25,FALSE))/10,(VLOOKUP($A21,Hshldprojections2018!$A$1:$AQ$327,35,FALSE)-VLOOKUP($A21,Hshldprojections2018!$A$1:$AQ$327,25,FALSE))/10))</f>
        <v>718</v>
      </c>
      <c r="AG21" s="267">
        <f>IF(IndividualLATest!$J$7=2014,(VLOOKUP($A21,Hshldprojections2014!$A$2:$AY$326,46,FALSE)-VLOOKUP($A21,Hshldprojections2014!$A$2:$AY$326,36,FALSE))/10,IF(IndividualLATest!$J$7=2016,(VLOOKUP($A21,Hshldprojections2016!$A$1:$AQ$322,36,FALSE)-VLOOKUP($A21,Hshldprojections2016!$A$1:$AQ$322,26,FALSE))/10,(VLOOKUP($A21,Hshldprojections2018!$A$1:$AQ$327,36,FALSE)-VLOOKUP($A21,Hshldprojections2018!$A$1:$AQ$327,26,FALSE))/10))</f>
        <v>718.8</v>
      </c>
      <c r="AH21" s="267">
        <f>IF(IndividualLATest!$J$7=2014,(VLOOKUP($A21,Hshldprojections2014!$A$2:$AY$326,47,FALSE)-VLOOKUP($A21,Hshldprojections2014!$A$2:$AY$326,37,FALSE))/10,IF(IndividualLATest!$J$7=2016,(VLOOKUP($A21,Hshldprojections2016!$A$1:$AQ$322,37,FALSE)-VLOOKUP($A21,Hshldprojections2016!$A$1:$AQ$322,27,FALSE))/10,(VLOOKUP($A21,Hshldprojections2018!$A$1:$AQ$327,37,FALSE)-VLOOKUP($A21,Hshldprojections2018!$A$1:$AQ$327,27,FALSE))/10))</f>
        <v>722.2</v>
      </c>
      <c r="AI21" s="268">
        <f>VLOOKUP($A21,AffordabilityRatio!$A$2:$I$321,5,FALSE)</f>
        <v>10.9</v>
      </c>
      <c r="AJ21" s="268">
        <f>VLOOKUP($A21,AffordabilityRatio!$A$2:$I$321,6,FALSE)</f>
        <v>11.34</v>
      </c>
      <c r="AK21" s="268">
        <f>VLOOKUP($A21,AffordabilityRatio!$A$2:$I$321,7,FALSE)</f>
        <v>11.21</v>
      </c>
      <c r="AL21" s="268">
        <f>IF((VLOOKUP($A21,AffordabilityRatio!$A$2:$I$321,8,FALSE))="",AK21,VLOOKUP($A21,AffordabilityRatio!$A$2:$I$321,8,FALSE))</f>
        <v>11.56</v>
      </c>
      <c r="AM21" s="268">
        <f>IF((VLOOKUP($A21,AffordabilityRatio!$A$2:$I$321,9,FALSE))="",AL21,VLOOKUP($A21,AffordabilityRatio!$A$2:$I$321,9,FALSE))</f>
        <v>13.26</v>
      </c>
      <c r="AN21" s="268">
        <f>IF((VLOOKUP($A21,AffordabilityRatio!$A$2:$I$321,9,FALSE))="",AM21,VLOOKUP($A21,AffordabilityRatio!$A$2:$I$321,9,FALSE))</f>
        <v>13.26</v>
      </c>
      <c r="AO21" s="268">
        <f>IF((VLOOKUP($A21,AffordabilityRatio!$A$2:$I$321,9,FALSE))="",AN21,VLOOKUP($A21,AffordabilityRatio!$A$2:$I$321,9,FALSE))</f>
        <v>13.26</v>
      </c>
      <c r="AP21" s="268">
        <f>IF((VLOOKUP($A21,AffordabilityRatio!$A$2:$I$321,9,FALSE))="",AO21,VLOOKUP($A21,AffordabilityRatio!$A$2:$I$321,9,FALSE))</f>
        <v>13.26</v>
      </c>
      <c r="AQ21" s="267">
        <f t="shared" si="24"/>
        <v>1798</v>
      </c>
      <c r="AR21" s="267">
        <f t="shared" si="25"/>
        <v>1838</v>
      </c>
      <c r="AS21" s="267">
        <f t="shared" si="26"/>
        <v>1837</v>
      </c>
      <c r="AT21" s="267">
        <f t="shared" si="27"/>
        <v>1065</v>
      </c>
      <c r="AU21" s="267">
        <f t="shared" si="28"/>
        <v>1137</v>
      </c>
      <c r="AV21" s="267">
        <f t="shared" si="29"/>
        <v>1134</v>
      </c>
      <c r="AW21" s="267">
        <f t="shared" si="30"/>
        <v>1135</v>
      </c>
      <c r="AX21" s="267">
        <f t="shared" si="31"/>
        <v>1140</v>
      </c>
      <c r="AY21" s="267">
        <f t="shared" si="32"/>
        <v>1758.96</v>
      </c>
      <c r="AZ21" s="267">
        <f t="shared" si="33"/>
        <v>1763.5800000000002</v>
      </c>
      <c r="BA21" s="267">
        <f t="shared" si="34"/>
        <v>1773.2399999999998</v>
      </c>
      <c r="BB21" s="267">
        <f t="shared" si="35"/>
        <v>1012.9000000000001</v>
      </c>
      <c r="BC21" s="267">
        <f t="shared" si="36"/>
        <v>1008.1400000000001</v>
      </c>
      <c r="BD21" s="267">
        <f t="shared" si="37"/>
        <v>1005.2</v>
      </c>
      <c r="BE21" s="267">
        <f t="shared" si="38"/>
        <v>1006.3199999999999</v>
      </c>
      <c r="BF21" s="267">
        <f t="shared" si="39"/>
        <v>1011.0800000000002</v>
      </c>
      <c r="BG21" s="269">
        <f>AY21*VLOOKUP($B21,'Major Cities &amp; Towns'!$A$28:$B$345,2,FALSE)</f>
        <v>2374.596</v>
      </c>
      <c r="BH21" s="269">
        <f>AZ21*VLOOKUP($B21,'Major Cities &amp; Towns'!$A$28:$B$345,2,FALSE)</f>
        <v>2380.8330000000005</v>
      </c>
      <c r="BI21" s="269">
        <f>BA21*VLOOKUP($B21,'Major Cities &amp; Towns'!$A$28:$B$345,2,FALSE)</f>
        <v>2393.8739999999998</v>
      </c>
      <c r="BJ21" s="269">
        <f>BB21*VLOOKUP($B21,'Major Cities &amp; Towns'!$A$28:$B$345,2,FALSE)</f>
        <v>1367.4150000000002</v>
      </c>
      <c r="BK21" s="269">
        <f>BC21*VLOOKUP($B21,'Major Cities &amp; Towns'!$A$28:$B$345,2,FALSE)</f>
        <v>1360.9890000000003</v>
      </c>
      <c r="BL21" s="269">
        <f>BD21*VLOOKUP($B21,'Major Cities &amp; Towns'!$A$28:$B$345,2,FALSE)</f>
        <v>1357.0200000000002</v>
      </c>
      <c r="BM21" s="269">
        <f>BE21*VLOOKUP($B21,'Major Cities &amp; Towns'!$A$28:$B$345,2,FALSE)</f>
        <v>1358.5319999999999</v>
      </c>
      <c r="BN21" s="269">
        <f>BF21*VLOOKUP($B21,'Major Cities &amp; Towns'!$A$28:$B$345,2,FALSE)</f>
        <v>1364.9580000000003</v>
      </c>
      <c r="BO21" s="270">
        <f t="shared" si="40"/>
        <v>1798</v>
      </c>
      <c r="BP21" s="270">
        <f t="shared" si="41"/>
        <v>1838</v>
      </c>
      <c r="BQ21" s="270">
        <f t="shared" si="42"/>
        <v>1837</v>
      </c>
      <c r="BR21" s="270">
        <f t="shared" si="43"/>
        <v>1065</v>
      </c>
      <c r="BS21" s="270">
        <f t="shared" si="44"/>
        <v>1137</v>
      </c>
      <c r="BT21" s="270">
        <f t="shared" si="45"/>
        <v>1134</v>
      </c>
      <c r="BU21" s="270">
        <f t="shared" si="46"/>
        <v>1135</v>
      </c>
      <c r="BV21" s="270">
        <f t="shared" si="47"/>
        <v>1140</v>
      </c>
      <c r="BW21" s="39">
        <f>VLOOKUP($A21,NetAdditions!$A$2:$H$336,6,FALSE)</f>
        <v>486</v>
      </c>
      <c r="BX21" s="39">
        <f>VLOOKUP($A21,NetAdditions!$A$2:$H$336,7,FALSE)</f>
        <v>208</v>
      </c>
      <c r="BY21" s="39">
        <f>IF((VLOOKUP($C21,NetAdditions!$A$2:$H$336,8,FALSE))="",(AVERAGE(VLOOKUP($C21,NetAdditions!$A$2:$H$336,5,FALSE),VLOOKUP($C21,NetAdditions!$A$2:$H$336,6,FALSE),VLOOKUP($C21,NetAdditions!$A$2:$H$336,7,FALSE))),VLOOKUP($C21,NetAdditions!$A$2:$H$336,8,FALSE))</f>
        <v>632</v>
      </c>
      <c r="BZ21" s="39">
        <f t="shared" si="48"/>
        <v>442</v>
      </c>
      <c r="CA21" s="39">
        <f t="shared" si="49"/>
        <v>427.33333333333331</v>
      </c>
      <c r="CB21" s="39">
        <f t="shared" si="50"/>
        <v>500.4444444444444</v>
      </c>
      <c r="CC21" s="39">
        <f t="shared" si="51"/>
        <v>456.59259259259255</v>
      </c>
      <c r="CD21" s="39">
        <f t="shared" si="52"/>
        <v>461.45679012345676</v>
      </c>
      <c r="CE21" s="276">
        <f t="shared" si="5"/>
        <v>5473</v>
      </c>
      <c r="CF21" s="276">
        <f t="shared" si="6"/>
        <v>4740</v>
      </c>
      <c r="CG21" s="276">
        <f t="shared" si="7"/>
        <v>4039</v>
      </c>
      <c r="CH21" s="276">
        <f t="shared" si="8"/>
        <v>3336</v>
      </c>
      <c r="CI21" s="276">
        <f t="shared" si="9"/>
        <v>3406</v>
      </c>
      <c r="CJ21" s="276">
        <f t="shared" si="10"/>
        <v>3409</v>
      </c>
      <c r="CK21" s="276">
        <f t="shared" si="53"/>
        <v>4712.8611111111113</v>
      </c>
      <c r="CL21" s="276">
        <f t="shared" si="54"/>
        <v>4081.666666666667</v>
      </c>
      <c r="CM21" s="276">
        <f t="shared" si="55"/>
        <v>3702.4166666666665</v>
      </c>
      <c r="CN21" s="276">
        <f t="shared" si="56"/>
        <v>3336</v>
      </c>
      <c r="CO21" s="276">
        <f t="shared" si="57"/>
        <v>3406</v>
      </c>
      <c r="CP21" s="276">
        <f t="shared" si="58"/>
        <v>3409</v>
      </c>
      <c r="CQ21" s="39">
        <f t="shared" si="12"/>
        <v>1326</v>
      </c>
      <c r="CR21" s="39">
        <f t="shared" si="13"/>
        <v>1282</v>
      </c>
      <c r="CS21" s="277">
        <f t="shared" si="14"/>
        <v>1501.3333333333333</v>
      </c>
      <c r="CT21" s="39">
        <f t="shared" si="15"/>
        <v>1369.7777777777776</v>
      </c>
      <c r="CU21" s="39">
        <f t="shared" si="16"/>
        <v>1384.3703703703702</v>
      </c>
      <c r="CV21" s="39">
        <f t="shared" si="59"/>
        <v>1418.4938271604938</v>
      </c>
      <c r="CW21" s="297">
        <f t="shared" si="18"/>
        <v>0.28135775036395677</v>
      </c>
      <c r="CX21" s="279" t="str">
        <f t="shared" si="60"/>
        <v>Buffer and Action Plan</v>
      </c>
      <c r="CY21" s="278">
        <f t="shared" si="19"/>
        <v>0.31408738260514496</v>
      </c>
      <c r="CZ21" s="279" t="str">
        <f t="shared" si="61"/>
        <v>Presumption</v>
      </c>
      <c r="DA21" s="278">
        <f t="shared" si="20"/>
        <v>0.40550091156676943</v>
      </c>
      <c r="DB21" s="292" t="str">
        <f t="shared" si="62"/>
        <v>Presumption</v>
      </c>
      <c r="DC21" s="299">
        <f t="shared" si="63"/>
        <v>0.41060484945377024</v>
      </c>
      <c r="DD21" s="293" t="str">
        <f t="shared" si="64"/>
        <v>Presumption</v>
      </c>
      <c r="DE21" s="299">
        <f t="shared" si="65"/>
        <v>0.40645049041995601</v>
      </c>
      <c r="DF21" s="293" t="str">
        <f t="shared" si="66"/>
        <v>Presumption</v>
      </c>
      <c r="DG21" s="299">
        <f t="shared" si="67"/>
        <v>0.41610261870357695</v>
      </c>
      <c r="DH21" s="293" t="str">
        <f t="shared" si="68"/>
        <v>Presumption</v>
      </c>
    </row>
    <row r="22" spans="1:112" ht="15" thickTop="1" thickBot="1">
      <c r="A22" s="38" t="s">
        <v>152</v>
      </c>
      <c r="B22" s="38" t="s">
        <v>153</v>
      </c>
      <c r="C22" s="38" t="s">
        <v>152</v>
      </c>
      <c r="D22" s="38" t="s">
        <v>154</v>
      </c>
      <c r="E22" s="38" t="str">
        <f>VLOOKUP(C22,PoliticalControl!A:K,11,FALSE)</f>
        <v>LAB</v>
      </c>
      <c r="F22" s="38" t="str">
        <f>VLOOKUP(C22,UrbanRuralClassification!A:N,13,FALSE)</f>
        <v>Urban with Major Conurbation</v>
      </c>
      <c r="G22" s="38" t="str">
        <f>VLOOKUP(C22,UrbanRuralClassification!A:N,14,FALSE)</f>
        <v>Predominantly Urban</v>
      </c>
      <c r="H22" s="258">
        <f>IF(ISBLANK((VLOOKUP($A22,'local-plan-data'!$C$1:$AD$566,27,FALSE)))=TRUE,"",VLOOKUP($A22,'local-plan-data'!$C$1:$AD$566,27,FALSE))</f>
        <v>42745</v>
      </c>
      <c r="I22" s="259">
        <f>VLOOKUP($A22,'local-plan-data'!$C$1:$AD$566,28,FALSE)</f>
        <v>2555</v>
      </c>
      <c r="J22" s="260">
        <f t="shared" si="21"/>
        <v>2555</v>
      </c>
      <c r="K22" s="259">
        <f t="shared" si="22"/>
        <v>2555</v>
      </c>
      <c r="L22" s="259">
        <f t="shared" si="22"/>
        <v>2555</v>
      </c>
      <c r="M22" s="259">
        <f t="shared" si="22"/>
        <v>2555</v>
      </c>
      <c r="N22" s="259">
        <f t="shared" si="22"/>
        <v>2555</v>
      </c>
      <c r="O22" s="259" t="str">
        <f t="shared" si="22"/>
        <v>-</v>
      </c>
      <c r="P22" s="259" t="str">
        <f t="shared" si="22"/>
        <v>-</v>
      </c>
      <c r="Q22" s="259" t="str">
        <f t="shared" si="22"/>
        <v>-</v>
      </c>
      <c r="R22" s="259" t="str">
        <f t="shared" si="22"/>
        <v>-</v>
      </c>
      <c r="S22" s="259">
        <f t="shared" si="23"/>
        <v>1380</v>
      </c>
      <c r="T22" s="259">
        <f t="shared" si="23"/>
        <v>1015</v>
      </c>
      <c r="U22" s="259">
        <f t="shared" si="23"/>
        <v>649</v>
      </c>
      <c r="V22" s="259">
        <f t="shared" si="23"/>
        <v>284</v>
      </c>
      <c r="W22" s="259">
        <f t="shared" si="23"/>
        <v>-81</v>
      </c>
      <c r="X22" s="259">
        <f t="shared" si="23"/>
        <v>-446</v>
      </c>
      <c r="Y22" s="259">
        <f t="shared" si="23"/>
        <v>-812</v>
      </c>
      <c r="Z22" s="259">
        <f t="shared" si="23"/>
        <v>-1177</v>
      </c>
      <c r="AA22" s="267">
        <f>(VLOOKUP(A22,Hshldprojections2014!$A$2:$AW$319,40, FALSE)-VLOOKUP(A22,Hshldprojections2014!$A$2:$AW$319,30, FALSE))/10</f>
        <v>4493.8</v>
      </c>
      <c r="AB22" s="267">
        <f>(VLOOKUP(A22,Hshldprojections2014!$A$2:$AW$319,41, FALSE)-VLOOKUP(A22,Hshldprojections2014!$A$2:$AW$319,31, FALSE))/10</f>
        <v>4526.3999999999996</v>
      </c>
      <c r="AC22" s="267">
        <f>(VLOOKUP(A22,Hshldprojections2014!$A$2:$AW$319,42, FALSE)-VLOOKUP(A22,Hshldprojections2014!$A$2:$AW$319,32, FALSE))/10</f>
        <v>4538.3</v>
      </c>
      <c r="AD22" s="267">
        <f>IF(IndividualLATest!$J$7=2014,(VLOOKUP($A22,Hshldprojections2014!$A$2:$AY$326,43,FALSE)-VLOOKUP($A22,Hshldprojections2014!$A$2:$AY$326,33,FALSE))/10,IF(IndividualLATest!$J$7=2016,(VLOOKUP($A22,Hshldprojections2016!$A$1:$AQ$322,33,FALSE)-VLOOKUP($A22,Hshldprojections2016!$A$1:$AQ$322,23,FALSE))/10,(VLOOKUP($A22,Hshldprojections2018!$A$1:$AQ$327,33,FALSE)-VLOOKUP($A22,Hshldprojections2018!$A$1:$AQ$327,23,FALSE))/10))</f>
        <v>2349.6999999999998</v>
      </c>
      <c r="AE22" s="267">
        <f>IF(IndividualLATest!$J$7=2014,(VLOOKUP($A22,Hshldprojections2014!$A$2:$AY$326,44,FALSE)-VLOOKUP($A22,Hshldprojections2014!$A$2:$AY$326,34,FALSE))/10,IF(IndividualLATest!$J$7=2016,(VLOOKUP($A22,Hshldprojections2016!$A$1:$AQ$322,34,FALSE)-VLOOKUP($A22,Hshldprojections2016!$A$1:$AQ$322,24,FALSE))/10,(VLOOKUP($A22,Hshldprojections2018!$A$1:$AQ$327,34,FALSE)-VLOOKUP($A22,Hshldprojections2018!$A$1:$AQ$327,24,FALSE))/10))</f>
        <v>2388.6</v>
      </c>
      <c r="AF22" s="267">
        <f>IF(IndividualLATest!$J$7=2014,(VLOOKUP($A22,Hshldprojections2014!$A$2:$AY$326,45,FALSE)-VLOOKUP($A22,Hshldprojections2014!$A$2:$AY$326,35,FALSE))/10,IF(IndividualLATest!$J$7=2016,(VLOOKUP($A22,Hshldprojections2016!$A$1:$AQ$322,35,FALSE)-VLOOKUP($A22,Hshldprojections2016!$A$1:$AQ$322,25,FALSE))/10,(VLOOKUP($A22,Hshldprojections2018!$A$1:$AQ$327,35,FALSE)-VLOOKUP($A22,Hshldprojections2018!$A$1:$AQ$327,25,FALSE))/10))</f>
        <v>2426.5</v>
      </c>
      <c r="AG22" s="267">
        <f>IF(IndividualLATest!$J$7=2014,(VLOOKUP($A22,Hshldprojections2014!$A$2:$AY$326,46,FALSE)-VLOOKUP($A22,Hshldprojections2014!$A$2:$AY$326,36,FALSE))/10,IF(IndividualLATest!$J$7=2016,(VLOOKUP($A22,Hshldprojections2016!$A$1:$AQ$322,36,FALSE)-VLOOKUP($A22,Hshldprojections2016!$A$1:$AQ$322,26,FALSE))/10,(VLOOKUP($A22,Hshldprojections2018!$A$1:$AQ$327,36,FALSE)-VLOOKUP($A22,Hshldprojections2018!$A$1:$AQ$327,26,FALSE))/10))</f>
        <v>2457.1999999999998</v>
      </c>
      <c r="AH22" s="267">
        <f>IF(IndividualLATest!$J$7=2014,(VLOOKUP($A22,Hshldprojections2014!$A$2:$AY$326,47,FALSE)-VLOOKUP($A22,Hshldprojections2014!$A$2:$AY$326,37,FALSE))/10,IF(IndividualLATest!$J$7=2016,(VLOOKUP($A22,Hshldprojections2016!$A$1:$AQ$322,37,FALSE)-VLOOKUP($A22,Hshldprojections2016!$A$1:$AQ$322,27,FALSE))/10,(VLOOKUP($A22,Hshldprojections2018!$A$1:$AQ$327,37,FALSE)-VLOOKUP($A22,Hshldprojections2018!$A$1:$AQ$327,27,FALSE))/10))</f>
        <v>2478.6</v>
      </c>
      <c r="AI22" s="268">
        <f>VLOOKUP($A22,AffordabilityRatio!$A$2:$I$321,5,FALSE)</f>
        <v>5.62</v>
      </c>
      <c r="AJ22" s="268">
        <f>VLOOKUP($A22,AffordabilityRatio!$A$2:$I$321,6,FALSE)</f>
        <v>5.67</v>
      </c>
      <c r="AK22" s="268">
        <f>VLOOKUP($A22,AffordabilityRatio!$A$2:$I$321,7,FALSE)</f>
        <v>5.86</v>
      </c>
      <c r="AL22" s="268">
        <f>IF((VLOOKUP($A22,AffordabilityRatio!$A$2:$I$321,8,FALSE))="",AK22,VLOOKUP($A22,AffordabilityRatio!$A$2:$I$321,8,FALSE))</f>
        <v>5.68</v>
      </c>
      <c r="AM22" s="268">
        <f>IF((VLOOKUP($A22,AffordabilityRatio!$A$2:$I$321,9,FALSE))="",AL22,VLOOKUP($A22,AffordabilityRatio!$A$2:$I$321,9,FALSE))</f>
        <v>6.49</v>
      </c>
      <c r="AN22" s="268">
        <f>IF((VLOOKUP($A22,AffordabilityRatio!$A$2:$I$321,9,FALSE))="",AM22,VLOOKUP($A22,AffordabilityRatio!$A$2:$I$321,9,FALSE))</f>
        <v>6.49</v>
      </c>
      <c r="AO22" s="268">
        <f>IF((VLOOKUP($A22,AffordabilityRatio!$A$2:$I$321,9,FALSE))="",AN22,VLOOKUP($A22,AffordabilityRatio!$A$2:$I$321,9,FALSE))</f>
        <v>6.49</v>
      </c>
      <c r="AP22" s="268">
        <f>IF((VLOOKUP($A22,AffordabilityRatio!$A$2:$I$321,9,FALSE))="",AO22,VLOOKUP($A22,AffordabilityRatio!$A$2:$I$321,9,FALSE))</f>
        <v>6.49</v>
      </c>
      <c r="AQ22" s="267">
        <f t="shared" si="24"/>
        <v>4949</v>
      </c>
      <c r="AR22" s="267">
        <f t="shared" si="25"/>
        <v>4999</v>
      </c>
      <c r="AS22" s="267">
        <f t="shared" si="26"/>
        <v>5066</v>
      </c>
      <c r="AT22" s="267">
        <f t="shared" si="27"/>
        <v>2596</v>
      </c>
      <c r="AU22" s="267">
        <f t="shared" si="28"/>
        <v>2760</v>
      </c>
      <c r="AV22" s="267">
        <f t="shared" si="29"/>
        <v>2804</v>
      </c>
      <c r="AW22" s="267">
        <f t="shared" si="30"/>
        <v>2840</v>
      </c>
      <c r="AX22" s="267">
        <f t="shared" si="31"/>
        <v>2864</v>
      </c>
      <c r="AY22" s="267">
        <f t="shared" si="32"/>
        <v>3577</v>
      </c>
      <c r="AZ22" s="267">
        <f t="shared" si="33"/>
        <v>3577</v>
      </c>
      <c r="BA22" s="267">
        <f t="shared" si="34"/>
        <v>3577</v>
      </c>
      <c r="BB22" s="267">
        <f t="shared" si="35"/>
        <v>2596</v>
      </c>
      <c r="BC22" s="267">
        <f t="shared" si="36"/>
        <v>2760</v>
      </c>
      <c r="BD22" s="267">
        <f t="shared" si="37"/>
        <v>2804</v>
      </c>
      <c r="BE22" s="267">
        <f t="shared" si="38"/>
        <v>2840</v>
      </c>
      <c r="BF22" s="267">
        <f t="shared" si="39"/>
        <v>2864</v>
      </c>
      <c r="BG22" s="269">
        <f>AY22*VLOOKUP($B22,'Major Cities &amp; Towns'!$A$28:$B$345,2,FALSE)</f>
        <v>4828.9500000000007</v>
      </c>
      <c r="BH22" s="269">
        <f>AZ22*VLOOKUP($B22,'Major Cities &amp; Towns'!$A$28:$B$345,2,FALSE)</f>
        <v>4828.9500000000007</v>
      </c>
      <c r="BI22" s="269">
        <f>BA22*VLOOKUP($B22,'Major Cities &amp; Towns'!$A$28:$B$345,2,FALSE)</f>
        <v>4828.9500000000007</v>
      </c>
      <c r="BJ22" s="269">
        <f>BB22*VLOOKUP($B22,'Major Cities &amp; Towns'!$A$28:$B$345,2,FALSE)</f>
        <v>3504.6000000000004</v>
      </c>
      <c r="BK22" s="269">
        <f>BC22*VLOOKUP($B22,'Major Cities &amp; Towns'!$A$28:$B$345,2,FALSE)</f>
        <v>3726.0000000000005</v>
      </c>
      <c r="BL22" s="269">
        <f>BD22*VLOOKUP($B22,'Major Cities &amp; Towns'!$A$28:$B$345,2,FALSE)</f>
        <v>3785.4</v>
      </c>
      <c r="BM22" s="269">
        <f>BE22*VLOOKUP($B22,'Major Cities &amp; Towns'!$A$28:$B$345,2,FALSE)</f>
        <v>3834.0000000000005</v>
      </c>
      <c r="BN22" s="269">
        <f>BF22*VLOOKUP($B22,'Major Cities &amp; Towns'!$A$28:$B$345,2,FALSE)</f>
        <v>3866.4</v>
      </c>
      <c r="BO22" s="270">
        <f t="shared" si="40"/>
        <v>2555</v>
      </c>
      <c r="BP22" s="270">
        <f t="shared" si="41"/>
        <v>2555</v>
      </c>
      <c r="BQ22" s="270">
        <f t="shared" si="42"/>
        <v>2555</v>
      </c>
      <c r="BR22" s="270">
        <f t="shared" si="43"/>
        <v>2564.0986301369862</v>
      </c>
      <c r="BS22" s="270">
        <f t="shared" si="44"/>
        <v>2760</v>
      </c>
      <c r="BT22" s="270">
        <f t="shared" si="45"/>
        <v>2804</v>
      </c>
      <c r="BU22" s="270">
        <f t="shared" si="46"/>
        <v>2840</v>
      </c>
      <c r="BV22" s="270">
        <f t="shared" si="47"/>
        <v>2864</v>
      </c>
      <c r="BW22" s="39">
        <f>VLOOKUP($A22,NetAdditions!$A$2:$H$336,6,FALSE)</f>
        <v>4187</v>
      </c>
      <c r="BX22" s="39">
        <f>VLOOKUP($A22,NetAdditions!$A$2:$H$336,7,FALSE)</f>
        <v>3795</v>
      </c>
      <c r="BY22" s="39">
        <f>IF((VLOOKUP($C22,NetAdditions!$A$2:$H$336,8,FALSE))="",(AVERAGE(VLOOKUP($C22,NetAdditions!$A$2:$H$336,5,FALSE),VLOOKUP($C22,NetAdditions!$A$2:$H$336,6,FALSE),VLOOKUP($C22,NetAdditions!$A$2:$H$336,7,FALSE))),VLOOKUP($C22,NetAdditions!$A$2:$H$336,8,FALSE))</f>
        <v>3481</v>
      </c>
      <c r="BZ22" s="39">
        <f t="shared" si="48"/>
        <v>3821</v>
      </c>
      <c r="CA22" s="39">
        <f t="shared" si="49"/>
        <v>3699</v>
      </c>
      <c r="CB22" s="39">
        <f t="shared" si="50"/>
        <v>3667</v>
      </c>
      <c r="CC22" s="39">
        <f t="shared" si="51"/>
        <v>3729</v>
      </c>
      <c r="CD22" s="39">
        <f t="shared" si="52"/>
        <v>3698.3333333333335</v>
      </c>
      <c r="CE22" s="276">
        <f t="shared" si="5"/>
        <v>7665</v>
      </c>
      <c r="CF22" s="276">
        <f t="shared" si="6"/>
        <v>7674.0986301369867</v>
      </c>
      <c r="CG22" s="276">
        <f t="shared" si="7"/>
        <v>7879.0986301369867</v>
      </c>
      <c r="CH22" s="276">
        <f t="shared" si="8"/>
        <v>8128.0986301369867</v>
      </c>
      <c r="CI22" s="276">
        <f t="shared" si="9"/>
        <v>8404</v>
      </c>
      <c r="CJ22" s="276">
        <f t="shared" si="10"/>
        <v>8508</v>
      </c>
      <c r="CK22" s="276">
        <f t="shared" si="53"/>
        <v>6600.416666666667</v>
      </c>
      <c r="CL22" s="276">
        <f t="shared" si="54"/>
        <v>6608.2515981735169</v>
      </c>
      <c r="CM22" s="276">
        <f t="shared" si="55"/>
        <v>7222.5070776255707</v>
      </c>
      <c r="CN22" s="276">
        <f t="shared" si="56"/>
        <v>8128.0986301369867</v>
      </c>
      <c r="CO22" s="276">
        <f t="shared" si="57"/>
        <v>8404</v>
      </c>
      <c r="CP22" s="276">
        <f t="shared" si="58"/>
        <v>8508</v>
      </c>
      <c r="CQ22" s="39">
        <f t="shared" si="12"/>
        <v>11463</v>
      </c>
      <c r="CR22" s="39">
        <f t="shared" si="13"/>
        <v>11097</v>
      </c>
      <c r="CS22" s="277">
        <f t="shared" si="14"/>
        <v>11001</v>
      </c>
      <c r="CT22" s="39">
        <f t="shared" si="15"/>
        <v>11187</v>
      </c>
      <c r="CU22" s="39">
        <f t="shared" si="16"/>
        <v>11095</v>
      </c>
      <c r="CV22" s="39">
        <f t="shared" si="59"/>
        <v>11094.333333333334</v>
      </c>
      <c r="CW22" s="297">
        <f t="shared" si="18"/>
        <v>1.7367085411274541</v>
      </c>
      <c r="CX22" s="279" t="str">
        <f t="shared" si="60"/>
        <v>Pass</v>
      </c>
      <c r="CY22" s="278">
        <f t="shared" si="19"/>
        <v>1.6792641495470826</v>
      </c>
      <c r="CZ22" s="279" t="str">
        <f t="shared" si="61"/>
        <v>Pass</v>
      </c>
      <c r="DA22" s="278">
        <f t="shared" si="20"/>
        <v>1.5231553090587797</v>
      </c>
      <c r="DB22" s="292" t="str">
        <f t="shared" si="62"/>
        <v>Pass</v>
      </c>
      <c r="DC22" s="299">
        <f t="shared" si="63"/>
        <v>1.3763366451437191</v>
      </c>
      <c r="DD22" s="293" t="str">
        <f t="shared" si="64"/>
        <v>Pass</v>
      </c>
      <c r="DE22" s="299">
        <f t="shared" si="65"/>
        <v>1.3202046644455021</v>
      </c>
      <c r="DF22" s="293" t="str">
        <f t="shared" si="66"/>
        <v>Pass</v>
      </c>
      <c r="DG22" s="299">
        <f t="shared" si="67"/>
        <v>1.3039884030716189</v>
      </c>
      <c r="DH22" s="293" t="str">
        <f t="shared" si="68"/>
        <v>Pass</v>
      </c>
    </row>
    <row r="23" spans="1:112" ht="15" thickTop="1" thickBot="1">
      <c r="A23" s="38" t="s">
        <v>155</v>
      </c>
      <c r="B23" s="38" t="s">
        <v>156</v>
      </c>
      <c r="C23" s="38" t="s">
        <v>155</v>
      </c>
      <c r="D23" s="38" t="s">
        <v>119</v>
      </c>
      <c r="E23" s="38" t="str">
        <f>VLOOKUP(C23,PoliticalControl!A:K,11,FALSE)</f>
        <v>CON</v>
      </c>
      <c r="F23" s="38" t="str">
        <f>VLOOKUP(C23,UrbanRuralClassification!A:N,13,FALSE)</f>
        <v>Urban with City and Town</v>
      </c>
      <c r="G23" s="38" t="str">
        <f>VLOOKUP(C23,UrbanRuralClassification!A:N,14,FALSE)</f>
        <v>Predominantly Urban</v>
      </c>
      <c r="H23" s="258">
        <f>IF(ISBLANK((VLOOKUP($A23,'local-plan-data'!$C$1:$AD$566,27,FALSE)))=TRUE,"",VLOOKUP($A23,'local-plan-data'!$C$1:$AD$566,27,FALSE))</f>
        <v>41326</v>
      </c>
      <c r="I23" s="259">
        <f>VLOOKUP($A23,'local-plan-data'!$C$1:$AD$566,28,FALSE)</f>
        <v>380</v>
      </c>
      <c r="J23" s="260">
        <f t="shared" si="21"/>
        <v>380</v>
      </c>
      <c r="K23" s="259" t="str">
        <f t="shared" si="22"/>
        <v>-</v>
      </c>
      <c r="L23" s="259" t="str">
        <f t="shared" si="22"/>
        <v>-</v>
      </c>
      <c r="M23" s="259" t="str">
        <f t="shared" si="22"/>
        <v>-</v>
      </c>
      <c r="N23" s="259" t="str">
        <f t="shared" si="22"/>
        <v>-</v>
      </c>
      <c r="O23" s="259" t="str">
        <f t="shared" si="22"/>
        <v>-</v>
      </c>
      <c r="P23" s="259" t="str">
        <f t="shared" si="22"/>
        <v>-</v>
      </c>
      <c r="Q23" s="259" t="str">
        <f t="shared" si="22"/>
        <v>-</v>
      </c>
      <c r="R23" s="259" t="str">
        <f t="shared" si="22"/>
        <v>-</v>
      </c>
      <c r="S23" s="259">
        <f t="shared" si="23"/>
        <v>-39</v>
      </c>
      <c r="T23" s="259">
        <f t="shared" si="23"/>
        <v>-404</v>
      </c>
      <c r="U23" s="259">
        <f t="shared" si="23"/>
        <v>-770</v>
      </c>
      <c r="V23" s="259">
        <f t="shared" si="23"/>
        <v>-1135</v>
      </c>
      <c r="W23" s="259">
        <f t="shared" si="23"/>
        <v>-1500</v>
      </c>
      <c r="X23" s="259">
        <f t="shared" si="23"/>
        <v>-1865</v>
      </c>
      <c r="Y23" s="259">
        <f t="shared" si="23"/>
        <v>-2231</v>
      </c>
      <c r="Z23" s="259">
        <f t="shared" si="23"/>
        <v>-2596</v>
      </c>
      <c r="AA23" s="267">
        <f>(VLOOKUP(A23,Hshldprojections2014!$A$2:$AW$319,40, FALSE)-VLOOKUP(A23,Hshldprojections2014!$A$2:$AW$319,30, FALSE))/10</f>
        <v>283.5</v>
      </c>
      <c r="AB23" s="267">
        <f>(VLOOKUP(A23,Hshldprojections2014!$A$2:$AW$319,41, FALSE)-VLOOKUP(A23,Hshldprojections2014!$A$2:$AW$319,31, FALSE))/10</f>
        <v>278.5</v>
      </c>
      <c r="AC23" s="267">
        <f>(VLOOKUP(A23,Hshldprojections2014!$A$2:$AW$319,42, FALSE)-VLOOKUP(A23,Hshldprojections2014!$A$2:$AW$319,32, FALSE))/10</f>
        <v>274.60000000000002</v>
      </c>
      <c r="AD23" s="267">
        <f>IF(IndividualLATest!$J$7=2014,(VLOOKUP($A23,Hshldprojections2014!$A$2:$AY$326,43,FALSE)-VLOOKUP($A23,Hshldprojections2014!$A$2:$AY$326,33,FALSE))/10,IF(IndividualLATest!$J$7=2016,(VLOOKUP($A23,Hshldprojections2016!$A$1:$AQ$322,33,FALSE)-VLOOKUP($A23,Hshldprojections2016!$A$1:$AQ$322,23,FALSE))/10,(VLOOKUP($A23,Hshldprojections2018!$A$1:$AQ$327,33,FALSE)-VLOOKUP($A23,Hshldprojections2018!$A$1:$AQ$327,23,FALSE))/10))</f>
        <v>575.4</v>
      </c>
      <c r="AE23" s="267">
        <f>IF(IndividualLATest!$J$7=2014,(VLOOKUP($A23,Hshldprojections2014!$A$2:$AY$326,44,FALSE)-VLOOKUP($A23,Hshldprojections2014!$A$2:$AY$326,34,FALSE))/10,IF(IndividualLATest!$J$7=2016,(VLOOKUP($A23,Hshldprojections2016!$A$1:$AQ$322,34,FALSE)-VLOOKUP($A23,Hshldprojections2016!$A$1:$AQ$322,24,FALSE))/10,(VLOOKUP($A23,Hshldprojections2018!$A$1:$AQ$327,34,FALSE)-VLOOKUP($A23,Hshldprojections2018!$A$1:$AQ$327,24,FALSE))/10))</f>
        <v>566.1</v>
      </c>
      <c r="AF23" s="267">
        <f>IF(IndividualLATest!$J$7=2014,(VLOOKUP($A23,Hshldprojections2014!$A$2:$AY$326,45,FALSE)-VLOOKUP($A23,Hshldprojections2014!$A$2:$AY$326,35,FALSE))/10,IF(IndividualLATest!$J$7=2016,(VLOOKUP($A23,Hshldprojections2016!$A$1:$AQ$322,35,FALSE)-VLOOKUP($A23,Hshldprojections2016!$A$1:$AQ$322,25,FALSE))/10,(VLOOKUP($A23,Hshldprojections2018!$A$1:$AQ$327,35,FALSE)-VLOOKUP($A23,Hshldprojections2018!$A$1:$AQ$327,25,FALSE))/10))</f>
        <v>556</v>
      </c>
      <c r="AG23" s="267">
        <f>IF(IndividualLATest!$J$7=2014,(VLOOKUP($A23,Hshldprojections2014!$A$2:$AY$326,46,FALSE)-VLOOKUP($A23,Hshldprojections2014!$A$2:$AY$326,36,FALSE))/10,IF(IndividualLATest!$J$7=2016,(VLOOKUP($A23,Hshldprojections2016!$A$1:$AQ$322,36,FALSE)-VLOOKUP($A23,Hshldprojections2016!$A$1:$AQ$322,26,FALSE))/10,(VLOOKUP($A23,Hshldprojections2018!$A$1:$AQ$327,36,FALSE)-VLOOKUP($A23,Hshldprojections2018!$A$1:$AQ$327,26,FALSE))/10))</f>
        <v>545</v>
      </c>
      <c r="AH23" s="267">
        <f>IF(IndividualLATest!$J$7=2014,(VLOOKUP($A23,Hshldprojections2014!$A$2:$AY$326,47,FALSE)-VLOOKUP($A23,Hshldprojections2014!$A$2:$AY$326,37,FALSE))/10,IF(IndividualLATest!$J$7=2016,(VLOOKUP($A23,Hshldprojections2016!$A$1:$AQ$322,37,FALSE)-VLOOKUP($A23,Hshldprojections2016!$A$1:$AQ$322,27,FALSE))/10,(VLOOKUP($A23,Hshldprojections2018!$A$1:$AQ$327,37,FALSE)-VLOOKUP($A23,Hshldprojections2018!$A$1:$AQ$327,27,FALSE))/10))</f>
        <v>536.20000000000005</v>
      </c>
      <c r="AI23" s="268">
        <f>VLOOKUP($A23,AffordabilityRatio!$A$2:$I$321,5,FALSE)</f>
        <v>7.69</v>
      </c>
      <c r="AJ23" s="268">
        <f>VLOOKUP($A23,AffordabilityRatio!$A$2:$I$321,6,FALSE)</f>
        <v>7.72</v>
      </c>
      <c r="AK23" s="268">
        <f>VLOOKUP($A23,AffordabilityRatio!$A$2:$I$321,7,FALSE)</f>
        <v>8.1300000000000008</v>
      </c>
      <c r="AL23" s="268">
        <f>IF((VLOOKUP($A23,AffordabilityRatio!$A$2:$I$321,8,FALSE))="",AK23,VLOOKUP($A23,AffordabilityRatio!$A$2:$I$321,8,FALSE))</f>
        <v>7.28</v>
      </c>
      <c r="AM23" s="268">
        <f>IF((VLOOKUP($A23,AffordabilityRatio!$A$2:$I$321,9,FALSE))="",AL23,VLOOKUP($A23,AffordabilityRatio!$A$2:$I$321,9,FALSE))</f>
        <v>8.07</v>
      </c>
      <c r="AN23" s="268">
        <f>IF((VLOOKUP($A23,AffordabilityRatio!$A$2:$I$321,9,FALSE))="",AM23,VLOOKUP($A23,AffordabilityRatio!$A$2:$I$321,9,FALSE))</f>
        <v>8.07</v>
      </c>
      <c r="AO23" s="268">
        <f>IF((VLOOKUP($A23,AffordabilityRatio!$A$2:$I$321,9,FALSE))="",AN23,VLOOKUP($A23,AffordabilityRatio!$A$2:$I$321,9,FALSE))</f>
        <v>8.07</v>
      </c>
      <c r="AP23" s="268">
        <f>IF((VLOOKUP($A23,AffordabilityRatio!$A$2:$I$321,9,FALSE))="",AO23,VLOOKUP($A23,AffordabilityRatio!$A$2:$I$321,9,FALSE))</f>
        <v>8.07</v>
      </c>
      <c r="AQ23" s="267">
        <f t="shared" si="24"/>
        <v>349</v>
      </c>
      <c r="AR23" s="267">
        <f t="shared" si="25"/>
        <v>343</v>
      </c>
      <c r="AS23" s="267">
        <f t="shared" si="26"/>
        <v>345</v>
      </c>
      <c r="AT23" s="267">
        <f t="shared" si="27"/>
        <v>693</v>
      </c>
      <c r="AU23" s="267">
        <f t="shared" si="28"/>
        <v>710</v>
      </c>
      <c r="AV23" s="267">
        <f t="shared" si="29"/>
        <v>697</v>
      </c>
      <c r="AW23" s="267">
        <f t="shared" si="30"/>
        <v>684</v>
      </c>
      <c r="AX23" s="267">
        <f t="shared" si="31"/>
        <v>673</v>
      </c>
      <c r="AY23" s="267">
        <f t="shared" si="32"/>
        <v>349</v>
      </c>
      <c r="AZ23" s="267">
        <f t="shared" si="33"/>
        <v>343</v>
      </c>
      <c r="BA23" s="267">
        <f t="shared" si="34"/>
        <v>345</v>
      </c>
      <c r="BB23" s="267">
        <f t="shared" si="35"/>
        <v>693</v>
      </c>
      <c r="BC23" s="267">
        <f t="shared" si="36"/>
        <v>710</v>
      </c>
      <c r="BD23" s="267">
        <f t="shared" si="37"/>
        <v>697</v>
      </c>
      <c r="BE23" s="267">
        <f t="shared" si="38"/>
        <v>684</v>
      </c>
      <c r="BF23" s="267">
        <f t="shared" si="39"/>
        <v>673</v>
      </c>
      <c r="BG23" s="269">
        <f>AY23*VLOOKUP($B23,'Major Cities &amp; Towns'!$A$28:$B$345,2,FALSE)</f>
        <v>349</v>
      </c>
      <c r="BH23" s="269">
        <f>AZ23*VLOOKUP($B23,'Major Cities &amp; Towns'!$A$28:$B$345,2,FALSE)</f>
        <v>343</v>
      </c>
      <c r="BI23" s="269">
        <f>BA23*VLOOKUP($B23,'Major Cities &amp; Towns'!$A$28:$B$345,2,FALSE)</f>
        <v>345</v>
      </c>
      <c r="BJ23" s="269">
        <f>BB23*VLOOKUP($B23,'Major Cities &amp; Towns'!$A$28:$B$345,2,FALSE)</f>
        <v>693</v>
      </c>
      <c r="BK23" s="269">
        <f>BC23*VLOOKUP($B23,'Major Cities &amp; Towns'!$A$28:$B$345,2,FALSE)</f>
        <v>710</v>
      </c>
      <c r="BL23" s="269">
        <f>BD23*VLOOKUP($B23,'Major Cities &amp; Towns'!$A$28:$B$345,2,FALSE)</f>
        <v>697</v>
      </c>
      <c r="BM23" s="269">
        <f>BE23*VLOOKUP($B23,'Major Cities &amp; Towns'!$A$28:$B$345,2,FALSE)</f>
        <v>684</v>
      </c>
      <c r="BN23" s="269">
        <f>BF23*VLOOKUP($B23,'Major Cities &amp; Towns'!$A$28:$B$345,2,FALSE)</f>
        <v>673</v>
      </c>
      <c r="BO23" s="270">
        <f t="shared" si="40"/>
        <v>349</v>
      </c>
      <c r="BP23" s="270">
        <f t="shared" si="41"/>
        <v>343</v>
      </c>
      <c r="BQ23" s="270">
        <f t="shared" si="42"/>
        <v>345</v>
      </c>
      <c r="BR23" s="270">
        <f t="shared" si="43"/>
        <v>693</v>
      </c>
      <c r="BS23" s="270">
        <f t="shared" si="44"/>
        <v>710</v>
      </c>
      <c r="BT23" s="270">
        <f t="shared" si="45"/>
        <v>697</v>
      </c>
      <c r="BU23" s="270">
        <f t="shared" si="46"/>
        <v>684</v>
      </c>
      <c r="BV23" s="270">
        <f t="shared" si="47"/>
        <v>673</v>
      </c>
      <c r="BW23" s="39">
        <f>VLOOKUP($A23,NetAdditions!$A$2:$H$336,6,FALSE)</f>
        <v>522</v>
      </c>
      <c r="BX23" s="39">
        <f>VLOOKUP($A23,NetAdditions!$A$2:$H$336,7,FALSE)</f>
        <v>427</v>
      </c>
      <c r="BY23" s="39">
        <f>IF((VLOOKUP($C23,NetAdditions!$A$2:$H$336,8,FALSE))="",(AVERAGE(VLOOKUP($C23,NetAdditions!$A$2:$H$336,5,FALSE),VLOOKUP($C23,NetAdditions!$A$2:$H$336,6,FALSE),VLOOKUP($C23,NetAdditions!$A$2:$H$336,7,FALSE))),VLOOKUP($C23,NetAdditions!$A$2:$H$336,8,FALSE))</f>
        <v>292</v>
      </c>
      <c r="BZ23" s="39">
        <f t="shared" si="48"/>
        <v>413.66666666666669</v>
      </c>
      <c r="CA23" s="39">
        <f t="shared" si="49"/>
        <v>377.5555555555556</v>
      </c>
      <c r="CB23" s="39">
        <f t="shared" si="50"/>
        <v>361.07407407407413</v>
      </c>
      <c r="CC23" s="39">
        <f t="shared" si="51"/>
        <v>384.09876543209884</v>
      </c>
      <c r="CD23" s="39">
        <f t="shared" si="52"/>
        <v>374.24279835390956</v>
      </c>
      <c r="CE23" s="276">
        <f t="shared" si="5"/>
        <v>1037</v>
      </c>
      <c r="CF23" s="276">
        <f t="shared" si="6"/>
        <v>1381</v>
      </c>
      <c r="CG23" s="276">
        <f t="shared" si="7"/>
        <v>1748</v>
      </c>
      <c r="CH23" s="276">
        <f t="shared" si="8"/>
        <v>2100</v>
      </c>
      <c r="CI23" s="276">
        <f t="shared" si="9"/>
        <v>2091</v>
      </c>
      <c r="CJ23" s="276">
        <f t="shared" si="10"/>
        <v>2054</v>
      </c>
      <c r="CK23" s="276">
        <f t="shared" si="53"/>
        <v>892.97222222222229</v>
      </c>
      <c r="CL23" s="276">
        <f t="shared" si="54"/>
        <v>1189.1944444444446</v>
      </c>
      <c r="CM23" s="276">
        <f t="shared" si="55"/>
        <v>1602.3333333333333</v>
      </c>
      <c r="CN23" s="276">
        <f t="shared" si="56"/>
        <v>2100</v>
      </c>
      <c r="CO23" s="276">
        <f t="shared" si="57"/>
        <v>2091</v>
      </c>
      <c r="CP23" s="276">
        <f t="shared" si="58"/>
        <v>2054</v>
      </c>
      <c r="CQ23" s="39">
        <f t="shared" si="12"/>
        <v>1241</v>
      </c>
      <c r="CR23" s="39">
        <f t="shared" si="13"/>
        <v>1132.6666666666667</v>
      </c>
      <c r="CS23" s="277">
        <f t="shared" si="14"/>
        <v>1083.2222222222224</v>
      </c>
      <c r="CT23" s="39">
        <f t="shared" si="15"/>
        <v>1152.2962962962965</v>
      </c>
      <c r="CU23" s="39">
        <f t="shared" si="16"/>
        <v>1122.7283950617286</v>
      </c>
      <c r="CV23" s="39">
        <f t="shared" si="59"/>
        <v>1119.4156378600826</v>
      </c>
      <c r="CW23" s="297">
        <f t="shared" si="18"/>
        <v>1.3897408778424114</v>
      </c>
      <c r="CX23" s="279" t="str">
        <f t="shared" si="60"/>
        <v>Pass</v>
      </c>
      <c r="CY23" s="278">
        <f t="shared" si="19"/>
        <v>0.95246548784190976</v>
      </c>
      <c r="CZ23" s="279" t="str">
        <f t="shared" si="61"/>
        <v>Pass</v>
      </c>
      <c r="DA23" s="278">
        <f t="shared" si="20"/>
        <v>0.67602801470078377</v>
      </c>
      <c r="DB23" s="292" t="str">
        <f t="shared" si="62"/>
        <v>Presumption</v>
      </c>
      <c r="DC23" s="299">
        <f t="shared" si="63"/>
        <v>0.54871252204585552</v>
      </c>
      <c r="DD23" s="293" t="str">
        <f t="shared" si="64"/>
        <v>Presumption</v>
      </c>
      <c r="DE23" s="299">
        <f t="shared" si="65"/>
        <v>0.53693371356371522</v>
      </c>
      <c r="DF23" s="293" t="str">
        <f t="shared" si="66"/>
        <v>Presumption</v>
      </c>
      <c r="DG23" s="299">
        <f t="shared" si="67"/>
        <v>0.54499300772155923</v>
      </c>
      <c r="DH23" s="293" t="str">
        <f t="shared" si="68"/>
        <v>Presumption</v>
      </c>
    </row>
    <row r="24" spans="1:112" ht="15" thickTop="1" thickBot="1">
      <c r="A24" s="38" t="s">
        <v>157</v>
      </c>
      <c r="B24" s="38" t="s">
        <v>158</v>
      </c>
      <c r="C24" s="38" t="s">
        <v>157</v>
      </c>
      <c r="D24" s="38" t="s">
        <v>116</v>
      </c>
      <c r="E24" s="38" t="str">
        <f>VLOOKUP(C24,PoliticalControl!A:K,11,FALSE)</f>
        <v>LAB</v>
      </c>
      <c r="F24" s="38" t="str">
        <f>VLOOKUP(C24,UrbanRuralClassification!A:N,13,FALSE)</f>
        <v>Urban with City and Town</v>
      </c>
      <c r="G24" s="38" t="str">
        <f>VLOOKUP(C24,UrbanRuralClassification!A:N,14,FALSE)</f>
        <v>Predominantly Urban</v>
      </c>
      <c r="H24" s="258">
        <f>IF(ISBLANK((VLOOKUP($A24,'local-plan-data'!$C$1:$AD$566,27,FALSE)))=TRUE,"",VLOOKUP($A24,'local-plan-data'!$C$1:$AD$566,27,FALSE))</f>
        <v>40570</v>
      </c>
      <c r="I24" s="259">
        <f>VLOOKUP($A24,'local-plan-data'!$C$1:$AD$566,28,FALSE)</f>
        <v>624.33333333333337</v>
      </c>
      <c r="J24" s="260">
        <f t="shared" si="21"/>
        <v>624.33333333333337</v>
      </c>
      <c r="K24" s="259" t="str">
        <f t="shared" si="22"/>
        <v>-</v>
      </c>
      <c r="L24" s="259" t="str">
        <f t="shared" si="22"/>
        <v>-</v>
      </c>
      <c r="M24" s="259" t="str">
        <f t="shared" si="22"/>
        <v>-</v>
      </c>
      <c r="N24" s="259" t="str">
        <f t="shared" si="22"/>
        <v>-</v>
      </c>
      <c r="O24" s="259" t="str">
        <f t="shared" si="22"/>
        <v>-</v>
      </c>
      <c r="P24" s="259" t="str">
        <f t="shared" si="22"/>
        <v>-</v>
      </c>
      <c r="Q24" s="259" t="str">
        <f t="shared" si="22"/>
        <v>-</v>
      </c>
      <c r="R24" s="259" t="str">
        <f t="shared" si="22"/>
        <v>-</v>
      </c>
      <c r="S24" s="259">
        <f t="shared" si="23"/>
        <v>-795</v>
      </c>
      <c r="T24" s="259">
        <f t="shared" si="23"/>
        <v>-1160</v>
      </c>
      <c r="U24" s="259">
        <f t="shared" si="23"/>
        <v>-1526</v>
      </c>
      <c r="V24" s="259">
        <f t="shared" si="23"/>
        <v>-1891</v>
      </c>
      <c r="W24" s="259">
        <f t="shared" si="23"/>
        <v>-2256</v>
      </c>
      <c r="X24" s="259">
        <f t="shared" si="23"/>
        <v>-2621</v>
      </c>
      <c r="Y24" s="259">
        <f t="shared" si="23"/>
        <v>-2987</v>
      </c>
      <c r="Z24" s="259">
        <f t="shared" si="23"/>
        <v>-3352</v>
      </c>
      <c r="AA24" s="267">
        <f>(VLOOKUP(A24,Hshldprojections2014!$A$2:$AW$319,40, FALSE)-VLOOKUP(A24,Hshldprojections2014!$A$2:$AW$319,30, FALSE))/10</f>
        <v>152.6</v>
      </c>
      <c r="AB24" s="267">
        <f>(VLOOKUP(A24,Hshldprojections2014!$A$2:$AW$319,41, FALSE)-VLOOKUP(A24,Hshldprojections2014!$A$2:$AW$319,31, FALSE))/10</f>
        <v>151.1</v>
      </c>
      <c r="AC24" s="267">
        <f>(VLOOKUP(A24,Hshldprojections2014!$A$2:$AW$319,42, FALSE)-VLOOKUP(A24,Hshldprojections2014!$A$2:$AW$319,32, FALSE))/10</f>
        <v>148.19999999999999</v>
      </c>
      <c r="AD24" s="267">
        <f>IF(IndividualLATest!$J$7=2014,(VLOOKUP($A24,Hshldprojections2014!$A$2:$AY$326,43,FALSE)-VLOOKUP($A24,Hshldprojections2014!$A$2:$AY$326,33,FALSE))/10,IF(IndividualLATest!$J$7=2016,(VLOOKUP($A24,Hshldprojections2016!$A$1:$AQ$322,33,FALSE)-VLOOKUP($A24,Hshldprojections2016!$A$1:$AQ$322,23,FALSE))/10,(VLOOKUP($A24,Hshldprojections2018!$A$1:$AQ$327,33,FALSE)-VLOOKUP($A24,Hshldprojections2018!$A$1:$AQ$327,23,FALSE))/10))</f>
        <v>165.9</v>
      </c>
      <c r="AE24" s="267">
        <f>IF(IndividualLATest!$J$7=2014,(VLOOKUP($A24,Hshldprojections2014!$A$2:$AY$326,44,FALSE)-VLOOKUP($A24,Hshldprojections2014!$A$2:$AY$326,34,FALSE))/10,IF(IndividualLATest!$J$7=2016,(VLOOKUP($A24,Hshldprojections2016!$A$1:$AQ$322,34,FALSE)-VLOOKUP($A24,Hshldprojections2016!$A$1:$AQ$322,24,FALSE))/10,(VLOOKUP($A24,Hshldprojections2018!$A$1:$AQ$327,34,FALSE)-VLOOKUP($A24,Hshldprojections2018!$A$1:$AQ$327,24,FALSE))/10))</f>
        <v>162.6</v>
      </c>
      <c r="AF24" s="267">
        <f>IF(IndividualLATest!$J$7=2014,(VLOOKUP($A24,Hshldprojections2014!$A$2:$AY$326,45,FALSE)-VLOOKUP($A24,Hshldprojections2014!$A$2:$AY$326,35,FALSE))/10,IF(IndividualLATest!$J$7=2016,(VLOOKUP($A24,Hshldprojections2016!$A$1:$AQ$322,35,FALSE)-VLOOKUP($A24,Hshldprojections2016!$A$1:$AQ$322,25,FALSE))/10,(VLOOKUP($A24,Hshldprojections2018!$A$1:$AQ$327,35,FALSE)-VLOOKUP($A24,Hshldprojections2018!$A$1:$AQ$327,25,FALSE))/10))</f>
        <v>160.69999999999999</v>
      </c>
      <c r="AG24" s="267">
        <f>IF(IndividualLATest!$J$7=2014,(VLOOKUP($A24,Hshldprojections2014!$A$2:$AY$326,46,FALSE)-VLOOKUP($A24,Hshldprojections2014!$A$2:$AY$326,36,FALSE))/10,IF(IndividualLATest!$J$7=2016,(VLOOKUP($A24,Hshldprojections2016!$A$1:$AQ$322,36,FALSE)-VLOOKUP($A24,Hshldprojections2016!$A$1:$AQ$322,26,FALSE))/10,(VLOOKUP($A24,Hshldprojections2018!$A$1:$AQ$327,36,FALSE)-VLOOKUP($A24,Hshldprojections2018!$A$1:$AQ$327,26,FALSE))/10))</f>
        <v>158.4</v>
      </c>
      <c r="AH24" s="267">
        <f>IF(IndividualLATest!$J$7=2014,(VLOOKUP($A24,Hshldprojections2014!$A$2:$AY$326,47,FALSE)-VLOOKUP($A24,Hshldprojections2014!$A$2:$AY$326,37,FALSE))/10,IF(IndividualLATest!$J$7=2016,(VLOOKUP($A24,Hshldprojections2016!$A$1:$AQ$322,37,FALSE)-VLOOKUP($A24,Hshldprojections2016!$A$1:$AQ$322,27,FALSE))/10,(VLOOKUP($A24,Hshldprojections2018!$A$1:$AQ$327,37,FALSE)-VLOOKUP($A24,Hshldprojections2018!$A$1:$AQ$327,27,FALSE))/10))</f>
        <v>157.4</v>
      </c>
      <c r="AI24" s="268">
        <f>VLOOKUP($A24,AffordabilityRatio!$A$2:$I$321,5,FALSE)</f>
        <v>4.25</v>
      </c>
      <c r="AJ24" s="268">
        <f>VLOOKUP($A24,AffordabilityRatio!$A$2:$I$321,6,FALSE)</f>
        <v>4.96</v>
      </c>
      <c r="AK24" s="268">
        <f>VLOOKUP($A24,AffordabilityRatio!$A$2:$I$321,7,FALSE)</f>
        <v>4.7699999999999996</v>
      </c>
      <c r="AL24" s="268">
        <f>IF((VLOOKUP($A24,AffordabilityRatio!$A$2:$I$321,8,FALSE))="",AK24,VLOOKUP($A24,AffordabilityRatio!$A$2:$I$321,8,FALSE))</f>
        <v>4.8499999999999996</v>
      </c>
      <c r="AM24" s="268">
        <f>IF((VLOOKUP($A24,AffordabilityRatio!$A$2:$I$321,9,FALSE))="",AL24,VLOOKUP($A24,AffordabilityRatio!$A$2:$I$321,9,FALSE))</f>
        <v>4.8499999999999996</v>
      </c>
      <c r="AN24" s="268">
        <f>IF((VLOOKUP($A24,AffordabilityRatio!$A$2:$I$321,9,FALSE))="",AM24,VLOOKUP($A24,AffordabilityRatio!$A$2:$I$321,9,FALSE))</f>
        <v>4.8499999999999996</v>
      </c>
      <c r="AO24" s="268">
        <f>IF((VLOOKUP($A24,AffordabilityRatio!$A$2:$I$321,9,FALSE))="",AN24,VLOOKUP($A24,AffordabilityRatio!$A$2:$I$321,9,FALSE))</f>
        <v>4.8499999999999996</v>
      </c>
      <c r="AP24" s="268">
        <f>IF((VLOOKUP($A24,AffordabilityRatio!$A$2:$I$321,9,FALSE))="",AO24,VLOOKUP($A24,AffordabilityRatio!$A$2:$I$321,9,FALSE))</f>
        <v>4.8499999999999996</v>
      </c>
      <c r="AQ24" s="267">
        <f t="shared" si="24"/>
        <v>155</v>
      </c>
      <c r="AR24" s="267">
        <f t="shared" si="25"/>
        <v>160</v>
      </c>
      <c r="AS24" s="267">
        <f t="shared" si="26"/>
        <v>155</v>
      </c>
      <c r="AT24" s="267">
        <f t="shared" si="27"/>
        <v>175</v>
      </c>
      <c r="AU24" s="267">
        <f t="shared" si="28"/>
        <v>171</v>
      </c>
      <c r="AV24" s="267">
        <f t="shared" si="29"/>
        <v>169</v>
      </c>
      <c r="AW24" s="267">
        <f t="shared" si="30"/>
        <v>167</v>
      </c>
      <c r="AX24" s="267">
        <f t="shared" si="31"/>
        <v>166</v>
      </c>
      <c r="AY24" s="267">
        <f t="shared" si="32"/>
        <v>155</v>
      </c>
      <c r="AZ24" s="267">
        <f t="shared" si="33"/>
        <v>160</v>
      </c>
      <c r="BA24" s="267">
        <f t="shared" si="34"/>
        <v>155</v>
      </c>
      <c r="BB24" s="267">
        <f t="shared" si="35"/>
        <v>175</v>
      </c>
      <c r="BC24" s="267">
        <f t="shared" si="36"/>
        <v>171</v>
      </c>
      <c r="BD24" s="267">
        <f t="shared" si="37"/>
        <v>169</v>
      </c>
      <c r="BE24" s="267">
        <f t="shared" si="38"/>
        <v>167</v>
      </c>
      <c r="BF24" s="267">
        <f t="shared" si="39"/>
        <v>166</v>
      </c>
      <c r="BG24" s="269">
        <f>AY24*VLOOKUP($B24,'Major Cities &amp; Towns'!$A$28:$B$345,2,FALSE)</f>
        <v>155</v>
      </c>
      <c r="BH24" s="269">
        <f>AZ24*VLOOKUP($B24,'Major Cities &amp; Towns'!$A$28:$B$345,2,FALSE)</f>
        <v>160</v>
      </c>
      <c r="BI24" s="269">
        <f>BA24*VLOOKUP($B24,'Major Cities &amp; Towns'!$A$28:$B$345,2,FALSE)</f>
        <v>155</v>
      </c>
      <c r="BJ24" s="269">
        <f>BB24*VLOOKUP($B24,'Major Cities &amp; Towns'!$A$28:$B$345,2,FALSE)</f>
        <v>175</v>
      </c>
      <c r="BK24" s="269">
        <f>BC24*VLOOKUP($B24,'Major Cities &amp; Towns'!$A$28:$B$345,2,FALSE)</f>
        <v>171</v>
      </c>
      <c r="BL24" s="269">
        <f>BD24*VLOOKUP($B24,'Major Cities &amp; Towns'!$A$28:$B$345,2,FALSE)</f>
        <v>169</v>
      </c>
      <c r="BM24" s="269">
        <f>BE24*VLOOKUP($B24,'Major Cities &amp; Towns'!$A$28:$B$345,2,FALSE)</f>
        <v>167</v>
      </c>
      <c r="BN24" s="269">
        <f>BF24*VLOOKUP($B24,'Major Cities &amp; Towns'!$A$28:$B$345,2,FALSE)</f>
        <v>166</v>
      </c>
      <c r="BO24" s="270">
        <f t="shared" si="40"/>
        <v>155</v>
      </c>
      <c r="BP24" s="270">
        <f t="shared" si="41"/>
        <v>160</v>
      </c>
      <c r="BQ24" s="270">
        <f t="shared" si="42"/>
        <v>155</v>
      </c>
      <c r="BR24" s="270">
        <f t="shared" si="43"/>
        <v>175</v>
      </c>
      <c r="BS24" s="270">
        <f t="shared" si="44"/>
        <v>171</v>
      </c>
      <c r="BT24" s="270">
        <f t="shared" si="45"/>
        <v>169</v>
      </c>
      <c r="BU24" s="270">
        <f t="shared" si="46"/>
        <v>167</v>
      </c>
      <c r="BV24" s="270">
        <f t="shared" si="47"/>
        <v>166</v>
      </c>
      <c r="BW24" s="39">
        <f>VLOOKUP($A24,NetAdditions!$A$2:$H$336,6,FALSE)</f>
        <v>485</v>
      </c>
      <c r="BX24" s="39">
        <f>VLOOKUP($A24,NetAdditions!$A$2:$H$336,7,FALSE)</f>
        <v>303</v>
      </c>
      <c r="BY24" s="39">
        <f>IF((VLOOKUP($C24,NetAdditions!$A$2:$H$336,8,FALSE))="",(AVERAGE(VLOOKUP($C24,NetAdditions!$A$2:$H$336,5,FALSE),VLOOKUP($C24,NetAdditions!$A$2:$H$336,6,FALSE),VLOOKUP($C24,NetAdditions!$A$2:$H$336,7,FALSE))),VLOOKUP($C24,NetAdditions!$A$2:$H$336,8,FALSE))</f>
        <v>484</v>
      </c>
      <c r="BZ24" s="39">
        <f t="shared" si="48"/>
        <v>424</v>
      </c>
      <c r="CA24" s="39">
        <f t="shared" si="49"/>
        <v>403.66666666666669</v>
      </c>
      <c r="CB24" s="39">
        <f t="shared" si="50"/>
        <v>437.22222222222223</v>
      </c>
      <c r="CC24" s="39">
        <f t="shared" si="51"/>
        <v>421.62962962962962</v>
      </c>
      <c r="CD24" s="39">
        <f t="shared" si="52"/>
        <v>420.83950617283949</v>
      </c>
      <c r="CE24" s="276">
        <f t="shared" si="5"/>
        <v>470</v>
      </c>
      <c r="CF24" s="276">
        <f t="shared" si="6"/>
        <v>490</v>
      </c>
      <c r="CG24" s="276">
        <f t="shared" si="7"/>
        <v>501</v>
      </c>
      <c r="CH24" s="276">
        <f t="shared" si="8"/>
        <v>515</v>
      </c>
      <c r="CI24" s="276">
        <f t="shared" si="9"/>
        <v>507</v>
      </c>
      <c r="CJ24" s="276">
        <f t="shared" si="10"/>
        <v>502</v>
      </c>
      <c r="CK24" s="276">
        <f t="shared" si="53"/>
        <v>404.72222222222223</v>
      </c>
      <c r="CL24" s="276">
        <f t="shared" si="54"/>
        <v>421.94444444444446</v>
      </c>
      <c r="CM24" s="276">
        <f t="shared" si="55"/>
        <v>459.25</v>
      </c>
      <c r="CN24" s="276">
        <f t="shared" si="56"/>
        <v>515</v>
      </c>
      <c r="CO24" s="276">
        <f t="shared" si="57"/>
        <v>507</v>
      </c>
      <c r="CP24" s="276">
        <f t="shared" si="58"/>
        <v>502</v>
      </c>
      <c r="CQ24" s="39">
        <f t="shared" si="12"/>
        <v>1272</v>
      </c>
      <c r="CR24" s="39">
        <f t="shared" si="13"/>
        <v>1211</v>
      </c>
      <c r="CS24" s="277">
        <f t="shared" si="14"/>
        <v>1311.6666666666667</v>
      </c>
      <c r="CT24" s="39">
        <f t="shared" si="15"/>
        <v>1264.8888888888889</v>
      </c>
      <c r="CU24" s="39">
        <f t="shared" si="16"/>
        <v>1262.5185185185185</v>
      </c>
      <c r="CV24" s="39">
        <f t="shared" si="59"/>
        <v>1279.6913580246915</v>
      </c>
      <c r="CW24" s="297">
        <f t="shared" si="18"/>
        <v>3.1428963623884694</v>
      </c>
      <c r="CX24" s="279" t="str">
        <f t="shared" si="60"/>
        <v>Pass</v>
      </c>
      <c r="CY24" s="278">
        <f t="shared" si="19"/>
        <v>2.8700460829493086</v>
      </c>
      <c r="CZ24" s="279" t="str">
        <f t="shared" si="61"/>
        <v>Pass</v>
      </c>
      <c r="DA24" s="278">
        <f t="shared" si="20"/>
        <v>2.856105969878425</v>
      </c>
      <c r="DB24" s="292" t="str">
        <f t="shared" si="62"/>
        <v>Pass</v>
      </c>
      <c r="DC24" s="299">
        <f t="shared" si="63"/>
        <v>2.4560949298813375</v>
      </c>
      <c r="DD24" s="293" t="str">
        <f t="shared" si="64"/>
        <v>Pass</v>
      </c>
      <c r="DE24" s="299">
        <f t="shared" si="65"/>
        <v>2.4901745927386951</v>
      </c>
      <c r="DF24" s="293" t="str">
        <f t="shared" si="66"/>
        <v>Pass</v>
      </c>
      <c r="DG24" s="299">
        <f t="shared" si="67"/>
        <v>2.5491859721607399</v>
      </c>
      <c r="DH24" s="293" t="str">
        <f t="shared" si="68"/>
        <v>Pass</v>
      </c>
    </row>
    <row r="25" spans="1:112" ht="15" thickTop="1" thickBot="1">
      <c r="A25" s="38" t="s">
        <v>159</v>
      </c>
      <c r="B25" s="38" t="s">
        <v>160</v>
      </c>
      <c r="C25" s="38" t="s">
        <v>159</v>
      </c>
      <c r="D25" s="38" t="s">
        <v>116</v>
      </c>
      <c r="E25" s="38" t="str">
        <f>VLOOKUP(C25,PoliticalControl!A:K,11,FALSE)</f>
        <v>LAB</v>
      </c>
      <c r="F25" s="38" t="str">
        <f>VLOOKUP(C25,UrbanRuralClassification!A:N,13,FALSE)</f>
        <v>Urban with City and Town</v>
      </c>
      <c r="G25" s="38" t="str">
        <f>VLOOKUP(C25,UrbanRuralClassification!A:N,14,FALSE)</f>
        <v>Predominantly Urban</v>
      </c>
      <c r="H25" s="258">
        <f>IF(ISBLANK((VLOOKUP($A25,'local-plan-data'!$C$1:$AD$566,27,FALSE)))=TRUE,"",VLOOKUP($A25,'local-plan-data'!$C$1:$AD$566,27,FALSE))</f>
        <v>42389</v>
      </c>
      <c r="I25" s="259">
        <f>VLOOKUP($A25,'local-plan-data'!$C$1:$AD$566,28,FALSE)</f>
        <v>280</v>
      </c>
      <c r="J25" s="260">
        <f t="shared" si="21"/>
        <v>280</v>
      </c>
      <c r="K25" s="259">
        <f t="shared" si="22"/>
        <v>280</v>
      </c>
      <c r="L25" s="259">
        <f t="shared" si="22"/>
        <v>280</v>
      </c>
      <c r="M25" s="259">
        <f t="shared" si="22"/>
        <v>280</v>
      </c>
      <c r="N25" s="259" t="str">
        <f t="shared" si="22"/>
        <v>-</v>
      </c>
      <c r="O25" s="259" t="str">
        <f t="shared" si="22"/>
        <v>-</v>
      </c>
      <c r="P25" s="259" t="str">
        <f t="shared" si="22"/>
        <v>-</v>
      </c>
      <c r="Q25" s="259" t="str">
        <f t="shared" si="22"/>
        <v>-</v>
      </c>
      <c r="R25" s="259" t="str">
        <f t="shared" si="22"/>
        <v>-</v>
      </c>
      <c r="S25" s="259">
        <f t="shared" si="23"/>
        <v>1025</v>
      </c>
      <c r="T25" s="259">
        <f t="shared" si="23"/>
        <v>660</v>
      </c>
      <c r="U25" s="259">
        <f t="shared" si="23"/>
        <v>294</v>
      </c>
      <c r="V25" s="259">
        <f t="shared" si="23"/>
        <v>-71</v>
      </c>
      <c r="W25" s="259">
        <f t="shared" si="23"/>
        <v>-436</v>
      </c>
      <c r="X25" s="259">
        <f t="shared" si="23"/>
        <v>-801</v>
      </c>
      <c r="Y25" s="259">
        <f t="shared" si="23"/>
        <v>-1167</v>
      </c>
      <c r="Z25" s="259">
        <f t="shared" si="23"/>
        <v>-1532</v>
      </c>
      <c r="AA25" s="267">
        <f>(VLOOKUP(A25,Hshldprojections2014!$A$2:$AW$319,40, FALSE)-VLOOKUP(A25,Hshldprojections2014!$A$2:$AW$319,30, FALSE))/10</f>
        <v>103.6</v>
      </c>
      <c r="AB25" s="267">
        <f>(VLOOKUP(A25,Hshldprojections2014!$A$2:$AW$319,41, FALSE)-VLOOKUP(A25,Hshldprojections2014!$A$2:$AW$319,31, FALSE))/10</f>
        <v>109.9</v>
      </c>
      <c r="AC25" s="267">
        <f>(VLOOKUP(A25,Hshldprojections2014!$A$2:$AW$319,42, FALSE)-VLOOKUP(A25,Hshldprojections2014!$A$2:$AW$319,32, FALSE))/10</f>
        <v>117.3</v>
      </c>
      <c r="AD25" s="267">
        <f>IF(IndividualLATest!$J$7=2014,(VLOOKUP($A25,Hshldprojections2014!$A$2:$AY$326,43,FALSE)-VLOOKUP($A25,Hshldprojections2014!$A$2:$AY$326,33,FALSE))/10,IF(IndividualLATest!$J$7=2016,(VLOOKUP($A25,Hshldprojections2016!$A$1:$AQ$322,33,FALSE)-VLOOKUP($A25,Hshldprojections2016!$A$1:$AQ$322,23,FALSE))/10,(VLOOKUP($A25,Hshldprojections2018!$A$1:$AQ$327,33,FALSE)-VLOOKUP($A25,Hshldprojections2018!$A$1:$AQ$327,23,FALSE))/10))</f>
        <v>48.9</v>
      </c>
      <c r="AE25" s="267">
        <f>IF(IndividualLATest!$J$7=2014,(VLOOKUP($A25,Hshldprojections2014!$A$2:$AY$326,44,FALSE)-VLOOKUP($A25,Hshldprojections2014!$A$2:$AY$326,34,FALSE))/10,IF(IndividualLATest!$J$7=2016,(VLOOKUP($A25,Hshldprojections2016!$A$1:$AQ$322,34,FALSE)-VLOOKUP($A25,Hshldprojections2016!$A$1:$AQ$322,24,FALSE))/10,(VLOOKUP($A25,Hshldprojections2018!$A$1:$AQ$327,34,FALSE)-VLOOKUP($A25,Hshldprojections2018!$A$1:$AQ$327,24,FALSE))/10))</f>
        <v>62.8</v>
      </c>
      <c r="AF25" s="267">
        <f>IF(IndividualLATest!$J$7=2014,(VLOOKUP($A25,Hshldprojections2014!$A$2:$AY$326,45,FALSE)-VLOOKUP($A25,Hshldprojections2014!$A$2:$AY$326,35,FALSE))/10,IF(IndividualLATest!$J$7=2016,(VLOOKUP($A25,Hshldprojections2016!$A$1:$AQ$322,35,FALSE)-VLOOKUP($A25,Hshldprojections2016!$A$1:$AQ$322,25,FALSE))/10,(VLOOKUP($A25,Hshldprojections2018!$A$1:$AQ$327,35,FALSE)-VLOOKUP($A25,Hshldprojections2018!$A$1:$AQ$327,25,FALSE))/10))</f>
        <v>79.3</v>
      </c>
      <c r="AG25" s="267">
        <f>IF(IndividualLATest!$J$7=2014,(VLOOKUP($A25,Hshldprojections2014!$A$2:$AY$326,46,FALSE)-VLOOKUP($A25,Hshldprojections2014!$A$2:$AY$326,36,FALSE))/10,IF(IndividualLATest!$J$7=2016,(VLOOKUP($A25,Hshldprojections2016!$A$1:$AQ$322,36,FALSE)-VLOOKUP($A25,Hshldprojections2016!$A$1:$AQ$322,26,FALSE))/10,(VLOOKUP($A25,Hshldprojections2018!$A$1:$AQ$327,36,FALSE)-VLOOKUP($A25,Hshldprojections2018!$A$1:$AQ$327,26,FALSE))/10))</f>
        <v>94.2</v>
      </c>
      <c r="AH25" s="267">
        <f>IF(IndividualLATest!$J$7=2014,(VLOOKUP($A25,Hshldprojections2014!$A$2:$AY$326,47,FALSE)-VLOOKUP($A25,Hshldprojections2014!$A$2:$AY$326,37,FALSE))/10,IF(IndividualLATest!$J$7=2016,(VLOOKUP($A25,Hshldprojections2016!$A$1:$AQ$322,37,FALSE)-VLOOKUP($A25,Hshldprojections2016!$A$1:$AQ$322,27,FALSE))/10,(VLOOKUP($A25,Hshldprojections2018!$A$1:$AQ$327,37,FALSE)-VLOOKUP($A25,Hshldprojections2018!$A$1:$AQ$327,27,FALSE))/10))</f>
        <v>110.2</v>
      </c>
      <c r="AI25" s="268">
        <f>VLOOKUP($A25,AffordabilityRatio!$A$2:$I$321,5,FALSE)</f>
        <v>4.6500000000000004</v>
      </c>
      <c r="AJ25" s="268">
        <f>VLOOKUP($A25,AffordabilityRatio!$A$2:$I$321,6,FALSE)</f>
        <v>4.53</v>
      </c>
      <c r="AK25" s="268">
        <f>VLOOKUP($A25,AffordabilityRatio!$A$2:$I$321,7,FALSE)</f>
        <v>4.45</v>
      </c>
      <c r="AL25" s="268">
        <f>IF((VLOOKUP($A25,AffordabilityRatio!$A$2:$I$321,8,FALSE))="",AK25,VLOOKUP($A25,AffordabilityRatio!$A$2:$I$321,8,FALSE))</f>
        <v>4.75</v>
      </c>
      <c r="AM25" s="268">
        <f>IF((VLOOKUP($A25,AffordabilityRatio!$A$2:$I$321,9,FALSE))="",AL25,VLOOKUP($A25,AffordabilityRatio!$A$2:$I$321,9,FALSE))</f>
        <v>4.34</v>
      </c>
      <c r="AN25" s="268">
        <f>IF((VLOOKUP($A25,AffordabilityRatio!$A$2:$I$321,9,FALSE))="",AM25,VLOOKUP($A25,AffordabilityRatio!$A$2:$I$321,9,FALSE))</f>
        <v>4.34</v>
      </c>
      <c r="AO25" s="268">
        <f>IF((VLOOKUP($A25,AffordabilityRatio!$A$2:$I$321,9,FALSE))="",AN25,VLOOKUP($A25,AffordabilityRatio!$A$2:$I$321,9,FALSE))</f>
        <v>4.34</v>
      </c>
      <c r="AP25" s="268">
        <f>IF((VLOOKUP($A25,AffordabilityRatio!$A$2:$I$321,9,FALSE))="",AO25,VLOOKUP($A25,AffordabilityRatio!$A$2:$I$321,9,FALSE))</f>
        <v>4.34</v>
      </c>
      <c r="AQ25" s="267">
        <f t="shared" si="24"/>
        <v>108</v>
      </c>
      <c r="AR25" s="267">
        <f t="shared" si="25"/>
        <v>114</v>
      </c>
      <c r="AS25" s="267">
        <f t="shared" si="26"/>
        <v>121</v>
      </c>
      <c r="AT25" s="267">
        <f t="shared" si="27"/>
        <v>51</v>
      </c>
      <c r="AU25" s="267">
        <f t="shared" si="28"/>
        <v>64</v>
      </c>
      <c r="AV25" s="267">
        <f t="shared" si="29"/>
        <v>81</v>
      </c>
      <c r="AW25" s="267">
        <f t="shared" si="30"/>
        <v>96</v>
      </c>
      <c r="AX25" s="267">
        <f t="shared" si="31"/>
        <v>113</v>
      </c>
      <c r="AY25" s="267">
        <f t="shared" si="32"/>
        <v>108</v>
      </c>
      <c r="AZ25" s="267">
        <f t="shared" si="33"/>
        <v>114</v>
      </c>
      <c r="BA25" s="267">
        <f t="shared" si="34"/>
        <v>121</v>
      </c>
      <c r="BB25" s="267">
        <f t="shared" si="35"/>
        <v>51</v>
      </c>
      <c r="BC25" s="267">
        <f t="shared" si="36"/>
        <v>64</v>
      </c>
      <c r="BD25" s="267">
        <f t="shared" si="37"/>
        <v>81</v>
      </c>
      <c r="BE25" s="267">
        <f t="shared" si="38"/>
        <v>96</v>
      </c>
      <c r="BF25" s="267">
        <f t="shared" si="39"/>
        <v>113</v>
      </c>
      <c r="BG25" s="269">
        <f>AY25*VLOOKUP($B25,'Major Cities &amp; Towns'!$A$28:$B$345,2,FALSE)</f>
        <v>108</v>
      </c>
      <c r="BH25" s="269">
        <f>AZ25*VLOOKUP($B25,'Major Cities &amp; Towns'!$A$28:$B$345,2,FALSE)</f>
        <v>114</v>
      </c>
      <c r="BI25" s="269">
        <f>BA25*VLOOKUP($B25,'Major Cities &amp; Towns'!$A$28:$B$345,2,FALSE)</f>
        <v>121</v>
      </c>
      <c r="BJ25" s="269">
        <f>BB25*VLOOKUP($B25,'Major Cities &amp; Towns'!$A$28:$B$345,2,FALSE)</f>
        <v>51</v>
      </c>
      <c r="BK25" s="269">
        <f>BC25*VLOOKUP($B25,'Major Cities &amp; Towns'!$A$28:$B$345,2,FALSE)</f>
        <v>64</v>
      </c>
      <c r="BL25" s="269">
        <f>BD25*VLOOKUP($B25,'Major Cities &amp; Towns'!$A$28:$B$345,2,FALSE)</f>
        <v>81</v>
      </c>
      <c r="BM25" s="269">
        <f>BE25*VLOOKUP($B25,'Major Cities &amp; Towns'!$A$28:$B$345,2,FALSE)</f>
        <v>96</v>
      </c>
      <c r="BN25" s="269">
        <f>BF25*VLOOKUP($B25,'Major Cities &amp; Towns'!$A$28:$B$345,2,FALSE)</f>
        <v>113</v>
      </c>
      <c r="BO25" s="270">
        <f t="shared" si="40"/>
        <v>108</v>
      </c>
      <c r="BP25" s="270">
        <f t="shared" si="41"/>
        <v>114</v>
      </c>
      <c r="BQ25" s="270">
        <f t="shared" si="42"/>
        <v>121</v>
      </c>
      <c r="BR25" s="270">
        <f t="shared" si="43"/>
        <v>51</v>
      </c>
      <c r="BS25" s="270">
        <f t="shared" si="44"/>
        <v>64</v>
      </c>
      <c r="BT25" s="270">
        <f t="shared" si="45"/>
        <v>81</v>
      </c>
      <c r="BU25" s="270">
        <f t="shared" si="46"/>
        <v>96</v>
      </c>
      <c r="BV25" s="270">
        <f t="shared" si="47"/>
        <v>113</v>
      </c>
      <c r="BW25" s="39">
        <f>VLOOKUP($A25,NetAdditions!$A$2:$H$336,6,FALSE)</f>
        <v>368</v>
      </c>
      <c r="BX25" s="39">
        <f>VLOOKUP($A25,NetAdditions!$A$2:$H$336,7,FALSE)</f>
        <v>335</v>
      </c>
      <c r="BY25" s="39">
        <f>IF((VLOOKUP($C25,NetAdditions!$A$2:$H$336,8,FALSE))="",(AVERAGE(VLOOKUP($C25,NetAdditions!$A$2:$H$336,5,FALSE),VLOOKUP($C25,NetAdditions!$A$2:$H$336,6,FALSE),VLOOKUP($C25,NetAdditions!$A$2:$H$336,7,FALSE))),VLOOKUP($C25,NetAdditions!$A$2:$H$336,8,FALSE))</f>
        <v>161</v>
      </c>
      <c r="BZ25" s="39">
        <f t="shared" si="48"/>
        <v>288</v>
      </c>
      <c r="CA25" s="39">
        <f t="shared" si="49"/>
        <v>261.33333333333331</v>
      </c>
      <c r="CB25" s="39">
        <f t="shared" si="50"/>
        <v>236.77777777777774</v>
      </c>
      <c r="CC25" s="39">
        <f t="shared" si="51"/>
        <v>262.03703703703701</v>
      </c>
      <c r="CD25" s="39">
        <f t="shared" si="52"/>
        <v>253.38271604938268</v>
      </c>
      <c r="CE25" s="276">
        <f t="shared" si="5"/>
        <v>343</v>
      </c>
      <c r="CF25" s="276">
        <f t="shared" si="6"/>
        <v>286</v>
      </c>
      <c r="CG25" s="276">
        <f t="shared" si="7"/>
        <v>236</v>
      </c>
      <c r="CH25" s="276">
        <f t="shared" si="8"/>
        <v>196</v>
      </c>
      <c r="CI25" s="276">
        <f t="shared" si="9"/>
        <v>241</v>
      </c>
      <c r="CJ25" s="276">
        <f t="shared" si="10"/>
        <v>290</v>
      </c>
      <c r="CK25" s="276">
        <f t="shared" si="53"/>
        <v>295.36111111111114</v>
      </c>
      <c r="CL25" s="276">
        <f t="shared" si="54"/>
        <v>246.2777777777778</v>
      </c>
      <c r="CM25" s="276">
        <f t="shared" si="55"/>
        <v>216.33333333333331</v>
      </c>
      <c r="CN25" s="276">
        <f t="shared" si="56"/>
        <v>196</v>
      </c>
      <c r="CO25" s="276">
        <f t="shared" si="57"/>
        <v>241</v>
      </c>
      <c r="CP25" s="276">
        <f t="shared" si="58"/>
        <v>290</v>
      </c>
      <c r="CQ25" s="39">
        <f t="shared" si="12"/>
        <v>864</v>
      </c>
      <c r="CR25" s="39">
        <f t="shared" si="13"/>
        <v>784</v>
      </c>
      <c r="CS25" s="277">
        <f t="shared" si="14"/>
        <v>710.33333333333326</v>
      </c>
      <c r="CT25" s="39">
        <f t="shared" si="15"/>
        <v>786.11111111111097</v>
      </c>
      <c r="CU25" s="39">
        <f t="shared" si="16"/>
        <v>760.14814814814804</v>
      </c>
      <c r="CV25" s="39">
        <f t="shared" si="59"/>
        <v>752.19753086419746</v>
      </c>
      <c r="CW25" s="297">
        <f t="shared" si="18"/>
        <v>2.9252327659174266</v>
      </c>
      <c r="CX25" s="279" t="str">
        <f t="shared" si="60"/>
        <v>Pass</v>
      </c>
      <c r="CY25" s="278">
        <f t="shared" si="19"/>
        <v>3.1833972479133767</v>
      </c>
      <c r="CZ25" s="279" t="str">
        <f t="shared" si="61"/>
        <v>Pass</v>
      </c>
      <c r="DA25" s="278">
        <f t="shared" si="20"/>
        <v>3.2835130970724191</v>
      </c>
      <c r="DB25" s="292" t="str">
        <f t="shared" si="62"/>
        <v>Pass</v>
      </c>
      <c r="DC25" s="299">
        <f t="shared" si="63"/>
        <v>4.0107709750566887</v>
      </c>
      <c r="DD25" s="293" t="str">
        <f t="shared" si="64"/>
        <v>Pass</v>
      </c>
      <c r="DE25" s="299">
        <f t="shared" si="65"/>
        <v>3.1541416935607804</v>
      </c>
      <c r="DF25" s="293" t="str">
        <f t="shared" si="66"/>
        <v>Pass</v>
      </c>
      <c r="DG25" s="299">
        <f t="shared" si="67"/>
        <v>2.5937845891868876</v>
      </c>
      <c r="DH25" s="293" t="str">
        <f t="shared" si="68"/>
        <v>Pass</v>
      </c>
    </row>
    <row r="26" spans="1:112" ht="15" thickTop="1" thickBot="1">
      <c r="A26" s="38" t="s">
        <v>161</v>
      </c>
      <c r="B26" s="38" t="s">
        <v>162</v>
      </c>
      <c r="C26" s="38" t="s">
        <v>161</v>
      </c>
      <c r="D26" s="38" t="s">
        <v>119</v>
      </c>
      <c r="E26" s="38" t="str">
        <f>VLOOKUP(C26,PoliticalControl!A:K,11,FALSE)</f>
        <v>LAB</v>
      </c>
      <c r="F26" s="38" t="str">
        <f>VLOOKUP(C26,UrbanRuralClassification!A:N,13,FALSE)</f>
        <v>Urban with Significant Rural (rural including hub towns 26-49%)</v>
      </c>
      <c r="G26" s="38" t="str">
        <f>VLOOKUP(C26,UrbanRuralClassification!A:N,14,FALSE)</f>
        <v>Urban with Significant Rural</v>
      </c>
      <c r="H26" s="258">
        <f>IF(ISBLANK((VLOOKUP($A26,'local-plan-data'!$C$1:$AD$566,27,FALSE)))=TRUE,"",VLOOKUP($A26,'local-plan-data'!$C$1:$AD$566,27,FALSE))</f>
        <v>43894</v>
      </c>
      <c r="I26" s="259">
        <f>VLOOKUP($A26,'local-plan-data'!$C$1:$AD$566,28,FALSE)</f>
        <v>272</v>
      </c>
      <c r="J26" s="260">
        <f t="shared" si="21"/>
        <v>272</v>
      </c>
      <c r="K26" s="259">
        <f t="shared" si="22"/>
        <v>272</v>
      </c>
      <c r="L26" s="259">
        <f t="shared" si="22"/>
        <v>272</v>
      </c>
      <c r="M26" s="259">
        <f t="shared" si="22"/>
        <v>272</v>
      </c>
      <c r="N26" s="259">
        <f t="shared" si="22"/>
        <v>272</v>
      </c>
      <c r="O26" s="259">
        <f t="shared" si="22"/>
        <v>272</v>
      </c>
      <c r="P26" s="259">
        <f t="shared" si="22"/>
        <v>272</v>
      </c>
      <c r="Q26" s="259">
        <f t="shared" si="22"/>
        <v>272</v>
      </c>
      <c r="R26" s="259" t="str">
        <f t="shared" si="22"/>
        <v>-</v>
      </c>
      <c r="S26" s="259">
        <f t="shared" si="23"/>
        <v>2529</v>
      </c>
      <c r="T26" s="259">
        <f t="shared" si="23"/>
        <v>2164</v>
      </c>
      <c r="U26" s="259">
        <f t="shared" si="23"/>
        <v>1798</v>
      </c>
      <c r="V26" s="259">
        <f t="shared" si="23"/>
        <v>1433</v>
      </c>
      <c r="W26" s="259">
        <f t="shared" si="23"/>
        <v>1068</v>
      </c>
      <c r="X26" s="259">
        <f t="shared" si="23"/>
        <v>703</v>
      </c>
      <c r="Y26" s="259">
        <f t="shared" si="23"/>
        <v>337</v>
      </c>
      <c r="Z26" s="259">
        <f t="shared" si="23"/>
        <v>-28</v>
      </c>
      <c r="AA26" s="267">
        <f>(VLOOKUP(A26,Hshldprojections2014!$A$2:$AW$319,40, FALSE)-VLOOKUP(A26,Hshldprojections2014!$A$2:$AW$319,30, FALSE))/10</f>
        <v>218.9</v>
      </c>
      <c r="AB26" s="267">
        <f>(VLOOKUP(A26,Hshldprojections2014!$A$2:$AW$319,41, FALSE)-VLOOKUP(A26,Hshldprojections2014!$A$2:$AW$319,31, FALSE))/10</f>
        <v>211.4</v>
      </c>
      <c r="AC26" s="267">
        <f>(VLOOKUP(A26,Hshldprojections2014!$A$2:$AW$319,42, FALSE)-VLOOKUP(A26,Hshldprojections2014!$A$2:$AW$319,32, FALSE))/10</f>
        <v>204</v>
      </c>
      <c r="AD26" s="267">
        <f>IF(IndividualLATest!$J$7=2014,(VLOOKUP($A26,Hshldprojections2014!$A$2:$AY$326,43,FALSE)-VLOOKUP($A26,Hshldprojections2014!$A$2:$AY$326,33,FALSE))/10,IF(IndividualLATest!$J$7=2016,(VLOOKUP($A26,Hshldprojections2016!$A$1:$AQ$322,33,FALSE)-VLOOKUP($A26,Hshldprojections2016!$A$1:$AQ$322,23,FALSE))/10,(VLOOKUP($A26,Hshldprojections2018!$A$1:$AQ$327,33,FALSE)-VLOOKUP($A26,Hshldprojections2018!$A$1:$AQ$327,23,FALSE))/10))</f>
        <v>321.39999999999998</v>
      </c>
      <c r="AE26" s="267">
        <f>IF(IndividualLATest!$J$7=2014,(VLOOKUP($A26,Hshldprojections2014!$A$2:$AY$326,44,FALSE)-VLOOKUP($A26,Hshldprojections2014!$A$2:$AY$326,34,FALSE))/10,IF(IndividualLATest!$J$7=2016,(VLOOKUP($A26,Hshldprojections2016!$A$1:$AQ$322,34,FALSE)-VLOOKUP($A26,Hshldprojections2016!$A$1:$AQ$322,24,FALSE))/10,(VLOOKUP($A26,Hshldprojections2018!$A$1:$AQ$327,34,FALSE)-VLOOKUP($A26,Hshldprojections2018!$A$1:$AQ$327,24,FALSE))/10))</f>
        <v>313.7</v>
      </c>
      <c r="AF26" s="267">
        <f>IF(IndividualLATest!$J$7=2014,(VLOOKUP($A26,Hshldprojections2014!$A$2:$AY$326,45,FALSE)-VLOOKUP($A26,Hshldprojections2014!$A$2:$AY$326,35,FALSE))/10,IF(IndividualLATest!$J$7=2016,(VLOOKUP($A26,Hshldprojections2016!$A$1:$AQ$322,35,FALSE)-VLOOKUP($A26,Hshldprojections2016!$A$1:$AQ$322,25,FALSE))/10,(VLOOKUP($A26,Hshldprojections2018!$A$1:$AQ$327,35,FALSE)-VLOOKUP($A26,Hshldprojections2018!$A$1:$AQ$327,25,FALSE))/10))</f>
        <v>307.8</v>
      </c>
      <c r="AG26" s="267">
        <f>IF(IndividualLATest!$J$7=2014,(VLOOKUP($A26,Hshldprojections2014!$A$2:$AY$326,46,FALSE)-VLOOKUP($A26,Hshldprojections2014!$A$2:$AY$326,36,FALSE))/10,IF(IndividualLATest!$J$7=2016,(VLOOKUP($A26,Hshldprojections2016!$A$1:$AQ$322,36,FALSE)-VLOOKUP($A26,Hshldprojections2016!$A$1:$AQ$322,26,FALSE))/10,(VLOOKUP($A26,Hshldprojections2018!$A$1:$AQ$327,36,FALSE)-VLOOKUP($A26,Hshldprojections2018!$A$1:$AQ$327,26,FALSE))/10))</f>
        <v>300.8</v>
      </c>
      <c r="AH26" s="267">
        <f>IF(IndividualLATest!$J$7=2014,(VLOOKUP($A26,Hshldprojections2014!$A$2:$AY$326,47,FALSE)-VLOOKUP($A26,Hshldprojections2014!$A$2:$AY$326,37,FALSE))/10,IF(IndividualLATest!$J$7=2016,(VLOOKUP($A26,Hshldprojections2016!$A$1:$AQ$322,37,FALSE)-VLOOKUP($A26,Hshldprojections2016!$A$1:$AQ$322,27,FALSE))/10,(VLOOKUP($A26,Hshldprojections2018!$A$1:$AQ$327,37,FALSE)-VLOOKUP($A26,Hshldprojections2018!$A$1:$AQ$327,27,FALSE))/10))</f>
        <v>296.10000000000002</v>
      </c>
      <c r="AI26" s="268">
        <f>VLOOKUP($A26,AffordabilityRatio!$A$2:$I$321,5,FALSE)</f>
        <v>5.59</v>
      </c>
      <c r="AJ26" s="268">
        <f>VLOOKUP($A26,AffordabilityRatio!$A$2:$I$321,6,FALSE)</f>
        <v>5.4</v>
      </c>
      <c r="AK26" s="268">
        <f>VLOOKUP($A26,AffordabilityRatio!$A$2:$I$321,7,FALSE)</f>
        <v>5.57</v>
      </c>
      <c r="AL26" s="268">
        <f>IF((VLOOKUP($A26,AffordabilityRatio!$A$2:$I$321,8,FALSE))="",AK26,VLOOKUP($A26,AffordabilityRatio!$A$2:$I$321,8,FALSE))</f>
        <v>4.95</v>
      </c>
      <c r="AM26" s="268">
        <f>IF((VLOOKUP($A26,AffordabilityRatio!$A$2:$I$321,9,FALSE))="",AL26,VLOOKUP($A26,AffordabilityRatio!$A$2:$I$321,9,FALSE))</f>
        <v>6.07</v>
      </c>
      <c r="AN26" s="268">
        <f>IF((VLOOKUP($A26,AffordabilityRatio!$A$2:$I$321,9,FALSE))="",AM26,VLOOKUP($A26,AffordabilityRatio!$A$2:$I$321,9,FALSE))</f>
        <v>6.07</v>
      </c>
      <c r="AO26" s="268">
        <f>IF((VLOOKUP($A26,AffordabilityRatio!$A$2:$I$321,9,FALSE))="",AN26,VLOOKUP($A26,AffordabilityRatio!$A$2:$I$321,9,FALSE))</f>
        <v>6.07</v>
      </c>
      <c r="AP26" s="268">
        <f>IF((VLOOKUP($A26,AffordabilityRatio!$A$2:$I$321,9,FALSE))="",AO26,VLOOKUP($A26,AffordabilityRatio!$A$2:$I$321,9,FALSE))</f>
        <v>6.07</v>
      </c>
      <c r="AQ26" s="267">
        <f t="shared" si="24"/>
        <v>241</v>
      </c>
      <c r="AR26" s="267">
        <f t="shared" si="25"/>
        <v>230</v>
      </c>
      <c r="AS26" s="267">
        <f t="shared" si="26"/>
        <v>224</v>
      </c>
      <c r="AT26" s="267">
        <f t="shared" si="27"/>
        <v>340</v>
      </c>
      <c r="AU26" s="267">
        <f t="shared" si="28"/>
        <v>354</v>
      </c>
      <c r="AV26" s="267">
        <f t="shared" si="29"/>
        <v>348</v>
      </c>
      <c r="AW26" s="267">
        <f t="shared" si="30"/>
        <v>340</v>
      </c>
      <c r="AX26" s="267">
        <f t="shared" si="31"/>
        <v>334</v>
      </c>
      <c r="AY26" s="267">
        <f t="shared" si="32"/>
        <v>241</v>
      </c>
      <c r="AZ26" s="267">
        <f t="shared" si="33"/>
        <v>230</v>
      </c>
      <c r="BA26" s="267">
        <f t="shared" si="34"/>
        <v>224</v>
      </c>
      <c r="BB26" s="267">
        <f t="shared" si="35"/>
        <v>340</v>
      </c>
      <c r="BC26" s="267">
        <f t="shared" si="36"/>
        <v>354</v>
      </c>
      <c r="BD26" s="267">
        <f t="shared" si="37"/>
        <v>348</v>
      </c>
      <c r="BE26" s="267">
        <f t="shared" si="38"/>
        <v>340</v>
      </c>
      <c r="BF26" s="267">
        <f t="shared" si="39"/>
        <v>334</v>
      </c>
      <c r="BG26" s="269">
        <f>AY26*VLOOKUP($B26,'Major Cities &amp; Towns'!$A$28:$B$345,2,FALSE)</f>
        <v>241</v>
      </c>
      <c r="BH26" s="269">
        <f>AZ26*VLOOKUP($B26,'Major Cities &amp; Towns'!$A$28:$B$345,2,FALSE)</f>
        <v>230</v>
      </c>
      <c r="BI26" s="269">
        <f>BA26*VLOOKUP($B26,'Major Cities &amp; Towns'!$A$28:$B$345,2,FALSE)</f>
        <v>224</v>
      </c>
      <c r="BJ26" s="269">
        <f>BB26*VLOOKUP($B26,'Major Cities &amp; Towns'!$A$28:$B$345,2,FALSE)</f>
        <v>340</v>
      </c>
      <c r="BK26" s="269">
        <f>BC26*VLOOKUP($B26,'Major Cities &amp; Towns'!$A$28:$B$345,2,FALSE)</f>
        <v>354</v>
      </c>
      <c r="BL26" s="269">
        <f>BD26*VLOOKUP($B26,'Major Cities &amp; Towns'!$A$28:$B$345,2,FALSE)</f>
        <v>348</v>
      </c>
      <c r="BM26" s="269">
        <f>BE26*VLOOKUP($B26,'Major Cities &amp; Towns'!$A$28:$B$345,2,FALSE)</f>
        <v>340</v>
      </c>
      <c r="BN26" s="269">
        <f>BF26*VLOOKUP($B26,'Major Cities &amp; Towns'!$A$28:$B$345,2,FALSE)</f>
        <v>334</v>
      </c>
      <c r="BO26" s="270">
        <f t="shared" si="40"/>
        <v>241</v>
      </c>
      <c r="BP26" s="270">
        <f t="shared" si="41"/>
        <v>230</v>
      </c>
      <c r="BQ26" s="270">
        <f t="shared" si="42"/>
        <v>224</v>
      </c>
      <c r="BR26" s="270">
        <f t="shared" si="43"/>
        <v>272</v>
      </c>
      <c r="BS26" s="270">
        <f t="shared" si="44"/>
        <v>272</v>
      </c>
      <c r="BT26" s="270">
        <f t="shared" si="45"/>
        <v>272</v>
      </c>
      <c r="BU26" s="270">
        <f t="shared" si="46"/>
        <v>277.21643835616442</v>
      </c>
      <c r="BV26" s="270">
        <f t="shared" si="47"/>
        <v>334</v>
      </c>
      <c r="BW26" s="39">
        <f>VLOOKUP($A26,NetAdditions!$A$2:$H$336,6,FALSE)</f>
        <v>291</v>
      </c>
      <c r="BX26" s="39">
        <f>VLOOKUP($A26,NetAdditions!$A$2:$H$336,7,FALSE)</f>
        <v>439</v>
      </c>
      <c r="BY26" s="39">
        <f>IF((VLOOKUP($C26,NetAdditions!$A$2:$H$336,8,FALSE))="",(AVERAGE(VLOOKUP($C26,NetAdditions!$A$2:$H$336,5,FALSE),VLOOKUP($C26,NetAdditions!$A$2:$H$336,6,FALSE),VLOOKUP($C26,NetAdditions!$A$2:$H$336,7,FALSE))),VLOOKUP($C26,NetAdditions!$A$2:$H$336,8,FALSE))</f>
        <v>446</v>
      </c>
      <c r="BZ26" s="39">
        <f t="shared" si="48"/>
        <v>392</v>
      </c>
      <c r="CA26" s="39">
        <f t="shared" si="49"/>
        <v>425.66666666666669</v>
      </c>
      <c r="CB26" s="39">
        <f t="shared" si="50"/>
        <v>421.22222222222223</v>
      </c>
      <c r="CC26" s="39">
        <f t="shared" si="51"/>
        <v>412.96296296296299</v>
      </c>
      <c r="CD26" s="39">
        <f t="shared" si="52"/>
        <v>419.95061728395063</v>
      </c>
      <c r="CE26" s="276">
        <f t="shared" si="5"/>
        <v>695</v>
      </c>
      <c r="CF26" s="276">
        <f t="shared" si="6"/>
        <v>726</v>
      </c>
      <c r="CG26" s="276">
        <f t="shared" si="7"/>
        <v>768</v>
      </c>
      <c r="CH26" s="276">
        <f t="shared" si="8"/>
        <v>816</v>
      </c>
      <c r="CI26" s="276">
        <f t="shared" si="9"/>
        <v>821.21643835616442</v>
      </c>
      <c r="CJ26" s="276">
        <f t="shared" si="10"/>
        <v>883.21643835616442</v>
      </c>
      <c r="CK26" s="276">
        <f t="shared" si="53"/>
        <v>598.47222222222229</v>
      </c>
      <c r="CL26" s="276">
        <f t="shared" si="54"/>
        <v>625.16666666666674</v>
      </c>
      <c r="CM26" s="276">
        <f t="shared" si="55"/>
        <v>704</v>
      </c>
      <c r="CN26" s="276">
        <f t="shared" si="56"/>
        <v>816</v>
      </c>
      <c r="CO26" s="276">
        <f t="shared" si="57"/>
        <v>821.21643835616442</v>
      </c>
      <c r="CP26" s="276">
        <f t="shared" si="58"/>
        <v>883.21643835616442</v>
      </c>
      <c r="CQ26" s="39">
        <f t="shared" si="12"/>
        <v>1176</v>
      </c>
      <c r="CR26" s="39">
        <f t="shared" si="13"/>
        <v>1277</v>
      </c>
      <c r="CS26" s="277">
        <f t="shared" si="14"/>
        <v>1263.6666666666667</v>
      </c>
      <c r="CT26" s="39">
        <f t="shared" si="15"/>
        <v>1238.8888888888889</v>
      </c>
      <c r="CU26" s="39">
        <f t="shared" si="16"/>
        <v>1259.851851851852</v>
      </c>
      <c r="CV26" s="39">
        <f t="shared" si="59"/>
        <v>1254.1358024691358</v>
      </c>
      <c r="CW26" s="297">
        <f t="shared" si="18"/>
        <v>1.9650034810860986</v>
      </c>
      <c r="CX26" s="279" t="str">
        <f t="shared" si="60"/>
        <v>Pass</v>
      </c>
      <c r="CY26" s="278">
        <f t="shared" si="19"/>
        <v>2.0426552919221539</v>
      </c>
      <c r="CZ26" s="279" t="str">
        <f t="shared" si="61"/>
        <v>Pass</v>
      </c>
      <c r="DA26" s="278">
        <f t="shared" si="20"/>
        <v>1.7949810606060608</v>
      </c>
      <c r="DB26" s="292" t="str">
        <f t="shared" si="62"/>
        <v>Pass</v>
      </c>
      <c r="DC26" s="299">
        <f t="shared" si="63"/>
        <v>1.5182461873638344</v>
      </c>
      <c r="DD26" s="293" t="str">
        <f t="shared" si="64"/>
        <v>Pass</v>
      </c>
      <c r="DE26" s="299">
        <f t="shared" si="65"/>
        <v>1.5341288763942762</v>
      </c>
      <c r="DF26" s="293" t="str">
        <f t="shared" si="66"/>
        <v>Pass</v>
      </c>
      <c r="DG26" s="299">
        <f t="shared" si="67"/>
        <v>1.4199642896177562</v>
      </c>
      <c r="DH26" s="293" t="str">
        <f t="shared" si="68"/>
        <v>Pass</v>
      </c>
    </row>
    <row r="27" spans="1:112" ht="15" thickTop="1" thickBot="1">
      <c r="A27" s="38" t="s">
        <v>163</v>
      </c>
      <c r="B27" s="38" t="s">
        <v>164</v>
      </c>
      <c r="C27" s="38" t="s">
        <v>163</v>
      </c>
      <c r="D27" s="38" t="s">
        <v>116</v>
      </c>
      <c r="E27" s="38" t="str">
        <f>VLOOKUP(C27,PoliticalControl!A:K,11,FALSE)</f>
        <v>NOC</v>
      </c>
      <c r="F27" s="38" t="str">
        <f>VLOOKUP(C27,UrbanRuralClassification!A:N,13,FALSE)</f>
        <v>Urban with Major Conurbation</v>
      </c>
      <c r="G27" s="38" t="str">
        <f>VLOOKUP(C27,UrbanRuralClassification!A:N,14,FALSE)</f>
        <v>Predominantly Urban</v>
      </c>
      <c r="H27" s="258">
        <f>IF(ISBLANK((VLOOKUP($A27,'local-plan-data'!$C$1:$AD$566,27,FALSE)))=TRUE,"",VLOOKUP($A27,'local-plan-data'!$C$1:$AD$566,27,FALSE))</f>
        <v>40604</v>
      </c>
      <c r="I27" s="259">
        <f>VLOOKUP($A27,'local-plan-data'!$C$1:$AD$566,28,FALSE)</f>
        <v>694</v>
      </c>
      <c r="J27" s="260">
        <f t="shared" si="21"/>
        <v>694</v>
      </c>
      <c r="K27" s="259" t="str">
        <f t="shared" si="22"/>
        <v>-</v>
      </c>
      <c r="L27" s="259" t="str">
        <f t="shared" si="22"/>
        <v>-</v>
      </c>
      <c r="M27" s="259" t="str">
        <f t="shared" si="22"/>
        <v>-</v>
      </c>
      <c r="N27" s="259" t="str">
        <f t="shared" si="22"/>
        <v>-</v>
      </c>
      <c r="O27" s="259" t="str">
        <f t="shared" si="22"/>
        <v>-</v>
      </c>
      <c r="P27" s="259" t="str">
        <f t="shared" si="22"/>
        <v>-</v>
      </c>
      <c r="Q27" s="259" t="str">
        <f t="shared" si="22"/>
        <v>-</v>
      </c>
      <c r="R27" s="259" t="str">
        <f t="shared" si="22"/>
        <v>-</v>
      </c>
      <c r="S27" s="259">
        <f t="shared" si="23"/>
        <v>-760</v>
      </c>
      <c r="T27" s="259">
        <f t="shared" si="23"/>
        <v>-1125</v>
      </c>
      <c r="U27" s="259">
        <f t="shared" si="23"/>
        <v>-1491</v>
      </c>
      <c r="V27" s="259">
        <f t="shared" si="23"/>
        <v>-1856</v>
      </c>
      <c r="W27" s="259">
        <f t="shared" si="23"/>
        <v>-2221</v>
      </c>
      <c r="X27" s="259">
        <f t="shared" si="23"/>
        <v>-2586</v>
      </c>
      <c r="Y27" s="259">
        <f t="shared" si="23"/>
        <v>-2952</v>
      </c>
      <c r="Z27" s="259">
        <f t="shared" si="23"/>
        <v>-3317</v>
      </c>
      <c r="AA27" s="267">
        <f>(VLOOKUP(A27,Hshldprojections2014!$A$2:$AW$319,40, FALSE)-VLOOKUP(A27,Hshldprojections2014!$A$2:$AW$319,30, FALSE))/10</f>
        <v>734.1</v>
      </c>
      <c r="AB27" s="267">
        <f>(VLOOKUP(A27,Hshldprojections2014!$A$2:$AW$319,41, FALSE)-VLOOKUP(A27,Hshldprojections2014!$A$2:$AW$319,31, FALSE))/10</f>
        <v>725.1</v>
      </c>
      <c r="AC27" s="267">
        <f>(VLOOKUP(A27,Hshldprojections2014!$A$2:$AW$319,42, FALSE)-VLOOKUP(A27,Hshldprojections2014!$A$2:$AW$319,32, FALSE))/10</f>
        <v>716.8</v>
      </c>
      <c r="AD27" s="267">
        <f>IF(IndividualLATest!$J$7=2014,(VLOOKUP($A27,Hshldprojections2014!$A$2:$AY$326,43,FALSE)-VLOOKUP($A27,Hshldprojections2014!$A$2:$AY$326,33,FALSE))/10,IF(IndividualLATest!$J$7=2016,(VLOOKUP($A27,Hshldprojections2016!$A$1:$AQ$322,33,FALSE)-VLOOKUP($A27,Hshldprojections2016!$A$1:$AQ$322,23,FALSE))/10,(VLOOKUP($A27,Hshldprojections2018!$A$1:$AQ$327,33,FALSE)-VLOOKUP($A27,Hshldprojections2018!$A$1:$AQ$327,23,FALSE))/10))</f>
        <v>429.2</v>
      </c>
      <c r="AE27" s="267">
        <f>IF(IndividualLATest!$J$7=2014,(VLOOKUP($A27,Hshldprojections2014!$A$2:$AY$326,44,FALSE)-VLOOKUP($A27,Hshldprojections2014!$A$2:$AY$326,34,FALSE))/10,IF(IndividualLATest!$J$7=2016,(VLOOKUP($A27,Hshldprojections2016!$A$1:$AQ$322,34,FALSE)-VLOOKUP($A27,Hshldprojections2016!$A$1:$AQ$322,24,FALSE))/10,(VLOOKUP($A27,Hshldprojections2018!$A$1:$AQ$327,34,FALSE)-VLOOKUP($A27,Hshldprojections2018!$A$1:$AQ$327,24,FALSE))/10))</f>
        <v>426</v>
      </c>
      <c r="AF27" s="267">
        <f>IF(IndividualLATest!$J$7=2014,(VLOOKUP($A27,Hshldprojections2014!$A$2:$AY$326,45,FALSE)-VLOOKUP($A27,Hshldprojections2014!$A$2:$AY$326,35,FALSE))/10,IF(IndividualLATest!$J$7=2016,(VLOOKUP($A27,Hshldprojections2016!$A$1:$AQ$322,35,FALSE)-VLOOKUP($A27,Hshldprojections2016!$A$1:$AQ$322,25,FALSE))/10,(VLOOKUP($A27,Hshldprojections2018!$A$1:$AQ$327,35,FALSE)-VLOOKUP($A27,Hshldprojections2018!$A$1:$AQ$327,25,FALSE))/10))</f>
        <v>421.6</v>
      </c>
      <c r="AG27" s="267">
        <f>IF(IndividualLATest!$J$7=2014,(VLOOKUP($A27,Hshldprojections2014!$A$2:$AY$326,46,FALSE)-VLOOKUP($A27,Hshldprojections2014!$A$2:$AY$326,36,FALSE))/10,IF(IndividualLATest!$J$7=2016,(VLOOKUP($A27,Hshldprojections2016!$A$1:$AQ$322,36,FALSE)-VLOOKUP($A27,Hshldprojections2016!$A$1:$AQ$322,26,FALSE))/10,(VLOOKUP($A27,Hshldprojections2018!$A$1:$AQ$327,36,FALSE)-VLOOKUP($A27,Hshldprojections2018!$A$1:$AQ$327,26,FALSE))/10))</f>
        <v>422</v>
      </c>
      <c r="AH27" s="267">
        <f>IF(IndividualLATest!$J$7=2014,(VLOOKUP($A27,Hshldprojections2014!$A$2:$AY$326,47,FALSE)-VLOOKUP($A27,Hshldprojections2014!$A$2:$AY$326,37,FALSE))/10,IF(IndividualLATest!$J$7=2016,(VLOOKUP($A27,Hshldprojections2016!$A$1:$AQ$322,37,FALSE)-VLOOKUP($A27,Hshldprojections2016!$A$1:$AQ$322,27,FALSE))/10,(VLOOKUP($A27,Hshldprojections2018!$A$1:$AQ$327,37,FALSE)-VLOOKUP($A27,Hshldprojections2018!$A$1:$AQ$327,27,FALSE))/10))</f>
        <v>428.3</v>
      </c>
      <c r="AI27" s="268">
        <f>VLOOKUP($A27,AffordabilityRatio!$A$2:$I$321,5,FALSE)</f>
        <v>5.26</v>
      </c>
      <c r="AJ27" s="268">
        <f>VLOOKUP($A27,AffordabilityRatio!$A$2:$I$321,6,FALSE)</f>
        <v>5.35</v>
      </c>
      <c r="AK27" s="268">
        <f>VLOOKUP($A27,AffordabilityRatio!$A$2:$I$321,7,FALSE)</f>
        <v>5.34</v>
      </c>
      <c r="AL27" s="268">
        <f>IF((VLOOKUP($A27,AffordabilityRatio!$A$2:$I$321,8,FALSE))="",AK27,VLOOKUP($A27,AffordabilityRatio!$A$2:$I$321,8,FALSE))</f>
        <v>5.62</v>
      </c>
      <c r="AM27" s="268">
        <f>IF((VLOOKUP($A27,AffordabilityRatio!$A$2:$I$321,9,FALSE))="",AL27,VLOOKUP($A27,AffordabilityRatio!$A$2:$I$321,9,FALSE))</f>
        <v>6.02</v>
      </c>
      <c r="AN27" s="268">
        <f>IF((VLOOKUP($A27,AffordabilityRatio!$A$2:$I$321,9,FALSE))="",AM27,VLOOKUP($A27,AffordabilityRatio!$A$2:$I$321,9,FALSE))</f>
        <v>6.02</v>
      </c>
      <c r="AO27" s="268">
        <f>IF((VLOOKUP($A27,AffordabilityRatio!$A$2:$I$321,9,FALSE))="",AN27,VLOOKUP($A27,AffordabilityRatio!$A$2:$I$321,9,FALSE))</f>
        <v>6.02</v>
      </c>
      <c r="AP27" s="268">
        <f>IF((VLOOKUP($A27,AffordabilityRatio!$A$2:$I$321,9,FALSE))="",AO27,VLOOKUP($A27,AffordabilityRatio!$A$2:$I$321,9,FALSE))</f>
        <v>6.02</v>
      </c>
      <c r="AQ27" s="267">
        <f t="shared" si="24"/>
        <v>792</v>
      </c>
      <c r="AR27" s="267">
        <f t="shared" si="25"/>
        <v>786</v>
      </c>
      <c r="AS27" s="267">
        <f t="shared" si="26"/>
        <v>777</v>
      </c>
      <c r="AT27" s="267">
        <f t="shared" si="27"/>
        <v>473</v>
      </c>
      <c r="AU27" s="267">
        <f t="shared" si="28"/>
        <v>480</v>
      </c>
      <c r="AV27" s="267">
        <f t="shared" si="29"/>
        <v>475</v>
      </c>
      <c r="AW27" s="267">
        <f t="shared" si="30"/>
        <v>475</v>
      </c>
      <c r="AX27" s="267">
        <f t="shared" si="31"/>
        <v>482</v>
      </c>
      <c r="AY27" s="267">
        <f t="shared" si="32"/>
        <v>792</v>
      </c>
      <c r="AZ27" s="267">
        <f t="shared" si="33"/>
        <v>786</v>
      </c>
      <c r="BA27" s="267">
        <f t="shared" si="34"/>
        <v>777</v>
      </c>
      <c r="BB27" s="267">
        <f t="shared" si="35"/>
        <v>473</v>
      </c>
      <c r="BC27" s="267">
        <f t="shared" si="36"/>
        <v>480</v>
      </c>
      <c r="BD27" s="267">
        <f t="shared" si="37"/>
        <v>475</v>
      </c>
      <c r="BE27" s="267">
        <f t="shared" si="38"/>
        <v>475</v>
      </c>
      <c r="BF27" s="267">
        <f t="shared" si="39"/>
        <v>482</v>
      </c>
      <c r="BG27" s="269">
        <f>AY27*VLOOKUP($B27,'Major Cities &amp; Towns'!$A$28:$B$345,2,FALSE)</f>
        <v>792</v>
      </c>
      <c r="BH27" s="269">
        <f>AZ27*VLOOKUP($B27,'Major Cities &amp; Towns'!$A$28:$B$345,2,FALSE)</f>
        <v>786</v>
      </c>
      <c r="BI27" s="269">
        <f>BA27*VLOOKUP($B27,'Major Cities &amp; Towns'!$A$28:$B$345,2,FALSE)</f>
        <v>777</v>
      </c>
      <c r="BJ27" s="269">
        <f>BB27*VLOOKUP($B27,'Major Cities &amp; Towns'!$A$28:$B$345,2,FALSE)</f>
        <v>473</v>
      </c>
      <c r="BK27" s="269">
        <f>BC27*VLOOKUP($B27,'Major Cities &amp; Towns'!$A$28:$B$345,2,FALSE)</f>
        <v>480</v>
      </c>
      <c r="BL27" s="269">
        <f>BD27*VLOOKUP($B27,'Major Cities &amp; Towns'!$A$28:$B$345,2,FALSE)</f>
        <v>475</v>
      </c>
      <c r="BM27" s="269">
        <f>BE27*VLOOKUP($B27,'Major Cities &amp; Towns'!$A$28:$B$345,2,FALSE)</f>
        <v>475</v>
      </c>
      <c r="BN27" s="269">
        <f>BF27*VLOOKUP($B27,'Major Cities &amp; Towns'!$A$28:$B$345,2,FALSE)</f>
        <v>482</v>
      </c>
      <c r="BO27" s="270">
        <f t="shared" si="40"/>
        <v>792</v>
      </c>
      <c r="BP27" s="270">
        <f t="shared" si="41"/>
        <v>786</v>
      </c>
      <c r="BQ27" s="270">
        <f t="shared" si="42"/>
        <v>777</v>
      </c>
      <c r="BR27" s="270">
        <f t="shared" si="43"/>
        <v>473</v>
      </c>
      <c r="BS27" s="270">
        <f t="shared" si="44"/>
        <v>480</v>
      </c>
      <c r="BT27" s="270">
        <f t="shared" si="45"/>
        <v>475</v>
      </c>
      <c r="BU27" s="270">
        <f t="shared" si="46"/>
        <v>475</v>
      </c>
      <c r="BV27" s="270">
        <f t="shared" si="47"/>
        <v>482</v>
      </c>
      <c r="BW27" s="39">
        <f>VLOOKUP($A27,NetAdditions!$A$2:$H$336,6,FALSE)</f>
        <v>544</v>
      </c>
      <c r="BX27" s="39">
        <f>VLOOKUP($A27,NetAdditions!$A$2:$H$336,7,FALSE)</f>
        <v>463</v>
      </c>
      <c r="BY27" s="39">
        <f>IF((VLOOKUP($C27,NetAdditions!$A$2:$H$336,8,FALSE))="",(AVERAGE(VLOOKUP($C27,NetAdditions!$A$2:$H$336,5,FALSE),VLOOKUP($C27,NetAdditions!$A$2:$H$336,6,FALSE),VLOOKUP($C27,NetAdditions!$A$2:$H$336,7,FALSE))),VLOOKUP($C27,NetAdditions!$A$2:$H$336,8,FALSE))</f>
        <v>547</v>
      </c>
      <c r="BZ27" s="39">
        <f t="shared" si="48"/>
        <v>518</v>
      </c>
      <c r="CA27" s="39">
        <f t="shared" si="49"/>
        <v>509.33333333333331</v>
      </c>
      <c r="CB27" s="39">
        <f t="shared" si="50"/>
        <v>524.77777777777771</v>
      </c>
      <c r="CC27" s="39">
        <f t="shared" si="51"/>
        <v>517.37037037037032</v>
      </c>
      <c r="CD27" s="39">
        <f t="shared" si="52"/>
        <v>517.16049382716039</v>
      </c>
      <c r="CE27" s="276">
        <f t="shared" si="5"/>
        <v>2355</v>
      </c>
      <c r="CF27" s="276">
        <f t="shared" si="6"/>
        <v>2036</v>
      </c>
      <c r="CG27" s="276">
        <f t="shared" si="7"/>
        <v>1730</v>
      </c>
      <c r="CH27" s="276">
        <f t="shared" si="8"/>
        <v>1428</v>
      </c>
      <c r="CI27" s="276">
        <f t="shared" si="9"/>
        <v>1430</v>
      </c>
      <c r="CJ27" s="276">
        <f t="shared" si="10"/>
        <v>1432</v>
      </c>
      <c r="CK27" s="276">
        <f t="shared" si="53"/>
        <v>2027.9166666666667</v>
      </c>
      <c r="CL27" s="276">
        <f t="shared" si="54"/>
        <v>1753.2222222222224</v>
      </c>
      <c r="CM27" s="276">
        <f t="shared" si="55"/>
        <v>1585.8333333333333</v>
      </c>
      <c r="CN27" s="276">
        <f t="shared" si="56"/>
        <v>1428</v>
      </c>
      <c r="CO27" s="276">
        <f t="shared" si="57"/>
        <v>1430</v>
      </c>
      <c r="CP27" s="276">
        <f t="shared" si="58"/>
        <v>1432</v>
      </c>
      <c r="CQ27" s="39">
        <f t="shared" si="12"/>
        <v>1554</v>
      </c>
      <c r="CR27" s="39">
        <f t="shared" si="13"/>
        <v>1528</v>
      </c>
      <c r="CS27" s="277">
        <f t="shared" si="14"/>
        <v>1574.3333333333333</v>
      </c>
      <c r="CT27" s="39">
        <f t="shared" si="15"/>
        <v>1552.1111111111109</v>
      </c>
      <c r="CU27" s="39">
        <f t="shared" si="16"/>
        <v>1551.4814814814813</v>
      </c>
      <c r="CV27" s="39">
        <f t="shared" si="59"/>
        <v>1559.3086419753085</v>
      </c>
      <c r="CW27" s="297">
        <f t="shared" si="18"/>
        <v>0.76630367783028552</v>
      </c>
      <c r="CX27" s="279" t="str">
        <f t="shared" si="60"/>
        <v>Buffer and Action Plan</v>
      </c>
      <c r="CY27" s="278">
        <f t="shared" si="19"/>
        <v>0.87153812028645661</v>
      </c>
      <c r="CZ27" s="279" t="str">
        <f t="shared" si="61"/>
        <v>Action Plan</v>
      </c>
      <c r="DA27" s="278">
        <f t="shared" si="20"/>
        <v>0.99274829217025751</v>
      </c>
      <c r="DB27" s="292" t="str">
        <f t="shared" si="62"/>
        <v>Pass</v>
      </c>
      <c r="DC27" s="299">
        <f t="shared" si="63"/>
        <v>1.0869125427948956</v>
      </c>
      <c r="DD27" s="293" t="str">
        <f t="shared" si="64"/>
        <v>Pass</v>
      </c>
      <c r="DE27" s="299">
        <f t="shared" si="65"/>
        <v>1.0849520849520848</v>
      </c>
      <c r="DF27" s="293" t="str">
        <f t="shared" si="66"/>
        <v>Pass</v>
      </c>
      <c r="DG27" s="299">
        <f t="shared" si="67"/>
        <v>1.0889026829436512</v>
      </c>
      <c r="DH27" s="293" t="str">
        <f t="shared" si="68"/>
        <v>Pass</v>
      </c>
    </row>
    <row r="28" spans="1:112" ht="15" thickTop="1" thickBot="1">
      <c r="A28" s="38" t="s">
        <v>165</v>
      </c>
      <c r="B28" s="38" t="s">
        <v>166</v>
      </c>
      <c r="C28" s="38" t="s">
        <v>165</v>
      </c>
      <c r="D28" s="38" t="s">
        <v>119</v>
      </c>
      <c r="E28" s="38" t="str">
        <f>VLOOKUP(C28,PoliticalControl!A:K,11,FALSE)</f>
        <v>NOC</v>
      </c>
      <c r="F28" s="38" t="str">
        <f>VLOOKUP(C28,UrbanRuralClassification!A:N,13,FALSE)</f>
        <v>Urban with Significant Rural (rural including hub towns 26-49%)</v>
      </c>
      <c r="G28" s="38" t="str">
        <f>VLOOKUP(C28,UrbanRuralClassification!A:N,14,FALSE)</f>
        <v>Urban with Significant Rural</v>
      </c>
      <c r="H28" s="258">
        <f>IF(ISBLANK((VLOOKUP($A28,'local-plan-data'!$C$1:$AD$566,27,FALSE)))=TRUE,"",VLOOKUP($A28,'local-plan-data'!$C$1:$AD$566,27,FALSE))</f>
        <v>43532</v>
      </c>
      <c r="I28" s="259">
        <f>VLOOKUP($A28,'local-plan-data'!$C$1:$AD$566,28,FALSE)</f>
        <v>309.76</v>
      </c>
      <c r="J28" s="260">
        <f t="shared" si="21"/>
        <v>309.76</v>
      </c>
      <c r="K28" s="259">
        <f t="shared" si="22"/>
        <v>309.76</v>
      </c>
      <c r="L28" s="259">
        <f t="shared" si="22"/>
        <v>309.76</v>
      </c>
      <c r="M28" s="259">
        <f t="shared" si="22"/>
        <v>309.76</v>
      </c>
      <c r="N28" s="259">
        <f t="shared" si="22"/>
        <v>309.76</v>
      </c>
      <c r="O28" s="259">
        <f t="shared" si="22"/>
        <v>309.76</v>
      </c>
      <c r="P28" s="259">
        <f t="shared" si="22"/>
        <v>309.76</v>
      </c>
      <c r="Q28" s="259" t="str">
        <f t="shared" si="22"/>
        <v>-</v>
      </c>
      <c r="R28" s="259" t="str">
        <f t="shared" si="22"/>
        <v>-</v>
      </c>
      <c r="S28" s="259">
        <f t="shared" si="23"/>
        <v>2168</v>
      </c>
      <c r="T28" s="259">
        <f t="shared" si="23"/>
        <v>1803</v>
      </c>
      <c r="U28" s="259">
        <f t="shared" si="23"/>
        <v>1437</v>
      </c>
      <c r="V28" s="259">
        <f t="shared" si="23"/>
        <v>1072</v>
      </c>
      <c r="W28" s="259">
        <f t="shared" si="23"/>
        <v>707</v>
      </c>
      <c r="X28" s="259">
        <f t="shared" si="23"/>
        <v>342</v>
      </c>
      <c r="Y28" s="259">
        <f t="shared" si="23"/>
        <v>-24</v>
      </c>
      <c r="Z28" s="259">
        <f t="shared" si="23"/>
        <v>-389</v>
      </c>
      <c r="AA28" s="267">
        <f>(VLOOKUP(A28,Hshldprojections2014!$A$2:$AW$319,40, FALSE)-VLOOKUP(A28,Hshldprojections2014!$A$2:$AW$319,30, FALSE))/10</f>
        <v>217</v>
      </c>
      <c r="AB28" s="267">
        <f>(VLOOKUP(A28,Hshldprojections2014!$A$2:$AW$319,41, FALSE)-VLOOKUP(A28,Hshldprojections2014!$A$2:$AW$319,31, FALSE))/10</f>
        <v>214.4</v>
      </c>
      <c r="AC28" s="267">
        <f>(VLOOKUP(A28,Hshldprojections2014!$A$2:$AW$319,42, FALSE)-VLOOKUP(A28,Hshldprojections2014!$A$2:$AW$319,32, FALSE))/10</f>
        <v>212.2</v>
      </c>
      <c r="AD28" s="267">
        <f>IF(IndividualLATest!$J$7=2014,(VLOOKUP($A28,Hshldprojections2014!$A$2:$AY$326,43,FALSE)-VLOOKUP($A28,Hshldprojections2014!$A$2:$AY$326,33,FALSE))/10,IF(IndividualLATest!$J$7=2016,(VLOOKUP($A28,Hshldprojections2016!$A$1:$AQ$322,33,FALSE)-VLOOKUP($A28,Hshldprojections2016!$A$1:$AQ$322,23,FALSE))/10,(VLOOKUP($A28,Hshldprojections2018!$A$1:$AQ$327,33,FALSE)-VLOOKUP($A28,Hshldprojections2018!$A$1:$AQ$327,23,FALSE))/10))</f>
        <v>301.10000000000002</v>
      </c>
      <c r="AE28" s="267">
        <f>IF(IndividualLATest!$J$7=2014,(VLOOKUP($A28,Hshldprojections2014!$A$2:$AY$326,44,FALSE)-VLOOKUP($A28,Hshldprojections2014!$A$2:$AY$326,34,FALSE))/10,IF(IndividualLATest!$J$7=2016,(VLOOKUP($A28,Hshldprojections2016!$A$1:$AQ$322,34,FALSE)-VLOOKUP($A28,Hshldprojections2016!$A$1:$AQ$322,24,FALSE))/10,(VLOOKUP($A28,Hshldprojections2018!$A$1:$AQ$327,34,FALSE)-VLOOKUP($A28,Hshldprojections2018!$A$1:$AQ$327,24,FALSE))/10))</f>
        <v>295.39999999999998</v>
      </c>
      <c r="AF28" s="267">
        <f>IF(IndividualLATest!$J$7=2014,(VLOOKUP($A28,Hshldprojections2014!$A$2:$AY$326,45,FALSE)-VLOOKUP($A28,Hshldprojections2014!$A$2:$AY$326,35,FALSE))/10,IF(IndividualLATest!$J$7=2016,(VLOOKUP($A28,Hshldprojections2016!$A$1:$AQ$322,35,FALSE)-VLOOKUP($A28,Hshldprojections2016!$A$1:$AQ$322,25,FALSE))/10,(VLOOKUP($A28,Hshldprojections2018!$A$1:$AQ$327,35,FALSE)-VLOOKUP($A28,Hshldprojections2018!$A$1:$AQ$327,25,FALSE))/10))</f>
        <v>291.3</v>
      </c>
      <c r="AG28" s="267">
        <f>IF(IndividualLATest!$J$7=2014,(VLOOKUP($A28,Hshldprojections2014!$A$2:$AY$326,46,FALSE)-VLOOKUP($A28,Hshldprojections2014!$A$2:$AY$326,36,FALSE))/10,IF(IndividualLATest!$J$7=2016,(VLOOKUP($A28,Hshldprojections2016!$A$1:$AQ$322,36,FALSE)-VLOOKUP($A28,Hshldprojections2016!$A$1:$AQ$322,26,FALSE))/10,(VLOOKUP($A28,Hshldprojections2018!$A$1:$AQ$327,36,FALSE)-VLOOKUP($A28,Hshldprojections2018!$A$1:$AQ$327,26,FALSE))/10))</f>
        <v>286.8</v>
      </c>
      <c r="AH28" s="267">
        <f>IF(IndividualLATest!$J$7=2014,(VLOOKUP($A28,Hshldprojections2014!$A$2:$AY$326,47,FALSE)-VLOOKUP($A28,Hshldprojections2014!$A$2:$AY$326,37,FALSE))/10,IF(IndividualLATest!$J$7=2016,(VLOOKUP($A28,Hshldprojections2016!$A$1:$AQ$322,37,FALSE)-VLOOKUP($A28,Hshldprojections2016!$A$1:$AQ$322,27,FALSE))/10,(VLOOKUP($A28,Hshldprojections2018!$A$1:$AQ$327,37,FALSE)-VLOOKUP($A28,Hshldprojections2018!$A$1:$AQ$327,27,FALSE))/10))</f>
        <v>283.10000000000002</v>
      </c>
      <c r="AI28" s="268">
        <f>VLOOKUP($A28,AffordabilityRatio!$A$2:$I$321,5,FALSE)</f>
        <v>7.14</v>
      </c>
      <c r="AJ28" s="268">
        <f>VLOOKUP($A28,AffordabilityRatio!$A$2:$I$321,6,FALSE)</f>
        <v>6.92</v>
      </c>
      <c r="AK28" s="268">
        <f>VLOOKUP($A28,AffordabilityRatio!$A$2:$I$321,7,FALSE)</f>
        <v>6.78</v>
      </c>
      <c r="AL28" s="268">
        <f>IF((VLOOKUP($A28,AffordabilityRatio!$A$2:$I$321,8,FALSE))="",AK28,VLOOKUP($A28,AffordabilityRatio!$A$2:$I$321,8,FALSE))</f>
        <v>6.94</v>
      </c>
      <c r="AM28" s="268">
        <f>IF((VLOOKUP($A28,AffordabilityRatio!$A$2:$I$321,9,FALSE))="",AL28,VLOOKUP($A28,AffordabilityRatio!$A$2:$I$321,9,FALSE))</f>
        <v>7.58</v>
      </c>
      <c r="AN28" s="268">
        <f>IF((VLOOKUP($A28,AffordabilityRatio!$A$2:$I$321,9,FALSE))="",AM28,VLOOKUP($A28,AffordabilityRatio!$A$2:$I$321,9,FALSE))</f>
        <v>7.58</v>
      </c>
      <c r="AO28" s="268">
        <f>IF((VLOOKUP($A28,AffordabilityRatio!$A$2:$I$321,9,FALSE))="",AN28,VLOOKUP($A28,AffordabilityRatio!$A$2:$I$321,9,FALSE))</f>
        <v>7.58</v>
      </c>
      <c r="AP28" s="268">
        <f>IF((VLOOKUP($A28,AffordabilityRatio!$A$2:$I$321,9,FALSE))="",AO28,VLOOKUP($A28,AffordabilityRatio!$A$2:$I$321,9,FALSE))</f>
        <v>7.58</v>
      </c>
      <c r="AQ28" s="267">
        <f t="shared" si="24"/>
        <v>260</v>
      </c>
      <c r="AR28" s="267">
        <f t="shared" si="25"/>
        <v>254</v>
      </c>
      <c r="AS28" s="267">
        <f t="shared" si="26"/>
        <v>249</v>
      </c>
      <c r="AT28" s="267">
        <f t="shared" si="27"/>
        <v>356</v>
      </c>
      <c r="AU28" s="267">
        <f t="shared" si="28"/>
        <v>361</v>
      </c>
      <c r="AV28" s="267">
        <f t="shared" si="29"/>
        <v>356</v>
      </c>
      <c r="AW28" s="267">
        <f t="shared" si="30"/>
        <v>351</v>
      </c>
      <c r="AX28" s="267">
        <f t="shared" si="31"/>
        <v>346</v>
      </c>
      <c r="AY28" s="267">
        <f t="shared" si="32"/>
        <v>260</v>
      </c>
      <c r="AZ28" s="267">
        <f t="shared" si="33"/>
        <v>254</v>
      </c>
      <c r="BA28" s="267">
        <f t="shared" si="34"/>
        <v>249</v>
      </c>
      <c r="BB28" s="267">
        <f t="shared" si="35"/>
        <v>356</v>
      </c>
      <c r="BC28" s="267">
        <f t="shared" si="36"/>
        <v>361</v>
      </c>
      <c r="BD28" s="267">
        <f t="shared" si="37"/>
        <v>356</v>
      </c>
      <c r="BE28" s="267">
        <f t="shared" si="38"/>
        <v>351</v>
      </c>
      <c r="BF28" s="267">
        <f t="shared" si="39"/>
        <v>346</v>
      </c>
      <c r="BG28" s="269">
        <f>AY28*VLOOKUP($B28,'Major Cities &amp; Towns'!$A$28:$B$345,2,FALSE)</f>
        <v>260</v>
      </c>
      <c r="BH28" s="269">
        <f>AZ28*VLOOKUP($B28,'Major Cities &amp; Towns'!$A$28:$B$345,2,FALSE)</f>
        <v>254</v>
      </c>
      <c r="BI28" s="269">
        <f>BA28*VLOOKUP($B28,'Major Cities &amp; Towns'!$A$28:$B$345,2,FALSE)</f>
        <v>249</v>
      </c>
      <c r="BJ28" s="269">
        <f>BB28*VLOOKUP($B28,'Major Cities &amp; Towns'!$A$28:$B$345,2,FALSE)</f>
        <v>356</v>
      </c>
      <c r="BK28" s="269">
        <f>BC28*VLOOKUP($B28,'Major Cities &amp; Towns'!$A$28:$B$345,2,FALSE)</f>
        <v>361</v>
      </c>
      <c r="BL28" s="269">
        <f>BD28*VLOOKUP($B28,'Major Cities &amp; Towns'!$A$28:$B$345,2,FALSE)</f>
        <v>356</v>
      </c>
      <c r="BM28" s="269">
        <f>BE28*VLOOKUP($B28,'Major Cities &amp; Towns'!$A$28:$B$345,2,FALSE)</f>
        <v>351</v>
      </c>
      <c r="BN28" s="269">
        <f>BF28*VLOOKUP($B28,'Major Cities &amp; Towns'!$A$28:$B$345,2,FALSE)</f>
        <v>346</v>
      </c>
      <c r="BO28" s="270">
        <f t="shared" si="40"/>
        <v>260</v>
      </c>
      <c r="BP28" s="270">
        <f t="shared" si="41"/>
        <v>254</v>
      </c>
      <c r="BQ28" s="270">
        <f t="shared" si="42"/>
        <v>249</v>
      </c>
      <c r="BR28" s="270">
        <f t="shared" si="43"/>
        <v>309.76</v>
      </c>
      <c r="BS28" s="270">
        <f t="shared" si="44"/>
        <v>309.76</v>
      </c>
      <c r="BT28" s="270">
        <f t="shared" si="45"/>
        <v>312.67375342465755</v>
      </c>
      <c r="BU28" s="270">
        <f t="shared" si="46"/>
        <v>351</v>
      </c>
      <c r="BV28" s="270">
        <f t="shared" si="47"/>
        <v>346</v>
      </c>
      <c r="BW28" s="39">
        <f>VLOOKUP($A28,NetAdditions!$A$2:$H$336,6,FALSE)</f>
        <v>429</v>
      </c>
      <c r="BX28" s="39">
        <f>VLOOKUP($A28,NetAdditions!$A$2:$H$336,7,FALSE)</f>
        <v>324</v>
      </c>
      <c r="BY28" s="39">
        <f>IF((VLOOKUP($C28,NetAdditions!$A$2:$H$336,8,FALSE))="",(AVERAGE(VLOOKUP($C28,NetAdditions!$A$2:$H$336,5,FALSE),VLOOKUP($C28,NetAdditions!$A$2:$H$336,6,FALSE),VLOOKUP($C28,NetAdditions!$A$2:$H$336,7,FALSE))),VLOOKUP($C28,NetAdditions!$A$2:$H$336,8,FALSE))</f>
        <v>294</v>
      </c>
      <c r="BZ28" s="39">
        <f t="shared" si="48"/>
        <v>349</v>
      </c>
      <c r="CA28" s="39">
        <f t="shared" si="49"/>
        <v>322.33333333333331</v>
      </c>
      <c r="CB28" s="39">
        <f t="shared" si="50"/>
        <v>321.77777777777777</v>
      </c>
      <c r="CC28" s="39">
        <f t="shared" si="51"/>
        <v>331.03703703703701</v>
      </c>
      <c r="CD28" s="39">
        <f t="shared" si="52"/>
        <v>325.04938271604937</v>
      </c>
      <c r="CE28" s="276">
        <f t="shared" si="5"/>
        <v>763</v>
      </c>
      <c r="CF28" s="276">
        <f t="shared" si="6"/>
        <v>812.76</v>
      </c>
      <c r="CG28" s="276">
        <f t="shared" si="7"/>
        <v>868.52</v>
      </c>
      <c r="CH28" s="276">
        <f t="shared" si="8"/>
        <v>932.19375342465753</v>
      </c>
      <c r="CI28" s="276">
        <f t="shared" si="9"/>
        <v>973.43375342465754</v>
      </c>
      <c r="CJ28" s="276">
        <f t="shared" si="10"/>
        <v>1009.6737534246575</v>
      </c>
      <c r="CK28" s="276">
        <f t="shared" si="53"/>
        <v>657.02777777777783</v>
      </c>
      <c r="CL28" s="276">
        <f t="shared" si="54"/>
        <v>699.87666666666667</v>
      </c>
      <c r="CM28" s="276">
        <f t="shared" si="55"/>
        <v>796.14333333333332</v>
      </c>
      <c r="CN28" s="276">
        <f t="shared" si="56"/>
        <v>932.19375342465753</v>
      </c>
      <c r="CO28" s="276">
        <f t="shared" si="57"/>
        <v>973.43375342465754</v>
      </c>
      <c r="CP28" s="276">
        <f t="shared" si="58"/>
        <v>1009.6737534246575</v>
      </c>
      <c r="CQ28" s="39">
        <f t="shared" si="12"/>
        <v>1047</v>
      </c>
      <c r="CR28" s="39">
        <f t="shared" si="13"/>
        <v>967</v>
      </c>
      <c r="CS28" s="277">
        <f t="shared" si="14"/>
        <v>965.33333333333326</v>
      </c>
      <c r="CT28" s="39">
        <f t="shared" si="15"/>
        <v>993.11111111111109</v>
      </c>
      <c r="CU28" s="39">
        <f t="shared" si="16"/>
        <v>975.14814814814804</v>
      </c>
      <c r="CV28" s="39">
        <f t="shared" si="59"/>
        <v>977.8641975308642</v>
      </c>
      <c r="CW28" s="297">
        <f t="shared" si="18"/>
        <v>1.5935399315097449</v>
      </c>
      <c r="CX28" s="279" t="str">
        <f t="shared" si="60"/>
        <v>Pass</v>
      </c>
      <c r="CY28" s="278">
        <f t="shared" si="19"/>
        <v>1.3816720088777548</v>
      </c>
      <c r="CZ28" s="279" t="str">
        <f t="shared" si="61"/>
        <v>Pass</v>
      </c>
      <c r="DA28" s="278">
        <f t="shared" si="20"/>
        <v>1.2125119848603476</v>
      </c>
      <c r="DB28" s="292" t="str">
        <f t="shared" si="62"/>
        <v>Pass</v>
      </c>
      <c r="DC28" s="299">
        <f t="shared" si="63"/>
        <v>1.0653483864943931</v>
      </c>
      <c r="DD28" s="293" t="str">
        <f t="shared" si="64"/>
        <v>Pass</v>
      </c>
      <c r="DE28" s="299">
        <f t="shared" si="65"/>
        <v>1.0017611827383825</v>
      </c>
      <c r="DF28" s="293" t="str">
        <f t="shared" si="66"/>
        <v>Pass</v>
      </c>
      <c r="DG28" s="299">
        <f t="shared" si="67"/>
        <v>0.96849521364113877</v>
      </c>
      <c r="DH28" s="293" t="str">
        <f t="shared" si="68"/>
        <v>Pass</v>
      </c>
    </row>
    <row r="29" spans="1:112" ht="15" thickTop="1" thickBot="1">
      <c r="A29" s="38" t="s">
        <v>167</v>
      </c>
      <c r="B29" s="38" t="s">
        <v>168</v>
      </c>
      <c r="C29" s="38" t="s">
        <v>167</v>
      </c>
      <c r="D29" s="38" t="s">
        <v>147</v>
      </c>
      <c r="E29" s="38" t="str">
        <f>VLOOKUP(C29,PoliticalControl!A:K,11,FALSE)</f>
        <v>NOC</v>
      </c>
      <c r="F29" s="38" t="str">
        <f>VLOOKUP(C29,UrbanRuralClassification!A:N,13,FALSE)</f>
        <v>Urban with City and Town</v>
      </c>
      <c r="G29" s="38" t="str">
        <f>VLOOKUP(C29,UrbanRuralClassification!A:N,14,FALSE)</f>
        <v>Predominantly Urban</v>
      </c>
      <c r="H29" s="258" t="str">
        <f>IF(ISBLANK((VLOOKUP($A29,'local-plan-data'!$C$1:$AD$566,27,FALSE)))=TRUE,"",VLOOKUP($A29,'local-plan-data'!$C$1:$AD$566,27,FALSE))</f>
        <v/>
      </c>
      <c r="I29" s="259" t="str">
        <f>VLOOKUP($A29,'local-plan-data'!$C$1:$AD$566,28,FALSE)</f>
        <v/>
      </c>
      <c r="J29" s="260" t="str">
        <f t="shared" si="21"/>
        <v>-</v>
      </c>
      <c r="K29" s="259" t="str">
        <f t="shared" si="22"/>
        <v>-</v>
      </c>
      <c r="L29" s="259" t="str">
        <f t="shared" si="22"/>
        <v>-</v>
      </c>
      <c r="M29" s="259" t="str">
        <f t="shared" si="22"/>
        <v>-</v>
      </c>
      <c r="N29" s="259" t="str">
        <f t="shared" si="22"/>
        <v>-</v>
      </c>
      <c r="O29" s="259" t="str">
        <f t="shared" si="22"/>
        <v>-</v>
      </c>
      <c r="P29" s="259" t="str">
        <f t="shared" si="22"/>
        <v>-</v>
      </c>
      <c r="Q29" s="259" t="str">
        <f t="shared" si="22"/>
        <v>-</v>
      </c>
      <c r="R29" s="259" t="str">
        <f t="shared" si="22"/>
        <v>-</v>
      </c>
      <c r="S29" s="259" t="str">
        <f t="shared" si="23"/>
        <v>-</v>
      </c>
      <c r="T29" s="259" t="str">
        <f t="shared" si="23"/>
        <v>-</v>
      </c>
      <c r="U29" s="259" t="str">
        <f t="shared" si="23"/>
        <v>-</v>
      </c>
      <c r="V29" s="259" t="str">
        <f t="shared" si="23"/>
        <v>-</v>
      </c>
      <c r="W29" s="259" t="str">
        <f t="shared" si="23"/>
        <v>-</v>
      </c>
      <c r="X29" s="259" t="str">
        <f t="shared" si="23"/>
        <v>-</v>
      </c>
      <c r="Y29" s="259" t="str">
        <f t="shared" si="23"/>
        <v>-</v>
      </c>
      <c r="Z29" s="259" t="str">
        <f t="shared" si="23"/>
        <v>-</v>
      </c>
      <c r="AA29" s="267">
        <f>(VLOOKUP(A29,Hshldprojections2014!$A$2:$AW$319,40, FALSE)-VLOOKUP(A29,Hshldprojections2014!$A$2:$AW$319,30, FALSE))/10</f>
        <v>1957.1</v>
      </c>
      <c r="AB29" s="267">
        <f>(VLOOKUP(A29,Hshldprojections2014!$A$2:$AW$319,41, FALSE)-VLOOKUP(A29,Hshldprojections2014!$A$2:$AW$319,31, FALSE))/10</f>
        <v>1964.6</v>
      </c>
      <c r="AC29" s="267">
        <f>(VLOOKUP(A29,Hshldprojections2014!$A$2:$AW$319,42, FALSE)-VLOOKUP(A29,Hshldprojections2014!$A$2:$AW$319,32, FALSE))/10</f>
        <v>1975</v>
      </c>
      <c r="AD29" s="267">
        <f>IF(IndividualLATest!$J$7=2014,(VLOOKUP($A29,Hshldprojections2014!$A$2:$AY$326,43,FALSE)-VLOOKUP($A29,Hshldprojections2014!$A$2:$AY$326,33,FALSE))/10,IF(IndividualLATest!$J$7=2016,(VLOOKUP($A29,Hshldprojections2016!$A$1:$AQ$322,33,FALSE)-VLOOKUP($A29,Hshldprojections2016!$A$1:$AQ$322,23,FALSE))/10,(VLOOKUP($A29,Hshldprojections2018!$A$1:$AQ$327,33,FALSE)-VLOOKUP($A29,Hshldprojections2018!$A$1:$AQ$327,23,FALSE))/10))</f>
        <v>743.6</v>
      </c>
      <c r="AE29" s="267">
        <f>IF(IndividualLATest!$J$7=2014,(VLOOKUP($A29,Hshldprojections2014!$A$2:$AY$326,44,FALSE)-VLOOKUP($A29,Hshldprojections2014!$A$2:$AY$326,34,FALSE))/10,IF(IndividualLATest!$J$7=2016,(VLOOKUP($A29,Hshldprojections2016!$A$1:$AQ$322,34,FALSE)-VLOOKUP($A29,Hshldprojections2016!$A$1:$AQ$322,24,FALSE))/10,(VLOOKUP($A29,Hshldprojections2018!$A$1:$AQ$327,34,FALSE)-VLOOKUP($A29,Hshldprojections2018!$A$1:$AQ$327,24,FALSE))/10))</f>
        <v>756.8</v>
      </c>
      <c r="AF29" s="267">
        <f>IF(IndividualLATest!$J$7=2014,(VLOOKUP($A29,Hshldprojections2014!$A$2:$AY$326,45,FALSE)-VLOOKUP($A29,Hshldprojections2014!$A$2:$AY$326,35,FALSE))/10,IF(IndividualLATest!$J$7=2016,(VLOOKUP($A29,Hshldprojections2016!$A$1:$AQ$322,35,FALSE)-VLOOKUP($A29,Hshldprojections2016!$A$1:$AQ$322,25,FALSE))/10,(VLOOKUP($A29,Hshldprojections2018!$A$1:$AQ$327,35,FALSE)-VLOOKUP($A29,Hshldprojections2018!$A$1:$AQ$327,25,FALSE))/10))</f>
        <v>763</v>
      </c>
      <c r="AG29" s="267">
        <f>IF(IndividualLATest!$J$7=2014,(VLOOKUP($A29,Hshldprojections2014!$A$2:$AY$326,46,FALSE)-VLOOKUP($A29,Hshldprojections2014!$A$2:$AY$326,36,FALSE))/10,IF(IndividualLATest!$J$7=2016,(VLOOKUP($A29,Hshldprojections2016!$A$1:$AQ$322,36,FALSE)-VLOOKUP($A29,Hshldprojections2016!$A$1:$AQ$322,26,FALSE))/10,(VLOOKUP($A29,Hshldprojections2018!$A$1:$AQ$327,36,FALSE)-VLOOKUP($A29,Hshldprojections2018!$A$1:$AQ$327,26,FALSE))/10))</f>
        <v>756</v>
      </c>
      <c r="AH29" s="267">
        <f>IF(IndividualLATest!$J$7=2014,(VLOOKUP($A29,Hshldprojections2014!$A$2:$AY$326,47,FALSE)-VLOOKUP($A29,Hshldprojections2014!$A$2:$AY$326,37,FALSE))/10,IF(IndividualLATest!$J$7=2016,(VLOOKUP($A29,Hshldprojections2016!$A$1:$AQ$322,37,FALSE)-VLOOKUP($A29,Hshldprojections2016!$A$1:$AQ$322,27,FALSE))/10,(VLOOKUP($A29,Hshldprojections2018!$A$1:$AQ$327,37,FALSE)-VLOOKUP($A29,Hshldprojections2018!$A$1:$AQ$327,27,FALSE))/10))</f>
        <v>743.7</v>
      </c>
      <c r="AI29" s="268">
        <f>VLOOKUP($A29,AffordabilityRatio!$A$2:$I$321,5,FALSE)</f>
        <v>9.64</v>
      </c>
      <c r="AJ29" s="268">
        <f>VLOOKUP($A29,AffordabilityRatio!$A$2:$I$321,6,FALSE)</f>
        <v>9.1999999999999993</v>
      </c>
      <c r="AK29" s="268">
        <f>VLOOKUP($A29,AffordabilityRatio!$A$2:$I$321,7,FALSE)</f>
        <v>9.34</v>
      </c>
      <c r="AL29" s="268">
        <f>IF((VLOOKUP($A29,AffordabilityRatio!$A$2:$I$321,8,FALSE))="",AK29,VLOOKUP($A29,AffordabilityRatio!$A$2:$I$321,8,FALSE))</f>
        <v>9.73</v>
      </c>
      <c r="AM29" s="268">
        <f>IF((VLOOKUP($A29,AffordabilityRatio!$A$2:$I$321,9,FALSE))="",AL29,VLOOKUP($A29,AffordabilityRatio!$A$2:$I$321,9,FALSE))</f>
        <v>11.17</v>
      </c>
      <c r="AN29" s="268">
        <f>IF((VLOOKUP($A29,AffordabilityRatio!$A$2:$I$321,9,FALSE))="",AM29,VLOOKUP($A29,AffordabilityRatio!$A$2:$I$321,9,FALSE))</f>
        <v>11.17</v>
      </c>
      <c r="AO29" s="268">
        <f>IF((VLOOKUP($A29,AffordabilityRatio!$A$2:$I$321,9,FALSE))="",AN29,VLOOKUP($A29,AffordabilityRatio!$A$2:$I$321,9,FALSE))</f>
        <v>11.17</v>
      </c>
      <c r="AP29" s="268">
        <f>IF((VLOOKUP($A29,AffordabilityRatio!$A$2:$I$321,9,FALSE))="",AO29,VLOOKUP($A29,AffordabilityRatio!$A$2:$I$321,9,FALSE))</f>
        <v>11.17</v>
      </c>
      <c r="AQ29" s="267">
        <f t="shared" si="24"/>
        <v>2647</v>
      </c>
      <c r="AR29" s="267">
        <f t="shared" si="25"/>
        <v>2603</v>
      </c>
      <c r="AS29" s="267">
        <f t="shared" si="26"/>
        <v>2634</v>
      </c>
      <c r="AT29" s="267">
        <f t="shared" si="27"/>
        <v>1010</v>
      </c>
      <c r="AU29" s="267">
        <f t="shared" si="28"/>
        <v>1096</v>
      </c>
      <c r="AV29" s="267">
        <f t="shared" si="29"/>
        <v>1105</v>
      </c>
      <c r="AW29" s="267">
        <f t="shared" si="30"/>
        <v>1095</v>
      </c>
      <c r="AX29" s="267">
        <f t="shared" si="31"/>
        <v>1077</v>
      </c>
      <c r="AY29" s="267">
        <f t="shared" si="32"/>
        <v>2647</v>
      </c>
      <c r="AZ29" s="267">
        <f t="shared" si="33"/>
        <v>2603</v>
      </c>
      <c r="BA29" s="267">
        <f t="shared" si="34"/>
        <v>2634</v>
      </c>
      <c r="BB29" s="267">
        <f t="shared" si="35"/>
        <v>1010</v>
      </c>
      <c r="BC29" s="267">
        <f t="shared" si="36"/>
        <v>1059.52</v>
      </c>
      <c r="BD29" s="267">
        <f t="shared" si="37"/>
        <v>1068.2</v>
      </c>
      <c r="BE29" s="267">
        <f t="shared" si="38"/>
        <v>1058.4000000000001</v>
      </c>
      <c r="BF29" s="267">
        <f t="shared" si="39"/>
        <v>1041.18</v>
      </c>
      <c r="BG29" s="269">
        <f>AY29*VLOOKUP($B29,'Major Cities &amp; Towns'!$A$28:$B$345,2,FALSE)</f>
        <v>2647</v>
      </c>
      <c r="BH29" s="269">
        <f>AZ29*VLOOKUP($B29,'Major Cities &amp; Towns'!$A$28:$B$345,2,FALSE)</f>
        <v>2603</v>
      </c>
      <c r="BI29" s="269">
        <f>BA29*VLOOKUP($B29,'Major Cities &amp; Towns'!$A$28:$B$345,2,FALSE)</f>
        <v>2634</v>
      </c>
      <c r="BJ29" s="269">
        <f>BB29*VLOOKUP($B29,'Major Cities &amp; Towns'!$A$28:$B$345,2,FALSE)</f>
        <v>1010</v>
      </c>
      <c r="BK29" s="269">
        <f>BC29*VLOOKUP($B29,'Major Cities &amp; Towns'!$A$28:$B$345,2,FALSE)</f>
        <v>1059.52</v>
      </c>
      <c r="BL29" s="269">
        <f>BD29*VLOOKUP($B29,'Major Cities &amp; Towns'!$A$28:$B$345,2,FALSE)</f>
        <v>1068.2</v>
      </c>
      <c r="BM29" s="269">
        <f>BE29*VLOOKUP($B29,'Major Cities &amp; Towns'!$A$28:$B$345,2,FALSE)</f>
        <v>1058.4000000000001</v>
      </c>
      <c r="BN29" s="269">
        <f>BF29*VLOOKUP($B29,'Major Cities &amp; Towns'!$A$28:$B$345,2,FALSE)</f>
        <v>1041.18</v>
      </c>
      <c r="BO29" s="270">
        <f t="shared" si="40"/>
        <v>2647</v>
      </c>
      <c r="BP29" s="270">
        <f t="shared" si="41"/>
        <v>2603</v>
      </c>
      <c r="BQ29" s="270">
        <f t="shared" si="42"/>
        <v>2634</v>
      </c>
      <c r="BR29" s="270">
        <f t="shared" si="43"/>
        <v>1010</v>
      </c>
      <c r="BS29" s="270">
        <f t="shared" si="44"/>
        <v>1096</v>
      </c>
      <c r="BT29" s="270">
        <f t="shared" si="45"/>
        <v>1105</v>
      </c>
      <c r="BU29" s="270">
        <f t="shared" si="46"/>
        <v>1095</v>
      </c>
      <c r="BV29" s="270">
        <f t="shared" si="47"/>
        <v>1077</v>
      </c>
      <c r="BW29" s="39" t="str">
        <f>VLOOKUP($A29,NetAdditions!$A$2:$H$336,6,FALSE)</f>
        <v>Not Applicable</v>
      </c>
      <c r="BX29" s="39">
        <f>VLOOKUP($A29,NetAdditions!$A$2:$H$336,7,FALSE)</f>
        <v>1703</v>
      </c>
      <c r="BY29" s="39">
        <f>IF((VLOOKUP($C29,NetAdditions!$A$2:$H$336,8,FALSE))="",(AVERAGE(VLOOKUP($C29,NetAdditions!$A$2:$H$336,5,FALSE),VLOOKUP($C29,NetAdditions!$A$2:$H$336,6,FALSE),VLOOKUP($C29,NetAdditions!$A$2:$H$336,7,FALSE))),VLOOKUP($C29,NetAdditions!$A$2:$H$336,8,FALSE))</f>
        <v>790</v>
      </c>
      <c r="BZ29" s="39">
        <f t="shared" si="48"/>
        <v>1246.5</v>
      </c>
      <c r="CA29" s="39">
        <f t="shared" si="49"/>
        <v>1246.5</v>
      </c>
      <c r="CB29" s="39">
        <f t="shared" si="50"/>
        <v>1094.3333333333333</v>
      </c>
      <c r="CC29" s="39">
        <f t="shared" si="51"/>
        <v>1195.7777777777776</v>
      </c>
      <c r="CD29" s="39">
        <f t="shared" si="52"/>
        <v>1178.8703703703702</v>
      </c>
      <c r="CE29" s="276">
        <f t="shared" si="5"/>
        <v>7884</v>
      </c>
      <c r="CF29" s="276">
        <f t="shared" si="6"/>
        <v>6247</v>
      </c>
      <c r="CG29" s="276">
        <f t="shared" si="7"/>
        <v>4740</v>
      </c>
      <c r="CH29" s="276">
        <f t="shared" si="8"/>
        <v>3211</v>
      </c>
      <c r="CI29" s="276">
        <f t="shared" si="9"/>
        <v>3296</v>
      </c>
      <c r="CJ29" s="276">
        <f t="shared" si="10"/>
        <v>3277</v>
      </c>
      <c r="CK29" s="276">
        <f t="shared" si="53"/>
        <v>6789</v>
      </c>
      <c r="CL29" s="276">
        <f t="shared" si="54"/>
        <v>5379.3611111111113</v>
      </c>
      <c r="CM29" s="276">
        <f t="shared" si="55"/>
        <v>4345</v>
      </c>
      <c r="CN29" s="276">
        <f t="shared" si="56"/>
        <v>3211</v>
      </c>
      <c r="CO29" s="276">
        <f t="shared" si="57"/>
        <v>3296</v>
      </c>
      <c r="CP29" s="276">
        <f t="shared" si="58"/>
        <v>3277</v>
      </c>
      <c r="CQ29" s="39">
        <f t="shared" si="12"/>
        <v>2493</v>
      </c>
      <c r="CR29" s="39">
        <f t="shared" si="13"/>
        <v>3739.5</v>
      </c>
      <c r="CS29" s="277">
        <f t="shared" si="14"/>
        <v>3283</v>
      </c>
      <c r="CT29" s="39">
        <f t="shared" si="15"/>
        <v>3587.333333333333</v>
      </c>
      <c r="CU29" s="39">
        <f t="shared" si="16"/>
        <v>3536.6111111111104</v>
      </c>
      <c r="CV29" s="39">
        <f t="shared" si="59"/>
        <v>3468.9814814814808</v>
      </c>
      <c r="CW29" s="297">
        <f t="shared" si="18"/>
        <v>0.36721166593018117</v>
      </c>
      <c r="CX29" s="279" t="str">
        <f t="shared" si="60"/>
        <v>Buffer and Action Plan</v>
      </c>
      <c r="CY29" s="278">
        <f t="shared" si="19"/>
        <v>0.69515690111898865</v>
      </c>
      <c r="CZ29" s="279" t="str">
        <f t="shared" si="61"/>
        <v>Buffer and Action Plan</v>
      </c>
      <c r="DA29" s="278">
        <f t="shared" si="20"/>
        <v>0.75558112773302644</v>
      </c>
      <c r="DB29" s="292" t="str">
        <f t="shared" si="62"/>
        <v>Buffer and Action Plan</v>
      </c>
      <c r="DC29" s="299">
        <f t="shared" si="63"/>
        <v>1.1172012872417729</v>
      </c>
      <c r="DD29" s="293" t="str">
        <f t="shared" si="64"/>
        <v>Pass</v>
      </c>
      <c r="DE29" s="299">
        <f t="shared" si="65"/>
        <v>1.0730009439050698</v>
      </c>
      <c r="DF29" s="293" t="str">
        <f t="shared" si="66"/>
        <v>Pass</v>
      </c>
      <c r="DG29" s="299">
        <f t="shared" si="67"/>
        <v>1.0585845228811355</v>
      </c>
      <c r="DH29" s="293" t="str">
        <f t="shared" si="68"/>
        <v>Pass</v>
      </c>
    </row>
    <row r="30" spans="1:112" ht="15" thickTop="1" thickBot="1">
      <c r="A30" s="38" t="s">
        <v>169</v>
      </c>
      <c r="B30" s="38" t="s">
        <v>170</v>
      </c>
      <c r="C30" s="38" t="s">
        <v>169</v>
      </c>
      <c r="D30" s="38" t="s">
        <v>113</v>
      </c>
      <c r="E30" s="38" t="str">
        <f>VLOOKUP(C30,PoliticalControl!A:K,11,FALSE)</f>
        <v>CON</v>
      </c>
      <c r="F30" s="38" t="str">
        <f>VLOOKUP(C30,UrbanRuralClassification!A:N,13,FALSE)</f>
        <v>Urban with City and Town</v>
      </c>
      <c r="G30" s="38" t="str">
        <f>VLOOKUP(C30,UrbanRuralClassification!A:N,14,FALSE)</f>
        <v>Predominantly Urban</v>
      </c>
      <c r="H30" s="258">
        <f>IF(ISBLANK((VLOOKUP($A30,'local-plan-data'!$C$1:$AD$566,27,FALSE)))=TRUE,"",VLOOKUP($A30,'local-plan-data'!$C$1:$AD$566,27,FALSE))</f>
        <v>39485</v>
      </c>
      <c r="I30" s="259">
        <f>VLOOKUP($A30,'local-plan-data'!$C$1:$AD$566,28,FALSE)</f>
        <v>556.95000000000005</v>
      </c>
      <c r="J30" s="260">
        <f t="shared" si="21"/>
        <v>556.95000000000005</v>
      </c>
      <c r="K30" s="259" t="str">
        <f t="shared" si="22"/>
        <v>-</v>
      </c>
      <c r="L30" s="259" t="str">
        <f t="shared" si="22"/>
        <v>-</v>
      </c>
      <c r="M30" s="259" t="str">
        <f t="shared" si="22"/>
        <v>-</v>
      </c>
      <c r="N30" s="259" t="str">
        <f t="shared" si="22"/>
        <v>-</v>
      </c>
      <c r="O30" s="259" t="str">
        <f t="shared" si="22"/>
        <v>-</v>
      </c>
      <c r="P30" s="259" t="str">
        <f t="shared" si="22"/>
        <v>-</v>
      </c>
      <c r="Q30" s="259" t="str">
        <f t="shared" si="22"/>
        <v>-</v>
      </c>
      <c r="R30" s="259" t="str">
        <f t="shared" si="22"/>
        <v>-</v>
      </c>
      <c r="S30" s="259">
        <f t="shared" si="23"/>
        <v>-1879</v>
      </c>
      <c r="T30" s="259">
        <f t="shared" si="23"/>
        <v>-2244</v>
      </c>
      <c r="U30" s="259">
        <f t="shared" si="23"/>
        <v>-2610</v>
      </c>
      <c r="V30" s="259">
        <f t="shared" si="23"/>
        <v>-2975</v>
      </c>
      <c r="W30" s="259">
        <f t="shared" si="23"/>
        <v>-3340</v>
      </c>
      <c r="X30" s="259">
        <f t="shared" si="23"/>
        <v>-3705</v>
      </c>
      <c r="Y30" s="259">
        <f t="shared" si="23"/>
        <v>-4071</v>
      </c>
      <c r="Z30" s="259">
        <f t="shared" si="23"/>
        <v>-4436</v>
      </c>
      <c r="AA30" s="267">
        <f>(VLOOKUP(A30,Hshldprojections2014!$A$2:$AW$319,40, FALSE)-VLOOKUP(A30,Hshldprojections2014!$A$2:$AW$319,30, FALSE))/10</f>
        <v>481.7</v>
      </c>
      <c r="AB30" s="267">
        <f>(VLOOKUP(A30,Hshldprojections2014!$A$2:$AW$319,41, FALSE)-VLOOKUP(A30,Hshldprojections2014!$A$2:$AW$319,31, FALSE))/10</f>
        <v>469.1</v>
      </c>
      <c r="AC30" s="267">
        <f>(VLOOKUP(A30,Hshldprojections2014!$A$2:$AW$319,42, FALSE)-VLOOKUP(A30,Hshldprojections2014!$A$2:$AW$319,32, FALSE))/10</f>
        <v>460.3</v>
      </c>
      <c r="AD30" s="267">
        <f>IF(IndividualLATest!$J$7=2014,(VLOOKUP($A30,Hshldprojections2014!$A$2:$AY$326,43,FALSE)-VLOOKUP($A30,Hshldprojections2014!$A$2:$AY$326,33,FALSE))/10,IF(IndividualLATest!$J$7=2016,(VLOOKUP($A30,Hshldprojections2016!$A$1:$AQ$322,33,FALSE)-VLOOKUP($A30,Hshldprojections2016!$A$1:$AQ$322,23,FALSE))/10,(VLOOKUP($A30,Hshldprojections2018!$A$1:$AQ$327,33,FALSE)-VLOOKUP($A30,Hshldprojections2018!$A$1:$AQ$327,23,FALSE))/10))</f>
        <v>345.1</v>
      </c>
      <c r="AE30" s="267">
        <f>IF(IndividualLATest!$J$7=2014,(VLOOKUP($A30,Hshldprojections2014!$A$2:$AY$326,44,FALSE)-VLOOKUP($A30,Hshldprojections2014!$A$2:$AY$326,34,FALSE))/10,IF(IndividualLATest!$J$7=2016,(VLOOKUP($A30,Hshldprojections2016!$A$1:$AQ$322,34,FALSE)-VLOOKUP($A30,Hshldprojections2016!$A$1:$AQ$322,24,FALSE))/10,(VLOOKUP($A30,Hshldprojections2018!$A$1:$AQ$327,34,FALSE)-VLOOKUP($A30,Hshldprojections2018!$A$1:$AQ$327,24,FALSE))/10))</f>
        <v>334.5</v>
      </c>
      <c r="AF30" s="267">
        <f>IF(IndividualLATest!$J$7=2014,(VLOOKUP($A30,Hshldprojections2014!$A$2:$AY$326,45,FALSE)-VLOOKUP($A30,Hshldprojections2014!$A$2:$AY$326,35,FALSE))/10,IF(IndividualLATest!$J$7=2016,(VLOOKUP($A30,Hshldprojections2016!$A$1:$AQ$322,35,FALSE)-VLOOKUP($A30,Hshldprojections2016!$A$1:$AQ$322,25,FALSE))/10,(VLOOKUP($A30,Hshldprojections2018!$A$1:$AQ$327,35,FALSE)-VLOOKUP($A30,Hshldprojections2018!$A$1:$AQ$327,25,FALSE))/10))</f>
        <v>323.3</v>
      </c>
      <c r="AG30" s="267">
        <f>IF(IndividualLATest!$J$7=2014,(VLOOKUP($A30,Hshldprojections2014!$A$2:$AY$326,46,FALSE)-VLOOKUP($A30,Hshldprojections2014!$A$2:$AY$326,36,FALSE))/10,IF(IndividualLATest!$J$7=2016,(VLOOKUP($A30,Hshldprojections2016!$A$1:$AQ$322,36,FALSE)-VLOOKUP($A30,Hshldprojections2016!$A$1:$AQ$322,26,FALSE))/10,(VLOOKUP($A30,Hshldprojections2018!$A$1:$AQ$327,36,FALSE)-VLOOKUP($A30,Hshldprojections2018!$A$1:$AQ$327,26,FALSE))/10))</f>
        <v>313.5</v>
      </c>
      <c r="AH30" s="267">
        <f>IF(IndividualLATest!$J$7=2014,(VLOOKUP($A30,Hshldprojections2014!$A$2:$AY$326,47,FALSE)-VLOOKUP($A30,Hshldprojections2014!$A$2:$AY$326,37,FALSE))/10,IF(IndividualLATest!$J$7=2016,(VLOOKUP($A30,Hshldprojections2016!$A$1:$AQ$322,37,FALSE)-VLOOKUP($A30,Hshldprojections2016!$A$1:$AQ$322,27,FALSE))/10,(VLOOKUP($A30,Hshldprojections2018!$A$1:$AQ$327,37,FALSE)-VLOOKUP($A30,Hshldprojections2018!$A$1:$AQ$327,27,FALSE))/10))</f>
        <v>306.2</v>
      </c>
      <c r="AI30" s="268">
        <f>VLOOKUP($A30,AffordabilityRatio!$A$2:$I$321,5,FALSE)</f>
        <v>9.15</v>
      </c>
      <c r="AJ30" s="268">
        <f>VLOOKUP($A30,AffordabilityRatio!$A$2:$I$321,6,FALSE)</f>
        <v>8.99</v>
      </c>
      <c r="AK30" s="268">
        <f>VLOOKUP($A30,AffordabilityRatio!$A$2:$I$321,7,FALSE)</f>
        <v>9.33</v>
      </c>
      <c r="AL30" s="268">
        <f>IF((VLOOKUP($A30,AffordabilityRatio!$A$2:$I$321,8,FALSE))="",AK30,VLOOKUP($A30,AffordabilityRatio!$A$2:$I$321,8,FALSE))</f>
        <v>8.4499999999999993</v>
      </c>
      <c r="AM30" s="268">
        <f>IF((VLOOKUP($A30,AffordabilityRatio!$A$2:$I$321,9,FALSE))="",AL30,VLOOKUP($A30,AffordabilityRatio!$A$2:$I$321,9,FALSE))</f>
        <v>9.0500000000000007</v>
      </c>
      <c r="AN30" s="268">
        <f>IF((VLOOKUP($A30,AffordabilityRatio!$A$2:$I$321,9,FALSE))="",AM30,VLOOKUP($A30,AffordabilityRatio!$A$2:$I$321,9,FALSE))</f>
        <v>9.0500000000000007</v>
      </c>
      <c r="AO30" s="268">
        <f>IF((VLOOKUP($A30,AffordabilityRatio!$A$2:$I$321,9,FALSE))="",AN30,VLOOKUP($A30,AffordabilityRatio!$A$2:$I$321,9,FALSE))</f>
        <v>9.0500000000000007</v>
      </c>
      <c r="AP30" s="268">
        <f>IF((VLOOKUP($A30,AffordabilityRatio!$A$2:$I$321,9,FALSE))="",AO30,VLOOKUP($A30,AffordabilityRatio!$A$2:$I$321,9,FALSE))</f>
        <v>9.0500000000000007</v>
      </c>
      <c r="AQ30" s="267">
        <f t="shared" si="24"/>
        <v>637</v>
      </c>
      <c r="AR30" s="267">
        <f t="shared" si="25"/>
        <v>615</v>
      </c>
      <c r="AS30" s="267">
        <f t="shared" si="26"/>
        <v>614</v>
      </c>
      <c r="AT30" s="267">
        <f t="shared" si="27"/>
        <v>441</v>
      </c>
      <c r="AU30" s="267">
        <f t="shared" si="28"/>
        <v>440</v>
      </c>
      <c r="AV30" s="267">
        <f t="shared" si="29"/>
        <v>425</v>
      </c>
      <c r="AW30" s="267">
        <f t="shared" si="30"/>
        <v>412</v>
      </c>
      <c r="AX30" s="267">
        <f t="shared" si="31"/>
        <v>403</v>
      </c>
      <c r="AY30" s="267">
        <f t="shared" si="32"/>
        <v>637</v>
      </c>
      <c r="AZ30" s="267">
        <f t="shared" si="33"/>
        <v>615</v>
      </c>
      <c r="BA30" s="267">
        <f t="shared" si="34"/>
        <v>614</v>
      </c>
      <c r="BB30" s="267">
        <f t="shared" si="35"/>
        <v>441</v>
      </c>
      <c r="BC30" s="267">
        <f t="shared" si="36"/>
        <v>440</v>
      </c>
      <c r="BD30" s="267">
        <f t="shared" si="37"/>
        <v>425</v>
      </c>
      <c r="BE30" s="267">
        <f t="shared" si="38"/>
        <v>412</v>
      </c>
      <c r="BF30" s="267">
        <f t="shared" si="39"/>
        <v>403</v>
      </c>
      <c r="BG30" s="269">
        <f>AY30*VLOOKUP($B30,'Major Cities &amp; Towns'!$A$28:$B$345,2,FALSE)</f>
        <v>637</v>
      </c>
      <c r="BH30" s="269">
        <f>AZ30*VLOOKUP($B30,'Major Cities &amp; Towns'!$A$28:$B$345,2,FALSE)</f>
        <v>615</v>
      </c>
      <c r="BI30" s="269">
        <f>BA30*VLOOKUP($B30,'Major Cities &amp; Towns'!$A$28:$B$345,2,FALSE)</f>
        <v>614</v>
      </c>
      <c r="BJ30" s="269">
        <f>BB30*VLOOKUP($B30,'Major Cities &amp; Towns'!$A$28:$B$345,2,FALSE)</f>
        <v>441</v>
      </c>
      <c r="BK30" s="269">
        <f>BC30*VLOOKUP($B30,'Major Cities &amp; Towns'!$A$28:$B$345,2,FALSE)</f>
        <v>440</v>
      </c>
      <c r="BL30" s="269">
        <f>BD30*VLOOKUP($B30,'Major Cities &amp; Towns'!$A$28:$B$345,2,FALSE)</f>
        <v>425</v>
      </c>
      <c r="BM30" s="269">
        <f>BE30*VLOOKUP($B30,'Major Cities &amp; Towns'!$A$28:$B$345,2,FALSE)</f>
        <v>412</v>
      </c>
      <c r="BN30" s="269">
        <f>BF30*VLOOKUP($B30,'Major Cities &amp; Towns'!$A$28:$B$345,2,FALSE)</f>
        <v>403</v>
      </c>
      <c r="BO30" s="270">
        <f t="shared" si="40"/>
        <v>637</v>
      </c>
      <c r="BP30" s="270">
        <f t="shared" si="41"/>
        <v>615</v>
      </c>
      <c r="BQ30" s="270">
        <f t="shared" si="42"/>
        <v>614</v>
      </c>
      <c r="BR30" s="270">
        <f t="shared" si="43"/>
        <v>441</v>
      </c>
      <c r="BS30" s="270">
        <f t="shared" si="44"/>
        <v>440</v>
      </c>
      <c r="BT30" s="270">
        <f t="shared" si="45"/>
        <v>425</v>
      </c>
      <c r="BU30" s="270">
        <f t="shared" si="46"/>
        <v>412</v>
      </c>
      <c r="BV30" s="270">
        <f t="shared" si="47"/>
        <v>403</v>
      </c>
      <c r="BW30" s="39">
        <f>VLOOKUP($A30,NetAdditions!$A$2:$H$336,6,FALSE)</f>
        <v>755</v>
      </c>
      <c r="BX30" s="39">
        <f>VLOOKUP($A30,NetAdditions!$A$2:$H$336,7,FALSE)</f>
        <v>1688</v>
      </c>
      <c r="BY30" s="39">
        <f>IF((VLOOKUP($C30,NetAdditions!$A$2:$H$336,8,FALSE))="",(AVERAGE(VLOOKUP($C30,NetAdditions!$A$2:$H$336,5,FALSE),VLOOKUP($C30,NetAdditions!$A$2:$H$336,6,FALSE),VLOOKUP($C30,NetAdditions!$A$2:$H$336,7,FALSE))),VLOOKUP($C30,NetAdditions!$A$2:$H$336,8,FALSE))</f>
        <v>996</v>
      </c>
      <c r="BZ30" s="39">
        <f t="shared" si="48"/>
        <v>1146.3333333333333</v>
      </c>
      <c r="CA30" s="39">
        <f t="shared" si="49"/>
        <v>1276.7777777777776</v>
      </c>
      <c r="CB30" s="39">
        <f t="shared" si="50"/>
        <v>1139.7037037037035</v>
      </c>
      <c r="CC30" s="39">
        <f t="shared" si="51"/>
        <v>1187.6049382716049</v>
      </c>
      <c r="CD30" s="39">
        <f t="shared" si="52"/>
        <v>1201.3621399176952</v>
      </c>
      <c r="CE30" s="276">
        <f t="shared" si="5"/>
        <v>1866</v>
      </c>
      <c r="CF30" s="276">
        <f t="shared" si="6"/>
        <v>1670</v>
      </c>
      <c r="CG30" s="276">
        <f t="shared" si="7"/>
        <v>1495</v>
      </c>
      <c r="CH30" s="276">
        <f t="shared" si="8"/>
        <v>1306</v>
      </c>
      <c r="CI30" s="276">
        <f t="shared" si="9"/>
        <v>1277</v>
      </c>
      <c r="CJ30" s="276">
        <f t="shared" si="10"/>
        <v>1240</v>
      </c>
      <c r="CK30" s="276">
        <f t="shared" si="53"/>
        <v>1606.8333333333335</v>
      </c>
      <c r="CL30" s="276">
        <f t="shared" si="54"/>
        <v>1438.0555555555557</v>
      </c>
      <c r="CM30" s="276">
        <f t="shared" si="55"/>
        <v>1370.4166666666665</v>
      </c>
      <c r="CN30" s="276">
        <f t="shared" si="56"/>
        <v>1306</v>
      </c>
      <c r="CO30" s="276">
        <f t="shared" si="57"/>
        <v>1277</v>
      </c>
      <c r="CP30" s="276">
        <f t="shared" si="58"/>
        <v>1240</v>
      </c>
      <c r="CQ30" s="39">
        <f t="shared" si="12"/>
        <v>3439</v>
      </c>
      <c r="CR30" s="39">
        <f t="shared" si="13"/>
        <v>3830.333333333333</v>
      </c>
      <c r="CS30" s="277">
        <f t="shared" si="14"/>
        <v>3419.1111111111104</v>
      </c>
      <c r="CT30" s="39">
        <f t="shared" si="15"/>
        <v>3562.8148148148143</v>
      </c>
      <c r="CU30" s="39">
        <f t="shared" si="16"/>
        <v>3604.0864197530855</v>
      </c>
      <c r="CV30" s="39">
        <f t="shared" si="59"/>
        <v>3528.6707818930036</v>
      </c>
      <c r="CW30" s="297">
        <f t="shared" si="18"/>
        <v>2.1402344155170625</v>
      </c>
      <c r="CX30" s="279" t="str">
        <f t="shared" si="60"/>
        <v>Pass</v>
      </c>
      <c r="CY30" s="278">
        <f t="shared" si="19"/>
        <v>2.6635503187174034</v>
      </c>
      <c r="CZ30" s="279" t="str">
        <f t="shared" si="61"/>
        <v>Pass</v>
      </c>
      <c r="DA30" s="278">
        <f t="shared" si="20"/>
        <v>2.494942738420999</v>
      </c>
      <c r="DB30" s="292" t="str">
        <f t="shared" si="62"/>
        <v>Pass</v>
      </c>
      <c r="DC30" s="299">
        <f t="shared" si="63"/>
        <v>2.7280358459531504</v>
      </c>
      <c r="DD30" s="293" t="str">
        <f t="shared" si="64"/>
        <v>Pass</v>
      </c>
      <c r="DE30" s="299">
        <f t="shared" si="65"/>
        <v>2.8223072981621655</v>
      </c>
      <c r="DF30" s="293" t="str">
        <f t="shared" si="66"/>
        <v>Pass</v>
      </c>
      <c r="DG30" s="299">
        <f t="shared" si="67"/>
        <v>2.8457022434620995</v>
      </c>
      <c r="DH30" s="293" t="str">
        <f t="shared" si="68"/>
        <v>Pass</v>
      </c>
    </row>
    <row r="31" spans="1:112" ht="15" thickTop="1" thickBot="1">
      <c r="A31" s="38" t="s">
        <v>171</v>
      </c>
      <c r="B31" s="38" t="s">
        <v>172</v>
      </c>
      <c r="C31" s="38" t="s">
        <v>171</v>
      </c>
      <c r="D31" s="38" t="s">
        <v>136</v>
      </c>
      <c r="E31" s="38" t="str">
        <f>VLOOKUP(C31,PoliticalControl!A:K,11,FALSE)</f>
        <v>LAB</v>
      </c>
      <c r="F31" s="38" t="str">
        <f>VLOOKUP(C31,UrbanRuralClassification!A:N,13,FALSE)</f>
        <v>Urban with Major Conurbation</v>
      </c>
      <c r="G31" s="38" t="str">
        <f>VLOOKUP(C31,UrbanRuralClassification!A:N,14,FALSE)</f>
        <v>Predominantly Urban</v>
      </c>
      <c r="H31" s="258">
        <f>IF(ISBLANK((VLOOKUP($A31,'local-plan-data'!$C$1:$AD$566,27,FALSE)))=TRUE,"",VLOOKUP($A31,'local-plan-data'!$C$1:$AD$566,27,FALSE))</f>
        <v>42934</v>
      </c>
      <c r="I31" s="259">
        <f>VLOOKUP($A31,'local-plan-data'!$C$1:$AD$566,28,FALSE)</f>
        <v>2476</v>
      </c>
      <c r="J31" s="260">
        <f t="shared" si="21"/>
        <v>2476</v>
      </c>
      <c r="K31" s="259">
        <f t="shared" si="22"/>
        <v>2476</v>
      </c>
      <c r="L31" s="259">
        <f t="shared" si="22"/>
        <v>2476</v>
      </c>
      <c r="M31" s="259">
        <f t="shared" si="22"/>
        <v>2476</v>
      </c>
      <c r="N31" s="259">
        <f t="shared" si="22"/>
        <v>2476</v>
      </c>
      <c r="O31" s="259">
        <f t="shared" si="22"/>
        <v>2476</v>
      </c>
      <c r="P31" s="259" t="str">
        <f t="shared" si="22"/>
        <v>-</v>
      </c>
      <c r="Q31" s="259" t="str">
        <f t="shared" si="22"/>
        <v>-</v>
      </c>
      <c r="R31" s="259" t="str">
        <f t="shared" si="22"/>
        <v>-</v>
      </c>
      <c r="S31" s="259">
        <f t="shared" si="23"/>
        <v>1569</v>
      </c>
      <c r="T31" s="259">
        <f t="shared" si="23"/>
        <v>1204</v>
      </c>
      <c r="U31" s="259">
        <f t="shared" si="23"/>
        <v>838</v>
      </c>
      <c r="V31" s="259">
        <f t="shared" si="23"/>
        <v>473</v>
      </c>
      <c r="W31" s="259">
        <f t="shared" si="23"/>
        <v>108</v>
      </c>
      <c r="X31" s="259">
        <f t="shared" si="23"/>
        <v>-257</v>
      </c>
      <c r="Y31" s="259">
        <f t="shared" si="23"/>
        <v>-623</v>
      </c>
      <c r="Z31" s="259">
        <f t="shared" si="23"/>
        <v>-988</v>
      </c>
      <c r="AA31" s="267">
        <f>(VLOOKUP(A31,Hshldprojections2014!$A$2:$AW$319,40, FALSE)-VLOOKUP(A31,Hshldprojections2014!$A$2:$AW$319,30, FALSE))/10</f>
        <v>1581.6</v>
      </c>
      <c r="AB31" s="267">
        <f>(VLOOKUP(A31,Hshldprojections2014!$A$2:$AW$319,41, FALSE)-VLOOKUP(A31,Hshldprojections2014!$A$2:$AW$319,31, FALSE))/10</f>
        <v>1583.5</v>
      </c>
      <c r="AC31" s="267">
        <f>(VLOOKUP(A31,Hshldprojections2014!$A$2:$AW$319,42, FALSE)-VLOOKUP(A31,Hshldprojections2014!$A$2:$AW$319,32, FALSE))/10</f>
        <v>1582</v>
      </c>
      <c r="AD31" s="267">
        <f>IF(IndividualLATest!$J$7=2014,(VLOOKUP($A31,Hshldprojections2014!$A$2:$AY$326,43,FALSE)-VLOOKUP($A31,Hshldprojections2014!$A$2:$AY$326,33,FALSE))/10,IF(IndividualLATest!$J$7=2016,(VLOOKUP($A31,Hshldprojections2016!$A$1:$AQ$322,33,FALSE)-VLOOKUP($A31,Hshldprojections2016!$A$1:$AQ$322,23,FALSE))/10,(VLOOKUP($A31,Hshldprojections2018!$A$1:$AQ$327,33,FALSE)-VLOOKUP($A31,Hshldprojections2018!$A$1:$AQ$327,23,FALSE))/10))</f>
        <v>1081.5</v>
      </c>
      <c r="AE31" s="267">
        <f>IF(IndividualLATest!$J$7=2014,(VLOOKUP($A31,Hshldprojections2014!$A$2:$AY$326,44,FALSE)-VLOOKUP($A31,Hshldprojections2014!$A$2:$AY$326,34,FALSE))/10,IF(IndividualLATest!$J$7=2016,(VLOOKUP($A31,Hshldprojections2016!$A$1:$AQ$322,34,FALSE)-VLOOKUP($A31,Hshldprojections2016!$A$1:$AQ$322,24,FALSE))/10,(VLOOKUP($A31,Hshldprojections2018!$A$1:$AQ$327,34,FALSE)-VLOOKUP($A31,Hshldprojections2018!$A$1:$AQ$327,24,FALSE))/10))</f>
        <v>1071.2</v>
      </c>
      <c r="AF31" s="267">
        <f>IF(IndividualLATest!$J$7=2014,(VLOOKUP($A31,Hshldprojections2014!$A$2:$AY$326,45,FALSE)-VLOOKUP($A31,Hshldprojections2014!$A$2:$AY$326,35,FALSE))/10,IF(IndividualLATest!$J$7=2016,(VLOOKUP($A31,Hshldprojections2016!$A$1:$AQ$322,35,FALSE)-VLOOKUP($A31,Hshldprojections2016!$A$1:$AQ$322,25,FALSE))/10,(VLOOKUP($A31,Hshldprojections2018!$A$1:$AQ$327,35,FALSE)-VLOOKUP($A31,Hshldprojections2018!$A$1:$AQ$327,25,FALSE))/10))</f>
        <v>1061.3</v>
      </c>
      <c r="AG31" s="267">
        <f>IF(IndividualLATest!$J$7=2014,(VLOOKUP($A31,Hshldprojections2014!$A$2:$AY$326,46,FALSE)-VLOOKUP($A31,Hshldprojections2014!$A$2:$AY$326,36,FALSE))/10,IF(IndividualLATest!$J$7=2016,(VLOOKUP($A31,Hshldprojections2016!$A$1:$AQ$322,36,FALSE)-VLOOKUP($A31,Hshldprojections2016!$A$1:$AQ$322,26,FALSE))/10,(VLOOKUP($A31,Hshldprojections2018!$A$1:$AQ$327,36,FALSE)-VLOOKUP($A31,Hshldprojections2018!$A$1:$AQ$327,26,FALSE))/10))</f>
        <v>1051</v>
      </c>
      <c r="AH31" s="267">
        <f>IF(IndividualLATest!$J$7=2014,(VLOOKUP($A31,Hshldprojections2014!$A$2:$AY$326,47,FALSE)-VLOOKUP($A31,Hshldprojections2014!$A$2:$AY$326,37,FALSE))/10,IF(IndividualLATest!$J$7=2016,(VLOOKUP($A31,Hshldprojections2016!$A$1:$AQ$322,37,FALSE)-VLOOKUP($A31,Hshldprojections2016!$A$1:$AQ$322,27,FALSE))/10,(VLOOKUP($A31,Hshldprojections2018!$A$1:$AQ$327,37,FALSE)-VLOOKUP($A31,Hshldprojections2018!$A$1:$AQ$327,27,FALSE))/10))</f>
        <v>1043.5999999999999</v>
      </c>
      <c r="AI31" s="268">
        <f>VLOOKUP($A31,AffordabilityRatio!$A$2:$I$321,5,FALSE)</f>
        <v>5.17</v>
      </c>
      <c r="AJ31" s="268">
        <f>VLOOKUP($A31,AffordabilityRatio!$A$2:$I$321,6,FALSE)</f>
        <v>5.21</v>
      </c>
      <c r="AK31" s="268">
        <f>VLOOKUP($A31,AffordabilityRatio!$A$2:$I$321,7,FALSE)</f>
        <v>5.22</v>
      </c>
      <c r="AL31" s="268">
        <f>IF((VLOOKUP($A31,AffordabilityRatio!$A$2:$I$321,8,FALSE))="",AK31,VLOOKUP($A31,AffordabilityRatio!$A$2:$I$321,8,FALSE))</f>
        <v>5.0199999999999996</v>
      </c>
      <c r="AM31" s="268">
        <f>IF((VLOOKUP($A31,AffordabilityRatio!$A$2:$I$321,9,FALSE))="",AL31,VLOOKUP($A31,AffordabilityRatio!$A$2:$I$321,9,FALSE))</f>
        <v>5.37</v>
      </c>
      <c r="AN31" s="268">
        <f>IF((VLOOKUP($A31,AffordabilityRatio!$A$2:$I$321,9,FALSE))="",AM31,VLOOKUP($A31,AffordabilityRatio!$A$2:$I$321,9,FALSE))</f>
        <v>5.37</v>
      </c>
      <c r="AO31" s="268">
        <f>IF((VLOOKUP($A31,AffordabilityRatio!$A$2:$I$321,9,FALSE))="",AN31,VLOOKUP($A31,AffordabilityRatio!$A$2:$I$321,9,FALSE))</f>
        <v>5.37</v>
      </c>
      <c r="AP31" s="268">
        <f>IF((VLOOKUP($A31,AffordabilityRatio!$A$2:$I$321,9,FALSE))="",AO31,VLOOKUP($A31,AffordabilityRatio!$A$2:$I$321,9,FALSE))</f>
        <v>5.37</v>
      </c>
      <c r="AQ31" s="267">
        <f t="shared" si="24"/>
        <v>1697</v>
      </c>
      <c r="AR31" s="267">
        <f t="shared" si="25"/>
        <v>1703</v>
      </c>
      <c r="AS31" s="267">
        <f t="shared" si="26"/>
        <v>1703</v>
      </c>
      <c r="AT31" s="267">
        <f t="shared" si="27"/>
        <v>1150</v>
      </c>
      <c r="AU31" s="267">
        <f t="shared" si="28"/>
        <v>1163</v>
      </c>
      <c r="AV31" s="267">
        <f t="shared" si="29"/>
        <v>1152</v>
      </c>
      <c r="AW31" s="267">
        <f t="shared" si="30"/>
        <v>1141</v>
      </c>
      <c r="AX31" s="267">
        <f t="shared" si="31"/>
        <v>1133</v>
      </c>
      <c r="AY31" s="267">
        <f t="shared" si="32"/>
        <v>1697</v>
      </c>
      <c r="AZ31" s="267">
        <f t="shared" si="33"/>
        <v>1703</v>
      </c>
      <c r="BA31" s="267">
        <f t="shared" si="34"/>
        <v>1703</v>
      </c>
      <c r="BB31" s="267">
        <f t="shared" si="35"/>
        <v>1150</v>
      </c>
      <c r="BC31" s="267">
        <f t="shared" si="36"/>
        <v>1163</v>
      </c>
      <c r="BD31" s="267">
        <f t="shared" si="37"/>
        <v>1152</v>
      </c>
      <c r="BE31" s="267">
        <f t="shared" si="38"/>
        <v>1141</v>
      </c>
      <c r="BF31" s="267">
        <f t="shared" si="39"/>
        <v>1133</v>
      </c>
      <c r="BG31" s="269">
        <f>AY31*VLOOKUP($B31,'Major Cities &amp; Towns'!$A$28:$B$345,2,FALSE)</f>
        <v>2290.9500000000003</v>
      </c>
      <c r="BH31" s="269">
        <f>AZ31*VLOOKUP($B31,'Major Cities &amp; Towns'!$A$28:$B$345,2,FALSE)</f>
        <v>2299.0500000000002</v>
      </c>
      <c r="BI31" s="269">
        <f>BA31*VLOOKUP($B31,'Major Cities &amp; Towns'!$A$28:$B$345,2,FALSE)</f>
        <v>2299.0500000000002</v>
      </c>
      <c r="BJ31" s="269">
        <f>BB31*VLOOKUP($B31,'Major Cities &amp; Towns'!$A$28:$B$345,2,FALSE)</f>
        <v>1552.5</v>
      </c>
      <c r="BK31" s="269">
        <f>BC31*VLOOKUP($B31,'Major Cities &amp; Towns'!$A$28:$B$345,2,FALSE)</f>
        <v>1570.0500000000002</v>
      </c>
      <c r="BL31" s="269">
        <f>BD31*VLOOKUP($B31,'Major Cities &amp; Towns'!$A$28:$B$345,2,FALSE)</f>
        <v>1555.2</v>
      </c>
      <c r="BM31" s="269">
        <f>BE31*VLOOKUP($B31,'Major Cities &amp; Towns'!$A$28:$B$345,2,FALSE)</f>
        <v>1540.3500000000001</v>
      </c>
      <c r="BN31" s="269">
        <f>BF31*VLOOKUP($B31,'Major Cities &amp; Towns'!$A$28:$B$345,2,FALSE)</f>
        <v>1529.5500000000002</v>
      </c>
      <c r="BO31" s="270">
        <f t="shared" si="40"/>
        <v>1697</v>
      </c>
      <c r="BP31" s="270">
        <f t="shared" si="41"/>
        <v>1703</v>
      </c>
      <c r="BQ31" s="270">
        <f t="shared" si="42"/>
        <v>1703</v>
      </c>
      <c r="BR31" s="270">
        <f t="shared" si="43"/>
        <v>1150</v>
      </c>
      <c r="BS31" s="270">
        <f t="shared" si="44"/>
        <v>1283.442191780822</v>
      </c>
      <c r="BT31" s="270">
        <f t="shared" si="45"/>
        <v>1152</v>
      </c>
      <c r="BU31" s="270">
        <f t="shared" si="46"/>
        <v>1141</v>
      </c>
      <c r="BV31" s="270">
        <f t="shared" si="47"/>
        <v>1133</v>
      </c>
      <c r="BW31" s="39">
        <f>VLOOKUP($A31,NetAdditions!$A$2:$H$336,6,FALSE)</f>
        <v>1614</v>
      </c>
      <c r="BX31" s="39">
        <f>VLOOKUP($A31,NetAdditions!$A$2:$H$336,7,FALSE)</f>
        <v>1010</v>
      </c>
      <c r="BY31" s="39">
        <f>IF((VLOOKUP($C31,NetAdditions!$A$2:$H$336,8,FALSE))="",(AVERAGE(VLOOKUP($C31,NetAdditions!$A$2:$H$336,5,FALSE),VLOOKUP($C31,NetAdditions!$A$2:$H$336,6,FALSE),VLOOKUP($C31,NetAdditions!$A$2:$H$336,7,FALSE))),VLOOKUP($C31,NetAdditions!$A$2:$H$336,8,FALSE))</f>
        <v>522</v>
      </c>
      <c r="BZ31" s="39">
        <f t="shared" si="48"/>
        <v>1048.6666666666667</v>
      </c>
      <c r="CA31" s="39">
        <f t="shared" si="49"/>
        <v>860.22222222222229</v>
      </c>
      <c r="CB31" s="39">
        <f t="shared" si="50"/>
        <v>810.29629629629642</v>
      </c>
      <c r="CC31" s="39">
        <f t="shared" si="51"/>
        <v>906.39506172839526</v>
      </c>
      <c r="CD31" s="39">
        <f t="shared" si="52"/>
        <v>858.97119341563803</v>
      </c>
      <c r="CE31" s="276">
        <f t="shared" si="5"/>
        <v>5103</v>
      </c>
      <c r="CF31" s="276">
        <f t="shared" si="6"/>
        <v>4556</v>
      </c>
      <c r="CG31" s="276">
        <f t="shared" si="7"/>
        <v>4136.4421917808222</v>
      </c>
      <c r="CH31" s="276">
        <f t="shared" si="8"/>
        <v>3585.4421917808222</v>
      </c>
      <c r="CI31" s="276">
        <f t="shared" si="9"/>
        <v>3576.4421917808222</v>
      </c>
      <c r="CJ31" s="276">
        <f t="shared" si="10"/>
        <v>3426</v>
      </c>
      <c r="CK31" s="276">
        <f t="shared" si="53"/>
        <v>4394.25</v>
      </c>
      <c r="CL31" s="276">
        <f t="shared" si="54"/>
        <v>3923.2222222222226</v>
      </c>
      <c r="CM31" s="276">
        <f t="shared" si="55"/>
        <v>3791.7386757990866</v>
      </c>
      <c r="CN31" s="276">
        <f t="shared" si="56"/>
        <v>3585.4421917808222</v>
      </c>
      <c r="CO31" s="276">
        <f t="shared" si="57"/>
        <v>3576.4421917808222</v>
      </c>
      <c r="CP31" s="276">
        <f t="shared" si="58"/>
        <v>3426</v>
      </c>
      <c r="CQ31" s="39">
        <f t="shared" si="12"/>
        <v>3146</v>
      </c>
      <c r="CR31" s="39">
        <f t="shared" si="13"/>
        <v>2580.666666666667</v>
      </c>
      <c r="CS31" s="277">
        <f t="shared" si="14"/>
        <v>2430.8888888888891</v>
      </c>
      <c r="CT31" s="39">
        <f t="shared" si="15"/>
        <v>2719.1851851851857</v>
      </c>
      <c r="CU31" s="39">
        <f t="shared" si="16"/>
        <v>2576.9135802469141</v>
      </c>
      <c r="CV31" s="39">
        <f t="shared" si="59"/>
        <v>2575.6625514403295</v>
      </c>
      <c r="CW31" s="297">
        <f t="shared" si="18"/>
        <v>0.71593559765602777</v>
      </c>
      <c r="CX31" s="279" t="str">
        <f t="shared" si="60"/>
        <v>Buffer and Action Plan</v>
      </c>
      <c r="CY31" s="278">
        <f t="shared" si="19"/>
        <v>0.65779263077402361</v>
      </c>
      <c r="CZ31" s="279" t="str">
        <f t="shared" si="61"/>
        <v>Buffer and Action Plan</v>
      </c>
      <c r="DA31" s="278">
        <f t="shared" si="20"/>
        <v>0.6411013776883222</v>
      </c>
      <c r="DB31" s="292" t="str">
        <f t="shared" si="62"/>
        <v>Presumption</v>
      </c>
      <c r="DC31" s="299">
        <f t="shared" si="63"/>
        <v>0.75839604705343666</v>
      </c>
      <c r="DD31" s="293" t="str">
        <f t="shared" si="64"/>
        <v>Buffer and Action Plan</v>
      </c>
      <c r="DE31" s="299">
        <f t="shared" si="65"/>
        <v>0.72052432055774074</v>
      </c>
      <c r="DF31" s="293" t="str">
        <f t="shared" si="66"/>
        <v>Presumption</v>
      </c>
      <c r="DG31" s="299">
        <f t="shared" si="67"/>
        <v>0.75179875990669276</v>
      </c>
      <c r="DH31" s="293" t="str">
        <f t="shared" si="68"/>
        <v>Buffer and Action Plan</v>
      </c>
    </row>
    <row r="32" spans="1:112" ht="15" thickTop="1" thickBot="1">
      <c r="A32" s="38" t="s">
        <v>173</v>
      </c>
      <c r="B32" s="38" t="s">
        <v>174</v>
      </c>
      <c r="C32" s="38" t="s">
        <v>173</v>
      </c>
      <c r="D32" s="38" t="s">
        <v>128</v>
      </c>
      <c r="E32" s="38" t="str">
        <f>VLOOKUP(C32,PoliticalControl!A:K,11,FALSE)</f>
        <v>CON</v>
      </c>
      <c r="F32" s="38" t="str">
        <f>VLOOKUP(C32,UrbanRuralClassification!A:N,13,FALSE)</f>
        <v xml:space="preserve">Largely Rural (rural including hub towns 50-79%) </v>
      </c>
      <c r="G32" s="38" t="str">
        <f>VLOOKUP(C32,UrbanRuralClassification!A:N,14,FALSE)</f>
        <v>Predominantly Rural</v>
      </c>
      <c r="H32" s="258">
        <f>IF(ISBLANK((VLOOKUP($A32,'local-plan-data'!$C$1:$AD$566,27,FALSE)))=TRUE,"",VLOOKUP($A32,'local-plan-data'!$C$1:$AD$566,27,FALSE))</f>
        <v>44249</v>
      </c>
      <c r="I32" s="259">
        <f>VLOOKUP($A32,'local-plan-data'!$C$1:$AD$566,28,FALSE)</f>
        <v>716</v>
      </c>
      <c r="J32" s="260">
        <f t="shared" si="21"/>
        <v>716</v>
      </c>
      <c r="K32" s="259">
        <f t="shared" si="22"/>
        <v>716</v>
      </c>
      <c r="L32" s="259">
        <f t="shared" si="22"/>
        <v>716</v>
      </c>
      <c r="M32" s="259">
        <f t="shared" si="22"/>
        <v>716</v>
      </c>
      <c r="N32" s="259">
        <f t="shared" si="22"/>
        <v>716</v>
      </c>
      <c r="O32" s="259">
        <f t="shared" si="22"/>
        <v>716</v>
      </c>
      <c r="P32" s="259">
        <f t="shared" si="22"/>
        <v>716</v>
      </c>
      <c r="Q32" s="259">
        <f t="shared" si="22"/>
        <v>716</v>
      </c>
      <c r="R32" s="259">
        <f t="shared" si="22"/>
        <v>716</v>
      </c>
      <c r="S32" s="259">
        <f t="shared" si="23"/>
        <v>2884</v>
      </c>
      <c r="T32" s="259">
        <f t="shared" si="23"/>
        <v>2519</v>
      </c>
      <c r="U32" s="259">
        <f t="shared" si="23"/>
        <v>2153</v>
      </c>
      <c r="V32" s="259">
        <f t="shared" si="23"/>
        <v>1788</v>
      </c>
      <c r="W32" s="259">
        <f t="shared" si="23"/>
        <v>1423</v>
      </c>
      <c r="X32" s="259">
        <f t="shared" si="23"/>
        <v>1058</v>
      </c>
      <c r="Y32" s="259">
        <f t="shared" si="23"/>
        <v>692</v>
      </c>
      <c r="Z32" s="259">
        <f t="shared" si="23"/>
        <v>327</v>
      </c>
      <c r="AA32" s="267">
        <f>(VLOOKUP(A32,Hshldprojections2014!$A$2:$AW$319,40, FALSE)-VLOOKUP(A32,Hshldprojections2014!$A$2:$AW$319,30, FALSE))/10</f>
        <v>631.6</v>
      </c>
      <c r="AB32" s="267">
        <f>(VLOOKUP(A32,Hshldprojections2014!$A$2:$AW$319,41, FALSE)-VLOOKUP(A32,Hshldprojections2014!$A$2:$AW$319,31, FALSE))/10</f>
        <v>622.20000000000005</v>
      </c>
      <c r="AC32" s="267">
        <f>(VLOOKUP(A32,Hshldprojections2014!$A$2:$AW$319,42, FALSE)-VLOOKUP(A32,Hshldprojections2014!$A$2:$AW$319,32, FALSE))/10</f>
        <v>616.6</v>
      </c>
      <c r="AD32" s="267">
        <f>IF(IndividualLATest!$J$7=2014,(VLOOKUP($A32,Hshldprojections2014!$A$2:$AY$326,43,FALSE)-VLOOKUP($A32,Hshldprojections2014!$A$2:$AY$326,33,FALSE))/10,IF(IndividualLATest!$J$7=2016,(VLOOKUP($A32,Hshldprojections2016!$A$1:$AQ$322,33,FALSE)-VLOOKUP($A32,Hshldprojections2016!$A$1:$AQ$322,23,FALSE))/10,(VLOOKUP($A32,Hshldprojections2018!$A$1:$AQ$327,33,FALSE)-VLOOKUP($A32,Hshldprojections2018!$A$1:$AQ$327,23,FALSE))/10))</f>
        <v>363.7</v>
      </c>
      <c r="AE32" s="267">
        <f>IF(IndividualLATest!$J$7=2014,(VLOOKUP($A32,Hshldprojections2014!$A$2:$AY$326,44,FALSE)-VLOOKUP($A32,Hshldprojections2014!$A$2:$AY$326,34,FALSE))/10,IF(IndividualLATest!$J$7=2016,(VLOOKUP($A32,Hshldprojections2016!$A$1:$AQ$322,34,FALSE)-VLOOKUP($A32,Hshldprojections2016!$A$1:$AQ$322,24,FALSE))/10,(VLOOKUP($A32,Hshldprojections2018!$A$1:$AQ$327,34,FALSE)-VLOOKUP($A32,Hshldprojections2018!$A$1:$AQ$327,24,FALSE))/10))</f>
        <v>353.2</v>
      </c>
      <c r="AF32" s="267">
        <f>IF(IndividualLATest!$J$7=2014,(VLOOKUP($A32,Hshldprojections2014!$A$2:$AY$326,45,FALSE)-VLOOKUP($A32,Hshldprojections2014!$A$2:$AY$326,35,FALSE))/10,IF(IndividualLATest!$J$7=2016,(VLOOKUP($A32,Hshldprojections2016!$A$1:$AQ$322,35,FALSE)-VLOOKUP($A32,Hshldprojections2016!$A$1:$AQ$322,25,FALSE))/10,(VLOOKUP($A32,Hshldprojections2018!$A$1:$AQ$327,35,FALSE)-VLOOKUP($A32,Hshldprojections2018!$A$1:$AQ$327,25,FALSE))/10))</f>
        <v>345.5</v>
      </c>
      <c r="AG32" s="267">
        <f>IF(IndividualLATest!$J$7=2014,(VLOOKUP($A32,Hshldprojections2014!$A$2:$AY$326,46,FALSE)-VLOOKUP($A32,Hshldprojections2014!$A$2:$AY$326,36,FALSE))/10,IF(IndividualLATest!$J$7=2016,(VLOOKUP($A32,Hshldprojections2016!$A$1:$AQ$322,36,FALSE)-VLOOKUP($A32,Hshldprojections2016!$A$1:$AQ$322,26,FALSE))/10,(VLOOKUP($A32,Hshldprojections2018!$A$1:$AQ$327,36,FALSE)-VLOOKUP($A32,Hshldprojections2018!$A$1:$AQ$327,26,FALSE))/10))</f>
        <v>337.1</v>
      </c>
      <c r="AH32" s="267">
        <f>IF(IndividualLATest!$J$7=2014,(VLOOKUP($A32,Hshldprojections2014!$A$2:$AY$326,47,FALSE)-VLOOKUP($A32,Hshldprojections2014!$A$2:$AY$326,37,FALSE))/10,IF(IndividualLATest!$J$7=2016,(VLOOKUP($A32,Hshldprojections2016!$A$1:$AQ$322,37,FALSE)-VLOOKUP($A32,Hshldprojections2016!$A$1:$AQ$322,27,FALSE))/10,(VLOOKUP($A32,Hshldprojections2018!$A$1:$AQ$327,37,FALSE)-VLOOKUP($A32,Hshldprojections2018!$A$1:$AQ$327,27,FALSE))/10))</f>
        <v>333.3</v>
      </c>
      <c r="AI32" s="268">
        <f>VLOOKUP($A32,AffordabilityRatio!$A$2:$I$321,5,FALSE)</f>
        <v>9.5</v>
      </c>
      <c r="AJ32" s="268">
        <f>VLOOKUP($A32,AffordabilityRatio!$A$2:$I$321,6,FALSE)</f>
        <v>10.26</v>
      </c>
      <c r="AK32" s="268">
        <f>VLOOKUP($A32,AffordabilityRatio!$A$2:$I$321,7,FALSE)</f>
        <v>10.23</v>
      </c>
      <c r="AL32" s="268">
        <f>IF((VLOOKUP($A32,AffordabilityRatio!$A$2:$I$321,8,FALSE))="",AK32,VLOOKUP($A32,AffordabilityRatio!$A$2:$I$321,8,FALSE))</f>
        <v>9.81</v>
      </c>
      <c r="AM32" s="268">
        <f>IF((VLOOKUP($A32,AffordabilityRatio!$A$2:$I$321,9,FALSE))="",AL32,VLOOKUP($A32,AffordabilityRatio!$A$2:$I$321,9,FALSE))</f>
        <v>10.6</v>
      </c>
      <c r="AN32" s="268">
        <f>IF((VLOOKUP($A32,AffordabilityRatio!$A$2:$I$321,9,FALSE))="",AM32,VLOOKUP($A32,AffordabilityRatio!$A$2:$I$321,9,FALSE))</f>
        <v>10.6</v>
      </c>
      <c r="AO32" s="268">
        <f>IF((VLOOKUP($A32,AffordabilityRatio!$A$2:$I$321,9,FALSE))="",AN32,VLOOKUP($A32,AffordabilityRatio!$A$2:$I$321,9,FALSE))</f>
        <v>10.6</v>
      </c>
      <c r="AP32" s="268">
        <f>IF((VLOOKUP($A32,AffordabilityRatio!$A$2:$I$321,9,FALSE))="",AO32,VLOOKUP($A32,AffordabilityRatio!$A$2:$I$321,9,FALSE))</f>
        <v>10.6</v>
      </c>
      <c r="AQ32" s="267">
        <f t="shared" si="24"/>
        <v>849</v>
      </c>
      <c r="AR32" s="267">
        <f t="shared" si="25"/>
        <v>866</v>
      </c>
      <c r="AS32" s="267">
        <f t="shared" si="26"/>
        <v>857</v>
      </c>
      <c r="AT32" s="267">
        <f t="shared" si="27"/>
        <v>496</v>
      </c>
      <c r="AU32" s="267">
        <f t="shared" si="28"/>
        <v>499</v>
      </c>
      <c r="AV32" s="267">
        <f t="shared" si="29"/>
        <v>488</v>
      </c>
      <c r="AW32" s="267">
        <f t="shared" si="30"/>
        <v>476</v>
      </c>
      <c r="AX32" s="267">
        <f t="shared" si="31"/>
        <v>471</v>
      </c>
      <c r="AY32" s="267">
        <f t="shared" si="32"/>
        <v>849</v>
      </c>
      <c r="AZ32" s="267">
        <f t="shared" si="33"/>
        <v>866</v>
      </c>
      <c r="BA32" s="267">
        <f t="shared" si="34"/>
        <v>857</v>
      </c>
      <c r="BB32" s="267">
        <f t="shared" si="35"/>
        <v>496</v>
      </c>
      <c r="BC32" s="267">
        <f t="shared" si="36"/>
        <v>499</v>
      </c>
      <c r="BD32" s="267">
        <f t="shared" si="37"/>
        <v>488</v>
      </c>
      <c r="BE32" s="267">
        <f t="shared" si="38"/>
        <v>476</v>
      </c>
      <c r="BF32" s="267">
        <f t="shared" si="39"/>
        <v>471</v>
      </c>
      <c r="BG32" s="269">
        <f>AY32*VLOOKUP($B32,'Major Cities &amp; Towns'!$A$28:$B$345,2,FALSE)</f>
        <v>849</v>
      </c>
      <c r="BH32" s="269">
        <f>AZ32*VLOOKUP($B32,'Major Cities &amp; Towns'!$A$28:$B$345,2,FALSE)</f>
        <v>866</v>
      </c>
      <c r="BI32" s="269">
        <f>BA32*VLOOKUP($B32,'Major Cities &amp; Towns'!$A$28:$B$345,2,FALSE)</f>
        <v>857</v>
      </c>
      <c r="BJ32" s="269">
        <f>BB32*VLOOKUP($B32,'Major Cities &amp; Towns'!$A$28:$B$345,2,FALSE)</f>
        <v>496</v>
      </c>
      <c r="BK32" s="269">
        <f>BC32*VLOOKUP($B32,'Major Cities &amp; Towns'!$A$28:$B$345,2,FALSE)</f>
        <v>499</v>
      </c>
      <c r="BL32" s="269">
        <f>BD32*VLOOKUP($B32,'Major Cities &amp; Towns'!$A$28:$B$345,2,FALSE)</f>
        <v>488</v>
      </c>
      <c r="BM32" s="269">
        <f>BE32*VLOOKUP($B32,'Major Cities &amp; Towns'!$A$28:$B$345,2,FALSE)</f>
        <v>476</v>
      </c>
      <c r="BN32" s="269">
        <f>BF32*VLOOKUP($B32,'Major Cities &amp; Towns'!$A$28:$B$345,2,FALSE)</f>
        <v>471</v>
      </c>
      <c r="BO32" s="270">
        <f t="shared" si="40"/>
        <v>716</v>
      </c>
      <c r="BP32" s="270">
        <f t="shared" si="41"/>
        <v>716</v>
      </c>
      <c r="BQ32" s="270">
        <f t="shared" si="42"/>
        <v>716</v>
      </c>
      <c r="BR32" s="270">
        <f t="shared" si="43"/>
        <v>496</v>
      </c>
      <c r="BS32" s="270">
        <f t="shared" si="44"/>
        <v>499</v>
      </c>
      <c r="BT32" s="270">
        <f t="shared" si="45"/>
        <v>488</v>
      </c>
      <c r="BU32" s="270">
        <f t="shared" si="46"/>
        <v>476</v>
      </c>
      <c r="BV32" s="270">
        <f t="shared" si="47"/>
        <v>471</v>
      </c>
      <c r="BW32" s="39">
        <f>VLOOKUP($A32,NetAdditions!$A$2:$H$336,6,FALSE)</f>
        <v>534</v>
      </c>
      <c r="BX32" s="39">
        <f>VLOOKUP($A32,NetAdditions!$A$2:$H$336,7,FALSE)</f>
        <v>884</v>
      </c>
      <c r="BY32" s="39">
        <f>IF((VLOOKUP($C32,NetAdditions!$A$2:$H$336,8,FALSE))="",(AVERAGE(VLOOKUP($C32,NetAdditions!$A$2:$H$336,5,FALSE),VLOOKUP($C32,NetAdditions!$A$2:$H$336,6,FALSE),VLOOKUP($C32,NetAdditions!$A$2:$H$336,7,FALSE))),VLOOKUP($C32,NetAdditions!$A$2:$H$336,8,FALSE))</f>
        <v>846</v>
      </c>
      <c r="BZ32" s="39">
        <f t="shared" si="48"/>
        <v>754.66666666666663</v>
      </c>
      <c r="CA32" s="39">
        <f t="shared" si="49"/>
        <v>828.22222222222217</v>
      </c>
      <c r="CB32" s="39">
        <f t="shared" si="50"/>
        <v>809.62962962962956</v>
      </c>
      <c r="CC32" s="39">
        <f t="shared" si="51"/>
        <v>797.50617283950612</v>
      </c>
      <c r="CD32" s="39">
        <f t="shared" si="52"/>
        <v>811.78600823045269</v>
      </c>
      <c r="CE32" s="276">
        <f t="shared" si="5"/>
        <v>2148</v>
      </c>
      <c r="CF32" s="276">
        <f t="shared" si="6"/>
        <v>1928</v>
      </c>
      <c r="CG32" s="276">
        <f t="shared" si="7"/>
        <v>1711</v>
      </c>
      <c r="CH32" s="276">
        <f t="shared" si="8"/>
        <v>1483</v>
      </c>
      <c r="CI32" s="276">
        <f t="shared" si="9"/>
        <v>1463</v>
      </c>
      <c r="CJ32" s="276">
        <f t="shared" si="10"/>
        <v>1435</v>
      </c>
      <c r="CK32" s="276">
        <f t="shared" si="53"/>
        <v>1849.6666666666667</v>
      </c>
      <c r="CL32" s="276">
        <f t="shared" si="54"/>
        <v>1660.2222222222224</v>
      </c>
      <c r="CM32" s="276">
        <f t="shared" si="55"/>
        <v>1568.4166666666665</v>
      </c>
      <c r="CN32" s="276">
        <f t="shared" si="56"/>
        <v>1483</v>
      </c>
      <c r="CO32" s="276">
        <f t="shared" si="57"/>
        <v>1463</v>
      </c>
      <c r="CP32" s="276">
        <f t="shared" si="58"/>
        <v>1435</v>
      </c>
      <c r="CQ32" s="39">
        <f t="shared" si="12"/>
        <v>2264</v>
      </c>
      <c r="CR32" s="39">
        <f t="shared" si="13"/>
        <v>2484.6666666666665</v>
      </c>
      <c r="CS32" s="277">
        <f t="shared" si="14"/>
        <v>2428.8888888888887</v>
      </c>
      <c r="CT32" s="39">
        <f t="shared" si="15"/>
        <v>2392.5185185185182</v>
      </c>
      <c r="CU32" s="39">
        <f t="shared" si="16"/>
        <v>2435.358024691358</v>
      </c>
      <c r="CV32" s="39">
        <f t="shared" si="59"/>
        <v>2418.9218106995886</v>
      </c>
      <c r="CW32" s="297">
        <f t="shared" si="18"/>
        <v>1.2240043251036221</v>
      </c>
      <c r="CX32" s="279" t="str">
        <f t="shared" si="60"/>
        <v>Pass</v>
      </c>
      <c r="CY32" s="278">
        <f t="shared" si="19"/>
        <v>1.4965868023022351</v>
      </c>
      <c r="CZ32" s="279" t="str">
        <f t="shared" si="61"/>
        <v>Pass</v>
      </c>
      <c r="DA32" s="278">
        <f t="shared" si="20"/>
        <v>1.5486247631192109</v>
      </c>
      <c r="DB32" s="292" t="str">
        <f t="shared" si="62"/>
        <v>Pass</v>
      </c>
      <c r="DC32" s="299">
        <f t="shared" si="63"/>
        <v>1.6132963712194999</v>
      </c>
      <c r="DD32" s="293" t="str">
        <f t="shared" si="64"/>
        <v>Pass</v>
      </c>
      <c r="DE32" s="299">
        <f t="shared" si="65"/>
        <v>1.664632962878577</v>
      </c>
      <c r="DF32" s="293" t="str">
        <f t="shared" si="66"/>
        <v>Pass</v>
      </c>
      <c r="DG32" s="299">
        <f t="shared" si="67"/>
        <v>1.6856597983969259</v>
      </c>
      <c r="DH32" s="293" t="str">
        <f t="shared" si="68"/>
        <v>Pass</v>
      </c>
    </row>
    <row r="33" spans="1:112" ht="15" thickTop="1" thickBot="1">
      <c r="A33" s="38" t="s">
        <v>175</v>
      </c>
      <c r="B33" s="38" t="s">
        <v>176</v>
      </c>
      <c r="C33" s="38" t="s">
        <v>175</v>
      </c>
      <c r="D33" s="38" t="s">
        <v>128</v>
      </c>
      <c r="E33" s="38" t="str">
        <f>VLOOKUP(C33,PoliticalControl!A:K,11,FALSE)</f>
        <v>CON</v>
      </c>
      <c r="F33" s="38" t="str">
        <f>VLOOKUP(C33,UrbanRuralClassification!A:N,13,FALSE)</f>
        <v xml:space="preserve">Mainly Rural (rural including hub towns &gt;=80%) </v>
      </c>
      <c r="G33" s="38" t="str">
        <f>VLOOKUP(C33,UrbanRuralClassification!A:N,14,FALSE)</f>
        <v>Predominantly Rural</v>
      </c>
      <c r="H33" s="258">
        <f>IF(ISBLANK((VLOOKUP($A33,'local-plan-data'!$C$1:$AD$566,27,FALSE)))=TRUE,"",VLOOKUP($A33,'local-plan-data'!$C$1:$AD$566,27,FALSE))</f>
        <v>43797</v>
      </c>
      <c r="I33" s="259">
        <f>VLOOKUP($A33,'local-plan-data'!$C$1:$AD$566,28,FALSE)</f>
        <v>611.91999999999996</v>
      </c>
      <c r="J33" s="260">
        <f t="shared" si="21"/>
        <v>611.91999999999996</v>
      </c>
      <c r="K33" s="259">
        <f t="shared" si="22"/>
        <v>611.91999999999996</v>
      </c>
      <c r="L33" s="259">
        <f t="shared" si="22"/>
        <v>611.91999999999996</v>
      </c>
      <c r="M33" s="259">
        <f t="shared" si="22"/>
        <v>611.91999999999996</v>
      </c>
      <c r="N33" s="259">
        <f t="shared" si="22"/>
        <v>611.91999999999996</v>
      </c>
      <c r="O33" s="259">
        <f t="shared" si="22"/>
        <v>611.91999999999996</v>
      </c>
      <c r="P33" s="259">
        <f t="shared" si="22"/>
        <v>611.91999999999996</v>
      </c>
      <c r="Q33" s="259">
        <f t="shared" si="22"/>
        <v>611.91999999999996</v>
      </c>
      <c r="R33" s="259" t="str">
        <f t="shared" si="22"/>
        <v>-</v>
      </c>
      <c r="S33" s="259">
        <f t="shared" si="23"/>
        <v>2433</v>
      </c>
      <c r="T33" s="259">
        <f t="shared" si="23"/>
        <v>2068</v>
      </c>
      <c r="U33" s="259">
        <f t="shared" si="23"/>
        <v>1702</v>
      </c>
      <c r="V33" s="259">
        <f t="shared" si="23"/>
        <v>1337</v>
      </c>
      <c r="W33" s="259">
        <f t="shared" si="23"/>
        <v>972</v>
      </c>
      <c r="X33" s="259">
        <f t="shared" si="23"/>
        <v>607</v>
      </c>
      <c r="Y33" s="259">
        <f t="shared" si="23"/>
        <v>241</v>
      </c>
      <c r="Z33" s="259">
        <f t="shared" si="23"/>
        <v>-124</v>
      </c>
      <c r="AA33" s="267">
        <f>(VLOOKUP(A33,Hshldprojections2014!$A$2:$AW$319,40, FALSE)-VLOOKUP(A33,Hshldprojections2014!$A$2:$AW$319,30, FALSE))/10</f>
        <v>524.5</v>
      </c>
      <c r="AB33" s="267">
        <f>(VLOOKUP(A33,Hshldprojections2014!$A$2:$AW$319,41, FALSE)-VLOOKUP(A33,Hshldprojections2014!$A$2:$AW$319,31, FALSE))/10</f>
        <v>517.70000000000005</v>
      </c>
      <c r="AC33" s="267">
        <f>(VLOOKUP(A33,Hshldprojections2014!$A$2:$AW$319,42, FALSE)-VLOOKUP(A33,Hshldprojections2014!$A$2:$AW$319,32, FALSE))/10</f>
        <v>512.1</v>
      </c>
      <c r="AD33" s="267">
        <f>IF(IndividualLATest!$J$7=2014,(VLOOKUP($A33,Hshldprojections2014!$A$2:$AY$326,43,FALSE)-VLOOKUP($A33,Hshldprojections2014!$A$2:$AY$326,33,FALSE))/10,IF(IndividualLATest!$J$7=2016,(VLOOKUP($A33,Hshldprojections2016!$A$1:$AQ$322,33,FALSE)-VLOOKUP($A33,Hshldprojections2016!$A$1:$AQ$322,23,FALSE))/10,(VLOOKUP($A33,Hshldprojections2018!$A$1:$AQ$327,33,FALSE)-VLOOKUP($A33,Hshldprojections2018!$A$1:$AQ$327,23,FALSE))/10))</f>
        <v>621.9</v>
      </c>
      <c r="AE33" s="267">
        <f>IF(IndividualLATest!$J$7=2014,(VLOOKUP($A33,Hshldprojections2014!$A$2:$AY$326,44,FALSE)-VLOOKUP($A33,Hshldprojections2014!$A$2:$AY$326,34,FALSE))/10,IF(IndividualLATest!$J$7=2016,(VLOOKUP($A33,Hshldprojections2016!$A$1:$AQ$322,34,FALSE)-VLOOKUP($A33,Hshldprojections2016!$A$1:$AQ$322,24,FALSE))/10,(VLOOKUP($A33,Hshldprojections2018!$A$1:$AQ$327,34,FALSE)-VLOOKUP($A33,Hshldprojections2018!$A$1:$AQ$327,24,FALSE))/10))</f>
        <v>608.20000000000005</v>
      </c>
      <c r="AF33" s="267">
        <f>IF(IndividualLATest!$J$7=2014,(VLOOKUP($A33,Hshldprojections2014!$A$2:$AY$326,45,FALSE)-VLOOKUP($A33,Hshldprojections2014!$A$2:$AY$326,35,FALSE))/10,IF(IndividualLATest!$J$7=2016,(VLOOKUP($A33,Hshldprojections2016!$A$1:$AQ$322,35,FALSE)-VLOOKUP($A33,Hshldprojections2016!$A$1:$AQ$322,25,FALSE))/10,(VLOOKUP($A33,Hshldprojections2018!$A$1:$AQ$327,35,FALSE)-VLOOKUP($A33,Hshldprojections2018!$A$1:$AQ$327,25,FALSE))/10))</f>
        <v>596.29999999999995</v>
      </c>
      <c r="AG33" s="267">
        <f>IF(IndividualLATest!$J$7=2014,(VLOOKUP($A33,Hshldprojections2014!$A$2:$AY$326,46,FALSE)-VLOOKUP($A33,Hshldprojections2014!$A$2:$AY$326,36,FALSE))/10,IF(IndividualLATest!$J$7=2016,(VLOOKUP($A33,Hshldprojections2016!$A$1:$AQ$322,36,FALSE)-VLOOKUP($A33,Hshldprojections2016!$A$1:$AQ$322,26,FALSE))/10,(VLOOKUP($A33,Hshldprojections2018!$A$1:$AQ$327,36,FALSE)-VLOOKUP($A33,Hshldprojections2018!$A$1:$AQ$327,26,FALSE))/10))</f>
        <v>584.20000000000005</v>
      </c>
      <c r="AH33" s="267">
        <f>IF(IndividualLATest!$J$7=2014,(VLOOKUP($A33,Hshldprojections2014!$A$2:$AY$326,47,FALSE)-VLOOKUP($A33,Hshldprojections2014!$A$2:$AY$326,37,FALSE))/10,IF(IndividualLATest!$J$7=2016,(VLOOKUP($A33,Hshldprojections2016!$A$1:$AQ$322,37,FALSE)-VLOOKUP($A33,Hshldprojections2016!$A$1:$AQ$322,27,FALSE))/10,(VLOOKUP($A33,Hshldprojections2018!$A$1:$AQ$327,37,FALSE)-VLOOKUP($A33,Hshldprojections2018!$A$1:$AQ$327,27,FALSE))/10))</f>
        <v>576</v>
      </c>
      <c r="AI33" s="268">
        <f>VLOOKUP($A33,AffordabilityRatio!$A$2:$I$321,5,FALSE)</f>
        <v>9.34</v>
      </c>
      <c r="AJ33" s="268">
        <f>VLOOKUP($A33,AffordabilityRatio!$A$2:$I$321,6,FALSE)</f>
        <v>9.14</v>
      </c>
      <c r="AK33" s="268">
        <f>VLOOKUP($A33,AffordabilityRatio!$A$2:$I$321,7,FALSE)</f>
        <v>8.67</v>
      </c>
      <c r="AL33" s="268">
        <f>IF((VLOOKUP($A33,AffordabilityRatio!$A$2:$I$321,8,FALSE))="",AK33,VLOOKUP($A33,AffordabilityRatio!$A$2:$I$321,8,FALSE))</f>
        <v>8.5</v>
      </c>
      <c r="AM33" s="268">
        <f>IF((VLOOKUP($A33,AffordabilityRatio!$A$2:$I$321,9,FALSE))="",AL33,VLOOKUP($A33,AffordabilityRatio!$A$2:$I$321,9,FALSE))</f>
        <v>9.4</v>
      </c>
      <c r="AN33" s="268">
        <f>IF((VLOOKUP($A33,AffordabilityRatio!$A$2:$I$321,9,FALSE))="",AM33,VLOOKUP($A33,AffordabilityRatio!$A$2:$I$321,9,FALSE))</f>
        <v>9.4</v>
      </c>
      <c r="AO33" s="268">
        <f>IF((VLOOKUP($A33,AffordabilityRatio!$A$2:$I$321,9,FALSE))="",AN33,VLOOKUP($A33,AffordabilityRatio!$A$2:$I$321,9,FALSE))</f>
        <v>9.4</v>
      </c>
      <c r="AP33" s="268">
        <f>IF((VLOOKUP($A33,AffordabilityRatio!$A$2:$I$321,9,FALSE))="",AO33,VLOOKUP($A33,AffordabilityRatio!$A$2:$I$321,9,FALSE))</f>
        <v>9.4</v>
      </c>
      <c r="AQ33" s="267">
        <f t="shared" si="24"/>
        <v>700</v>
      </c>
      <c r="AR33" s="267">
        <f t="shared" si="25"/>
        <v>684</v>
      </c>
      <c r="AS33" s="267">
        <f t="shared" si="26"/>
        <v>662</v>
      </c>
      <c r="AT33" s="267">
        <f t="shared" si="27"/>
        <v>797</v>
      </c>
      <c r="AU33" s="267">
        <f t="shared" si="28"/>
        <v>813</v>
      </c>
      <c r="AV33" s="267">
        <f t="shared" si="29"/>
        <v>798</v>
      </c>
      <c r="AW33" s="267">
        <f t="shared" si="30"/>
        <v>781</v>
      </c>
      <c r="AX33" s="267">
        <f t="shared" si="31"/>
        <v>770</v>
      </c>
      <c r="AY33" s="267">
        <f t="shared" si="32"/>
        <v>700</v>
      </c>
      <c r="AZ33" s="267">
        <f t="shared" si="33"/>
        <v>684</v>
      </c>
      <c r="BA33" s="267">
        <f t="shared" si="34"/>
        <v>662</v>
      </c>
      <c r="BB33" s="267">
        <f t="shared" si="35"/>
        <v>797</v>
      </c>
      <c r="BC33" s="267">
        <f t="shared" si="36"/>
        <v>813</v>
      </c>
      <c r="BD33" s="267">
        <f t="shared" si="37"/>
        <v>798</v>
      </c>
      <c r="BE33" s="267">
        <f t="shared" si="38"/>
        <v>781</v>
      </c>
      <c r="BF33" s="267">
        <f t="shared" si="39"/>
        <v>770</v>
      </c>
      <c r="BG33" s="269">
        <f>AY33*VLOOKUP($B33,'Major Cities &amp; Towns'!$A$28:$B$345,2,FALSE)</f>
        <v>700</v>
      </c>
      <c r="BH33" s="269">
        <f>AZ33*VLOOKUP($B33,'Major Cities &amp; Towns'!$A$28:$B$345,2,FALSE)</f>
        <v>684</v>
      </c>
      <c r="BI33" s="269">
        <f>BA33*VLOOKUP($B33,'Major Cities &amp; Towns'!$A$28:$B$345,2,FALSE)</f>
        <v>662</v>
      </c>
      <c r="BJ33" s="269">
        <f>BB33*VLOOKUP($B33,'Major Cities &amp; Towns'!$A$28:$B$345,2,FALSE)</f>
        <v>797</v>
      </c>
      <c r="BK33" s="269">
        <f>BC33*VLOOKUP($B33,'Major Cities &amp; Towns'!$A$28:$B$345,2,FALSE)</f>
        <v>813</v>
      </c>
      <c r="BL33" s="269">
        <f>BD33*VLOOKUP($B33,'Major Cities &amp; Towns'!$A$28:$B$345,2,FALSE)</f>
        <v>798</v>
      </c>
      <c r="BM33" s="269">
        <f>BE33*VLOOKUP($B33,'Major Cities &amp; Towns'!$A$28:$B$345,2,FALSE)</f>
        <v>781</v>
      </c>
      <c r="BN33" s="269">
        <f>BF33*VLOOKUP($B33,'Major Cities &amp; Towns'!$A$28:$B$345,2,FALSE)</f>
        <v>770</v>
      </c>
      <c r="BO33" s="270">
        <f t="shared" si="40"/>
        <v>611.91999999999996</v>
      </c>
      <c r="BP33" s="270">
        <f t="shared" si="41"/>
        <v>611.91999999999996</v>
      </c>
      <c r="BQ33" s="270">
        <f t="shared" si="42"/>
        <v>611.91999999999996</v>
      </c>
      <c r="BR33" s="270">
        <f t="shared" si="43"/>
        <v>611.91999999999996</v>
      </c>
      <c r="BS33" s="270">
        <f t="shared" si="44"/>
        <v>611.91999999999996</v>
      </c>
      <c r="BT33" s="270">
        <f t="shared" si="45"/>
        <v>611.91999999999996</v>
      </c>
      <c r="BU33" s="270">
        <f t="shared" si="46"/>
        <v>669.36087671232872</v>
      </c>
      <c r="BV33" s="270">
        <f t="shared" si="47"/>
        <v>770</v>
      </c>
      <c r="BW33" s="39">
        <f>VLOOKUP($A33,NetAdditions!$A$2:$H$336,6,FALSE)</f>
        <v>753</v>
      </c>
      <c r="BX33" s="39">
        <f>VLOOKUP($A33,NetAdditions!$A$2:$H$336,7,FALSE)</f>
        <v>587</v>
      </c>
      <c r="BY33" s="39">
        <f>IF((VLOOKUP($C33,NetAdditions!$A$2:$H$336,8,FALSE))="",(AVERAGE(VLOOKUP($C33,NetAdditions!$A$2:$H$336,5,FALSE),VLOOKUP($C33,NetAdditions!$A$2:$H$336,6,FALSE),VLOOKUP($C33,NetAdditions!$A$2:$H$336,7,FALSE))),VLOOKUP($C33,NetAdditions!$A$2:$H$336,8,FALSE))</f>
        <v>551</v>
      </c>
      <c r="BZ33" s="39">
        <f t="shared" si="48"/>
        <v>630.33333333333337</v>
      </c>
      <c r="CA33" s="39">
        <f t="shared" si="49"/>
        <v>589.44444444444446</v>
      </c>
      <c r="CB33" s="39">
        <f t="shared" si="50"/>
        <v>590.25925925925924</v>
      </c>
      <c r="CC33" s="39">
        <f t="shared" si="51"/>
        <v>603.34567901234561</v>
      </c>
      <c r="CD33" s="39">
        <f t="shared" si="52"/>
        <v>594.3497942386831</v>
      </c>
      <c r="CE33" s="276">
        <f t="shared" si="5"/>
        <v>1835.7599999999998</v>
      </c>
      <c r="CF33" s="276">
        <f t="shared" si="6"/>
        <v>1835.7599999999998</v>
      </c>
      <c r="CG33" s="276">
        <f t="shared" si="7"/>
        <v>1835.7599999999998</v>
      </c>
      <c r="CH33" s="276">
        <f t="shared" si="8"/>
        <v>1835.7599999999998</v>
      </c>
      <c r="CI33" s="276">
        <f t="shared" si="9"/>
        <v>1893.2008767123286</v>
      </c>
      <c r="CJ33" s="276">
        <f t="shared" si="10"/>
        <v>2051.2808767123288</v>
      </c>
      <c r="CK33" s="276">
        <f t="shared" si="53"/>
        <v>1580.7933333333333</v>
      </c>
      <c r="CL33" s="276">
        <f t="shared" si="54"/>
        <v>1580.7933333333333</v>
      </c>
      <c r="CM33" s="276">
        <f t="shared" si="55"/>
        <v>1682.7799999999997</v>
      </c>
      <c r="CN33" s="276">
        <f t="shared" si="56"/>
        <v>1835.7599999999998</v>
      </c>
      <c r="CO33" s="276">
        <f t="shared" si="57"/>
        <v>1893.2008767123286</v>
      </c>
      <c r="CP33" s="276">
        <f t="shared" si="58"/>
        <v>2051.2808767123288</v>
      </c>
      <c r="CQ33" s="39">
        <f t="shared" si="12"/>
        <v>1891</v>
      </c>
      <c r="CR33" s="39">
        <f t="shared" si="13"/>
        <v>1768.3333333333335</v>
      </c>
      <c r="CS33" s="277">
        <f t="shared" si="14"/>
        <v>1770.7777777777778</v>
      </c>
      <c r="CT33" s="39">
        <f t="shared" si="15"/>
        <v>1810.037037037037</v>
      </c>
      <c r="CU33" s="39">
        <f t="shared" si="16"/>
        <v>1783.0493827160494</v>
      </c>
      <c r="CV33" s="39">
        <f t="shared" si="59"/>
        <v>1787.9547325102881</v>
      </c>
      <c r="CW33" s="297">
        <f t="shared" si="18"/>
        <v>1.1962348019348934</v>
      </c>
      <c r="CX33" s="279" t="str">
        <f t="shared" si="60"/>
        <v>Pass</v>
      </c>
      <c r="CY33" s="278">
        <f t="shared" si="19"/>
        <v>1.1186366339264253</v>
      </c>
      <c r="CZ33" s="279" t="str">
        <f t="shared" si="61"/>
        <v>Pass</v>
      </c>
      <c r="DA33" s="278">
        <f t="shared" si="20"/>
        <v>1.0522930970048243</v>
      </c>
      <c r="DB33" s="292" t="str">
        <f t="shared" si="62"/>
        <v>Pass</v>
      </c>
      <c r="DC33" s="299">
        <f t="shared" si="63"/>
        <v>0.98598783993388961</v>
      </c>
      <c r="DD33" s="293" t="str">
        <f t="shared" si="64"/>
        <v>Pass</v>
      </c>
      <c r="DE33" s="299">
        <f t="shared" si="65"/>
        <v>0.9418173235860926</v>
      </c>
      <c r="DF33" s="293" t="str">
        <f t="shared" si="66"/>
        <v>Action Plan</v>
      </c>
      <c r="DG33" s="299">
        <f t="shared" si="67"/>
        <v>0.87162843119559319</v>
      </c>
      <c r="DH33" s="293" t="str">
        <f t="shared" si="68"/>
        <v>Action Plan</v>
      </c>
    </row>
    <row r="34" spans="1:112" customFormat="1" ht="15.5" thickTop="1" thickBot="1">
      <c r="A34" s="3" t="s">
        <v>177</v>
      </c>
      <c r="B34" s="3" t="s">
        <v>178</v>
      </c>
      <c r="C34" s="3" t="s">
        <v>177</v>
      </c>
      <c r="D34" s="3" t="s">
        <v>131</v>
      </c>
      <c r="E34" s="3" t="str">
        <f>VLOOKUP(C34,PoliticalControl!A:K,11,FALSE)</f>
        <v>LAB</v>
      </c>
      <c r="F34" s="3" t="str">
        <f>VLOOKUP(C34,UrbanRuralClassification!A:N,13,FALSE)</f>
        <v>Urban with Major Conurbation</v>
      </c>
      <c r="G34" s="3" t="str">
        <f>VLOOKUP(C34,UrbanRuralClassification!A:N,14,FALSE)</f>
        <v>Predominantly Urban</v>
      </c>
      <c r="H34" s="262">
        <f>IF(ISBLANK((VLOOKUP($A34,'local-plan-data'!$C$1:$AD$566,27,FALSE)))=TRUE,"",VLOOKUP($A34,'local-plan-data'!$C$1:$AD$566,27,FALSE))</f>
        <v>40371</v>
      </c>
      <c r="I34" s="263">
        <f>VLOOKUP($A34,'local-plan-data'!$C$1:$AD$566,28,FALSE)</f>
        <v>1103.6842105263158</v>
      </c>
      <c r="J34" s="264">
        <f t="shared" si="21"/>
        <v>1103.6842105263158</v>
      </c>
      <c r="K34" s="259" t="str">
        <f t="shared" si="22"/>
        <v>-</v>
      </c>
      <c r="L34" s="259" t="str">
        <f t="shared" si="22"/>
        <v>-</v>
      </c>
      <c r="M34" s="259" t="str">
        <f t="shared" si="22"/>
        <v>-</v>
      </c>
      <c r="N34" s="259" t="str">
        <f t="shared" si="22"/>
        <v>-</v>
      </c>
      <c r="O34" s="259" t="str">
        <f t="shared" si="22"/>
        <v>-</v>
      </c>
      <c r="P34" s="259" t="str">
        <f t="shared" si="22"/>
        <v>-</v>
      </c>
      <c r="Q34" s="259" t="str">
        <f t="shared" si="22"/>
        <v>-</v>
      </c>
      <c r="R34" s="259" t="str">
        <f t="shared" si="22"/>
        <v>-</v>
      </c>
      <c r="S34" s="259">
        <f t="shared" si="23"/>
        <v>-994</v>
      </c>
      <c r="T34" s="259">
        <f t="shared" si="23"/>
        <v>-1359</v>
      </c>
      <c r="U34" s="259">
        <f t="shared" si="23"/>
        <v>-1725</v>
      </c>
      <c r="V34" s="259">
        <f t="shared" si="23"/>
        <v>-2090</v>
      </c>
      <c r="W34" s="259">
        <f t="shared" si="23"/>
        <v>-2455</v>
      </c>
      <c r="X34" s="259">
        <f t="shared" si="23"/>
        <v>-2820</v>
      </c>
      <c r="Y34" s="259">
        <f t="shared" si="23"/>
        <v>-3186</v>
      </c>
      <c r="Z34" s="259">
        <f t="shared" si="23"/>
        <v>-3551</v>
      </c>
      <c r="AA34" s="267">
        <f>(VLOOKUP(A34,Hshldprojections2014!$A$2:$AW$319,40, FALSE)-VLOOKUP(A34,Hshldprojections2014!$A$2:$AW$319,30, FALSE))/10</f>
        <v>1961.7</v>
      </c>
      <c r="AB34" s="267">
        <f>(VLOOKUP(A34,Hshldprojections2014!$A$2:$AW$319,41, FALSE)-VLOOKUP(A34,Hshldprojections2014!$A$2:$AW$319,31, FALSE))/10</f>
        <v>1926.8</v>
      </c>
      <c r="AC34" s="267">
        <f>(VLOOKUP(A34,Hshldprojections2014!$A$2:$AW$319,42, FALSE)-VLOOKUP(A34,Hshldprojections2014!$A$2:$AW$319,32, FALSE))/10</f>
        <v>1890.9</v>
      </c>
      <c r="AD34" s="267">
        <f>IF(IndividualLATest!$J$7=2014,(VLOOKUP($A34,Hshldprojections2014!$A$2:$AY$326,43,FALSE)-VLOOKUP($A34,Hshldprojections2014!$A$2:$AY$326,33,FALSE))/10,IF(IndividualLATest!$J$7=2016,(VLOOKUP($A34,Hshldprojections2016!$A$1:$AQ$322,33,FALSE)-VLOOKUP($A34,Hshldprojections2016!$A$1:$AQ$322,23,FALSE))/10,(VLOOKUP($A34,Hshldprojections2018!$A$1:$AQ$327,33,FALSE)-VLOOKUP($A34,Hshldprojections2018!$A$1:$AQ$327,23,FALSE))/10))</f>
        <v>871.9</v>
      </c>
      <c r="AE34" s="267">
        <f>IF(IndividualLATest!$J$7=2014,(VLOOKUP($A34,Hshldprojections2014!$A$2:$AY$326,44,FALSE)-VLOOKUP($A34,Hshldprojections2014!$A$2:$AY$326,34,FALSE))/10,IF(IndividualLATest!$J$7=2016,(VLOOKUP($A34,Hshldprojections2016!$A$1:$AQ$322,34,FALSE)-VLOOKUP($A34,Hshldprojections2016!$A$1:$AQ$322,24,FALSE))/10,(VLOOKUP($A34,Hshldprojections2018!$A$1:$AQ$327,34,FALSE)-VLOOKUP($A34,Hshldprojections2018!$A$1:$AQ$327,24,FALSE))/10))</f>
        <v>843.3</v>
      </c>
      <c r="AF34" s="267">
        <f>IF(IndividualLATest!$J$7=2014,(VLOOKUP($A34,Hshldprojections2014!$A$2:$AY$326,45,FALSE)-VLOOKUP($A34,Hshldprojections2014!$A$2:$AY$326,35,FALSE))/10,IF(IndividualLATest!$J$7=2016,(VLOOKUP($A34,Hshldprojections2016!$A$1:$AQ$322,35,FALSE)-VLOOKUP($A34,Hshldprojections2016!$A$1:$AQ$322,25,FALSE))/10,(VLOOKUP($A34,Hshldprojections2018!$A$1:$AQ$327,35,FALSE)-VLOOKUP($A34,Hshldprojections2018!$A$1:$AQ$327,25,FALSE))/10))</f>
        <v>823.7</v>
      </c>
      <c r="AG34" s="267">
        <f>IF(IndividualLATest!$J$7=2014,(VLOOKUP($A34,Hshldprojections2014!$A$2:$AY$326,46,FALSE)-VLOOKUP($A34,Hshldprojections2014!$A$2:$AY$326,36,FALSE))/10,IF(IndividualLATest!$J$7=2016,(VLOOKUP($A34,Hshldprojections2016!$A$1:$AQ$322,36,FALSE)-VLOOKUP($A34,Hshldprojections2016!$A$1:$AQ$322,26,FALSE))/10,(VLOOKUP($A34,Hshldprojections2018!$A$1:$AQ$327,36,FALSE)-VLOOKUP($A34,Hshldprojections2018!$A$1:$AQ$327,26,FALSE))/10))</f>
        <v>811.4</v>
      </c>
      <c r="AH34" s="267">
        <f>IF(IndividualLATest!$J$7=2014,(VLOOKUP($A34,Hshldprojections2014!$A$2:$AY$326,47,FALSE)-VLOOKUP($A34,Hshldprojections2014!$A$2:$AY$326,37,FALSE))/10,IF(IndividualLATest!$J$7=2016,(VLOOKUP($A34,Hshldprojections2016!$A$1:$AQ$322,37,FALSE)-VLOOKUP($A34,Hshldprojections2016!$A$1:$AQ$322,27,FALSE))/10,(VLOOKUP($A34,Hshldprojections2018!$A$1:$AQ$327,37,FALSE)-VLOOKUP($A34,Hshldprojections2018!$A$1:$AQ$327,27,FALSE))/10))</f>
        <v>803.2</v>
      </c>
      <c r="AI34" s="268">
        <f>VLOOKUP($A34,AffordabilityRatio!$A$2:$I$321,5,FALSE)</f>
        <v>15.76</v>
      </c>
      <c r="AJ34" s="268">
        <f>VLOOKUP($A34,AffordabilityRatio!$A$2:$I$321,6,FALSE)</f>
        <v>16.3</v>
      </c>
      <c r="AK34" s="268">
        <f>VLOOKUP($A34,AffordabilityRatio!$A$2:$I$321,7,FALSE)</f>
        <v>15.61</v>
      </c>
      <c r="AL34" s="268">
        <f>IF((VLOOKUP($A34,AffordabilityRatio!$A$2:$I$321,8,FALSE))="",AK34,VLOOKUP($A34,AffordabilityRatio!$A$2:$I$321,8,FALSE))</f>
        <v>14.39</v>
      </c>
      <c r="AM34" s="268">
        <f>IF((VLOOKUP($A34,AffordabilityRatio!$A$2:$I$321,9,FALSE))="",AL34,VLOOKUP($A34,AffordabilityRatio!$A$2:$I$321,9,FALSE))</f>
        <v>16.05</v>
      </c>
      <c r="AN34" s="268">
        <f>IF((VLOOKUP($A34,AffordabilityRatio!$A$2:$I$321,9,FALSE))="",AM34,VLOOKUP($A34,AffordabilityRatio!$A$2:$I$321,9,FALSE))</f>
        <v>16.05</v>
      </c>
      <c r="AO34" s="268">
        <f>IF((VLOOKUP($A34,AffordabilityRatio!$A$2:$I$321,9,FALSE))="",AN34,VLOOKUP($A34,AffordabilityRatio!$A$2:$I$321,9,FALSE))</f>
        <v>16.05</v>
      </c>
      <c r="AP34" s="268">
        <f>IF((VLOOKUP($A34,AffordabilityRatio!$A$2:$I$321,9,FALSE))="",AO34,VLOOKUP($A34,AffordabilityRatio!$A$2:$I$321,9,FALSE))</f>
        <v>16.05</v>
      </c>
      <c r="AQ34" s="267">
        <f t="shared" si="24"/>
        <v>3404</v>
      </c>
      <c r="AR34" s="267">
        <f t="shared" si="25"/>
        <v>3408</v>
      </c>
      <c r="AS34" s="267">
        <f t="shared" si="26"/>
        <v>3263</v>
      </c>
      <c r="AT34" s="267">
        <f t="shared" si="27"/>
        <v>1438</v>
      </c>
      <c r="AU34" s="267">
        <f t="shared" si="28"/>
        <v>1478</v>
      </c>
      <c r="AV34" s="267">
        <f t="shared" si="29"/>
        <v>1444</v>
      </c>
      <c r="AW34" s="267">
        <f t="shared" si="30"/>
        <v>1422</v>
      </c>
      <c r="AX34" s="267">
        <f t="shared" si="31"/>
        <v>1408</v>
      </c>
      <c r="AY34" s="267">
        <f t="shared" si="32"/>
        <v>2746.38</v>
      </c>
      <c r="AZ34" s="267">
        <f t="shared" si="33"/>
        <v>2697.52</v>
      </c>
      <c r="BA34" s="267">
        <f t="shared" si="34"/>
        <v>2647.26</v>
      </c>
      <c r="BB34" s="267">
        <f t="shared" si="35"/>
        <v>1438</v>
      </c>
      <c r="BC34" s="267">
        <f t="shared" si="36"/>
        <v>1478</v>
      </c>
      <c r="BD34" s="267">
        <f t="shared" si="37"/>
        <v>1444</v>
      </c>
      <c r="BE34" s="267">
        <f t="shared" si="38"/>
        <v>1422</v>
      </c>
      <c r="BF34" s="267">
        <f t="shared" si="39"/>
        <v>1408</v>
      </c>
      <c r="BG34" s="269">
        <f>AY34*VLOOKUP($B34,'Major Cities &amp; Towns'!$A$28:$B$345,2,FALSE)</f>
        <v>3707.6130000000003</v>
      </c>
      <c r="BH34" s="269">
        <f>AZ34*VLOOKUP($B34,'Major Cities &amp; Towns'!$A$28:$B$345,2,FALSE)</f>
        <v>3641.652</v>
      </c>
      <c r="BI34" s="269">
        <f>BA34*VLOOKUP($B34,'Major Cities &amp; Towns'!$A$28:$B$345,2,FALSE)</f>
        <v>3573.8010000000004</v>
      </c>
      <c r="BJ34" s="269">
        <f>BB34*VLOOKUP($B34,'Major Cities &amp; Towns'!$A$28:$B$345,2,FALSE)</f>
        <v>1941.3000000000002</v>
      </c>
      <c r="BK34" s="269">
        <f>BC34*VLOOKUP($B34,'Major Cities &amp; Towns'!$A$28:$B$345,2,FALSE)</f>
        <v>1995.3000000000002</v>
      </c>
      <c r="BL34" s="269">
        <f>BD34*VLOOKUP($B34,'Major Cities &amp; Towns'!$A$28:$B$345,2,FALSE)</f>
        <v>1949.4</v>
      </c>
      <c r="BM34" s="269">
        <f>BE34*VLOOKUP($B34,'Major Cities &amp; Towns'!$A$28:$B$345,2,FALSE)</f>
        <v>1919.7</v>
      </c>
      <c r="BN34" s="269">
        <f>BF34*VLOOKUP($B34,'Major Cities &amp; Towns'!$A$28:$B$345,2,FALSE)</f>
        <v>1900.8000000000002</v>
      </c>
      <c r="BO34" s="270">
        <f t="shared" si="40"/>
        <v>3404</v>
      </c>
      <c r="BP34" s="270">
        <f t="shared" si="41"/>
        <v>3408</v>
      </c>
      <c r="BQ34" s="270">
        <f t="shared" si="42"/>
        <v>3263</v>
      </c>
      <c r="BR34" s="270">
        <f t="shared" si="43"/>
        <v>1438</v>
      </c>
      <c r="BS34" s="270">
        <f t="shared" si="44"/>
        <v>1478</v>
      </c>
      <c r="BT34" s="270">
        <f t="shared" si="45"/>
        <v>1444</v>
      </c>
      <c r="BU34" s="270">
        <f t="shared" si="46"/>
        <v>1422</v>
      </c>
      <c r="BV34" s="270">
        <f t="shared" si="47"/>
        <v>1408</v>
      </c>
      <c r="BW34" s="39">
        <f>VLOOKUP($A34,NetAdditions!$A$2:$H$336,6,FALSE)</f>
        <v>1741</v>
      </c>
      <c r="BX34" s="39">
        <f>VLOOKUP($A34,NetAdditions!$A$2:$H$336,7,FALSE)</f>
        <v>2433</v>
      </c>
      <c r="BY34" s="39">
        <f>IF((VLOOKUP($C34,NetAdditions!$A$2:$H$336,8,FALSE))="",(AVERAGE(VLOOKUP($C34,NetAdditions!$A$2:$H$336,5,FALSE),VLOOKUP($C34,NetAdditions!$A$2:$H$336,6,FALSE),VLOOKUP($C34,NetAdditions!$A$2:$H$336,7,FALSE))),VLOOKUP($C34,NetAdditions!$A$2:$H$336,8,FALSE))</f>
        <v>2404</v>
      </c>
      <c r="BZ34" s="39">
        <f t="shared" si="48"/>
        <v>2192.6666666666665</v>
      </c>
      <c r="CA34" s="39">
        <f t="shared" si="49"/>
        <v>2343.2222222222222</v>
      </c>
      <c r="CB34" s="39">
        <f t="shared" si="50"/>
        <v>2313.2962962962961</v>
      </c>
      <c r="CC34" s="39">
        <f t="shared" si="51"/>
        <v>2283.0617283950614</v>
      </c>
      <c r="CD34" s="39">
        <f t="shared" si="52"/>
        <v>2313.1934156378597</v>
      </c>
      <c r="CE34" s="276">
        <f t="shared" si="5"/>
        <v>10075</v>
      </c>
      <c r="CF34" s="276">
        <f t="shared" si="6"/>
        <v>8109</v>
      </c>
      <c r="CG34" s="276">
        <f t="shared" si="7"/>
        <v>6179</v>
      </c>
      <c r="CH34" s="276">
        <f t="shared" si="8"/>
        <v>4360</v>
      </c>
      <c r="CI34" s="276">
        <f t="shared" si="9"/>
        <v>4344</v>
      </c>
      <c r="CJ34" s="276">
        <f t="shared" si="10"/>
        <v>4274</v>
      </c>
      <c r="CK34" s="276">
        <f t="shared" si="53"/>
        <v>8675.6944444444453</v>
      </c>
      <c r="CL34" s="276">
        <f t="shared" si="54"/>
        <v>6982.75</v>
      </c>
      <c r="CM34" s="276">
        <f t="shared" si="55"/>
        <v>5664.083333333333</v>
      </c>
      <c r="CN34" s="276">
        <f t="shared" si="56"/>
        <v>4360</v>
      </c>
      <c r="CO34" s="276">
        <f t="shared" si="57"/>
        <v>4344</v>
      </c>
      <c r="CP34" s="276">
        <f t="shared" si="58"/>
        <v>4274</v>
      </c>
      <c r="CQ34" s="39">
        <f t="shared" si="12"/>
        <v>6578</v>
      </c>
      <c r="CR34" s="39">
        <f t="shared" si="13"/>
        <v>7029.6666666666661</v>
      </c>
      <c r="CS34" s="277">
        <f t="shared" si="14"/>
        <v>6939.8888888888887</v>
      </c>
      <c r="CT34" s="39">
        <f t="shared" si="15"/>
        <v>6849.1851851851843</v>
      </c>
      <c r="CU34" s="39">
        <f t="shared" si="16"/>
        <v>6939.5802469135797</v>
      </c>
      <c r="CV34" s="39">
        <f t="shared" si="59"/>
        <v>6909.5514403292163</v>
      </c>
      <c r="CW34" s="297">
        <f t="shared" si="18"/>
        <v>0.75821019771071796</v>
      </c>
      <c r="CX34" s="279" t="str">
        <f t="shared" si="60"/>
        <v>Buffer and Action Plan</v>
      </c>
      <c r="CY34" s="278">
        <f t="shared" si="19"/>
        <v>1.0067189383361377</v>
      </c>
      <c r="CZ34" s="279" t="str">
        <f t="shared" si="61"/>
        <v>Pass</v>
      </c>
      <c r="DA34" s="278">
        <f t="shared" si="20"/>
        <v>1.2252448420113091</v>
      </c>
      <c r="DB34" s="292" t="str">
        <f t="shared" si="62"/>
        <v>Pass</v>
      </c>
      <c r="DC34" s="299">
        <f t="shared" si="63"/>
        <v>1.5709140332993543</v>
      </c>
      <c r="DD34" s="293" t="str">
        <f t="shared" si="64"/>
        <v>Pass</v>
      </c>
      <c r="DE34" s="299">
        <f t="shared" si="65"/>
        <v>1.5975092649432734</v>
      </c>
      <c r="DF34" s="293" t="str">
        <f t="shared" si="66"/>
        <v>Pass</v>
      </c>
      <c r="DG34" s="299">
        <f t="shared" si="67"/>
        <v>1.6166475059263492</v>
      </c>
      <c r="DH34" s="293" t="str">
        <f t="shared" si="68"/>
        <v>Pass</v>
      </c>
    </row>
    <row r="35" spans="1:112" ht="15" thickTop="1" thickBot="1">
      <c r="A35" s="38" t="s">
        <v>179</v>
      </c>
      <c r="B35" s="38" t="s">
        <v>180</v>
      </c>
      <c r="C35" s="38" t="s">
        <v>179</v>
      </c>
      <c r="D35" s="38" t="s">
        <v>128</v>
      </c>
      <c r="E35" s="38" t="str">
        <f>VLOOKUP(C35,PoliticalControl!A:K,11,FALSE)</f>
        <v>CON</v>
      </c>
      <c r="F35" s="38" t="str">
        <f>VLOOKUP(C35,UrbanRuralClassification!A:N,13,FALSE)</f>
        <v>Urban with Significant Rural (rural including hub towns 26-49%)</v>
      </c>
      <c r="G35" s="38" t="str">
        <f>VLOOKUP(C35,UrbanRuralClassification!A:N,14,FALSE)</f>
        <v>Urban with Significant Rural</v>
      </c>
      <c r="H35" s="258" t="str">
        <f>IF(ISBLANK((VLOOKUP($A35,'local-plan-data'!$C$1:$AD$566,27,FALSE)))=TRUE,"",VLOOKUP($A35,'local-plan-data'!$C$1:$AD$566,27,FALSE))</f>
        <v/>
      </c>
      <c r="I35" s="259">
        <f>VLOOKUP($A35,'local-plan-data'!$C$1:$AD$566,28,FALSE)</f>
        <v>456</v>
      </c>
      <c r="J35" s="260">
        <f t="shared" si="21"/>
        <v>456</v>
      </c>
      <c r="K35" s="259" t="str">
        <f t="shared" si="22"/>
        <v>-</v>
      </c>
      <c r="L35" s="259" t="str">
        <f t="shared" si="22"/>
        <v>-</v>
      </c>
      <c r="M35" s="259" t="str">
        <f t="shared" si="22"/>
        <v>-</v>
      </c>
      <c r="N35" s="259" t="str">
        <f t="shared" si="22"/>
        <v>-</v>
      </c>
      <c r="O35" s="259" t="str">
        <f t="shared" si="22"/>
        <v>-</v>
      </c>
      <c r="P35" s="259" t="str">
        <f t="shared" si="22"/>
        <v>-</v>
      </c>
      <c r="Q35" s="259" t="str">
        <f t="shared" si="22"/>
        <v>-</v>
      </c>
      <c r="R35" s="259" t="str">
        <f t="shared" si="22"/>
        <v>-</v>
      </c>
      <c r="S35" s="259" t="str">
        <f t="shared" si="23"/>
        <v>-</v>
      </c>
      <c r="T35" s="259" t="str">
        <f t="shared" si="23"/>
        <v>-</v>
      </c>
      <c r="U35" s="259" t="str">
        <f t="shared" si="23"/>
        <v>-</v>
      </c>
      <c r="V35" s="259" t="str">
        <f t="shared" si="23"/>
        <v>-</v>
      </c>
      <c r="W35" s="259" t="str">
        <f t="shared" si="23"/>
        <v>-</v>
      </c>
      <c r="X35" s="259" t="str">
        <f t="shared" si="23"/>
        <v>-</v>
      </c>
      <c r="Y35" s="259" t="str">
        <f t="shared" si="23"/>
        <v>-</v>
      </c>
      <c r="Z35" s="259" t="str">
        <f t="shared" si="23"/>
        <v>-</v>
      </c>
      <c r="AA35" s="267">
        <f>(VLOOKUP(A35,Hshldprojections2014!$A$2:$AW$319,40, FALSE)-VLOOKUP(A35,Hshldprojections2014!$A$2:$AW$319,30, FALSE))/10</f>
        <v>323.7</v>
      </c>
      <c r="AB35" s="267">
        <f>(VLOOKUP(A35,Hshldprojections2014!$A$2:$AW$319,41, FALSE)-VLOOKUP(A35,Hshldprojections2014!$A$2:$AW$319,31, FALSE))/10</f>
        <v>323.2</v>
      </c>
      <c r="AC35" s="267">
        <f>(VLOOKUP(A35,Hshldprojections2014!$A$2:$AW$319,42, FALSE)-VLOOKUP(A35,Hshldprojections2014!$A$2:$AW$319,32, FALSE))/10</f>
        <v>323.7</v>
      </c>
      <c r="AD35" s="267">
        <f>IF(IndividualLATest!$J$7=2014,(VLOOKUP($A35,Hshldprojections2014!$A$2:$AY$326,43,FALSE)-VLOOKUP($A35,Hshldprojections2014!$A$2:$AY$326,33,FALSE))/10,IF(IndividualLATest!$J$7=2016,(VLOOKUP($A35,Hshldprojections2016!$A$1:$AQ$322,33,FALSE)-VLOOKUP($A35,Hshldprojections2016!$A$1:$AQ$322,23,FALSE))/10,(VLOOKUP($A35,Hshldprojections2018!$A$1:$AQ$327,33,FALSE)-VLOOKUP($A35,Hshldprojections2018!$A$1:$AQ$327,23,FALSE))/10))</f>
        <v>54.4</v>
      </c>
      <c r="AE35" s="267">
        <f>IF(IndividualLATest!$J$7=2014,(VLOOKUP($A35,Hshldprojections2014!$A$2:$AY$326,44,FALSE)-VLOOKUP($A35,Hshldprojections2014!$A$2:$AY$326,34,FALSE))/10,IF(IndividualLATest!$J$7=2016,(VLOOKUP($A35,Hshldprojections2016!$A$1:$AQ$322,34,FALSE)-VLOOKUP($A35,Hshldprojections2016!$A$1:$AQ$322,24,FALSE))/10,(VLOOKUP($A35,Hshldprojections2018!$A$1:$AQ$327,34,FALSE)-VLOOKUP($A35,Hshldprojections2018!$A$1:$AQ$327,24,FALSE))/10))</f>
        <v>62.1</v>
      </c>
      <c r="AF35" s="267">
        <f>IF(IndividualLATest!$J$7=2014,(VLOOKUP($A35,Hshldprojections2014!$A$2:$AY$326,45,FALSE)-VLOOKUP($A35,Hshldprojections2014!$A$2:$AY$326,35,FALSE))/10,IF(IndividualLATest!$J$7=2016,(VLOOKUP($A35,Hshldprojections2016!$A$1:$AQ$322,35,FALSE)-VLOOKUP($A35,Hshldprojections2016!$A$1:$AQ$322,25,FALSE))/10,(VLOOKUP($A35,Hshldprojections2018!$A$1:$AQ$327,35,FALSE)-VLOOKUP($A35,Hshldprojections2018!$A$1:$AQ$327,25,FALSE))/10))</f>
        <v>69.400000000000006</v>
      </c>
      <c r="AG35" s="267">
        <f>IF(IndividualLATest!$J$7=2014,(VLOOKUP($A35,Hshldprojections2014!$A$2:$AY$326,46,FALSE)-VLOOKUP($A35,Hshldprojections2014!$A$2:$AY$326,36,FALSE))/10,IF(IndividualLATest!$J$7=2016,(VLOOKUP($A35,Hshldprojections2016!$A$1:$AQ$322,36,FALSE)-VLOOKUP($A35,Hshldprojections2016!$A$1:$AQ$322,26,FALSE))/10,(VLOOKUP($A35,Hshldprojections2018!$A$1:$AQ$327,36,FALSE)-VLOOKUP($A35,Hshldprojections2018!$A$1:$AQ$327,26,FALSE))/10))</f>
        <v>75.8</v>
      </c>
      <c r="AH35" s="267">
        <f>IF(IndividualLATest!$J$7=2014,(VLOOKUP($A35,Hshldprojections2014!$A$2:$AY$326,47,FALSE)-VLOOKUP($A35,Hshldprojections2014!$A$2:$AY$326,37,FALSE))/10,IF(IndividualLATest!$J$7=2016,(VLOOKUP($A35,Hshldprojections2016!$A$1:$AQ$322,37,FALSE)-VLOOKUP($A35,Hshldprojections2016!$A$1:$AQ$322,27,FALSE))/10,(VLOOKUP($A35,Hshldprojections2018!$A$1:$AQ$327,37,FALSE)-VLOOKUP($A35,Hshldprojections2018!$A$1:$AQ$327,27,FALSE))/10))</f>
        <v>83.5</v>
      </c>
      <c r="AI35" s="268">
        <f>VLOOKUP($A35,AffordabilityRatio!$A$2:$I$321,5,FALSE)</f>
        <v>11.24</v>
      </c>
      <c r="AJ35" s="268">
        <f>VLOOKUP($A35,AffordabilityRatio!$A$2:$I$321,6,FALSE)</f>
        <v>13.24</v>
      </c>
      <c r="AK35" s="268">
        <f>VLOOKUP($A35,AffordabilityRatio!$A$2:$I$321,7,FALSE)</f>
        <v>12.27</v>
      </c>
      <c r="AL35" s="268">
        <f>IF((VLOOKUP($A35,AffordabilityRatio!$A$2:$I$321,8,FALSE))="",AK35,VLOOKUP($A35,AffordabilityRatio!$A$2:$I$321,8,FALSE))</f>
        <v>13.19</v>
      </c>
      <c r="AM35" s="268">
        <f>IF((VLOOKUP($A35,AffordabilityRatio!$A$2:$I$321,9,FALSE))="",AL35,VLOOKUP($A35,AffordabilityRatio!$A$2:$I$321,9,FALSE))</f>
        <v>16.079999999999998</v>
      </c>
      <c r="AN35" s="268">
        <f>IF((VLOOKUP($A35,AffordabilityRatio!$A$2:$I$321,9,FALSE))="",AM35,VLOOKUP($A35,AffordabilityRatio!$A$2:$I$321,9,FALSE))</f>
        <v>16.079999999999998</v>
      </c>
      <c r="AO35" s="268">
        <f>IF((VLOOKUP($A35,AffordabilityRatio!$A$2:$I$321,9,FALSE))="",AN35,VLOOKUP($A35,AffordabilityRatio!$A$2:$I$321,9,FALSE))</f>
        <v>16.079999999999998</v>
      </c>
      <c r="AP35" s="268">
        <f>IF((VLOOKUP($A35,AffordabilityRatio!$A$2:$I$321,9,FALSE))="",AO35,VLOOKUP($A35,AffordabilityRatio!$A$2:$I$321,9,FALSE))</f>
        <v>16.079999999999998</v>
      </c>
      <c r="AQ35" s="267">
        <f t="shared" si="24"/>
        <v>470</v>
      </c>
      <c r="AR35" s="267">
        <f t="shared" si="25"/>
        <v>510</v>
      </c>
      <c r="AS35" s="267">
        <f t="shared" si="26"/>
        <v>491</v>
      </c>
      <c r="AT35" s="267">
        <f t="shared" si="27"/>
        <v>86</v>
      </c>
      <c r="AU35" s="267">
        <f t="shared" si="28"/>
        <v>109</v>
      </c>
      <c r="AV35" s="267">
        <f t="shared" si="29"/>
        <v>122</v>
      </c>
      <c r="AW35" s="267">
        <f t="shared" si="30"/>
        <v>133</v>
      </c>
      <c r="AX35" s="267">
        <f t="shared" si="31"/>
        <v>147</v>
      </c>
      <c r="AY35" s="267">
        <f t="shared" si="32"/>
        <v>470</v>
      </c>
      <c r="AZ35" s="267">
        <f t="shared" si="33"/>
        <v>510</v>
      </c>
      <c r="BA35" s="267">
        <f t="shared" si="34"/>
        <v>491</v>
      </c>
      <c r="BB35" s="267">
        <f t="shared" si="35"/>
        <v>86</v>
      </c>
      <c r="BC35" s="267">
        <f t="shared" si="36"/>
        <v>109</v>
      </c>
      <c r="BD35" s="267">
        <f t="shared" si="37"/>
        <v>122</v>
      </c>
      <c r="BE35" s="267">
        <f t="shared" si="38"/>
        <v>133</v>
      </c>
      <c r="BF35" s="267">
        <f t="shared" si="39"/>
        <v>147</v>
      </c>
      <c r="BG35" s="269">
        <f>AY35*VLOOKUP($B35,'Major Cities &amp; Towns'!$A$28:$B$345,2,FALSE)</f>
        <v>470</v>
      </c>
      <c r="BH35" s="269">
        <f>AZ35*VLOOKUP($B35,'Major Cities &amp; Towns'!$A$28:$B$345,2,FALSE)</f>
        <v>510</v>
      </c>
      <c r="BI35" s="269">
        <f>BA35*VLOOKUP($B35,'Major Cities &amp; Towns'!$A$28:$B$345,2,FALSE)</f>
        <v>491</v>
      </c>
      <c r="BJ35" s="269">
        <f>BB35*VLOOKUP($B35,'Major Cities &amp; Towns'!$A$28:$B$345,2,FALSE)</f>
        <v>86</v>
      </c>
      <c r="BK35" s="269">
        <f>BC35*VLOOKUP($B35,'Major Cities &amp; Towns'!$A$28:$B$345,2,FALSE)</f>
        <v>109</v>
      </c>
      <c r="BL35" s="269">
        <f>BD35*VLOOKUP($B35,'Major Cities &amp; Towns'!$A$28:$B$345,2,FALSE)</f>
        <v>122</v>
      </c>
      <c r="BM35" s="269">
        <f>BE35*VLOOKUP($B35,'Major Cities &amp; Towns'!$A$28:$B$345,2,FALSE)</f>
        <v>133</v>
      </c>
      <c r="BN35" s="269">
        <f>BF35*VLOOKUP($B35,'Major Cities &amp; Towns'!$A$28:$B$345,2,FALSE)</f>
        <v>147</v>
      </c>
      <c r="BO35" s="270">
        <f t="shared" si="40"/>
        <v>470</v>
      </c>
      <c r="BP35" s="270">
        <f t="shared" si="41"/>
        <v>510</v>
      </c>
      <c r="BQ35" s="270">
        <f t="shared" si="42"/>
        <v>491</v>
      </c>
      <c r="BR35" s="270">
        <f t="shared" si="43"/>
        <v>86</v>
      </c>
      <c r="BS35" s="270">
        <f t="shared" si="44"/>
        <v>109</v>
      </c>
      <c r="BT35" s="270">
        <f t="shared" si="45"/>
        <v>122</v>
      </c>
      <c r="BU35" s="270">
        <f t="shared" si="46"/>
        <v>133</v>
      </c>
      <c r="BV35" s="270">
        <f t="shared" si="47"/>
        <v>147</v>
      </c>
      <c r="BW35" s="39">
        <f>VLOOKUP($A35,NetAdditions!$A$2:$H$336,6,FALSE)</f>
        <v>211</v>
      </c>
      <c r="BX35" s="39">
        <f>VLOOKUP($A35,NetAdditions!$A$2:$H$336,7,FALSE)</f>
        <v>395</v>
      </c>
      <c r="BY35" s="39">
        <f>IF((VLOOKUP($C35,NetAdditions!$A$2:$H$336,8,FALSE))="",(AVERAGE(VLOOKUP($C35,NetAdditions!$A$2:$H$336,5,FALSE),VLOOKUP($C35,NetAdditions!$A$2:$H$336,6,FALSE),VLOOKUP($C35,NetAdditions!$A$2:$H$336,7,FALSE))),VLOOKUP($C35,NetAdditions!$A$2:$H$336,8,FALSE))</f>
        <v>168</v>
      </c>
      <c r="BZ35" s="39">
        <f t="shared" si="48"/>
        <v>258</v>
      </c>
      <c r="CA35" s="39">
        <f t="shared" si="49"/>
        <v>273.66666666666669</v>
      </c>
      <c r="CB35" s="39">
        <f t="shared" si="50"/>
        <v>233.22222222222226</v>
      </c>
      <c r="CC35" s="39">
        <f t="shared" si="51"/>
        <v>254.96296296296302</v>
      </c>
      <c r="CD35" s="39">
        <f t="shared" si="52"/>
        <v>253.95061728395066</v>
      </c>
      <c r="CE35" s="276">
        <f t="shared" si="5"/>
        <v>1471</v>
      </c>
      <c r="CF35" s="276">
        <f t="shared" si="6"/>
        <v>1087</v>
      </c>
      <c r="CG35" s="276">
        <f t="shared" si="7"/>
        <v>686</v>
      </c>
      <c r="CH35" s="276">
        <f t="shared" si="8"/>
        <v>317</v>
      </c>
      <c r="CI35" s="276">
        <f t="shared" si="9"/>
        <v>364</v>
      </c>
      <c r="CJ35" s="276">
        <f t="shared" si="10"/>
        <v>402</v>
      </c>
      <c r="CK35" s="276">
        <f t="shared" si="53"/>
        <v>1266.6944444444446</v>
      </c>
      <c r="CL35" s="276">
        <f t="shared" si="54"/>
        <v>936.02777777777783</v>
      </c>
      <c r="CM35" s="276">
        <f t="shared" si="55"/>
        <v>628.83333333333326</v>
      </c>
      <c r="CN35" s="276">
        <f t="shared" si="56"/>
        <v>317</v>
      </c>
      <c r="CO35" s="276">
        <f t="shared" si="57"/>
        <v>364</v>
      </c>
      <c r="CP35" s="276">
        <f t="shared" si="58"/>
        <v>402</v>
      </c>
      <c r="CQ35" s="39">
        <f t="shared" si="12"/>
        <v>774</v>
      </c>
      <c r="CR35" s="39">
        <f t="shared" si="13"/>
        <v>821</v>
      </c>
      <c r="CS35" s="277">
        <f t="shared" si="14"/>
        <v>699.66666666666674</v>
      </c>
      <c r="CT35" s="39">
        <f t="shared" si="15"/>
        <v>764.88888888888903</v>
      </c>
      <c r="CU35" s="39">
        <f t="shared" si="16"/>
        <v>761.85185185185196</v>
      </c>
      <c r="CV35" s="39">
        <f t="shared" si="59"/>
        <v>742.13580246913591</v>
      </c>
      <c r="CW35" s="297">
        <f t="shared" si="18"/>
        <v>0.61103923159579832</v>
      </c>
      <c r="CX35" s="279" t="str">
        <f t="shared" si="60"/>
        <v>Buffer and Action Plan</v>
      </c>
      <c r="CY35" s="278">
        <f t="shared" si="19"/>
        <v>0.87711072202273199</v>
      </c>
      <c r="CZ35" s="279" t="str">
        <f t="shared" si="61"/>
        <v>Action Plan</v>
      </c>
      <c r="DA35" s="278">
        <f t="shared" si="20"/>
        <v>1.1126424595812354</v>
      </c>
      <c r="DB35" s="292" t="str">
        <f t="shared" si="62"/>
        <v>Pass</v>
      </c>
      <c r="DC35" s="299">
        <f t="shared" si="63"/>
        <v>2.4128987031195237</v>
      </c>
      <c r="DD35" s="293" t="str">
        <f t="shared" si="64"/>
        <v>Pass</v>
      </c>
      <c r="DE35" s="299">
        <f t="shared" si="65"/>
        <v>2.0929995929995933</v>
      </c>
      <c r="DF35" s="293" t="str">
        <f t="shared" si="66"/>
        <v>Pass</v>
      </c>
      <c r="DG35" s="299">
        <f t="shared" si="67"/>
        <v>1.8461089613660098</v>
      </c>
      <c r="DH35" s="293" t="str">
        <f t="shared" si="68"/>
        <v>Pass</v>
      </c>
    </row>
    <row r="36" spans="1:112" ht="15" thickTop="1" thickBot="1">
      <c r="A36" s="38" t="s">
        <v>181</v>
      </c>
      <c r="B36" s="38" t="s">
        <v>182</v>
      </c>
      <c r="C36" s="38" t="s">
        <v>181</v>
      </c>
      <c r="D36" s="38" t="s">
        <v>113</v>
      </c>
      <c r="E36" s="38" t="str">
        <f>VLOOKUP(C36,PoliticalControl!A:K,11,FALSE)</f>
        <v>NOC</v>
      </c>
      <c r="F36" s="38" t="str">
        <f>VLOOKUP(C36,UrbanRuralClassification!A:N,13,FALSE)</f>
        <v>Urban with City and Town</v>
      </c>
      <c r="G36" s="38" t="str">
        <f>VLOOKUP(C36,UrbanRuralClassification!A:N,14,FALSE)</f>
        <v>Predominantly Urban</v>
      </c>
      <c r="H36" s="258">
        <f>IF(ISBLANK((VLOOKUP($A36,'local-plan-data'!$C$1:$AD$566,27,FALSE)))=TRUE,"",VLOOKUP($A36,'local-plan-data'!$C$1:$AD$566,27,FALSE))</f>
        <v>42453</v>
      </c>
      <c r="I36" s="259">
        <f>VLOOKUP($A36,'local-plan-data'!$C$1:$AD$566,28,FALSE)</f>
        <v>660</v>
      </c>
      <c r="J36" s="260">
        <f t="shared" si="21"/>
        <v>660</v>
      </c>
      <c r="K36" s="259">
        <f t="shared" si="22"/>
        <v>660</v>
      </c>
      <c r="L36" s="259">
        <f t="shared" si="22"/>
        <v>660</v>
      </c>
      <c r="M36" s="259">
        <f t="shared" si="22"/>
        <v>660</v>
      </c>
      <c r="N36" s="259" t="str">
        <f t="shared" si="22"/>
        <v>-</v>
      </c>
      <c r="O36" s="259" t="str">
        <f t="shared" si="22"/>
        <v>-</v>
      </c>
      <c r="P36" s="259" t="str">
        <f t="shared" si="22"/>
        <v>-</v>
      </c>
      <c r="Q36" s="259" t="str">
        <f t="shared" si="22"/>
        <v>-</v>
      </c>
      <c r="R36" s="259" t="str">
        <f t="shared" si="22"/>
        <v>-</v>
      </c>
      <c r="S36" s="259">
        <f t="shared" si="23"/>
        <v>1088</v>
      </c>
      <c r="T36" s="259">
        <f t="shared" si="23"/>
        <v>723</v>
      </c>
      <c r="U36" s="259">
        <f t="shared" si="23"/>
        <v>357</v>
      </c>
      <c r="V36" s="259">
        <f t="shared" si="23"/>
        <v>-8</v>
      </c>
      <c r="W36" s="259">
        <f t="shared" si="23"/>
        <v>-373</v>
      </c>
      <c r="X36" s="259">
        <f t="shared" si="23"/>
        <v>-738</v>
      </c>
      <c r="Y36" s="259">
        <f t="shared" si="23"/>
        <v>-1104</v>
      </c>
      <c r="Z36" s="259">
        <f t="shared" si="23"/>
        <v>-1469</v>
      </c>
      <c r="AA36" s="267">
        <f>(VLOOKUP(A36,Hshldprojections2014!$A$2:$AW$319,40, FALSE)-VLOOKUP(A36,Hshldprojections2014!$A$2:$AW$319,30, FALSE))/10</f>
        <v>1231.9000000000001</v>
      </c>
      <c r="AB36" s="267">
        <f>(VLOOKUP(A36,Hshldprojections2014!$A$2:$AW$319,41, FALSE)-VLOOKUP(A36,Hshldprojections2014!$A$2:$AW$319,31, FALSE))/10</f>
        <v>1227.3</v>
      </c>
      <c r="AC36" s="267">
        <f>(VLOOKUP(A36,Hshldprojections2014!$A$2:$AW$319,42, FALSE)-VLOOKUP(A36,Hshldprojections2014!$A$2:$AW$319,32, FALSE))/10</f>
        <v>1224.8</v>
      </c>
      <c r="AD36" s="267">
        <f>IF(IndividualLATest!$J$7=2014,(VLOOKUP($A36,Hshldprojections2014!$A$2:$AY$326,43,FALSE)-VLOOKUP($A36,Hshldprojections2014!$A$2:$AY$326,33,FALSE))/10,IF(IndividualLATest!$J$7=2016,(VLOOKUP($A36,Hshldprojections2016!$A$1:$AQ$322,33,FALSE)-VLOOKUP($A36,Hshldprojections2016!$A$1:$AQ$322,23,FALSE))/10,(VLOOKUP($A36,Hshldprojections2018!$A$1:$AQ$327,33,FALSE)-VLOOKUP($A36,Hshldprojections2018!$A$1:$AQ$327,23,FALSE))/10))</f>
        <v>518.4</v>
      </c>
      <c r="AE36" s="267">
        <f>IF(IndividualLATest!$J$7=2014,(VLOOKUP($A36,Hshldprojections2014!$A$2:$AY$326,44,FALSE)-VLOOKUP($A36,Hshldprojections2014!$A$2:$AY$326,34,FALSE))/10,IF(IndividualLATest!$J$7=2016,(VLOOKUP($A36,Hshldprojections2016!$A$1:$AQ$322,34,FALSE)-VLOOKUP($A36,Hshldprojections2016!$A$1:$AQ$322,24,FALSE))/10,(VLOOKUP($A36,Hshldprojections2018!$A$1:$AQ$327,34,FALSE)-VLOOKUP($A36,Hshldprojections2018!$A$1:$AQ$327,24,FALSE))/10))</f>
        <v>531.1</v>
      </c>
      <c r="AF36" s="267">
        <f>IF(IndividualLATest!$J$7=2014,(VLOOKUP($A36,Hshldprojections2014!$A$2:$AY$326,45,FALSE)-VLOOKUP($A36,Hshldprojections2014!$A$2:$AY$326,35,FALSE))/10,IF(IndividualLATest!$J$7=2016,(VLOOKUP($A36,Hshldprojections2016!$A$1:$AQ$322,35,FALSE)-VLOOKUP($A36,Hshldprojections2016!$A$1:$AQ$322,25,FALSE))/10,(VLOOKUP($A36,Hshldprojections2018!$A$1:$AQ$327,35,FALSE)-VLOOKUP($A36,Hshldprojections2018!$A$1:$AQ$327,25,FALSE))/10))</f>
        <v>542.79999999999995</v>
      </c>
      <c r="AG36" s="267">
        <f>IF(IndividualLATest!$J$7=2014,(VLOOKUP($A36,Hshldprojections2014!$A$2:$AY$326,46,FALSE)-VLOOKUP($A36,Hshldprojections2014!$A$2:$AY$326,36,FALSE))/10,IF(IndividualLATest!$J$7=2016,(VLOOKUP($A36,Hshldprojections2016!$A$1:$AQ$322,36,FALSE)-VLOOKUP($A36,Hshldprojections2016!$A$1:$AQ$322,26,FALSE))/10,(VLOOKUP($A36,Hshldprojections2018!$A$1:$AQ$327,36,FALSE)-VLOOKUP($A36,Hshldprojections2018!$A$1:$AQ$327,26,FALSE))/10))</f>
        <v>549.4</v>
      </c>
      <c r="AH36" s="267">
        <f>IF(IndividualLATest!$J$7=2014,(VLOOKUP($A36,Hshldprojections2014!$A$2:$AY$326,47,FALSE)-VLOOKUP($A36,Hshldprojections2014!$A$2:$AY$326,37,FALSE))/10,IF(IndividualLATest!$J$7=2016,(VLOOKUP($A36,Hshldprojections2016!$A$1:$AQ$322,37,FALSE)-VLOOKUP($A36,Hshldprojections2016!$A$1:$AQ$322,27,FALSE))/10,(VLOOKUP($A36,Hshldprojections2018!$A$1:$AQ$327,37,FALSE)-VLOOKUP($A36,Hshldprojections2018!$A$1:$AQ$327,27,FALSE))/10))</f>
        <v>560.29999999999995</v>
      </c>
      <c r="AI36" s="268">
        <f>VLOOKUP($A36,AffordabilityRatio!$A$2:$I$321,5,FALSE)</f>
        <v>12.29</v>
      </c>
      <c r="AJ36" s="268">
        <f>VLOOKUP($A36,AffordabilityRatio!$A$2:$I$321,6,FALSE)</f>
        <v>12.41</v>
      </c>
      <c r="AK36" s="268">
        <f>VLOOKUP($A36,AffordabilityRatio!$A$2:$I$321,7,FALSE)</f>
        <v>11.91</v>
      </c>
      <c r="AL36" s="268">
        <f>IF((VLOOKUP($A36,AffordabilityRatio!$A$2:$I$321,8,FALSE))="",AK36,VLOOKUP($A36,AffordabilityRatio!$A$2:$I$321,8,FALSE))</f>
        <v>10.82</v>
      </c>
      <c r="AM36" s="268">
        <f>IF((VLOOKUP($A36,AffordabilityRatio!$A$2:$I$321,9,FALSE))="",AL36,VLOOKUP($A36,AffordabilityRatio!$A$2:$I$321,9,FALSE))</f>
        <v>12.86</v>
      </c>
      <c r="AN36" s="268">
        <f>IF((VLOOKUP($A36,AffordabilityRatio!$A$2:$I$321,9,FALSE))="",AM36,VLOOKUP($A36,AffordabilityRatio!$A$2:$I$321,9,FALSE))</f>
        <v>12.86</v>
      </c>
      <c r="AO36" s="268">
        <f>IF((VLOOKUP($A36,AffordabilityRatio!$A$2:$I$321,9,FALSE))="",AN36,VLOOKUP($A36,AffordabilityRatio!$A$2:$I$321,9,FALSE))</f>
        <v>12.86</v>
      </c>
      <c r="AP36" s="268">
        <f>IF((VLOOKUP($A36,AffordabilityRatio!$A$2:$I$321,9,FALSE))="",AO36,VLOOKUP($A36,AffordabilityRatio!$A$2:$I$321,9,FALSE))</f>
        <v>12.86</v>
      </c>
      <c r="AQ36" s="267">
        <f t="shared" si="24"/>
        <v>1870</v>
      </c>
      <c r="AR36" s="267">
        <f t="shared" si="25"/>
        <v>1872</v>
      </c>
      <c r="AS36" s="267">
        <f t="shared" si="26"/>
        <v>1830</v>
      </c>
      <c r="AT36" s="267">
        <f t="shared" si="27"/>
        <v>739</v>
      </c>
      <c r="AU36" s="267">
        <f t="shared" si="28"/>
        <v>825</v>
      </c>
      <c r="AV36" s="267">
        <f t="shared" si="29"/>
        <v>843</v>
      </c>
      <c r="AW36" s="267">
        <f t="shared" si="30"/>
        <v>854</v>
      </c>
      <c r="AX36" s="267">
        <f t="shared" si="31"/>
        <v>871</v>
      </c>
      <c r="AY36" s="267">
        <f t="shared" si="32"/>
        <v>924</v>
      </c>
      <c r="AZ36" s="267">
        <f t="shared" si="33"/>
        <v>924</v>
      </c>
      <c r="BA36" s="267">
        <f t="shared" si="34"/>
        <v>924</v>
      </c>
      <c r="BB36" s="267">
        <f t="shared" si="35"/>
        <v>739</v>
      </c>
      <c r="BC36" s="267">
        <f t="shared" si="36"/>
        <v>825</v>
      </c>
      <c r="BD36" s="267">
        <f t="shared" si="37"/>
        <v>843</v>
      </c>
      <c r="BE36" s="267">
        <f t="shared" si="38"/>
        <v>854</v>
      </c>
      <c r="BF36" s="267">
        <f t="shared" si="39"/>
        <v>871</v>
      </c>
      <c r="BG36" s="269">
        <f>AY36*VLOOKUP($B36,'Major Cities &amp; Towns'!$A$28:$B$345,2,FALSE)</f>
        <v>1247.4000000000001</v>
      </c>
      <c r="BH36" s="269">
        <f>AZ36*VLOOKUP($B36,'Major Cities &amp; Towns'!$A$28:$B$345,2,FALSE)</f>
        <v>1247.4000000000001</v>
      </c>
      <c r="BI36" s="269">
        <f>BA36*VLOOKUP($B36,'Major Cities &amp; Towns'!$A$28:$B$345,2,FALSE)</f>
        <v>1247.4000000000001</v>
      </c>
      <c r="BJ36" s="269">
        <f>BB36*VLOOKUP($B36,'Major Cities &amp; Towns'!$A$28:$B$345,2,FALSE)</f>
        <v>997.65000000000009</v>
      </c>
      <c r="BK36" s="269">
        <f>BC36*VLOOKUP($B36,'Major Cities &amp; Towns'!$A$28:$B$345,2,FALSE)</f>
        <v>1113.75</v>
      </c>
      <c r="BL36" s="269">
        <f>BD36*VLOOKUP($B36,'Major Cities &amp; Towns'!$A$28:$B$345,2,FALSE)</f>
        <v>1138.0500000000002</v>
      </c>
      <c r="BM36" s="269">
        <f>BE36*VLOOKUP($B36,'Major Cities &amp; Towns'!$A$28:$B$345,2,FALSE)</f>
        <v>1152.9000000000001</v>
      </c>
      <c r="BN36" s="269">
        <f>BF36*VLOOKUP($B36,'Major Cities &amp; Towns'!$A$28:$B$345,2,FALSE)</f>
        <v>1175.8500000000001</v>
      </c>
      <c r="BO36" s="270">
        <f t="shared" si="40"/>
        <v>660</v>
      </c>
      <c r="BP36" s="270">
        <f t="shared" si="41"/>
        <v>660</v>
      </c>
      <c r="BQ36" s="270">
        <f t="shared" si="42"/>
        <v>685.64383561643831</v>
      </c>
      <c r="BR36" s="270">
        <f t="shared" si="43"/>
        <v>739</v>
      </c>
      <c r="BS36" s="270">
        <f t="shared" si="44"/>
        <v>825</v>
      </c>
      <c r="BT36" s="270">
        <f t="shared" si="45"/>
        <v>843</v>
      </c>
      <c r="BU36" s="270">
        <f t="shared" si="46"/>
        <v>854</v>
      </c>
      <c r="BV36" s="270">
        <f t="shared" si="47"/>
        <v>871</v>
      </c>
      <c r="BW36" s="39">
        <f>VLOOKUP($A36,NetAdditions!$A$2:$H$336,6,FALSE)</f>
        <v>380</v>
      </c>
      <c r="BX36" s="39">
        <f>VLOOKUP($A36,NetAdditions!$A$2:$H$336,7,FALSE)</f>
        <v>558</v>
      </c>
      <c r="BY36" s="39">
        <f>IF((VLOOKUP($C36,NetAdditions!$A$2:$H$336,8,FALSE))="",(AVERAGE(VLOOKUP($C36,NetAdditions!$A$2:$H$336,5,FALSE),VLOOKUP($C36,NetAdditions!$A$2:$H$336,6,FALSE),VLOOKUP($C36,NetAdditions!$A$2:$H$336,7,FALSE))),VLOOKUP($C36,NetAdditions!$A$2:$H$336,8,FALSE))</f>
        <v>782</v>
      </c>
      <c r="BZ36" s="39">
        <f t="shared" si="48"/>
        <v>573.33333333333337</v>
      </c>
      <c r="CA36" s="39">
        <f t="shared" si="49"/>
        <v>637.77777777777783</v>
      </c>
      <c r="CB36" s="39">
        <f t="shared" si="50"/>
        <v>664.37037037037044</v>
      </c>
      <c r="CC36" s="39">
        <f t="shared" si="51"/>
        <v>625.16049382716062</v>
      </c>
      <c r="CD36" s="39">
        <f t="shared" si="52"/>
        <v>642.4362139917697</v>
      </c>
      <c r="CE36" s="276">
        <f t="shared" si="5"/>
        <v>2005.6438356164383</v>
      </c>
      <c r="CF36" s="276">
        <f t="shared" si="6"/>
        <v>2084.6438356164381</v>
      </c>
      <c r="CG36" s="276">
        <f t="shared" si="7"/>
        <v>2249.6438356164381</v>
      </c>
      <c r="CH36" s="276">
        <f t="shared" si="8"/>
        <v>2407</v>
      </c>
      <c r="CI36" s="276">
        <f t="shared" si="9"/>
        <v>2522</v>
      </c>
      <c r="CJ36" s="276">
        <f t="shared" si="10"/>
        <v>2568</v>
      </c>
      <c r="CK36" s="276">
        <f t="shared" si="53"/>
        <v>1727.0821917808221</v>
      </c>
      <c r="CL36" s="276">
        <f t="shared" si="54"/>
        <v>1795.1099695585995</v>
      </c>
      <c r="CM36" s="276">
        <f t="shared" si="55"/>
        <v>2062.1735159817349</v>
      </c>
      <c r="CN36" s="276">
        <f t="shared" si="56"/>
        <v>2407</v>
      </c>
      <c r="CO36" s="276">
        <f t="shared" si="57"/>
        <v>2522</v>
      </c>
      <c r="CP36" s="276">
        <f t="shared" si="58"/>
        <v>2568</v>
      </c>
      <c r="CQ36" s="39">
        <f t="shared" si="12"/>
        <v>1720</v>
      </c>
      <c r="CR36" s="39">
        <f t="shared" si="13"/>
        <v>1913.3333333333335</v>
      </c>
      <c r="CS36" s="277">
        <f t="shared" si="14"/>
        <v>1993.1111111111113</v>
      </c>
      <c r="CT36" s="39">
        <f t="shared" si="15"/>
        <v>1875.4814814814818</v>
      </c>
      <c r="CU36" s="39">
        <f t="shared" si="16"/>
        <v>1927.308641975309</v>
      </c>
      <c r="CV36" s="39">
        <f t="shared" si="59"/>
        <v>1931.967078189301</v>
      </c>
      <c r="CW36" s="297">
        <f t="shared" si="18"/>
        <v>0.99589933136099362</v>
      </c>
      <c r="CX36" s="279" t="str">
        <f t="shared" si="60"/>
        <v>Pass</v>
      </c>
      <c r="CY36" s="278">
        <f t="shared" si="19"/>
        <v>1.0658585634192672</v>
      </c>
      <c r="CZ36" s="279" t="str">
        <f t="shared" si="61"/>
        <v>Pass</v>
      </c>
      <c r="DA36" s="278">
        <f t="shared" si="20"/>
        <v>0.96650989631309214</v>
      </c>
      <c r="DB36" s="292" t="str">
        <f t="shared" si="62"/>
        <v>Pass</v>
      </c>
      <c r="DC36" s="299">
        <f t="shared" si="63"/>
        <v>0.77917801474095627</v>
      </c>
      <c r="DD36" s="293" t="str">
        <f t="shared" si="64"/>
        <v>Buffer and Action Plan</v>
      </c>
      <c r="DE36" s="299">
        <f t="shared" si="65"/>
        <v>0.76419850990297744</v>
      </c>
      <c r="DF36" s="293" t="str">
        <f t="shared" si="66"/>
        <v>Buffer and Action Plan</v>
      </c>
      <c r="DG36" s="299">
        <f t="shared" si="67"/>
        <v>0.75232362857838819</v>
      </c>
      <c r="DH36" s="293" t="str">
        <f t="shared" si="68"/>
        <v>Buffer and Action Plan</v>
      </c>
    </row>
    <row r="37" spans="1:112" ht="15" thickTop="1" thickBot="1">
      <c r="A37" s="38" t="s">
        <v>183</v>
      </c>
      <c r="B37" s="38" t="s">
        <v>184</v>
      </c>
      <c r="C37" s="38" t="s">
        <v>183</v>
      </c>
      <c r="D37" s="38" t="s">
        <v>147</v>
      </c>
      <c r="E37" s="38" t="str">
        <f>VLOOKUP(C37,PoliticalControl!A:K,11,FALSE)</f>
        <v>NOC</v>
      </c>
      <c r="F37" s="38" t="str">
        <f>VLOOKUP(C37,UrbanRuralClassification!A:N,13,FALSE)</f>
        <v>Urban with City and Town</v>
      </c>
      <c r="G37" s="38" t="str">
        <f>VLOOKUP(C37,UrbanRuralClassification!A:N,14,FALSE)</f>
        <v>Predominantly Urban</v>
      </c>
      <c r="H37" s="258">
        <f>IF(ISBLANK((VLOOKUP($A37,'local-plan-data'!$C$1:$AD$566,27,FALSE)))=TRUE,"",VLOOKUP($A37,'local-plan-data'!$C$1:$AD$566,27,FALSE))</f>
        <v>40715</v>
      </c>
      <c r="I37" s="259">
        <f>VLOOKUP($A37,'local-plan-data'!$C$1:$AD$566,28,FALSE)</f>
        <v>1320</v>
      </c>
      <c r="J37" s="260">
        <f t="shared" si="21"/>
        <v>1320</v>
      </c>
      <c r="K37" s="259" t="str">
        <f t="shared" si="22"/>
        <v>-</v>
      </c>
      <c r="L37" s="259" t="str">
        <f t="shared" si="22"/>
        <v>-</v>
      </c>
      <c r="M37" s="259" t="str">
        <f t="shared" si="22"/>
        <v>-</v>
      </c>
      <c r="N37" s="259" t="str">
        <f t="shared" si="22"/>
        <v>-</v>
      </c>
      <c r="O37" s="259" t="str">
        <f t="shared" si="22"/>
        <v>-</v>
      </c>
      <c r="P37" s="259" t="str">
        <f t="shared" si="22"/>
        <v>-</v>
      </c>
      <c r="Q37" s="259" t="str">
        <f t="shared" si="22"/>
        <v>-</v>
      </c>
      <c r="R37" s="259" t="str">
        <f t="shared" si="22"/>
        <v>-</v>
      </c>
      <c r="S37" s="259">
        <f t="shared" si="23"/>
        <v>-649</v>
      </c>
      <c r="T37" s="259">
        <f t="shared" si="23"/>
        <v>-1014</v>
      </c>
      <c r="U37" s="259">
        <f t="shared" si="23"/>
        <v>-1380</v>
      </c>
      <c r="V37" s="259">
        <f t="shared" si="23"/>
        <v>-1745</v>
      </c>
      <c r="W37" s="259">
        <f t="shared" si="23"/>
        <v>-2110</v>
      </c>
      <c r="X37" s="259">
        <f t="shared" si="23"/>
        <v>-2475</v>
      </c>
      <c r="Y37" s="259">
        <f t="shared" si="23"/>
        <v>-2841</v>
      </c>
      <c r="Z37" s="259">
        <f t="shared" si="23"/>
        <v>-3206</v>
      </c>
      <c r="AA37" s="267">
        <f>(VLOOKUP(A37,Hshldprojections2014!$A$2:$AW$319,40, FALSE)-VLOOKUP(A37,Hshldprojections2014!$A$2:$AW$319,30, FALSE))/10</f>
        <v>1860</v>
      </c>
      <c r="AB37" s="267">
        <f>(VLOOKUP(A37,Hshldprojections2014!$A$2:$AW$319,41, FALSE)-VLOOKUP(A37,Hshldprojections2014!$A$2:$AW$319,31, FALSE))/10</f>
        <v>1837.6</v>
      </c>
      <c r="AC37" s="267">
        <f>(VLOOKUP(A37,Hshldprojections2014!$A$2:$AW$319,42, FALSE)-VLOOKUP(A37,Hshldprojections2014!$A$2:$AW$319,32, FALSE))/10</f>
        <v>1823.8</v>
      </c>
      <c r="AD37" s="267">
        <f>IF(IndividualLATest!$J$7=2014,(VLOOKUP($A37,Hshldprojections2014!$A$2:$AY$326,43,FALSE)-VLOOKUP($A37,Hshldprojections2014!$A$2:$AY$326,33,FALSE))/10,IF(IndividualLATest!$J$7=2016,(VLOOKUP($A37,Hshldprojections2016!$A$1:$AQ$322,33,FALSE)-VLOOKUP($A37,Hshldprojections2016!$A$1:$AQ$322,23,FALSE))/10,(VLOOKUP($A37,Hshldprojections2018!$A$1:$AQ$327,33,FALSE)-VLOOKUP($A37,Hshldprojections2018!$A$1:$AQ$327,23,FALSE))/10))</f>
        <v>1275.3</v>
      </c>
      <c r="AE37" s="267">
        <f>IF(IndividualLATest!$J$7=2014,(VLOOKUP($A37,Hshldprojections2014!$A$2:$AY$326,44,FALSE)-VLOOKUP($A37,Hshldprojections2014!$A$2:$AY$326,34,FALSE))/10,IF(IndividualLATest!$J$7=2016,(VLOOKUP($A37,Hshldprojections2016!$A$1:$AQ$322,34,FALSE)-VLOOKUP($A37,Hshldprojections2016!$A$1:$AQ$322,24,FALSE))/10,(VLOOKUP($A37,Hshldprojections2018!$A$1:$AQ$327,34,FALSE)-VLOOKUP($A37,Hshldprojections2018!$A$1:$AQ$327,24,FALSE))/10))</f>
        <v>1289.5999999999999</v>
      </c>
      <c r="AF37" s="267">
        <f>IF(IndividualLATest!$J$7=2014,(VLOOKUP($A37,Hshldprojections2014!$A$2:$AY$326,45,FALSE)-VLOOKUP($A37,Hshldprojections2014!$A$2:$AY$326,35,FALSE))/10,IF(IndividualLATest!$J$7=2016,(VLOOKUP($A37,Hshldprojections2016!$A$1:$AQ$322,35,FALSE)-VLOOKUP($A37,Hshldprojections2016!$A$1:$AQ$322,25,FALSE))/10,(VLOOKUP($A37,Hshldprojections2018!$A$1:$AQ$327,35,FALSE)-VLOOKUP($A37,Hshldprojections2018!$A$1:$AQ$327,25,FALSE))/10))</f>
        <v>1299</v>
      </c>
      <c r="AG37" s="267">
        <f>IF(IndividualLATest!$J$7=2014,(VLOOKUP($A37,Hshldprojections2014!$A$2:$AY$326,46,FALSE)-VLOOKUP($A37,Hshldprojections2014!$A$2:$AY$326,36,FALSE))/10,IF(IndividualLATest!$J$7=2016,(VLOOKUP($A37,Hshldprojections2016!$A$1:$AQ$322,36,FALSE)-VLOOKUP($A37,Hshldprojections2016!$A$1:$AQ$322,26,FALSE))/10,(VLOOKUP($A37,Hshldprojections2018!$A$1:$AQ$327,36,FALSE)-VLOOKUP($A37,Hshldprojections2018!$A$1:$AQ$327,26,FALSE))/10))</f>
        <v>1300.8</v>
      </c>
      <c r="AH37" s="267">
        <f>IF(IndividualLATest!$J$7=2014,(VLOOKUP($A37,Hshldprojections2014!$A$2:$AY$326,47,FALSE)-VLOOKUP($A37,Hshldprojections2014!$A$2:$AY$326,37,FALSE))/10,IF(IndividualLATest!$J$7=2016,(VLOOKUP($A37,Hshldprojections2016!$A$1:$AQ$322,37,FALSE)-VLOOKUP($A37,Hshldprojections2016!$A$1:$AQ$322,27,FALSE))/10,(VLOOKUP($A37,Hshldprojections2018!$A$1:$AQ$327,37,FALSE)-VLOOKUP($A37,Hshldprojections2018!$A$1:$AQ$327,27,FALSE))/10))</f>
        <v>1308.4000000000001</v>
      </c>
      <c r="AI37" s="268">
        <f>VLOOKUP($A37,AffordabilityRatio!$A$2:$I$321,5,FALSE)</f>
        <v>9.0399999999999991</v>
      </c>
      <c r="AJ37" s="268">
        <f>VLOOKUP($A37,AffordabilityRatio!$A$2:$I$321,6,FALSE)</f>
        <v>8.69</v>
      </c>
      <c r="AK37" s="268">
        <f>VLOOKUP($A37,AffordabilityRatio!$A$2:$I$321,7,FALSE)</f>
        <v>8.75</v>
      </c>
      <c r="AL37" s="268">
        <f>IF((VLOOKUP($A37,AffordabilityRatio!$A$2:$I$321,8,FALSE))="",AK37,VLOOKUP($A37,AffordabilityRatio!$A$2:$I$321,8,FALSE))</f>
        <v>8.49</v>
      </c>
      <c r="AM37" s="268">
        <f>IF((VLOOKUP($A37,AffordabilityRatio!$A$2:$I$321,9,FALSE))="",AL37,VLOOKUP($A37,AffordabilityRatio!$A$2:$I$321,9,FALSE))</f>
        <v>9.6999999999999993</v>
      </c>
      <c r="AN37" s="268">
        <f>IF((VLOOKUP($A37,AffordabilityRatio!$A$2:$I$321,9,FALSE))="",AM37,VLOOKUP($A37,AffordabilityRatio!$A$2:$I$321,9,FALSE))</f>
        <v>9.6999999999999993</v>
      </c>
      <c r="AO37" s="268">
        <f>IF((VLOOKUP($A37,AffordabilityRatio!$A$2:$I$321,9,FALSE))="",AN37,VLOOKUP($A37,AffordabilityRatio!$A$2:$I$321,9,FALSE))</f>
        <v>9.6999999999999993</v>
      </c>
      <c r="AP37" s="268">
        <f>IF((VLOOKUP($A37,AffordabilityRatio!$A$2:$I$321,9,FALSE))="",AO37,VLOOKUP($A37,AffordabilityRatio!$A$2:$I$321,9,FALSE))</f>
        <v>9.6999999999999993</v>
      </c>
      <c r="AQ37" s="267">
        <f t="shared" si="24"/>
        <v>2446</v>
      </c>
      <c r="AR37" s="267">
        <f t="shared" si="25"/>
        <v>2376</v>
      </c>
      <c r="AS37" s="267">
        <f t="shared" si="26"/>
        <v>2365</v>
      </c>
      <c r="AT37" s="267">
        <f t="shared" si="27"/>
        <v>1633</v>
      </c>
      <c r="AU37" s="267">
        <f t="shared" si="28"/>
        <v>1749</v>
      </c>
      <c r="AV37" s="267">
        <f t="shared" si="29"/>
        <v>1762</v>
      </c>
      <c r="AW37" s="267">
        <f t="shared" si="30"/>
        <v>1764</v>
      </c>
      <c r="AX37" s="267">
        <f t="shared" si="31"/>
        <v>1775</v>
      </c>
      <c r="AY37" s="267">
        <f t="shared" si="32"/>
        <v>2446</v>
      </c>
      <c r="AZ37" s="267">
        <f t="shared" si="33"/>
        <v>2376</v>
      </c>
      <c r="BA37" s="267">
        <f t="shared" si="34"/>
        <v>2365</v>
      </c>
      <c r="BB37" s="267">
        <f t="shared" si="35"/>
        <v>1633</v>
      </c>
      <c r="BC37" s="267">
        <f t="shared" si="36"/>
        <v>1749</v>
      </c>
      <c r="BD37" s="267">
        <f t="shared" si="37"/>
        <v>1762</v>
      </c>
      <c r="BE37" s="267">
        <f t="shared" si="38"/>
        <v>1764</v>
      </c>
      <c r="BF37" s="267">
        <f t="shared" si="39"/>
        <v>1775</v>
      </c>
      <c r="BG37" s="269">
        <f>AY37*VLOOKUP($B37,'Major Cities &amp; Towns'!$A$28:$B$345,2,FALSE)</f>
        <v>3302.1000000000004</v>
      </c>
      <c r="BH37" s="269">
        <f>AZ37*VLOOKUP($B37,'Major Cities &amp; Towns'!$A$28:$B$345,2,FALSE)</f>
        <v>3207.6000000000004</v>
      </c>
      <c r="BI37" s="269">
        <f>BA37*VLOOKUP($B37,'Major Cities &amp; Towns'!$A$28:$B$345,2,FALSE)</f>
        <v>3192.75</v>
      </c>
      <c r="BJ37" s="269">
        <f>BB37*VLOOKUP($B37,'Major Cities &amp; Towns'!$A$28:$B$345,2,FALSE)</f>
        <v>2204.5500000000002</v>
      </c>
      <c r="BK37" s="269">
        <f>BC37*VLOOKUP($B37,'Major Cities &amp; Towns'!$A$28:$B$345,2,FALSE)</f>
        <v>2361.15</v>
      </c>
      <c r="BL37" s="269">
        <f>BD37*VLOOKUP($B37,'Major Cities &amp; Towns'!$A$28:$B$345,2,FALSE)</f>
        <v>2378.7000000000003</v>
      </c>
      <c r="BM37" s="269">
        <f>BE37*VLOOKUP($B37,'Major Cities &amp; Towns'!$A$28:$B$345,2,FALSE)</f>
        <v>2381.4</v>
      </c>
      <c r="BN37" s="269">
        <f>BF37*VLOOKUP($B37,'Major Cities &amp; Towns'!$A$28:$B$345,2,FALSE)</f>
        <v>2396.25</v>
      </c>
      <c r="BO37" s="270">
        <f t="shared" si="40"/>
        <v>2446</v>
      </c>
      <c r="BP37" s="270">
        <f t="shared" si="41"/>
        <v>2376</v>
      </c>
      <c r="BQ37" s="270">
        <f t="shared" si="42"/>
        <v>2365</v>
      </c>
      <c r="BR37" s="270">
        <f t="shared" si="43"/>
        <v>1633</v>
      </c>
      <c r="BS37" s="270">
        <f t="shared" si="44"/>
        <v>1749</v>
      </c>
      <c r="BT37" s="270">
        <f t="shared" si="45"/>
        <v>1762</v>
      </c>
      <c r="BU37" s="270">
        <f t="shared" si="46"/>
        <v>1764</v>
      </c>
      <c r="BV37" s="270">
        <f t="shared" si="47"/>
        <v>1775</v>
      </c>
      <c r="BW37" s="39">
        <f>VLOOKUP($A37,NetAdditions!$A$2:$H$336,6,FALSE)</f>
        <v>1638</v>
      </c>
      <c r="BX37" s="39">
        <f>VLOOKUP($A37,NetAdditions!$A$2:$H$336,7,FALSE)</f>
        <v>1326</v>
      </c>
      <c r="BY37" s="39">
        <f>IF((VLOOKUP($C37,NetAdditions!$A$2:$H$336,8,FALSE))="",(AVERAGE(VLOOKUP($C37,NetAdditions!$A$2:$H$336,5,FALSE),VLOOKUP($C37,NetAdditions!$A$2:$H$336,6,FALSE),VLOOKUP($C37,NetAdditions!$A$2:$H$336,7,FALSE))),VLOOKUP($C37,NetAdditions!$A$2:$H$336,8,FALSE))</f>
        <v>1621</v>
      </c>
      <c r="BZ37" s="39">
        <f t="shared" si="48"/>
        <v>1528.3333333333333</v>
      </c>
      <c r="CA37" s="39">
        <f t="shared" si="49"/>
        <v>1491.7777777777776</v>
      </c>
      <c r="CB37" s="39">
        <f t="shared" si="50"/>
        <v>1547.0370370370367</v>
      </c>
      <c r="CC37" s="39">
        <f t="shared" si="51"/>
        <v>1522.3827160493827</v>
      </c>
      <c r="CD37" s="39">
        <f t="shared" si="52"/>
        <v>1520.3991769547322</v>
      </c>
      <c r="CE37" s="276">
        <f t="shared" si="5"/>
        <v>7187</v>
      </c>
      <c r="CF37" s="276">
        <f t="shared" si="6"/>
        <v>6374</v>
      </c>
      <c r="CG37" s="276">
        <f t="shared" si="7"/>
        <v>5747</v>
      </c>
      <c r="CH37" s="276">
        <f t="shared" si="8"/>
        <v>5144</v>
      </c>
      <c r="CI37" s="276">
        <f t="shared" si="9"/>
        <v>5275</v>
      </c>
      <c r="CJ37" s="276">
        <f t="shared" si="10"/>
        <v>5301</v>
      </c>
      <c r="CK37" s="276">
        <f t="shared" si="53"/>
        <v>6188.8055555555557</v>
      </c>
      <c r="CL37" s="276">
        <f t="shared" si="54"/>
        <v>5488.7222222222226</v>
      </c>
      <c r="CM37" s="276">
        <f t="shared" si="55"/>
        <v>5268.083333333333</v>
      </c>
      <c r="CN37" s="276">
        <f t="shared" si="56"/>
        <v>5144</v>
      </c>
      <c r="CO37" s="276">
        <f t="shared" si="57"/>
        <v>5275</v>
      </c>
      <c r="CP37" s="276">
        <f t="shared" si="58"/>
        <v>5301</v>
      </c>
      <c r="CQ37" s="39">
        <f t="shared" si="12"/>
        <v>4585</v>
      </c>
      <c r="CR37" s="39">
        <f t="shared" si="13"/>
        <v>4475.333333333333</v>
      </c>
      <c r="CS37" s="277">
        <f t="shared" si="14"/>
        <v>4641.1111111111104</v>
      </c>
      <c r="CT37" s="39">
        <f t="shared" si="15"/>
        <v>4567.1481481481478</v>
      </c>
      <c r="CU37" s="39">
        <f t="shared" si="16"/>
        <v>4561.1975308641968</v>
      </c>
      <c r="CV37" s="39">
        <f t="shared" si="59"/>
        <v>4589.8189300411514</v>
      </c>
      <c r="CW37" s="297">
        <f t="shared" si="18"/>
        <v>0.74085378169364935</v>
      </c>
      <c r="CX37" s="279" t="str">
        <f t="shared" si="60"/>
        <v>Buffer and Action Plan</v>
      </c>
      <c r="CY37" s="278">
        <f t="shared" si="19"/>
        <v>0.81536888771926264</v>
      </c>
      <c r="CZ37" s="279" t="str">
        <f t="shared" si="61"/>
        <v>Buffer and Action Plan</v>
      </c>
      <c r="DA37" s="278">
        <f t="shared" si="20"/>
        <v>0.88098665443367019</v>
      </c>
      <c r="DB37" s="292" t="str">
        <f t="shared" si="62"/>
        <v>Action Plan</v>
      </c>
      <c r="DC37" s="299">
        <f t="shared" si="63"/>
        <v>0.88785928229940669</v>
      </c>
      <c r="DD37" s="293" t="str">
        <f t="shared" si="64"/>
        <v>Action Plan</v>
      </c>
      <c r="DE37" s="299">
        <f t="shared" si="65"/>
        <v>0.86468199637235954</v>
      </c>
      <c r="DF37" s="293" t="str">
        <f t="shared" si="66"/>
        <v>Action Plan</v>
      </c>
      <c r="DG37" s="299">
        <f t="shared" si="67"/>
        <v>0.86584020562934383</v>
      </c>
      <c r="DH37" s="293" t="str">
        <f t="shared" si="68"/>
        <v>Action Plan</v>
      </c>
    </row>
    <row r="38" spans="1:112" ht="15" thickTop="1" thickBot="1">
      <c r="A38" s="38" t="s">
        <v>185</v>
      </c>
      <c r="B38" s="38" t="s">
        <v>186</v>
      </c>
      <c r="C38" s="38" t="s">
        <v>185</v>
      </c>
      <c r="D38" s="38" t="s">
        <v>128</v>
      </c>
      <c r="E38" s="38" t="str">
        <f>VLOOKUP(C38,PoliticalControl!A:K,11,FALSE)</f>
        <v>CON</v>
      </c>
      <c r="F38" s="38" t="str">
        <f>VLOOKUP(C38,UrbanRuralClassification!A:N,13,FALSE)</f>
        <v>Urban with Significant Rural (rural including hub towns 26-49%)</v>
      </c>
      <c r="G38" s="38" t="str">
        <f>VLOOKUP(C38,UrbanRuralClassification!A:N,14,FALSE)</f>
        <v>Urban with Significant Rural</v>
      </c>
      <c r="H38" s="258">
        <f>IF(ISBLANK((VLOOKUP($A38,'local-plan-data'!$C$1:$AD$566,27,FALSE)))=TRUE,"",VLOOKUP($A38,'local-plan-data'!$C$1:$AD$566,27,FALSE))</f>
        <v>41649</v>
      </c>
      <c r="I38" s="259">
        <f>VLOOKUP($A38,'local-plan-data'!$C$1:$AD$566,28,FALSE)</f>
        <v>2045.5555555555557</v>
      </c>
      <c r="J38" s="260">
        <f t="shared" si="21"/>
        <v>2045.5555555555557</v>
      </c>
      <c r="K38" s="259">
        <f t="shared" si="22"/>
        <v>2045.5555555555557</v>
      </c>
      <c r="L38" s="259" t="str">
        <f t="shared" si="22"/>
        <v>-</v>
      </c>
      <c r="M38" s="259" t="str">
        <f t="shared" si="22"/>
        <v>-</v>
      </c>
      <c r="N38" s="259" t="str">
        <f t="shared" si="22"/>
        <v>-</v>
      </c>
      <c r="O38" s="259" t="str">
        <f t="shared" si="22"/>
        <v>-</v>
      </c>
      <c r="P38" s="259" t="str">
        <f t="shared" si="22"/>
        <v>-</v>
      </c>
      <c r="Q38" s="259" t="str">
        <f t="shared" si="22"/>
        <v>-</v>
      </c>
      <c r="R38" s="259" t="str">
        <f t="shared" si="22"/>
        <v>-</v>
      </c>
      <c r="S38" s="259">
        <f t="shared" si="23"/>
        <v>284</v>
      </c>
      <c r="T38" s="259">
        <f t="shared" si="23"/>
        <v>-81</v>
      </c>
      <c r="U38" s="259">
        <f t="shared" si="23"/>
        <v>-447</v>
      </c>
      <c r="V38" s="259">
        <f t="shared" si="23"/>
        <v>-812</v>
      </c>
      <c r="W38" s="259">
        <f t="shared" si="23"/>
        <v>-1177</v>
      </c>
      <c r="X38" s="259">
        <f t="shared" si="23"/>
        <v>-1542</v>
      </c>
      <c r="Y38" s="259">
        <f t="shared" si="23"/>
        <v>-1908</v>
      </c>
      <c r="Z38" s="259">
        <f t="shared" si="23"/>
        <v>-2273</v>
      </c>
      <c r="AA38" s="267">
        <f>(VLOOKUP(A38,Hshldprojections2014!$A$2:$AW$319,40, FALSE)-VLOOKUP(A38,Hshldprojections2014!$A$2:$AW$319,30, FALSE))/10</f>
        <v>400.2</v>
      </c>
      <c r="AB38" s="267">
        <f>(VLOOKUP(A38,Hshldprojections2014!$A$2:$AW$319,41, FALSE)-VLOOKUP(A38,Hshldprojections2014!$A$2:$AW$319,31, FALSE))/10</f>
        <v>396.8</v>
      </c>
      <c r="AC38" s="267">
        <f>(VLOOKUP(A38,Hshldprojections2014!$A$2:$AW$319,42, FALSE)-VLOOKUP(A38,Hshldprojections2014!$A$2:$AW$319,32, FALSE))/10</f>
        <v>393.6</v>
      </c>
      <c r="AD38" s="267">
        <f>IF(IndividualLATest!$J$7=2014,(VLOOKUP($A38,Hshldprojections2014!$A$2:$AY$326,43,FALSE)-VLOOKUP($A38,Hshldprojections2014!$A$2:$AY$326,33,FALSE))/10,IF(IndividualLATest!$J$7=2016,(VLOOKUP($A38,Hshldprojections2016!$A$1:$AQ$322,33,FALSE)-VLOOKUP($A38,Hshldprojections2016!$A$1:$AQ$322,23,FALSE))/10,(VLOOKUP($A38,Hshldprojections2018!$A$1:$AQ$327,33,FALSE)-VLOOKUP($A38,Hshldprojections2018!$A$1:$AQ$327,23,FALSE))/10))</f>
        <v>517.29999999999995</v>
      </c>
      <c r="AE38" s="267">
        <f>IF(IndividualLATest!$J$7=2014,(VLOOKUP($A38,Hshldprojections2014!$A$2:$AY$326,44,FALSE)-VLOOKUP($A38,Hshldprojections2014!$A$2:$AY$326,34,FALSE))/10,IF(IndividualLATest!$J$7=2016,(VLOOKUP($A38,Hshldprojections2016!$A$1:$AQ$322,34,FALSE)-VLOOKUP($A38,Hshldprojections2016!$A$1:$AQ$322,24,FALSE))/10,(VLOOKUP($A38,Hshldprojections2018!$A$1:$AQ$327,34,FALSE)-VLOOKUP($A38,Hshldprojections2018!$A$1:$AQ$327,24,FALSE))/10))</f>
        <v>505</v>
      </c>
      <c r="AF38" s="267">
        <f>IF(IndividualLATest!$J$7=2014,(VLOOKUP($A38,Hshldprojections2014!$A$2:$AY$326,45,FALSE)-VLOOKUP($A38,Hshldprojections2014!$A$2:$AY$326,35,FALSE))/10,IF(IndividualLATest!$J$7=2016,(VLOOKUP($A38,Hshldprojections2016!$A$1:$AQ$322,35,FALSE)-VLOOKUP($A38,Hshldprojections2016!$A$1:$AQ$322,25,FALSE))/10,(VLOOKUP($A38,Hshldprojections2018!$A$1:$AQ$327,35,FALSE)-VLOOKUP($A38,Hshldprojections2018!$A$1:$AQ$327,25,FALSE))/10))</f>
        <v>492.5</v>
      </c>
      <c r="AG38" s="267">
        <f>IF(IndividualLATest!$J$7=2014,(VLOOKUP($A38,Hshldprojections2014!$A$2:$AY$326,46,FALSE)-VLOOKUP($A38,Hshldprojections2014!$A$2:$AY$326,36,FALSE))/10,IF(IndividualLATest!$J$7=2016,(VLOOKUP($A38,Hshldprojections2016!$A$1:$AQ$322,36,FALSE)-VLOOKUP($A38,Hshldprojections2016!$A$1:$AQ$322,26,FALSE))/10,(VLOOKUP($A38,Hshldprojections2018!$A$1:$AQ$327,36,FALSE)-VLOOKUP($A38,Hshldprojections2018!$A$1:$AQ$327,26,FALSE))/10))</f>
        <v>479.2</v>
      </c>
      <c r="AH38" s="267">
        <f>IF(IndividualLATest!$J$7=2014,(VLOOKUP($A38,Hshldprojections2014!$A$2:$AY$326,47,FALSE)-VLOOKUP($A38,Hshldprojections2014!$A$2:$AY$326,37,FALSE))/10,IF(IndividualLATest!$J$7=2016,(VLOOKUP($A38,Hshldprojections2016!$A$1:$AQ$322,37,FALSE)-VLOOKUP($A38,Hshldprojections2016!$A$1:$AQ$322,27,FALSE))/10,(VLOOKUP($A38,Hshldprojections2018!$A$1:$AQ$327,37,FALSE)-VLOOKUP($A38,Hshldprojections2018!$A$1:$AQ$327,27,FALSE))/10))</f>
        <v>467.3</v>
      </c>
      <c r="AI38" s="268">
        <f>VLOOKUP($A38,AffordabilityRatio!$A$2:$I$321,5,FALSE)</f>
        <v>9.82</v>
      </c>
      <c r="AJ38" s="268">
        <f>VLOOKUP($A38,AffordabilityRatio!$A$2:$I$321,6,FALSE)</f>
        <v>9.27</v>
      </c>
      <c r="AK38" s="268">
        <f>VLOOKUP($A38,AffordabilityRatio!$A$2:$I$321,7,FALSE)</f>
        <v>8.9</v>
      </c>
      <c r="AL38" s="268">
        <f>IF((VLOOKUP($A38,AffordabilityRatio!$A$2:$I$321,8,FALSE))="",AK38,VLOOKUP($A38,AffordabilityRatio!$A$2:$I$321,8,FALSE))</f>
        <v>8.5399999999999991</v>
      </c>
      <c r="AM38" s="268">
        <f>IF((VLOOKUP($A38,AffordabilityRatio!$A$2:$I$321,9,FALSE))="",AL38,VLOOKUP($A38,AffordabilityRatio!$A$2:$I$321,9,FALSE))</f>
        <v>9.08</v>
      </c>
      <c r="AN38" s="268">
        <f>IF((VLOOKUP($A38,AffordabilityRatio!$A$2:$I$321,9,FALSE))="",AM38,VLOOKUP($A38,AffordabilityRatio!$A$2:$I$321,9,FALSE))</f>
        <v>9.08</v>
      </c>
      <c r="AO38" s="268">
        <f>IF((VLOOKUP($A38,AffordabilityRatio!$A$2:$I$321,9,FALSE))="",AN38,VLOOKUP($A38,AffordabilityRatio!$A$2:$I$321,9,FALSE))</f>
        <v>9.08</v>
      </c>
      <c r="AP38" s="268">
        <f>IF((VLOOKUP($A38,AffordabilityRatio!$A$2:$I$321,9,FALSE))="",AO38,VLOOKUP($A38,AffordabilityRatio!$A$2:$I$321,9,FALSE))</f>
        <v>9.08</v>
      </c>
      <c r="AQ38" s="267">
        <f t="shared" si="24"/>
        <v>546</v>
      </c>
      <c r="AR38" s="267">
        <f t="shared" si="25"/>
        <v>527</v>
      </c>
      <c r="AS38" s="267">
        <f t="shared" si="26"/>
        <v>514</v>
      </c>
      <c r="AT38" s="267">
        <f t="shared" si="27"/>
        <v>664</v>
      </c>
      <c r="AU38" s="267">
        <f t="shared" si="28"/>
        <v>665</v>
      </c>
      <c r="AV38" s="267">
        <f t="shared" si="29"/>
        <v>649</v>
      </c>
      <c r="AW38" s="267">
        <f t="shared" si="30"/>
        <v>631</v>
      </c>
      <c r="AX38" s="267">
        <f t="shared" si="31"/>
        <v>616</v>
      </c>
      <c r="AY38" s="267">
        <f t="shared" si="32"/>
        <v>546</v>
      </c>
      <c r="AZ38" s="267">
        <f t="shared" si="33"/>
        <v>527</v>
      </c>
      <c r="BA38" s="267">
        <f t="shared" si="34"/>
        <v>514</v>
      </c>
      <c r="BB38" s="267">
        <f t="shared" si="35"/>
        <v>664</v>
      </c>
      <c r="BC38" s="267">
        <f t="shared" si="36"/>
        <v>665</v>
      </c>
      <c r="BD38" s="267">
        <f t="shared" si="37"/>
        <v>649</v>
      </c>
      <c r="BE38" s="267">
        <f t="shared" si="38"/>
        <v>631</v>
      </c>
      <c r="BF38" s="267">
        <f t="shared" si="39"/>
        <v>616</v>
      </c>
      <c r="BG38" s="269">
        <f>AY38*VLOOKUP($B38,'Major Cities &amp; Towns'!$A$28:$B$345,2,FALSE)</f>
        <v>546</v>
      </c>
      <c r="BH38" s="269">
        <f>AZ38*VLOOKUP($B38,'Major Cities &amp; Towns'!$A$28:$B$345,2,FALSE)</f>
        <v>527</v>
      </c>
      <c r="BI38" s="269">
        <f>BA38*VLOOKUP($B38,'Major Cities &amp; Towns'!$A$28:$B$345,2,FALSE)</f>
        <v>514</v>
      </c>
      <c r="BJ38" s="269">
        <f>BB38*VLOOKUP($B38,'Major Cities &amp; Towns'!$A$28:$B$345,2,FALSE)</f>
        <v>664</v>
      </c>
      <c r="BK38" s="269">
        <f>BC38*VLOOKUP($B38,'Major Cities &amp; Towns'!$A$28:$B$345,2,FALSE)</f>
        <v>665</v>
      </c>
      <c r="BL38" s="269">
        <f>BD38*VLOOKUP($B38,'Major Cities &amp; Towns'!$A$28:$B$345,2,FALSE)</f>
        <v>649</v>
      </c>
      <c r="BM38" s="269">
        <f>BE38*VLOOKUP($B38,'Major Cities &amp; Towns'!$A$28:$B$345,2,FALSE)</f>
        <v>631</v>
      </c>
      <c r="BN38" s="269">
        <f>BF38*VLOOKUP($B38,'Major Cities &amp; Towns'!$A$28:$B$345,2,FALSE)</f>
        <v>616</v>
      </c>
      <c r="BO38" s="270">
        <f t="shared" si="40"/>
        <v>546</v>
      </c>
      <c r="BP38" s="270">
        <f t="shared" si="41"/>
        <v>527</v>
      </c>
      <c r="BQ38" s="270">
        <f t="shared" si="42"/>
        <v>514</v>
      </c>
      <c r="BR38" s="270">
        <f t="shared" si="43"/>
        <v>664</v>
      </c>
      <c r="BS38" s="270">
        <f t="shared" si="44"/>
        <v>665</v>
      </c>
      <c r="BT38" s="270">
        <f t="shared" si="45"/>
        <v>649</v>
      </c>
      <c r="BU38" s="270">
        <f t="shared" si="46"/>
        <v>631</v>
      </c>
      <c r="BV38" s="270">
        <f t="shared" si="47"/>
        <v>616</v>
      </c>
      <c r="BW38" s="39">
        <f>VLOOKUP($A38,NetAdditions!$A$2:$H$336,6,FALSE)</f>
        <v>640</v>
      </c>
      <c r="BX38" s="39">
        <f>VLOOKUP($A38,NetAdditions!$A$2:$H$336,7,FALSE)</f>
        <v>663</v>
      </c>
      <c r="BY38" s="39">
        <f>IF((VLOOKUP($C38,NetAdditions!$A$2:$H$336,8,FALSE))="",(AVERAGE(VLOOKUP($C38,NetAdditions!$A$2:$H$336,5,FALSE),VLOOKUP($C38,NetAdditions!$A$2:$H$336,6,FALSE),VLOOKUP($C38,NetAdditions!$A$2:$H$336,7,FALSE))),VLOOKUP($C38,NetAdditions!$A$2:$H$336,8,FALSE))</f>
        <v>499</v>
      </c>
      <c r="BZ38" s="39">
        <f t="shared" si="48"/>
        <v>600.66666666666663</v>
      </c>
      <c r="CA38" s="39">
        <f t="shared" si="49"/>
        <v>587.55555555555554</v>
      </c>
      <c r="CB38" s="39">
        <f t="shared" si="50"/>
        <v>562.40740740740739</v>
      </c>
      <c r="CC38" s="39">
        <f t="shared" si="51"/>
        <v>583.54320987654319</v>
      </c>
      <c r="CD38" s="39">
        <f t="shared" si="52"/>
        <v>577.83539094650212</v>
      </c>
      <c r="CE38" s="276">
        <f t="shared" si="5"/>
        <v>1587</v>
      </c>
      <c r="CF38" s="276">
        <f t="shared" si="6"/>
        <v>1705</v>
      </c>
      <c r="CG38" s="276">
        <f t="shared" si="7"/>
        <v>1843</v>
      </c>
      <c r="CH38" s="276">
        <f t="shared" si="8"/>
        <v>1978</v>
      </c>
      <c r="CI38" s="276">
        <f t="shared" si="9"/>
        <v>1945</v>
      </c>
      <c r="CJ38" s="276">
        <f t="shared" si="10"/>
        <v>1896</v>
      </c>
      <c r="CK38" s="276">
        <f t="shared" si="53"/>
        <v>1366.5833333333335</v>
      </c>
      <c r="CL38" s="276">
        <f t="shared" si="54"/>
        <v>1468.1944444444446</v>
      </c>
      <c r="CM38" s="276">
        <f t="shared" si="55"/>
        <v>1689.4166666666665</v>
      </c>
      <c r="CN38" s="276">
        <f t="shared" si="56"/>
        <v>1978</v>
      </c>
      <c r="CO38" s="276">
        <f t="shared" si="57"/>
        <v>1945</v>
      </c>
      <c r="CP38" s="276">
        <f t="shared" si="58"/>
        <v>1896</v>
      </c>
      <c r="CQ38" s="39">
        <f t="shared" si="12"/>
        <v>1802</v>
      </c>
      <c r="CR38" s="39">
        <f t="shared" si="13"/>
        <v>1762.6666666666665</v>
      </c>
      <c r="CS38" s="277">
        <f t="shared" si="14"/>
        <v>1687.2222222222222</v>
      </c>
      <c r="CT38" s="39">
        <f t="shared" si="15"/>
        <v>1750.6296296296296</v>
      </c>
      <c r="CU38" s="39">
        <f t="shared" si="16"/>
        <v>1733.5061728395062</v>
      </c>
      <c r="CV38" s="39">
        <f t="shared" si="59"/>
        <v>1723.7860082304528</v>
      </c>
      <c r="CW38" s="297">
        <f t="shared" si="18"/>
        <v>1.3186169888407828</v>
      </c>
      <c r="CX38" s="279" t="str">
        <f t="shared" si="60"/>
        <v>Pass</v>
      </c>
      <c r="CY38" s="278">
        <f t="shared" si="19"/>
        <v>1.2005675905779962</v>
      </c>
      <c r="CZ38" s="279" t="str">
        <f t="shared" si="61"/>
        <v>Pass</v>
      </c>
      <c r="DA38" s="278">
        <f t="shared" si="20"/>
        <v>0.99870106381229551</v>
      </c>
      <c r="DB38" s="292" t="str">
        <f t="shared" si="62"/>
        <v>Pass</v>
      </c>
      <c r="DC38" s="299">
        <f t="shared" si="63"/>
        <v>0.88505036887241129</v>
      </c>
      <c r="DD38" s="293" t="str">
        <f t="shared" si="64"/>
        <v>Action Plan</v>
      </c>
      <c r="DE38" s="299">
        <f t="shared" si="65"/>
        <v>0.891262813799232</v>
      </c>
      <c r="DF38" s="293" t="str">
        <f t="shared" si="66"/>
        <v>Action Plan</v>
      </c>
      <c r="DG38" s="299">
        <f t="shared" si="67"/>
        <v>0.90916983556458486</v>
      </c>
      <c r="DH38" s="293" t="str">
        <f t="shared" si="68"/>
        <v>Action Plan</v>
      </c>
    </row>
    <row r="39" spans="1:112" customFormat="1" ht="15.5" thickTop="1" thickBot="1">
      <c r="A39" s="3" t="s">
        <v>187</v>
      </c>
      <c r="B39" s="3" t="s">
        <v>188</v>
      </c>
      <c r="C39" s="3" t="s">
        <v>187</v>
      </c>
      <c r="D39" s="3" t="s">
        <v>131</v>
      </c>
      <c r="E39" s="3" t="str">
        <f>VLOOKUP(C39,PoliticalControl!A:K,11,FALSE)</f>
        <v>CON</v>
      </c>
      <c r="F39" s="3" t="str">
        <f>VLOOKUP(C39,UrbanRuralClassification!A:N,13,FALSE)</f>
        <v>Urban with Major Conurbation</v>
      </c>
      <c r="G39" s="3" t="str">
        <f>VLOOKUP(C39,UrbanRuralClassification!A:N,14,FALSE)</f>
        <v>Predominantly Urban</v>
      </c>
      <c r="H39" s="262">
        <f>IF(ISBLANK((VLOOKUP($A39,'local-plan-data'!$C$1:$AD$566,27,FALSE)))=TRUE,"",VLOOKUP($A39,'local-plan-data'!$C$1:$AD$566,27,FALSE))</f>
        <v>43481</v>
      </c>
      <c r="I39" s="263">
        <f>VLOOKUP($A39,'local-plan-data'!$C$1:$AD$566,28,FALSE)</f>
        <v>641</v>
      </c>
      <c r="J39" s="264">
        <f t="shared" si="21"/>
        <v>641</v>
      </c>
      <c r="K39" s="259">
        <f t="shared" si="22"/>
        <v>641</v>
      </c>
      <c r="L39" s="259">
        <f t="shared" si="22"/>
        <v>641</v>
      </c>
      <c r="M39" s="259">
        <f t="shared" si="22"/>
        <v>641</v>
      </c>
      <c r="N39" s="259">
        <f t="shared" si="22"/>
        <v>641</v>
      </c>
      <c r="O39" s="259">
        <f t="shared" si="22"/>
        <v>641</v>
      </c>
      <c r="P39" s="259">
        <f t="shared" si="22"/>
        <v>641</v>
      </c>
      <c r="Q39" s="259" t="str">
        <f t="shared" si="22"/>
        <v>-</v>
      </c>
      <c r="R39" s="259" t="str">
        <f t="shared" si="22"/>
        <v>-</v>
      </c>
      <c r="S39" s="259">
        <f t="shared" si="23"/>
        <v>2116</v>
      </c>
      <c r="T39" s="259">
        <f t="shared" si="23"/>
        <v>1751</v>
      </c>
      <c r="U39" s="259">
        <f t="shared" si="23"/>
        <v>1385</v>
      </c>
      <c r="V39" s="259">
        <f t="shared" si="23"/>
        <v>1020</v>
      </c>
      <c r="W39" s="259">
        <f t="shared" si="23"/>
        <v>655</v>
      </c>
      <c r="X39" s="259">
        <f t="shared" si="23"/>
        <v>290</v>
      </c>
      <c r="Y39" s="259">
        <f t="shared" si="23"/>
        <v>-76</v>
      </c>
      <c r="Z39" s="259">
        <f t="shared" si="23"/>
        <v>-441</v>
      </c>
      <c r="AA39" s="267">
        <f>(VLOOKUP(A39,Hshldprojections2014!$A$2:$AW$319,40, FALSE)-VLOOKUP(A39,Hshldprojections2014!$A$2:$AW$319,30, FALSE))/10</f>
        <v>1882.4</v>
      </c>
      <c r="AB39" s="267">
        <f>(VLOOKUP(A39,Hshldprojections2014!$A$2:$AW$319,41, FALSE)-VLOOKUP(A39,Hshldprojections2014!$A$2:$AW$319,31, FALSE))/10</f>
        <v>1901.1</v>
      </c>
      <c r="AC39" s="267">
        <f>(VLOOKUP(A39,Hshldprojections2014!$A$2:$AW$319,42, FALSE)-VLOOKUP(A39,Hshldprojections2014!$A$2:$AW$319,32, FALSE))/10</f>
        <v>1918.3</v>
      </c>
      <c r="AD39" s="267">
        <f>IF(IndividualLATest!$J$7=2014,(VLOOKUP($A39,Hshldprojections2014!$A$2:$AY$326,43,FALSE)-VLOOKUP($A39,Hshldprojections2014!$A$2:$AY$326,33,FALSE))/10,IF(IndividualLATest!$J$7=2016,(VLOOKUP($A39,Hshldprojections2016!$A$1:$AQ$322,33,FALSE)-VLOOKUP($A39,Hshldprojections2016!$A$1:$AQ$322,23,FALSE))/10,(VLOOKUP($A39,Hshldprojections2018!$A$1:$AQ$327,33,FALSE)-VLOOKUP($A39,Hshldprojections2018!$A$1:$AQ$327,23,FALSE))/10))</f>
        <v>904.1</v>
      </c>
      <c r="AE39" s="267">
        <f>IF(IndividualLATest!$J$7=2014,(VLOOKUP($A39,Hshldprojections2014!$A$2:$AY$326,44,FALSE)-VLOOKUP($A39,Hshldprojections2014!$A$2:$AY$326,34,FALSE))/10,IF(IndividualLATest!$J$7=2016,(VLOOKUP($A39,Hshldprojections2016!$A$1:$AQ$322,34,FALSE)-VLOOKUP($A39,Hshldprojections2016!$A$1:$AQ$322,24,FALSE))/10,(VLOOKUP($A39,Hshldprojections2018!$A$1:$AQ$327,34,FALSE)-VLOOKUP($A39,Hshldprojections2018!$A$1:$AQ$327,24,FALSE))/10))</f>
        <v>889.9</v>
      </c>
      <c r="AF39" s="267">
        <f>IF(IndividualLATest!$J$7=2014,(VLOOKUP($A39,Hshldprojections2014!$A$2:$AY$326,45,FALSE)-VLOOKUP($A39,Hshldprojections2014!$A$2:$AY$326,35,FALSE))/10,IF(IndividualLATest!$J$7=2016,(VLOOKUP($A39,Hshldprojections2016!$A$1:$AQ$322,35,FALSE)-VLOOKUP($A39,Hshldprojections2016!$A$1:$AQ$322,25,FALSE))/10,(VLOOKUP($A39,Hshldprojections2018!$A$1:$AQ$327,35,FALSE)-VLOOKUP($A39,Hshldprojections2018!$A$1:$AQ$327,25,FALSE))/10))</f>
        <v>872.8</v>
      </c>
      <c r="AG39" s="267">
        <f>IF(IndividualLATest!$J$7=2014,(VLOOKUP($A39,Hshldprojections2014!$A$2:$AY$326,46,FALSE)-VLOOKUP($A39,Hshldprojections2014!$A$2:$AY$326,36,FALSE))/10,IF(IndividualLATest!$J$7=2016,(VLOOKUP($A39,Hshldprojections2016!$A$1:$AQ$322,36,FALSE)-VLOOKUP($A39,Hshldprojections2016!$A$1:$AQ$322,26,FALSE))/10,(VLOOKUP($A39,Hshldprojections2018!$A$1:$AQ$327,36,FALSE)-VLOOKUP($A39,Hshldprojections2018!$A$1:$AQ$327,26,FALSE))/10))</f>
        <v>856.2</v>
      </c>
      <c r="AH39" s="267">
        <f>IF(IndividualLATest!$J$7=2014,(VLOOKUP($A39,Hshldprojections2014!$A$2:$AY$326,47,FALSE)-VLOOKUP($A39,Hshldprojections2014!$A$2:$AY$326,37,FALSE))/10,IF(IndividualLATest!$J$7=2016,(VLOOKUP($A39,Hshldprojections2016!$A$1:$AQ$322,37,FALSE)-VLOOKUP($A39,Hshldprojections2016!$A$1:$AQ$322,27,FALSE))/10,(VLOOKUP($A39,Hshldprojections2018!$A$1:$AQ$327,37,FALSE)-VLOOKUP($A39,Hshldprojections2018!$A$1:$AQ$327,27,FALSE))/10))</f>
        <v>847.7</v>
      </c>
      <c r="AI39" s="268">
        <f>VLOOKUP($A39,AffordabilityRatio!$A$2:$I$321,5,FALSE)</f>
        <v>14.59</v>
      </c>
      <c r="AJ39" s="268">
        <f>VLOOKUP($A39,AffordabilityRatio!$A$2:$I$321,6,FALSE)</f>
        <v>14.3</v>
      </c>
      <c r="AK39" s="268">
        <f>VLOOKUP($A39,AffordabilityRatio!$A$2:$I$321,7,FALSE)</f>
        <v>13.85</v>
      </c>
      <c r="AL39" s="268">
        <f>IF((VLOOKUP($A39,AffordabilityRatio!$A$2:$I$321,8,FALSE))="",AK39,VLOOKUP($A39,AffordabilityRatio!$A$2:$I$321,8,FALSE))</f>
        <v>12.87</v>
      </c>
      <c r="AM39" s="268">
        <f>IF((VLOOKUP($A39,AffordabilityRatio!$A$2:$I$321,9,FALSE))="",AL39,VLOOKUP($A39,AffordabilityRatio!$A$2:$I$321,9,FALSE))</f>
        <v>14.54</v>
      </c>
      <c r="AN39" s="268">
        <f>IF((VLOOKUP($A39,AffordabilityRatio!$A$2:$I$321,9,FALSE))="",AM39,VLOOKUP($A39,AffordabilityRatio!$A$2:$I$321,9,FALSE))</f>
        <v>14.54</v>
      </c>
      <c r="AO39" s="268">
        <f>IF((VLOOKUP($A39,AffordabilityRatio!$A$2:$I$321,9,FALSE))="",AN39,VLOOKUP($A39,AffordabilityRatio!$A$2:$I$321,9,FALSE))</f>
        <v>14.54</v>
      </c>
      <c r="AP39" s="268">
        <f>IF((VLOOKUP($A39,AffordabilityRatio!$A$2:$I$321,9,FALSE))="",AO39,VLOOKUP($A39,AffordabilityRatio!$A$2:$I$321,9,FALSE))</f>
        <v>14.54</v>
      </c>
      <c r="AQ39" s="267">
        <f t="shared" si="24"/>
        <v>3128</v>
      </c>
      <c r="AR39" s="267">
        <f t="shared" si="25"/>
        <v>3125</v>
      </c>
      <c r="AS39" s="267">
        <f t="shared" si="26"/>
        <v>3099</v>
      </c>
      <c r="AT39" s="267">
        <f t="shared" si="27"/>
        <v>1405</v>
      </c>
      <c r="AU39" s="267">
        <f t="shared" si="28"/>
        <v>1476</v>
      </c>
      <c r="AV39" s="267">
        <f t="shared" si="29"/>
        <v>1448</v>
      </c>
      <c r="AW39" s="267">
        <f t="shared" si="30"/>
        <v>1420</v>
      </c>
      <c r="AX39" s="267">
        <f t="shared" si="31"/>
        <v>1406</v>
      </c>
      <c r="AY39" s="267">
        <f t="shared" si="32"/>
        <v>897.40000000000009</v>
      </c>
      <c r="AZ39" s="267">
        <f t="shared" si="33"/>
        <v>897.40000000000009</v>
      </c>
      <c r="BA39" s="267">
        <f t="shared" si="34"/>
        <v>897.40000000000009</v>
      </c>
      <c r="BB39" s="267">
        <f t="shared" si="35"/>
        <v>897.40000000000009</v>
      </c>
      <c r="BC39" s="267">
        <f t="shared" si="36"/>
        <v>897.40000000000009</v>
      </c>
      <c r="BD39" s="267">
        <f t="shared" si="37"/>
        <v>897.40000000000009</v>
      </c>
      <c r="BE39" s="267">
        <f t="shared" si="38"/>
        <v>1198.68</v>
      </c>
      <c r="BF39" s="267">
        <f t="shared" si="39"/>
        <v>1186.7800000000002</v>
      </c>
      <c r="BG39" s="269">
        <f>AY39*VLOOKUP($B39,'Major Cities &amp; Towns'!$A$28:$B$345,2,FALSE)</f>
        <v>1211.4900000000002</v>
      </c>
      <c r="BH39" s="269">
        <f>AZ39*VLOOKUP($B39,'Major Cities &amp; Towns'!$A$28:$B$345,2,FALSE)</f>
        <v>1211.4900000000002</v>
      </c>
      <c r="BI39" s="269">
        <f>BA39*VLOOKUP($B39,'Major Cities &amp; Towns'!$A$28:$B$345,2,FALSE)</f>
        <v>1211.4900000000002</v>
      </c>
      <c r="BJ39" s="269">
        <f>BB39*VLOOKUP($B39,'Major Cities &amp; Towns'!$A$28:$B$345,2,FALSE)</f>
        <v>1211.4900000000002</v>
      </c>
      <c r="BK39" s="269">
        <f>BC39*VLOOKUP($B39,'Major Cities &amp; Towns'!$A$28:$B$345,2,FALSE)</f>
        <v>1211.4900000000002</v>
      </c>
      <c r="BL39" s="269">
        <f>BD39*VLOOKUP($B39,'Major Cities &amp; Towns'!$A$28:$B$345,2,FALSE)</f>
        <v>1211.4900000000002</v>
      </c>
      <c r="BM39" s="269">
        <f>BE39*VLOOKUP($B39,'Major Cities &amp; Towns'!$A$28:$B$345,2,FALSE)</f>
        <v>1618.2180000000003</v>
      </c>
      <c r="BN39" s="269">
        <f>BF39*VLOOKUP($B39,'Major Cities &amp; Towns'!$A$28:$B$345,2,FALSE)</f>
        <v>1602.1530000000005</v>
      </c>
      <c r="BO39" s="270">
        <f t="shared" si="40"/>
        <v>641</v>
      </c>
      <c r="BP39" s="270">
        <f t="shared" si="41"/>
        <v>641</v>
      </c>
      <c r="BQ39" s="270">
        <f t="shared" si="42"/>
        <v>641</v>
      </c>
      <c r="BR39" s="270">
        <f t="shared" si="43"/>
        <v>641</v>
      </c>
      <c r="BS39" s="270">
        <f t="shared" si="44"/>
        <v>641</v>
      </c>
      <c r="BT39" s="270">
        <f t="shared" si="45"/>
        <v>806.82191780821904</v>
      </c>
      <c r="BU39" s="270">
        <f t="shared" si="46"/>
        <v>1420</v>
      </c>
      <c r="BV39" s="270">
        <f t="shared" si="47"/>
        <v>1406</v>
      </c>
      <c r="BW39" s="39">
        <f>VLOOKUP($A39,NetAdditions!$A$2:$H$336,6,FALSE)</f>
        <v>708</v>
      </c>
      <c r="BX39" s="39">
        <f>VLOOKUP($A39,NetAdditions!$A$2:$H$336,7,FALSE)</f>
        <v>485</v>
      </c>
      <c r="BY39" s="39">
        <f>IF((VLOOKUP($C39,NetAdditions!$A$2:$H$336,8,FALSE))="",(AVERAGE(VLOOKUP($C39,NetAdditions!$A$2:$H$336,5,FALSE),VLOOKUP($C39,NetAdditions!$A$2:$H$336,6,FALSE),VLOOKUP($C39,NetAdditions!$A$2:$H$336,7,FALSE))),VLOOKUP($C39,NetAdditions!$A$2:$H$336,8,FALSE))</f>
        <v>272</v>
      </c>
      <c r="BZ39" s="39">
        <f t="shared" si="48"/>
        <v>488.33333333333331</v>
      </c>
      <c r="CA39" s="39">
        <f t="shared" si="49"/>
        <v>415.11111111111109</v>
      </c>
      <c r="CB39" s="39">
        <f t="shared" si="50"/>
        <v>391.81481481481478</v>
      </c>
      <c r="CC39" s="39">
        <f t="shared" si="51"/>
        <v>431.75308641975306</v>
      </c>
      <c r="CD39" s="39">
        <f t="shared" si="52"/>
        <v>412.89300411522635</v>
      </c>
      <c r="CE39" s="276">
        <f t="shared" si="5"/>
        <v>1923</v>
      </c>
      <c r="CF39" s="276">
        <f t="shared" si="6"/>
        <v>1923</v>
      </c>
      <c r="CG39" s="276">
        <f t="shared" si="7"/>
        <v>1923</v>
      </c>
      <c r="CH39" s="276">
        <f t="shared" si="8"/>
        <v>2088.821917808219</v>
      </c>
      <c r="CI39" s="276">
        <f t="shared" si="9"/>
        <v>2867.821917808219</v>
      </c>
      <c r="CJ39" s="276">
        <f t="shared" si="10"/>
        <v>3632.821917808219</v>
      </c>
      <c r="CK39" s="276">
        <f t="shared" si="53"/>
        <v>1655.9166666666667</v>
      </c>
      <c r="CL39" s="276">
        <f t="shared" si="54"/>
        <v>1655.9166666666667</v>
      </c>
      <c r="CM39" s="276">
        <f t="shared" si="55"/>
        <v>1762.75</v>
      </c>
      <c r="CN39" s="276">
        <f t="shared" si="56"/>
        <v>2088.821917808219</v>
      </c>
      <c r="CO39" s="276">
        <f t="shared" si="57"/>
        <v>2867.821917808219</v>
      </c>
      <c r="CP39" s="276">
        <f t="shared" si="58"/>
        <v>3632.821917808219</v>
      </c>
      <c r="CQ39" s="39">
        <f t="shared" si="12"/>
        <v>1465</v>
      </c>
      <c r="CR39" s="39">
        <f t="shared" si="13"/>
        <v>1245.3333333333333</v>
      </c>
      <c r="CS39" s="277">
        <f t="shared" si="14"/>
        <v>1175.4444444444443</v>
      </c>
      <c r="CT39" s="39">
        <f t="shared" si="15"/>
        <v>1295.2592592592591</v>
      </c>
      <c r="CU39" s="39">
        <f t="shared" si="16"/>
        <v>1238.679012345679</v>
      </c>
      <c r="CV39" s="39">
        <f t="shared" si="59"/>
        <v>1236.4609053497943</v>
      </c>
      <c r="CW39" s="297">
        <f t="shared" si="18"/>
        <v>0.88470635599617531</v>
      </c>
      <c r="CX39" s="279" t="str">
        <f t="shared" si="60"/>
        <v>Action Plan</v>
      </c>
      <c r="CY39" s="278">
        <f t="shared" si="19"/>
        <v>0.75205072719037791</v>
      </c>
      <c r="CZ39" s="279" t="str">
        <f t="shared" si="61"/>
        <v>Buffer and Action Plan</v>
      </c>
      <c r="DA39" s="278">
        <f t="shared" si="20"/>
        <v>0.66682424872752477</v>
      </c>
      <c r="DB39" s="292" t="str">
        <f t="shared" si="62"/>
        <v>Presumption</v>
      </c>
      <c r="DC39" s="299">
        <f t="shared" si="63"/>
        <v>0.62009080248370929</v>
      </c>
      <c r="DD39" s="293" t="str">
        <f t="shared" si="64"/>
        <v>Presumption</v>
      </c>
      <c r="DE39" s="299">
        <f t="shared" si="65"/>
        <v>0.43192326715054896</v>
      </c>
      <c r="DF39" s="293" t="str">
        <f t="shared" si="66"/>
        <v>Presumption</v>
      </c>
      <c r="DG39" s="299">
        <f t="shared" si="67"/>
        <v>0.34035824858042724</v>
      </c>
      <c r="DH39" s="293" t="str">
        <f t="shared" si="68"/>
        <v>Presumption</v>
      </c>
    </row>
    <row r="40" spans="1:112" ht="15" thickTop="1" thickBot="1">
      <c r="A40" s="38" t="s">
        <v>189</v>
      </c>
      <c r="B40" s="38" t="s">
        <v>190</v>
      </c>
      <c r="C40" s="38" t="s">
        <v>189</v>
      </c>
      <c r="D40" s="38" t="s">
        <v>154</v>
      </c>
      <c r="E40" s="38" t="str">
        <f>VLOOKUP(C40,PoliticalControl!A:K,11,FALSE)</f>
        <v>CON</v>
      </c>
      <c r="F40" s="38" t="str">
        <f>VLOOKUP(C40,UrbanRuralClassification!A:N,13,FALSE)</f>
        <v>Urban with City and Town</v>
      </c>
      <c r="G40" s="38" t="str">
        <f>VLOOKUP(C40,UrbanRuralClassification!A:N,14,FALSE)</f>
        <v>Predominantly Urban</v>
      </c>
      <c r="H40" s="258">
        <f>IF(ISBLANK((VLOOKUP($A40,'local-plan-data'!$C$1:$AD$566,27,FALSE)))=TRUE,"",VLOOKUP($A40,'local-plan-data'!$C$1:$AD$566,27,FALSE))</f>
        <v>42760</v>
      </c>
      <c r="I40" s="259">
        <f>VLOOKUP($A40,'local-plan-data'!$C$1:$AD$566,28,FALSE)</f>
        <v>547.36842105263156</v>
      </c>
      <c r="J40" s="260">
        <f t="shared" si="21"/>
        <v>547.36842105263156</v>
      </c>
      <c r="K40" s="259">
        <f t="shared" si="22"/>
        <v>547.36842105263156</v>
      </c>
      <c r="L40" s="259">
        <f t="shared" si="22"/>
        <v>547.36842105263156</v>
      </c>
      <c r="M40" s="259">
        <f t="shared" si="22"/>
        <v>547.36842105263156</v>
      </c>
      <c r="N40" s="259">
        <f t="shared" si="22"/>
        <v>547.36842105263156</v>
      </c>
      <c r="O40" s="259" t="str">
        <f t="shared" si="22"/>
        <v>-</v>
      </c>
      <c r="P40" s="259" t="str">
        <f t="shared" si="22"/>
        <v>-</v>
      </c>
      <c r="Q40" s="259" t="str">
        <f t="shared" si="22"/>
        <v>-</v>
      </c>
      <c r="R40" s="259" t="str">
        <f t="shared" si="22"/>
        <v>-</v>
      </c>
      <c r="S40" s="259">
        <f t="shared" si="23"/>
        <v>1395</v>
      </c>
      <c r="T40" s="259">
        <f t="shared" si="23"/>
        <v>1030</v>
      </c>
      <c r="U40" s="259">
        <f t="shared" si="23"/>
        <v>664</v>
      </c>
      <c r="V40" s="259">
        <f t="shared" si="23"/>
        <v>299</v>
      </c>
      <c r="W40" s="259">
        <f t="shared" si="23"/>
        <v>-66</v>
      </c>
      <c r="X40" s="259">
        <f t="shared" si="23"/>
        <v>-431</v>
      </c>
      <c r="Y40" s="259">
        <f t="shared" si="23"/>
        <v>-797</v>
      </c>
      <c r="Z40" s="259">
        <f t="shared" si="23"/>
        <v>-1162</v>
      </c>
      <c r="AA40" s="267">
        <f>(VLOOKUP(A40,Hshldprojections2014!$A$2:$AW$319,40, FALSE)-VLOOKUP(A40,Hshldprojections2014!$A$2:$AW$319,30, FALSE))/10</f>
        <v>268.5</v>
      </c>
      <c r="AB40" s="267">
        <f>(VLOOKUP(A40,Hshldprojections2014!$A$2:$AW$319,41, FALSE)-VLOOKUP(A40,Hshldprojections2014!$A$2:$AW$319,31, FALSE))/10</f>
        <v>271.7</v>
      </c>
      <c r="AC40" s="267">
        <f>(VLOOKUP(A40,Hshldprojections2014!$A$2:$AW$319,42, FALSE)-VLOOKUP(A40,Hshldprojections2014!$A$2:$AW$319,32, FALSE))/10</f>
        <v>274.8</v>
      </c>
      <c r="AD40" s="267">
        <f>IF(IndividualLATest!$J$7=2014,(VLOOKUP($A40,Hshldprojections2014!$A$2:$AY$326,43,FALSE)-VLOOKUP($A40,Hshldprojections2014!$A$2:$AY$326,33,FALSE))/10,IF(IndividualLATest!$J$7=2016,(VLOOKUP($A40,Hshldprojections2016!$A$1:$AQ$322,33,FALSE)-VLOOKUP($A40,Hshldprojections2016!$A$1:$AQ$322,23,FALSE))/10,(VLOOKUP($A40,Hshldprojections2018!$A$1:$AQ$327,33,FALSE)-VLOOKUP($A40,Hshldprojections2018!$A$1:$AQ$327,23,FALSE))/10))</f>
        <v>380.9</v>
      </c>
      <c r="AE40" s="267">
        <f>IF(IndividualLATest!$J$7=2014,(VLOOKUP($A40,Hshldprojections2014!$A$2:$AY$326,44,FALSE)-VLOOKUP($A40,Hshldprojections2014!$A$2:$AY$326,34,FALSE))/10,IF(IndividualLATest!$J$7=2016,(VLOOKUP($A40,Hshldprojections2016!$A$1:$AQ$322,34,FALSE)-VLOOKUP($A40,Hshldprojections2016!$A$1:$AQ$322,24,FALSE))/10,(VLOOKUP($A40,Hshldprojections2018!$A$1:$AQ$327,34,FALSE)-VLOOKUP($A40,Hshldprojections2018!$A$1:$AQ$327,24,FALSE))/10))</f>
        <v>374.8</v>
      </c>
      <c r="AF40" s="267">
        <f>IF(IndividualLATest!$J$7=2014,(VLOOKUP($A40,Hshldprojections2014!$A$2:$AY$326,45,FALSE)-VLOOKUP($A40,Hshldprojections2014!$A$2:$AY$326,35,FALSE))/10,IF(IndividualLATest!$J$7=2016,(VLOOKUP($A40,Hshldprojections2016!$A$1:$AQ$322,35,FALSE)-VLOOKUP($A40,Hshldprojections2016!$A$1:$AQ$322,25,FALSE))/10,(VLOOKUP($A40,Hshldprojections2018!$A$1:$AQ$327,35,FALSE)-VLOOKUP($A40,Hshldprojections2018!$A$1:$AQ$327,25,FALSE))/10))</f>
        <v>369</v>
      </c>
      <c r="AG40" s="267">
        <f>IF(IndividualLATest!$J$7=2014,(VLOOKUP($A40,Hshldprojections2014!$A$2:$AY$326,46,FALSE)-VLOOKUP($A40,Hshldprojections2014!$A$2:$AY$326,36,FALSE))/10,IF(IndividualLATest!$J$7=2016,(VLOOKUP($A40,Hshldprojections2016!$A$1:$AQ$322,36,FALSE)-VLOOKUP($A40,Hshldprojections2016!$A$1:$AQ$322,26,FALSE))/10,(VLOOKUP($A40,Hshldprojections2018!$A$1:$AQ$327,36,FALSE)-VLOOKUP($A40,Hshldprojections2018!$A$1:$AQ$327,26,FALSE))/10))</f>
        <v>361.7</v>
      </c>
      <c r="AH40" s="267">
        <f>IF(IndividualLATest!$J$7=2014,(VLOOKUP($A40,Hshldprojections2014!$A$2:$AY$326,47,FALSE)-VLOOKUP($A40,Hshldprojections2014!$A$2:$AY$326,37,FALSE))/10,IF(IndividualLATest!$J$7=2016,(VLOOKUP($A40,Hshldprojections2016!$A$1:$AQ$322,37,FALSE)-VLOOKUP($A40,Hshldprojections2016!$A$1:$AQ$322,27,FALSE))/10,(VLOOKUP($A40,Hshldprojections2018!$A$1:$AQ$327,37,FALSE)-VLOOKUP($A40,Hshldprojections2018!$A$1:$AQ$327,27,FALSE))/10))</f>
        <v>358.8</v>
      </c>
      <c r="AI40" s="268">
        <f>VLOOKUP($A40,AffordabilityRatio!$A$2:$I$321,5,FALSE)</f>
        <v>10.34</v>
      </c>
      <c r="AJ40" s="268">
        <f>VLOOKUP($A40,AffordabilityRatio!$A$2:$I$321,6,FALSE)</f>
        <v>10.58</v>
      </c>
      <c r="AK40" s="268">
        <f>VLOOKUP($A40,AffordabilityRatio!$A$2:$I$321,7,FALSE)</f>
        <v>10.119999999999999</v>
      </c>
      <c r="AL40" s="268">
        <f>IF((VLOOKUP($A40,AffordabilityRatio!$A$2:$I$321,8,FALSE))="",AK40,VLOOKUP($A40,AffordabilityRatio!$A$2:$I$321,8,FALSE))</f>
        <v>10.130000000000001</v>
      </c>
      <c r="AM40" s="268">
        <f>IF((VLOOKUP($A40,AffordabilityRatio!$A$2:$I$321,9,FALSE))="",AL40,VLOOKUP($A40,AffordabilityRatio!$A$2:$I$321,9,FALSE))</f>
        <v>11.43</v>
      </c>
      <c r="AN40" s="268">
        <f>IF((VLOOKUP($A40,AffordabilityRatio!$A$2:$I$321,9,FALSE))="",AM40,VLOOKUP($A40,AffordabilityRatio!$A$2:$I$321,9,FALSE))</f>
        <v>11.43</v>
      </c>
      <c r="AO40" s="268">
        <f>IF((VLOOKUP($A40,AffordabilityRatio!$A$2:$I$321,9,FALSE))="",AN40,VLOOKUP($A40,AffordabilityRatio!$A$2:$I$321,9,FALSE))</f>
        <v>11.43</v>
      </c>
      <c r="AP40" s="268">
        <f>IF((VLOOKUP($A40,AffordabilityRatio!$A$2:$I$321,9,FALSE))="",AO40,VLOOKUP($A40,AffordabilityRatio!$A$2:$I$321,9,FALSE))</f>
        <v>11.43</v>
      </c>
      <c r="AQ40" s="267">
        <f t="shared" si="24"/>
        <v>375</v>
      </c>
      <c r="AR40" s="267">
        <f t="shared" si="25"/>
        <v>383</v>
      </c>
      <c r="AS40" s="267">
        <f t="shared" si="26"/>
        <v>380</v>
      </c>
      <c r="AT40" s="267">
        <f t="shared" si="27"/>
        <v>527</v>
      </c>
      <c r="AU40" s="267">
        <f t="shared" si="28"/>
        <v>549</v>
      </c>
      <c r="AV40" s="267">
        <f t="shared" si="29"/>
        <v>540</v>
      </c>
      <c r="AW40" s="267">
        <f t="shared" si="30"/>
        <v>530</v>
      </c>
      <c r="AX40" s="267">
        <f t="shared" si="31"/>
        <v>525</v>
      </c>
      <c r="AY40" s="267">
        <f t="shared" si="32"/>
        <v>375</v>
      </c>
      <c r="AZ40" s="267">
        <f t="shared" si="33"/>
        <v>383</v>
      </c>
      <c r="BA40" s="267">
        <f t="shared" si="34"/>
        <v>380</v>
      </c>
      <c r="BB40" s="267">
        <f t="shared" si="35"/>
        <v>527</v>
      </c>
      <c r="BC40" s="267">
        <f t="shared" si="36"/>
        <v>549</v>
      </c>
      <c r="BD40" s="267">
        <f t="shared" si="37"/>
        <v>540</v>
      </c>
      <c r="BE40" s="267">
        <f t="shared" si="38"/>
        <v>530</v>
      </c>
      <c r="BF40" s="267">
        <f t="shared" si="39"/>
        <v>525</v>
      </c>
      <c r="BG40" s="269">
        <f>AY40*VLOOKUP($B40,'Major Cities &amp; Towns'!$A$28:$B$345,2,FALSE)</f>
        <v>375</v>
      </c>
      <c r="BH40" s="269">
        <f>AZ40*VLOOKUP($B40,'Major Cities &amp; Towns'!$A$28:$B$345,2,FALSE)</f>
        <v>383</v>
      </c>
      <c r="BI40" s="269">
        <f>BA40*VLOOKUP($B40,'Major Cities &amp; Towns'!$A$28:$B$345,2,FALSE)</f>
        <v>380</v>
      </c>
      <c r="BJ40" s="269">
        <f>BB40*VLOOKUP($B40,'Major Cities &amp; Towns'!$A$28:$B$345,2,FALSE)</f>
        <v>527</v>
      </c>
      <c r="BK40" s="269">
        <f>BC40*VLOOKUP($B40,'Major Cities &amp; Towns'!$A$28:$B$345,2,FALSE)</f>
        <v>549</v>
      </c>
      <c r="BL40" s="269">
        <f>BD40*VLOOKUP($B40,'Major Cities &amp; Towns'!$A$28:$B$345,2,FALSE)</f>
        <v>540</v>
      </c>
      <c r="BM40" s="269">
        <f>BE40*VLOOKUP($B40,'Major Cities &amp; Towns'!$A$28:$B$345,2,FALSE)</f>
        <v>530</v>
      </c>
      <c r="BN40" s="269">
        <f>BF40*VLOOKUP($B40,'Major Cities &amp; Towns'!$A$28:$B$345,2,FALSE)</f>
        <v>525</v>
      </c>
      <c r="BO40" s="270">
        <f t="shared" si="40"/>
        <v>375</v>
      </c>
      <c r="BP40" s="270">
        <f t="shared" si="41"/>
        <v>383</v>
      </c>
      <c r="BQ40" s="270">
        <f t="shared" si="42"/>
        <v>380</v>
      </c>
      <c r="BR40" s="270">
        <f t="shared" si="43"/>
        <v>527</v>
      </c>
      <c r="BS40" s="270">
        <f t="shared" si="44"/>
        <v>549</v>
      </c>
      <c r="BT40" s="270">
        <f t="shared" si="45"/>
        <v>540</v>
      </c>
      <c r="BU40" s="270">
        <f t="shared" si="46"/>
        <v>530</v>
      </c>
      <c r="BV40" s="270">
        <f t="shared" si="47"/>
        <v>525</v>
      </c>
      <c r="BW40" s="39">
        <f>VLOOKUP($A40,NetAdditions!$A$2:$H$336,6,FALSE)</f>
        <v>202</v>
      </c>
      <c r="BX40" s="39">
        <f>VLOOKUP($A40,NetAdditions!$A$2:$H$336,7,FALSE)</f>
        <v>264</v>
      </c>
      <c r="BY40" s="39">
        <f>IF((VLOOKUP($C40,NetAdditions!$A$2:$H$336,8,FALSE))="",(AVERAGE(VLOOKUP($C40,NetAdditions!$A$2:$H$336,5,FALSE),VLOOKUP($C40,NetAdditions!$A$2:$H$336,6,FALSE),VLOOKUP($C40,NetAdditions!$A$2:$H$336,7,FALSE))),VLOOKUP($C40,NetAdditions!$A$2:$H$336,8,FALSE))</f>
        <v>151</v>
      </c>
      <c r="BZ40" s="39">
        <f t="shared" si="48"/>
        <v>205.66666666666666</v>
      </c>
      <c r="CA40" s="39">
        <f t="shared" si="49"/>
        <v>206.88888888888889</v>
      </c>
      <c r="CB40" s="39">
        <f t="shared" si="50"/>
        <v>187.85185185185185</v>
      </c>
      <c r="CC40" s="39">
        <f t="shared" si="51"/>
        <v>200.1358024691358</v>
      </c>
      <c r="CD40" s="39">
        <f t="shared" si="52"/>
        <v>198.29218106995884</v>
      </c>
      <c r="CE40" s="276">
        <f t="shared" si="5"/>
        <v>1138</v>
      </c>
      <c r="CF40" s="276">
        <f t="shared" si="6"/>
        <v>1290</v>
      </c>
      <c r="CG40" s="276">
        <f t="shared" si="7"/>
        <v>1456</v>
      </c>
      <c r="CH40" s="276">
        <f t="shared" si="8"/>
        <v>1616</v>
      </c>
      <c r="CI40" s="276">
        <f t="shared" si="9"/>
        <v>1619</v>
      </c>
      <c r="CJ40" s="276">
        <f t="shared" si="10"/>
        <v>1595</v>
      </c>
      <c r="CK40" s="276">
        <f t="shared" si="53"/>
        <v>979.94444444444446</v>
      </c>
      <c r="CL40" s="276">
        <f t="shared" si="54"/>
        <v>1110.8333333333335</v>
      </c>
      <c r="CM40" s="276">
        <f t="shared" si="55"/>
        <v>1334.6666666666665</v>
      </c>
      <c r="CN40" s="276">
        <f t="shared" si="56"/>
        <v>1616</v>
      </c>
      <c r="CO40" s="276">
        <f t="shared" si="57"/>
        <v>1619</v>
      </c>
      <c r="CP40" s="276">
        <f t="shared" si="58"/>
        <v>1595</v>
      </c>
      <c r="CQ40" s="39">
        <f t="shared" si="12"/>
        <v>617</v>
      </c>
      <c r="CR40" s="39">
        <f t="shared" si="13"/>
        <v>620.66666666666663</v>
      </c>
      <c r="CS40" s="277">
        <f t="shared" si="14"/>
        <v>563.55555555555554</v>
      </c>
      <c r="CT40" s="39">
        <f t="shared" si="15"/>
        <v>600.40740740740739</v>
      </c>
      <c r="CU40" s="39">
        <f t="shared" si="16"/>
        <v>594.87654320987656</v>
      </c>
      <c r="CV40" s="39">
        <f t="shared" si="59"/>
        <v>586.27983539094646</v>
      </c>
      <c r="CW40" s="297">
        <f t="shared" si="18"/>
        <v>0.62962752990532345</v>
      </c>
      <c r="CX40" s="279" t="str">
        <f t="shared" si="60"/>
        <v>Buffer and Action Plan</v>
      </c>
      <c r="CY40" s="278">
        <f t="shared" si="19"/>
        <v>0.55873968492123016</v>
      </c>
      <c r="CZ40" s="279" t="str">
        <f t="shared" si="61"/>
        <v>Buffer and Action Plan</v>
      </c>
      <c r="DA40" s="278">
        <f t="shared" si="20"/>
        <v>0.42224442224442227</v>
      </c>
      <c r="DB40" s="292" t="str">
        <f t="shared" si="62"/>
        <v>Presumption</v>
      </c>
      <c r="DC40" s="299">
        <f t="shared" si="63"/>
        <v>0.37153923725705901</v>
      </c>
      <c r="DD40" s="293" t="str">
        <f t="shared" si="64"/>
        <v>Presumption</v>
      </c>
      <c r="DE40" s="299">
        <f t="shared" si="65"/>
        <v>0.36743455417534066</v>
      </c>
      <c r="DF40" s="293" t="str">
        <f t="shared" si="66"/>
        <v>Presumption</v>
      </c>
      <c r="DG40" s="299">
        <f t="shared" si="67"/>
        <v>0.36757356450843037</v>
      </c>
      <c r="DH40" s="293" t="str">
        <f t="shared" si="68"/>
        <v>Presumption</v>
      </c>
    </row>
    <row r="41" spans="1:112" ht="15" thickTop="1" thickBot="1">
      <c r="A41" s="38" t="s">
        <v>191</v>
      </c>
      <c r="B41" s="38" t="s">
        <v>192</v>
      </c>
      <c r="C41" s="38" t="s">
        <v>191</v>
      </c>
      <c r="D41" s="38" t="s">
        <v>128</v>
      </c>
      <c r="E41" s="38" t="str">
        <f>VLOOKUP(C41,PoliticalControl!A:K,11,FALSE)</f>
        <v>CON</v>
      </c>
      <c r="F41" s="38" t="str">
        <f>VLOOKUP(C41,UrbanRuralClassification!A:N,13,FALSE)</f>
        <v>Urban with Major Conurbation</v>
      </c>
      <c r="G41" s="38" t="str">
        <f>VLOOKUP(C41,UrbanRuralClassification!A:N,14,FALSE)</f>
        <v>Predominantly Urban</v>
      </c>
      <c r="H41" s="258">
        <f>IF(ISBLANK((VLOOKUP($A41,'local-plan-data'!$C$1:$AD$566,27,FALSE)))=TRUE,"",VLOOKUP($A41,'local-plan-data'!$C$1:$AD$566,27,FALSE))</f>
        <v>44005</v>
      </c>
      <c r="I41" s="259">
        <f>VLOOKUP($A41,'local-plan-data'!$C$1:$AD$566,28,FALSE)</f>
        <v>454</v>
      </c>
      <c r="J41" s="260">
        <f t="shared" si="21"/>
        <v>454</v>
      </c>
      <c r="K41" s="259">
        <f t="shared" si="22"/>
        <v>454</v>
      </c>
      <c r="L41" s="259">
        <f t="shared" si="22"/>
        <v>454</v>
      </c>
      <c r="M41" s="259">
        <f t="shared" si="22"/>
        <v>454</v>
      </c>
      <c r="N41" s="259">
        <f t="shared" si="22"/>
        <v>454</v>
      </c>
      <c r="O41" s="259">
        <f t="shared" si="22"/>
        <v>454</v>
      </c>
      <c r="P41" s="259">
        <f t="shared" si="22"/>
        <v>454</v>
      </c>
      <c r="Q41" s="259">
        <f t="shared" si="22"/>
        <v>454</v>
      </c>
      <c r="R41" s="259">
        <f t="shared" si="22"/>
        <v>454</v>
      </c>
      <c r="S41" s="259">
        <f t="shared" si="23"/>
        <v>2640</v>
      </c>
      <c r="T41" s="259">
        <f t="shared" si="23"/>
        <v>2275</v>
      </c>
      <c r="U41" s="259">
        <f t="shared" si="23"/>
        <v>1909</v>
      </c>
      <c r="V41" s="259">
        <f t="shared" si="23"/>
        <v>1544</v>
      </c>
      <c r="W41" s="259">
        <f t="shared" si="23"/>
        <v>1179</v>
      </c>
      <c r="X41" s="259">
        <f t="shared" si="23"/>
        <v>814</v>
      </c>
      <c r="Y41" s="259">
        <f t="shared" si="23"/>
        <v>448</v>
      </c>
      <c r="Z41" s="259">
        <f t="shared" si="23"/>
        <v>83</v>
      </c>
      <c r="AA41" s="267">
        <f>(VLOOKUP(A41,Hshldprojections2014!$A$2:$AW$319,40, FALSE)-VLOOKUP(A41,Hshldprojections2014!$A$2:$AW$319,30, FALSE))/10</f>
        <v>403.5</v>
      </c>
      <c r="AB41" s="267">
        <f>(VLOOKUP(A41,Hshldprojections2014!$A$2:$AW$319,41, FALSE)-VLOOKUP(A41,Hshldprojections2014!$A$2:$AW$319,31, FALSE))/10</f>
        <v>403.3</v>
      </c>
      <c r="AC41" s="267">
        <f>(VLOOKUP(A41,Hshldprojections2014!$A$2:$AW$319,42, FALSE)-VLOOKUP(A41,Hshldprojections2014!$A$2:$AW$319,32, FALSE))/10</f>
        <v>404.1</v>
      </c>
      <c r="AD41" s="267">
        <f>IF(IndividualLATest!$J$7=2014,(VLOOKUP($A41,Hshldprojections2014!$A$2:$AY$326,43,FALSE)-VLOOKUP($A41,Hshldprojections2014!$A$2:$AY$326,33,FALSE))/10,IF(IndividualLATest!$J$7=2016,(VLOOKUP($A41,Hshldprojections2016!$A$1:$AQ$322,33,FALSE)-VLOOKUP($A41,Hshldprojections2016!$A$1:$AQ$322,23,FALSE))/10,(VLOOKUP($A41,Hshldprojections2018!$A$1:$AQ$327,33,FALSE)-VLOOKUP($A41,Hshldprojections2018!$A$1:$AQ$327,23,FALSE))/10))</f>
        <v>79.7</v>
      </c>
      <c r="AE41" s="267">
        <f>IF(IndividualLATest!$J$7=2014,(VLOOKUP($A41,Hshldprojections2014!$A$2:$AY$326,44,FALSE)-VLOOKUP($A41,Hshldprojections2014!$A$2:$AY$326,34,FALSE))/10,IF(IndividualLATest!$J$7=2016,(VLOOKUP($A41,Hshldprojections2016!$A$1:$AQ$322,34,FALSE)-VLOOKUP($A41,Hshldprojections2016!$A$1:$AQ$322,24,FALSE))/10,(VLOOKUP($A41,Hshldprojections2018!$A$1:$AQ$327,34,FALSE)-VLOOKUP($A41,Hshldprojections2018!$A$1:$AQ$327,24,FALSE))/10))</f>
        <v>82.1</v>
      </c>
      <c r="AF41" s="267">
        <f>IF(IndividualLATest!$J$7=2014,(VLOOKUP($A41,Hshldprojections2014!$A$2:$AY$326,45,FALSE)-VLOOKUP($A41,Hshldprojections2014!$A$2:$AY$326,35,FALSE))/10,IF(IndividualLATest!$J$7=2016,(VLOOKUP($A41,Hshldprojections2016!$A$1:$AQ$322,35,FALSE)-VLOOKUP($A41,Hshldprojections2016!$A$1:$AQ$322,25,FALSE))/10,(VLOOKUP($A41,Hshldprojections2018!$A$1:$AQ$327,35,FALSE)-VLOOKUP($A41,Hshldprojections2018!$A$1:$AQ$327,25,FALSE))/10))</f>
        <v>85.4</v>
      </c>
      <c r="AG41" s="267">
        <f>IF(IndividualLATest!$J$7=2014,(VLOOKUP($A41,Hshldprojections2014!$A$2:$AY$326,46,FALSE)-VLOOKUP($A41,Hshldprojections2014!$A$2:$AY$326,36,FALSE))/10,IF(IndividualLATest!$J$7=2016,(VLOOKUP($A41,Hshldprojections2016!$A$1:$AQ$322,36,FALSE)-VLOOKUP($A41,Hshldprojections2016!$A$1:$AQ$322,26,FALSE))/10,(VLOOKUP($A41,Hshldprojections2018!$A$1:$AQ$327,36,FALSE)-VLOOKUP($A41,Hshldprojections2018!$A$1:$AQ$327,26,FALSE))/10))</f>
        <v>89.2</v>
      </c>
      <c r="AH41" s="267">
        <f>IF(IndividualLATest!$J$7=2014,(VLOOKUP($A41,Hshldprojections2014!$A$2:$AY$326,47,FALSE)-VLOOKUP($A41,Hshldprojections2014!$A$2:$AY$326,37,FALSE))/10,IF(IndividualLATest!$J$7=2016,(VLOOKUP($A41,Hshldprojections2016!$A$1:$AQ$322,37,FALSE)-VLOOKUP($A41,Hshldprojections2016!$A$1:$AQ$322,27,FALSE))/10,(VLOOKUP($A41,Hshldprojections2018!$A$1:$AQ$327,37,FALSE)-VLOOKUP($A41,Hshldprojections2018!$A$1:$AQ$327,27,FALSE))/10))</f>
        <v>93.1</v>
      </c>
      <c r="AI41" s="268">
        <f>VLOOKUP($A41,AffordabilityRatio!$A$2:$I$321,5,FALSE)</f>
        <v>11.35</v>
      </c>
      <c r="AJ41" s="268">
        <f>VLOOKUP($A41,AffordabilityRatio!$A$2:$I$321,6,FALSE)</f>
        <v>11.17</v>
      </c>
      <c r="AK41" s="268">
        <f>VLOOKUP($A41,AffordabilityRatio!$A$2:$I$321,7,FALSE)</f>
        <v>11.32</v>
      </c>
      <c r="AL41" s="268">
        <f>IF((VLOOKUP($A41,AffordabilityRatio!$A$2:$I$321,8,FALSE))="",AK41,VLOOKUP($A41,AffordabilityRatio!$A$2:$I$321,8,FALSE))</f>
        <v>12.24</v>
      </c>
      <c r="AM41" s="268">
        <f>IF((VLOOKUP($A41,AffordabilityRatio!$A$2:$I$321,9,FALSE))="",AL41,VLOOKUP($A41,AffordabilityRatio!$A$2:$I$321,9,FALSE))</f>
        <v>11.46</v>
      </c>
      <c r="AN41" s="268">
        <f>IF((VLOOKUP($A41,AffordabilityRatio!$A$2:$I$321,9,FALSE))="",AM41,VLOOKUP($A41,AffordabilityRatio!$A$2:$I$321,9,FALSE))</f>
        <v>11.46</v>
      </c>
      <c r="AO41" s="268">
        <f>IF((VLOOKUP($A41,AffordabilityRatio!$A$2:$I$321,9,FALSE))="",AN41,VLOOKUP($A41,AffordabilityRatio!$A$2:$I$321,9,FALSE))</f>
        <v>11.46</v>
      </c>
      <c r="AP41" s="268">
        <f>IF((VLOOKUP($A41,AffordabilityRatio!$A$2:$I$321,9,FALSE))="",AO41,VLOOKUP($A41,AffordabilityRatio!$A$2:$I$321,9,FALSE))</f>
        <v>11.46</v>
      </c>
      <c r="AQ41" s="267">
        <f t="shared" si="24"/>
        <v>589</v>
      </c>
      <c r="AR41" s="267">
        <f t="shared" si="25"/>
        <v>584</v>
      </c>
      <c r="AS41" s="267">
        <f t="shared" si="26"/>
        <v>589</v>
      </c>
      <c r="AT41" s="267">
        <f t="shared" si="27"/>
        <v>121</v>
      </c>
      <c r="AU41" s="267">
        <f t="shared" si="28"/>
        <v>120</v>
      </c>
      <c r="AV41" s="267">
        <f t="shared" si="29"/>
        <v>125</v>
      </c>
      <c r="AW41" s="267">
        <f t="shared" si="30"/>
        <v>131</v>
      </c>
      <c r="AX41" s="267">
        <f t="shared" si="31"/>
        <v>137</v>
      </c>
      <c r="AY41" s="267">
        <f t="shared" si="32"/>
        <v>589</v>
      </c>
      <c r="AZ41" s="267">
        <f t="shared" si="33"/>
        <v>584</v>
      </c>
      <c r="BA41" s="267">
        <f t="shared" si="34"/>
        <v>589</v>
      </c>
      <c r="BB41" s="267">
        <f t="shared" si="35"/>
        <v>121</v>
      </c>
      <c r="BC41" s="267">
        <f t="shared" si="36"/>
        <v>120</v>
      </c>
      <c r="BD41" s="267">
        <f t="shared" si="37"/>
        <v>125</v>
      </c>
      <c r="BE41" s="267">
        <f t="shared" si="38"/>
        <v>131</v>
      </c>
      <c r="BF41" s="267">
        <f t="shared" si="39"/>
        <v>137</v>
      </c>
      <c r="BG41" s="269">
        <f>AY41*VLOOKUP($B41,'Major Cities &amp; Towns'!$A$28:$B$345,2,FALSE)</f>
        <v>589</v>
      </c>
      <c r="BH41" s="269">
        <f>AZ41*VLOOKUP($B41,'Major Cities &amp; Towns'!$A$28:$B$345,2,FALSE)</f>
        <v>584</v>
      </c>
      <c r="BI41" s="269">
        <f>BA41*VLOOKUP($B41,'Major Cities &amp; Towns'!$A$28:$B$345,2,FALSE)</f>
        <v>589</v>
      </c>
      <c r="BJ41" s="269">
        <f>BB41*VLOOKUP($B41,'Major Cities &amp; Towns'!$A$28:$B$345,2,FALSE)</f>
        <v>121</v>
      </c>
      <c r="BK41" s="269">
        <f>BC41*VLOOKUP($B41,'Major Cities &amp; Towns'!$A$28:$B$345,2,FALSE)</f>
        <v>120</v>
      </c>
      <c r="BL41" s="269">
        <f>BD41*VLOOKUP($B41,'Major Cities &amp; Towns'!$A$28:$B$345,2,FALSE)</f>
        <v>125</v>
      </c>
      <c r="BM41" s="269">
        <f>BE41*VLOOKUP($B41,'Major Cities &amp; Towns'!$A$28:$B$345,2,FALSE)</f>
        <v>131</v>
      </c>
      <c r="BN41" s="269">
        <f>BF41*VLOOKUP($B41,'Major Cities &amp; Towns'!$A$28:$B$345,2,FALSE)</f>
        <v>137</v>
      </c>
      <c r="BO41" s="270">
        <f t="shared" si="40"/>
        <v>454</v>
      </c>
      <c r="BP41" s="270">
        <f t="shared" si="41"/>
        <v>454</v>
      </c>
      <c r="BQ41" s="270">
        <f t="shared" si="42"/>
        <v>454</v>
      </c>
      <c r="BR41" s="270">
        <f t="shared" si="43"/>
        <v>121</v>
      </c>
      <c r="BS41" s="270">
        <f t="shared" si="44"/>
        <v>120</v>
      </c>
      <c r="BT41" s="270">
        <f t="shared" si="45"/>
        <v>125</v>
      </c>
      <c r="BU41" s="270">
        <f t="shared" si="46"/>
        <v>131</v>
      </c>
      <c r="BV41" s="270">
        <f t="shared" si="47"/>
        <v>137</v>
      </c>
      <c r="BW41" s="39">
        <f>VLOOKUP($A41,NetAdditions!$A$2:$H$336,6,FALSE)</f>
        <v>459</v>
      </c>
      <c r="BX41" s="39">
        <f>VLOOKUP($A41,NetAdditions!$A$2:$H$336,7,FALSE)</f>
        <v>150</v>
      </c>
      <c r="BY41" s="39">
        <f>IF((VLOOKUP($C41,NetAdditions!$A$2:$H$336,8,FALSE))="",(AVERAGE(VLOOKUP($C41,NetAdditions!$A$2:$H$336,5,FALSE),VLOOKUP($C41,NetAdditions!$A$2:$H$336,6,FALSE),VLOOKUP($C41,NetAdditions!$A$2:$H$336,7,FALSE))),VLOOKUP($C41,NetAdditions!$A$2:$H$336,8,FALSE))</f>
        <v>202</v>
      </c>
      <c r="BZ41" s="39">
        <f t="shared" si="48"/>
        <v>270.33333333333331</v>
      </c>
      <c r="CA41" s="39">
        <f t="shared" si="49"/>
        <v>207.44444444444443</v>
      </c>
      <c r="CB41" s="39">
        <f t="shared" si="50"/>
        <v>226.59259259259258</v>
      </c>
      <c r="CC41" s="39">
        <f t="shared" si="51"/>
        <v>234.7901234567901</v>
      </c>
      <c r="CD41" s="39">
        <f t="shared" si="52"/>
        <v>222.94238683127571</v>
      </c>
      <c r="CE41" s="276">
        <f t="shared" si="5"/>
        <v>1362</v>
      </c>
      <c r="CF41" s="276">
        <f t="shared" si="6"/>
        <v>1029</v>
      </c>
      <c r="CG41" s="276">
        <f t="shared" si="7"/>
        <v>695</v>
      </c>
      <c r="CH41" s="276">
        <f t="shared" si="8"/>
        <v>366</v>
      </c>
      <c r="CI41" s="276">
        <f t="shared" si="9"/>
        <v>376</v>
      </c>
      <c r="CJ41" s="276">
        <f t="shared" si="10"/>
        <v>393</v>
      </c>
      <c r="CK41" s="276">
        <f t="shared" si="53"/>
        <v>1172.8333333333335</v>
      </c>
      <c r="CL41" s="276">
        <f t="shared" si="54"/>
        <v>886.08333333333337</v>
      </c>
      <c r="CM41" s="276">
        <f t="shared" si="55"/>
        <v>637.08333333333326</v>
      </c>
      <c r="CN41" s="276">
        <f t="shared" si="56"/>
        <v>366</v>
      </c>
      <c r="CO41" s="276">
        <f t="shared" si="57"/>
        <v>376</v>
      </c>
      <c r="CP41" s="276">
        <f t="shared" si="58"/>
        <v>393</v>
      </c>
      <c r="CQ41" s="39">
        <f t="shared" si="12"/>
        <v>811</v>
      </c>
      <c r="CR41" s="39">
        <f t="shared" si="13"/>
        <v>622.33333333333326</v>
      </c>
      <c r="CS41" s="277">
        <f t="shared" si="14"/>
        <v>679.77777777777771</v>
      </c>
      <c r="CT41" s="39">
        <f t="shared" si="15"/>
        <v>704.37037037037032</v>
      </c>
      <c r="CU41" s="39">
        <f t="shared" si="16"/>
        <v>668.82716049382714</v>
      </c>
      <c r="CV41" s="39">
        <f t="shared" si="59"/>
        <v>684.32510288065839</v>
      </c>
      <c r="CW41" s="297">
        <f t="shared" si="18"/>
        <v>0.69148784993605217</v>
      </c>
      <c r="CX41" s="279" t="str">
        <f t="shared" si="60"/>
        <v>Buffer and Action Plan</v>
      </c>
      <c r="CY41" s="278">
        <f t="shared" si="19"/>
        <v>0.70234176619956723</v>
      </c>
      <c r="CZ41" s="279" t="str">
        <f t="shared" si="61"/>
        <v>Buffer and Action Plan</v>
      </c>
      <c r="DA41" s="278">
        <f t="shared" si="20"/>
        <v>1.06701547852627</v>
      </c>
      <c r="DB41" s="292" t="str">
        <f t="shared" si="62"/>
        <v>Pass</v>
      </c>
      <c r="DC41" s="299">
        <f t="shared" si="63"/>
        <v>1.924509208662214</v>
      </c>
      <c r="DD41" s="293" t="str">
        <f t="shared" si="64"/>
        <v>Pass</v>
      </c>
      <c r="DE41" s="299">
        <f t="shared" si="65"/>
        <v>1.7787956396112423</v>
      </c>
      <c r="DF41" s="293" t="str">
        <f t="shared" si="66"/>
        <v>Pass</v>
      </c>
      <c r="DG41" s="299">
        <f t="shared" si="67"/>
        <v>1.7412852490601995</v>
      </c>
      <c r="DH41" s="293" t="str">
        <f t="shared" si="68"/>
        <v>Pass</v>
      </c>
    </row>
    <row r="42" spans="1:112" ht="15" thickTop="1" thickBot="1">
      <c r="A42" s="38" t="s">
        <v>193</v>
      </c>
      <c r="B42" s="38" t="s">
        <v>194</v>
      </c>
      <c r="C42" s="38" t="s">
        <v>193</v>
      </c>
      <c r="D42" s="38" t="s">
        <v>119</v>
      </c>
      <c r="E42" s="38" t="str">
        <f>VLOOKUP(C42,PoliticalControl!A:K,11,FALSE)</f>
        <v>NOC</v>
      </c>
      <c r="F42" s="38" t="str">
        <f>VLOOKUP(C42,UrbanRuralClassification!A:N,13,FALSE)</f>
        <v>Urban with Minor Conurbation</v>
      </c>
      <c r="G42" s="38" t="str">
        <f>VLOOKUP(C42,UrbanRuralClassification!A:N,14,FALSE)</f>
        <v>Predominantly Urban</v>
      </c>
      <c r="H42" s="258">
        <f>IF(ISBLANK((VLOOKUP($A42,'local-plan-data'!$C$1:$AD$566,27,FALSE)))=TRUE,"",VLOOKUP($A42,'local-plan-data'!$C$1:$AD$566,27,FALSE))</f>
        <v>41899</v>
      </c>
      <c r="I42" s="259">
        <f>VLOOKUP($A42,'local-plan-data'!$C$1:$AD$566,28,FALSE)</f>
        <v>361.76470588235293</v>
      </c>
      <c r="J42" s="260">
        <f t="shared" si="21"/>
        <v>361.76470588235293</v>
      </c>
      <c r="K42" s="259">
        <f t="shared" si="22"/>
        <v>361.76470588235293</v>
      </c>
      <c r="L42" s="259">
        <f t="shared" si="22"/>
        <v>361.76470588235293</v>
      </c>
      <c r="M42" s="259" t="str">
        <f t="shared" si="22"/>
        <v>-</v>
      </c>
      <c r="N42" s="259" t="str">
        <f t="shared" si="22"/>
        <v>-</v>
      </c>
      <c r="O42" s="259" t="str">
        <f t="shared" si="22"/>
        <v>-</v>
      </c>
      <c r="P42" s="259" t="str">
        <f t="shared" si="22"/>
        <v>-</v>
      </c>
      <c r="Q42" s="259" t="str">
        <f t="shared" si="22"/>
        <v>-</v>
      </c>
      <c r="R42" s="259" t="str">
        <f t="shared" si="22"/>
        <v>-</v>
      </c>
      <c r="S42" s="259">
        <f t="shared" si="23"/>
        <v>534</v>
      </c>
      <c r="T42" s="259">
        <f t="shared" si="23"/>
        <v>169</v>
      </c>
      <c r="U42" s="259">
        <f t="shared" si="23"/>
        <v>-197</v>
      </c>
      <c r="V42" s="259">
        <f t="shared" si="23"/>
        <v>-562</v>
      </c>
      <c r="W42" s="259">
        <f t="shared" si="23"/>
        <v>-927</v>
      </c>
      <c r="X42" s="259">
        <f t="shared" si="23"/>
        <v>-1292</v>
      </c>
      <c r="Y42" s="259">
        <f t="shared" si="23"/>
        <v>-1658</v>
      </c>
      <c r="Z42" s="259">
        <f t="shared" si="23"/>
        <v>-2023</v>
      </c>
      <c r="AA42" s="267">
        <f>(VLOOKUP(A42,Hshldprojections2014!$A$2:$AW$319,40, FALSE)-VLOOKUP(A42,Hshldprojections2014!$A$2:$AW$319,30, FALSE))/10</f>
        <v>320.89999999999998</v>
      </c>
      <c r="AB42" s="267">
        <f>(VLOOKUP(A42,Hshldprojections2014!$A$2:$AW$319,41, FALSE)-VLOOKUP(A42,Hshldprojections2014!$A$2:$AW$319,31, FALSE))/10</f>
        <v>316.7</v>
      </c>
      <c r="AC42" s="267">
        <f>(VLOOKUP(A42,Hshldprojections2014!$A$2:$AW$319,42, FALSE)-VLOOKUP(A42,Hshldprojections2014!$A$2:$AW$319,32, FALSE))/10</f>
        <v>313.5</v>
      </c>
      <c r="AD42" s="267">
        <f>IF(IndividualLATest!$J$7=2014,(VLOOKUP($A42,Hshldprojections2014!$A$2:$AY$326,43,FALSE)-VLOOKUP($A42,Hshldprojections2014!$A$2:$AY$326,33,FALSE))/10,IF(IndividualLATest!$J$7=2016,(VLOOKUP($A42,Hshldprojections2016!$A$1:$AQ$322,33,FALSE)-VLOOKUP($A42,Hshldprojections2016!$A$1:$AQ$322,23,FALSE))/10,(VLOOKUP($A42,Hshldprojections2018!$A$1:$AQ$327,33,FALSE)-VLOOKUP($A42,Hshldprojections2018!$A$1:$AQ$327,23,FALSE))/10))</f>
        <v>322.3</v>
      </c>
      <c r="AE42" s="267">
        <f>IF(IndividualLATest!$J$7=2014,(VLOOKUP($A42,Hshldprojections2014!$A$2:$AY$326,44,FALSE)-VLOOKUP($A42,Hshldprojections2014!$A$2:$AY$326,34,FALSE))/10,IF(IndividualLATest!$J$7=2016,(VLOOKUP($A42,Hshldprojections2016!$A$1:$AQ$322,34,FALSE)-VLOOKUP($A42,Hshldprojections2016!$A$1:$AQ$322,24,FALSE))/10,(VLOOKUP($A42,Hshldprojections2018!$A$1:$AQ$327,34,FALSE)-VLOOKUP($A42,Hshldprojections2018!$A$1:$AQ$327,24,FALSE))/10))</f>
        <v>315.3</v>
      </c>
      <c r="AF42" s="267">
        <f>IF(IndividualLATest!$J$7=2014,(VLOOKUP($A42,Hshldprojections2014!$A$2:$AY$326,45,FALSE)-VLOOKUP($A42,Hshldprojections2014!$A$2:$AY$326,35,FALSE))/10,IF(IndividualLATest!$J$7=2016,(VLOOKUP($A42,Hshldprojections2016!$A$1:$AQ$322,35,FALSE)-VLOOKUP($A42,Hshldprojections2016!$A$1:$AQ$322,25,FALSE))/10,(VLOOKUP($A42,Hshldprojections2018!$A$1:$AQ$327,35,FALSE)-VLOOKUP($A42,Hshldprojections2018!$A$1:$AQ$327,25,FALSE))/10))</f>
        <v>313.10000000000002</v>
      </c>
      <c r="AG42" s="267">
        <f>IF(IndividualLATest!$J$7=2014,(VLOOKUP($A42,Hshldprojections2014!$A$2:$AY$326,46,FALSE)-VLOOKUP($A42,Hshldprojections2014!$A$2:$AY$326,36,FALSE))/10,IF(IndividualLATest!$J$7=2016,(VLOOKUP($A42,Hshldprojections2016!$A$1:$AQ$322,36,FALSE)-VLOOKUP($A42,Hshldprojections2016!$A$1:$AQ$322,26,FALSE))/10,(VLOOKUP($A42,Hshldprojections2018!$A$1:$AQ$327,36,FALSE)-VLOOKUP($A42,Hshldprojections2018!$A$1:$AQ$327,26,FALSE))/10))</f>
        <v>307.89999999999998</v>
      </c>
      <c r="AH42" s="267">
        <f>IF(IndividualLATest!$J$7=2014,(VLOOKUP($A42,Hshldprojections2014!$A$2:$AY$326,47,FALSE)-VLOOKUP($A42,Hshldprojections2014!$A$2:$AY$326,37,FALSE))/10,IF(IndividualLATest!$J$7=2016,(VLOOKUP($A42,Hshldprojections2016!$A$1:$AQ$322,37,FALSE)-VLOOKUP($A42,Hshldprojections2016!$A$1:$AQ$322,27,FALSE))/10,(VLOOKUP($A42,Hshldprojections2018!$A$1:$AQ$327,37,FALSE)-VLOOKUP($A42,Hshldprojections2018!$A$1:$AQ$327,27,FALSE))/10))</f>
        <v>305.3</v>
      </c>
      <c r="AI42" s="268">
        <f>VLOOKUP($A42,AffordabilityRatio!$A$2:$I$321,5,FALSE)</f>
        <v>6.04</v>
      </c>
      <c r="AJ42" s="268">
        <f>VLOOKUP($A42,AffordabilityRatio!$A$2:$I$321,6,FALSE)</f>
        <v>6.81</v>
      </c>
      <c r="AK42" s="268">
        <f>VLOOKUP($A42,AffordabilityRatio!$A$2:$I$321,7,FALSE)</f>
        <v>6.76</v>
      </c>
      <c r="AL42" s="268">
        <f>IF((VLOOKUP($A42,AffordabilityRatio!$A$2:$I$321,8,FALSE))="",AK42,VLOOKUP($A42,AffordabilityRatio!$A$2:$I$321,8,FALSE))</f>
        <v>7.69</v>
      </c>
      <c r="AM42" s="268">
        <f>IF((VLOOKUP($A42,AffordabilityRatio!$A$2:$I$321,9,FALSE))="",AL42,VLOOKUP($A42,AffordabilityRatio!$A$2:$I$321,9,FALSE))</f>
        <v>7.98</v>
      </c>
      <c r="AN42" s="268">
        <f>IF((VLOOKUP($A42,AffordabilityRatio!$A$2:$I$321,9,FALSE))="",AM42,VLOOKUP($A42,AffordabilityRatio!$A$2:$I$321,9,FALSE))</f>
        <v>7.98</v>
      </c>
      <c r="AO42" s="268">
        <f>IF((VLOOKUP($A42,AffordabilityRatio!$A$2:$I$321,9,FALSE))="",AN42,VLOOKUP($A42,AffordabilityRatio!$A$2:$I$321,9,FALSE))</f>
        <v>7.98</v>
      </c>
      <c r="AP42" s="268">
        <f>IF((VLOOKUP($A42,AffordabilityRatio!$A$2:$I$321,9,FALSE))="",AO42,VLOOKUP($A42,AffordabilityRatio!$A$2:$I$321,9,FALSE))</f>
        <v>7.98</v>
      </c>
      <c r="AQ42" s="267">
        <f t="shared" si="24"/>
        <v>362</v>
      </c>
      <c r="AR42" s="267">
        <f t="shared" si="25"/>
        <v>372</v>
      </c>
      <c r="AS42" s="267">
        <f t="shared" si="26"/>
        <v>368</v>
      </c>
      <c r="AT42" s="267">
        <f t="shared" si="27"/>
        <v>397</v>
      </c>
      <c r="AU42" s="267">
        <f t="shared" si="28"/>
        <v>394</v>
      </c>
      <c r="AV42" s="267">
        <f t="shared" si="29"/>
        <v>391</v>
      </c>
      <c r="AW42" s="267">
        <f t="shared" si="30"/>
        <v>384</v>
      </c>
      <c r="AX42" s="267">
        <f t="shared" si="31"/>
        <v>381</v>
      </c>
      <c r="AY42" s="267">
        <f t="shared" si="32"/>
        <v>362</v>
      </c>
      <c r="AZ42" s="267">
        <f t="shared" si="33"/>
        <v>372</v>
      </c>
      <c r="BA42" s="267">
        <f t="shared" si="34"/>
        <v>368</v>
      </c>
      <c r="BB42" s="267">
        <f t="shared" si="35"/>
        <v>397</v>
      </c>
      <c r="BC42" s="267">
        <f t="shared" si="36"/>
        <v>394</v>
      </c>
      <c r="BD42" s="267">
        <f t="shared" si="37"/>
        <v>391</v>
      </c>
      <c r="BE42" s="267">
        <f t="shared" si="38"/>
        <v>384</v>
      </c>
      <c r="BF42" s="267">
        <f t="shared" si="39"/>
        <v>381</v>
      </c>
      <c r="BG42" s="269">
        <f>AY42*VLOOKUP($B42,'Major Cities &amp; Towns'!$A$28:$B$345,2,FALSE)</f>
        <v>362</v>
      </c>
      <c r="BH42" s="269">
        <f>AZ42*VLOOKUP($B42,'Major Cities &amp; Towns'!$A$28:$B$345,2,FALSE)</f>
        <v>372</v>
      </c>
      <c r="BI42" s="269">
        <f>BA42*VLOOKUP($B42,'Major Cities &amp; Towns'!$A$28:$B$345,2,FALSE)</f>
        <v>368</v>
      </c>
      <c r="BJ42" s="269">
        <f>BB42*VLOOKUP($B42,'Major Cities &amp; Towns'!$A$28:$B$345,2,FALSE)</f>
        <v>397</v>
      </c>
      <c r="BK42" s="269">
        <f>BC42*VLOOKUP($B42,'Major Cities &amp; Towns'!$A$28:$B$345,2,FALSE)</f>
        <v>394</v>
      </c>
      <c r="BL42" s="269">
        <f>BD42*VLOOKUP($B42,'Major Cities &amp; Towns'!$A$28:$B$345,2,FALSE)</f>
        <v>391</v>
      </c>
      <c r="BM42" s="269">
        <f>BE42*VLOOKUP($B42,'Major Cities &amp; Towns'!$A$28:$B$345,2,FALSE)</f>
        <v>384</v>
      </c>
      <c r="BN42" s="269">
        <f>BF42*VLOOKUP($B42,'Major Cities &amp; Towns'!$A$28:$B$345,2,FALSE)</f>
        <v>381</v>
      </c>
      <c r="BO42" s="270">
        <f t="shared" si="40"/>
        <v>361.76470588235293</v>
      </c>
      <c r="BP42" s="270">
        <f t="shared" si="41"/>
        <v>367.26091861402097</v>
      </c>
      <c r="BQ42" s="270">
        <f t="shared" si="42"/>
        <v>368</v>
      </c>
      <c r="BR42" s="270">
        <f t="shared" si="43"/>
        <v>397</v>
      </c>
      <c r="BS42" s="270">
        <f t="shared" si="44"/>
        <v>394</v>
      </c>
      <c r="BT42" s="270">
        <f t="shared" si="45"/>
        <v>391</v>
      </c>
      <c r="BU42" s="270">
        <f t="shared" si="46"/>
        <v>384</v>
      </c>
      <c r="BV42" s="270">
        <f t="shared" si="47"/>
        <v>381</v>
      </c>
      <c r="BW42" s="39">
        <f>VLOOKUP($A42,NetAdditions!$A$2:$H$336,6,FALSE)</f>
        <v>215</v>
      </c>
      <c r="BX42" s="39">
        <f>VLOOKUP($A42,NetAdditions!$A$2:$H$336,7,FALSE)</f>
        <v>192</v>
      </c>
      <c r="BY42" s="39">
        <f>IF((VLOOKUP($C42,NetAdditions!$A$2:$H$336,8,FALSE))="",(AVERAGE(VLOOKUP($C42,NetAdditions!$A$2:$H$336,5,FALSE),VLOOKUP($C42,NetAdditions!$A$2:$H$336,6,FALSE),VLOOKUP($C42,NetAdditions!$A$2:$H$336,7,FALSE))),VLOOKUP($C42,NetAdditions!$A$2:$H$336,8,FALSE))</f>
        <v>255</v>
      </c>
      <c r="BZ42" s="39">
        <f t="shared" si="48"/>
        <v>220.66666666666666</v>
      </c>
      <c r="CA42" s="39">
        <f t="shared" si="49"/>
        <v>222.55555555555554</v>
      </c>
      <c r="CB42" s="39">
        <f t="shared" si="50"/>
        <v>232.74074074074073</v>
      </c>
      <c r="CC42" s="39">
        <f t="shared" si="51"/>
        <v>225.32098765432099</v>
      </c>
      <c r="CD42" s="39">
        <f t="shared" si="52"/>
        <v>226.8724279835391</v>
      </c>
      <c r="CE42" s="276">
        <f t="shared" si="5"/>
        <v>1097.0256244963739</v>
      </c>
      <c r="CF42" s="276">
        <f t="shared" si="6"/>
        <v>1132.260918614021</v>
      </c>
      <c r="CG42" s="276">
        <f t="shared" si="7"/>
        <v>1159</v>
      </c>
      <c r="CH42" s="276">
        <f t="shared" si="8"/>
        <v>1182</v>
      </c>
      <c r="CI42" s="276">
        <f t="shared" si="9"/>
        <v>1169</v>
      </c>
      <c r="CJ42" s="276">
        <f t="shared" si="10"/>
        <v>1156</v>
      </c>
      <c r="CK42" s="276">
        <f t="shared" si="53"/>
        <v>944.66095442743313</v>
      </c>
      <c r="CL42" s="276">
        <f t="shared" si="54"/>
        <v>975.00245769540697</v>
      </c>
      <c r="CM42" s="276">
        <f t="shared" si="55"/>
        <v>1062.4166666666665</v>
      </c>
      <c r="CN42" s="276">
        <f t="shared" si="56"/>
        <v>1182</v>
      </c>
      <c r="CO42" s="276">
        <f t="shared" si="57"/>
        <v>1169</v>
      </c>
      <c r="CP42" s="276">
        <f t="shared" si="58"/>
        <v>1156</v>
      </c>
      <c r="CQ42" s="39">
        <f t="shared" si="12"/>
        <v>662</v>
      </c>
      <c r="CR42" s="39">
        <f t="shared" si="13"/>
        <v>667.66666666666663</v>
      </c>
      <c r="CS42" s="277">
        <f t="shared" si="14"/>
        <v>698.22222222222217</v>
      </c>
      <c r="CT42" s="39">
        <f t="shared" si="15"/>
        <v>675.96296296296293</v>
      </c>
      <c r="CU42" s="39">
        <f t="shared" si="16"/>
        <v>680.61728395061732</v>
      </c>
      <c r="CV42" s="39">
        <f t="shared" si="59"/>
        <v>684.93415637860085</v>
      </c>
      <c r="CW42" s="297">
        <f t="shared" si="18"/>
        <v>0.70078052543332192</v>
      </c>
      <c r="CX42" s="279" t="str">
        <f t="shared" si="60"/>
        <v>Buffer and Action Plan</v>
      </c>
      <c r="CY42" s="278">
        <f t="shared" si="19"/>
        <v>0.68478459864072183</v>
      </c>
      <c r="CZ42" s="279" t="str">
        <f t="shared" si="61"/>
        <v>Buffer and Action Plan</v>
      </c>
      <c r="DA42" s="278">
        <f t="shared" si="20"/>
        <v>0.65720187204225178</v>
      </c>
      <c r="DB42" s="292" t="str">
        <f t="shared" si="62"/>
        <v>Presumption</v>
      </c>
      <c r="DC42" s="299">
        <f t="shared" si="63"/>
        <v>0.57188067932568776</v>
      </c>
      <c r="DD42" s="293" t="str">
        <f t="shared" si="64"/>
        <v>Presumption</v>
      </c>
      <c r="DE42" s="299">
        <f t="shared" si="65"/>
        <v>0.5822217997866701</v>
      </c>
      <c r="DF42" s="293" t="str">
        <f t="shared" si="66"/>
        <v>Presumption</v>
      </c>
      <c r="DG42" s="299">
        <f t="shared" si="67"/>
        <v>0.59250359548321874</v>
      </c>
      <c r="DH42" s="293" t="str">
        <f t="shared" si="68"/>
        <v>Presumption</v>
      </c>
    </row>
    <row r="43" spans="1:112" ht="15" thickTop="1" thickBot="1">
      <c r="A43" s="38" t="s">
        <v>195</v>
      </c>
      <c r="B43" s="38" t="s">
        <v>196</v>
      </c>
      <c r="C43" s="38" t="s">
        <v>195</v>
      </c>
      <c r="D43" s="38" t="s">
        <v>113</v>
      </c>
      <c r="E43" s="38" t="str">
        <f>VLOOKUP(C43,PoliticalControl!A:K,11,FALSE)</f>
        <v>CON</v>
      </c>
      <c r="F43" s="38" t="str">
        <f>VLOOKUP(C43,UrbanRuralClassification!A:N,13,FALSE)</f>
        <v>Urban with Significant Rural (rural including hub towns 26-49%)</v>
      </c>
      <c r="G43" s="38" t="str">
        <f>VLOOKUP(C43,UrbanRuralClassification!A:N,14,FALSE)</f>
        <v>Urban with Significant Rural</v>
      </c>
      <c r="H43" s="258" t="e">
        <f>IF(ISBLANK((VLOOKUP($A43,'local-plan-data'!$C$1:$AD$566,27,FALSE)))=TRUE,"",VLOOKUP($A43,'local-plan-data'!$C$1:$AD$566,27,FALSE))</f>
        <v>#N/A</v>
      </c>
      <c r="I43" s="259" t="e">
        <f>VLOOKUP($A43,'local-plan-data'!$C$1:$AD$566,28,FALSE)</f>
        <v>#N/A</v>
      </c>
      <c r="J43" s="260" t="str">
        <f t="shared" si="21"/>
        <v>-</v>
      </c>
      <c r="K43" s="259" t="str">
        <f t="shared" si="22"/>
        <v>-</v>
      </c>
      <c r="L43" s="259" t="str">
        <f t="shared" si="22"/>
        <v>-</v>
      </c>
      <c r="M43" s="259" t="str">
        <f t="shared" si="22"/>
        <v>-</v>
      </c>
      <c r="N43" s="259" t="str">
        <f t="shared" si="22"/>
        <v>-</v>
      </c>
      <c r="O43" s="259" t="str">
        <f t="shared" si="22"/>
        <v>-</v>
      </c>
      <c r="P43" s="259" t="str">
        <f t="shared" si="22"/>
        <v>-</v>
      </c>
      <c r="Q43" s="259" t="str">
        <f t="shared" si="22"/>
        <v>-</v>
      </c>
      <c r="R43" s="259" t="str">
        <f t="shared" si="22"/>
        <v>-</v>
      </c>
      <c r="S43" s="259" t="str">
        <f t="shared" si="23"/>
        <v>-</v>
      </c>
      <c r="T43" s="259" t="str">
        <f t="shared" si="23"/>
        <v>-</v>
      </c>
      <c r="U43" s="259" t="str">
        <f t="shared" si="23"/>
        <v>-</v>
      </c>
      <c r="V43" s="259" t="str">
        <f t="shared" si="23"/>
        <v>-</v>
      </c>
      <c r="W43" s="259" t="str">
        <f t="shared" si="23"/>
        <v>-</v>
      </c>
      <c r="X43" s="259" t="str">
        <f t="shared" si="23"/>
        <v>-</v>
      </c>
      <c r="Y43" s="259" t="str">
        <f t="shared" si="23"/>
        <v>-</v>
      </c>
      <c r="Z43" s="259" t="str">
        <f t="shared" si="23"/>
        <v>-</v>
      </c>
      <c r="AA43" s="267">
        <f>(VLOOKUP(A43,Hshldprojections2014!$A$2:$AW$319,40, FALSE)-VLOOKUP(A43,Hshldprojections2014!$A$2:$AW$319,30, FALSE))/10</f>
        <v>2135.6</v>
      </c>
      <c r="AB43" s="267">
        <f>(VLOOKUP(A43,Hshldprojections2014!$A$2:$AW$319,41, FALSE)-VLOOKUP(A43,Hshldprojections2014!$A$2:$AW$319,31, FALSE))/10</f>
        <v>2112</v>
      </c>
      <c r="AC43" s="267">
        <f>(VLOOKUP(A43,Hshldprojections2014!$A$2:$AW$319,42, FALSE)-VLOOKUP(A43,Hshldprojections2014!$A$2:$AW$319,32, FALSE))/10</f>
        <v>2092.4</v>
      </c>
      <c r="AD43" s="267">
        <f>IF(IndividualLATest!$J$7=2014,(VLOOKUP($A43,Hshldprojections2014!$A$2:$AY$326,43,FALSE)-VLOOKUP($A43,Hshldprojections2014!$A$2:$AY$326,33,FALSE))/10,IF(IndividualLATest!$J$7=2016,(VLOOKUP($A43,Hshldprojections2016!$A$1:$AQ$322,33,FALSE)-VLOOKUP($A43,Hshldprojections2016!$A$1:$AQ$322,23,FALSE))/10,(VLOOKUP($A43,Hshldprojections2018!$A$1:$AQ$327,33,FALSE)-VLOOKUP($A43,Hshldprojections2018!$A$1:$AQ$327,23,FALSE))/10))</f>
        <v>1326.4</v>
      </c>
      <c r="AE43" s="267">
        <f>IF(IndividualLATest!$J$7=2014,(VLOOKUP($A43,Hshldprojections2014!$A$2:$AY$326,44,FALSE)-VLOOKUP($A43,Hshldprojections2014!$A$2:$AY$326,34,FALSE))/10,IF(IndividualLATest!$J$7=2016,(VLOOKUP($A43,Hshldprojections2016!$A$1:$AQ$322,34,FALSE)-VLOOKUP($A43,Hshldprojections2016!$A$1:$AQ$322,24,FALSE))/10,(VLOOKUP($A43,Hshldprojections2018!$A$1:$AQ$327,34,FALSE)-VLOOKUP($A43,Hshldprojections2018!$A$1:$AQ$327,24,FALSE))/10))</f>
        <v>1281</v>
      </c>
      <c r="AF43" s="267">
        <f>IF(IndividualLATest!$J$7=2014,(VLOOKUP($A43,Hshldprojections2014!$A$2:$AY$326,45,FALSE)-VLOOKUP($A43,Hshldprojections2014!$A$2:$AY$326,35,FALSE))/10,IF(IndividualLATest!$J$7=2016,(VLOOKUP($A43,Hshldprojections2016!$A$1:$AQ$322,35,FALSE)-VLOOKUP($A43,Hshldprojections2016!$A$1:$AQ$322,25,FALSE))/10,(VLOOKUP($A43,Hshldprojections2018!$A$1:$AQ$327,35,FALSE)-VLOOKUP($A43,Hshldprojections2018!$A$1:$AQ$327,25,FALSE))/10))</f>
        <v>1238.5</v>
      </c>
      <c r="AG43" s="267">
        <f>IF(IndividualLATest!$J$7=2014,(VLOOKUP($A43,Hshldprojections2014!$A$2:$AY$326,46,FALSE)-VLOOKUP($A43,Hshldprojections2014!$A$2:$AY$326,36,FALSE))/10,IF(IndividualLATest!$J$7=2016,(VLOOKUP($A43,Hshldprojections2016!$A$1:$AQ$322,36,FALSE)-VLOOKUP($A43,Hshldprojections2016!$A$1:$AQ$322,26,FALSE))/10,(VLOOKUP($A43,Hshldprojections2018!$A$1:$AQ$327,36,FALSE)-VLOOKUP($A43,Hshldprojections2018!$A$1:$AQ$327,26,FALSE))/10))</f>
        <v>1198.9000000000001</v>
      </c>
      <c r="AH43" s="267">
        <f>IF(IndividualLATest!$J$7=2014,(VLOOKUP($A43,Hshldprojections2014!$A$2:$AY$326,47,FALSE)-VLOOKUP($A43,Hshldprojections2014!$A$2:$AY$326,37,FALSE))/10,IF(IndividualLATest!$J$7=2016,(VLOOKUP($A43,Hshldprojections2016!$A$1:$AQ$322,37,FALSE)-VLOOKUP($A43,Hshldprojections2016!$A$1:$AQ$322,27,FALSE))/10,(VLOOKUP($A43,Hshldprojections2018!$A$1:$AQ$327,37,FALSE)-VLOOKUP($A43,Hshldprojections2018!$A$1:$AQ$327,27,FALSE))/10))</f>
        <v>1170.3</v>
      </c>
      <c r="AI43" s="268">
        <f>VLOOKUP($A43,AffordabilityRatio!$A$2:$I$321,5,FALSE)</f>
        <v>11.98</v>
      </c>
      <c r="AJ43" s="268">
        <f>VLOOKUP($A43,AffordabilityRatio!$A$2:$I$321,6,FALSE)</f>
        <v>12.37</v>
      </c>
      <c r="AK43" s="268">
        <f>VLOOKUP($A43,AffordabilityRatio!$A$2:$I$321,7,FALSE)</f>
        <v>11.73</v>
      </c>
      <c r="AL43" s="268">
        <f>IF((VLOOKUP($A43,AffordabilityRatio!$A$2:$I$321,8,FALSE))="",AK43,VLOOKUP($A43,AffordabilityRatio!$A$2:$I$321,8,FALSE))</f>
        <v>11.43</v>
      </c>
      <c r="AM43" s="268">
        <f>IF((VLOOKUP($A43,AffordabilityRatio!$A$2:$I$321,9,FALSE))="",AL43,VLOOKUP($A43,AffordabilityRatio!$A$2:$I$321,9,FALSE))</f>
        <v>12.35</v>
      </c>
      <c r="AN43" s="268">
        <f>IF((VLOOKUP($A43,AffordabilityRatio!$A$2:$I$321,9,FALSE))="",AM43,VLOOKUP($A43,AffordabilityRatio!$A$2:$I$321,9,FALSE))</f>
        <v>12.35</v>
      </c>
      <c r="AO43" s="268">
        <f>IF((VLOOKUP($A43,AffordabilityRatio!$A$2:$I$321,9,FALSE))="",AN43,VLOOKUP($A43,AffordabilityRatio!$A$2:$I$321,9,FALSE))</f>
        <v>12.35</v>
      </c>
      <c r="AP43" s="268">
        <f>IF((VLOOKUP($A43,AffordabilityRatio!$A$2:$I$321,9,FALSE))="",AO43,VLOOKUP($A43,AffordabilityRatio!$A$2:$I$321,9,FALSE))</f>
        <v>12.35</v>
      </c>
      <c r="AQ43" s="267">
        <f t="shared" si="24"/>
        <v>3201</v>
      </c>
      <c r="AR43" s="267">
        <f t="shared" si="25"/>
        <v>3217</v>
      </c>
      <c r="AS43" s="267">
        <f t="shared" si="26"/>
        <v>3103</v>
      </c>
      <c r="AT43" s="267">
        <f t="shared" si="27"/>
        <v>1942</v>
      </c>
      <c r="AU43" s="267">
        <f t="shared" si="28"/>
        <v>1950</v>
      </c>
      <c r="AV43" s="267">
        <f t="shared" si="29"/>
        <v>1885</v>
      </c>
      <c r="AW43" s="267">
        <f t="shared" si="30"/>
        <v>1825</v>
      </c>
      <c r="AX43" s="267">
        <f t="shared" si="31"/>
        <v>1781</v>
      </c>
      <c r="AY43" s="267">
        <f t="shared" si="32"/>
        <v>2989.84</v>
      </c>
      <c r="AZ43" s="267">
        <f t="shared" si="33"/>
        <v>2956.8</v>
      </c>
      <c r="BA43" s="267">
        <f t="shared" si="34"/>
        <v>2929.36</v>
      </c>
      <c r="BB43" s="267">
        <f t="shared" si="35"/>
        <v>1856.96</v>
      </c>
      <c r="BC43" s="267">
        <f t="shared" si="36"/>
        <v>1793.4</v>
      </c>
      <c r="BD43" s="267">
        <f t="shared" si="37"/>
        <v>1733.9</v>
      </c>
      <c r="BE43" s="267">
        <f t="shared" si="38"/>
        <v>1678.46</v>
      </c>
      <c r="BF43" s="267">
        <f t="shared" si="39"/>
        <v>1638.42</v>
      </c>
      <c r="BG43" s="269">
        <f>AY43*VLOOKUP($B43,'Major Cities &amp; Towns'!$A$28:$B$345,2,FALSE)</f>
        <v>2989.84</v>
      </c>
      <c r="BH43" s="269">
        <f>AZ43*VLOOKUP($B43,'Major Cities &amp; Towns'!$A$28:$B$345,2,FALSE)</f>
        <v>2956.8</v>
      </c>
      <c r="BI43" s="269">
        <f>BA43*VLOOKUP($B43,'Major Cities &amp; Towns'!$A$28:$B$345,2,FALSE)</f>
        <v>2929.36</v>
      </c>
      <c r="BJ43" s="269">
        <f>BB43*VLOOKUP($B43,'Major Cities &amp; Towns'!$A$28:$B$345,2,FALSE)</f>
        <v>1856.96</v>
      </c>
      <c r="BK43" s="269">
        <f>BC43*VLOOKUP($B43,'Major Cities &amp; Towns'!$A$28:$B$345,2,FALSE)</f>
        <v>1793.4</v>
      </c>
      <c r="BL43" s="269">
        <f>BD43*VLOOKUP($B43,'Major Cities &amp; Towns'!$A$28:$B$345,2,FALSE)</f>
        <v>1733.9</v>
      </c>
      <c r="BM43" s="269">
        <f>BE43*VLOOKUP($B43,'Major Cities &amp; Towns'!$A$28:$B$345,2,FALSE)</f>
        <v>1678.46</v>
      </c>
      <c r="BN43" s="269">
        <f>BF43*VLOOKUP($B43,'Major Cities &amp; Towns'!$A$28:$B$345,2,FALSE)</f>
        <v>1638.42</v>
      </c>
      <c r="BO43" s="270">
        <f t="shared" si="40"/>
        <v>3201</v>
      </c>
      <c r="BP43" s="270">
        <f t="shared" si="41"/>
        <v>3217</v>
      </c>
      <c r="BQ43" s="270">
        <f t="shared" si="42"/>
        <v>3103</v>
      </c>
      <c r="BR43" s="270">
        <f t="shared" si="43"/>
        <v>1942</v>
      </c>
      <c r="BS43" s="270">
        <f t="shared" si="44"/>
        <v>1950</v>
      </c>
      <c r="BT43" s="270">
        <f t="shared" si="45"/>
        <v>1885</v>
      </c>
      <c r="BU43" s="270">
        <f t="shared" si="46"/>
        <v>1825</v>
      </c>
      <c r="BV43" s="270">
        <f t="shared" si="47"/>
        <v>1781</v>
      </c>
      <c r="BW43" s="39" t="str">
        <f>VLOOKUP($A43,NetAdditions!$A$2:$H$336,6,FALSE)</f>
        <v>Not Applicable</v>
      </c>
      <c r="BX43" s="39" t="str">
        <f>VLOOKUP($A43,NetAdditions!$A$2:$H$336,7,FALSE)</f>
        <v>Not Applicable</v>
      </c>
      <c r="BY43" s="39">
        <f>IF((VLOOKUP($C43,NetAdditions!$A$2:$H$336,8,FALSE))="",(AVERAGE(VLOOKUP($C43,NetAdditions!$A$2:$H$336,5,FALSE),VLOOKUP($C43,NetAdditions!$A$2:$H$336,6,FALSE),VLOOKUP($C43,NetAdditions!$A$2:$H$336,7,FALSE))),VLOOKUP($C43,NetAdditions!$A$2:$H$336,8,FALSE))</f>
        <v>1980</v>
      </c>
      <c r="BZ43" s="39">
        <f t="shared" si="48"/>
        <v>1980</v>
      </c>
      <c r="CA43" s="39">
        <f t="shared" si="49"/>
        <v>1980</v>
      </c>
      <c r="CB43" s="39">
        <f t="shared" si="50"/>
        <v>1980</v>
      </c>
      <c r="CC43" s="39">
        <f t="shared" si="51"/>
        <v>1980</v>
      </c>
      <c r="CD43" s="39">
        <f t="shared" si="52"/>
        <v>1980</v>
      </c>
      <c r="CE43" s="276">
        <f t="shared" si="5"/>
        <v>9521</v>
      </c>
      <c r="CF43" s="276">
        <f t="shared" si="6"/>
        <v>8262</v>
      </c>
      <c r="CG43" s="276">
        <f t="shared" si="7"/>
        <v>6995</v>
      </c>
      <c r="CH43" s="276">
        <f t="shared" si="8"/>
        <v>5777</v>
      </c>
      <c r="CI43" s="276">
        <f t="shared" si="9"/>
        <v>5660</v>
      </c>
      <c r="CJ43" s="276">
        <f t="shared" si="10"/>
        <v>5491</v>
      </c>
      <c r="CK43" s="276">
        <f t="shared" si="53"/>
        <v>8198.6388888888887</v>
      </c>
      <c r="CL43" s="276">
        <f t="shared" si="54"/>
        <v>7114.5</v>
      </c>
      <c r="CM43" s="276">
        <f t="shared" si="55"/>
        <v>6412.083333333333</v>
      </c>
      <c r="CN43" s="276">
        <f t="shared" si="56"/>
        <v>5777</v>
      </c>
      <c r="CO43" s="276">
        <f t="shared" si="57"/>
        <v>5660</v>
      </c>
      <c r="CP43" s="276">
        <f t="shared" si="58"/>
        <v>5491</v>
      </c>
      <c r="CQ43" s="39">
        <f t="shared" si="12"/>
        <v>1980</v>
      </c>
      <c r="CR43" s="39">
        <f t="shared" si="13"/>
        <v>3960</v>
      </c>
      <c r="CS43" s="277">
        <f t="shared" si="14"/>
        <v>5940</v>
      </c>
      <c r="CT43" s="39">
        <f t="shared" si="15"/>
        <v>5940</v>
      </c>
      <c r="CU43" s="39">
        <f t="shared" si="16"/>
        <v>5940</v>
      </c>
      <c r="CV43" s="39">
        <f t="shared" si="59"/>
        <v>5940</v>
      </c>
      <c r="CW43" s="297">
        <f t="shared" si="18"/>
        <v>0.2415035015974874</v>
      </c>
      <c r="CX43" s="279" t="str">
        <f t="shared" si="60"/>
        <v>Presumption</v>
      </c>
      <c r="CY43" s="278">
        <f t="shared" si="19"/>
        <v>0.55660974067046176</v>
      </c>
      <c r="CZ43" s="279" t="str">
        <f t="shared" si="61"/>
        <v>Buffer and Action Plan</v>
      </c>
      <c r="DA43" s="278">
        <f t="shared" si="20"/>
        <v>0.9263759828448892</v>
      </c>
      <c r="DB43" s="292" t="str">
        <f t="shared" si="62"/>
        <v>Action Plan</v>
      </c>
      <c r="DC43" s="299">
        <f t="shared" si="63"/>
        <v>1.0282153366799376</v>
      </c>
      <c r="DD43" s="293" t="str">
        <f t="shared" si="64"/>
        <v>Pass</v>
      </c>
      <c r="DE43" s="299">
        <f t="shared" si="65"/>
        <v>1.0494699646643109</v>
      </c>
      <c r="DF43" s="293" t="str">
        <f t="shared" si="66"/>
        <v>Pass</v>
      </c>
      <c r="DG43" s="299">
        <f t="shared" si="67"/>
        <v>1.0817701693680568</v>
      </c>
      <c r="DH43" s="293" t="str">
        <f t="shared" si="68"/>
        <v>Pass</v>
      </c>
    </row>
    <row r="44" spans="1:112" ht="15" thickTop="1" thickBot="1">
      <c r="A44" s="38" t="s">
        <v>197</v>
      </c>
      <c r="B44" s="38" t="s">
        <v>198</v>
      </c>
      <c r="C44" s="38" t="s">
        <v>197</v>
      </c>
      <c r="D44" s="38" t="s">
        <v>116</v>
      </c>
      <c r="E44" s="38" t="str">
        <f>VLOOKUP(C44,PoliticalControl!A:K,11,FALSE)</f>
        <v>NOC</v>
      </c>
      <c r="F44" s="38" t="str">
        <f>VLOOKUP(C44,UrbanRuralClassification!A:N,13,FALSE)</f>
        <v>Urban with City and Town</v>
      </c>
      <c r="G44" s="38" t="str">
        <f>VLOOKUP(C44,UrbanRuralClassification!A:N,14,FALSE)</f>
        <v>Predominantly Urban</v>
      </c>
      <c r="H44" s="258">
        <f>IF(ISBLANK((VLOOKUP($A44,'local-plan-data'!$C$1:$AD$566,27,FALSE)))=TRUE,"",VLOOKUP($A44,'local-plan-data'!$C$1:$AD$566,27,FALSE))</f>
        <v>43312</v>
      </c>
      <c r="I44" s="259">
        <f>VLOOKUP($A44,'local-plan-data'!$C$1:$AD$566,28,FALSE)</f>
        <v>194</v>
      </c>
      <c r="J44" s="260">
        <f t="shared" si="21"/>
        <v>194</v>
      </c>
      <c r="K44" s="259">
        <f t="shared" si="22"/>
        <v>194</v>
      </c>
      <c r="L44" s="259">
        <f t="shared" si="22"/>
        <v>194</v>
      </c>
      <c r="M44" s="259">
        <f t="shared" si="22"/>
        <v>194</v>
      </c>
      <c r="N44" s="259">
        <f t="shared" si="22"/>
        <v>194</v>
      </c>
      <c r="O44" s="259">
        <f t="shared" si="22"/>
        <v>194</v>
      </c>
      <c r="P44" s="259">
        <f t="shared" si="22"/>
        <v>194</v>
      </c>
      <c r="Q44" s="259" t="str">
        <f t="shared" si="22"/>
        <v>-</v>
      </c>
      <c r="R44" s="259" t="str">
        <f t="shared" si="22"/>
        <v>-</v>
      </c>
      <c r="S44" s="259">
        <f t="shared" si="23"/>
        <v>1947</v>
      </c>
      <c r="T44" s="259">
        <f t="shared" si="23"/>
        <v>1582</v>
      </c>
      <c r="U44" s="259">
        <f t="shared" si="23"/>
        <v>1216</v>
      </c>
      <c r="V44" s="259">
        <f t="shared" si="23"/>
        <v>851</v>
      </c>
      <c r="W44" s="259">
        <f t="shared" si="23"/>
        <v>486</v>
      </c>
      <c r="X44" s="259">
        <f t="shared" si="23"/>
        <v>121</v>
      </c>
      <c r="Y44" s="259">
        <f t="shared" si="23"/>
        <v>-245</v>
      </c>
      <c r="Z44" s="259">
        <f t="shared" si="23"/>
        <v>-610</v>
      </c>
      <c r="AA44" s="267">
        <f>(VLOOKUP(A44,Hshldprojections2014!$A$2:$AW$319,40, FALSE)-VLOOKUP(A44,Hshldprojections2014!$A$2:$AW$319,30, FALSE))/10</f>
        <v>65.7</v>
      </c>
      <c r="AB44" s="267">
        <f>(VLOOKUP(A44,Hshldprojections2014!$A$2:$AW$319,41, FALSE)-VLOOKUP(A44,Hshldprojections2014!$A$2:$AW$319,31, FALSE))/10</f>
        <v>63</v>
      </c>
      <c r="AC44" s="267">
        <f>(VLOOKUP(A44,Hshldprojections2014!$A$2:$AW$319,42, FALSE)-VLOOKUP(A44,Hshldprojections2014!$A$2:$AW$319,32, FALSE))/10</f>
        <v>61.8</v>
      </c>
      <c r="AD44" s="267">
        <f>IF(IndividualLATest!$J$7=2014,(VLOOKUP($A44,Hshldprojections2014!$A$2:$AY$326,43,FALSE)-VLOOKUP($A44,Hshldprojections2014!$A$2:$AY$326,33,FALSE))/10,IF(IndividualLATest!$J$7=2016,(VLOOKUP($A44,Hshldprojections2016!$A$1:$AQ$322,33,FALSE)-VLOOKUP($A44,Hshldprojections2016!$A$1:$AQ$322,23,FALSE))/10,(VLOOKUP($A44,Hshldprojections2018!$A$1:$AQ$327,33,FALSE)-VLOOKUP($A44,Hshldprojections2018!$A$1:$AQ$327,23,FALSE))/10))</f>
        <v>161.9</v>
      </c>
      <c r="AE44" s="267">
        <f>IF(IndividualLATest!$J$7=2014,(VLOOKUP($A44,Hshldprojections2014!$A$2:$AY$326,44,FALSE)-VLOOKUP($A44,Hshldprojections2014!$A$2:$AY$326,34,FALSE))/10,IF(IndividualLATest!$J$7=2016,(VLOOKUP($A44,Hshldprojections2016!$A$1:$AQ$322,34,FALSE)-VLOOKUP($A44,Hshldprojections2016!$A$1:$AQ$322,24,FALSE))/10,(VLOOKUP($A44,Hshldprojections2018!$A$1:$AQ$327,34,FALSE)-VLOOKUP($A44,Hshldprojections2018!$A$1:$AQ$327,24,FALSE))/10))</f>
        <v>157.5</v>
      </c>
      <c r="AF44" s="267">
        <f>IF(IndividualLATest!$J$7=2014,(VLOOKUP($A44,Hshldprojections2014!$A$2:$AY$326,45,FALSE)-VLOOKUP($A44,Hshldprojections2014!$A$2:$AY$326,35,FALSE))/10,IF(IndividualLATest!$J$7=2016,(VLOOKUP($A44,Hshldprojections2016!$A$1:$AQ$322,35,FALSE)-VLOOKUP($A44,Hshldprojections2016!$A$1:$AQ$322,25,FALSE))/10,(VLOOKUP($A44,Hshldprojections2018!$A$1:$AQ$327,35,FALSE)-VLOOKUP($A44,Hshldprojections2018!$A$1:$AQ$327,25,FALSE))/10))</f>
        <v>154.5</v>
      </c>
      <c r="AG44" s="267">
        <f>IF(IndividualLATest!$J$7=2014,(VLOOKUP($A44,Hshldprojections2014!$A$2:$AY$326,46,FALSE)-VLOOKUP($A44,Hshldprojections2014!$A$2:$AY$326,36,FALSE))/10,IF(IndividualLATest!$J$7=2016,(VLOOKUP($A44,Hshldprojections2016!$A$1:$AQ$322,36,FALSE)-VLOOKUP($A44,Hshldprojections2016!$A$1:$AQ$322,26,FALSE))/10,(VLOOKUP($A44,Hshldprojections2018!$A$1:$AQ$327,36,FALSE)-VLOOKUP($A44,Hshldprojections2018!$A$1:$AQ$327,26,FALSE))/10))</f>
        <v>151.69999999999999</v>
      </c>
      <c r="AH44" s="267">
        <f>IF(IndividualLATest!$J$7=2014,(VLOOKUP($A44,Hshldprojections2014!$A$2:$AY$326,47,FALSE)-VLOOKUP($A44,Hshldprojections2014!$A$2:$AY$326,37,FALSE))/10,IF(IndividualLATest!$J$7=2016,(VLOOKUP($A44,Hshldprojections2016!$A$1:$AQ$322,37,FALSE)-VLOOKUP($A44,Hshldprojections2016!$A$1:$AQ$322,27,FALSE))/10,(VLOOKUP($A44,Hshldprojections2018!$A$1:$AQ$327,37,FALSE)-VLOOKUP($A44,Hshldprojections2018!$A$1:$AQ$327,27,FALSE))/10))</f>
        <v>149.4</v>
      </c>
      <c r="AI44" s="268">
        <f>VLOOKUP($A44,AffordabilityRatio!$A$2:$I$321,5,FALSE)</f>
        <v>3.87</v>
      </c>
      <c r="AJ44" s="268">
        <f>VLOOKUP($A44,AffordabilityRatio!$A$2:$I$321,6,FALSE)</f>
        <v>4</v>
      </c>
      <c r="AK44" s="268">
        <f>VLOOKUP($A44,AffordabilityRatio!$A$2:$I$321,7,FALSE)</f>
        <v>3.92</v>
      </c>
      <c r="AL44" s="268">
        <f>IF((VLOOKUP($A44,AffordabilityRatio!$A$2:$I$321,8,FALSE))="",AK44,VLOOKUP($A44,AffordabilityRatio!$A$2:$I$321,8,FALSE))</f>
        <v>4.24</v>
      </c>
      <c r="AM44" s="268">
        <f>IF((VLOOKUP($A44,AffordabilityRatio!$A$2:$I$321,9,FALSE))="",AL44,VLOOKUP($A44,AffordabilityRatio!$A$2:$I$321,9,FALSE))</f>
        <v>4.6900000000000004</v>
      </c>
      <c r="AN44" s="268">
        <f>IF((VLOOKUP($A44,AffordabilityRatio!$A$2:$I$321,9,FALSE))="",AM44,VLOOKUP($A44,AffordabilityRatio!$A$2:$I$321,9,FALSE))</f>
        <v>4.6900000000000004</v>
      </c>
      <c r="AO44" s="268">
        <f>IF((VLOOKUP($A44,AffordabilityRatio!$A$2:$I$321,9,FALSE))="",AN44,VLOOKUP($A44,AffordabilityRatio!$A$2:$I$321,9,FALSE))</f>
        <v>4.6900000000000004</v>
      </c>
      <c r="AP44" s="268">
        <f>IF((VLOOKUP($A44,AffordabilityRatio!$A$2:$I$321,9,FALSE))="",AO44,VLOOKUP($A44,AffordabilityRatio!$A$2:$I$321,9,FALSE))</f>
        <v>4.6900000000000004</v>
      </c>
      <c r="AQ44" s="267">
        <f t="shared" si="24"/>
        <v>65.7</v>
      </c>
      <c r="AR44" s="267">
        <f t="shared" si="25"/>
        <v>63</v>
      </c>
      <c r="AS44" s="267">
        <f t="shared" si="26"/>
        <v>61.8</v>
      </c>
      <c r="AT44" s="267">
        <f t="shared" si="27"/>
        <v>164</v>
      </c>
      <c r="AU44" s="267">
        <f t="shared" si="28"/>
        <v>164</v>
      </c>
      <c r="AV44" s="267">
        <f t="shared" si="29"/>
        <v>161</v>
      </c>
      <c r="AW44" s="267">
        <f t="shared" si="30"/>
        <v>158</v>
      </c>
      <c r="AX44" s="267">
        <f t="shared" si="31"/>
        <v>156</v>
      </c>
      <c r="AY44" s="267">
        <f t="shared" si="32"/>
        <v>65.7</v>
      </c>
      <c r="AZ44" s="267">
        <f t="shared" si="33"/>
        <v>63</v>
      </c>
      <c r="BA44" s="267">
        <f t="shared" si="34"/>
        <v>61.8</v>
      </c>
      <c r="BB44" s="267">
        <f t="shared" si="35"/>
        <v>164</v>
      </c>
      <c r="BC44" s="267">
        <f t="shared" si="36"/>
        <v>164</v>
      </c>
      <c r="BD44" s="267">
        <f t="shared" si="37"/>
        <v>161</v>
      </c>
      <c r="BE44" s="267">
        <f t="shared" si="38"/>
        <v>158</v>
      </c>
      <c r="BF44" s="267">
        <f t="shared" si="39"/>
        <v>156</v>
      </c>
      <c r="BG44" s="269">
        <f>AY44*VLOOKUP($B44,'Major Cities &amp; Towns'!$A$28:$B$345,2,FALSE)</f>
        <v>65.7</v>
      </c>
      <c r="BH44" s="269">
        <f>AZ44*VLOOKUP($B44,'Major Cities &amp; Towns'!$A$28:$B$345,2,FALSE)</f>
        <v>63</v>
      </c>
      <c r="BI44" s="269">
        <f>BA44*VLOOKUP($B44,'Major Cities &amp; Towns'!$A$28:$B$345,2,FALSE)</f>
        <v>61.8</v>
      </c>
      <c r="BJ44" s="269">
        <f>BB44*VLOOKUP($B44,'Major Cities &amp; Towns'!$A$28:$B$345,2,FALSE)</f>
        <v>164</v>
      </c>
      <c r="BK44" s="269">
        <f>BC44*VLOOKUP($B44,'Major Cities &amp; Towns'!$A$28:$B$345,2,FALSE)</f>
        <v>164</v>
      </c>
      <c r="BL44" s="269">
        <f>BD44*VLOOKUP($B44,'Major Cities &amp; Towns'!$A$28:$B$345,2,FALSE)</f>
        <v>161</v>
      </c>
      <c r="BM44" s="269">
        <f>BE44*VLOOKUP($B44,'Major Cities &amp; Towns'!$A$28:$B$345,2,FALSE)</f>
        <v>158</v>
      </c>
      <c r="BN44" s="269">
        <f>BF44*VLOOKUP($B44,'Major Cities &amp; Towns'!$A$28:$B$345,2,FALSE)</f>
        <v>156</v>
      </c>
      <c r="BO44" s="270">
        <f t="shared" si="40"/>
        <v>65.7</v>
      </c>
      <c r="BP44" s="270">
        <f t="shared" si="41"/>
        <v>63</v>
      </c>
      <c r="BQ44" s="270">
        <f t="shared" si="42"/>
        <v>61.8</v>
      </c>
      <c r="BR44" s="270">
        <f t="shared" si="43"/>
        <v>164</v>
      </c>
      <c r="BS44" s="270">
        <f t="shared" si="44"/>
        <v>164</v>
      </c>
      <c r="BT44" s="270">
        <f t="shared" si="45"/>
        <v>161</v>
      </c>
      <c r="BU44" s="270">
        <f t="shared" si="46"/>
        <v>158</v>
      </c>
      <c r="BV44" s="270">
        <f t="shared" si="47"/>
        <v>156</v>
      </c>
      <c r="BW44" s="39">
        <f>VLOOKUP($A44,NetAdditions!$A$2:$H$336,6,FALSE)</f>
        <v>251</v>
      </c>
      <c r="BX44" s="39">
        <f>VLOOKUP($A44,NetAdditions!$A$2:$H$336,7,FALSE)</f>
        <v>165</v>
      </c>
      <c r="BY44" s="39">
        <f>IF((VLOOKUP($C44,NetAdditions!$A$2:$H$336,8,FALSE))="",(AVERAGE(VLOOKUP($C44,NetAdditions!$A$2:$H$336,5,FALSE),VLOOKUP($C44,NetAdditions!$A$2:$H$336,6,FALSE),VLOOKUP($C44,NetAdditions!$A$2:$H$336,7,FALSE))),VLOOKUP($C44,NetAdditions!$A$2:$H$336,8,FALSE))</f>
        <v>234</v>
      </c>
      <c r="BZ44" s="39">
        <f t="shared" si="48"/>
        <v>216.66666666666666</v>
      </c>
      <c r="CA44" s="39">
        <f t="shared" si="49"/>
        <v>205.2222222222222</v>
      </c>
      <c r="CB44" s="39">
        <f t="shared" si="50"/>
        <v>218.62962962962959</v>
      </c>
      <c r="CC44" s="39">
        <f t="shared" si="51"/>
        <v>213.50617283950615</v>
      </c>
      <c r="CD44" s="39">
        <f t="shared" si="52"/>
        <v>212.45267489711932</v>
      </c>
      <c r="CE44" s="276">
        <f t="shared" si="5"/>
        <v>190.5</v>
      </c>
      <c r="CF44" s="276">
        <f t="shared" si="6"/>
        <v>288.8</v>
      </c>
      <c r="CG44" s="276">
        <f t="shared" si="7"/>
        <v>389.8</v>
      </c>
      <c r="CH44" s="276">
        <f t="shared" si="8"/>
        <v>489</v>
      </c>
      <c r="CI44" s="276">
        <f t="shared" si="9"/>
        <v>483</v>
      </c>
      <c r="CJ44" s="276">
        <f t="shared" si="10"/>
        <v>475</v>
      </c>
      <c r="CK44" s="276">
        <f t="shared" si="53"/>
        <v>164.04166666666669</v>
      </c>
      <c r="CL44" s="276">
        <f t="shared" si="54"/>
        <v>248.68888888888893</v>
      </c>
      <c r="CM44" s="276">
        <f t="shared" si="55"/>
        <v>357.31666666666666</v>
      </c>
      <c r="CN44" s="276">
        <f t="shared" si="56"/>
        <v>489</v>
      </c>
      <c r="CO44" s="276">
        <f t="shared" si="57"/>
        <v>483</v>
      </c>
      <c r="CP44" s="276">
        <f t="shared" si="58"/>
        <v>475</v>
      </c>
      <c r="CQ44" s="39">
        <f t="shared" si="12"/>
        <v>650</v>
      </c>
      <c r="CR44" s="39">
        <f t="shared" si="13"/>
        <v>615.66666666666663</v>
      </c>
      <c r="CS44" s="277">
        <f t="shared" si="14"/>
        <v>655.8888888888888</v>
      </c>
      <c r="CT44" s="39">
        <f t="shared" si="15"/>
        <v>640.51851851851848</v>
      </c>
      <c r="CU44" s="39">
        <f t="shared" si="16"/>
        <v>637.35802469135797</v>
      </c>
      <c r="CV44" s="39">
        <f t="shared" si="59"/>
        <v>644.58847736625512</v>
      </c>
      <c r="CW44" s="297">
        <f t="shared" si="18"/>
        <v>3.962407924815849</v>
      </c>
      <c r="CX44" s="279" t="str">
        <f t="shared" si="60"/>
        <v>Pass</v>
      </c>
      <c r="CY44" s="278">
        <f t="shared" si="19"/>
        <v>2.4756500759538911</v>
      </c>
      <c r="CZ44" s="279" t="str">
        <f t="shared" si="61"/>
        <v>Pass</v>
      </c>
      <c r="DA44" s="278">
        <f t="shared" si="20"/>
        <v>1.8355955657135747</v>
      </c>
      <c r="DB44" s="292" t="str">
        <f t="shared" si="62"/>
        <v>Pass</v>
      </c>
      <c r="DC44" s="299">
        <f t="shared" si="63"/>
        <v>1.3098538211012647</v>
      </c>
      <c r="DD44" s="293" t="str">
        <f t="shared" si="64"/>
        <v>Pass</v>
      </c>
      <c r="DE44" s="299">
        <f t="shared" si="65"/>
        <v>1.3195818316591261</v>
      </c>
      <c r="DF44" s="293" t="str">
        <f t="shared" si="66"/>
        <v>Pass</v>
      </c>
      <c r="DG44" s="299">
        <f t="shared" si="67"/>
        <v>1.3570283734026423</v>
      </c>
      <c r="DH44" s="293" t="str">
        <f t="shared" si="68"/>
        <v>Pass</v>
      </c>
    </row>
    <row r="45" spans="1:112" ht="15" thickTop="1" thickBot="1">
      <c r="A45" s="38" t="s">
        <v>199</v>
      </c>
      <c r="B45" s="38" t="s">
        <v>200</v>
      </c>
      <c r="C45" s="38" t="s">
        <v>199</v>
      </c>
      <c r="D45" s="38" t="s">
        <v>116</v>
      </c>
      <c r="E45" s="38" t="str">
        <f>VLOOKUP(C45,PoliticalControl!A:K,11,FALSE)</f>
        <v>LAB</v>
      </c>
      <c r="F45" s="38" t="str">
        <f>VLOOKUP(C45,UrbanRuralClassification!A:N,13,FALSE)</f>
        <v>Urban with Major Conurbation</v>
      </c>
      <c r="G45" s="38" t="str">
        <f>VLOOKUP(C45,UrbanRuralClassification!A:N,14,FALSE)</f>
        <v>Predominantly Urban</v>
      </c>
      <c r="H45" s="258" t="str">
        <f>IF(ISBLANK((VLOOKUP($A45,'local-plan-data'!$C$1:$AD$566,27,FALSE)))=TRUE,"",VLOOKUP($A45,'local-plan-data'!$C$1:$AD$566,27,FALSE))</f>
        <v/>
      </c>
      <c r="I45" s="259">
        <f>VLOOKUP($A45,'local-plan-data'!$C$1:$AD$566,28,FALSE)</f>
        <v>451.75</v>
      </c>
      <c r="J45" s="260">
        <f t="shared" si="21"/>
        <v>451.75</v>
      </c>
      <c r="K45" s="259" t="str">
        <f t="shared" si="22"/>
        <v>-</v>
      </c>
      <c r="L45" s="259" t="str">
        <f t="shared" si="22"/>
        <v>-</v>
      </c>
      <c r="M45" s="259" t="str">
        <f t="shared" si="22"/>
        <v>-</v>
      </c>
      <c r="N45" s="259" t="str">
        <f t="shared" si="22"/>
        <v>-</v>
      </c>
      <c r="O45" s="259" t="str">
        <f t="shared" si="22"/>
        <v>-</v>
      </c>
      <c r="P45" s="259" t="str">
        <f t="shared" si="22"/>
        <v>-</v>
      </c>
      <c r="Q45" s="259" t="str">
        <f t="shared" si="22"/>
        <v>-</v>
      </c>
      <c r="R45" s="259" t="str">
        <f t="shared" si="22"/>
        <v>-</v>
      </c>
      <c r="S45" s="259" t="str">
        <f t="shared" si="23"/>
        <v>-</v>
      </c>
      <c r="T45" s="259" t="str">
        <f t="shared" si="23"/>
        <v>-</v>
      </c>
      <c r="U45" s="259" t="str">
        <f t="shared" si="23"/>
        <v>-</v>
      </c>
      <c r="V45" s="259" t="str">
        <f t="shared" si="23"/>
        <v>-</v>
      </c>
      <c r="W45" s="259" t="str">
        <f t="shared" si="23"/>
        <v>-</v>
      </c>
      <c r="X45" s="259" t="str">
        <f t="shared" si="23"/>
        <v>-</v>
      </c>
      <c r="Y45" s="259" t="str">
        <f t="shared" si="23"/>
        <v>-</v>
      </c>
      <c r="Z45" s="259" t="str">
        <f t="shared" si="23"/>
        <v>-</v>
      </c>
      <c r="AA45" s="267">
        <f>(VLOOKUP(A45,Hshldprojections2014!$A$2:$AW$319,40, FALSE)-VLOOKUP(A45,Hshldprojections2014!$A$2:$AW$319,30, FALSE))/10</f>
        <v>525.6</v>
      </c>
      <c r="AB45" s="267">
        <f>(VLOOKUP(A45,Hshldprojections2014!$A$2:$AW$319,41, FALSE)-VLOOKUP(A45,Hshldprojections2014!$A$2:$AW$319,31, FALSE))/10</f>
        <v>517.5</v>
      </c>
      <c r="AC45" s="267">
        <f>(VLOOKUP(A45,Hshldprojections2014!$A$2:$AW$319,42, FALSE)-VLOOKUP(A45,Hshldprojections2014!$A$2:$AW$319,32, FALSE))/10</f>
        <v>510.6</v>
      </c>
      <c r="AD45" s="267">
        <f>IF(IndividualLATest!$J$7=2014,(VLOOKUP($A45,Hshldprojections2014!$A$2:$AY$326,43,FALSE)-VLOOKUP($A45,Hshldprojections2014!$A$2:$AY$326,33,FALSE))/10,IF(IndividualLATest!$J$7=2016,(VLOOKUP($A45,Hshldprojections2016!$A$1:$AQ$322,33,FALSE)-VLOOKUP($A45,Hshldprojections2016!$A$1:$AQ$322,23,FALSE))/10,(VLOOKUP($A45,Hshldprojections2018!$A$1:$AQ$327,33,FALSE)-VLOOKUP($A45,Hshldprojections2018!$A$1:$AQ$327,23,FALSE))/10))</f>
        <v>395.2</v>
      </c>
      <c r="AE45" s="267">
        <f>IF(IndividualLATest!$J$7=2014,(VLOOKUP($A45,Hshldprojections2014!$A$2:$AY$326,44,FALSE)-VLOOKUP($A45,Hshldprojections2014!$A$2:$AY$326,34,FALSE))/10,IF(IndividualLATest!$J$7=2016,(VLOOKUP($A45,Hshldprojections2016!$A$1:$AQ$322,34,FALSE)-VLOOKUP($A45,Hshldprojections2016!$A$1:$AQ$322,24,FALSE))/10,(VLOOKUP($A45,Hshldprojections2018!$A$1:$AQ$327,34,FALSE)-VLOOKUP($A45,Hshldprojections2018!$A$1:$AQ$327,24,FALSE))/10))</f>
        <v>388.4</v>
      </c>
      <c r="AF45" s="267">
        <f>IF(IndividualLATest!$J$7=2014,(VLOOKUP($A45,Hshldprojections2014!$A$2:$AY$326,45,FALSE)-VLOOKUP($A45,Hshldprojections2014!$A$2:$AY$326,35,FALSE))/10,IF(IndividualLATest!$J$7=2016,(VLOOKUP($A45,Hshldprojections2016!$A$1:$AQ$322,35,FALSE)-VLOOKUP($A45,Hshldprojections2016!$A$1:$AQ$322,25,FALSE))/10,(VLOOKUP($A45,Hshldprojections2018!$A$1:$AQ$327,35,FALSE)-VLOOKUP($A45,Hshldprojections2018!$A$1:$AQ$327,25,FALSE))/10))</f>
        <v>386.2</v>
      </c>
      <c r="AG45" s="267">
        <f>IF(IndividualLATest!$J$7=2014,(VLOOKUP($A45,Hshldprojections2014!$A$2:$AY$326,46,FALSE)-VLOOKUP($A45,Hshldprojections2014!$A$2:$AY$326,36,FALSE))/10,IF(IndividualLATest!$J$7=2016,(VLOOKUP($A45,Hshldprojections2016!$A$1:$AQ$322,36,FALSE)-VLOOKUP($A45,Hshldprojections2016!$A$1:$AQ$322,26,FALSE))/10,(VLOOKUP($A45,Hshldprojections2018!$A$1:$AQ$327,36,FALSE)-VLOOKUP($A45,Hshldprojections2018!$A$1:$AQ$327,26,FALSE))/10))</f>
        <v>384.6</v>
      </c>
      <c r="AH45" s="267">
        <f>IF(IndividualLATest!$J$7=2014,(VLOOKUP($A45,Hshldprojections2014!$A$2:$AY$326,47,FALSE)-VLOOKUP($A45,Hshldprojections2014!$A$2:$AY$326,37,FALSE))/10,IF(IndividualLATest!$J$7=2016,(VLOOKUP($A45,Hshldprojections2016!$A$1:$AQ$322,37,FALSE)-VLOOKUP($A45,Hshldprojections2016!$A$1:$AQ$322,27,FALSE))/10,(VLOOKUP($A45,Hshldprojections2018!$A$1:$AQ$327,37,FALSE)-VLOOKUP($A45,Hshldprojections2018!$A$1:$AQ$327,27,FALSE))/10))</f>
        <v>388.4</v>
      </c>
      <c r="AI45" s="268">
        <f>VLOOKUP($A45,AffordabilityRatio!$A$2:$I$321,5,FALSE)</f>
        <v>6.57</v>
      </c>
      <c r="AJ45" s="268">
        <f>VLOOKUP($A45,AffordabilityRatio!$A$2:$I$321,6,FALSE)</f>
        <v>6.22</v>
      </c>
      <c r="AK45" s="268">
        <f>VLOOKUP($A45,AffordabilityRatio!$A$2:$I$321,7,FALSE)</f>
        <v>6.83</v>
      </c>
      <c r="AL45" s="268">
        <f>IF((VLOOKUP($A45,AffordabilityRatio!$A$2:$I$321,8,FALSE))="",AK45,VLOOKUP($A45,AffordabilityRatio!$A$2:$I$321,8,FALSE))</f>
        <v>6.76</v>
      </c>
      <c r="AM45" s="268">
        <f>IF((VLOOKUP($A45,AffordabilityRatio!$A$2:$I$321,9,FALSE))="",AL45,VLOOKUP($A45,AffordabilityRatio!$A$2:$I$321,9,FALSE))</f>
        <v>7.5</v>
      </c>
      <c r="AN45" s="268">
        <f>IF((VLOOKUP($A45,AffordabilityRatio!$A$2:$I$321,9,FALSE))="",AM45,VLOOKUP($A45,AffordabilityRatio!$A$2:$I$321,9,FALSE))</f>
        <v>7.5</v>
      </c>
      <c r="AO45" s="268">
        <f>IF((VLOOKUP($A45,AffordabilityRatio!$A$2:$I$321,9,FALSE))="",AN45,VLOOKUP($A45,AffordabilityRatio!$A$2:$I$321,9,FALSE))</f>
        <v>7.5</v>
      </c>
      <c r="AP45" s="268">
        <f>IF((VLOOKUP($A45,AffordabilityRatio!$A$2:$I$321,9,FALSE))="",AO45,VLOOKUP($A45,AffordabilityRatio!$A$2:$I$321,9,FALSE))</f>
        <v>7.5</v>
      </c>
      <c r="AQ45" s="267">
        <f t="shared" si="24"/>
        <v>610</v>
      </c>
      <c r="AR45" s="267">
        <f t="shared" si="25"/>
        <v>589</v>
      </c>
      <c r="AS45" s="267">
        <f t="shared" si="26"/>
        <v>601</v>
      </c>
      <c r="AT45" s="267">
        <f t="shared" si="27"/>
        <v>463</v>
      </c>
      <c r="AU45" s="267">
        <f t="shared" si="28"/>
        <v>473</v>
      </c>
      <c r="AV45" s="267">
        <f t="shared" si="29"/>
        <v>471</v>
      </c>
      <c r="AW45" s="267">
        <f t="shared" si="30"/>
        <v>469</v>
      </c>
      <c r="AX45" s="267">
        <f t="shared" si="31"/>
        <v>473</v>
      </c>
      <c r="AY45" s="267">
        <f t="shared" si="32"/>
        <v>610</v>
      </c>
      <c r="AZ45" s="267">
        <f t="shared" si="33"/>
        <v>589</v>
      </c>
      <c r="BA45" s="267">
        <f t="shared" si="34"/>
        <v>601</v>
      </c>
      <c r="BB45" s="267">
        <f t="shared" si="35"/>
        <v>463</v>
      </c>
      <c r="BC45" s="267">
        <f t="shared" si="36"/>
        <v>473</v>
      </c>
      <c r="BD45" s="267">
        <f t="shared" si="37"/>
        <v>471</v>
      </c>
      <c r="BE45" s="267">
        <f t="shared" si="38"/>
        <v>469</v>
      </c>
      <c r="BF45" s="267">
        <f t="shared" si="39"/>
        <v>473</v>
      </c>
      <c r="BG45" s="269">
        <f>AY45*VLOOKUP($B45,'Major Cities &amp; Towns'!$A$28:$B$345,2,FALSE)</f>
        <v>610</v>
      </c>
      <c r="BH45" s="269">
        <f>AZ45*VLOOKUP($B45,'Major Cities &amp; Towns'!$A$28:$B$345,2,FALSE)</f>
        <v>589</v>
      </c>
      <c r="BI45" s="269">
        <f>BA45*VLOOKUP($B45,'Major Cities &amp; Towns'!$A$28:$B$345,2,FALSE)</f>
        <v>601</v>
      </c>
      <c r="BJ45" s="269">
        <f>BB45*VLOOKUP($B45,'Major Cities &amp; Towns'!$A$28:$B$345,2,FALSE)</f>
        <v>463</v>
      </c>
      <c r="BK45" s="269">
        <f>BC45*VLOOKUP($B45,'Major Cities &amp; Towns'!$A$28:$B$345,2,FALSE)</f>
        <v>473</v>
      </c>
      <c r="BL45" s="269">
        <f>BD45*VLOOKUP($B45,'Major Cities &amp; Towns'!$A$28:$B$345,2,FALSE)</f>
        <v>471</v>
      </c>
      <c r="BM45" s="269">
        <f>BE45*VLOOKUP($B45,'Major Cities &amp; Towns'!$A$28:$B$345,2,FALSE)</f>
        <v>469</v>
      </c>
      <c r="BN45" s="269">
        <f>BF45*VLOOKUP($B45,'Major Cities &amp; Towns'!$A$28:$B$345,2,FALSE)</f>
        <v>473</v>
      </c>
      <c r="BO45" s="270">
        <f t="shared" si="40"/>
        <v>610</v>
      </c>
      <c r="BP45" s="270">
        <f t="shared" si="41"/>
        <v>589</v>
      </c>
      <c r="BQ45" s="270">
        <f t="shared" si="42"/>
        <v>601</v>
      </c>
      <c r="BR45" s="270">
        <f t="shared" si="43"/>
        <v>463</v>
      </c>
      <c r="BS45" s="270">
        <f t="shared" si="44"/>
        <v>473</v>
      </c>
      <c r="BT45" s="270">
        <f t="shared" si="45"/>
        <v>471</v>
      </c>
      <c r="BU45" s="270">
        <f t="shared" si="46"/>
        <v>469</v>
      </c>
      <c r="BV45" s="270">
        <f t="shared" si="47"/>
        <v>473</v>
      </c>
      <c r="BW45" s="39">
        <f>VLOOKUP($A45,NetAdditions!$A$2:$H$336,6,FALSE)</f>
        <v>390</v>
      </c>
      <c r="BX45" s="39">
        <f>VLOOKUP($A45,NetAdditions!$A$2:$H$336,7,FALSE)</f>
        <v>200</v>
      </c>
      <c r="BY45" s="39">
        <f>IF((VLOOKUP($C45,NetAdditions!$A$2:$H$336,8,FALSE))="",(AVERAGE(VLOOKUP($C45,NetAdditions!$A$2:$H$336,5,FALSE),VLOOKUP($C45,NetAdditions!$A$2:$H$336,6,FALSE),VLOOKUP($C45,NetAdditions!$A$2:$H$336,7,FALSE))),VLOOKUP($C45,NetAdditions!$A$2:$H$336,8,FALSE))</f>
        <v>214</v>
      </c>
      <c r="BZ45" s="39">
        <f t="shared" si="48"/>
        <v>268</v>
      </c>
      <c r="CA45" s="39">
        <f t="shared" si="49"/>
        <v>227.33333333333334</v>
      </c>
      <c r="CB45" s="39">
        <f t="shared" si="50"/>
        <v>236.44444444444446</v>
      </c>
      <c r="CC45" s="39">
        <f t="shared" si="51"/>
        <v>243.92592592592595</v>
      </c>
      <c r="CD45" s="39">
        <f t="shared" si="52"/>
        <v>235.90123456790127</v>
      </c>
      <c r="CE45" s="276">
        <f t="shared" si="5"/>
        <v>1800</v>
      </c>
      <c r="CF45" s="276">
        <f t="shared" si="6"/>
        <v>1653</v>
      </c>
      <c r="CG45" s="276">
        <f t="shared" si="7"/>
        <v>1537</v>
      </c>
      <c r="CH45" s="276">
        <f t="shared" si="8"/>
        <v>1407</v>
      </c>
      <c r="CI45" s="276">
        <f t="shared" si="9"/>
        <v>1413</v>
      </c>
      <c r="CJ45" s="276">
        <f t="shared" si="10"/>
        <v>1413</v>
      </c>
      <c r="CK45" s="276">
        <f t="shared" si="53"/>
        <v>1550</v>
      </c>
      <c r="CL45" s="276">
        <f t="shared" si="54"/>
        <v>1423.4166666666667</v>
      </c>
      <c r="CM45" s="276">
        <f t="shared" si="55"/>
        <v>1408.9166666666665</v>
      </c>
      <c r="CN45" s="276">
        <f t="shared" si="56"/>
        <v>1407</v>
      </c>
      <c r="CO45" s="276">
        <f t="shared" si="57"/>
        <v>1413</v>
      </c>
      <c r="CP45" s="276">
        <f t="shared" si="58"/>
        <v>1413</v>
      </c>
      <c r="CQ45" s="39">
        <f t="shared" si="12"/>
        <v>804</v>
      </c>
      <c r="CR45" s="39">
        <f t="shared" si="13"/>
        <v>682</v>
      </c>
      <c r="CS45" s="277">
        <f t="shared" si="14"/>
        <v>709.33333333333337</v>
      </c>
      <c r="CT45" s="39">
        <f t="shared" si="15"/>
        <v>731.77777777777783</v>
      </c>
      <c r="CU45" s="39">
        <f t="shared" si="16"/>
        <v>707.70370370370381</v>
      </c>
      <c r="CV45" s="39">
        <f t="shared" si="59"/>
        <v>716.27160493827171</v>
      </c>
      <c r="CW45" s="297">
        <f t="shared" si="18"/>
        <v>0.51870967741935481</v>
      </c>
      <c r="CX45" s="279" t="str">
        <f t="shared" si="60"/>
        <v>Buffer and Action Plan</v>
      </c>
      <c r="CY45" s="278">
        <f t="shared" si="19"/>
        <v>0.47912885662431942</v>
      </c>
      <c r="CZ45" s="279" t="str">
        <f t="shared" si="61"/>
        <v>Buffer and Action Plan</v>
      </c>
      <c r="DA45" s="278">
        <f t="shared" si="20"/>
        <v>0.50346010528183605</v>
      </c>
      <c r="DB45" s="292" t="str">
        <f t="shared" si="62"/>
        <v>Presumption</v>
      </c>
      <c r="DC45" s="299">
        <f t="shared" si="63"/>
        <v>0.52009792308299774</v>
      </c>
      <c r="DD45" s="293" t="str">
        <f t="shared" si="64"/>
        <v>Presumption</v>
      </c>
      <c r="DE45" s="299">
        <f t="shared" si="65"/>
        <v>0.50085187806348463</v>
      </c>
      <c r="DF45" s="293" t="str">
        <f t="shared" si="66"/>
        <v>Presumption</v>
      </c>
      <c r="DG45" s="299">
        <f t="shared" si="67"/>
        <v>0.50691550243331329</v>
      </c>
      <c r="DH45" s="293" t="str">
        <f t="shared" si="68"/>
        <v>Presumption</v>
      </c>
    </row>
    <row r="46" spans="1:112" ht="15" thickTop="1" thickBot="1">
      <c r="A46" s="38" t="s">
        <v>201</v>
      </c>
      <c r="B46" s="38" t="s">
        <v>202</v>
      </c>
      <c r="C46" s="38" t="s">
        <v>201</v>
      </c>
      <c r="D46" s="38" t="s">
        <v>136</v>
      </c>
      <c r="E46" s="38" t="str">
        <f>VLOOKUP(C46,PoliticalControl!A:K,11,FALSE)</f>
        <v>LAB</v>
      </c>
      <c r="F46" s="38" t="str">
        <f>VLOOKUP(C46,UrbanRuralClassification!A:N,13,FALSE)</f>
        <v>Urban with Major Conurbation</v>
      </c>
      <c r="G46" s="38" t="str">
        <f>VLOOKUP(C46,UrbanRuralClassification!A:N,14,FALSE)</f>
        <v>Predominantly Urban</v>
      </c>
      <c r="H46" s="258" t="str">
        <f>IF(ISBLANK((VLOOKUP($A46,'local-plan-data'!$C$1:$AD$566,27,FALSE)))=TRUE,"",VLOOKUP($A46,'local-plan-data'!$C$1:$AD$566,27,FALSE))</f>
        <v/>
      </c>
      <c r="I46" s="259">
        <f>VLOOKUP($A46,'local-plan-data'!$C$1:$AD$566,28,FALSE)</f>
        <v>840</v>
      </c>
      <c r="J46" s="260">
        <f t="shared" si="21"/>
        <v>840</v>
      </c>
      <c r="K46" s="259" t="str">
        <f t="shared" si="22"/>
        <v>-</v>
      </c>
      <c r="L46" s="259" t="str">
        <f t="shared" si="22"/>
        <v>-</v>
      </c>
      <c r="M46" s="259" t="str">
        <f t="shared" si="22"/>
        <v>-</v>
      </c>
      <c r="N46" s="259" t="str">
        <f t="shared" si="22"/>
        <v>-</v>
      </c>
      <c r="O46" s="259" t="str">
        <f t="shared" si="22"/>
        <v>-</v>
      </c>
      <c r="P46" s="259" t="str">
        <f t="shared" si="22"/>
        <v>-</v>
      </c>
      <c r="Q46" s="259" t="str">
        <f t="shared" si="22"/>
        <v>-</v>
      </c>
      <c r="R46" s="259" t="str">
        <f t="shared" si="22"/>
        <v>-</v>
      </c>
      <c r="S46" s="259" t="str">
        <f t="shared" si="23"/>
        <v>-</v>
      </c>
      <c r="T46" s="259" t="str">
        <f t="shared" si="23"/>
        <v>-</v>
      </c>
      <c r="U46" s="259" t="str">
        <f t="shared" si="23"/>
        <v>-</v>
      </c>
      <c r="V46" s="259" t="str">
        <f t="shared" si="23"/>
        <v>-</v>
      </c>
      <c r="W46" s="259" t="str">
        <f t="shared" si="23"/>
        <v>-</v>
      </c>
      <c r="X46" s="259" t="str">
        <f t="shared" si="23"/>
        <v>-</v>
      </c>
      <c r="Y46" s="259" t="str">
        <f t="shared" si="23"/>
        <v>-</v>
      </c>
      <c r="Z46" s="259" t="str">
        <f t="shared" si="23"/>
        <v>-</v>
      </c>
      <c r="AA46" s="267">
        <f>(VLOOKUP(A46,Hshldprojections2014!$A$2:$AW$319,40, FALSE)-VLOOKUP(A46,Hshldprojections2014!$A$2:$AW$319,30, FALSE))/10</f>
        <v>767.1</v>
      </c>
      <c r="AB46" s="267">
        <f>(VLOOKUP(A46,Hshldprojections2014!$A$2:$AW$319,41, FALSE)-VLOOKUP(A46,Hshldprojections2014!$A$2:$AW$319,31, FALSE))/10</f>
        <v>754.5</v>
      </c>
      <c r="AC46" s="267">
        <f>(VLOOKUP(A46,Hshldprojections2014!$A$2:$AW$319,42, FALSE)-VLOOKUP(A46,Hshldprojections2014!$A$2:$AW$319,32, FALSE))/10</f>
        <v>740.8</v>
      </c>
      <c r="AD46" s="267">
        <f>IF(IndividualLATest!$J$7=2014,(VLOOKUP($A46,Hshldprojections2014!$A$2:$AY$326,43,FALSE)-VLOOKUP($A46,Hshldprojections2014!$A$2:$AY$326,33,FALSE))/10,IF(IndividualLATest!$J$7=2016,(VLOOKUP($A46,Hshldprojections2016!$A$1:$AQ$322,33,FALSE)-VLOOKUP($A46,Hshldprojections2016!$A$1:$AQ$322,23,FALSE))/10,(VLOOKUP($A46,Hshldprojections2018!$A$1:$AQ$327,33,FALSE)-VLOOKUP($A46,Hshldprojections2018!$A$1:$AQ$327,23,FALSE))/10))</f>
        <v>408.2</v>
      </c>
      <c r="AE46" s="267">
        <f>IF(IndividualLATest!$J$7=2014,(VLOOKUP($A46,Hshldprojections2014!$A$2:$AY$326,44,FALSE)-VLOOKUP($A46,Hshldprojections2014!$A$2:$AY$326,34,FALSE))/10,IF(IndividualLATest!$J$7=2016,(VLOOKUP($A46,Hshldprojections2016!$A$1:$AQ$322,34,FALSE)-VLOOKUP($A46,Hshldprojections2016!$A$1:$AQ$322,24,FALSE))/10,(VLOOKUP($A46,Hshldprojections2018!$A$1:$AQ$327,34,FALSE)-VLOOKUP($A46,Hshldprojections2018!$A$1:$AQ$327,24,FALSE))/10))</f>
        <v>399.2</v>
      </c>
      <c r="AF46" s="267">
        <f>IF(IndividualLATest!$J$7=2014,(VLOOKUP($A46,Hshldprojections2014!$A$2:$AY$326,45,FALSE)-VLOOKUP($A46,Hshldprojections2014!$A$2:$AY$326,35,FALSE))/10,IF(IndividualLATest!$J$7=2016,(VLOOKUP($A46,Hshldprojections2016!$A$1:$AQ$322,35,FALSE)-VLOOKUP($A46,Hshldprojections2016!$A$1:$AQ$322,25,FALSE))/10,(VLOOKUP($A46,Hshldprojections2018!$A$1:$AQ$327,35,FALSE)-VLOOKUP($A46,Hshldprojections2018!$A$1:$AQ$327,25,FALSE))/10))</f>
        <v>392.2</v>
      </c>
      <c r="AG46" s="267">
        <f>IF(IndividualLATest!$J$7=2014,(VLOOKUP($A46,Hshldprojections2014!$A$2:$AY$326,46,FALSE)-VLOOKUP($A46,Hshldprojections2014!$A$2:$AY$326,36,FALSE))/10,IF(IndividualLATest!$J$7=2016,(VLOOKUP($A46,Hshldprojections2016!$A$1:$AQ$322,36,FALSE)-VLOOKUP($A46,Hshldprojections2016!$A$1:$AQ$322,26,FALSE))/10,(VLOOKUP($A46,Hshldprojections2018!$A$1:$AQ$327,36,FALSE)-VLOOKUP($A46,Hshldprojections2018!$A$1:$AQ$327,26,FALSE))/10))</f>
        <v>384.5</v>
      </c>
      <c r="AH46" s="267">
        <f>IF(IndividualLATest!$J$7=2014,(VLOOKUP($A46,Hshldprojections2014!$A$2:$AY$326,47,FALSE)-VLOOKUP($A46,Hshldprojections2014!$A$2:$AY$326,37,FALSE))/10,IF(IndividualLATest!$J$7=2016,(VLOOKUP($A46,Hshldprojections2016!$A$1:$AQ$322,37,FALSE)-VLOOKUP($A46,Hshldprojections2016!$A$1:$AQ$322,27,FALSE))/10,(VLOOKUP($A46,Hshldprojections2018!$A$1:$AQ$327,37,FALSE)-VLOOKUP($A46,Hshldprojections2018!$A$1:$AQ$327,27,FALSE))/10))</f>
        <v>379.6</v>
      </c>
      <c r="AI46" s="268">
        <f>VLOOKUP($A46,AffordabilityRatio!$A$2:$I$321,5,FALSE)</f>
        <v>5.0199999999999996</v>
      </c>
      <c r="AJ46" s="268">
        <f>VLOOKUP($A46,AffordabilityRatio!$A$2:$I$321,6,FALSE)</f>
        <v>5.07</v>
      </c>
      <c r="AK46" s="268">
        <f>VLOOKUP($A46,AffordabilityRatio!$A$2:$I$321,7,FALSE)</f>
        <v>5.33</v>
      </c>
      <c r="AL46" s="268">
        <f>IF((VLOOKUP($A46,AffordabilityRatio!$A$2:$I$321,8,FALSE))="",AK46,VLOOKUP($A46,AffordabilityRatio!$A$2:$I$321,8,FALSE))</f>
        <v>5.41</v>
      </c>
      <c r="AM46" s="268">
        <f>IF((VLOOKUP($A46,AffordabilityRatio!$A$2:$I$321,9,FALSE))="",AL46,VLOOKUP($A46,AffordabilityRatio!$A$2:$I$321,9,FALSE))</f>
        <v>5.88</v>
      </c>
      <c r="AN46" s="268">
        <f>IF((VLOOKUP($A46,AffordabilityRatio!$A$2:$I$321,9,FALSE))="",AM46,VLOOKUP($A46,AffordabilityRatio!$A$2:$I$321,9,FALSE))</f>
        <v>5.88</v>
      </c>
      <c r="AO46" s="268">
        <f>IF((VLOOKUP($A46,AffordabilityRatio!$A$2:$I$321,9,FALSE))="",AN46,VLOOKUP($A46,AffordabilityRatio!$A$2:$I$321,9,FALSE))</f>
        <v>5.88</v>
      </c>
      <c r="AP46" s="268">
        <f>IF((VLOOKUP($A46,AffordabilityRatio!$A$2:$I$321,9,FALSE))="",AO46,VLOOKUP($A46,AffordabilityRatio!$A$2:$I$321,9,FALSE))</f>
        <v>5.88</v>
      </c>
      <c r="AQ46" s="267">
        <f t="shared" si="24"/>
        <v>816</v>
      </c>
      <c r="AR46" s="267">
        <f t="shared" si="25"/>
        <v>805</v>
      </c>
      <c r="AS46" s="267">
        <f t="shared" si="26"/>
        <v>802</v>
      </c>
      <c r="AT46" s="267">
        <f t="shared" si="27"/>
        <v>444</v>
      </c>
      <c r="AU46" s="267">
        <f t="shared" si="28"/>
        <v>446</v>
      </c>
      <c r="AV46" s="267">
        <f t="shared" si="29"/>
        <v>438</v>
      </c>
      <c r="AW46" s="267">
        <f t="shared" si="30"/>
        <v>430</v>
      </c>
      <c r="AX46" s="267">
        <f t="shared" si="31"/>
        <v>424</v>
      </c>
      <c r="AY46" s="267">
        <f t="shared" si="32"/>
        <v>816</v>
      </c>
      <c r="AZ46" s="267">
        <f t="shared" si="33"/>
        <v>805</v>
      </c>
      <c r="BA46" s="267">
        <f t="shared" si="34"/>
        <v>802</v>
      </c>
      <c r="BB46" s="267">
        <f t="shared" si="35"/>
        <v>444</v>
      </c>
      <c r="BC46" s="267">
        <f t="shared" si="36"/>
        <v>446</v>
      </c>
      <c r="BD46" s="267">
        <f t="shared" si="37"/>
        <v>438</v>
      </c>
      <c r="BE46" s="267">
        <f t="shared" si="38"/>
        <v>430</v>
      </c>
      <c r="BF46" s="267">
        <f t="shared" si="39"/>
        <v>424</v>
      </c>
      <c r="BG46" s="269">
        <f>AY46*VLOOKUP($B46,'Major Cities &amp; Towns'!$A$28:$B$345,2,FALSE)</f>
        <v>816</v>
      </c>
      <c r="BH46" s="269">
        <f>AZ46*VLOOKUP($B46,'Major Cities &amp; Towns'!$A$28:$B$345,2,FALSE)</f>
        <v>805</v>
      </c>
      <c r="BI46" s="269">
        <f>BA46*VLOOKUP($B46,'Major Cities &amp; Towns'!$A$28:$B$345,2,FALSE)</f>
        <v>802</v>
      </c>
      <c r="BJ46" s="269">
        <f>BB46*VLOOKUP($B46,'Major Cities &amp; Towns'!$A$28:$B$345,2,FALSE)</f>
        <v>444</v>
      </c>
      <c r="BK46" s="269">
        <f>BC46*VLOOKUP($B46,'Major Cities &amp; Towns'!$A$28:$B$345,2,FALSE)</f>
        <v>446</v>
      </c>
      <c r="BL46" s="269">
        <f>BD46*VLOOKUP($B46,'Major Cities &amp; Towns'!$A$28:$B$345,2,FALSE)</f>
        <v>438</v>
      </c>
      <c r="BM46" s="269">
        <f>BE46*VLOOKUP($B46,'Major Cities &amp; Towns'!$A$28:$B$345,2,FALSE)</f>
        <v>430</v>
      </c>
      <c r="BN46" s="269">
        <f>BF46*VLOOKUP($B46,'Major Cities &amp; Towns'!$A$28:$B$345,2,FALSE)</f>
        <v>424</v>
      </c>
      <c r="BO46" s="270">
        <f t="shared" si="40"/>
        <v>816</v>
      </c>
      <c r="BP46" s="270">
        <f t="shared" si="41"/>
        <v>805</v>
      </c>
      <c r="BQ46" s="270">
        <f t="shared" si="42"/>
        <v>802</v>
      </c>
      <c r="BR46" s="270">
        <f t="shared" si="43"/>
        <v>444</v>
      </c>
      <c r="BS46" s="270">
        <f t="shared" si="44"/>
        <v>446</v>
      </c>
      <c r="BT46" s="270">
        <f t="shared" si="45"/>
        <v>438</v>
      </c>
      <c r="BU46" s="270">
        <f t="shared" si="46"/>
        <v>430</v>
      </c>
      <c r="BV46" s="270">
        <f t="shared" si="47"/>
        <v>424</v>
      </c>
      <c r="BW46" s="39">
        <f>VLOOKUP($A46,NetAdditions!$A$2:$H$336,6,FALSE)</f>
        <v>556</v>
      </c>
      <c r="BX46" s="39">
        <f>VLOOKUP($A46,NetAdditions!$A$2:$H$336,7,FALSE)</f>
        <v>347</v>
      </c>
      <c r="BY46" s="39">
        <f>IF((VLOOKUP($C46,NetAdditions!$A$2:$H$336,8,FALSE))="",(AVERAGE(VLOOKUP($C46,NetAdditions!$A$2:$H$336,5,FALSE),VLOOKUP($C46,NetAdditions!$A$2:$H$336,6,FALSE),VLOOKUP($C46,NetAdditions!$A$2:$H$336,7,FALSE))),VLOOKUP($C46,NetAdditions!$A$2:$H$336,8,FALSE))</f>
        <v>263</v>
      </c>
      <c r="BZ46" s="39">
        <f t="shared" si="48"/>
        <v>388.66666666666669</v>
      </c>
      <c r="CA46" s="39">
        <f t="shared" si="49"/>
        <v>332.88888888888891</v>
      </c>
      <c r="CB46" s="39">
        <f t="shared" si="50"/>
        <v>328.18518518518522</v>
      </c>
      <c r="CC46" s="39">
        <f t="shared" si="51"/>
        <v>349.91358024691363</v>
      </c>
      <c r="CD46" s="39">
        <f t="shared" si="52"/>
        <v>336.99588477366257</v>
      </c>
      <c r="CE46" s="276">
        <f t="shared" si="5"/>
        <v>2423</v>
      </c>
      <c r="CF46" s="276">
        <f t="shared" si="6"/>
        <v>2051</v>
      </c>
      <c r="CG46" s="276">
        <f t="shared" si="7"/>
        <v>1692</v>
      </c>
      <c r="CH46" s="276">
        <f t="shared" si="8"/>
        <v>1328</v>
      </c>
      <c r="CI46" s="276">
        <f t="shared" si="9"/>
        <v>1314</v>
      </c>
      <c r="CJ46" s="276">
        <f t="shared" si="10"/>
        <v>1292</v>
      </c>
      <c r="CK46" s="276">
        <f t="shared" si="53"/>
        <v>2086.4722222222222</v>
      </c>
      <c r="CL46" s="276">
        <f t="shared" si="54"/>
        <v>1766.1388888888889</v>
      </c>
      <c r="CM46" s="276">
        <f t="shared" si="55"/>
        <v>1551</v>
      </c>
      <c r="CN46" s="276">
        <f t="shared" si="56"/>
        <v>1328</v>
      </c>
      <c r="CO46" s="276">
        <f t="shared" si="57"/>
        <v>1314</v>
      </c>
      <c r="CP46" s="276">
        <f t="shared" si="58"/>
        <v>1292</v>
      </c>
      <c r="CQ46" s="39">
        <f t="shared" si="12"/>
        <v>1166</v>
      </c>
      <c r="CR46" s="39">
        <f t="shared" si="13"/>
        <v>998.66666666666674</v>
      </c>
      <c r="CS46" s="277">
        <f t="shared" si="14"/>
        <v>984.55555555555566</v>
      </c>
      <c r="CT46" s="39">
        <f t="shared" si="15"/>
        <v>1049.7407407407409</v>
      </c>
      <c r="CU46" s="39">
        <f t="shared" si="16"/>
        <v>1010.9876543209878</v>
      </c>
      <c r="CV46" s="39">
        <f t="shared" si="59"/>
        <v>1015.0946502057614</v>
      </c>
      <c r="CW46" s="297">
        <f t="shared" si="18"/>
        <v>0.55883801738713668</v>
      </c>
      <c r="CX46" s="279" t="str">
        <f t="shared" si="60"/>
        <v>Buffer and Action Plan</v>
      </c>
      <c r="CY46" s="278">
        <f t="shared" si="19"/>
        <v>0.56545194319057579</v>
      </c>
      <c r="CZ46" s="279" t="str">
        <f t="shared" si="61"/>
        <v>Buffer and Action Plan</v>
      </c>
      <c r="DA46" s="278">
        <f t="shared" si="20"/>
        <v>0.63478759223440084</v>
      </c>
      <c r="DB46" s="292" t="str">
        <f t="shared" si="62"/>
        <v>Presumption</v>
      </c>
      <c r="DC46" s="299">
        <f t="shared" si="63"/>
        <v>0.79046742525658198</v>
      </c>
      <c r="DD46" s="293" t="str">
        <f t="shared" si="64"/>
        <v>Buffer and Action Plan</v>
      </c>
      <c r="DE46" s="299">
        <f t="shared" si="65"/>
        <v>0.76939699720014287</v>
      </c>
      <c r="DF46" s="293" t="str">
        <f t="shared" si="66"/>
        <v>Buffer and Action Plan</v>
      </c>
      <c r="DG46" s="299">
        <f t="shared" si="67"/>
        <v>0.78567697384346857</v>
      </c>
      <c r="DH46" s="293" t="str">
        <f t="shared" si="68"/>
        <v>Buffer and Action Plan</v>
      </c>
    </row>
    <row r="47" spans="1:112" ht="15" thickTop="1" thickBot="1">
      <c r="A47" s="38" t="s">
        <v>203</v>
      </c>
      <c r="B47" s="38" t="s">
        <v>204</v>
      </c>
      <c r="C47" s="38" t="s">
        <v>203</v>
      </c>
      <c r="D47" s="38" t="s">
        <v>128</v>
      </c>
      <c r="E47" s="38" t="str">
        <f>VLOOKUP(C47,PoliticalControl!A:K,11,FALSE)</f>
        <v>LAB</v>
      </c>
      <c r="F47" s="38" t="str">
        <f>VLOOKUP(C47,UrbanRuralClassification!A:N,13,FALSE)</f>
        <v>Urban with City and Town</v>
      </c>
      <c r="G47" s="38" t="str">
        <f>VLOOKUP(C47,UrbanRuralClassification!A:N,14,FALSE)</f>
        <v>Predominantly Urban</v>
      </c>
      <c r="H47" s="258">
        <f>IF(ISBLANK((VLOOKUP($A47,'local-plan-data'!$C$1:$AD$566,27,FALSE)))=TRUE,"",VLOOKUP($A47,'local-plan-data'!$C$1:$AD$566,27,FALSE))</f>
        <v>43391</v>
      </c>
      <c r="I47" s="259">
        <f>VLOOKUP($A47,'local-plan-data'!$C$1:$AD$566,28,FALSE)</f>
        <v>700</v>
      </c>
      <c r="J47" s="260">
        <f t="shared" si="21"/>
        <v>700</v>
      </c>
      <c r="K47" s="259">
        <f t="shared" si="22"/>
        <v>700</v>
      </c>
      <c r="L47" s="259">
        <f t="shared" si="22"/>
        <v>700</v>
      </c>
      <c r="M47" s="259">
        <f t="shared" si="22"/>
        <v>700</v>
      </c>
      <c r="N47" s="259">
        <f t="shared" si="22"/>
        <v>700</v>
      </c>
      <c r="O47" s="259">
        <f t="shared" si="22"/>
        <v>700</v>
      </c>
      <c r="P47" s="259">
        <f t="shared" si="22"/>
        <v>700</v>
      </c>
      <c r="Q47" s="259" t="str">
        <f t="shared" si="22"/>
        <v>-</v>
      </c>
      <c r="R47" s="259" t="str">
        <f t="shared" si="22"/>
        <v>-</v>
      </c>
      <c r="S47" s="259">
        <f t="shared" si="23"/>
        <v>2026</v>
      </c>
      <c r="T47" s="259">
        <f t="shared" si="23"/>
        <v>1661</v>
      </c>
      <c r="U47" s="259">
        <f t="shared" si="23"/>
        <v>1295</v>
      </c>
      <c r="V47" s="259">
        <f t="shared" si="23"/>
        <v>930</v>
      </c>
      <c r="W47" s="259">
        <f t="shared" si="23"/>
        <v>565</v>
      </c>
      <c r="X47" s="259">
        <f t="shared" si="23"/>
        <v>200</v>
      </c>
      <c r="Y47" s="259">
        <f t="shared" si="23"/>
        <v>-166</v>
      </c>
      <c r="Z47" s="259">
        <f t="shared" si="23"/>
        <v>-531</v>
      </c>
      <c r="AA47" s="267">
        <f>(VLOOKUP(A47,Hshldprojections2014!$A$2:$AW$319,40, FALSE)-VLOOKUP(A47,Hshldprojections2014!$A$2:$AW$319,30, FALSE))/10</f>
        <v>413</v>
      </c>
      <c r="AB47" s="267">
        <f>(VLOOKUP(A47,Hshldprojections2014!$A$2:$AW$319,41, FALSE)-VLOOKUP(A47,Hshldprojections2014!$A$2:$AW$319,31, FALSE))/10</f>
        <v>417.7</v>
      </c>
      <c r="AC47" s="267">
        <f>(VLOOKUP(A47,Hshldprojections2014!$A$2:$AW$319,42, FALSE)-VLOOKUP(A47,Hshldprojections2014!$A$2:$AW$319,32, FALSE))/10</f>
        <v>425.4</v>
      </c>
      <c r="AD47" s="267">
        <f>IF(IndividualLATest!$J$7=2014,(VLOOKUP($A47,Hshldprojections2014!$A$2:$AY$326,43,FALSE)-VLOOKUP($A47,Hshldprojections2014!$A$2:$AY$326,33,FALSE))/10,IF(IndividualLATest!$J$7=2016,(VLOOKUP($A47,Hshldprojections2016!$A$1:$AQ$322,33,FALSE)-VLOOKUP($A47,Hshldprojections2016!$A$1:$AQ$322,23,FALSE))/10,(VLOOKUP($A47,Hshldprojections2018!$A$1:$AQ$327,33,FALSE)-VLOOKUP($A47,Hshldprojections2018!$A$1:$AQ$327,23,FALSE))/10))</f>
        <v>76.900000000000006</v>
      </c>
      <c r="AE47" s="267">
        <f>IF(IndividualLATest!$J$7=2014,(VLOOKUP($A47,Hshldprojections2014!$A$2:$AY$326,44,FALSE)-VLOOKUP($A47,Hshldprojections2014!$A$2:$AY$326,34,FALSE))/10,IF(IndividualLATest!$J$7=2016,(VLOOKUP($A47,Hshldprojections2016!$A$1:$AQ$322,34,FALSE)-VLOOKUP($A47,Hshldprojections2016!$A$1:$AQ$322,24,FALSE))/10,(VLOOKUP($A47,Hshldprojections2018!$A$1:$AQ$327,34,FALSE)-VLOOKUP($A47,Hshldprojections2018!$A$1:$AQ$327,24,FALSE))/10))</f>
        <v>101.9</v>
      </c>
      <c r="AF47" s="267">
        <f>IF(IndividualLATest!$J$7=2014,(VLOOKUP($A47,Hshldprojections2014!$A$2:$AY$326,45,FALSE)-VLOOKUP($A47,Hshldprojections2014!$A$2:$AY$326,35,FALSE))/10,IF(IndividualLATest!$J$7=2016,(VLOOKUP($A47,Hshldprojections2016!$A$1:$AQ$322,35,FALSE)-VLOOKUP($A47,Hshldprojections2016!$A$1:$AQ$322,25,FALSE))/10,(VLOOKUP($A47,Hshldprojections2018!$A$1:$AQ$327,35,FALSE)-VLOOKUP($A47,Hshldprojections2018!$A$1:$AQ$327,25,FALSE))/10))</f>
        <v>120.3</v>
      </c>
      <c r="AG47" s="267">
        <f>IF(IndividualLATest!$J$7=2014,(VLOOKUP($A47,Hshldprojections2014!$A$2:$AY$326,46,FALSE)-VLOOKUP($A47,Hshldprojections2014!$A$2:$AY$326,36,FALSE))/10,IF(IndividualLATest!$J$7=2016,(VLOOKUP($A47,Hshldprojections2016!$A$1:$AQ$322,36,FALSE)-VLOOKUP($A47,Hshldprojections2016!$A$1:$AQ$322,26,FALSE))/10,(VLOOKUP($A47,Hshldprojections2018!$A$1:$AQ$327,36,FALSE)-VLOOKUP($A47,Hshldprojections2018!$A$1:$AQ$327,26,FALSE))/10))</f>
        <v>132.4</v>
      </c>
      <c r="AH47" s="267">
        <f>IF(IndividualLATest!$J$7=2014,(VLOOKUP($A47,Hshldprojections2014!$A$2:$AY$326,47,FALSE)-VLOOKUP($A47,Hshldprojections2014!$A$2:$AY$326,37,FALSE))/10,IF(IndividualLATest!$J$7=2016,(VLOOKUP($A47,Hshldprojections2016!$A$1:$AQ$322,37,FALSE)-VLOOKUP($A47,Hshldprojections2016!$A$1:$AQ$322,27,FALSE))/10,(VLOOKUP($A47,Hshldprojections2018!$A$1:$AQ$327,37,FALSE)-VLOOKUP($A47,Hshldprojections2018!$A$1:$AQ$327,27,FALSE))/10))</f>
        <v>141.1</v>
      </c>
      <c r="AI47" s="268">
        <f>VLOOKUP($A47,AffordabilityRatio!$A$2:$I$321,5,FALSE)</f>
        <v>13.53</v>
      </c>
      <c r="AJ47" s="268">
        <f>VLOOKUP($A47,AffordabilityRatio!$A$2:$I$321,6,FALSE)</f>
        <v>12.96</v>
      </c>
      <c r="AK47" s="268">
        <f>VLOOKUP($A47,AffordabilityRatio!$A$2:$I$321,7,FALSE)</f>
        <v>12.71</v>
      </c>
      <c r="AL47" s="268">
        <f>IF((VLOOKUP($A47,AffordabilityRatio!$A$2:$I$321,8,FALSE))="",AK47,VLOOKUP($A47,AffordabilityRatio!$A$2:$I$321,8,FALSE))</f>
        <v>12.34</v>
      </c>
      <c r="AM47" s="268">
        <f>IF((VLOOKUP($A47,AffordabilityRatio!$A$2:$I$321,9,FALSE))="",AL47,VLOOKUP($A47,AffordabilityRatio!$A$2:$I$321,9,FALSE))</f>
        <v>12.61</v>
      </c>
      <c r="AN47" s="268">
        <f>IF((VLOOKUP($A47,AffordabilityRatio!$A$2:$I$321,9,FALSE))="",AM47,VLOOKUP($A47,AffordabilityRatio!$A$2:$I$321,9,FALSE))</f>
        <v>12.61</v>
      </c>
      <c r="AO47" s="268">
        <f>IF((VLOOKUP($A47,AffordabilityRatio!$A$2:$I$321,9,FALSE))="",AN47,VLOOKUP($A47,AffordabilityRatio!$A$2:$I$321,9,FALSE))</f>
        <v>12.61</v>
      </c>
      <c r="AP47" s="268">
        <f>IF((VLOOKUP($A47,AffordabilityRatio!$A$2:$I$321,9,FALSE))="",AO47,VLOOKUP($A47,AffordabilityRatio!$A$2:$I$321,9,FALSE))</f>
        <v>12.61</v>
      </c>
      <c r="AQ47" s="267">
        <f t="shared" si="24"/>
        <v>659</v>
      </c>
      <c r="AR47" s="267">
        <f t="shared" si="25"/>
        <v>652</v>
      </c>
      <c r="AS47" s="267">
        <f t="shared" si="26"/>
        <v>657</v>
      </c>
      <c r="AT47" s="267">
        <f t="shared" si="27"/>
        <v>117</v>
      </c>
      <c r="AU47" s="267">
        <f t="shared" si="28"/>
        <v>157</v>
      </c>
      <c r="AV47" s="267">
        <f t="shared" si="29"/>
        <v>185</v>
      </c>
      <c r="AW47" s="267">
        <f t="shared" si="30"/>
        <v>204</v>
      </c>
      <c r="AX47" s="267">
        <f t="shared" si="31"/>
        <v>217</v>
      </c>
      <c r="AY47" s="267">
        <f t="shared" si="32"/>
        <v>659</v>
      </c>
      <c r="AZ47" s="267">
        <f t="shared" si="33"/>
        <v>652</v>
      </c>
      <c r="BA47" s="267">
        <f t="shared" si="34"/>
        <v>657</v>
      </c>
      <c r="BB47" s="267">
        <f t="shared" si="35"/>
        <v>117</v>
      </c>
      <c r="BC47" s="267">
        <f t="shared" si="36"/>
        <v>157</v>
      </c>
      <c r="BD47" s="267">
        <f t="shared" si="37"/>
        <v>185</v>
      </c>
      <c r="BE47" s="267">
        <f t="shared" si="38"/>
        <v>204</v>
      </c>
      <c r="BF47" s="267">
        <f t="shared" si="39"/>
        <v>217</v>
      </c>
      <c r="BG47" s="269">
        <f>AY47*VLOOKUP($B47,'Major Cities &amp; Towns'!$A$28:$B$345,2,FALSE)</f>
        <v>659</v>
      </c>
      <c r="BH47" s="269">
        <f>AZ47*VLOOKUP($B47,'Major Cities &amp; Towns'!$A$28:$B$345,2,FALSE)</f>
        <v>652</v>
      </c>
      <c r="BI47" s="269">
        <f>BA47*VLOOKUP($B47,'Major Cities &amp; Towns'!$A$28:$B$345,2,FALSE)</f>
        <v>657</v>
      </c>
      <c r="BJ47" s="269">
        <f>BB47*VLOOKUP($B47,'Major Cities &amp; Towns'!$A$28:$B$345,2,FALSE)</f>
        <v>117</v>
      </c>
      <c r="BK47" s="269">
        <f>BC47*VLOOKUP($B47,'Major Cities &amp; Towns'!$A$28:$B$345,2,FALSE)</f>
        <v>157</v>
      </c>
      <c r="BL47" s="269">
        <f>BD47*VLOOKUP($B47,'Major Cities &amp; Towns'!$A$28:$B$345,2,FALSE)</f>
        <v>185</v>
      </c>
      <c r="BM47" s="269">
        <f>BE47*VLOOKUP($B47,'Major Cities &amp; Towns'!$A$28:$B$345,2,FALSE)</f>
        <v>204</v>
      </c>
      <c r="BN47" s="269">
        <f>BF47*VLOOKUP($B47,'Major Cities &amp; Towns'!$A$28:$B$345,2,FALSE)</f>
        <v>217</v>
      </c>
      <c r="BO47" s="270">
        <f t="shared" si="40"/>
        <v>659</v>
      </c>
      <c r="BP47" s="270">
        <f t="shared" si="41"/>
        <v>652</v>
      </c>
      <c r="BQ47" s="270">
        <f t="shared" si="42"/>
        <v>657</v>
      </c>
      <c r="BR47" s="270">
        <f t="shared" si="43"/>
        <v>117</v>
      </c>
      <c r="BS47" s="270">
        <f t="shared" si="44"/>
        <v>157</v>
      </c>
      <c r="BT47" s="270">
        <f t="shared" si="45"/>
        <v>185</v>
      </c>
      <c r="BU47" s="270">
        <f t="shared" si="46"/>
        <v>204</v>
      </c>
      <c r="BV47" s="270">
        <f t="shared" si="47"/>
        <v>217</v>
      </c>
      <c r="BW47" s="39">
        <f>VLOOKUP($A47,NetAdditions!$A$2:$H$336,6,FALSE)</f>
        <v>877</v>
      </c>
      <c r="BX47" s="39">
        <f>VLOOKUP($A47,NetAdditions!$A$2:$H$336,7,FALSE)</f>
        <v>464</v>
      </c>
      <c r="BY47" s="39">
        <f>IF((VLOOKUP($C47,NetAdditions!$A$2:$H$336,8,FALSE))="",(AVERAGE(VLOOKUP($C47,NetAdditions!$A$2:$H$336,5,FALSE),VLOOKUP($C47,NetAdditions!$A$2:$H$336,6,FALSE),VLOOKUP($C47,NetAdditions!$A$2:$H$336,7,FALSE))),VLOOKUP($C47,NetAdditions!$A$2:$H$336,8,FALSE))</f>
        <v>420</v>
      </c>
      <c r="BZ47" s="39">
        <f t="shared" si="48"/>
        <v>587</v>
      </c>
      <c r="CA47" s="39">
        <f t="shared" si="49"/>
        <v>490.33333333333331</v>
      </c>
      <c r="CB47" s="39">
        <f t="shared" si="50"/>
        <v>499.11111111111109</v>
      </c>
      <c r="CC47" s="39">
        <f t="shared" si="51"/>
        <v>525.48148148148141</v>
      </c>
      <c r="CD47" s="39">
        <f t="shared" si="52"/>
        <v>504.97530864197523</v>
      </c>
      <c r="CE47" s="276">
        <f t="shared" si="5"/>
        <v>1968</v>
      </c>
      <c r="CF47" s="276">
        <f t="shared" si="6"/>
        <v>1426</v>
      </c>
      <c r="CG47" s="276">
        <f t="shared" si="7"/>
        <v>931</v>
      </c>
      <c r="CH47" s="276">
        <f t="shared" si="8"/>
        <v>459</v>
      </c>
      <c r="CI47" s="276">
        <f t="shared" si="9"/>
        <v>546</v>
      </c>
      <c r="CJ47" s="276">
        <f t="shared" si="10"/>
        <v>606</v>
      </c>
      <c r="CK47" s="276">
        <f t="shared" si="53"/>
        <v>1694.6666666666667</v>
      </c>
      <c r="CL47" s="276">
        <f t="shared" si="54"/>
        <v>1227.9444444444446</v>
      </c>
      <c r="CM47" s="276">
        <f t="shared" si="55"/>
        <v>853.41666666666663</v>
      </c>
      <c r="CN47" s="276">
        <f t="shared" si="56"/>
        <v>459</v>
      </c>
      <c r="CO47" s="276">
        <f t="shared" si="57"/>
        <v>546</v>
      </c>
      <c r="CP47" s="276">
        <f t="shared" si="58"/>
        <v>606</v>
      </c>
      <c r="CQ47" s="39">
        <f t="shared" si="12"/>
        <v>1761</v>
      </c>
      <c r="CR47" s="39">
        <f t="shared" si="13"/>
        <v>1471</v>
      </c>
      <c r="CS47" s="277">
        <f t="shared" si="14"/>
        <v>1497.3333333333333</v>
      </c>
      <c r="CT47" s="39">
        <f t="shared" si="15"/>
        <v>1576.4444444444443</v>
      </c>
      <c r="CU47" s="39">
        <f t="shared" si="16"/>
        <v>1514.9259259259256</v>
      </c>
      <c r="CV47" s="39">
        <f t="shared" si="59"/>
        <v>1529.5679012345679</v>
      </c>
      <c r="CW47" s="297">
        <f t="shared" si="18"/>
        <v>1.0391424075531077</v>
      </c>
      <c r="CX47" s="279" t="str">
        <f t="shared" si="60"/>
        <v>Pass</v>
      </c>
      <c r="CY47" s="278">
        <f t="shared" si="19"/>
        <v>1.1979369316382391</v>
      </c>
      <c r="CZ47" s="279" t="str">
        <f t="shared" si="61"/>
        <v>Pass</v>
      </c>
      <c r="DA47" s="278">
        <f t="shared" si="20"/>
        <v>1.7545161605311981</v>
      </c>
      <c r="DB47" s="292" t="str">
        <f t="shared" si="62"/>
        <v>Pass</v>
      </c>
      <c r="DC47" s="299">
        <f t="shared" si="63"/>
        <v>3.4345194868070683</v>
      </c>
      <c r="DD47" s="293" t="str">
        <f t="shared" si="64"/>
        <v>Pass</v>
      </c>
      <c r="DE47" s="299">
        <f t="shared" si="65"/>
        <v>2.7745896079229406</v>
      </c>
      <c r="DF47" s="293" t="str">
        <f t="shared" si="66"/>
        <v>Pass</v>
      </c>
      <c r="DG47" s="299">
        <f t="shared" si="67"/>
        <v>2.5240394409811353</v>
      </c>
      <c r="DH47" s="293" t="str">
        <f t="shared" si="68"/>
        <v>Pass</v>
      </c>
    </row>
    <row r="48" spans="1:112" customFormat="1" ht="15.5" thickTop="1" thickBot="1">
      <c r="A48" s="3" t="s">
        <v>205</v>
      </c>
      <c r="B48" s="3" t="s">
        <v>206</v>
      </c>
      <c r="C48" s="3" t="s">
        <v>205</v>
      </c>
      <c r="D48" s="3" t="s">
        <v>131</v>
      </c>
      <c r="E48" s="3" t="str">
        <f>VLOOKUP(C48,PoliticalControl!A:K,11,FALSE)</f>
        <v>LAB</v>
      </c>
      <c r="F48" s="3" t="str">
        <f>VLOOKUP(C48,UrbanRuralClassification!A:N,13,FALSE)</f>
        <v>Urban with Major Conurbation</v>
      </c>
      <c r="G48" s="3" t="str">
        <f>VLOOKUP(C48,UrbanRuralClassification!A:N,14,FALSE)</f>
        <v>Predominantly Urban</v>
      </c>
      <c r="H48" s="262">
        <f>IF(ISBLANK((VLOOKUP($A48,'local-plan-data'!$C$1:$AD$566,27,FALSE)))=TRUE,"",VLOOKUP($A48,'local-plan-data'!$C$1:$AD$566,27,FALSE))</f>
        <v>42919</v>
      </c>
      <c r="I48" s="263">
        <f>VLOOKUP($A48,'local-plan-data'!$C$1:$AD$566,28,FALSE)</f>
        <v>1120</v>
      </c>
      <c r="J48" s="264">
        <f t="shared" si="21"/>
        <v>1120</v>
      </c>
      <c r="K48" s="259">
        <f t="shared" si="22"/>
        <v>1120</v>
      </c>
      <c r="L48" s="259">
        <f t="shared" si="22"/>
        <v>1120</v>
      </c>
      <c r="M48" s="259">
        <f t="shared" si="22"/>
        <v>1120</v>
      </c>
      <c r="N48" s="259">
        <f t="shared" si="22"/>
        <v>1120</v>
      </c>
      <c r="O48" s="259">
        <f t="shared" si="22"/>
        <v>1120</v>
      </c>
      <c r="P48" s="259" t="str">
        <f t="shared" si="22"/>
        <v>-</v>
      </c>
      <c r="Q48" s="259" t="str">
        <f t="shared" si="22"/>
        <v>-</v>
      </c>
      <c r="R48" s="259" t="str">
        <f t="shared" si="22"/>
        <v>-</v>
      </c>
      <c r="S48" s="259">
        <f t="shared" si="23"/>
        <v>1554</v>
      </c>
      <c r="T48" s="259">
        <f t="shared" si="23"/>
        <v>1189</v>
      </c>
      <c r="U48" s="259">
        <f t="shared" si="23"/>
        <v>823</v>
      </c>
      <c r="V48" s="259">
        <f t="shared" si="23"/>
        <v>458</v>
      </c>
      <c r="W48" s="259">
        <f t="shared" si="23"/>
        <v>93</v>
      </c>
      <c r="X48" s="259">
        <f t="shared" si="23"/>
        <v>-272</v>
      </c>
      <c r="Y48" s="259">
        <f t="shared" si="23"/>
        <v>-638</v>
      </c>
      <c r="Z48" s="259">
        <f t="shared" si="23"/>
        <v>-1003</v>
      </c>
      <c r="AA48" s="267">
        <f>(VLOOKUP(A48,Hshldprojections2014!$A$2:$AW$319,40, FALSE)-VLOOKUP(A48,Hshldprojections2014!$A$2:$AW$319,30, FALSE))/10</f>
        <v>1674</v>
      </c>
      <c r="AB48" s="267">
        <f>(VLOOKUP(A48,Hshldprojections2014!$A$2:$AW$319,41, FALSE)-VLOOKUP(A48,Hshldprojections2014!$A$2:$AW$319,31, FALSE))/10</f>
        <v>1637.8</v>
      </c>
      <c r="AC48" s="267">
        <f>(VLOOKUP(A48,Hshldprojections2014!$A$2:$AW$319,42, FALSE)-VLOOKUP(A48,Hshldprojections2014!$A$2:$AW$319,32, FALSE))/10</f>
        <v>1609.6</v>
      </c>
      <c r="AD48" s="267">
        <f>IF(IndividualLATest!$J$7=2014,(VLOOKUP($A48,Hshldprojections2014!$A$2:$AY$326,43,FALSE)-VLOOKUP($A48,Hshldprojections2014!$A$2:$AY$326,33,FALSE))/10,IF(IndividualLATest!$J$7=2016,(VLOOKUP($A48,Hshldprojections2016!$A$1:$AQ$322,33,FALSE)-VLOOKUP($A48,Hshldprojections2016!$A$1:$AQ$322,23,FALSE))/10,(VLOOKUP($A48,Hshldprojections2018!$A$1:$AQ$327,33,FALSE)-VLOOKUP($A48,Hshldprojections2018!$A$1:$AQ$327,23,FALSE))/10))</f>
        <v>1439.1</v>
      </c>
      <c r="AE48" s="267">
        <f>IF(IndividualLATest!$J$7=2014,(VLOOKUP($A48,Hshldprojections2014!$A$2:$AY$326,44,FALSE)-VLOOKUP($A48,Hshldprojections2014!$A$2:$AY$326,34,FALSE))/10,IF(IndividualLATest!$J$7=2016,(VLOOKUP($A48,Hshldprojections2016!$A$1:$AQ$322,34,FALSE)-VLOOKUP($A48,Hshldprojections2016!$A$1:$AQ$322,24,FALSE))/10,(VLOOKUP($A48,Hshldprojections2018!$A$1:$AQ$327,34,FALSE)-VLOOKUP($A48,Hshldprojections2018!$A$1:$AQ$327,24,FALSE))/10))</f>
        <v>1387.3</v>
      </c>
      <c r="AF48" s="267">
        <f>IF(IndividualLATest!$J$7=2014,(VLOOKUP($A48,Hshldprojections2014!$A$2:$AY$326,45,FALSE)-VLOOKUP($A48,Hshldprojections2014!$A$2:$AY$326,35,FALSE))/10,IF(IndividualLATest!$J$7=2016,(VLOOKUP($A48,Hshldprojections2016!$A$1:$AQ$322,35,FALSE)-VLOOKUP($A48,Hshldprojections2016!$A$1:$AQ$322,25,FALSE))/10,(VLOOKUP($A48,Hshldprojections2018!$A$1:$AQ$327,35,FALSE)-VLOOKUP($A48,Hshldprojections2018!$A$1:$AQ$327,25,FALSE))/10))</f>
        <v>1344.5</v>
      </c>
      <c r="AG48" s="267">
        <f>IF(IndividualLATest!$J$7=2014,(VLOOKUP($A48,Hshldprojections2014!$A$2:$AY$326,46,FALSE)-VLOOKUP($A48,Hshldprojections2014!$A$2:$AY$326,36,FALSE))/10,IF(IndividualLATest!$J$7=2016,(VLOOKUP($A48,Hshldprojections2016!$A$1:$AQ$322,36,FALSE)-VLOOKUP($A48,Hshldprojections2016!$A$1:$AQ$322,26,FALSE))/10,(VLOOKUP($A48,Hshldprojections2018!$A$1:$AQ$327,36,FALSE)-VLOOKUP($A48,Hshldprojections2018!$A$1:$AQ$327,26,FALSE))/10))</f>
        <v>1308.3</v>
      </c>
      <c r="AH48" s="267">
        <f>IF(IndividualLATest!$J$7=2014,(VLOOKUP($A48,Hshldprojections2014!$A$2:$AY$326,47,FALSE)-VLOOKUP($A48,Hshldprojections2014!$A$2:$AY$326,37,FALSE))/10,IF(IndividualLATest!$J$7=2016,(VLOOKUP($A48,Hshldprojections2016!$A$1:$AQ$322,37,FALSE)-VLOOKUP($A48,Hshldprojections2016!$A$1:$AQ$322,27,FALSE))/10,(VLOOKUP($A48,Hshldprojections2018!$A$1:$AQ$327,37,FALSE)-VLOOKUP($A48,Hshldprojections2018!$A$1:$AQ$327,27,FALSE))/10))</f>
        <v>1283</v>
      </c>
      <c r="AI48" s="268">
        <f>VLOOKUP($A48,AffordabilityRatio!$A$2:$I$321,5,FALSE)</f>
        <v>20.100000000000001</v>
      </c>
      <c r="AJ48" s="268">
        <f>VLOOKUP($A48,AffordabilityRatio!$A$2:$I$321,6,FALSE)</f>
        <v>19.39</v>
      </c>
      <c r="AK48" s="268">
        <f>VLOOKUP($A48,AffordabilityRatio!$A$2:$I$321,7,FALSE)</f>
        <v>19.260000000000002</v>
      </c>
      <c r="AL48" s="268">
        <f>IF((VLOOKUP($A48,AffordabilityRatio!$A$2:$I$321,8,FALSE))="",AK48,VLOOKUP($A48,AffordabilityRatio!$A$2:$I$321,8,FALSE))</f>
        <v>19.79</v>
      </c>
      <c r="AM48" s="268">
        <f>IF((VLOOKUP($A48,AffordabilityRatio!$A$2:$I$321,9,FALSE))="",AL48,VLOOKUP($A48,AffordabilityRatio!$A$2:$I$321,9,FALSE))</f>
        <v>18.61</v>
      </c>
      <c r="AN48" s="268">
        <f>IF((VLOOKUP($A48,AffordabilityRatio!$A$2:$I$321,9,FALSE))="",AM48,VLOOKUP($A48,AffordabilityRatio!$A$2:$I$321,9,FALSE))</f>
        <v>18.61</v>
      </c>
      <c r="AO48" s="268">
        <f>IF((VLOOKUP($A48,AffordabilityRatio!$A$2:$I$321,9,FALSE))="",AN48,VLOOKUP($A48,AffordabilityRatio!$A$2:$I$321,9,FALSE))</f>
        <v>18.61</v>
      </c>
      <c r="AP48" s="268">
        <f>IF((VLOOKUP($A48,AffordabilityRatio!$A$2:$I$321,9,FALSE))="",AO48,VLOOKUP($A48,AffordabilityRatio!$A$2:$I$321,9,FALSE))</f>
        <v>18.61</v>
      </c>
      <c r="AQ48" s="267">
        <f t="shared" si="24"/>
        <v>3358</v>
      </c>
      <c r="AR48" s="267">
        <f t="shared" si="25"/>
        <v>3213</v>
      </c>
      <c r="AS48" s="267">
        <f t="shared" si="26"/>
        <v>3145</v>
      </c>
      <c r="AT48" s="267">
        <f t="shared" si="27"/>
        <v>2859</v>
      </c>
      <c r="AU48" s="267">
        <f t="shared" si="28"/>
        <v>2654</v>
      </c>
      <c r="AV48" s="267">
        <f t="shared" si="29"/>
        <v>2572</v>
      </c>
      <c r="AW48" s="267">
        <f t="shared" si="30"/>
        <v>2503</v>
      </c>
      <c r="AX48" s="267">
        <f t="shared" si="31"/>
        <v>2455</v>
      </c>
      <c r="AY48" s="267">
        <f t="shared" si="32"/>
        <v>1568</v>
      </c>
      <c r="AZ48" s="267">
        <f t="shared" si="33"/>
        <v>1568</v>
      </c>
      <c r="BA48" s="267">
        <f t="shared" si="34"/>
        <v>1568</v>
      </c>
      <c r="BB48" s="267">
        <f t="shared" si="35"/>
        <v>1568</v>
      </c>
      <c r="BC48" s="267">
        <f t="shared" si="36"/>
        <v>1568</v>
      </c>
      <c r="BD48" s="267">
        <f t="shared" si="37"/>
        <v>1882.3000000000002</v>
      </c>
      <c r="BE48" s="267">
        <f t="shared" si="38"/>
        <v>1831.62</v>
      </c>
      <c r="BF48" s="267">
        <f t="shared" si="39"/>
        <v>1796.2</v>
      </c>
      <c r="BG48" s="269">
        <f>AY48*VLOOKUP($B48,'Major Cities &amp; Towns'!$A$28:$B$345,2,FALSE)</f>
        <v>2116.8000000000002</v>
      </c>
      <c r="BH48" s="269">
        <f>AZ48*VLOOKUP($B48,'Major Cities &amp; Towns'!$A$28:$B$345,2,FALSE)</f>
        <v>2116.8000000000002</v>
      </c>
      <c r="BI48" s="269">
        <f>BA48*VLOOKUP($B48,'Major Cities &amp; Towns'!$A$28:$B$345,2,FALSE)</f>
        <v>2116.8000000000002</v>
      </c>
      <c r="BJ48" s="269">
        <f>BB48*VLOOKUP($B48,'Major Cities &amp; Towns'!$A$28:$B$345,2,FALSE)</f>
        <v>2116.8000000000002</v>
      </c>
      <c r="BK48" s="269">
        <f>BC48*VLOOKUP($B48,'Major Cities &amp; Towns'!$A$28:$B$345,2,FALSE)</f>
        <v>2116.8000000000002</v>
      </c>
      <c r="BL48" s="269">
        <f>BD48*VLOOKUP($B48,'Major Cities &amp; Towns'!$A$28:$B$345,2,FALSE)</f>
        <v>2541.1050000000005</v>
      </c>
      <c r="BM48" s="269">
        <f>BE48*VLOOKUP($B48,'Major Cities &amp; Towns'!$A$28:$B$345,2,FALSE)</f>
        <v>2472.6869999999999</v>
      </c>
      <c r="BN48" s="269">
        <f>BF48*VLOOKUP($B48,'Major Cities &amp; Towns'!$A$28:$B$345,2,FALSE)</f>
        <v>2424.8700000000003</v>
      </c>
      <c r="BO48" s="270">
        <f t="shared" si="40"/>
        <v>1120</v>
      </c>
      <c r="BP48" s="270">
        <f t="shared" si="41"/>
        <v>1120</v>
      </c>
      <c r="BQ48" s="270">
        <f t="shared" si="42"/>
        <v>1120</v>
      </c>
      <c r="BR48" s="270">
        <f t="shared" si="43"/>
        <v>1120</v>
      </c>
      <c r="BS48" s="270">
        <f t="shared" si="44"/>
        <v>2263.1452054794522</v>
      </c>
      <c r="BT48" s="270">
        <f t="shared" si="45"/>
        <v>2572</v>
      </c>
      <c r="BU48" s="270">
        <f t="shared" si="46"/>
        <v>2503</v>
      </c>
      <c r="BV48" s="270">
        <f t="shared" si="47"/>
        <v>2455</v>
      </c>
      <c r="BW48" s="39">
        <f>VLOOKUP($A48,NetAdditions!$A$2:$H$336,6,FALSE)</f>
        <v>827</v>
      </c>
      <c r="BX48" s="39">
        <f>VLOOKUP($A48,NetAdditions!$A$2:$H$336,7,FALSE)</f>
        <v>985</v>
      </c>
      <c r="BY48" s="39">
        <f>IF((VLOOKUP($C48,NetAdditions!$A$2:$H$336,8,FALSE))="",(AVERAGE(VLOOKUP($C48,NetAdditions!$A$2:$H$336,5,FALSE),VLOOKUP($C48,NetAdditions!$A$2:$H$336,6,FALSE),VLOOKUP($C48,NetAdditions!$A$2:$H$336,7,FALSE))),VLOOKUP($C48,NetAdditions!$A$2:$H$336,8,FALSE))</f>
        <v>509</v>
      </c>
      <c r="BZ48" s="39">
        <f t="shared" si="48"/>
        <v>773.66666666666663</v>
      </c>
      <c r="CA48" s="39">
        <f t="shared" si="49"/>
        <v>755.8888888888888</v>
      </c>
      <c r="CB48" s="39">
        <f t="shared" si="50"/>
        <v>679.51851851851836</v>
      </c>
      <c r="CC48" s="39">
        <f t="shared" si="51"/>
        <v>736.35802469135797</v>
      </c>
      <c r="CD48" s="39">
        <f t="shared" si="52"/>
        <v>723.92181069958826</v>
      </c>
      <c r="CE48" s="276">
        <f t="shared" si="5"/>
        <v>3360</v>
      </c>
      <c r="CF48" s="276">
        <f t="shared" si="6"/>
        <v>3360</v>
      </c>
      <c r="CG48" s="276">
        <f t="shared" si="7"/>
        <v>4503.1452054794518</v>
      </c>
      <c r="CH48" s="276">
        <f t="shared" si="8"/>
        <v>5955.1452054794518</v>
      </c>
      <c r="CI48" s="276">
        <f t="shared" si="9"/>
        <v>7338.1452054794518</v>
      </c>
      <c r="CJ48" s="276">
        <f t="shared" si="10"/>
        <v>7530</v>
      </c>
      <c r="CK48" s="276">
        <f t="shared" si="53"/>
        <v>2893.3333333333335</v>
      </c>
      <c r="CL48" s="276">
        <f t="shared" si="54"/>
        <v>2893.3333333333335</v>
      </c>
      <c r="CM48" s="276">
        <f t="shared" si="55"/>
        <v>4127.8831050228309</v>
      </c>
      <c r="CN48" s="276">
        <f t="shared" si="56"/>
        <v>5955.1452054794518</v>
      </c>
      <c r="CO48" s="276">
        <f t="shared" si="57"/>
        <v>7338.1452054794518</v>
      </c>
      <c r="CP48" s="276">
        <f t="shared" si="58"/>
        <v>7530</v>
      </c>
      <c r="CQ48" s="39">
        <f t="shared" si="12"/>
        <v>2321</v>
      </c>
      <c r="CR48" s="39">
        <f t="shared" si="13"/>
        <v>2267.6666666666665</v>
      </c>
      <c r="CS48" s="277">
        <f t="shared" si="14"/>
        <v>2038.5555555555552</v>
      </c>
      <c r="CT48" s="39">
        <f t="shared" si="15"/>
        <v>2209.0740740740739</v>
      </c>
      <c r="CU48" s="39">
        <f t="shared" si="16"/>
        <v>2171.7654320987649</v>
      </c>
      <c r="CV48" s="39">
        <f t="shared" si="59"/>
        <v>2139.7983539094644</v>
      </c>
      <c r="CW48" s="297">
        <f t="shared" si="18"/>
        <v>0.8021889400921659</v>
      </c>
      <c r="CX48" s="279" t="str">
        <f t="shared" si="60"/>
        <v>Buffer and Action Plan</v>
      </c>
      <c r="CY48" s="278">
        <f t="shared" si="19"/>
        <v>0.78375576036866346</v>
      </c>
      <c r="CZ48" s="279" t="str">
        <f t="shared" si="61"/>
        <v>Buffer and Action Plan</v>
      </c>
      <c r="DA48" s="278">
        <f t="shared" si="20"/>
        <v>0.49385011728530526</v>
      </c>
      <c r="DB48" s="292" t="str">
        <f t="shared" si="62"/>
        <v>Presumption</v>
      </c>
      <c r="DC48" s="299">
        <f t="shared" si="63"/>
        <v>0.37095217628639171</v>
      </c>
      <c r="DD48" s="293" t="str">
        <f t="shared" si="64"/>
        <v>Presumption</v>
      </c>
      <c r="DE48" s="299">
        <f t="shared" si="65"/>
        <v>0.29595563610230691</v>
      </c>
      <c r="DF48" s="293" t="str">
        <f t="shared" si="66"/>
        <v>Presumption</v>
      </c>
      <c r="DG48" s="299">
        <f t="shared" si="67"/>
        <v>0.28416976811546674</v>
      </c>
      <c r="DH48" s="293" t="str">
        <f t="shared" si="68"/>
        <v>Presumption</v>
      </c>
    </row>
    <row r="49" spans="1:112" ht="15" thickTop="1" thickBot="1">
      <c r="A49" s="38" t="s">
        <v>207</v>
      </c>
      <c r="B49" s="38" t="s">
        <v>208</v>
      </c>
      <c r="C49" s="38" t="s">
        <v>207</v>
      </c>
      <c r="D49" s="38" t="s">
        <v>154</v>
      </c>
      <c r="E49" s="38" t="str">
        <f>VLOOKUP(C49,PoliticalControl!A:K,11,FALSE)</f>
        <v>CON</v>
      </c>
      <c r="F49" s="38" t="str">
        <f>VLOOKUP(C49,UrbanRuralClassification!A:N,13,FALSE)</f>
        <v>Urban with Significant Rural (rural including hub towns 26-49%)</v>
      </c>
      <c r="G49" s="38" t="str">
        <f>VLOOKUP(C49,UrbanRuralClassification!A:N,14,FALSE)</f>
        <v>Urban with Significant Rural</v>
      </c>
      <c r="H49" s="258">
        <f>IF(ISBLANK((VLOOKUP($A49,'local-plan-data'!$C$1:$AD$566,27,FALSE)))=TRUE,"",VLOOKUP($A49,'local-plan-data'!$C$1:$AD$566,27,FALSE))</f>
        <v>41801</v>
      </c>
      <c r="I49" s="259">
        <f>VLOOKUP($A49,'local-plan-data'!$C$1:$AD$566,28,FALSE)</f>
        <v>240.90909090909091</v>
      </c>
      <c r="J49" s="260">
        <f t="shared" si="21"/>
        <v>240.90909090909091</v>
      </c>
      <c r="K49" s="259">
        <f t="shared" si="22"/>
        <v>240.90909090909091</v>
      </c>
      <c r="L49" s="259">
        <f t="shared" si="22"/>
        <v>240.90909090909091</v>
      </c>
      <c r="M49" s="259" t="str">
        <f t="shared" si="22"/>
        <v>-</v>
      </c>
      <c r="N49" s="259" t="str">
        <f t="shared" si="22"/>
        <v>-</v>
      </c>
      <c r="O49" s="259" t="str">
        <f t="shared" si="22"/>
        <v>-</v>
      </c>
      <c r="P49" s="259" t="str">
        <f t="shared" si="22"/>
        <v>-</v>
      </c>
      <c r="Q49" s="259" t="str">
        <f t="shared" si="22"/>
        <v>-</v>
      </c>
      <c r="R49" s="259" t="str">
        <f t="shared" si="22"/>
        <v>-</v>
      </c>
      <c r="S49" s="259">
        <f t="shared" si="23"/>
        <v>436</v>
      </c>
      <c r="T49" s="259">
        <f t="shared" si="23"/>
        <v>71</v>
      </c>
      <c r="U49" s="259">
        <f t="shared" si="23"/>
        <v>-295</v>
      </c>
      <c r="V49" s="259">
        <f t="shared" si="23"/>
        <v>-660</v>
      </c>
      <c r="W49" s="259">
        <f t="shared" si="23"/>
        <v>-1025</v>
      </c>
      <c r="X49" s="259">
        <f t="shared" si="23"/>
        <v>-1390</v>
      </c>
      <c r="Y49" s="259">
        <f t="shared" si="23"/>
        <v>-1756</v>
      </c>
      <c r="Z49" s="259">
        <f t="shared" si="23"/>
        <v>-2121</v>
      </c>
      <c r="AA49" s="267">
        <f>(VLOOKUP(A49,Hshldprojections2014!$A$2:$AW$319,40, FALSE)-VLOOKUP(A49,Hshldprojections2014!$A$2:$AW$319,30, FALSE))/10</f>
        <v>249.4</v>
      </c>
      <c r="AB49" s="267">
        <f>(VLOOKUP(A49,Hshldprojections2014!$A$2:$AW$319,41, FALSE)-VLOOKUP(A49,Hshldprojections2014!$A$2:$AW$319,31, FALSE))/10</f>
        <v>242.1</v>
      </c>
      <c r="AC49" s="267">
        <f>(VLOOKUP(A49,Hshldprojections2014!$A$2:$AW$319,42, FALSE)-VLOOKUP(A49,Hshldprojections2014!$A$2:$AW$319,32, FALSE))/10</f>
        <v>235.9</v>
      </c>
      <c r="AD49" s="267">
        <f>IF(IndividualLATest!$J$7=2014,(VLOOKUP($A49,Hshldprojections2014!$A$2:$AY$326,43,FALSE)-VLOOKUP($A49,Hshldprojections2014!$A$2:$AY$326,33,FALSE))/10,IF(IndividualLATest!$J$7=2016,(VLOOKUP($A49,Hshldprojections2016!$A$1:$AQ$322,33,FALSE)-VLOOKUP($A49,Hshldprojections2016!$A$1:$AQ$322,23,FALSE))/10,(VLOOKUP($A49,Hshldprojections2018!$A$1:$AQ$327,33,FALSE)-VLOOKUP($A49,Hshldprojections2018!$A$1:$AQ$327,23,FALSE))/10))</f>
        <v>384.7</v>
      </c>
      <c r="AE49" s="267">
        <f>IF(IndividualLATest!$J$7=2014,(VLOOKUP($A49,Hshldprojections2014!$A$2:$AY$326,44,FALSE)-VLOOKUP($A49,Hshldprojections2014!$A$2:$AY$326,34,FALSE))/10,IF(IndividualLATest!$J$7=2016,(VLOOKUP($A49,Hshldprojections2016!$A$1:$AQ$322,34,FALSE)-VLOOKUP($A49,Hshldprojections2016!$A$1:$AQ$322,24,FALSE))/10,(VLOOKUP($A49,Hshldprojections2018!$A$1:$AQ$327,34,FALSE)-VLOOKUP($A49,Hshldprojections2018!$A$1:$AQ$327,24,FALSE))/10))</f>
        <v>373.4</v>
      </c>
      <c r="AF49" s="267">
        <f>IF(IndividualLATest!$J$7=2014,(VLOOKUP($A49,Hshldprojections2014!$A$2:$AY$326,45,FALSE)-VLOOKUP($A49,Hshldprojections2014!$A$2:$AY$326,35,FALSE))/10,IF(IndividualLATest!$J$7=2016,(VLOOKUP($A49,Hshldprojections2016!$A$1:$AQ$322,35,FALSE)-VLOOKUP($A49,Hshldprojections2016!$A$1:$AQ$322,25,FALSE))/10,(VLOOKUP($A49,Hshldprojections2018!$A$1:$AQ$327,35,FALSE)-VLOOKUP($A49,Hshldprojections2018!$A$1:$AQ$327,25,FALSE))/10))</f>
        <v>368.2</v>
      </c>
      <c r="AG49" s="267">
        <f>IF(IndividualLATest!$J$7=2014,(VLOOKUP($A49,Hshldprojections2014!$A$2:$AY$326,46,FALSE)-VLOOKUP($A49,Hshldprojections2014!$A$2:$AY$326,36,FALSE))/10,IF(IndividualLATest!$J$7=2016,(VLOOKUP($A49,Hshldprojections2016!$A$1:$AQ$322,36,FALSE)-VLOOKUP($A49,Hshldprojections2016!$A$1:$AQ$322,26,FALSE))/10,(VLOOKUP($A49,Hshldprojections2018!$A$1:$AQ$327,36,FALSE)-VLOOKUP($A49,Hshldprojections2018!$A$1:$AQ$327,26,FALSE))/10))</f>
        <v>361.6</v>
      </c>
      <c r="AH49" s="267">
        <f>IF(IndividualLATest!$J$7=2014,(VLOOKUP($A49,Hshldprojections2014!$A$2:$AY$326,47,FALSE)-VLOOKUP($A49,Hshldprojections2014!$A$2:$AY$326,37,FALSE))/10,IF(IndividualLATest!$J$7=2016,(VLOOKUP($A49,Hshldprojections2016!$A$1:$AQ$322,37,FALSE)-VLOOKUP($A49,Hshldprojections2016!$A$1:$AQ$322,27,FALSE))/10,(VLOOKUP($A49,Hshldprojections2018!$A$1:$AQ$327,37,FALSE)-VLOOKUP($A49,Hshldprojections2018!$A$1:$AQ$327,27,FALSE))/10))</f>
        <v>356.8</v>
      </c>
      <c r="AI49" s="268">
        <f>VLOOKUP($A49,AffordabilityRatio!$A$2:$I$321,5,FALSE)</f>
        <v>6.31</v>
      </c>
      <c r="AJ49" s="268">
        <f>VLOOKUP($A49,AffordabilityRatio!$A$2:$I$321,6,FALSE)</f>
        <v>6.35</v>
      </c>
      <c r="AK49" s="268">
        <f>VLOOKUP($A49,AffordabilityRatio!$A$2:$I$321,7,FALSE)</f>
        <v>6.73</v>
      </c>
      <c r="AL49" s="268">
        <f>IF((VLOOKUP($A49,AffordabilityRatio!$A$2:$I$321,8,FALSE))="",AK49,VLOOKUP($A49,AffordabilityRatio!$A$2:$I$321,8,FALSE))</f>
        <v>6.89</v>
      </c>
      <c r="AM49" s="268">
        <f>IF((VLOOKUP($A49,AffordabilityRatio!$A$2:$I$321,9,FALSE))="",AL49,VLOOKUP($A49,AffordabilityRatio!$A$2:$I$321,9,FALSE))</f>
        <v>6.67</v>
      </c>
      <c r="AN49" s="268">
        <f>IF((VLOOKUP($A49,AffordabilityRatio!$A$2:$I$321,9,FALSE))="",AM49,VLOOKUP($A49,AffordabilityRatio!$A$2:$I$321,9,FALSE))</f>
        <v>6.67</v>
      </c>
      <c r="AO49" s="268">
        <f>IF((VLOOKUP($A49,AffordabilityRatio!$A$2:$I$321,9,FALSE))="",AN49,VLOOKUP($A49,AffordabilityRatio!$A$2:$I$321,9,FALSE))</f>
        <v>6.67</v>
      </c>
      <c r="AP49" s="268">
        <f>IF((VLOOKUP($A49,AffordabilityRatio!$A$2:$I$321,9,FALSE))="",AO49,VLOOKUP($A49,AffordabilityRatio!$A$2:$I$321,9,FALSE))</f>
        <v>6.67</v>
      </c>
      <c r="AQ49" s="267">
        <f t="shared" si="24"/>
        <v>285</v>
      </c>
      <c r="AR49" s="267">
        <f t="shared" si="25"/>
        <v>278</v>
      </c>
      <c r="AS49" s="267">
        <f t="shared" si="26"/>
        <v>276</v>
      </c>
      <c r="AT49" s="267">
        <f t="shared" si="27"/>
        <v>454</v>
      </c>
      <c r="AU49" s="267">
        <f t="shared" si="28"/>
        <v>436</v>
      </c>
      <c r="AV49" s="267">
        <f t="shared" si="29"/>
        <v>430</v>
      </c>
      <c r="AW49" s="267">
        <f t="shared" si="30"/>
        <v>422</v>
      </c>
      <c r="AX49" s="267">
        <f t="shared" si="31"/>
        <v>416</v>
      </c>
      <c r="AY49" s="267">
        <f t="shared" si="32"/>
        <v>285</v>
      </c>
      <c r="AZ49" s="267">
        <f t="shared" si="33"/>
        <v>278</v>
      </c>
      <c r="BA49" s="267">
        <f t="shared" si="34"/>
        <v>276</v>
      </c>
      <c r="BB49" s="267">
        <f t="shared" si="35"/>
        <v>454</v>
      </c>
      <c r="BC49" s="267">
        <f t="shared" si="36"/>
        <v>436</v>
      </c>
      <c r="BD49" s="267">
        <f t="shared" si="37"/>
        <v>430</v>
      </c>
      <c r="BE49" s="267">
        <f t="shared" si="38"/>
        <v>422</v>
      </c>
      <c r="BF49" s="267">
        <f t="shared" si="39"/>
        <v>416</v>
      </c>
      <c r="BG49" s="269">
        <f>AY49*VLOOKUP($B49,'Major Cities &amp; Towns'!$A$28:$B$345,2,FALSE)</f>
        <v>285</v>
      </c>
      <c r="BH49" s="269">
        <f>AZ49*VLOOKUP($B49,'Major Cities &amp; Towns'!$A$28:$B$345,2,FALSE)</f>
        <v>278</v>
      </c>
      <c r="BI49" s="269">
        <f>BA49*VLOOKUP($B49,'Major Cities &amp; Towns'!$A$28:$B$345,2,FALSE)</f>
        <v>276</v>
      </c>
      <c r="BJ49" s="269">
        <f>BB49*VLOOKUP($B49,'Major Cities &amp; Towns'!$A$28:$B$345,2,FALSE)</f>
        <v>454</v>
      </c>
      <c r="BK49" s="269">
        <f>BC49*VLOOKUP($B49,'Major Cities &amp; Towns'!$A$28:$B$345,2,FALSE)</f>
        <v>436</v>
      </c>
      <c r="BL49" s="269">
        <f>BD49*VLOOKUP($B49,'Major Cities &amp; Towns'!$A$28:$B$345,2,FALSE)</f>
        <v>430</v>
      </c>
      <c r="BM49" s="269">
        <f>BE49*VLOOKUP($B49,'Major Cities &amp; Towns'!$A$28:$B$345,2,FALSE)</f>
        <v>422</v>
      </c>
      <c r="BN49" s="269">
        <f>BF49*VLOOKUP($B49,'Major Cities &amp; Towns'!$A$28:$B$345,2,FALSE)</f>
        <v>416</v>
      </c>
      <c r="BO49" s="270">
        <f t="shared" si="40"/>
        <v>240.90909090909091</v>
      </c>
      <c r="BP49" s="270">
        <f t="shared" si="41"/>
        <v>270.78505603985059</v>
      </c>
      <c r="BQ49" s="270">
        <f t="shared" si="42"/>
        <v>276</v>
      </c>
      <c r="BR49" s="270">
        <f t="shared" si="43"/>
        <v>454</v>
      </c>
      <c r="BS49" s="270">
        <f t="shared" si="44"/>
        <v>436</v>
      </c>
      <c r="BT49" s="270">
        <f t="shared" si="45"/>
        <v>430</v>
      </c>
      <c r="BU49" s="270">
        <f t="shared" si="46"/>
        <v>422</v>
      </c>
      <c r="BV49" s="270">
        <f t="shared" si="47"/>
        <v>416</v>
      </c>
      <c r="BW49" s="39">
        <f>VLOOKUP($A49,NetAdditions!$A$2:$H$336,6,FALSE)</f>
        <v>234</v>
      </c>
      <c r="BX49" s="39">
        <f>VLOOKUP($A49,NetAdditions!$A$2:$H$336,7,FALSE)</f>
        <v>930</v>
      </c>
      <c r="BY49" s="39">
        <f>IF((VLOOKUP($C49,NetAdditions!$A$2:$H$336,8,FALSE))="",(AVERAGE(VLOOKUP($C49,NetAdditions!$A$2:$H$336,5,FALSE),VLOOKUP($C49,NetAdditions!$A$2:$H$336,6,FALSE),VLOOKUP($C49,NetAdditions!$A$2:$H$336,7,FALSE))),VLOOKUP($C49,NetAdditions!$A$2:$H$336,8,FALSE))</f>
        <v>319</v>
      </c>
      <c r="BZ49" s="39">
        <f t="shared" si="48"/>
        <v>494.33333333333331</v>
      </c>
      <c r="CA49" s="39">
        <f t="shared" si="49"/>
        <v>581.11111111111109</v>
      </c>
      <c r="CB49" s="39">
        <f t="shared" si="50"/>
        <v>464.81481481481478</v>
      </c>
      <c r="CC49" s="39">
        <f t="shared" si="51"/>
        <v>513.41975308641975</v>
      </c>
      <c r="CD49" s="39">
        <f t="shared" si="52"/>
        <v>519.7818930041152</v>
      </c>
      <c r="CE49" s="276">
        <f t="shared" si="5"/>
        <v>787.69414694894147</v>
      </c>
      <c r="CF49" s="276">
        <f t="shared" si="6"/>
        <v>1000.7850560398506</v>
      </c>
      <c r="CG49" s="276">
        <f t="shared" si="7"/>
        <v>1166</v>
      </c>
      <c r="CH49" s="276">
        <f t="shared" si="8"/>
        <v>1320</v>
      </c>
      <c r="CI49" s="276">
        <f t="shared" si="9"/>
        <v>1288</v>
      </c>
      <c r="CJ49" s="276">
        <f t="shared" si="10"/>
        <v>1268</v>
      </c>
      <c r="CK49" s="276">
        <f t="shared" si="53"/>
        <v>678.29218209492183</v>
      </c>
      <c r="CL49" s="276">
        <f t="shared" si="54"/>
        <v>861.78713158987136</v>
      </c>
      <c r="CM49" s="276">
        <f t="shared" si="55"/>
        <v>1068.8333333333333</v>
      </c>
      <c r="CN49" s="276">
        <f t="shared" si="56"/>
        <v>1320</v>
      </c>
      <c r="CO49" s="276">
        <f t="shared" si="57"/>
        <v>1288</v>
      </c>
      <c r="CP49" s="276">
        <f t="shared" si="58"/>
        <v>1268</v>
      </c>
      <c r="CQ49" s="39">
        <f t="shared" si="12"/>
        <v>1483</v>
      </c>
      <c r="CR49" s="39">
        <f t="shared" si="13"/>
        <v>1743.3333333333333</v>
      </c>
      <c r="CS49" s="277">
        <f t="shared" si="14"/>
        <v>1394.4444444444443</v>
      </c>
      <c r="CT49" s="39">
        <f t="shared" si="15"/>
        <v>1540.2592592592591</v>
      </c>
      <c r="CU49" s="39">
        <f t="shared" si="16"/>
        <v>1559.3456790123455</v>
      </c>
      <c r="CV49" s="39">
        <f t="shared" si="59"/>
        <v>1498.0164609053497</v>
      </c>
      <c r="CW49" s="297">
        <f t="shared" si="18"/>
        <v>2.1863734230574772</v>
      </c>
      <c r="CX49" s="279" t="str">
        <f t="shared" si="60"/>
        <v>Pass</v>
      </c>
      <c r="CY49" s="278">
        <f t="shared" si="19"/>
        <v>2.0229280171741921</v>
      </c>
      <c r="CZ49" s="279" t="str">
        <f t="shared" si="61"/>
        <v>Pass</v>
      </c>
      <c r="DA49" s="278">
        <f t="shared" si="20"/>
        <v>1.3046416133894694</v>
      </c>
      <c r="DB49" s="292" t="str">
        <f t="shared" si="62"/>
        <v>Pass</v>
      </c>
      <c r="DC49" s="299">
        <f t="shared" si="63"/>
        <v>1.1668630751964084</v>
      </c>
      <c r="DD49" s="293" t="str">
        <f t="shared" si="64"/>
        <v>Pass</v>
      </c>
      <c r="DE49" s="299">
        <f t="shared" si="65"/>
        <v>1.2106721110344298</v>
      </c>
      <c r="DF49" s="293" t="str">
        <f t="shared" si="66"/>
        <v>Pass</v>
      </c>
      <c r="DG49" s="299">
        <f t="shared" si="67"/>
        <v>1.18140099440485</v>
      </c>
      <c r="DH49" s="293" t="str">
        <f t="shared" si="68"/>
        <v>Pass</v>
      </c>
    </row>
    <row r="50" spans="1:112" ht="15" thickTop="1" thickBot="1">
      <c r="A50" s="38" t="s">
        <v>209</v>
      </c>
      <c r="B50" s="38" t="s">
        <v>210</v>
      </c>
      <c r="C50" s="38" t="s">
        <v>209</v>
      </c>
      <c r="D50" s="38" t="s">
        <v>113</v>
      </c>
      <c r="E50" s="38" t="str">
        <f>VLOOKUP(C50,PoliticalControl!A:K,11,FALSE)</f>
        <v>CON</v>
      </c>
      <c r="F50" s="38" t="str">
        <f>VLOOKUP(C50,UrbanRuralClassification!A:N,13,FALSE)</f>
        <v>Urban with City and Town</v>
      </c>
      <c r="G50" s="38" t="str">
        <f>VLOOKUP(C50,UrbanRuralClassification!A:N,14,FALSE)</f>
        <v>Predominantly Urban</v>
      </c>
      <c r="H50" s="258">
        <f>IF(ISBLANK((VLOOKUP($A50,'local-plan-data'!$C$1:$AD$566,27,FALSE)))=TRUE,"",VLOOKUP($A50,'local-plan-data'!$C$1:$AD$566,27,FALSE))</f>
        <v>42929</v>
      </c>
      <c r="I50" s="259">
        <f>VLOOKUP($A50,'local-plan-data'!$C$1:$AD$566,28,FALSE)</f>
        <v>767</v>
      </c>
      <c r="J50" s="260">
        <f t="shared" si="21"/>
        <v>767</v>
      </c>
      <c r="K50" s="259">
        <f t="shared" si="22"/>
        <v>767</v>
      </c>
      <c r="L50" s="259">
        <f t="shared" si="22"/>
        <v>767</v>
      </c>
      <c r="M50" s="259">
        <f t="shared" si="22"/>
        <v>767</v>
      </c>
      <c r="N50" s="259">
        <f t="shared" si="22"/>
        <v>767</v>
      </c>
      <c r="O50" s="259">
        <f t="shared" si="22"/>
        <v>767</v>
      </c>
      <c r="P50" s="259" t="str">
        <f t="shared" si="22"/>
        <v>-</v>
      </c>
      <c r="Q50" s="259" t="str">
        <f t="shared" si="22"/>
        <v>-</v>
      </c>
      <c r="R50" s="259" t="str">
        <f t="shared" si="22"/>
        <v>-</v>
      </c>
      <c r="S50" s="259">
        <f t="shared" si="23"/>
        <v>1564</v>
      </c>
      <c r="T50" s="259">
        <f t="shared" si="23"/>
        <v>1199</v>
      </c>
      <c r="U50" s="259">
        <f t="shared" si="23"/>
        <v>833</v>
      </c>
      <c r="V50" s="259">
        <f t="shared" si="23"/>
        <v>468</v>
      </c>
      <c r="W50" s="259">
        <f t="shared" si="23"/>
        <v>103</v>
      </c>
      <c r="X50" s="259">
        <f t="shared" si="23"/>
        <v>-262</v>
      </c>
      <c r="Y50" s="259">
        <f t="shared" si="23"/>
        <v>-628</v>
      </c>
      <c r="Z50" s="259">
        <f t="shared" si="23"/>
        <v>-993</v>
      </c>
      <c r="AA50" s="267">
        <f>(VLOOKUP(A50,Hshldprojections2014!$A$2:$AW$319,40, FALSE)-VLOOKUP(A50,Hshldprojections2014!$A$2:$AW$319,30, FALSE))/10</f>
        <v>778.8</v>
      </c>
      <c r="AB50" s="267">
        <f>(VLOOKUP(A50,Hshldprojections2014!$A$2:$AW$319,41, FALSE)-VLOOKUP(A50,Hshldprojections2014!$A$2:$AW$319,31, FALSE))/10</f>
        <v>785.1</v>
      </c>
      <c r="AC50" s="267">
        <f>(VLOOKUP(A50,Hshldprojections2014!$A$2:$AW$319,42, FALSE)-VLOOKUP(A50,Hshldprojections2014!$A$2:$AW$319,32, FALSE))/10</f>
        <v>795.3</v>
      </c>
      <c r="AD50" s="267">
        <f>IF(IndividualLATest!$J$7=2014,(VLOOKUP($A50,Hshldprojections2014!$A$2:$AY$326,43,FALSE)-VLOOKUP($A50,Hshldprojections2014!$A$2:$AY$326,33,FALSE))/10,IF(IndividualLATest!$J$7=2016,(VLOOKUP($A50,Hshldprojections2016!$A$1:$AQ$322,33,FALSE)-VLOOKUP($A50,Hshldprojections2016!$A$1:$AQ$322,23,FALSE))/10,(VLOOKUP($A50,Hshldprojections2018!$A$1:$AQ$327,33,FALSE)-VLOOKUP($A50,Hshldprojections2018!$A$1:$AQ$327,23,FALSE))/10))</f>
        <v>515.70000000000005</v>
      </c>
      <c r="AE50" s="267">
        <f>IF(IndividualLATest!$J$7=2014,(VLOOKUP($A50,Hshldprojections2014!$A$2:$AY$326,44,FALSE)-VLOOKUP($A50,Hshldprojections2014!$A$2:$AY$326,34,FALSE))/10,IF(IndividualLATest!$J$7=2016,(VLOOKUP($A50,Hshldprojections2016!$A$1:$AQ$322,34,FALSE)-VLOOKUP($A50,Hshldprojections2016!$A$1:$AQ$322,24,FALSE))/10,(VLOOKUP($A50,Hshldprojections2018!$A$1:$AQ$327,34,FALSE)-VLOOKUP($A50,Hshldprojections2018!$A$1:$AQ$327,24,FALSE))/10))</f>
        <v>524</v>
      </c>
      <c r="AF50" s="267">
        <f>IF(IndividualLATest!$J$7=2014,(VLOOKUP($A50,Hshldprojections2014!$A$2:$AY$326,45,FALSE)-VLOOKUP($A50,Hshldprojections2014!$A$2:$AY$326,35,FALSE))/10,IF(IndividualLATest!$J$7=2016,(VLOOKUP($A50,Hshldprojections2016!$A$1:$AQ$322,35,FALSE)-VLOOKUP($A50,Hshldprojections2016!$A$1:$AQ$322,25,FALSE))/10,(VLOOKUP($A50,Hshldprojections2018!$A$1:$AQ$327,35,FALSE)-VLOOKUP($A50,Hshldprojections2018!$A$1:$AQ$327,25,FALSE))/10))</f>
        <v>526</v>
      </c>
      <c r="AG50" s="267">
        <f>IF(IndividualLATest!$J$7=2014,(VLOOKUP($A50,Hshldprojections2014!$A$2:$AY$326,46,FALSE)-VLOOKUP($A50,Hshldprojections2014!$A$2:$AY$326,36,FALSE))/10,IF(IndividualLATest!$J$7=2016,(VLOOKUP($A50,Hshldprojections2016!$A$1:$AQ$322,36,FALSE)-VLOOKUP($A50,Hshldprojections2016!$A$1:$AQ$322,26,FALSE))/10,(VLOOKUP($A50,Hshldprojections2018!$A$1:$AQ$327,36,FALSE)-VLOOKUP($A50,Hshldprojections2018!$A$1:$AQ$327,26,FALSE))/10))</f>
        <v>522.20000000000005</v>
      </c>
      <c r="AH50" s="267">
        <f>IF(IndividualLATest!$J$7=2014,(VLOOKUP($A50,Hshldprojections2014!$A$2:$AY$326,47,FALSE)-VLOOKUP($A50,Hshldprojections2014!$A$2:$AY$326,37,FALSE))/10,IF(IndividualLATest!$J$7=2016,(VLOOKUP($A50,Hshldprojections2016!$A$1:$AQ$322,37,FALSE)-VLOOKUP($A50,Hshldprojections2016!$A$1:$AQ$322,27,FALSE))/10,(VLOOKUP($A50,Hshldprojections2018!$A$1:$AQ$327,37,FALSE)-VLOOKUP($A50,Hshldprojections2018!$A$1:$AQ$327,27,FALSE))/10))</f>
        <v>518.4</v>
      </c>
      <c r="AI50" s="268">
        <f>VLOOKUP($A50,AffordabilityRatio!$A$2:$I$321,5,FALSE)</f>
        <v>11.12</v>
      </c>
      <c r="AJ50" s="268">
        <f>VLOOKUP($A50,AffordabilityRatio!$A$2:$I$321,6,FALSE)</f>
        <v>10.96</v>
      </c>
      <c r="AK50" s="268">
        <f>VLOOKUP($A50,AffordabilityRatio!$A$2:$I$321,7,FALSE)</f>
        <v>10.64</v>
      </c>
      <c r="AL50" s="268">
        <f>IF((VLOOKUP($A50,AffordabilityRatio!$A$2:$I$321,8,FALSE))="",AK50,VLOOKUP($A50,AffordabilityRatio!$A$2:$I$321,8,FALSE))</f>
        <v>11.2</v>
      </c>
      <c r="AM50" s="268">
        <f>IF((VLOOKUP($A50,AffordabilityRatio!$A$2:$I$321,9,FALSE))="",AL50,VLOOKUP($A50,AffordabilityRatio!$A$2:$I$321,9,FALSE))</f>
        <v>12.86</v>
      </c>
      <c r="AN50" s="268">
        <f>IF((VLOOKUP($A50,AffordabilityRatio!$A$2:$I$321,9,FALSE))="",AM50,VLOOKUP($A50,AffordabilityRatio!$A$2:$I$321,9,FALSE))</f>
        <v>12.86</v>
      </c>
      <c r="AO50" s="268">
        <f>IF((VLOOKUP($A50,AffordabilityRatio!$A$2:$I$321,9,FALSE))="",AN50,VLOOKUP($A50,AffordabilityRatio!$A$2:$I$321,9,FALSE))</f>
        <v>12.86</v>
      </c>
      <c r="AP50" s="268">
        <f>IF((VLOOKUP($A50,AffordabilityRatio!$A$2:$I$321,9,FALSE))="",AO50,VLOOKUP($A50,AffordabilityRatio!$A$2:$I$321,9,FALSE))</f>
        <v>12.86</v>
      </c>
      <c r="AQ50" s="267">
        <f t="shared" si="24"/>
        <v>1125</v>
      </c>
      <c r="AR50" s="267">
        <f t="shared" si="25"/>
        <v>1127</v>
      </c>
      <c r="AS50" s="267">
        <f t="shared" si="26"/>
        <v>1125</v>
      </c>
      <c r="AT50" s="267">
        <f t="shared" si="27"/>
        <v>748</v>
      </c>
      <c r="AU50" s="267">
        <f t="shared" si="28"/>
        <v>814</v>
      </c>
      <c r="AV50" s="267">
        <f t="shared" si="29"/>
        <v>817</v>
      </c>
      <c r="AW50" s="267">
        <f t="shared" si="30"/>
        <v>811</v>
      </c>
      <c r="AX50" s="267">
        <f t="shared" si="31"/>
        <v>805</v>
      </c>
      <c r="AY50" s="267">
        <f t="shared" si="32"/>
        <v>1073.8</v>
      </c>
      <c r="AZ50" s="267">
        <f t="shared" si="33"/>
        <v>1073.8</v>
      </c>
      <c r="BA50" s="267">
        <f t="shared" si="34"/>
        <v>1073.8</v>
      </c>
      <c r="BB50" s="267">
        <f t="shared" si="35"/>
        <v>748</v>
      </c>
      <c r="BC50" s="267">
        <f t="shared" si="36"/>
        <v>814</v>
      </c>
      <c r="BD50" s="267">
        <f t="shared" si="37"/>
        <v>817</v>
      </c>
      <c r="BE50" s="267">
        <f t="shared" si="38"/>
        <v>811</v>
      </c>
      <c r="BF50" s="267">
        <f t="shared" si="39"/>
        <v>805</v>
      </c>
      <c r="BG50" s="269">
        <f>AY50*VLOOKUP($B50,'Major Cities &amp; Towns'!$A$28:$B$345,2,FALSE)</f>
        <v>1073.8</v>
      </c>
      <c r="BH50" s="269">
        <f>AZ50*VLOOKUP($B50,'Major Cities &amp; Towns'!$A$28:$B$345,2,FALSE)</f>
        <v>1073.8</v>
      </c>
      <c r="BI50" s="269">
        <f>BA50*VLOOKUP($B50,'Major Cities &amp; Towns'!$A$28:$B$345,2,FALSE)</f>
        <v>1073.8</v>
      </c>
      <c r="BJ50" s="269">
        <f>BB50*VLOOKUP($B50,'Major Cities &amp; Towns'!$A$28:$B$345,2,FALSE)</f>
        <v>748</v>
      </c>
      <c r="BK50" s="269">
        <f>BC50*VLOOKUP($B50,'Major Cities &amp; Towns'!$A$28:$B$345,2,FALSE)</f>
        <v>814</v>
      </c>
      <c r="BL50" s="269">
        <f>BD50*VLOOKUP($B50,'Major Cities &amp; Towns'!$A$28:$B$345,2,FALSE)</f>
        <v>817</v>
      </c>
      <c r="BM50" s="269">
        <f>BE50*VLOOKUP($B50,'Major Cities &amp; Towns'!$A$28:$B$345,2,FALSE)</f>
        <v>811</v>
      </c>
      <c r="BN50" s="269">
        <f>BF50*VLOOKUP($B50,'Major Cities &amp; Towns'!$A$28:$B$345,2,FALSE)</f>
        <v>805</v>
      </c>
      <c r="BO50" s="270">
        <f t="shared" si="40"/>
        <v>767</v>
      </c>
      <c r="BP50" s="270">
        <f t="shared" si="41"/>
        <v>767</v>
      </c>
      <c r="BQ50" s="270">
        <f t="shared" si="42"/>
        <v>767</v>
      </c>
      <c r="BR50" s="270">
        <f t="shared" si="43"/>
        <v>748</v>
      </c>
      <c r="BS50" s="270">
        <f t="shared" si="44"/>
        <v>800.73698630136983</v>
      </c>
      <c r="BT50" s="270">
        <f t="shared" si="45"/>
        <v>817</v>
      </c>
      <c r="BU50" s="270">
        <f t="shared" si="46"/>
        <v>811</v>
      </c>
      <c r="BV50" s="270">
        <f t="shared" si="47"/>
        <v>805</v>
      </c>
      <c r="BW50" s="39">
        <f>VLOOKUP($A50,NetAdditions!$A$2:$H$336,6,FALSE)</f>
        <v>430</v>
      </c>
      <c r="BX50" s="39">
        <f>VLOOKUP($A50,NetAdditions!$A$2:$H$336,7,FALSE)</f>
        <v>536</v>
      </c>
      <c r="BY50" s="39">
        <f>IF((VLOOKUP($C50,NetAdditions!$A$2:$H$336,8,FALSE))="",(AVERAGE(VLOOKUP($C50,NetAdditions!$A$2:$H$336,5,FALSE),VLOOKUP($C50,NetAdditions!$A$2:$H$336,6,FALSE),VLOOKUP($C50,NetAdditions!$A$2:$H$336,7,FALSE))),VLOOKUP($C50,NetAdditions!$A$2:$H$336,8,FALSE))</f>
        <v>438</v>
      </c>
      <c r="BZ50" s="39">
        <f t="shared" si="48"/>
        <v>468</v>
      </c>
      <c r="CA50" s="39">
        <f t="shared" si="49"/>
        <v>480.66666666666669</v>
      </c>
      <c r="CB50" s="39">
        <f t="shared" si="50"/>
        <v>462.22222222222223</v>
      </c>
      <c r="CC50" s="39">
        <f t="shared" si="51"/>
        <v>470.2962962962963</v>
      </c>
      <c r="CD50" s="39">
        <f t="shared" si="52"/>
        <v>471.06172839506172</v>
      </c>
      <c r="CE50" s="276">
        <f t="shared" si="5"/>
        <v>2301</v>
      </c>
      <c r="CF50" s="276">
        <f t="shared" si="6"/>
        <v>2282</v>
      </c>
      <c r="CG50" s="276">
        <f t="shared" si="7"/>
        <v>2315.7369863013701</v>
      </c>
      <c r="CH50" s="276">
        <f t="shared" si="8"/>
        <v>2365.7369863013701</v>
      </c>
      <c r="CI50" s="276">
        <f t="shared" si="9"/>
        <v>2428.7369863013701</v>
      </c>
      <c r="CJ50" s="276">
        <f t="shared" si="10"/>
        <v>2433</v>
      </c>
      <c r="CK50" s="276">
        <f t="shared" si="53"/>
        <v>1981.4166666666667</v>
      </c>
      <c r="CL50" s="276">
        <f t="shared" si="54"/>
        <v>1965.0555555555557</v>
      </c>
      <c r="CM50" s="276">
        <f t="shared" si="55"/>
        <v>2122.7589041095889</v>
      </c>
      <c r="CN50" s="276">
        <f t="shared" si="56"/>
        <v>2365.7369863013701</v>
      </c>
      <c r="CO50" s="276">
        <f t="shared" si="57"/>
        <v>2428.7369863013701</v>
      </c>
      <c r="CP50" s="276">
        <f t="shared" si="58"/>
        <v>2433</v>
      </c>
      <c r="CQ50" s="39">
        <f t="shared" si="12"/>
        <v>1404</v>
      </c>
      <c r="CR50" s="39">
        <f t="shared" si="13"/>
        <v>1442</v>
      </c>
      <c r="CS50" s="277">
        <f t="shared" si="14"/>
        <v>1386.6666666666667</v>
      </c>
      <c r="CT50" s="39">
        <f t="shared" si="15"/>
        <v>1410.8888888888889</v>
      </c>
      <c r="CU50" s="39">
        <f t="shared" si="16"/>
        <v>1413.1851851851852</v>
      </c>
      <c r="CV50" s="39">
        <f t="shared" si="59"/>
        <v>1403.5802469135801</v>
      </c>
      <c r="CW50" s="297">
        <f t="shared" si="18"/>
        <v>0.70858392564242756</v>
      </c>
      <c r="CX50" s="279" t="str">
        <f t="shared" si="60"/>
        <v>Buffer and Action Plan</v>
      </c>
      <c r="CY50" s="278">
        <f t="shared" si="19"/>
        <v>0.73382149218286163</v>
      </c>
      <c r="CZ50" s="279" t="str">
        <f t="shared" si="61"/>
        <v>Buffer and Action Plan</v>
      </c>
      <c r="DA50" s="278">
        <f t="shared" si="20"/>
        <v>0.65323794613798458</v>
      </c>
      <c r="DB50" s="292" t="str">
        <f t="shared" si="62"/>
        <v>Presumption</v>
      </c>
      <c r="DC50" s="299">
        <f t="shared" si="63"/>
        <v>0.59638450810827226</v>
      </c>
      <c r="DD50" s="293" t="str">
        <f t="shared" si="64"/>
        <v>Presumption</v>
      </c>
      <c r="DE50" s="299">
        <f t="shared" si="65"/>
        <v>0.58186011624802181</v>
      </c>
      <c r="DF50" s="293" t="str">
        <f t="shared" si="66"/>
        <v>Presumption</v>
      </c>
      <c r="DG50" s="299">
        <f t="shared" si="67"/>
        <v>0.57689282651606255</v>
      </c>
      <c r="DH50" s="293" t="str">
        <f t="shared" si="68"/>
        <v>Presumption</v>
      </c>
    </row>
    <row r="51" spans="1:112" ht="15" thickTop="1" thickBot="1">
      <c r="A51" s="38" t="s">
        <v>211</v>
      </c>
      <c r="B51" s="38" t="s">
        <v>212</v>
      </c>
      <c r="C51" s="38" t="s">
        <v>211</v>
      </c>
      <c r="D51" s="38" t="s">
        <v>116</v>
      </c>
      <c r="E51" s="38" t="str">
        <f>VLOOKUP(C51,PoliticalControl!A:K,11,FALSE)</f>
        <v>NOC</v>
      </c>
      <c r="F51" s="38" t="str">
        <f>VLOOKUP(C51,UrbanRuralClassification!A:N,13,FALSE)</f>
        <v>Urban with Significant Rural (rural including hub towns 26-49%)</v>
      </c>
      <c r="G51" s="38" t="str">
        <f>VLOOKUP(C51,UrbanRuralClassification!A:N,14,FALSE)</f>
        <v>Urban with Significant Rural</v>
      </c>
      <c r="H51" s="258">
        <f>IF(ISBLANK((VLOOKUP($A51,'local-plan-data'!$C$1:$AD$566,27,FALSE)))=TRUE,"",VLOOKUP($A51,'local-plan-data'!$C$1:$AD$566,27,FALSE))</f>
        <v>42682</v>
      </c>
      <c r="I51" s="259">
        <f>VLOOKUP($A51,'local-plan-data'!$C$1:$AD$566,28,FALSE)</f>
        <v>565.05882352941171</v>
      </c>
      <c r="J51" s="260">
        <f t="shared" si="21"/>
        <v>565.05882352941171</v>
      </c>
      <c r="K51" s="259">
        <f t="shared" ref="K51:R82" si="69">IF(AND(ISNUMBER($H51),ISNUMBER($J51)),IF(($H51-K$1&gt;0),$J51,IF(DATEDIF($H51,K$1,"y")&lt;5,$J51,"-")),"-")</f>
        <v>565.05882352941171</v>
      </c>
      <c r="L51" s="259">
        <f t="shared" si="69"/>
        <v>565.05882352941171</v>
      </c>
      <c r="M51" s="259">
        <f t="shared" si="69"/>
        <v>565.05882352941171</v>
      </c>
      <c r="N51" s="259">
        <f t="shared" si="69"/>
        <v>565.05882352941171</v>
      </c>
      <c r="O51" s="259" t="str">
        <f t="shared" si="69"/>
        <v>-</v>
      </c>
      <c r="P51" s="259" t="str">
        <f t="shared" si="69"/>
        <v>-</v>
      </c>
      <c r="Q51" s="259" t="str">
        <f t="shared" si="69"/>
        <v>-</v>
      </c>
      <c r="R51" s="259" t="str">
        <f t="shared" si="69"/>
        <v>-</v>
      </c>
      <c r="S51" s="259">
        <f t="shared" ref="S51:Z82" si="70">IFERROR((EDATE($H51,60))-S$1,"-")</f>
        <v>1317</v>
      </c>
      <c r="T51" s="259">
        <f t="shared" si="70"/>
        <v>952</v>
      </c>
      <c r="U51" s="259">
        <f t="shared" si="70"/>
        <v>586</v>
      </c>
      <c r="V51" s="259">
        <f t="shared" si="70"/>
        <v>221</v>
      </c>
      <c r="W51" s="259">
        <f t="shared" si="70"/>
        <v>-144</v>
      </c>
      <c r="X51" s="259">
        <f t="shared" si="70"/>
        <v>-509</v>
      </c>
      <c r="Y51" s="259">
        <f t="shared" si="70"/>
        <v>-875</v>
      </c>
      <c r="Z51" s="259">
        <f t="shared" si="70"/>
        <v>-1240</v>
      </c>
      <c r="AA51" s="267">
        <f>(VLOOKUP(A51,Hshldprojections2014!$A$2:$AW$319,40, FALSE)-VLOOKUP(A51,Hshldprojections2014!$A$2:$AW$319,30, FALSE))/10</f>
        <v>184.9</v>
      </c>
      <c r="AB51" s="267">
        <f>(VLOOKUP(A51,Hshldprojections2014!$A$2:$AW$319,41, FALSE)-VLOOKUP(A51,Hshldprojections2014!$A$2:$AW$319,31, FALSE))/10</f>
        <v>180.9</v>
      </c>
      <c r="AC51" s="267">
        <f>(VLOOKUP(A51,Hshldprojections2014!$A$2:$AW$319,42, FALSE)-VLOOKUP(A51,Hshldprojections2014!$A$2:$AW$319,32, FALSE))/10</f>
        <v>178.7</v>
      </c>
      <c r="AD51" s="267">
        <f>IF(IndividualLATest!$J$7=2014,(VLOOKUP($A51,Hshldprojections2014!$A$2:$AY$326,43,FALSE)-VLOOKUP($A51,Hshldprojections2014!$A$2:$AY$326,33,FALSE))/10,IF(IndividualLATest!$J$7=2016,(VLOOKUP($A51,Hshldprojections2016!$A$1:$AQ$322,33,FALSE)-VLOOKUP($A51,Hshldprojections2016!$A$1:$AQ$322,23,FALSE))/10,(VLOOKUP($A51,Hshldprojections2018!$A$1:$AQ$327,33,FALSE)-VLOOKUP($A51,Hshldprojections2018!$A$1:$AQ$327,23,FALSE))/10))</f>
        <v>122.8</v>
      </c>
      <c r="AE51" s="267">
        <f>IF(IndividualLATest!$J$7=2014,(VLOOKUP($A51,Hshldprojections2014!$A$2:$AY$326,44,FALSE)-VLOOKUP($A51,Hshldprojections2014!$A$2:$AY$326,34,FALSE))/10,IF(IndividualLATest!$J$7=2016,(VLOOKUP($A51,Hshldprojections2016!$A$1:$AQ$322,34,FALSE)-VLOOKUP($A51,Hshldprojections2016!$A$1:$AQ$322,24,FALSE))/10,(VLOOKUP($A51,Hshldprojections2018!$A$1:$AQ$327,34,FALSE)-VLOOKUP($A51,Hshldprojections2018!$A$1:$AQ$327,24,FALSE))/10))</f>
        <v>118.4</v>
      </c>
      <c r="AF51" s="267">
        <f>IF(IndividualLATest!$J$7=2014,(VLOOKUP($A51,Hshldprojections2014!$A$2:$AY$326,45,FALSE)-VLOOKUP($A51,Hshldprojections2014!$A$2:$AY$326,35,FALSE))/10,IF(IndividualLATest!$J$7=2016,(VLOOKUP($A51,Hshldprojections2016!$A$1:$AQ$322,35,FALSE)-VLOOKUP($A51,Hshldprojections2016!$A$1:$AQ$322,25,FALSE))/10,(VLOOKUP($A51,Hshldprojections2018!$A$1:$AQ$327,35,FALSE)-VLOOKUP($A51,Hshldprojections2018!$A$1:$AQ$327,25,FALSE))/10))</f>
        <v>114.8</v>
      </c>
      <c r="AG51" s="267">
        <f>IF(IndividualLATest!$J$7=2014,(VLOOKUP($A51,Hshldprojections2014!$A$2:$AY$326,46,FALSE)-VLOOKUP($A51,Hshldprojections2014!$A$2:$AY$326,36,FALSE))/10,IF(IndividualLATest!$J$7=2016,(VLOOKUP($A51,Hshldprojections2016!$A$1:$AQ$322,36,FALSE)-VLOOKUP($A51,Hshldprojections2016!$A$1:$AQ$322,26,FALSE))/10,(VLOOKUP($A51,Hshldprojections2018!$A$1:$AQ$327,36,FALSE)-VLOOKUP($A51,Hshldprojections2018!$A$1:$AQ$327,26,FALSE))/10))</f>
        <v>110.1</v>
      </c>
      <c r="AH51" s="267">
        <f>IF(IndividualLATest!$J$7=2014,(VLOOKUP($A51,Hshldprojections2014!$A$2:$AY$326,47,FALSE)-VLOOKUP($A51,Hshldprojections2014!$A$2:$AY$326,37,FALSE))/10,IF(IndividualLATest!$J$7=2016,(VLOOKUP($A51,Hshldprojections2016!$A$1:$AQ$322,37,FALSE)-VLOOKUP($A51,Hshldprojections2016!$A$1:$AQ$322,27,FALSE))/10,(VLOOKUP($A51,Hshldprojections2018!$A$1:$AQ$327,37,FALSE)-VLOOKUP($A51,Hshldprojections2018!$A$1:$AQ$327,27,FALSE))/10))</f>
        <v>107.5</v>
      </c>
      <c r="AI51" s="268">
        <f>VLOOKUP($A51,AffordabilityRatio!$A$2:$I$321,5,FALSE)</f>
        <v>5.28</v>
      </c>
      <c r="AJ51" s="268">
        <f>VLOOKUP($A51,AffordabilityRatio!$A$2:$I$321,6,FALSE)</f>
        <v>5.52</v>
      </c>
      <c r="AK51" s="268">
        <f>VLOOKUP($A51,AffordabilityRatio!$A$2:$I$321,7,FALSE)</f>
        <v>5.34</v>
      </c>
      <c r="AL51" s="268">
        <f>IF((VLOOKUP($A51,AffordabilityRatio!$A$2:$I$321,8,FALSE))="",AK51,VLOOKUP($A51,AffordabilityRatio!$A$2:$I$321,8,FALSE))</f>
        <v>4.9800000000000004</v>
      </c>
      <c r="AM51" s="268">
        <f>IF((VLOOKUP($A51,AffordabilityRatio!$A$2:$I$321,9,FALSE))="",AL51,VLOOKUP($A51,AffordabilityRatio!$A$2:$I$321,9,FALSE))</f>
        <v>5.41</v>
      </c>
      <c r="AN51" s="268">
        <f>IF((VLOOKUP($A51,AffordabilityRatio!$A$2:$I$321,9,FALSE))="",AM51,VLOOKUP($A51,AffordabilityRatio!$A$2:$I$321,9,FALSE))</f>
        <v>5.41</v>
      </c>
      <c r="AO51" s="268">
        <f>IF((VLOOKUP($A51,AffordabilityRatio!$A$2:$I$321,9,FALSE))="",AN51,VLOOKUP($A51,AffordabilityRatio!$A$2:$I$321,9,FALSE))</f>
        <v>5.41</v>
      </c>
      <c r="AP51" s="268">
        <f>IF((VLOOKUP($A51,AffordabilityRatio!$A$2:$I$321,9,FALSE))="",AO51,VLOOKUP($A51,AffordabilityRatio!$A$2:$I$321,9,FALSE))</f>
        <v>5.41</v>
      </c>
      <c r="AQ51" s="267">
        <f t="shared" si="24"/>
        <v>200</v>
      </c>
      <c r="AR51" s="267">
        <f t="shared" si="25"/>
        <v>198</v>
      </c>
      <c r="AS51" s="267">
        <f t="shared" si="26"/>
        <v>194</v>
      </c>
      <c r="AT51" s="267">
        <f t="shared" si="27"/>
        <v>130</v>
      </c>
      <c r="AU51" s="267">
        <f t="shared" si="28"/>
        <v>129</v>
      </c>
      <c r="AV51" s="267">
        <f t="shared" si="29"/>
        <v>125</v>
      </c>
      <c r="AW51" s="267">
        <f t="shared" si="30"/>
        <v>120</v>
      </c>
      <c r="AX51" s="267">
        <f t="shared" si="31"/>
        <v>117</v>
      </c>
      <c r="AY51" s="267">
        <f t="shared" si="32"/>
        <v>200</v>
      </c>
      <c r="AZ51" s="267">
        <f t="shared" si="33"/>
        <v>198</v>
      </c>
      <c r="BA51" s="267">
        <f t="shared" si="34"/>
        <v>194</v>
      </c>
      <c r="BB51" s="267">
        <f t="shared" si="35"/>
        <v>130</v>
      </c>
      <c r="BC51" s="267">
        <f t="shared" si="36"/>
        <v>129</v>
      </c>
      <c r="BD51" s="267">
        <f t="shared" si="37"/>
        <v>125</v>
      </c>
      <c r="BE51" s="267">
        <f t="shared" si="38"/>
        <v>120</v>
      </c>
      <c r="BF51" s="267">
        <f t="shared" si="39"/>
        <v>117</v>
      </c>
      <c r="BG51" s="269">
        <f>AY51*VLOOKUP($B51,'Major Cities &amp; Towns'!$A$28:$B$345,2,FALSE)</f>
        <v>200</v>
      </c>
      <c r="BH51" s="269">
        <f>AZ51*VLOOKUP($B51,'Major Cities &amp; Towns'!$A$28:$B$345,2,FALSE)</f>
        <v>198</v>
      </c>
      <c r="BI51" s="269">
        <f>BA51*VLOOKUP($B51,'Major Cities &amp; Towns'!$A$28:$B$345,2,FALSE)</f>
        <v>194</v>
      </c>
      <c r="BJ51" s="269">
        <f>BB51*VLOOKUP($B51,'Major Cities &amp; Towns'!$A$28:$B$345,2,FALSE)</f>
        <v>130</v>
      </c>
      <c r="BK51" s="269">
        <f>BC51*VLOOKUP($B51,'Major Cities &amp; Towns'!$A$28:$B$345,2,FALSE)</f>
        <v>129</v>
      </c>
      <c r="BL51" s="269">
        <f>BD51*VLOOKUP($B51,'Major Cities &amp; Towns'!$A$28:$B$345,2,FALSE)</f>
        <v>125</v>
      </c>
      <c r="BM51" s="269">
        <f>BE51*VLOOKUP($B51,'Major Cities &amp; Towns'!$A$28:$B$345,2,FALSE)</f>
        <v>120</v>
      </c>
      <c r="BN51" s="269">
        <f>BF51*VLOOKUP($B51,'Major Cities &amp; Towns'!$A$28:$B$345,2,FALSE)</f>
        <v>117</v>
      </c>
      <c r="BO51" s="270">
        <f t="shared" si="40"/>
        <v>200</v>
      </c>
      <c r="BP51" s="270">
        <f t="shared" si="41"/>
        <v>198</v>
      </c>
      <c r="BQ51" s="270">
        <f t="shared" si="42"/>
        <v>194</v>
      </c>
      <c r="BR51" s="270">
        <f t="shared" si="43"/>
        <v>130</v>
      </c>
      <c r="BS51" s="270">
        <f t="shared" si="44"/>
        <v>129</v>
      </c>
      <c r="BT51" s="270">
        <f t="shared" si="45"/>
        <v>125</v>
      </c>
      <c r="BU51" s="270">
        <f t="shared" si="46"/>
        <v>120</v>
      </c>
      <c r="BV51" s="270">
        <f t="shared" si="47"/>
        <v>117</v>
      </c>
      <c r="BW51" s="39">
        <f>VLOOKUP($A51,NetAdditions!$A$2:$H$336,6,FALSE)</f>
        <v>592</v>
      </c>
      <c r="BX51" s="39">
        <f>VLOOKUP($A51,NetAdditions!$A$2:$H$336,7,FALSE)</f>
        <v>663</v>
      </c>
      <c r="BY51" s="39">
        <f>IF((VLOOKUP($C51,NetAdditions!$A$2:$H$336,8,FALSE))="",(AVERAGE(VLOOKUP($C51,NetAdditions!$A$2:$H$336,5,FALSE),VLOOKUP($C51,NetAdditions!$A$2:$H$336,6,FALSE),VLOOKUP($C51,NetAdditions!$A$2:$H$336,7,FALSE))),VLOOKUP($C51,NetAdditions!$A$2:$H$336,8,FALSE))</f>
        <v>471</v>
      </c>
      <c r="BZ51" s="39">
        <f t="shared" si="48"/>
        <v>575.33333333333337</v>
      </c>
      <c r="CA51" s="39">
        <f t="shared" si="49"/>
        <v>569.77777777777783</v>
      </c>
      <c r="CB51" s="39">
        <f t="shared" si="50"/>
        <v>538.70370370370381</v>
      </c>
      <c r="CC51" s="39">
        <f t="shared" si="51"/>
        <v>561.27160493827171</v>
      </c>
      <c r="CD51" s="39">
        <f t="shared" si="52"/>
        <v>556.58436213991774</v>
      </c>
      <c r="CE51" s="276">
        <f t="shared" si="5"/>
        <v>592</v>
      </c>
      <c r="CF51" s="276">
        <f t="shared" si="6"/>
        <v>522</v>
      </c>
      <c r="CG51" s="276">
        <f t="shared" si="7"/>
        <v>453</v>
      </c>
      <c r="CH51" s="276">
        <f t="shared" si="8"/>
        <v>384</v>
      </c>
      <c r="CI51" s="276">
        <f t="shared" si="9"/>
        <v>374</v>
      </c>
      <c r="CJ51" s="276">
        <f t="shared" si="10"/>
        <v>362</v>
      </c>
      <c r="CK51" s="276">
        <f t="shared" si="53"/>
        <v>509.77777777777783</v>
      </c>
      <c r="CL51" s="276">
        <f t="shared" si="54"/>
        <v>449.5</v>
      </c>
      <c r="CM51" s="276">
        <f t="shared" si="55"/>
        <v>415.25</v>
      </c>
      <c r="CN51" s="276">
        <f t="shared" si="56"/>
        <v>384</v>
      </c>
      <c r="CO51" s="276">
        <f t="shared" si="57"/>
        <v>374</v>
      </c>
      <c r="CP51" s="276">
        <f t="shared" si="58"/>
        <v>362</v>
      </c>
      <c r="CQ51" s="39">
        <f t="shared" si="12"/>
        <v>1726</v>
      </c>
      <c r="CR51" s="39">
        <f t="shared" si="13"/>
        <v>1709.3333333333335</v>
      </c>
      <c r="CS51" s="277">
        <f t="shared" si="14"/>
        <v>1616.1111111111113</v>
      </c>
      <c r="CT51" s="39">
        <f t="shared" si="15"/>
        <v>1683.8148148148152</v>
      </c>
      <c r="CU51" s="39">
        <f t="shared" si="16"/>
        <v>1669.7530864197533</v>
      </c>
      <c r="CV51" s="39">
        <f t="shared" si="59"/>
        <v>1656.5596707818931</v>
      </c>
      <c r="CW51" s="297">
        <f t="shared" si="18"/>
        <v>3.3857890148212726</v>
      </c>
      <c r="CX51" s="279" t="str">
        <f t="shared" si="60"/>
        <v>Pass</v>
      </c>
      <c r="CY51" s="278">
        <f t="shared" si="19"/>
        <v>3.8027437893956253</v>
      </c>
      <c r="CZ51" s="279" t="str">
        <f t="shared" si="61"/>
        <v>Pass</v>
      </c>
      <c r="DA51" s="278">
        <f t="shared" si="20"/>
        <v>3.8918991236872036</v>
      </c>
      <c r="DB51" s="292" t="str">
        <f t="shared" si="62"/>
        <v>Pass</v>
      </c>
      <c r="DC51" s="299">
        <f t="shared" si="63"/>
        <v>4.3849344135802477</v>
      </c>
      <c r="DD51" s="293" t="str">
        <f t="shared" si="64"/>
        <v>Pass</v>
      </c>
      <c r="DE51" s="299">
        <f t="shared" si="65"/>
        <v>4.4645804449726025</v>
      </c>
      <c r="DF51" s="293" t="str">
        <f t="shared" si="66"/>
        <v>Pass</v>
      </c>
      <c r="DG51" s="299">
        <f t="shared" si="67"/>
        <v>4.5761316872427988</v>
      </c>
      <c r="DH51" s="293" t="str">
        <f t="shared" si="68"/>
        <v>Pass</v>
      </c>
    </row>
    <row r="52" spans="1:112" ht="15" thickTop="1" thickBot="1">
      <c r="A52" s="38" t="s">
        <v>213</v>
      </c>
      <c r="B52" s="38" t="s">
        <v>214</v>
      </c>
      <c r="C52" s="38" t="s">
        <v>213</v>
      </c>
      <c r="D52" s="38" t="s">
        <v>128</v>
      </c>
      <c r="E52" s="38" t="str">
        <f>VLOOKUP(C52,PoliticalControl!A:K,11,FALSE)</f>
        <v>CON</v>
      </c>
      <c r="F52" s="38" t="str">
        <f>VLOOKUP(C52,UrbanRuralClassification!A:N,13,FALSE)</f>
        <v>Urban with City and Town</v>
      </c>
      <c r="G52" s="38" t="str">
        <f>VLOOKUP(C52,UrbanRuralClassification!A:N,14,FALSE)</f>
        <v>Predominantly Urban</v>
      </c>
      <c r="H52" s="258" t="str">
        <f>IF(ISBLANK((VLOOKUP($A52,'local-plan-data'!$C$1:$AD$566,27,FALSE)))=TRUE,"",VLOOKUP($A52,'local-plan-data'!$C$1:$AD$566,27,FALSE))</f>
        <v/>
      </c>
      <c r="I52" s="259">
        <f>VLOOKUP($A52,'local-plan-data'!$C$1:$AD$566,28,FALSE)</f>
        <v>357.8</v>
      </c>
      <c r="J52" s="260">
        <f t="shared" si="21"/>
        <v>357.8</v>
      </c>
      <c r="K52" s="259" t="str">
        <f t="shared" si="69"/>
        <v>-</v>
      </c>
      <c r="L52" s="259" t="str">
        <f t="shared" si="69"/>
        <v>-</v>
      </c>
      <c r="M52" s="259" t="str">
        <f t="shared" si="69"/>
        <v>-</v>
      </c>
      <c r="N52" s="259" t="str">
        <f t="shared" si="69"/>
        <v>-</v>
      </c>
      <c r="O52" s="259" t="str">
        <f t="shared" si="69"/>
        <v>-</v>
      </c>
      <c r="P52" s="259" t="str">
        <f t="shared" si="69"/>
        <v>-</v>
      </c>
      <c r="Q52" s="259" t="str">
        <f t="shared" si="69"/>
        <v>-</v>
      </c>
      <c r="R52" s="259" t="str">
        <f t="shared" si="69"/>
        <v>-</v>
      </c>
      <c r="S52" s="259" t="str">
        <f t="shared" si="70"/>
        <v>-</v>
      </c>
      <c r="T52" s="259" t="str">
        <f t="shared" si="70"/>
        <v>-</v>
      </c>
      <c r="U52" s="259" t="str">
        <f t="shared" si="70"/>
        <v>-</v>
      </c>
      <c r="V52" s="259" t="str">
        <f t="shared" si="70"/>
        <v>-</v>
      </c>
      <c r="W52" s="259" t="str">
        <f t="shared" si="70"/>
        <v>-</v>
      </c>
      <c r="X52" s="259" t="str">
        <f t="shared" si="70"/>
        <v>-</v>
      </c>
      <c r="Y52" s="259" t="str">
        <f t="shared" si="70"/>
        <v>-</v>
      </c>
      <c r="Z52" s="259" t="str">
        <f t="shared" si="70"/>
        <v>-</v>
      </c>
      <c r="AA52" s="267">
        <f>(VLOOKUP(A52,Hshldprojections2014!$A$2:$AW$319,40, FALSE)-VLOOKUP(A52,Hshldprojections2014!$A$2:$AW$319,30, FALSE))/10</f>
        <v>252.4</v>
      </c>
      <c r="AB52" s="267">
        <f>(VLOOKUP(A52,Hshldprojections2014!$A$2:$AW$319,41, FALSE)-VLOOKUP(A52,Hshldprojections2014!$A$2:$AW$319,31, FALSE))/10</f>
        <v>252</v>
      </c>
      <c r="AC52" s="267">
        <f>(VLOOKUP(A52,Hshldprojections2014!$A$2:$AW$319,42, FALSE)-VLOOKUP(A52,Hshldprojections2014!$A$2:$AW$319,32, FALSE))/10</f>
        <v>252.7</v>
      </c>
      <c r="AD52" s="267">
        <f>IF(IndividualLATest!$J$7=2014,(VLOOKUP($A52,Hshldprojections2014!$A$2:$AY$326,43,FALSE)-VLOOKUP($A52,Hshldprojections2014!$A$2:$AY$326,33,FALSE))/10,IF(IndividualLATest!$J$7=2016,(VLOOKUP($A52,Hshldprojections2016!$A$1:$AQ$322,33,FALSE)-VLOOKUP($A52,Hshldprojections2016!$A$1:$AQ$322,23,FALSE))/10,(VLOOKUP($A52,Hshldprojections2018!$A$1:$AQ$327,33,FALSE)-VLOOKUP($A52,Hshldprojections2018!$A$1:$AQ$327,23,FALSE))/10))</f>
        <v>146</v>
      </c>
      <c r="AE52" s="267">
        <f>IF(IndividualLATest!$J$7=2014,(VLOOKUP($A52,Hshldprojections2014!$A$2:$AY$326,44,FALSE)-VLOOKUP($A52,Hshldprojections2014!$A$2:$AY$326,34,FALSE))/10,IF(IndividualLATest!$J$7=2016,(VLOOKUP($A52,Hshldprojections2016!$A$1:$AQ$322,34,FALSE)-VLOOKUP($A52,Hshldprojections2016!$A$1:$AQ$322,24,FALSE))/10,(VLOOKUP($A52,Hshldprojections2018!$A$1:$AQ$327,34,FALSE)-VLOOKUP($A52,Hshldprojections2018!$A$1:$AQ$327,24,FALSE))/10))</f>
        <v>141.80000000000001</v>
      </c>
      <c r="AF52" s="267">
        <f>IF(IndividualLATest!$J$7=2014,(VLOOKUP($A52,Hshldprojections2014!$A$2:$AY$326,45,FALSE)-VLOOKUP($A52,Hshldprojections2014!$A$2:$AY$326,35,FALSE))/10,IF(IndividualLATest!$J$7=2016,(VLOOKUP($A52,Hshldprojections2016!$A$1:$AQ$322,35,FALSE)-VLOOKUP($A52,Hshldprojections2016!$A$1:$AQ$322,25,FALSE))/10,(VLOOKUP($A52,Hshldprojections2018!$A$1:$AQ$327,35,FALSE)-VLOOKUP($A52,Hshldprojections2018!$A$1:$AQ$327,25,FALSE))/10))</f>
        <v>139.80000000000001</v>
      </c>
      <c r="AG52" s="267">
        <f>IF(IndividualLATest!$J$7=2014,(VLOOKUP($A52,Hshldprojections2014!$A$2:$AY$326,46,FALSE)-VLOOKUP($A52,Hshldprojections2014!$A$2:$AY$326,36,FALSE))/10,IF(IndividualLATest!$J$7=2016,(VLOOKUP($A52,Hshldprojections2016!$A$1:$AQ$322,36,FALSE)-VLOOKUP($A52,Hshldprojections2016!$A$1:$AQ$322,26,FALSE))/10,(VLOOKUP($A52,Hshldprojections2018!$A$1:$AQ$327,36,FALSE)-VLOOKUP($A52,Hshldprojections2018!$A$1:$AQ$327,26,FALSE))/10))</f>
        <v>139.1</v>
      </c>
      <c r="AH52" s="267">
        <f>IF(IndividualLATest!$J$7=2014,(VLOOKUP($A52,Hshldprojections2014!$A$2:$AY$326,47,FALSE)-VLOOKUP($A52,Hshldprojections2014!$A$2:$AY$326,37,FALSE))/10,IF(IndividualLATest!$J$7=2016,(VLOOKUP($A52,Hshldprojections2016!$A$1:$AQ$322,37,FALSE)-VLOOKUP($A52,Hshldprojections2016!$A$1:$AQ$322,27,FALSE))/10,(VLOOKUP($A52,Hshldprojections2018!$A$1:$AQ$327,37,FALSE)-VLOOKUP($A52,Hshldprojections2018!$A$1:$AQ$327,27,FALSE))/10))</f>
        <v>138.30000000000001</v>
      </c>
      <c r="AI52" s="268">
        <f>VLOOKUP($A52,AffordabilityRatio!$A$2:$I$321,5,FALSE)</f>
        <v>11.56</v>
      </c>
      <c r="AJ52" s="268">
        <f>VLOOKUP($A52,AffordabilityRatio!$A$2:$I$321,6,FALSE)</f>
        <v>10.66</v>
      </c>
      <c r="AK52" s="268">
        <f>VLOOKUP($A52,AffordabilityRatio!$A$2:$I$321,7,FALSE)</f>
        <v>10.77</v>
      </c>
      <c r="AL52" s="268">
        <f>IF((VLOOKUP($A52,AffordabilityRatio!$A$2:$I$321,8,FALSE))="",AK52,VLOOKUP($A52,AffordabilityRatio!$A$2:$I$321,8,FALSE))</f>
        <v>11.1</v>
      </c>
      <c r="AM52" s="268">
        <f>IF((VLOOKUP($A52,AffordabilityRatio!$A$2:$I$321,9,FALSE))="",AL52,VLOOKUP($A52,AffordabilityRatio!$A$2:$I$321,9,FALSE))</f>
        <v>12.37</v>
      </c>
      <c r="AN52" s="268">
        <f>IF((VLOOKUP($A52,AffordabilityRatio!$A$2:$I$321,9,FALSE))="",AM52,VLOOKUP($A52,AffordabilityRatio!$A$2:$I$321,9,FALSE))</f>
        <v>12.37</v>
      </c>
      <c r="AO52" s="268">
        <f>IF((VLOOKUP($A52,AffordabilityRatio!$A$2:$I$321,9,FALSE))="",AN52,VLOOKUP($A52,AffordabilityRatio!$A$2:$I$321,9,FALSE))</f>
        <v>12.37</v>
      </c>
      <c r="AP52" s="268">
        <f>IF((VLOOKUP($A52,AffordabilityRatio!$A$2:$I$321,9,FALSE))="",AO52,VLOOKUP($A52,AffordabilityRatio!$A$2:$I$321,9,FALSE))</f>
        <v>12.37</v>
      </c>
      <c r="AQ52" s="267">
        <f t="shared" si="24"/>
        <v>372</v>
      </c>
      <c r="AR52" s="267">
        <f t="shared" si="25"/>
        <v>357</v>
      </c>
      <c r="AS52" s="267">
        <f t="shared" si="26"/>
        <v>360</v>
      </c>
      <c r="AT52" s="267">
        <f t="shared" si="27"/>
        <v>211</v>
      </c>
      <c r="AU52" s="267">
        <f t="shared" si="28"/>
        <v>216</v>
      </c>
      <c r="AV52" s="267">
        <f t="shared" si="29"/>
        <v>213</v>
      </c>
      <c r="AW52" s="267">
        <f t="shared" si="30"/>
        <v>212</v>
      </c>
      <c r="AX52" s="267">
        <f t="shared" si="31"/>
        <v>211</v>
      </c>
      <c r="AY52" s="267">
        <f t="shared" si="32"/>
        <v>372</v>
      </c>
      <c r="AZ52" s="267">
        <f t="shared" si="33"/>
        <v>357</v>
      </c>
      <c r="BA52" s="267">
        <f t="shared" si="34"/>
        <v>360</v>
      </c>
      <c r="BB52" s="267">
        <f t="shared" si="35"/>
        <v>211</v>
      </c>
      <c r="BC52" s="267">
        <f t="shared" si="36"/>
        <v>216</v>
      </c>
      <c r="BD52" s="267">
        <f t="shared" si="37"/>
        <v>213</v>
      </c>
      <c r="BE52" s="267">
        <f t="shared" si="38"/>
        <v>212</v>
      </c>
      <c r="BF52" s="267">
        <f t="shared" si="39"/>
        <v>211</v>
      </c>
      <c r="BG52" s="269">
        <f>AY52*VLOOKUP($B52,'Major Cities &amp; Towns'!$A$28:$B$345,2,FALSE)</f>
        <v>372</v>
      </c>
      <c r="BH52" s="269">
        <f>AZ52*VLOOKUP($B52,'Major Cities &amp; Towns'!$A$28:$B$345,2,FALSE)</f>
        <v>357</v>
      </c>
      <c r="BI52" s="269">
        <f>BA52*VLOOKUP($B52,'Major Cities &amp; Towns'!$A$28:$B$345,2,FALSE)</f>
        <v>360</v>
      </c>
      <c r="BJ52" s="269">
        <f>BB52*VLOOKUP($B52,'Major Cities &amp; Towns'!$A$28:$B$345,2,FALSE)</f>
        <v>211</v>
      </c>
      <c r="BK52" s="269">
        <f>BC52*VLOOKUP($B52,'Major Cities &amp; Towns'!$A$28:$B$345,2,FALSE)</f>
        <v>216</v>
      </c>
      <c r="BL52" s="269">
        <f>BD52*VLOOKUP($B52,'Major Cities &amp; Towns'!$A$28:$B$345,2,FALSE)</f>
        <v>213</v>
      </c>
      <c r="BM52" s="269">
        <f>BE52*VLOOKUP($B52,'Major Cities &amp; Towns'!$A$28:$B$345,2,FALSE)</f>
        <v>212</v>
      </c>
      <c r="BN52" s="269">
        <f>BF52*VLOOKUP($B52,'Major Cities &amp; Towns'!$A$28:$B$345,2,FALSE)</f>
        <v>211</v>
      </c>
      <c r="BO52" s="270">
        <f t="shared" si="40"/>
        <v>372</v>
      </c>
      <c r="BP52" s="270">
        <f t="shared" si="41"/>
        <v>357</v>
      </c>
      <c r="BQ52" s="270">
        <f t="shared" si="42"/>
        <v>360</v>
      </c>
      <c r="BR52" s="270">
        <f t="shared" si="43"/>
        <v>211</v>
      </c>
      <c r="BS52" s="270">
        <f t="shared" si="44"/>
        <v>216</v>
      </c>
      <c r="BT52" s="270">
        <f t="shared" si="45"/>
        <v>213</v>
      </c>
      <c r="BU52" s="270">
        <f t="shared" si="46"/>
        <v>212</v>
      </c>
      <c r="BV52" s="270">
        <f t="shared" si="47"/>
        <v>211</v>
      </c>
      <c r="BW52" s="39">
        <f>VLOOKUP($A52,NetAdditions!$A$2:$H$336,6,FALSE)</f>
        <v>203</v>
      </c>
      <c r="BX52" s="39">
        <f>VLOOKUP($A52,NetAdditions!$A$2:$H$336,7,FALSE)</f>
        <v>74</v>
      </c>
      <c r="BY52" s="39">
        <f>IF((VLOOKUP($C52,NetAdditions!$A$2:$H$336,8,FALSE))="",(AVERAGE(VLOOKUP($C52,NetAdditions!$A$2:$H$336,5,FALSE),VLOOKUP($C52,NetAdditions!$A$2:$H$336,6,FALSE),VLOOKUP($C52,NetAdditions!$A$2:$H$336,7,FALSE))),VLOOKUP($C52,NetAdditions!$A$2:$H$336,8,FALSE))</f>
        <v>171</v>
      </c>
      <c r="BZ52" s="39">
        <f t="shared" si="48"/>
        <v>149.33333333333334</v>
      </c>
      <c r="CA52" s="39">
        <f t="shared" si="49"/>
        <v>131.44444444444446</v>
      </c>
      <c r="CB52" s="39">
        <f t="shared" si="50"/>
        <v>150.59259259259261</v>
      </c>
      <c r="CC52" s="39">
        <f t="shared" si="51"/>
        <v>143.79012345679016</v>
      </c>
      <c r="CD52" s="39">
        <f t="shared" si="52"/>
        <v>141.94238683127574</v>
      </c>
      <c r="CE52" s="276">
        <f t="shared" si="5"/>
        <v>1089</v>
      </c>
      <c r="CF52" s="276">
        <f t="shared" si="6"/>
        <v>928</v>
      </c>
      <c r="CG52" s="276">
        <f t="shared" si="7"/>
        <v>787</v>
      </c>
      <c r="CH52" s="276">
        <f t="shared" si="8"/>
        <v>640</v>
      </c>
      <c r="CI52" s="276">
        <f t="shared" si="9"/>
        <v>641</v>
      </c>
      <c r="CJ52" s="276">
        <f t="shared" si="10"/>
        <v>636</v>
      </c>
      <c r="CK52" s="276">
        <f t="shared" si="53"/>
        <v>937.75</v>
      </c>
      <c r="CL52" s="276">
        <f t="shared" si="54"/>
        <v>799.1111111111112</v>
      </c>
      <c r="CM52" s="276">
        <f t="shared" si="55"/>
        <v>721.41666666666663</v>
      </c>
      <c r="CN52" s="276">
        <f t="shared" si="56"/>
        <v>640</v>
      </c>
      <c r="CO52" s="276">
        <f t="shared" si="57"/>
        <v>641</v>
      </c>
      <c r="CP52" s="276">
        <f t="shared" si="58"/>
        <v>636</v>
      </c>
      <c r="CQ52" s="39">
        <f t="shared" si="12"/>
        <v>448</v>
      </c>
      <c r="CR52" s="39">
        <f t="shared" si="13"/>
        <v>394.33333333333337</v>
      </c>
      <c r="CS52" s="277">
        <f t="shared" si="14"/>
        <v>451.77777777777783</v>
      </c>
      <c r="CT52" s="39">
        <f t="shared" si="15"/>
        <v>431.37037037037044</v>
      </c>
      <c r="CU52" s="39">
        <f t="shared" si="16"/>
        <v>425.82716049382725</v>
      </c>
      <c r="CV52" s="39">
        <f t="shared" si="59"/>
        <v>436.32510288065851</v>
      </c>
      <c r="CW52" s="297">
        <f t="shared" si="18"/>
        <v>0.47773926952812584</v>
      </c>
      <c r="CX52" s="279" t="str">
        <f t="shared" si="60"/>
        <v>Buffer and Action Plan</v>
      </c>
      <c r="CY52" s="278">
        <f t="shared" si="19"/>
        <v>0.49346496106785315</v>
      </c>
      <c r="CZ52" s="279" t="str">
        <f t="shared" si="61"/>
        <v>Buffer and Action Plan</v>
      </c>
      <c r="DA52" s="278">
        <f t="shared" si="20"/>
        <v>0.62623695660544465</v>
      </c>
      <c r="DB52" s="292" t="str">
        <f t="shared" si="62"/>
        <v>Presumption</v>
      </c>
      <c r="DC52" s="299">
        <f t="shared" si="63"/>
        <v>0.67401620370370385</v>
      </c>
      <c r="DD52" s="293" t="str">
        <f t="shared" si="64"/>
        <v>Presumption</v>
      </c>
      <c r="DE52" s="299">
        <f t="shared" si="65"/>
        <v>0.66431694304809241</v>
      </c>
      <c r="DF52" s="293" t="str">
        <f t="shared" si="66"/>
        <v>Presumption</v>
      </c>
      <c r="DG52" s="299">
        <f t="shared" si="67"/>
        <v>0.68604575924631839</v>
      </c>
      <c r="DH52" s="293" t="str">
        <f t="shared" si="68"/>
        <v>Presumption</v>
      </c>
    </row>
    <row r="53" spans="1:112" ht="15" thickTop="1" thickBot="1">
      <c r="A53" s="38" t="s">
        <v>215</v>
      </c>
      <c r="B53" s="38" t="s">
        <v>216</v>
      </c>
      <c r="C53" s="38" t="s">
        <v>215</v>
      </c>
      <c r="D53" s="38" t="s">
        <v>128</v>
      </c>
      <c r="E53" s="38" t="str">
        <f>VLOOKUP(C53,PoliticalControl!A:K,11,FALSE)</f>
        <v>CON</v>
      </c>
      <c r="F53" s="38" t="str">
        <f>VLOOKUP(C53,UrbanRuralClassification!A:N,13,FALSE)</f>
        <v xml:space="preserve">Largely Rural (rural including hub towns 50-79%) </v>
      </c>
      <c r="G53" s="38" t="str">
        <f>VLOOKUP(C53,UrbanRuralClassification!A:N,14,FALSE)</f>
        <v>Predominantly Rural</v>
      </c>
      <c r="H53" s="258">
        <f>IF(ISBLANK((VLOOKUP($A53,'local-plan-data'!$C$1:$AD$566,27,FALSE)))=TRUE,"",VLOOKUP($A53,'local-plan-data'!$C$1:$AD$566,27,FALSE))</f>
        <v>44399</v>
      </c>
      <c r="I53" s="259">
        <f>VLOOKUP($A53,'local-plan-data'!$C$1:$AD$566,28,FALSE)</f>
        <v>1967.5</v>
      </c>
      <c r="J53" s="260">
        <f t="shared" si="21"/>
        <v>1967.5</v>
      </c>
      <c r="K53" s="259">
        <f t="shared" si="69"/>
        <v>1967.5</v>
      </c>
      <c r="L53" s="259">
        <f t="shared" si="69"/>
        <v>1967.5</v>
      </c>
      <c r="M53" s="259">
        <f t="shared" si="69"/>
        <v>1967.5</v>
      </c>
      <c r="N53" s="259">
        <f t="shared" si="69"/>
        <v>1967.5</v>
      </c>
      <c r="O53" s="259">
        <f t="shared" si="69"/>
        <v>1967.5</v>
      </c>
      <c r="P53" s="259">
        <f t="shared" si="69"/>
        <v>1967.5</v>
      </c>
      <c r="Q53" s="259">
        <f t="shared" si="69"/>
        <v>1967.5</v>
      </c>
      <c r="R53" s="259">
        <f t="shared" si="69"/>
        <v>1967.5</v>
      </c>
      <c r="S53" s="259">
        <f t="shared" si="70"/>
        <v>3034</v>
      </c>
      <c r="T53" s="259">
        <f t="shared" si="70"/>
        <v>2669</v>
      </c>
      <c r="U53" s="259">
        <f t="shared" si="70"/>
        <v>2303</v>
      </c>
      <c r="V53" s="259">
        <f t="shared" si="70"/>
        <v>1938</v>
      </c>
      <c r="W53" s="259">
        <f t="shared" si="70"/>
        <v>1573</v>
      </c>
      <c r="X53" s="259">
        <f t="shared" si="70"/>
        <v>1208</v>
      </c>
      <c r="Y53" s="259">
        <f t="shared" si="70"/>
        <v>842</v>
      </c>
      <c r="Z53" s="259">
        <f t="shared" si="70"/>
        <v>477</v>
      </c>
      <c r="AA53" s="267">
        <f>(VLOOKUP(A53,Hshldprojections2014!$A$2:$AW$319,40, FALSE)-VLOOKUP(A53,Hshldprojections2014!$A$2:$AW$319,30, FALSE))/10</f>
        <v>1766.6</v>
      </c>
      <c r="AB53" s="267">
        <f>(VLOOKUP(A53,Hshldprojections2014!$A$2:$AW$319,41, FALSE)-VLOOKUP(A53,Hshldprojections2014!$A$2:$AW$319,31, FALSE))/10</f>
        <v>1733.9</v>
      </c>
      <c r="AC53" s="267">
        <f>(VLOOKUP(A53,Hshldprojections2014!$A$2:$AW$319,42, FALSE)-VLOOKUP(A53,Hshldprojections2014!$A$2:$AW$319,32, FALSE))/10</f>
        <v>1707.5</v>
      </c>
      <c r="AD53" s="267">
        <f>IF(IndividualLATest!$J$7=2014,(VLOOKUP($A53,Hshldprojections2014!$A$2:$AY$326,43,FALSE)-VLOOKUP($A53,Hshldprojections2014!$A$2:$AY$326,33,FALSE))/10,IF(IndividualLATest!$J$7=2016,(VLOOKUP($A53,Hshldprojections2016!$A$1:$AQ$322,33,FALSE)-VLOOKUP($A53,Hshldprojections2016!$A$1:$AQ$322,23,FALSE))/10,(VLOOKUP($A53,Hshldprojections2018!$A$1:$AQ$327,33,FALSE)-VLOOKUP($A53,Hshldprojections2018!$A$1:$AQ$327,23,FALSE))/10))</f>
        <v>1227.8</v>
      </c>
      <c r="AE53" s="267">
        <f>IF(IndividualLATest!$J$7=2014,(VLOOKUP($A53,Hshldprojections2014!$A$2:$AY$326,44,FALSE)-VLOOKUP($A53,Hshldprojections2014!$A$2:$AY$326,34,FALSE))/10,IF(IndividualLATest!$J$7=2016,(VLOOKUP($A53,Hshldprojections2016!$A$1:$AQ$322,34,FALSE)-VLOOKUP($A53,Hshldprojections2016!$A$1:$AQ$322,24,FALSE))/10,(VLOOKUP($A53,Hshldprojections2018!$A$1:$AQ$327,34,FALSE)-VLOOKUP($A53,Hshldprojections2018!$A$1:$AQ$327,24,FALSE))/10))</f>
        <v>1180.5999999999999</v>
      </c>
      <c r="AF53" s="267">
        <f>IF(IndividualLATest!$J$7=2014,(VLOOKUP($A53,Hshldprojections2014!$A$2:$AY$326,45,FALSE)-VLOOKUP($A53,Hshldprojections2014!$A$2:$AY$326,35,FALSE))/10,IF(IndividualLATest!$J$7=2016,(VLOOKUP($A53,Hshldprojections2016!$A$1:$AQ$322,35,FALSE)-VLOOKUP($A53,Hshldprojections2016!$A$1:$AQ$322,25,FALSE))/10,(VLOOKUP($A53,Hshldprojections2018!$A$1:$AQ$327,35,FALSE)-VLOOKUP($A53,Hshldprojections2018!$A$1:$AQ$327,25,FALSE))/10))</f>
        <v>1138</v>
      </c>
      <c r="AG53" s="267">
        <f>IF(IndividualLATest!$J$7=2014,(VLOOKUP($A53,Hshldprojections2014!$A$2:$AY$326,46,FALSE)-VLOOKUP($A53,Hshldprojections2014!$A$2:$AY$326,36,FALSE))/10,IF(IndividualLATest!$J$7=2016,(VLOOKUP($A53,Hshldprojections2016!$A$1:$AQ$322,36,FALSE)-VLOOKUP($A53,Hshldprojections2016!$A$1:$AQ$322,26,FALSE))/10,(VLOOKUP($A53,Hshldprojections2018!$A$1:$AQ$327,36,FALSE)-VLOOKUP($A53,Hshldprojections2018!$A$1:$AQ$327,26,FALSE))/10))</f>
        <v>1097.7</v>
      </c>
      <c r="AH53" s="267">
        <f>IF(IndividualLATest!$J$7=2014,(VLOOKUP($A53,Hshldprojections2014!$A$2:$AY$326,47,FALSE)-VLOOKUP($A53,Hshldprojections2014!$A$2:$AY$326,37,FALSE))/10,IF(IndividualLATest!$J$7=2016,(VLOOKUP($A53,Hshldprojections2016!$A$1:$AQ$322,37,FALSE)-VLOOKUP($A53,Hshldprojections2016!$A$1:$AQ$322,27,FALSE))/10,(VLOOKUP($A53,Hshldprojections2018!$A$1:$AQ$327,37,FALSE)-VLOOKUP($A53,Hshldprojections2018!$A$1:$AQ$327,27,FALSE))/10))</f>
        <v>1065</v>
      </c>
      <c r="AI53" s="268">
        <f>VLOOKUP($A53,AffordabilityRatio!$A$2:$I$321,5,FALSE)</f>
        <v>10.57</v>
      </c>
      <c r="AJ53" s="268">
        <f>VLOOKUP($A53,AffordabilityRatio!$A$2:$I$321,6,FALSE)</f>
        <v>10.88</v>
      </c>
      <c r="AK53" s="268">
        <f>VLOOKUP($A53,AffordabilityRatio!$A$2:$I$321,7,FALSE)</f>
        <v>10.36</v>
      </c>
      <c r="AL53" s="268">
        <f>IF((VLOOKUP($A53,AffordabilityRatio!$A$2:$I$321,8,FALSE))="",AK53,VLOOKUP($A53,AffordabilityRatio!$A$2:$I$321,8,FALSE))</f>
        <v>10.26</v>
      </c>
      <c r="AM53" s="268">
        <f>IF((VLOOKUP($A53,AffordabilityRatio!$A$2:$I$321,9,FALSE))="",AL53,VLOOKUP($A53,AffordabilityRatio!$A$2:$I$321,9,FALSE))</f>
        <v>10.8</v>
      </c>
      <c r="AN53" s="268">
        <f>IF((VLOOKUP($A53,AffordabilityRatio!$A$2:$I$321,9,FALSE))="",AM53,VLOOKUP($A53,AffordabilityRatio!$A$2:$I$321,9,FALSE))</f>
        <v>10.8</v>
      </c>
      <c r="AO53" s="268">
        <f>IF((VLOOKUP($A53,AffordabilityRatio!$A$2:$I$321,9,FALSE))="",AN53,VLOOKUP($A53,AffordabilityRatio!$A$2:$I$321,9,FALSE))</f>
        <v>10.8</v>
      </c>
      <c r="AP53" s="268">
        <f>IF((VLOOKUP($A53,AffordabilityRatio!$A$2:$I$321,9,FALSE))="",AO53,VLOOKUP($A53,AffordabilityRatio!$A$2:$I$321,9,FALSE))</f>
        <v>10.8</v>
      </c>
      <c r="AQ53" s="267">
        <f t="shared" si="24"/>
        <v>2492</v>
      </c>
      <c r="AR53" s="267">
        <f t="shared" si="25"/>
        <v>2479</v>
      </c>
      <c r="AS53" s="267">
        <f t="shared" si="26"/>
        <v>2386</v>
      </c>
      <c r="AT53" s="267">
        <f t="shared" si="27"/>
        <v>1708</v>
      </c>
      <c r="AU53" s="267">
        <f t="shared" si="28"/>
        <v>1682</v>
      </c>
      <c r="AV53" s="267">
        <f t="shared" si="29"/>
        <v>1622</v>
      </c>
      <c r="AW53" s="267">
        <f t="shared" si="30"/>
        <v>1564</v>
      </c>
      <c r="AX53" s="267">
        <f t="shared" si="31"/>
        <v>1518</v>
      </c>
      <c r="AY53" s="267">
        <f t="shared" si="32"/>
        <v>2492</v>
      </c>
      <c r="AZ53" s="267">
        <f t="shared" si="33"/>
        <v>2479</v>
      </c>
      <c r="BA53" s="267">
        <f t="shared" si="34"/>
        <v>2386</v>
      </c>
      <c r="BB53" s="267">
        <f t="shared" si="35"/>
        <v>1708</v>
      </c>
      <c r="BC53" s="267">
        <f t="shared" si="36"/>
        <v>1682</v>
      </c>
      <c r="BD53" s="267">
        <f t="shared" si="37"/>
        <v>1622</v>
      </c>
      <c r="BE53" s="267">
        <f t="shared" si="38"/>
        <v>1564</v>
      </c>
      <c r="BF53" s="267">
        <f t="shared" si="39"/>
        <v>1518</v>
      </c>
      <c r="BG53" s="269">
        <f>AY53*VLOOKUP($B53,'Major Cities &amp; Towns'!$A$28:$B$345,2,FALSE)</f>
        <v>2492</v>
      </c>
      <c r="BH53" s="269">
        <f>AZ53*VLOOKUP($B53,'Major Cities &amp; Towns'!$A$28:$B$345,2,FALSE)</f>
        <v>2479</v>
      </c>
      <c r="BI53" s="269">
        <f>BA53*VLOOKUP($B53,'Major Cities &amp; Towns'!$A$28:$B$345,2,FALSE)</f>
        <v>2386</v>
      </c>
      <c r="BJ53" s="269">
        <f>BB53*VLOOKUP($B53,'Major Cities &amp; Towns'!$A$28:$B$345,2,FALSE)</f>
        <v>1708</v>
      </c>
      <c r="BK53" s="269">
        <f>BC53*VLOOKUP($B53,'Major Cities &amp; Towns'!$A$28:$B$345,2,FALSE)</f>
        <v>1682</v>
      </c>
      <c r="BL53" s="269">
        <f>BD53*VLOOKUP($B53,'Major Cities &amp; Towns'!$A$28:$B$345,2,FALSE)</f>
        <v>1622</v>
      </c>
      <c r="BM53" s="269">
        <f>BE53*VLOOKUP($B53,'Major Cities &amp; Towns'!$A$28:$B$345,2,FALSE)</f>
        <v>1564</v>
      </c>
      <c r="BN53" s="269">
        <f>BF53*VLOOKUP($B53,'Major Cities &amp; Towns'!$A$28:$B$345,2,FALSE)</f>
        <v>1518</v>
      </c>
      <c r="BO53" s="270">
        <f t="shared" si="40"/>
        <v>1967.5</v>
      </c>
      <c r="BP53" s="270">
        <f t="shared" si="41"/>
        <v>1967.5</v>
      </c>
      <c r="BQ53" s="270">
        <f t="shared" si="42"/>
        <v>1967.5</v>
      </c>
      <c r="BR53" s="270">
        <f t="shared" si="43"/>
        <v>1708</v>
      </c>
      <c r="BS53" s="270">
        <f t="shared" si="44"/>
        <v>1682</v>
      </c>
      <c r="BT53" s="270">
        <f t="shared" si="45"/>
        <v>1622</v>
      </c>
      <c r="BU53" s="270">
        <f t="shared" si="46"/>
        <v>1564</v>
      </c>
      <c r="BV53" s="270">
        <f t="shared" si="47"/>
        <v>1518</v>
      </c>
      <c r="BW53" s="39">
        <f>VLOOKUP($A53,NetAdditions!$A$2:$H$336,6,FALSE)</f>
        <v>2102</v>
      </c>
      <c r="BX53" s="39">
        <f>VLOOKUP($A53,NetAdditions!$A$2:$H$336,7,FALSE)</f>
        <v>2622</v>
      </c>
      <c r="BY53" s="39">
        <f>IF((VLOOKUP($C53,NetAdditions!$A$2:$H$336,8,FALSE))="",(AVERAGE(VLOOKUP($C53,NetAdditions!$A$2:$H$336,5,FALSE),VLOOKUP($C53,NetAdditions!$A$2:$H$336,6,FALSE),VLOOKUP($C53,NetAdditions!$A$2:$H$336,7,FALSE))),VLOOKUP($C53,NetAdditions!$A$2:$H$336,8,FALSE))</f>
        <v>2135</v>
      </c>
      <c r="BZ53" s="39">
        <f t="shared" si="48"/>
        <v>2286.3333333333335</v>
      </c>
      <c r="CA53" s="39">
        <f t="shared" si="49"/>
        <v>2347.7777777777778</v>
      </c>
      <c r="CB53" s="39">
        <f t="shared" si="50"/>
        <v>2256.3703703703704</v>
      </c>
      <c r="CC53" s="39">
        <f t="shared" si="51"/>
        <v>2296.8271604938273</v>
      </c>
      <c r="CD53" s="39">
        <f t="shared" si="52"/>
        <v>2300.3251028806585</v>
      </c>
      <c r="CE53" s="276">
        <f t="shared" si="5"/>
        <v>5902.5</v>
      </c>
      <c r="CF53" s="276">
        <f t="shared" si="6"/>
        <v>5643</v>
      </c>
      <c r="CG53" s="276">
        <f t="shared" si="7"/>
        <v>5357.5</v>
      </c>
      <c r="CH53" s="276">
        <f t="shared" si="8"/>
        <v>5012</v>
      </c>
      <c r="CI53" s="276">
        <f t="shared" si="9"/>
        <v>4868</v>
      </c>
      <c r="CJ53" s="276">
        <f t="shared" si="10"/>
        <v>4704</v>
      </c>
      <c r="CK53" s="276">
        <f t="shared" si="53"/>
        <v>5082.7083333333339</v>
      </c>
      <c r="CL53" s="276">
        <f t="shared" si="54"/>
        <v>4859.25</v>
      </c>
      <c r="CM53" s="276">
        <f t="shared" si="55"/>
        <v>4911.0416666666661</v>
      </c>
      <c r="CN53" s="276">
        <f t="shared" si="56"/>
        <v>5012</v>
      </c>
      <c r="CO53" s="276">
        <f t="shared" si="57"/>
        <v>4868</v>
      </c>
      <c r="CP53" s="276">
        <f t="shared" si="58"/>
        <v>4704</v>
      </c>
      <c r="CQ53" s="39">
        <f t="shared" si="12"/>
        <v>6859</v>
      </c>
      <c r="CR53" s="39">
        <f t="shared" si="13"/>
        <v>7043.3333333333339</v>
      </c>
      <c r="CS53" s="277">
        <f t="shared" si="14"/>
        <v>6769.1111111111113</v>
      </c>
      <c r="CT53" s="39">
        <f t="shared" si="15"/>
        <v>6890.4814814814818</v>
      </c>
      <c r="CU53" s="39">
        <f t="shared" si="16"/>
        <v>6900.9753086419751</v>
      </c>
      <c r="CV53" s="39">
        <f t="shared" si="59"/>
        <v>6853.5226337448566</v>
      </c>
      <c r="CW53" s="297">
        <f t="shared" si="18"/>
        <v>1.349477394761651</v>
      </c>
      <c r="CX53" s="279" t="str">
        <f t="shared" si="60"/>
        <v>Pass</v>
      </c>
      <c r="CY53" s="278">
        <f t="shared" si="19"/>
        <v>1.4494692253605668</v>
      </c>
      <c r="CZ53" s="279" t="str">
        <f t="shared" si="61"/>
        <v>Pass</v>
      </c>
      <c r="DA53" s="278">
        <f t="shared" si="20"/>
        <v>1.3783452820317033</v>
      </c>
      <c r="DB53" s="292" t="str">
        <f t="shared" si="62"/>
        <v>Pass</v>
      </c>
      <c r="DC53" s="299">
        <f t="shared" si="63"/>
        <v>1.3747967840146611</v>
      </c>
      <c r="DD53" s="293" t="str">
        <f t="shared" si="64"/>
        <v>Pass</v>
      </c>
      <c r="DE53" s="299">
        <f t="shared" si="65"/>
        <v>1.4176202359576777</v>
      </c>
      <c r="DF53" s="293" t="str">
        <f t="shared" si="66"/>
        <v>Pass</v>
      </c>
      <c r="DG53" s="299">
        <f t="shared" si="67"/>
        <v>1.456956342207665</v>
      </c>
      <c r="DH53" s="293" t="str">
        <f t="shared" si="68"/>
        <v>Pass</v>
      </c>
    </row>
    <row r="54" spans="1:112" ht="15" thickTop="1" thickBot="1">
      <c r="A54" s="38" t="s">
        <v>217</v>
      </c>
      <c r="B54" s="38" t="s">
        <v>218</v>
      </c>
      <c r="C54" s="38" t="s">
        <v>217</v>
      </c>
      <c r="D54" s="38" t="s">
        <v>119</v>
      </c>
      <c r="E54" s="38" t="str">
        <f>VLOOKUP(C54,PoliticalControl!A:K,11,FALSE)</f>
        <v>CON</v>
      </c>
      <c r="F54" s="38" t="str">
        <f>VLOOKUP(C54,UrbanRuralClassification!A:N,13,FALSE)</f>
        <v>Urban with City and Town</v>
      </c>
      <c r="G54" s="38" t="str">
        <f>VLOOKUP(C54,UrbanRuralClassification!A:N,14,FALSE)</f>
        <v>Predominantly Urban</v>
      </c>
      <c r="H54" s="258">
        <f>IF(ISBLANK((VLOOKUP($A54,'local-plan-data'!$C$1:$AD$566,27,FALSE)))=TRUE,"",VLOOKUP($A54,'local-plan-data'!$C$1:$AD$566,27,FALSE))</f>
        <v>42317</v>
      </c>
      <c r="I54" s="259">
        <f>VLOOKUP($A54,'local-plan-data'!$C$1:$AD$566,28,FALSE)</f>
        <v>820</v>
      </c>
      <c r="J54" s="260">
        <f t="shared" si="21"/>
        <v>820</v>
      </c>
      <c r="K54" s="259">
        <f t="shared" si="69"/>
        <v>820</v>
      </c>
      <c r="L54" s="259">
        <f t="shared" si="69"/>
        <v>820</v>
      </c>
      <c r="M54" s="259">
        <f t="shared" si="69"/>
        <v>820</v>
      </c>
      <c r="N54" s="259" t="str">
        <f t="shared" si="69"/>
        <v>-</v>
      </c>
      <c r="O54" s="259" t="str">
        <f t="shared" si="69"/>
        <v>-</v>
      </c>
      <c r="P54" s="259" t="str">
        <f t="shared" si="69"/>
        <v>-</v>
      </c>
      <c r="Q54" s="259" t="str">
        <f t="shared" si="69"/>
        <v>-</v>
      </c>
      <c r="R54" s="259" t="str">
        <f t="shared" si="69"/>
        <v>-</v>
      </c>
      <c r="S54" s="259">
        <f t="shared" si="70"/>
        <v>953</v>
      </c>
      <c r="T54" s="259">
        <f t="shared" si="70"/>
        <v>588</v>
      </c>
      <c r="U54" s="259">
        <f t="shared" si="70"/>
        <v>222</v>
      </c>
      <c r="V54" s="259">
        <f t="shared" si="70"/>
        <v>-143</v>
      </c>
      <c r="W54" s="259">
        <f t="shared" si="70"/>
        <v>-508</v>
      </c>
      <c r="X54" s="259">
        <f t="shared" si="70"/>
        <v>-873</v>
      </c>
      <c r="Y54" s="259">
        <f t="shared" si="70"/>
        <v>-1239</v>
      </c>
      <c r="Z54" s="259">
        <f t="shared" si="70"/>
        <v>-1604</v>
      </c>
      <c r="AA54" s="267">
        <f>(VLOOKUP(A54,Hshldprojections2014!$A$2:$AW$319,40, FALSE)-VLOOKUP(A54,Hshldprojections2014!$A$2:$AW$319,30, FALSE))/10</f>
        <v>902.2</v>
      </c>
      <c r="AB54" s="267">
        <f>(VLOOKUP(A54,Hshldprojections2014!$A$2:$AW$319,41, FALSE)-VLOOKUP(A54,Hshldprojections2014!$A$2:$AW$319,31, FALSE))/10</f>
        <v>900.3</v>
      </c>
      <c r="AC54" s="267">
        <f>(VLOOKUP(A54,Hshldprojections2014!$A$2:$AW$319,42, FALSE)-VLOOKUP(A54,Hshldprojections2014!$A$2:$AW$319,32, FALSE))/10</f>
        <v>900.8</v>
      </c>
      <c r="AD54" s="267">
        <f>IF(IndividualLATest!$J$7=2014,(VLOOKUP($A54,Hshldprojections2014!$A$2:$AY$326,43,FALSE)-VLOOKUP($A54,Hshldprojections2014!$A$2:$AY$326,33,FALSE))/10,IF(IndividualLATest!$J$7=2016,(VLOOKUP($A54,Hshldprojections2016!$A$1:$AQ$322,33,FALSE)-VLOOKUP($A54,Hshldprojections2016!$A$1:$AQ$322,23,FALSE))/10,(VLOOKUP($A54,Hshldprojections2018!$A$1:$AQ$327,33,FALSE)-VLOOKUP($A54,Hshldprojections2018!$A$1:$AQ$327,23,FALSE))/10))</f>
        <v>919.7</v>
      </c>
      <c r="AE54" s="267">
        <f>IF(IndividualLATest!$J$7=2014,(VLOOKUP($A54,Hshldprojections2014!$A$2:$AY$326,44,FALSE)-VLOOKUP($A54,Hshldprojections2014!$A$2:$AY$326,34,FALSE))/10,IF(IndividualLATest!$J$7=2016,(VLOOKUP($A54,Hshldprojections2016!$A$1:$AQ$322,34,FALSE)-VLOOKUP($A54,Hshldprojections2016!$A$1:$AQ$322,24,FALSE))/10,(VLOOKUP($A54,Hshldprojections2018!$A$1:$AQ$327,34,FALSE)-VLOOKUP($A54,Hshldprojections2018!$A$1:$AQ$327,24,FALSE))/10))</f>
        <v>914.5</v>
      </c>
      <c r="AF54" s="267">
        <f>IF(IndividualLATest!$J$7=2014,(VLOOKUP($A54,Hshldprojections2014!$A$2:$AY$326,45,FALSE)-VLOOKUP($A54,Hshldprojections2014!$A$2:$AY$326,35,FALSE))/10,IF(IndividualLATest!$J$7=2016,(VLOOKUP($A54,Hshldprojections2016!$A$1:$AQ$322,35,FALSE)-VLOOKUP($A54,Hshldprojections2016!$A$1:$AQ$322,25,FALSE))/10,(VLOOKUP($A54,Hshldprojections2018!$A$1:$AQ$327,35,FALSE)-VLOOKUP($A54,Hshldprojections2018!$A$1:$AQ$327,25,FALSE))/10))</f>
        <v>906</v>
      </c>
      <c r="AG54" s="267">
        <f>IF(IndividualLATest!$J$7=2014,(VLOOKUP($A54,Hshldprojections2014!$A$2:$AY$326,46,FALSE)-VLOOKUP($A54,Hshldprojections2014!$A$2:$AY$326,36,FALSE))/10,IF(IndividualLATest!$J$7=2016,(VLOOKUP($A54,Hshldprojections2016!$A$1:$AQ$322,36,FALSE)-VLOOKUP($A54,Hshldprojections2016!$A$1:$AQ$322,26,FALSE))/10,(VLOOKUP($A54,Hshldprojections2018!$A$1:$AQ$327,36,FALSE)-VLOOKUP($A54,Hshldprojections2018!$A$1:$AQ$327,26,FALSE))/10))</f>
        <v>889</v>
      </c>
      <c r="AH54" s="267">
        <f>IF(IndividualLATest!$J$7=2014,(VLOOKUP($A54,Hshldprojections2014!$A$2:$AY$326,47,FALSE)-VLOOKUP($A54,Hshldprojections2014!$A$2:$AY$326,37,FALSE))/10,IF(IndividualLATest!$J$7=2016,(VLOOKUP($A54,Hshldprojections2016!$A$1:$AQ$322,37,FALSE)-VLOOKUP($A54,Hshldprojections2016!$A$1:$AQ$322,27,FALSE))/10,(VLOOKUP($A54,Hshldprojections2018!$A$1:$AQ$327,37,FALSE)-VLOOKUP($A54,Hshldprojections2018!$A$1:$AQ$327,27,FALSE))/10))</f>
        <v>875.7</v>
      </c>
      <c r="AI54" s="268">
        <f>VLOOKUP($A54,AffordabilityRatio!$A$2:$I$321,5,FALSE)</f>
        <v>7.3</v>
      </c>
      <c r="AJ54" s="268">
        <f>VLOOKUP($A54,AffordabilityRatio!$A$2:$I$321,6,FALSE)</f>
        <v>7.2</v>
      </c>
      <c r="AK54" s="268">
        <f>VLOOKUP($A54,AffordabilityRatio!$A$2:$I$321,7,FALSE)</f>
        <v>7.7</v>
      </c>
      <c r="AL54" s="268">
        <f>IF((VLOOKUP($A54,AffordabilityRatio!$A$2:$I$321,8,FALSE))="",AK54,VLOOKUP($A54,AffordabilityRatio!$A$2:$I$321,8,FALSE))</f>
        <v>7.68</v>
      </c>
      <c r="AM54" s="268">
        <f>IF((VLOOKUP($A54,AffordabilityRatio!$A$2:$I$321,9,FALSE))="",AL54,VLOOKUP($A54,AffordabilityRatio!$A$2:$I$321,9,FALSE))</f>
        <v>8.41</v>
      </c>
      <c r="AN54" s="268">
        <f>IF((VLOOKUP($A54,AffordabilityRatio!$A$2:$I$321,9,FALSE))="",AM54,VLOOKUP($A54,AffordabilityRatio!$A$2:$I$321,9,FALSE))</f>
        <v>8.41</v>
      </c>
      <c r="AO54" s="268">
        <f>IF((VLOOKUP($A54,AffordabilityRatio!$A$2:$I$321,9,FALSE))="",AN54,VLOOKUP($A54,AffordabilityRatio!$A$2:$I$321,9,FALSE))</f>
        <v>8.41</v>
      </c>
      <c r="AP54" s="268">
        <f>IF((VLOOKUP($A54,AffordabilityRatio!$A$2:$I$321,9,FALSE))="",AO54,VLOOKUP($A54,AffordabilityRatio!$A$2:$I$321,9,FALSE))</f>
        <v>8.41</v>
      </c>
      <c r="AQ54" s="267">
        <f t="shared" si="24"/>
        <v>1088</v>
      </c>
      <c r="AR54" s="267">
        <f t="shared" si="25"/>
        <v>1080</v>
      </c>
      <c r="AS54" s="267">
        <f t="shared" si="26"/>
        <v>1109</v>
      </c>
      <c r="AT54" s="267">
        <f t="shared" si="27"/>
        <v>1131</v>
      </c>
      <c r="AU54" s="267">
        <f t="shared" si="28"/>
        <v>1167</v>
      </c>
      <c r="AV54" s="267">
        <f t="shared" si="29"/>
        <v>1156</v>
      </c>
      <c r="AW54" s="267">
        <f t="shared" si="30"/>
        <v>1134</v>
      </c>
      <c r="AX54" s="267">
        <f t="shared" si="31"/>
        <v>1117</v>
      </c>
      <c r="AY54" s="267">
        <f t="shared" si="32"/>
        <v>1088</v>
      </c>
      <c r="AZ54" s="267">
        <f t="shared" si="33"/>
        <v>1080</v>
      </c>
      <c r="BA54" s="267">
        <f t="shared" si="34"/>
        <v>1109</v>
      </c>
      <c r="BB54" s="267">
        <f t="shared" si="35"/>
        <v>1131</v>
      </c>
      <c r="BC54" s="267">
        <f t="shared" si="36"/>
        <v>1167</v>
      </c>
      <c r="BD54" s="267">
        <f t="shared" si="37"/>
        <v>1156</v>
      </c>
      <c r="BE54" s="267">
        <f t="shared" si="38"/>
        <v>1134</v>
      </c>
      <c r="BF54" s="267">
        <f t="shared" si="39"/>
        <v>1117</v>
      </c>
      <c r="BG54" s="269">
        <f>AY54*VLOOKUP($B54,'Major Cities &amp; Towns'!$A$28:$B$345,2,FALSE)</f>
        <v>1088</v>
      </c>
      <c r="BH54" s="269">
        <f>AZ54*VLOOKUP($B54,'Major Cities &amp; Towns'!$A$28:$B$345,2,FALSE)</f>
        <v>1080</v>
      </c>
      <c r="BI54" s="269">
        <f>BA54*VLOOKUP($B54,'Major Cities &amp; Towns'!$A$28:$B$345,2,FALSE)</f>
        <v>1109</v>
      </c>
      <c r="BJ54" s="269">
        <f>BB54*VLOOKUP($B54,'Major Cities &amp; Towns'!$A$28:$B$345,2,FALSE)</f>
        <v>1131</v>
      </c>
      <c r="BK54" s="269">
        <f>BC54*VLOOKUP($B54,'Major Cities &amp; Towns'!$A$28:$B$345,2,FALSE)</f>
        <v>1167</v>
      </c>
      <c r="BL54" s="269">
        <f>BD54*VLOOKUP($B54,'Major Cities &amp; Towns'!$A$28:$B$345,2,FALSE)</f>
        <v>1156</v>
      </c>
      <c r="BM54" s="269">
        <f>BE54*VLOOKUP($B54,'Major Cities &amp; Towns'!$A$28:$B$345,2,FALSE)</f>
        <v>1134</v>
      </c>
      <c r="BN54" s="269">
        <f>BF54*VLOOKUP($B54,'Major Cities &amp; Towns'!$A$28:$B$345,2,FALSE)</f>
        <v>1117</v>
      </c>
      <c r="BO54" s="270">
        <f t="shared" si="40"/>
        <v>820</v>
      </c>
      <c r="BP54" s="270">
        <f t="shared" si="41"/>
        <v>820</v>
      </c>
      <c r="BQ54" s="270">
        <f t="shared" si="42"/>
        <v>933.2246575342466</v>
      </c>
      <c r="BR54" s="270">
        <f t="shared" si="43"/>
        <v>1131</v>
      </c>
      <c r="BS54" s="270">
        <f t="shared" si="44"/>
        <v>1167</v>
      </c>
      <c r="BT54" s="270">
        <f t="shared" si="45"/>
        <v>1156</v>
      </c>
      <c r="BU54" s="270">
        <f t="shared" si="46"/>
        <v>1134</v>
      </c>
      <c r="BV54" s="270">
        <f t="shared" si="47"/>
        <v>1117</v>
      </c>
      <c r="BW54" s="39">
        <f>VLOOKUP($A54,NetAdditions!$A$2:$H$336,6,FALSE)</f>
        <v>1032</v>
      </c>
      <c r="BX54" s="39">
        <f>VLOOKUP($A54,NetAdditions!$A$2:$H$336,7,FALSE)</f>
        <v>805</v>
      </c>
      <c r="BY54" s="39">
        <f>IF((VLOOKUP($C54,NetAdditions!$A$2:$H$336,8,FALSE))="",(AVERAGE(VLOOKUP($C54,NetAdditions!$A$2:$H$336,5,FALSE),VLOOKUP($C54,NetAdditions!$A$2:$H$336,6,FALSE),VLOOKUP($C54,NetAdditions!$A$2:$H$336,7,FALSE))),VLOOKUP($C54,NetAdditions!$A$2:$H$336,8,FALSE))</f>
        <v>1080</v>
      </c>
      <c r="BZ54" s="39">
        <f t="shared" si="48"/>
        <v>972.33333333333337</v>
      </c>
      <c r="CA54" s="39">
        <f t="shared" si="49"/>
        <v>952.44444444444446</v>
      </c>
      <c r="CB54" s="39">
        <f t="shared" si="50"/>
        <v>1001.5925925925926</v>
      </c>
      <c r="CC54" s="39">
        <f t="shared" si="51"/>
        <v>975.45679012345681</v>
      </c>
      <c r="CD54" s="39">
        <f t="shared" si="52"/>
        <v>976.49794238683126</v>
      </c>
      <c r="CE54" s="276">
        <f t="shared" si="5"/>
        <v>2573.2246575342465</v>
      </c>
      <c r="CF54" s="276">
        <f t="shared" si="6"/>
        <v>2884.2246575342465</v>
      </c>
      <c r="CG54" s="276">
        <f t="shared" si="7"/>
        <v>3231.2246575342465</v>
      </c>
      <c r="CH54" s="276">
        <f t="shared" si="8"/>
        <v>3454</v>
      </c>
      <c r="CI54" s="276">
        <f t="shared" si="9"/>
        <v>3457</v>
      </c>
      <c r="CJ54" s="276">
        <f t="shared" si="10"/>
        <v>3407</v>
      </c>
      <c r="CK54" s="276">
        <f t="shared" si="53"/>
        <v>2215.8323439878236</v>
      </c>
      <c r="CL54" s="276">
        <f t="shared" si="54"/>
        <v>2483.6378995433793</v>
      </c>
      <c r="CM54" s="276">
        <f t="shared" si="55"/>
        <v>2961.9559360730591</v>
      </c>
      <c r="CN54" s="276">
        <f t="shared" si="56"/>
        <v>3454</v>
      </c>
      <c r="CO54" s="276">
        <f t="shared" si="57"/>
        <v>3457</v>
      </c>
      <c r="CP54" s="276">
        <f t="shared" si="58"/>
        <v>3407</v>
      </c>
      <c r="CQ54" s="39">
        <f t="shared" si="12"/>
        <v>2917</v>
      </c>
      <c r="CR54" s="39">
        <f t="shared" si="13"/>
        <v>2857.3333333333335</v>
      </c>
      <c r="CS54" s="277">
        <f t="shared" si="14"/>
        <v>3004.7777777777778</v>
      </c>
      <c r="CT54" s="39">
        <f t="shared" si="15"/>
        <v>2926.3703703703704</v>
      </c>
      <c r="CU54" s="39">
        <f t="shared" si="16"/>
        <v>2929.4938271604938</v>
      </c>
      <c r="CV54" s="39">
        <f t="shared" si="59"/>
        <v>2953.5473251028807</v>
      </c>
      <c r="CW54" s="297">
        <f t="shared" si="18"/>
        <v>1.3164353376800557</v>
      </c>
      <c r="CX54" s="279" t="str">
        <f t="shared" si="60"/>
        <v>Pass</v>
      </c>
      <c r="CY54" s="278">
        <f t="shared" si="19"/>
        <v>1.1504629293419377</v>
      </c>
      <c r="CZ54" s="279" t="str">
        <f t="shared" si="61"/>
        <v>Pass</v>
      </c>
      <c r="DA54" s="278">
        <f t="shared" si="20"/>
        <v>1.0144572851956373</v>
      </c>
      <c r="DB54" s="292" t="str">
        <f t="shared" si="62"/>
        <v>Pass</v>
      </c>
      <c r="DC54" s="299">
        <f t="shared" si="63"/>
        <v>0.84724098736837594</v>
      </c>
      <c r="DD54" s="293" t="str">
        <f t="shared" si="64"/>
        <v>Buffer and Action Plan</v>
      </c>
      <c r="DE54" s="299">
        <f t="shared" si="65"/>
        <v>0.8474092644375163</v>
      </c>
      <c r="DF54" s="293" t="str">
        <f t="shared" si="66"/>
        <v>Buffer and Action Plan</v>
      </c>
      <c r="DG54" s="299">
        <f t="shared" si="67"/>
        <v>0.86690558412177299</v>
      </c>
      <c r="DH54" s="293" t="str">
        <f t="shared" si="68"/>
        <v>Action Plan</v>
      </c>
    </row>
    <row r="55" spans="1:112" ht="15" thickTop="1" thickBot="1">
      <c r="A55" s="38" t="s">
        <v>219</v>
      </c>
      <c r="B55" s="38" t="s">
        <v>220</v>
      </c>
      <c r="C55" s="38" t="s">
        <v>219</v>
      </c>
      <c r="D55" s="38" t="s">
        <v>128</v>
      </c>
      <c r="E55" s="38" t="str">
        <f>VLOOKUP(C55,PoliticalControl!A:K,11,FALSE)</f>
        <v>LD</v>
      </c>
      <c r="F55" s="38" t="str">
        <f>VLOOKUP(C55,UrbanRuralClassification!A:N,13,FALSE)</f>
        <v>Urban with City and Town</v>
      </c>
      <c r="G55" s="38" t="str">
        <f>VLOOKUP(C55,UrbanRuralClassification!A:N,14,FALSE)</f>
        <v>Predominantly Urban</v>
      </c>
      <c r="H55" s="258">
        <f>IF(ISBLANK((VLOOKUP($A55,'local-plan-data'!$C$1:$AD$566,27,FALSE)))=TRUE,"",VLOOKUP($A55,'local-plan-data'!$C$1:$AD$566,27,FALSE))</f>
        <v>43978</v>
      </c>
      <c r="I55" s="259">
        <f>VLOOKUP($A55,'local-plan-data'!$C$1:$AD$566,28,FALSE)</f>
        <v>805</v>
      </c>
      <c r="J55" s="260">
        <f t="shared" si="21"/>
        <v>805</v>
      </c>
      <c r="K55" s="259">
        <f t="shared" si="69"/>
        <v>805</v>
      </c>
      <c r="L55" s="259">
        <f t="shared" si="69"/>
        <v>805</v>
      </c>
      <c r="M55" s="259">
        <f t="shared" si="69"/>
        <v>805</v>
      </c>
      <c r="N55" s="259">
        <f t="shared" si="69"/>
        <v>805</v>
      </c>
      <c r="O55" s="259">
        <f t="shared" si="69"/>
        <v>805</v>
      </c>
      <c r="P55" s="259">
        <f t="shared" si="69"/>
        <v>805</v>
      </c>
      <c r="Q55" s="259">
        <f t="shared" si="69"/>
        <v>805</v>
      </c>
      <c r="R55" s="259">
        <f t="shared" si="69"/>
        <v>805</v>
      </c>
      <c r="S55" s="259">
        <f t="shared" si="70"/>
        <v>2613</v>
      </c>
      <c r="T55" s="259">
        <f t="shared" si="70"/>
        <v>2248</v>
      </c>
      <c r="U55" s="259">
        <f t="shared" si="70"/>
        <v>1882</v>
      </c>
      <c r="V55" s="259">
        <f t="shared" si="70"/>
        <v>1517</v>
      </c>
      <c r="W55" s="259">
        <f t="shared" si="70"/>
        <v>1152</v>
      </c>
      <c r="X55" s="259">
        <f t="shared" si="70"/>
        <v>787</v>
      </c>
      <c r="Y55" s="259">
        <f t="shared" si="70"/>
        <v>421</v>
      </c>
      <c r="Z55" s="259">
        <f t="shared" si="70"/>
        <v>56</v>
      </c>
      <c r="AA55" s="267">
        <f>(VLOOKUP(A55,Hshldprojections2014!$A$2:$AW$319,40, FALSE)-VLOOKUP(A55,Hshldprojections2014!$A$2:$AW$319,30, FALSE))/10</f>
        <v>667.7</v>
      </c>
      <c r="AB55" s="267">
        <f>(VLOOKUP(A55,Hshldprojections2014!$A$2:$AW$319,41, FALSE)-VLOOKUP(A55,Hshldprojections2014!$A$2:$AW$319,31, FALSE))/10</f>
        <v>655.5</v>
      </c>
      <c r="AC55" s="267">
        <f>(VLOOKUP(A55,Hshldprojections2014!$A$2:$AW$319,42, FALSE)-VLOOKUP(A55,Hshldprojections2014!$A$2:$AW$319,32, FALSE))/10</f>
        <v>649</v>
      </c>
      <c r="AD55" s="267">
        <f>IF(IndividualLATest!$J$7=2014,(VLOOKUP($A55,Hshldprojections2014!$A$2:$AY$326,43,FALSE)-VLOOKUP($A55,Hshldprojections2014!$A$2:$AY$326,33,FALSE))/10,IF(IndividualLATest!$J$7=2016,(VLOOKUP($A55,Hshldprojections2016!$A$1:$AQ$322,33,FALSE)-VLOOKUP($A55,Hshldprojections2016!$A$1:$AQ$322,23,FALSE))/10,(VLOOKUP($A55,Hshldprojections2018!$A$1:$AQ$327,33,FALSE)-VLOOKUP($A55,Hshldprojections2018!$A$1:$AQ$327,23,FALSE))/10))</f>
        <v>635.5</v>
      </c>
      <c r="AE55" s="267">
        <f>IF(IndividualLATest!$J$7=2014,(VLOOKUP($A55,Hshldprojections2014!$A$2:$AY$326,44,FALSE)-VLOOKUP($A55,Hshldprojections2014!$A$2:$AY$326,34,FALSE))/10,IF(IndividualLATest!$J$7=2016,(VLOOKUP($A55,Hshldprojections2016!$A$1:$AQ$322,34,FALSE)-VLOOKUP($A55,Hshldprojections2016!$A$1:$AQ$322,24,FALSE))/10,(VLOOKUP($A55,Hshldprojections2018!$A$1:$AQ$327,34,FALSE)-VLOOKUP($A55,Hshldprojections2018!$A$1:$AQ$327,24,FALSE))/10))</f>
        <v>617.1</v>
      </c>
      <c r="AF55" s="267">
        <f>IF(IndividualLATest!$J$7=2014,(VLOOKUP($A55,Hshldprojections2014!$A$2:$AY$326,45,FALSE)-VLOOKUP($A55,Hshldprojections2014!$A$2:$AY$326,35,FALSE))/10,IF(IndividualLATest!$J$7=2016,(VLOOKUP($A55,Hshldprojections2016!$A$1:$AQ$322,35,FALSE)-VLOOKUP($A55,Hshldprojections2016!$A$1:$AQ$322,25,FALSE))/10,(VLOOKUP($A55,Hshldprojections2018!$A$1:$AQ$327,35,FALSE)-VLOOKUP($A55,Hshldprojections2018!$A$1:$AQ$327,25,FALSE))/10))</f>
        <v>604.70000000000005</v>
      </c>
      <c r="AG55" s="267">
        <f>IF(IndividualLATest!$J$7=2014,(VLOOKUP($A55,Hshldprojections2014!$A$2:$AY$326,46,FALSE)-VLOOKUP($A55,Hshldprojections2014!$A$2:$AY$326,36,FALSE))/10,IF(IndividualLATest!$J$7=2016,(VLOOKUP($A55,Hshldprojections2016!$A$1:$AQ$322,36,FALSE)-VLOOKUP($A55,Hshldprojections2016!$A$1:$AQ$322,26,FALSE))/10,(VLOOKUP($A55,Hshldprojections2018!$A$1:$AQ$327,36,FALSE)-VLOOKUP($A55,Hshldprojections2018!$A$1:$AQ$327,26,FALSE))/10))</f>
        <v>590.9</v>
      </c>
      <c r="AH55" s="267">
        <f>IF(IndividualLATest!$J$7=2014,(VLOOKUP($A55,Hshldprojections2014!$A$2:$AY$326,47,FALSE)-VLOOKUP($A55,Hshldprojections2014!$A$2:$AY$326,37,FALSE))/10,IF(IndividualLATest!$J$7=2016,(VLOOKUP($A55,Hshldprojections2016!$A$1:$AQ$322,37,FALSE)-VLOOKUP($A55,Hshldprojections2016!$A$1:$AQ$322,27,FALSE))/10,(VLOOKUP($A55,Hshldprojections2018!$A$1:$AQ$327,37,FALSE)-VLOOKUP($A55,Hshldprojections2018!$A$1:$AQ$327,27,FALSE))/10))</f>
        <v>580.9</v>
      </c>
      <c r="AI55" s="268">
        <f>VLOOKUP($A55,AffordabilityRatio!$A$2:$I$321,5,FALSE)</f>
        <v>11.46</v>
      </c>
      <c r="AJ55" s="268">
        <f>VLOOKUP($A55,AffordabilityRatio!$A$2:$I$321,6,FALSE)</f>
        <v>11.99</v>
      </c>
      <c r="AK55" s="268">
        <f>VLOOKUP($A55,AffordabilityRatio!$A$2:$I$321,7,FALSE)</f>
        <v>11.52</v>
      </c>
      <c r="AL55" s="268">
        <f>IF((VLOOKUP($A55,AffordabilityRatio!$A$2:$I$321,8,FALSE))="",AK55,VLOOKUP($A55,AffordabilityRatio!$A$2:$I$321,8,FALSE))</f>
        <v>11.02</v>
      </c>
      <c r="AM55" s="268">
        <f>IF((VLOOKUP($A55,AffordabilityRatio!$A$2:$I$321,9,FALSE))="",AL55,VLOOKUP($A55,AffordabilityRatio!$A$2:$I$321,9,FALSE))</f>
        <v>11.78</v>
      </c>
      <c r="AN55" s="268">
        <f>IF((VLOOKUP($A55,AffordabilityRatio!$A$2:$I$321,9,FALSE))="",AM55,VLOOKUP($A55,AffordabilityRatio!$A$2:$I$321,9,FALSE))</f>
        <v>11.78</v>
      </c>
      <c r="AO55" s="268">
        <f>IF((VLOOKUP($A55,AffordabilityRatio!$A$2:$I$321,9,FALSE))="",AN55,VLOOKUP($A55,AffordabilityRatio!$A$2:$I$321,9,FALSE))</f>
        <v>11.78</v>
      </c>
      <c r="AP55" s="268">
        <f>IF((VLOOKUP($A55,AffordabilityRatio!$A$2:$I$321,9,FALSE))="",AO55,VLOOKUP($A55,AffordabilityRatio!$A$2:$I$321,9,FALSE))</f>
        <v>11.78</v>
      </c>
      <c r="AQ55" s="267">
        <f t="shared" si="24"/>
        <v>979</v>
      </c>
      <c r="AR55" s="267">
        <f t="shared" si="25"/>
        <v>983</v>
      </c>
      <c r="AS55" s="267">
        <f t="shared" si="26"/>
        <v>954</v>
      </c>
      <c r="AT55" s="267">
        <f t="shared" si="27"/>
        <v>914</v>
      </c>
      <c r="AU55" s="267">
        <f t="shared" si="28"/>
        <v>917</v>
      </c>
      <c r="AV55" s="267">
        <f t="shared" si="29"/>
        <v>899</v>
      </c>
      <c r="AW55" s="267">
        <f t="shared" si="30"/>
        <v>878</v>
      </c>
      <c r="AX55" s="267">
        <f t="shared" si="31"/>
        <v>863</v>
      </c>
      <c r="AY55" s="267">
        <f t="shared" si="32"/>
        <v>979</v>
      </c>
      <c r="AZ55" s="267">
        <f t="shared" si="33"/>
        <v>983</v>
      </c>
      <c r="BA55" s="267">
        <f t="shared" si="34"/>
        <v>954</v>
      </c>
      <c r="BB55" s="267">
        <f t="shared" si="35"/>
        <v>914</v>
      </c>
      <c r="BC55" s="267">
        <f t="shared" si="36"/>
        <v>917</v>
      </c>
      <c r="BD55" s="267">
        <f t="shared" si="37"/>
        <v>899</v>
      </c>
      <c r="BE55" s="267">
        <f t="shared" si="38"/>
        <v>878</v>
      </c>
      <c r="BF55" s="267">
        <f t="shared" si="39"/>
        <v>863</v>
      </c>
      <c r="BG55" s="269">
        <f>AY55*VLOOKUP($B55,'Major Cities &amp; Towns'!$A$28:$B$345,2,FALSE)</f>
        <v>979</v>
      </c>
      <c r="BH55" s="269">
        <f>AZ55*VLOOKUP($B55,'Major Cities &amp; Towns'!$A$28:$B$345,2,FALSE)</f>
        <v>983</v>
      </c>
      <c r="BI55" s="269">
        <f>BA55*VLOOKUP($B55,'Major Cities &amp; Towns'!$A$28:$B$345,2,FALSE)</f>
        <v>954</v>
      </c>
      <c r="BJ55" s="269">
        <f>BB55*VLOOKUP($B55,'Major Cities &amp; Towns'!$A$28:$B$345,2,FALSE)</f>
        <v>914</v>
      </c>
      <c r="BK55" s="269">
        <f>BC55*VLOOKUP($B55,'Major Cities &amp; Towns'!$A$28:$B$345,2,FALSE)</f>
        <v>917</v>
      </c>
      <c r="BL55" s="269">
        <f>BD55*VLOOKUP($B55,'Major Cities &amp; Towns'!$A$28:$B$345,2,FALSE)</f>
        <v>899</v>
      </c>
      <c r="BM55" s="269">
        <f>BE55*VLOOKUP($B55,'Major Cities &amp; Towns'!$A$28:$B$345,2,FALSE)</f>
        <v>878</v>
      </c>
      <c r="BN55" s="269">
        <f>BF55*VLOOKUP($B55,'Major Cities &amp; Towns'!$A$28:$B$345,2,FALSE)</f>
        <v>863</v>
      </c>
      <c r="BO55" s="270">
        <f t="shared" si="40"/>
        <v>805</v>
      </c>
      <c r="BP55" s="270">
        <f t="shared" si="41"/>
        <v>805</v>
      </c>
      <c r="BQ55" s="270">
        <f t="shared" si="42"/>
        <v>805</v>
      </c>
      <c r="BR55" s="270">
        <f t="shared" si="43"/>
        <v>805</v>
      </c>
      <c r="BS55" s="270">
        <f t="shared" si="44"/>
        <v>805</v>
      </c>
      <c r="BT55" s="270">
        <f t="shared" si="45"/>
        <v>805</v>
      </c>
      <c r="BU55" s="270">
        <f t="shared" si="46"/>
        <v>805</v>
      </c>
      <c r="BV55" s="270">
        <f t="shared" si="47"/>
        <v>854.1013698630137</v>
      </c>
      <c r="BW55" s="39">
        <f>VLOOKUP($A55,NetAdditions!$A$2:$H$336,6,FALSE)</f>
        <v>1256</v>
      </c>
      <c r="BX55" s="39">
        <f>VLOOKUP($A55,NetAdditions!$A$2:$H$336,7,FALSE)</f>
        <v>832</v>
      </c>
      <c r="BY55" s="39">
        <f>IF((VLOOKUP($C55,NetAdditions!$A$2:$H$336,8,FALSE))="",(AVERAGE(VLOOKUP($C55,NetAdditions!$A$2:$H$336,5,FALSE),VLOOKUP($C55,NetAdditions!$A$2:$H$336,6,FALSE),VLOOKUP($C55,NetAdditions!$A$2:$H$336,7,FALSE))),VLOOKUP($C55,NetAdditions!$A$2:$H$336,8,FALSE))</f>
        <v>829</v>
      </c>
      <c r="BZ55" s="39">
        <f t="shared" si="48"/>
        <v>972.33333333333337</v>
      </c>
      <c r="CA55" s="39">
        <f t="shared" si="49"/>
        <v>877.77777777777783</v>
      </c>
      <c r="CB55" s="39">
        <f t="shared" si="50"/>
        <v>893.03703703703707</v>
      </c>
      <c r="CC55" s="39">
        <f t="shared" si="51"/>
        <v>914.38271604938279</v>
      </c>
      <c r="CD55" s="39">
        <f t="shared" si="52"/>
        <v>895.06584362139927</v>
      </c>
      <c r="CE55" s="276">
        <f t="shared" si="5"/>
        <v>2415</v>
      </c>
      <c r="CF55" s="276">
        <f t="shared" si="6"/>
        <v>2415</v>
      </c>
      <c r="CG55" s="276">
        <f t="shared" si="7"/>
        <v>2415</v>
      </c>
      <c r="CH55" s="276">
        <f t="shared" si="8"/>
        <v>2415</v>
      </c>
      <c r="CI55" s="276">
        <f t="shared" si="9"/>
        <v>2415</v>
      </c>
      <c r="CJ55" s="276">
        <f t="shared" si="10"/>
        <v>2464.1013698630136</v>
      </c>
      <c r="CK55" s="276">
        <f t="shared" si="53"/>
        <v>2079.5833333333335</v>
      </c>
      <c r="CL55" s="276">
        <f t="shared" si="54"/>
        <v>2079.5833333333335</v>
      </c>
      <c r="CM55" s="276">
        <f t="shared" si="55"/>
        <v>2213.75</v>
      </c>
      <c r="CN55" s="276">
        <f t="shared" si="56"/>
        <v>2415</v>
      </c>
      <c r="CO55" s="276">
        <f t="shared" si="57"/>
        <v>2415</v>
      </c>
      <c r="CP55" s="276">
        <f t="shared" si="58"/>
        <v>2464.1013698630136</v>
      </c>
      <c r="CQ55" s="39">
        <f t="shared" si="12"/>
        <v>2917</v>
      </c>
      <c r="CR55" s="39">
        <f t="shared" si="13"/>
        <v>2633.3333333333335</v>
      </c>
      <c r="CS55" s="277">
        <f t="shared" si="14"/>
        <v>2679.1111111111113</v>
      </c>
      <c r="CT55" s="39">
        <f t="shared" si="15"/>
        <v>2743.1481481481483</v>
      </c>
      <c r="CU55" s="39">
        <f t="shared" si="16"/>
        <v>2685.1975308641977</v>
      </c>
      <c r="CV55" s="39">
        <f t="shared" si="59"/>
        <v>2702.4855967078192</v>
      </c>
      <c r="CW55" s="297">
        <f t="shared" si="18"/>
        <v>1.4026848326988579</v>
      </c>
      <c r="CX55" s="279" t="str">
        <f t="shared" si="60"/>
        <v>Pass</v>
      </c>
      <c r="CY55" s="278">
        <f t="shared" si="19"/>
        <v>1.2662793027449408</v>
      </c>
      <c r="CZ55" s="279" t="str">
        <f t="shared" si="61"/>
        <v>Pass</v>
      </c>
      <c r="DA55" s="278">
        <f t="shared" si="20"/>
        <v>1.2102139406487233</v>
      </c>
      <c r="DB55" s="292" t="str">
        <f t="shared" si="62"/>
        <v>Pass</v>
      </c>
      <c r="DC55" s="299">
        <f t="shared" si="63"/>
        <v>1.1358791503719041</v>
      </c>
      <c r="DD55" s="293" t="str">
        <f t="shared" si="64"/>
        <v>Pass</v>
      </c>
      <c r="DE55" s="299">
        <f t="shared" si="65"/>
        <v>1.1118830355545333</v>
      </c>
      <c r="DF55" s="293" t="str">
        <f t="shared" si="66"/>
        <v>Pass</v>
      </c>
      <c r="DG55" s="299">
        <f t="shared" si="67"/>
        <v>1.0967428652734599</v>
      </c>
      <c r="DH55" s="293" t="str">
        <f t="shared" si="68"/>
        <v>Pass</v>
      </c>
    </row>
    <row r="56" spans="1:112" ht="15" thickTop="1" thickBot="1">
      <c r="A56" s="38" t="s">
        <v>221</v>
      </c>
      <c r="B56" s="38" t="s">
        <v>222</v>
      </c>
      <c r="C56" s="38" t="s">
        <v>221</v>
      </c>
      <c r="D56" s="38" t="s">
        <v>147</v>
      </c>
      <c r="E56" s="38" t="str">
        <f>VLOOKUP(C56,PoliticalControl!A:K,11,FALSE)</f>
        <v>LD</v>
      </c>
      <c r="F56" s="38" t="str">
        <f>VLOOKUP(C56,UrbanRuralClassification!A:N,13,FALSE)</f>
        <v>Urban with City and Town</v>
      </c>
      <c r="G56" s="38" t="str">
        <f>VLOOKUP(C56,UrbanRuralClassification!A:N,14,FALSE)</f>
        <v>Predominantly Urban</v>
      </c>
      <c r="H56" s="258">
        <f>IF(ISBLANK((VLOOKUP($A56,'local-plan-data'!$C$1:$AD$566,27,FALSE)))=TRUE,"",VLOOKUP($A56,'local-plan-data'!$C$1:$AD$566,27,FALSE))</f>
        <v>43080</v>
      </c>
      <c r="I56" s="259">
        <f>VLOOKUP($A56,'local-plan-data'!$C$1:$AD$566,28,FALSE)</f>
        <v>545.85</v>
      </c>
      <c r="J56" s="260">
        <f t="shared" si="21"/>
        <v>545.85</v>
      </c>
      <c r="K56" s="259">
        <f t="shared" si="69"/>
        <v>545.85</v>
      </c>
      <c r="L56" s="259">
        <f t="shared" si="69"/>
        <v>545.85</v>
      </c>
      <c r="M56" s="259">
        <f t="shared" si="69"/>
        <v>545.85</v>
      </c>
      <c r="N56" s="259">
        <f t="shared" si="69"/>
        <v>545.85</v>
      </c>
      <c r="O56" s="259">
        <f t="shared" si="69"/>
        <v>545.85</v>
      </c>
      <c r="P56" s="259" t="str">
        <f t="shared" si="69"/>
        <v>-</v>
      </c>
      <c r="Q56" s="259" t="str">
        <f t="shared" si="69"/>
        <v>-</v>
      </c>
      <c r="R56" s="259" t="str">
        <f t="shared" si="69"/>
        <v>-</v>
      </c>
      <c r="S56" s="259">
        <f t="shared" si="70"/>
        <v>1715</v>
      </c>
      <c r="T56" s="259">
        <f t="shared" si="70"/>
        <v>1350</v>
      </c>
      <c r="U56" s="259">
        <f t="shared" si="70"/>
        <v>984</v>
      </c>
      <c r="V56" s="259">
        <f t="shared" si="70"/>
        <v>619</v>
      </c>
      <c r="W56" s="259">
        <f t="shared" si="70"/>
        <v>254</v>
      </c>
      <c r="X56" s="259">
        <f t="shared" si="70"/>
        <v>-111</v>
      </c>
      <c r="Y56" s="259">
        <f t="shared" si="70"/>
        <v>-477</v>
      </c>
      <c r="Z56" s="259">
        <f t="shared" si="70"/>
        <v>-842</v>
      </c>
      <c r="AA56" s="267">
        <f>(VLOOKUP(A56,Hshldprojections2014!$A$2:$AW$319,40, FALSE)-VLOOKUP(A56,Hshldprojections2014!$A$2:$AW$319,30, FALSE))/10</f>
        <v>410.8</v>
      </c>
      <c r="AB56" s="267">
        <f>(VLOOKUP(A56,Hshldprojections2014!$A$2:$AW$319,41, FALSE)-VLOOKUP(A56,Hshldprojections2014!$A$2:$AW$319,31, FALSE))/10</f>
        <v>409.3</v>
      </c>
      <c r="AC56" s="267">
        <f>(VLOOKUP(A56,Hshldprojections2014!$A$2:$AW$319,42, FALSE)-VLOOKUP(A56,Hshldprojections2014!$A$2:$AW$319,32, FALSE))/10</f>
        <v>410.3</v>
      </c>
      <c r="AD56" s="267">
        <f>IF(IndividualLATest!$J$7=2014,(VLOOKUP($A56,Hshldprojections2014!$A$2:$AY$326,43,FALSE)-VLOOKUP($A56,Hshldprojections2014!$A$2:$AY$326,33,FALSE))/10,IF(IndividualLATest!$J$7=2016,(VLOOKUP($A56,Hshldprojections2016!$A$1:$AQ$322,33,FALSE)-VLOOKUP($A56,Hshldprojections2016!$A$1:$AQ$322,23,FALSE))/10,(VLOOKUP($A56,Hshldprojections2018!$A$1:$AQ$327,33,FALSE)-VLOOKUP($A56,Hshldprojections2018!$A$1:$AQ$327,23,FALSE))/10))</f>
        <v>236.7</v>
      </c>
      <c r="AE56" s="267">
        <f>IF(IndividualLATest!$J$7=2014,(VLOOKUP($A56,Hshldprojections2014!$A$2:$AY$326,44,FALSE)-VLOOKUP($A56,Hshldprojections2014!$A$2:$AY$326,34,FALSE))/10,IF(IndividualLATest!$J$7=2016,(VLOOKUP($A56,Hshldprojections2016!$A$1:$AQ$322,34,FALSE)-VLOOKUP($A56,Hshldprojections2016!$A$1:$AQ$322,24,FALSE))/10,(VLOOKUP($A56,Hshldprojections2018!$A$1:$AQ$327,34,FALSE)-VLOOKUP($A56,Hshldprojections2018!$A$1:$AQ$327,24,FALSE))/10))</f>
        <v>246.4</v>
      </c>
      <c r="AF56" s="267">
        <f>IF(IndividualLATest!$J$7=2014,(VLOOKUP($A56,Hshldprojections2014!$A$2:$AY$326,45,FALSE)-VLOOKUP($A56,Hshldprojections2014!$A$2:$AY$326,35,FALSE))/10,IF(IndividualLATest!$J$7=2016,(VLOOKUP($A56,Hshldprojections2016!$A$1:$AQ$322,35,FALSE)-VLOOKUP($A56,Hshldprojections2016!$A$1:$AQ$322,25,FALSE))/10,(VLOOKUP($A56,Hshldprojections2018!$A$1:$AQ$327,35,FALSE)-VLOOKUP($A56,Hshldprojections2018!$A$1:$AQ$327,25,FALSE))/10))</f>
        <v>254.3</v>
      </c>
      <c r="AG56" s="267">
        <f>IF(IndividualLATest!$J$7=2014,(VLOOKUP($A56,Hshldprojections2014!$A$2:$AY$326,46,FALSE)-VLOOKUP($A56,Hshldprojections2014!$A$2:$AY$326,36,FALSE))/10,IF(IndividualLATest!$J$7=2016,(VLOOKUP($A56,Hshldprojections2016!$A$1:$AQ$322,36,FALSE)-VLOOKUP($A56,Hshldprojections2016!$A$1:$AQ$322,26,FALSE))/10,(VLOOKUP($A56,Hshldprojections2018!$A$1:$AQ$327,36,FALSE)-VLOOKUP($A56,Hshldprojections2018!$A$1:$AQ$327,26,FALSE))/10))</f>
        <v>261.10000000000002</v>
      </c>
      <c r="AH56" s="267">
        <f>IF(IndividualLATest!$J$7=2014,(VLOOKUP($A56,Hshldprojections2014!$A$2:$AY$326,47,FALSE)-VLOOKUP($A56,Hshldprojections2014!$A$2:$AY$326,37,FALSE))/10,IF(IndividualLATest!$J$7=2016,(VLOOKUP($A56,Hshldprojections2016!$A$1:$AQ$322,37,FALSE)-VLOOKUP($A56,Hshldprojections2016!$A$1:$AQ$322,27,FALSE))/10,(VLOOKUP($A56,Hshldprojections2018!$A$1:$AQ$327,37,FALSE)-VLOOKUP($A56,Hshldprojections2018!$A$1:$AQ$327,27,FALSE))/10))</f>
        <v>267.8</v>
      </c>
      <c r="AI56" s="268">
        <f>VLOOKUP($A56,AffordabilityRatio!$A$2:$I$321,5,FALSE)</f>
        <v>8.99</v>
      </c>
      <c r="AJ56" s="268">
        <f>VLOOKUP($A56,AffordabilityRatio!$A$2:$I$321,6,FALSE)</f>
        <v>8.9700000000000006</v>
      </c>
      <c r="AK56" s="268">
        <f>VLOOKUP($A56,AffordabilityRatio!$A$2:$I$321,7,FALSE)</f>
        <v>8.73</v>
      </c>
      <c r="AL56" s="268">
        <f>IF((VLOOKUP($A56,AffordabilityRatio!$A$2:$I$321,8,FALSE))="",AK56,VLOOKUP($A56,AffordabilityRatio!$A$2:$I$321,8,FALSE))</f>
        <v>8.94</v>
      </c>
      <c r="AM56" s="268">
        <f>IF((VLOOKUP($A56,AffordabilityRatio!$A$2:$I$321,9,FALSE))="",AL56,VLOOKUP($A56,AffordabilityRatio!$A$2:$I$321,9,FALSE))</f>
        <v>10.55</v>
      </c>
      <c r="AN56" s="268">
        <f>IF((VLOOKUP($A56,AffordabilityRatio!$A$2:$I$321,9,FALSE))="",AM56,VLOOKUP($A56,AffordabilityRatio!$A$2:$I$321,9,FALSE))</f>
        <v>10.55</v>
      </c>
      <c r="AO56" s="268">
        <f>IF((VLOOKUP($A56,AffordabilityRatio!$A$2:$I$321,9,FALSE))="",AN56,VLOOKUP($A56,AffordabilityRatio!$A$2:$I$321,9,FALSE))</f>
        <v>10.55</v>
      </c>
      <c r="AP56" s="268">
        <f>IF((VLOOKUP($A56,AffordabilityRatio!$A$2:$I$321,9,FALSE))="",AO56,VLOOKUP($A56,AffordabilityRatio!$A$2:$I$321,9,FALSE))</f>
        <v>10.55</v>
      </c>
      <c r="AQ56" s="267">
        <f t="shared" si="24"/>
        <v>539</v>
      </c>
      <c r="AR56" s="267">
        <f t="shared" si="25"/>
        <v>536</v>
      </c>
      <c r="AS56" s="267">
        <f t="shared" si="26"/>
        <v>532</v>
      </c>
      <c r="AT56" s="267">
        <f t="shared" si="27"/>
        <v>310</v>
      </c>
      <c r="AU56" s="267">
        <f t="shared" si="28"/>
        <v>347</v>
      </c>
      <c r="AV56" s="267">
        <f t="shared" si="29"/>
        <v>358</v>
      </c>
      <c r="AW56" s="267">
        <f t="shared" si="30"/>
        <v>368</v>
      </c>
      <c r="AX56" s="267">
        <f t="shared" si="31"/>
        <v>377</v>
      </c>
      <c r="AY56" s="267">
        <f t="shared" si="32"/>
        <v>539</v>
      </c>
      <c r="AZ56" s="267">
        <f t="shared" si="33"/>
        <v>536</v>
      </c>
      <c r="BA56" s="267">
        <f t="shared" si="34"/>
        <v>532</v>
      </c>
      <c r="BB56" s="267">
        <f t="shared" si="35"/>
        <v>310</v>
      </c>
      <c r="BC56" s="267">
        <f t="shared" si="36"/>
        <v>347</v>
      </c>
      <c r="BD56" s="267">
        <f t="shared" si="37"/>
        <v>358</v>
      </c>
      <c r="BE56" s="267">
        <f t="shared" si="38"/>
        <v>368</v>
      </c>
      <c r="BF56" s="267">
        <f t="shared" si="39"/>
        <v>377</v>
      </c>
      <c r="BG56" s="269">
        <f>AY56*VLOOKUP($B56,'Major Cities &amp; Towns'!$A$28:$B$345,2,FALSE)</f>
        <v>539</v>
      </c>
      <c r="BH56" s="269">
        <f>AZ56*VLOOKUP($B56,'Major Cities &amp; Towns'!$A$28:$B$345,2,FALSE)</f>
        <v>536</v>
      </c>
      <c r="BI56" s="269">
        <f>BA56*VLOOKUP($B56,'Major Cities &amp; Towns'!$A$28:$B$345,2,FALSE)</f>
        <v>532</v>
      </c>
      <c r="BJ56" s="269">
        <f>BB56*VLOOKUP($B56,'Major Cities &amp; Towns'!$A$28:$B$345,2,FALSE)</f>
        <v>310</v>
      </c>
      <c r="BK56" s="269">
        <f>BC56*VLOOKUP($B56,'Major Cities &amp; Towns'!$A$28:$B$345,2,FALSE)</f>
        <v>347</v>
      </c>
      <c r="BL56" s="269">
        <f>BD56*VLOOKUP($B56,'Major Cities &amp; Towns'!$A$28:$B$345,2,FALSE)</f>
        <v>358</v>
      </c>
      <c r="BM56" s="269">
        <f>BE56*VLOOKUP($B56,'Major Cities &amp; Towns'!$A$28:$B$345,2,FALSE)</f>
        <v>368</v>
      </c>
      <c r="BN56" s="269">
        <f>BF56*VLOOKUP($B56,'Major Cities &amp; Towns'!$A$28:$B$345,2,FALSE)</f>
        <v>377</v>
      </c>
      <c r="BO56" s="270">
        <f t="shared" si="40"/>
        <v>539</v>
      </c>
      <c r="BP56" s="270">
        <f t="shared" si="41"/>
        <v>536</v>
      </c>
      <c r="BQ56" s="270">
        <f t="shared" si="42"/>
        <v>532</v>
      </c>
      <c r="BR56" s="270">
        <f t="shared" si="43"/>
        <v>310</v>
      </c>
      <c r="BS56" s="270">
        <f t="shared" si="44"/>
        <v>347</v>
      </c>
      <c r="BT56" s="270">
        <f t="shared" si="45"/>
        <v>358</v>
      </c>
      <c r="BU56" s="270">
        <f t="shared" si="46"/>
        <v>368</v>
      </c>
      <c r="BV56" s="270">
        <f t="shared" si="47"/>
        <v>377</v>
      </c>
      <c r="BW56" s="39">
        <f>VLOOKUP($A56,NetAdditions!$A$2:$H$336,6,FALSE)</f>
        <v>783</v>
      </c>
      <c r="BX56" s="39">
        <f>VLOOKUP($A56,NetAdditions!$A$2:$H$336,7,FALSE)</f>
        <v>457</v>
      </c>
      <c r="BY56" s="39">
        <f>IF((VLOOKUP($C56,NetAdditions!$A$2:$H$336,8,FALSE))="",(AVERAGE(VLOOKUP($C56,NetAdditions!$A$2:$H$336,5,FALSE),VLOOKUP($C56,NetAdditions!$A$2:$H$336,6,FALSE),VLOOKUP($C56,NetAdditions!$A$2:$H$336,7,FALSE))),VLOOKUP($C56,NetAdditions!$A$2:$H$336,8,FALSE))</f>
        <v>384</v>
      </c>
      <c r="BZ56" s="39">
        <f t="shared" si="48"/>
        <v>541.33333333333337</v>
      </c>
      <c r="CA56" s="39">
        <f t="shared" si="49"/>
        <v>460.77777777777783</v>
      </c>
      <c r="CB56" s="39">
        <f t="shared" si="50"/>
        <v>462.03703703703712</v>
      </c>
      <c r="CC56" s="39">
        <f t="shared" si="51"/>
        <v>488.04938271604942</v>
      </c>
      <c r="CD56" s="39">
        <f t="shared" si="52"/>
        <v>470.2880658436215</v>
      </c>
      <c r="CE56" s="276">
        <f t="shared" si="5"/>
        <v>1607</v>
      </c>
      <c r="CF56" s="276">
        <f t="shared" si="6"/>
        <v>1378</v>
      </c>
      <c r="CG56" s="276">
        <f t="shared" si="7"/>
        <v>1189</v>
      </c>
      <c r="CH56" s="276">
        <f t="shared" si="8"/>
        <v>1015</v>
      </c>
      <c r="CI56" s="276">
        <f t="shared" si="9"/>
        <v>1073</v>
      </c>
      <c r="CJ56" s="276">
        <f t="shared" si="10"/>
        <v>1103</v>
      </c>
      <c r="CK56" s="276">
        <f t="shared" si="53"/>
        <v>1383.8055555555557</v>
      </c>
      <c r="CL56" s="276">
        <f t="shared" si="54"/>
        <v>1186.6111111111111</v>
      </c>
      <c r="CM56" s="276">
        <f t="shared" si="55"/>
        <v>1089.9166666666665</v>
      </c>
      <c r="CN56" s="276">
        <f t="shared" si="56"/>
        <v>1015</v>
      </c>
      <c r="CO56" s="276">
        <f t="shared" si="57"/>
        <v>1073</v>
      </c>
      <c r="CP56" s="276">
        <f t="shared" si="58"/>
        <v>1103</v>
      </c>
      <c r="CQ56" s="39">
        <f t="shared" si="12"/>
        <v>1624</v>
      </c>
      <c r="CR56" s="39">
        <f t="shared" si="13"/>
        <v>1382.3333333333335</v>
      </c>
      <c r="CS56" s="277">
        <f t="shared" si="14"/>
        <v>1386.1111111111113</v>
      </c>
      <c r="CT56" s="39">
        <f t="shared" si="15"/>
        <v>1464.1481481481483</v>
      </c>
      <c r="CU56" s="39">
        <f t="shared" si="16"/>
        <v>1410.8641975308644</v>
      </c>
      <c r="CV56" s="39">
        <f t="shared" si="59"/>
        <v>1420.3744855967082</v>
      </c>
      <c r="CW56" s="297">
        <f t="shared" si="18"/>
        <v>1.1735752855450949</v>
      </c>
      <c r="CX56" s="279" t="str">
        <f t="shared" si="60"/>
        <v>Pass</v>
      </c>
      <c r="CY56" s="278">
        <f t="shared" si="19"/>
        <v>1.1649421789409617</v>
      </c>
      <c r="CZ56" s="279" t="str">
        <f t="shared" si="61"/>
        <v>Pass</v>
      </c>
      <c r="DA56" s="278">
        <f t="shared" si="20"/>
        <v>1.2717587990926935</v>
      </c>
      <c r="DB56" s="292" t="str">
        <f t="shared" si="62"/>
        <v>Pass</v>
      </c>
      <c r="DC56" s="299">
        <f t="shared" si="63"/>
        <v>1.4425104907863531</v>
      </c>
      <c r="DD56" s="293" t="str">
        <f t="shared" si="64"/>
        <v>Pass</v>
      </c>
      <c r="DE56" s="299">
        <f t="shared" si="65"/>
        <v>1.3148780964872921</v>
      </c>
      <c r="DF56" s="293" t="str">
        <f t="shared" si="66"/>
        <v>Pass</v>
      </c>
      <c r="DG56" s="299">
        <f t="shared" si="67"/>
        <v>1.2877375209398987</v>
      </c>
      <c r="DH56" s="293" t="str">
        <f t="shared" si="68"/>
        <v>Pass</v>
      </c>
    </row>
    <row r="57" spans="1:112" ht="15" thickTop="1" thickBot="1">
      <c r="A57" s="38" t="s">
        <v>223</v>
      </c>
      <c r="B57" s="38" t="s">
        <v>224</v>
      </c>
      <c r="C57" s="38" t="s">
        <v>223</v>
      </c>
      <c r="D57" s="38" t="s">
        <v>113</v>
      </c>
      <c r="E57" s="38" t="str">
        <f>VLOOKUP(C57,PoliticalControl!A:K,11,FALSE)</f>
        <v>CON</v>
      </c>
      <c r="F57" s="38" t="str">
        <f>VLOOKUP(C57,UrbanRuralClassification!A:N,13,FALSE)</f>
        <v>Urban with Significant Rural (rural including hub towns 26-49%)</v>
      </c>
      <c r="G57" s="38" t="str">
        <f>VLOOKUP(C57,UrbanRuralClassification!A:N,14,FALSE)</f>
        <v>Urban with Significant Rural</v>
      </c>
      <c r="H57" s="258">
        <f>IF(ISBLANK((VLOOKUP($A57,'local-plan-data'!$C$1:$AD$566,27,FALSE)))=TRUE,"",VLOOKUP($A57,'local-plan-data'!$C$1:$AD$566,27,FALSE))</f>
        <v>42205</v>
      </c>
      <c r="I57" s="259">
        <f>VLOOKUP($A57,'local-plan-data'!$C$1:$AD$566,28,FALSE)</f>
        <v>1362</v>
      </c>
      <c r="J57" s="260">
        <f t="shared" si="21"/>
        <v>1362</v>
      </c>
      <c r="K57" s="259">
        <f t="shared" si="69"/>
        <v>1362</v>
      </c>
      <c r="L57" s="259">
        <f t="shared" si="69"/>
        <v>1362</v>
      </c>
      <c r="M57" s="259">
        <f t="shared" si="69"/>
        <v>1362</v>
      </c>
      <c r="N57" s="259" t="str">
        <f t="shared" si="69"/>
        <v>-</v>
      </c>
      <c r="O57" s="259" t="str">
        <f t="shared" si="69"/>
        <v>-</v>
      </c>
      <c r="P57" s="259" t="str">
        <f t="shared" si="69"/>
        <v>-</v>
      </c>
      <c r="Q57" s="259" t="str">
        <f t="shared" si="69"/>
        <v>-</v>
      </c>
      <c r="R57" s="259" t="str">
        <f t="shared" si="69"/>
        <v>-</v>
      </c>
      <c r="S57" s="259">
        <f t="shared" si="70"/>
        <v>841</v>
      </c>
      <c r="T57" s="259">
        <f t="shared" si="70"/>
        <v>476</v>
      </c>
      <c r="U57" s="259">
        <f t="shared" si="70"/>
        <v>110</v>
      </c>
      <c r="V57" s="259">
        <f t="shared" si="70"/>
        <v>-255</v>
      </c>
      <c r="W57" s="259">
        <f t="shared" si="70"/>
        <v>-620</v>
      </c>
      <c r="X57" s="259">
        <f t="shared" si="70"/>
        <v>-985</v>
      </c>
      <c r="Y57" s="259">
        <f t="shared" si="70"/>
        <v>-1351</v>
      </c>
      <c r="Z57" s="259">
        <f t="shared" si="70"/>
        <v>-1716</v>
      </c>
      <c r="AA57" s="267">
        <f>(VLOOKUP(A57,Hshldprojections2014!$A$2:$AW$319,40, FALSE)-VLOOKUP(A57,Hshldprojections2014!$A$2:$AW$319,30, FALSE))/10</f>
        <v>554.79999999999995</v>
      </c>
      <c r="AB57" s="267">
        <f>(VLOOKUP(A57,Hshldprojections2014!$A$2:$AW$319,41, FALSE)-VLOOKUP(A57,Hshldprojections2014!$A$2:$AW$319,31, FALSE))/10</f>
        <v>546.4</v>
      </c>
      <c r="AC57" s="267">
        <f>(VLOOKUP(A57,Hshldprojections2014!$A$2:$AW$319,42, FALSE)-VLOOKUP(A57,Hshldprojections2014!$A$2:$AW$319,32, FALSE))/10</f>
        <v>539.1</v>
      </c>
      <c r="AD57" s="267">
        <f>IF(IndividualLATest!$J$7=2014,(VLOOKUP($A57,Hshldprojections2014!$A$2:$AY$326,43,FALSE)-VLOOKUP($A57,Hshldprojections2014!$A$2:$AY$326,33,FALSE))/10,IF(IndividualLATest!$J$7=2016,(VLOOKUP($A57,Hshldprojections2016!$A$1:$AQ$322,33,FALSE)-VLOOKUP($A57,Hshldprojections2016!$A$1:$AQ$322,23,FALSE))/10,(VLOOKUP($A57,Hshldprojections2018!$A$1:$AQ$327,33,FALSE)-VLOOKUP($A57,Hshldprojections2018!$A$1:$AQ$327,23,FALSE))/10))</f>
        <v>585.5</v>
      </c>
      <c r="AE57" s="267">
        <f>IF(IndividualLATest!$J$7=2014,(VLOOKUP($A57,Hshldprojections2014!$A$2:$AY$326,44,FALSE)-VLOOKUP($A57,Hshldprojections2014!$A$2:$AY$326,34,FALSE))/10,IF(IndividualLATest!$J$7=2016,(VLOOKUP($A57,Hshldprojections2016!$A$1:$AQ$322,34,FALSE)-VLOOKUP($A57,Hshldprojections2016!$A$1:$AQ$322,24,FALSE))/10,(VLOOKUP($A57,Hshldprojections2018!$A$1:$AQ$327,34,FALSE)-VLOOKUP($A57,Hshldprojections2018!$A$1:$AQ$327,24,FALSE))/10))</f>
        <v>565.4</v>
      </c>
      <c r="AF57" s="267">
        <f>IF(IndividualLATest!$J$7=2014,(VLOOKUP($A57,Hshldprojections2014!$A$2:$AY$326,45,FALSE)-VLOOKUP($A57,Hshldprojections2014!$A$2:$AY$326,35,FALSE))/10,IF(IndividualLATest!$J$7=2016,(VLOOKUP($A57,Hshldprojections2016!$A$1:$AQ$322,35,FALSE)-VLOOKUP($A57,Hshldprojections2016!$A$1:$AQ$322,25,FALSE))/10,(VLOOKUP($A57,Hshldprojections2018!$A$1:$AQ$327,35,FALSE)-VLOOKUP($A57,Hshldprojections2018!$A$1:$AQ$327,25,FALSE))/10))</f>
        <v>547.4</v>
      </c>
      <c r="AG57" s="267">
        <f>IF(IndividualLATest!$J$7=2014,(VLOOKUP($A57,Hshldprojections2014!$A$2:$AY$326,46,FALSE)-VLOOKUP($A57,Hshldprojections2014!$A$2:$AY$326,36,FALSE))/10,IF(IndividualLATest!$J$7=2016,(VLOOKUP($A57,Hshldprojections2016!$A$1:$AQ$322,36,FALSE)-VLOOKUP($A57,Hshldprojections2016!$A$1:$AQ$322,26,FALSE))/10,(VLOOKUP($A57,Hshldprojections2018!$A$1:$AQ$327,36,FALSE)-VLOOKUP($A57,Hshldprojections2018!$A$1:$AQ$327,26,FALSE))/10))</f>
        <v>532.9</v>
      </c>
      <c r="AH57" s="267">
        <f>IF(IndividualLATest!$J$7=2014,(VLOOKUP($A57,Hshldprojections2014!$A$2:$AY$326,47,FALSE)-VLOOKUP($A57,Hshldprojections2014!$A$2:$AY$326,37,FALSE))/10,IF(IndividualLATest!$J$7=2016,(VLOOKUP($A57,Hshldprojections2016!$A$1:$AQ$322,37,FALSE)-VLOOKUP($A57,Hshldprojections2016!$A$1:$AQ$322,27,FALSE))/10,(VLOOKUP($A57,Hshldprojections2018!$A$1:$AQ$327,37,FALSE)-VLOOKUP($A57,Hshldprojections2018!$A$1:$AQ$327,27,FALSE))/10))</f>
        <v>520.29999999999995</v>
      </c>
      <c r="AI57" s="268">
        <f>VLOOKUP($A57,AffordabilityRatio!$A$2:$I$321,5,FALSE)</f>
        <v>9.82</v>
      </c>
      <c r="AJ57" s="268">
        <f>VLOOKUP($A57,AffordabilityRatio!$A$2:$I$321,6,FALSE)</f>
        <v>9.77</v>
      </c>
      <c r="AK57" s="268">
        <f>VLOOKUP($A57,AffordabilityRatio!$A$2:$I$321,7,FALSE)</f>
        <v>10.39</v>
      </c>
      <c r="AL57" s="268">
        <f>IF((VLOOKUP($A57,AffordabilityRatio!$A$2:$I$321,8,FALSE))="",AK57,VLOOKUP($A57,AffordabilityRatio!$A$2:$I$321,8,FALSE))</f>
        <v>9.43</v>
      </c>
      <c r="AM57" s="268">
        <f>IF((VLOOKUP($A57,AffordabilityRatio!$A$2:$I$321,9,FALSE))="",AL57,VLOOKUP($A57,AffordabilityRatio!$A$2:$I$321,9,FALSE))</f>
        <v>10.28</v>
      </c>
      <c r="AN57" s="268">
        <f>IF((VLOOKUP($A57,AffordabilityRatio!$A$2:$I$321,9,FALSE))="",AM57,VLOOKUP($A57,AffordabilityRatio!$A$2:$I$321,9,FALSE))</f>
        <v>10.28</v>
      </c>
      <c r="AO57" s="268">
        <f>IF((VLOOKUP($A57,AffordabilityRatio!$A$2:$I$321,9,FALSE))="",AN57,VLOOKUP($A57,AffordabilityRatio!$A$2:$I$321,9,FALSE))</f>
        <v>10.28</v>
      </c>
      <c r="AP57" s="268">
        <f>IF((VLOOKUP($A57,AffordabilityRatio!$A$2:$I$321,9,FALSE))="",AO57,VLOOKUP($A57,AffordabilityRatio!$A$2:$I$321,9,FALSE))</f>
        <v>10.28</v>
      </c>
      <c r="AQ57" s="267">
        <f t="shared" si="24"/>
        <v>757</v>
      </c>
      <c r="AR57" s="267">
        <f t="shared" si="25"/>
        <v>743</v>
      </c>
      <c r="AS57" s="267">
        <f t="shared" si="26"/>
        <v>754</v>
      </c>
      <c r="AT57" s="267">
        <f t="shared" si="27"/>
        <v>784</v>
      </c>
      <c r="AU57" s="267">
        <f t="shared" si="28"/>
        <v>787</v>
      </c>
      <c r="AV57" s="267">
        <f t="shared" si="29"/>
        <v>762</v>
      </c>
      <c r="AW57" s="267">
        <f t="shared" si="30"/>
        <v>742</v>
      </c>
      <c r="AX57" s="267">
        <f t="shared" si="31"/>
        <v>725</v>
      </c>
      <c r="AY57" s="267">
        <f t="shared" si="32"/>
        <v>757</v>
      </c>
      <c r="AZ57" s="267">
        <f t="shared" si="33"/>
        <v>743</v>
      </c>
      <c r="BA57" s="267">
        <f t="shared" si="34"/>
        <v>754</v>
      </c>
      <c r="BB57" s="267">
        <f t="shared" si="35"/>
        <v>784</v>
      </c>
      <c r="BC57" s="267">
        <f t="shared" si="36"/>
        <v>787</v>
      </c>
      <c r="BD57" s="267">
        <f t="shared" si="37"/>
        <v>762</v>
      </c>
      <c r="BE57" s="267">
        <f t="shared" si="38"/>
        <v>742</v>
      </c>
      <c r="BF57" s="267">
        <f t="shared" si="39"/>
        <v>725</v>
      </c>
      <c r="BG57" s="269">
        <f>AY57*VLOOKUP($B57,'Major Cities &amp; Towns'!$A$28:$B$345,2,FALSE)</f>
        <v>757</v>
      </c>
      <c r="BH57" s="269">
        <f>AZ57*VLOOKUP($B57,'Major Cities &amp; Towns'!$A$28:$B$345,2,FALSE)</f>
        <v>743</v>
      </c>
      <c r="BI57" s="269">
        <f>BA57*VLOOKUP($B57,'Major Cities &amp; Towns'!$A$28:$B$345,2,FALSE)</f>
        <v>754</v>
      </c>
      <c r="BJ57" s="269">
        <f>BB57*VLOOKUP($B57,'Major Cities &amp; Towns'!$A$28:$B$345,2,FALSE)</f>
        <v>784</v>
      </c>
      <c r="BK57" s="269">
        <f>BC57*VLOOKUP($B57,'Major Cities &amp; Towns'!$A$28:$B$345,2,FALSE)</f>
        <v>787</v>
      </c>
      <c r="BL57" s="269">
        <f>BD57*VLOOKUP($B57,'Major Cities &amp; Towns'!$A$28:$B$345,2,FALSE)</f>
        <v>762</v>
      </c>
      <c r="BM57" s="269">
        <f>BE57*VLOOKUP($B57,'Major Cities &amp; Towns'!$A$28:$B$345,2,FALSE)</f>
        <v>742</v>
      </c>
      <c r="BN57" s="269">
        <f>BF57*VLOOKUP($B57,'Major Cities &amp; Towns'!$A$28:$B$345,2,FALSE)</f>
        <v>725</v>
      </c>
      <c r="BO57" s="270">
        <f t="shared" si="40"/>
        <v>757</v>
      </c>
      <c r="BP57" s="270">
        <f t="shared" si="41"/>
        <v>743</v>
      </c>
      <c r="BQ57" s="270">
        <f t="shared" si="42"/>
        <v>754</v>
      </c>
      <c r="BR57" s="270">
        <f t="shared" si="43"/>
        <v>784</v>
      </c>
      <c r="BS57" s="270">
        <f t="shared" si="44"/>
        <v>787</v>
      </c>
      <c r="BT57" s="270">
        <f t="shared" si="45"/>
        <v>762</v>
      </c>
      <c r="BU57" s="270">
        <f t="shared" si="46"/>
        <v>742</v>
      </c>
      <c r="BV57" s="270">
        <f t="shared" si="47"/>
        <v>725</v>
      </c>
      <c r="BW57" s="39">
        <f>VLOOKUP($A57,NetAdditions!$A$2:$H$336,6,FALSE)</f>
        <v>1489</v>
      </c>
      <c r="BX57" s="39">
        <f>VLOOKUP($A57,NetAdditions!$A$2:$H$336,7,FALSE)</f>
        <v>1159</v>
      </c>
      <c r="BY57" s="39">
        <f>IF((VLOOKUP($C57,NetAdditions!$A$2:$H$336,8,FALSE))="",(AVERAGE(VLOOKUP($C57,NetAdditions!$A$2:$H$336,5,FALSE),VLOOKUP($C57,NetAdditions!$A$2:$H$336,6,FALSE),VLOOKUP($C57,NetAdditions!$A$2:$H$336,7,FALSE))),VLOOKUP($C57,NetAdditions!$A$2:$H$336,8,FALSE))</f>
        <v>1192</v>
      </c>
      <c r="BZ57" s="39">
        <f t="shared" si="48"/>
        <v>1280</v>
      </c>
      <c r="CA57" s="39">
        <f t="shared" si="49"/>
        <v>1210.3333333333333</v>
      </c>
      <c r="CB57" s="39">
        <f t="shared" si="50"/>
        <v>1227.4444444444443</v>
      </c>
      <c r="CC57" s="39">
        <f t="shared" si="51"/>
        <v>1239.2592592592591</v>
      </c>
      <c r="CD57" s="39">
        <f t="shared" si="52"/>
        <v>1225.6790123456788</v>
      </c>
      <c r="CE57" s="276">
        <f t="shared" si="5"/>
        <v>2254</v>
      </c>
      <c r="CF57" s="276">
        <f t="shared" si="6"/>
        <v>2281</v>
      </c>
      <c r="CG57" s="276">
        <f t="shared" si="7"/>
        <v>2325</v>
      </c>
      <c r="CH57" s="276">
        <f t="shared" si="8"/>
        <v>2333</v>
      </c>
      <c r="CI57" s="276">
        <f t="shared" si="9"/>
        <v>2291</v>
      </c>
      <c r="CJ57" s="276">
        <f t="shared" si="10"/>
        <v>2229</v>
      </c>
      <c r="CK57" s="276">
        <f t="shared" si="53"/>
        <v>1940.9444444444446</v>
      </c>
      <c r="CL57" s="276">
        <f t="shared" si="54"/>
        <v>1964.1944444444446</v>
      </c>
      <c r="CM57" s="276">
        <f t="shared" si="55"/>
        <v>2131.25</v>
      </c>
      <c r="CN57" s="276">
        <f t="shared" si="56"/>
        <v>2333</v>
      </c>
      <c r="CO57" s="276">
        <f t="shared" si="57"/>
        <v>2291</v>
      </c>
      <c r="CP57" s="276">
        <f t="shared" si="58"/>
        <v>2229</v>
      </c>
      <c r="CQ57" s="39">
        <f t="shared" si="12"/>
        <v>3840</v>
      </c>
      <c r="CR57" s="39">
        <f t="shared" si="13"/>
        <v>3631</v>
      </c>
      <c r="CS57" s="277">
        <f t="shared" si="14"/>
        <v>3682.333333333333</v>
      </c>
      <c r="CT57" s="39">
        <f t="shared" si="15"/>
        <v>3717.7777777777774</v>
      </c>
      <c r="CU57" s="39">
        <f t="shared" si="16"/>
        <v>3677.0370370370365</v>
      </c>
      <c r="CV57" s="39">
        <f t="shared" si="59"/>
        <v>3692.382716049382</v>
      </c>
      <c r="CW57" s="297">
        <f t="shared" si="18"/>
        <v>1.978418295789564</v>
      </c>
      <c r="CX57" s="279" t="str">
        <f t="shared" si="60"/>
        <v>Pass</v>
      </c>
      <c r="CY57" s="278">
        <f t="shared" si="19"/>
        <v>1.8485949852215355</v>
      </c>
      <c r="CZ57" s="279" t="str">
        <f t="shared" si="61"/>
        <v>Pass</v>
      </c>
      <c r="DA57" s="278">
        <f t="shared" si="20"/>
        <v>1.7277810361681327</v>
      </c>
      <c r="DB57" s="292" t="str">
        <f t="shared" si="62"/>
        <v>Pass</v>
      </c>
      <c r="DC57" s="299">
        <f t="shared" si="63"/>
        <v>1.5935609849026049</v>
      </c>
      <c r="DD57" s="293" t="str">
        <f t="shared" si="64"/>
        <v>Pass</v>
      </c>
      <c r="DE57" s="299">
        <f t="shared" si="65"/>
        <v>1.6049921593352408</v>
      </c>
      <c r="DF57" s="293" t="str">
        <f t="shared" si="66"/>
        <v>Pass</v>
      </c>
      <c r="DG57" s="299">
        <f t="shared" si="67"/>
        <v>1.6565198367202252</v>
      </c>
      <c r="DH57" s="293" t="str">
        <f t="shared" si="68"/>
        <v>Pass</v>
      </c>
    </row>
    <row r="58" spans="1:112" ht="15" thickTop="1" thickBot="1">
      <c r="A58" s="38" t="s">
        <v>225</v>
      </c>
      <c r="B58" s="38" t="s">
        <v>226</v>
      </c>
      <c r="C58" s="38" t="s">
        <v>225</v>
      </c>
      <c r="D58" s="38" t="s">
        <v>116</v>
      </c>
      <c r="E58" s="38" t="str">
        <f>VLOOKUP(C58,PoliticalControl!A:K,11,FALSE)</f>
        <v>NOC</v>
      </c>
      <c r="F58" s="38" t="str">
        <f>VLOOKUP(C58,UrbanRuralClassification!A:N,13,FALSE)</f>
        <v>Urban with Significant Rural (rural including hub towns 26-49%)</v>
      </c>
      <c r="G58" s="38" t="str">
        <f>VLOOKUP(C58,UrbanRuralClassification!A:N,14,FALSE)</f>
        <v>Urban with Significant Rural</v>
      </c>
      <c r="H58" s="258">
        <f>IF(ISBLANK((VLOOKUP($A58,'local-plan-data'!$C$1:$AD$566,27,FALSE)))=TRUE,"",VLOOKUP($A58,'local-plan-data'!$C$1:$AD$566,27,FALSE))</f>
        <v>42943</v>
      </c>
      <c r="I58" s="259">
        <f>VLOOKUP($A58,'local-plan-data'!$C$1:$AD$566,28,FALSE)</f>
        <v>1800</v>
      </c>
      <c r="J58" s="260">
        <f t="shared" si="21"/>
        <v>1800</v>
      </c>
      <c r="K58" s="259">
        <f t="shared" si="69"/>
        <v>1800</v>
      </c>
      <c r="L58" s="259">
        <f t="shared" si="69"/>
        <v>1800</v>
      </c>
      <c r="M58" s="259">
        <f t="shared" si="69"/>
        <v>1800</v>
      </c>
      <c r="N58" s="259">
        <f t="shared" si="69"/>
        <v>1800</v>
      </c>
      <c r="O58" s="259">
        <f t="shared" si="69"/>
        <v>1800</v>
      </c>
      <c r="P58" s="259" t="str">
        <f t="shared" si="69"/>
        <v>-</v>
      </c>
      <c r="Q58" s="259" t="str">
        <f t="shared" si="69"/>
        <v>-</v>
      </c>
      <c r="R58" s="259" t="str">
        <f t="shared" si="69"/>
        <v>-</v>
      </c>
      <c r="S58" s="259">
        <f t="shared" si="70"/>
        <v>1578</v>
      </c>
      <c r="T58" s="259">
        <f t="shared" si="70"/>
        <v>1213</v>
      </c>
      <c r="U58" s="259">
        <f t="shared" si="70"/>
        <v>847</v>
      </c>
      <c r="V58" s="259">
        <f t="shared" si="70"/>
        <v>482</v>
      </c>
      <c r="W58" s="259">
        <f t="shared" si="70"/>
        <v>117</v>
      </c>
      <c r="X58" s="259">
        <f t="shared" si="70"/>
        <v>-248</v>
      </c>
      <c r="Y58" s="259">
        <f t="shared" si="70"/>
        <v>-614</v>
      </c>
      <c r="Z58" s="259">
        <f t="shared" si="70"/>
        <v>-979</v>
      </c>
      <c r="AA58" s="267">
        <f>(VLOOKUP(A58,Hshldprojections2014!$A$2:$AW$319,40, FALSE)-VLOOKUP(A58,Hshldprojections2014!$A$2:$AW$319,30, FALSE))/10</f>
        <v>899.9</v>
      </c>
      <c r="AB58" s="267">
        <f>(VLOOKUP(A58,Hshldprojections2014!$A$2:$AW$319,41, FALSE)-VLOOKUP(A58,Hshldprojections2014!$A$2:$AW$319,31, FALSE))/10</f>
        <v>879.6</v>
      </c>
      <c r="AC58" s="267">
        <f>(VLOOKUP(A58,Hshldprojections2014!$A$2:$AW$319,42, FALSE)-VLOOKUP(A58,Hshldprojections2014!$A$2:$AW$319,32, FALSE))/10</f>
        <v>856.4</v>
      </c>
      <c r="AD58" s="267">
        <f>IF(IndividualLATest!$J$7=2014,(VLOOKUP($A58,Hshldprojections2014!$A$2:$AY$326,43,FALSE)-VLOOKUP($A58,Hshldprojections2014!$A$2:$AY$326,33,FALSE))/10,IF(IndividualLATest!$J$7=2016,(VLOOKUP($A58,Hshldprojections2016!$A$1:$AQ$322,33,FALSE)-VLOOKUP($A58,Hshldprojections2016!$A$1:$AQ$322,23,FALSE))/10,(VLOOKUP($A58,Hshldprojections2018!$A$1:$AQ$327,33,FALSE)-VLOOKUP($A58,Hshldprojections2018!$A$1:$AQ$327,23,FALSE))/10))</f>
        <v>1125.5</v>
      </c>
      <c r="AE58" s="267">
        <f>IF(IndividualLATest!$J$7=2014,(VLOOKUP($A58,Hshldprojections2014!$A$2:$AY$326,44,FALSE)-VLOOKUP($A58,Hshldprojections2014!$A$2:$AY$326,34,FALSE))/10,IF(IndividualLATest!$J$7=2016,(VLOOKUP($A58,Hshldprojections2016!$A$1:$AQ$322,34,FALSE)-VLOOKUP($A58,Hshldprojections2016!$A$1:$AQ$322,24,FALSE))/10,(VLOOKUP($A58,Hshldprojections2018!$A$1:$AQ$327,34,FALSE)-VLOOKUP($A58,Hshldprojections2018!$A$1:$AQ$327,24,FALSE))/10))</f>
        <v>1093.5</v>
      </c>
      <c r="AF58" s="267">
        <f>IF(IndividualLATest!$J$7=2014,(VLOOKUP($A58,Hshldprojections2014!$A$2:$AY$326,45,FALSE)-VLOOKUP($A58,Hshldprojections2014!$A$2:$AY$326,35,FALSE))/10,IF(IndividualLATest!$J$7=2016,(VLOOKUP($A58,Hshldprojections2016!$A$1:$AQ$322,35,FALSE)-VLOOKUP($A58,Hshldprojections2016!$A$1:$AQ$322,25,FALSE))/10,(VLOOKUP($A58,Hshldprojections2018!$A$1:$AQ$327,35,FALSE)-VLOOKUP($A58,Hshldprojections2018!$A$1:$AQ$327,25,FALSE))/10))</f>
        <v>1067.5</v>
      </c>
      <c r="AG58" s="267">
        <f>IF(IndividualLATest!$J$7=2014,(VLOOKUP($A58,Hshldprojections2014!$A$2:$AY$326,46,FALSE)-VLOOKUP($A58,Hshldprojections2014!$A$2:$AY$326,36,FALSE))/10,IF(IndividualLATest!$J$7=2016,(VLOOKUP($A58,Hshldprojections2016!$A$1:$AQ$322,36,FALSE)-VLOOKUP($A58,Hshldprojections2016!$A$1:$AQ$322,26,FALSE))/10,(VLOOKUP($A58,Hshldprojections2018!$A$1:$AQ$327,36,FALSE)-VLOOKUP($A58,Hshldprojections2018!$A$1:$AQ$327,26,FALSE))/10))</f>
        <v>1041.9000000000001</v>
      </c>
      <c r="AH58" s="267">
        <f>IF(IndividualLATest!$J$7=2014,(VLOOKUP($A58,Hshldprojections2014!$A$2:$AY$326,47,FALSE)-VLOOKUP($A58,Hshldprojections2014!$A$2:$AY$326,37,FALSE))/10,IF(IndividualLATest!$J$7=2016,(VLOOKUP($A58,Hshldprojections2016!$A$1:$AQ$322,37,FALSE)-VLOOKUP($A58,Hshldprojections2016!$A$1:$AQ$322,27,FALSE))/10,(VLOOKUP($A58,Hshldprojections2018!$A$1:$AQ$327,37,FALSE)-VLOOKUP($A58,Hshldprojections2018!$A$1:$AQ$327,27,FALSE))/10))</f>
        <v>1021.3</v>
      </c>
      <c r="AI58" s="268">
        <f>VLOOKUP($A58,AffordabilityRatio!$A$2:$I$321,5,FALSE)</f>
        <v>7.65</v>
      </c>
      <c r="AJ58" s="268">
        <f>VLOOKUP($A58,AffordabilityRatio!$A$2:$I$321,6,FALSE)</f>
        <v>8.0500000000000007</v>
      </c>
      <c r="AK58" s="268">
        <f>VLOOKUP($A58,AffordabilityRatio!$A$2:$I$321,7,FALSE)</f>
        <v>8.0399999999999991</v>
      </c>
      <c r="AL58" s="268">
        <f>IF((VLOOKUP($A58,AffordabilityRatio!$A$2:$I$321,8,FALSE))="",AK58,VLOOKUP($A58,AffordabilityRatio!$A$2:$I$321,8,FALSE))</f>
        <v>7.94</v>
      </c>
      <c r="AM58" s="268">
        <f>IF((VLOOKUP($A58,AffordabilityRatio!$A$2:$I$321,9,FALSE))="",AL58,VLOOKUP($A58,AffordabilityRatio!$A$2:$I$321,9,FALSE))</f>
        <v>8.7899999999999991</v>
      </c>
      <c r="AN58" s="268">
        <f>IF((VLOOKUP($A58,AffordabilityRatio!$A$2:$I$321,9,FALSE))="",AM58,VLOOKUP($A58,AffordabilityRatio!$A$2:$I$321,9,FALSE))</f>
        <v>8.7899999999999991</v>
      </c>
      <c r="AO58" s="268">
        <f>IF((VLOOKUP($A58,AffordabilityRatio!$A$2:$I$321,9,FALSE))="",AN58,VLOOKUP($A58,AffordabilityRatio!$A$2:$I$321,9,FALSE))</f>
        <v>8.7899999999999991</v>
      </c>
      <c r="AP58" s="268">
        <f>IF((VLOOKUP($A58,AffordabilityRatio!$A$2:$I$321,9,FALSE))="",AO58,VLOOKUP($A58,AffordabilityRatio!$A$2:$I$321,9,FALSE))</f>
        <v>8.7899999999999991</v>
      </c>
      <c r="AQ58" s="267">
        <f t="shared" si="24"/>
        <v>1105</v>
      </c>
      <c r="AR58" s="267">
        <f t="shared" si="25"/>
        <v>1102</v>
      </c>
      <c r="AS58" s="267">
        <f t="shared" si="26"/>
        <v>1073</v>
      </c>
      <c r="AT58" s="267">
        <f t="shared" si="27"/>
        <v>1403</v>
      </c>
      <c r="AU58" s="267">
        <f t="shared" si="28"/>
        <v>1421</v>
      </c>
      <c r="AV58" s="267">
        <f t="shared" si="29"/>
        <v>1387</v>
      </c>
      <c r="AW58" s="267">
        <f t="shared" si="30"/>
        <v>1354</v>
      </c>
      <c r="AX58" s="267">
        <f t="shared" si="31"/>
        <v>1327</v>
      </c>
      <c r="AY58" s="267">
        <f t="shared" si="32"/>
        <v>1105</v>
      </c>
      <c r="AZ58" s="267">
        <f t="shared" si="33"/>
        <v>1102</v>
      </c>
      <c r="BA58" s="267">
        <f t="shared" si="34"/>
        <v>1073</v>
      </c>
      <c r="BB58" s="267">
        <f t="shared" si="35"/>
        <v>1403</v>
      </c>
      <c r="BC58" s="267">
        <f t="shared" si="36"/>
        <v>1421</v>
      </c>
      <c r="BD58" s="267">
        <f t="shared" si="37"/>
        <v>1387</v>
      </c>
      <c r="BE58" s="267">
        <f t="shared" si="38"/>
        <v>1354</v>
      </c>
      <c r="BF58" s="267">
        <f t="shared" si="39"/>
        <v>1327</v>
      </c>
      <c r="BG58" s="269">
        <f>AY58*VLOOKUP($B58,'Major Cities &amp; Towns'!$A$28:$B$345,2,FALSE)</f>
        <v>1105</v>
      </c>
      <c r="BH58" s="269">
        <f>AZ58*VLOOKUP($B58,'Major Cities &amp; Towns'!$A$28:$B$345,2,FALSE)</f>
        <v>1102</v>
      </c>
      <c r="BI58" s="269">
        <f>BA58*VLOOKUP($B58,'Major Cities &amp; Towns'!$A$28:$B$345,2,FALSE)</f>
        <v>1073</v>
      </c>
      <c r="BJ58" s="269">
        <f>BB58*VLOOKUP($B58,'Major Cities &amp; Towns'!$A$28:$B$345,2,FALSE)</f>
        <v>1403</v>
      </c>
      <c r="BK58" s="269">
        <f>BC58*VLOOKUP($B58,'Major Cities &amp; Towns'!$A$28:$B$345,2,FALSE)</f>
        <v>1421</v>
      </c>
      <c r="BL58" s="269">
        <f>BD58*VLOOKUP($B58,'Major Cities &amp; Towns'!$A$28:$B$345,2,FALSE)</f>
        <v>1387</v>
      </c>
      <c r="BM58" s="269">
        <f>BE58*VLOOKUP($B58,'Major Cities &amp; Towns'!$A$28:$B$345,2,FALSE)</f>
        <v>1354</v>
      </c>
      <c r="BN58" s="269">
        <f>BF58*VLOOKUP($B58,'Major Cities &amp; Towns'!$A$28:$B$345,2,FALSE)</f>
        <v>1327</v>
      </c>
      <c r="BO58" s="270">
        <f t="shared" si="40"/>
        <v>1105</v>
      </c>
      <c r="BP58" s="270">
        <f t="shared" si="41"/>
        <v>1102</v>
      </c>
      <c r="BQ58" s="270">
        <f t="shared" si="42"/>
        <v>1073</v>
      </c>
      <c r="BR58" s="270">
        <f t="shared" si="43"/>
        <v>1403</v>
      </c>
      <c r="BS58" s="270">
        <f t="shared" si="44"/>
        <v>1421</v>
      </c>
      <c r="BT58" s="270">
        <f t="shared" si="45"/>
        <v>1387</v>
      </c>
      <c r="BU58" s="270">
        <f t="shared" si="46"/>
        <v>1354</v>
      </c>
      <c r="BV58" s="270">
        <f t="shared" si="47"/>
        <v>1327</v>
      </c>
      <c r="BW58" s="39">
        <f>VLOOKUP($A58,NetAdditions!$A$2:$H$336,6,FALSE)</f>
        <v>2935</v>
      </c>
      <c r="BX58" s="39">
        <f>VLOOKUP($A58,NetAdditions!$A$2:$H$336,7,FALSE)</f>
        <v>3131</v>
      </c>
      <c r="BY58" s="39">
        <f>IF((VLOOKUP($C58,NetAdditions!$A$2:$H$336,8,FALSE))="",(AVERAGE(VLOOKUP($C58,NetAdditions!$A$2:$H$336,5,FALSE),VLOOKUP($C58,NetAdditions!$A$2:$H$336,6,FALSE),VLOOKUP($C58,NetAdditions!$A$2:$H$336,7,FALSE))),VLOOKUP($C58,NetAdditions!$A$2:$H$336,8,FALSE))</f>
        <v>2275</v>
      </c>
      <c r="BZ58" s="39">
        <f t="shared" si="48"/>
        <v>2780.3333333333335</v>
      </c>
      <c r="CA58" s="39">
        <f t="shared" si="49"/>
        <v>2728.7777777777778</v>
      </c>
      <c r="CB58" s="39">
        <f t="shared" si="50"/>
        <v>2594.7037037037039</v>
      </c>
      <c r="CC58" s="39">
        <f t="shared" si="51"/>
        <v>2701.271604938272</v>
      </c>
      <c r="CD58" s="39">
        <f t="shared" si="52"/>
        <v>2674.9176954732516</v>
      </c>
      <c r="CE58" s="276">
        <f t="shared" si="5"/>
        <v>3280</v>
      </c>
      <c r="CF58" s="276">
        <f t="shared" si="6"/>
        <v>3578</v>
      </c>
      <c r="CG58" s="276">
        <f t="shared" si="7"/>
        <v>3897</v>
      </c>
      <c r="CH58" s="276">
        <f t="shared" si="8"/>
        <v>4211</v>
      </c>
      <c r="CI58" s="276">
        <f t="shared" si="9"/>
        <v>4162</v>
      </c>
      <c r="CJ58" s="276">
        <f t="shared" si="10"/>
        <v>4068</v>
      </c>
      <c r="CK58" s="276">
        <f t="shared" si="53"/>
        <v>2824.4444444444448</v>
      </c>
      <c r="CL58" s="276">
        <f t="shared" si="54"/>
        <v>3081.0555555555557</v>
      </c>
      <c r="CM58" s="276">
        <f t="shared" si="55"/>
        <v>3572.25</v>
      </c>
      <c r="CN58" s="276">
        <f t="shared" si="56"/>
        <v>4211</v>
      </c>
      <c r="CO58" s="276">
        <f t="shared" si="57"/>
        <v>4162</v>
      </c>
      <c r="CP58" s="276">
        <f t="shared" si="58"/>
        <v>4068</v>
      </c>
      <c r="CQ58" s="39">
        <f t="shared" si="12"/>
        <v>8341</v>
      </c>
      <c r="CR58" s="39">
        <f t="shared" si="13"/>
        <v>8186.3333333333339</v>
      </c>
      <c r="CS58" s="277">
        <f t="shared" si="14"/>
        <v>7784.1111111111113</v>
      </c>
      <c r="CT58" s="39">
        <f t="shared" si="15"/>
        <v>8103.8148148148157</v>
      </c>
      <c r="CU58" s="39">
        <f t="shared" si="16"/>
        <v>8024.7530864197543</v>
      </c>
      <c r="CV58" s="39">
        <f t="shared" si="59"/>
        <v>7970.8930041152271</v>
      </c>
      <c r="CW58" s="297">
        <f t="shared" si="18"/>
        <v>2.9531471282454755</v>
      </c>
      <c r="CX58" s="279" t="str">
        <f t="shared" si="60"/>
        <v>Pass</v>
      </c>
      <c r="CY58" s="278">
        <f t="shared" si="19"/>
        <v>2.6569898483564436</v>
      </c>
      <c r="CZ58" s="279" t="str">
        <f t="shared" si="61"/>
        <v>Pass</v>
      </c>
      <c r="DA58" s="278">
        <f t="shared" si="20"/>
        <v>2.1790499296272969</v>
      </c>
      <c r="DB58" s="292" t="str">
        <f t="shared" si="62"/>
        <v>Pass</v>
      </c>
      <c r="DC58" s="299">
        <f t="shared" si="63"/>
        <v>1.9244395190726231</v>
      </c>
      <c r="DD58" s="293" t="str">
        <f t="shared" si="64"/>
        <v>Pass</v>
      </c>
      <c r="DE58" s="299">
        <f t="shared" si="65"/>
        <v>1.9281002129792779</v>
      </c>
      <c r="DF58" s="293" t="str">
        <f t="shared" si="66"/>
        <v>Pass</v>
      </c>
      <c r="DG58" s="299">
        <f t="shared" si="67"/>
        <v>1.9594132261836841</v>
      </c>
      <c r="DH58" s="293" t="str">
        <f t="shared" si="68"/>
        <v>Pass</v>
      </c>
    </row>
    <row r="59" spans="1:112" ht="15" thickTop="1" thickBot="1">
      <c r="A59" s="38" t="s">
        <v>227</v>
      </c>
      <c r="B59" s="38" t="s">
        <v>228</v>
      </c>
      <c r="C59" s="38" t="s">
        <v>227</v>
      </c>
      <c r="D59" s="38" t="s">
        <v>116</v>
      </c>
      <c r="E59" s="38" t="str">
        <f>VLOOKUP(C59,PoliticalControl!A:K,11,FALSE)</f>
        <v>NOC</v>
      </c>
      <c r="F59" s="38" t="str">
        <f>VLOOKUP(C59,UrbanRuralClassification!A:N,13,FALSE)</f>
        <v>Urban with Significant Rural (rural including hub towns 26-49%)</v>
      </c>
      <c r="G59" s="38" t="str">
        <f>VLOOKUP(C59,UrbanRuralClassification!A:N,14,FALSE)</f>
        <v>Urban with Significant Rural</v>
      </c>
      <c r="H59" s="258">
        <f>IF(ISBLANK((VLOOKUP($A59,'local-plan-data'!$C$1:$AD$566,27,FALSE)))=TRUE,"",VLOOKUP($A59,'local-plan-data'!$C$1:$AD$566,27,FALSE))</f>
        <v>42033</v>
      </c>
      <c r="I59" s="259">
        <f>VLOOKUP($A59,'local-plan-data'!$C$1:$AD$566,28,FALSE)</f>
        <v>1100</v>
      </c>
      <c r="J59" s="260">
        <f t="shared" si="21"/>
        <v>1100</v>
      </c>
      <c r="K59" s="259">
        <f t="shared" si="69"/>
        <v>1100</v>
      </c>
      <c r="L59" s="259">
        <f t="shared" si="69"/>
        <v>1100</v>
      </c>
      <c r="M59" s="259" t="str">
        <f t="shared" si="69"/>
        <v>-</v>
      </c>
      <c r="N59" s="259" t="str">
        <f t="shared" si="69"/>
        <v>-</v>
      </c>
      <c r="O59" s="259" t="str">
        <f t="shared" si="69"/>
        <v>-</v>
      </c>
      <c r="P59" s="259" t="str">
        <f t="shared" si="69"/>
        <v>-</v>
      </c>
      <c r="Q59" s="259" t="str">
        <f t="shared" si="69"/>
        <v>-</v>
      </c>
      <c r="R59" s="259" t="str">
        <f t="shared" si="69"/>
        <v>-</v>
      </c>
      <c r="S59" s="259">
        <f t="shared" si="70"/>
        <v>668</v>
      </c>
      <c r="T59" s="259">
        <f t="shared" si="70"/>
        <v>303</v>
      </c>
      <c r="U59" s="259">
        <f t="shared" si="70"/>
        <v>-63</v>
      </c>
      <c r="V59" s="259">
        <f t="shared" si="70"/>
        <v>-428</v>
      </c>
      <c r="W59" s="259">
        <f t="shared" si="70"/>
        <v>-793</v>
      </c>
      <c r="X59" s="259">
        <f t="shared" si="70"/>
        <v>-1158</v>
      </c>
      <c r="Y59" s="259">
        <f t="shared" si="70"/>
        <v>-1524</v>
      </c>
      <c r="Z59" s="259">
        <f t="shared" si="70"/>
        <v>-1889</v>
      </c>
      <c r="AA59" s="267">
        <f>(VLOOKUP(A59,Hshldprojections2014!$A$2:$AW$319,40, FALSE)-VLOOKUP(A59,Hshldprojections2014!$A$2:$AW$319,30, FALSE))/10</f>
        <v>533.5</v>
      </c>
      <c r="AB59" s="267">
        <f>(VLOOKUP(A59,Hshldprojections2014!$A$2:$AW$319,41, FALSE)-VLOOKUP(A59,Hshldprojections2014!$A$2:$AW$319,31, FALSE))/10</f>
        <v>512.6</v>
      </c>
      <c r="AC59" s="267">
        <f>(VLOOKUP(A59,Hshldprojections2014!$A$2:$AW$319,42, FALSE)-VLOOKUP(A59,Hshldprojections2014!$A$2:$AW$319,32, FALSE))/10</f>
        <v>493.5</v>
      </c>
      <c r="AD59" s="267">
        <f>IF(IndividualLATest!$J$7=2014,(VLOOKUP($A59,Hshldprojections2014!$A$2:$AY$326,43,FALSE)-VLOOKUP($A59,Hshldprojections2014!$A$2:$AY$326,33,FALSE))/10,IF(IndividualLATest!$J$7=2016,(VLOOKUP($A59,Hshldprojections2016!$A$1:$AQ$322,33,FALSE)-VLOOKUP($A59,Hshldprojections2016!$A$1:$AQ$322,23,FALSE))/10,(VLOOKUP($A59,Hshldprojections2018!$A$1:$AQ$327,33,FALSE)-VLOOKUP($A59,Hshldprojections2018!$A$1:$AQ$327,23,FALSE))/10))</f>
        <v>1162.5999999999999</v>
      </c>
      <c r="AE59" s="267">
        <f>IF(IndividualLATest!$J$7=2014,(VLOOKUP($A59,Hshldprojections2014!$A$2:$AY$326,44,FALSE)-VLOOKUP($A59,Hshldprojections2014!$A$2:$AY$326,34,FALSE))/10,IF(IndividualLATest!$J$7=2016,(VLOOKUP($A59,Hshldprojections2016!$A$1:$AQ$322,34,FALSE)-VLOOKUP($A59,Hshldprojections2016!$A$1:$AQ$322,24,FALSE))/10,(VLOOKUP($A59,Hshldprojections2018!$A$1:$AQ$327,34,FALSE)-VLOOKUP($A59,Hshldprojections2018!$A$1:$AQ$327,24,FALSE))/10))</f>
        <v>1143.2</v>
      </c>
      <c r="AF59" s="267">
        <f>IF(IndividualLATest!$J$7=2014,(VLOOKUP($A59,Hshldprojections2014!$A$2:$AY$326,45,FALSE)-VLOOKUP($A59,Hshldprojections2014!$A$2:$AY$326,35,FALSE))/10,IF(IndividualLATest!$J$7=2016,(VLOOKUP($A59,Hshldprojections2016!$A$1:$AQ$322,35,FALSE)-VLOOKUP($A59,Hshldprojections2016!$A$1:$AQ$322,25,FALSE))/10,(VLOOKUP($A59,Hshldprojections2018!$A$1:$AQ$327,35,FALSE)-VLOOKUP($A59,Hshldprojections2018!$A$1:$AQ$327,25,FALSE))/10))</f>
        <v>1122.9000000000001</v>
      </c>
      <c r="AG59" s="267">
        <f>IF(IndividualLATest!$J$7=2014,(VLOOKUP($A59,Hshldprojections2014!$A$2:$AY$326,46,FALSE)-VLOOKUP($A59,Hshldprojections2014!$A$2:$AY$326,36,FALSE))/10,IF(IndividualLATest!$J$7=2016,(VLOOKUP($A59,Hshldprojections2016!$A$1:$AQ$322,36,FALSE)-VLOOKUP($A59,Hshldprojections2016!$A$1:$AQ$322,26,FALSE))/10,(VLOOKUP($A59,Hshldprojections2018!$A$1:$AQ$327,36,FALSE)-VLOOKUP($A59,Hshldprojections2018!$A$1:$AQ$327,26,FALSE))/10))</f>
        <v>1105.0999999999999</v>
      </c>
      <c r="AH59" s="267">
        <f>IF(IndividualLATest!$J$7=2014,(VLOOKUP($A59,Hshldprojections2014!$A$2:$AY$326,47,FALSE)-VLOOKUP($A59,Hshldprojections2014!$A$2:$AY$326,37,FALSE))/10,IF(IndividualLATest!$J$7=2016,(VLOOKUP($A59,Hshldprojections2016!$A$1:$AQ$322,37,FALSE)-VLOOKUP($A59,Hshldprojections2016!$A$1:$AQ$322,27,FALSE))/10,(VLOOKUP($A59,Hshldprojections2018!$A$1:$AQ$327,37,FALSE)-VLOOKUP($A59,Hshldprojections2018!$A$1:$AQ$327,27,FALSE))/10))</f>
        <v>1087.5</v>
      </c>
      <c r="AI59" s="268">
        <f>VLOOKUP($A59,AffordabilityRatio!$A$2:$I$321,5,FALSE)</f>
        <v>7.19</v>
      </c>
      <c r="AJ59" s="268">
        <f>VLOOKUP($A59,AffordabilityRatio!$A$2:$I$321,6,FALSE)</f>
        <v>6.99</v>
      </c>
      <c r="AK59" s="268">
        <f>VLOOKUP($A59,AffordabilityRatio!$A$2:$I$321,7,FALSE)</f>
        <v>6.9</v>
      </c>
      <c r="AL59" s="268">
        <f>IF((VLOOKUP($A59,AffordabilityRatio!$A$2:$I$321,8,FALSE))="",AK59,VLOOKUP($A59,AffordabilityRatio!$A$2:$I$321,8,FALSE))</f>
        <v>7.34</v>
      </c>
      <c r="AM59" s="268">
        <f>IF((VLOOKUP($A59,AffordabilityRatio!$A$2:$I$321,9,FALSE))="",AL59,VLOOKUP($A59,AffordabilityRatio!$A$2:$I$321,9,FALSE))</f>
        <v>7.18</v>
      </c>
      <c r="AN59" s="268">
        <f>IF((VLOOKUP($A59,AffordabilityRatio!$A$2:$I$321,9,FALSE))="",AM59,VLOOKUP($A59,AffordabilityRatio!$A$2:$I$321,9,FALSE))</f>
        <v>7.18</v>
      </c>
      <c r="AO59" s="268">
        <f>IF((VLOOKUP($A59,AffordabilityRatio!$A$2:$I$321,9,FALSE))="",AN59,VLOOKUP($A59,AffordabilityRatio!$A$2:$I$321,9,FALSE))</f>
        <v>7.18</v>
      </c>
      <c r="AP59" s="268">
        <f>IF((VLOOKUP($A59,AffordabilityRatio!$A$2:$I$321,9,FALSE))="",AO59,VLOOKUP($A59,AffordabilityRatio!$A$2:$I$321,9,FALSE))</f>
        <v>7.18</v>
      </c>
      <c r="AQ59" s="267">
        <f t="shared" si="24"/>
        <v>640</v>
      </c>
      <c r="AR59" s="267">
        <f t="shared" si="25"/>
        <v>608</v>
      </c>
      <c r="AS59" s="267">
        <f t="shared" si="26"/>
        <v>583</v>
      </c>
      <c r="AT59" s="267">
        <f t="shared" si="27"/>
        <v>1405</v>
      </c>
      <c r="AU59" s="267">
        <f t="shared" si="28"/>
        <v>1370</v>
      </c>
      <c r="AV59" s="267">
        <f t="shared" si="29"/>
        <v>1346</v>
      </c>
      <c r="AW59" s="267">
        <f t="shared" si="30"/>
        <v>1325</v>
      </c>
      <c r="AX59" s="267">
        <f t="shared" si="31"/>
        <v>1304</v>
      </c>
      <c r="AY59" s="267">
        <f t="shared" si="32"/>
        <v>640</v>
      </c>
      <c r="AZ59" s="267">
        <f t="shared" si="33"/>
        <v>608</v>
      </c>
      <c r="BA59" s="267">
        <f t="shared" si="34"/>
        <v>583</v>
      </c>
      <c r="BB59" s="267">
        <f t="shared" si="35"/>
        <v>1405</v>
      </c>
      <c r="BC59" s="267">
        <f t="shared" si="36"/>
        <v>1370</v>
      </c>
      <c r="BD59" s="267">
        <f t="shared" si="37"/>
        <v>1346</v>
      </c>
      <c r="BE59" s="267">
        <f t="shared" si="38"/>
        <v>1325</v>
      </c>
      <c r="BF59" s="267">
        <f t="shared" si="39"/>
        <v>1304</v>
      </c>
      <c r="BG59" s="269">
        <f>AY59*VLOOKUP($B59,'Major Cities &amp; Towns'!$A$28:$B$345,2,FALSE)</f>
        <v>640</v>
      </c>
      <c r="BH59" s="269">
        <f>AZ59*VLOOKUP($B59,'Major Cities &amp; Towns'!$A$28:$B$345,2,FALSE)</f>
        <v>608</v>
      </c>
      <c r="BI59" s="269">
        <f>BA59*VLOOKUP($B59,'Major Cities &amp; Towns'!$A$28:$B$345,2,FALSE)</f>
        <v>583</v>
      </c>
      <c r="BJ59" s="269">
        <f>BB59*VLOOKUP($B59,'Major Cities &amp; Towns'!$A$28:$B$345,2,FALSE)</f>
        <v>1405</v>
      </c>
      <c r="BK59" s="269">
        <f>BC59*VLOOKUP($B59,'Major Cities &amp; Towns'!$A$28:$B$345,2,FALSE)</f>
        <v>1370</v>
      </c>
      <c r="BL59" s="269">
        <f>BD59*VLOOKUP($B59,'Major Cities &amp; Towns'!$A$28:$B$345,2,FALSE)</f>
        <v>1346</v>
      </c>
      <c r="BM59" s="269">
        <f>BE59*VLOOKUP($B59,'Major Cities &amp; Towns'!$A$28:$B$345,2,FALSE)</f>
        <v>1325</v>
      </c>
      <c r="BN59" s="269">
        <f>BF59*VLOOKUP($B59,'Major Cities &amp; Towns'!$A$28:$B$345,2,FALSE)</f>
        <v>1304</v>
      </c>
      <c r="BO59" s="270">
        <f t="shared" si="40"/>
        <v>640</v>
      </c>
      <c r="BP59" s="270">
        <f t="shared" si="41"/>
        <v>608</v>
      </c>
      <c r="BQ59" s="270">
        <f t="shared" si="42"/>
        <v>583</v>
      </c>
      <c r="BR59" s="270">
        <f t="shared" si="43"/>
        <v>1405</v>
      </c>
      <c r="BS59" s="270">
        <f t="shared" si="44"/>
        <v>1370</v>
      </c>
      <c r="BT59" s="270">
        <f t="shared" si="45"/>
        <v>1346</v>
      </c>
      <c r="BU59" s="270">
        <f t="shared" si="46"/>
        <v>1325</v>
      </c>
      <c r="BV59" s="270">
        <f t="shared" si="47"/>
        <v>1304</v>
      </c>
      <c r="BW59" s="39">
        <f>VLOOKUP($A59,NetAdditions!$A$2:$H$336,6,FALSE)</f>
        <v>2154</v>
      </c>
      <c r="BX59" s="39">
        <f>VLOOKUP($A59,NetAdditions!$A$2:$H$336,7,FALSE)</f>
        <v>1849</v>
      </c>
      <c r="BY59" s="39">
        <f>IF((VLOOKUP($C59,NetAdditions!$A$2:$H$336,8,FALSE))="",(AVERAGE(VLOOKUP($C59,NetAdditions!$A$2:$H$336,5,FALSE),VLOOKUP($C59,NetAdditions!$A$2:$H$336,6,FALSE),VLOOKUP($C59,NetAdditions!$A$2:$H$336,7,FALSE))),VLOOKUP($C59,NetAdditions!$A$2:$H$336,8,FALSE))</f>
        <v>1335</v>
      </c>
      <c r="BZ59" s="39">
        <f t="shared" si="48"/>
        <v>1779.3333333333333</v>
      </c>
      <c r="CA59" s="39">
        <f t="shared" si="49"/>
        <v>1654.4444444444443</v>
      </c>
      <c r="CB59" s="39">
        <f t="shared" si="50"/>
        <v>1589.5925925925924</v>
      </c>
      <c r="CC59" s="39">
        <f t="shared" si="51"/>
        <v>1674.4567901234566</v>
      </c>
      <c r="CD59" s="39">
        <f t="shared" si="52"/>
        <v>1639.497942386831</v>
      </c>
      <c r="CE59" s="276">
        <f t="shared" si="5"/>
        <v>1831</v>
      </c>
      <c r="CF59" s="276">
        <f t="shared" si="6"/>
        <v>2596</v>
      </c>
      <c r="CG59" s="276">
        <f t="shared" si="7"/>
        <v>3358</v>
      </c>
      <c r="CH59" s="276">
        <f t="shared" si="8"/>
        <v>4121</v>
      </c>
      <c r="CI59" s="276">
        <f t="shared" si="9"/>
        <v>4041</v>
      </c>
      <c r="CJ59" s="276">
        <f t="shared" si="10"/>
        <v>3975</v>
      </c>
      <c r="CK59" s="276">
        <f t="shared" si="53"/>
        <v>1576.6944444444446</v>
      </c>
      <c r="CL59" s="276">
        <f t="shared" si="54"/>
        <v>2235.4444444444448</v>
      </c>
      <c r="CM59" s="276">
        <f t="shared" si="55"/>
        <v>3078.1666666666665</v>
      </c>
      <c r="CN59" s="276">
        <f t="shared" si="56"/>
        <v>4121</v>
      </c>
      <c r="CO59" s="276">
        <f t="shared" si="57"/>
        <v>4041</v>
      </c>
      <c r="CP59" s="276">
        <f t="shared" si="58"/>
        <v>3975</v>
      </c>
      <c r="CQ59" s="39">
        <f t="shared" si="12"/>
        <v>5338</v>
      </c>
      <c r="CR59" s="39">
        <f t="shared" si="13"/>
        <v>4963.333333333333</v>
      </c>
      <c r="CS59" s="277">
        <f t="shared" si="14"/>
        <v>4768.7777777777774</v>
      </c>
      <c r="CT59" s="39">
        <f t="shared" si="15"/>
        <v>5023.3703703703695</v>
      </c>
      <c r="CU59" s="39">
        <f t="shared" si="16"/>
        <v>4918.4938271604933</v>
      </c>
      <c r="CV59" s="39">
        <f t="shared" si="59"/>
        <v>4903.5473251028798</v>
      </c>
      <c r="CW59" s="297">
        <f t="shared" si="18"/>
        <v>3.3855640316414437</v>
      </c>
      <c r="CX59" s="279" t="str">
        <f t="shared" si="60"/>
        <v>Pass</v>
      </c>
      <c r="CY59" s="278">
        <f t="shared" si="19"/>
        <v>2.2202892787911921</v>
      </c>
      <c r="CZ59" s="279" t="str">
        <f t="shared" si="61"/>
        <v>Pass</v>
      </c>
      <c r="DA59" s="278">
        <f t="shared" si="20"/>
        <v>1.5492266320140053</v>
      </c>
      <c r="DB59" s="292" t="str">
        <f t="shared" si="62"/>
        <v>Pass</v>
      </c>
      <c r="DC59" s="299">
        <f t="shared" si="63"/>
        <v>1.2189687867921304</v>
      </c>
      <c r="DD59" s="293" t="str">
        <f t="shared" si="64"/>
        <v>Pass</v>
      </c>
      <c r="DE59" s="299">
        <f t="shared" si="65"/>
        <v>1.2171476929375138</v>
      </c>
      <c r="DF59" s="293" t="str">
        <f t="shared" si="66"/>
        <v>Pass</v>
      </c>
      <c r="DG59" s="299">
        <f t="shared" si="67"/>
        <v>1.2335968113466365</v>
      </c>
      <c r="DH59" s="293" t="str">
        <f t="shared" si="68"/>
        <v>Pass</v>
      </c>
    </row>
    <row r="60" spans="1:112" ht="15" thickTop="1" thickBot="1">
      <c r="A60" s="38" t="s">
        <v>229</v>
      </c>
      <c r="B60" s="38" t="s">
        <v>230</v>
      </c>
      <c r="C60" s="38" t="s">
        <v>229</v>
      </c>
      <c r="D60" s="38" t="s">
        <v>119</v>
      </c>
      <c r="E60" s="38" t="str">
        <f>VLOOKUP(C60,PoliticalControl!A:K,11,FALSE)</f>
        <v>LAB</v>
      </c>
      <c r="F60" s="38" t="str">
        <f>VLOOKUP(C60,UrbanRuralClassification!A:N,13,FALSE)</f>
        <v>Urban with City and Town</v>
      </c>
      <c r="G60" s="38" t="str">
        <f>VLOOKUP(C60,UrbanRuralClassification!A:N,14,FALSE)</f>
        <v>Predominantly Urban</v>
      </c>
      <c r="H60" s="258">
        <f>IF(ISBLANK((VLOOKUP($A60,'local-plan-data'!$C$1:$AD$566,27,FALSE)))=TRUE,"",VLOOKUP($A60,'local-plan-data'!$C$1:$AD$566,27,FALSE))</f>
        <v>44027</v>
      </c>
      <c r="I60" s="259">
        <f>VLOOKUP($A60,'local-plan-data'!$C$1:$AD$566,28,FALSE)</f>
        <v>240</v>
      </c>
      <c r="J60" s="260">
        <f t="shared" si="21"/>
        <v>240</v>
      </c>
      <c r="K60" s="259">
        <f t="shared" si="69"/>
        <v>240</v>
      </c>
      <c r="L60" s="259">
        <f t="shared" si="69"/>
        <v>240</v>
      </c>
      <c r="M60" s="259">
        <f t="shared" si="69"/>
        <v>240</v>
      </c>
      <c r="N60" s="259">
        <f t="shared" si="69"/>
        <v>240</v>
      </c>
      <c r="O60" s="259">
        <f t="shared" si="69"/>
        <v>240</v>
      </c>
      <c r="P60" s="259">
        <f t="shared" si="69"/>
        <v>240</v>
      </c>
      <c r="Q60" s="259">
        <f t="shared" si="69"/>
        <v>240</v>
      </c>
      <c r="R60" s="259">
        <f t="shared" si="69"/>
        <v>240</v>
      </c>
      <c r="S60" s="259">
        <f t="shared" si="70"/>
        <v>2662</v>
      </c>
      <c r="T60" s="259">
        <f t="shared" si="70"/>
        <v>2297</v>
      </c>
      <c r="U60" s="259">
        <f t="shared" si="70"/>
        <v>1931</v>
      </c>
      <c r="V60" s="259">
        <f t="shared" si="70"/>
        <v>1566</v>
      </c>
      <c r="W60" s="259">
        <f t="shared" si="70"/>
        <v>1201</v>
      </c>
      <c r="X60" s="259">
        <f t="shared" si="70"/>
        <v>836</v>
      </c>
      <c r="Y60" s="259">
        <f t="shared" si="70"/>
        <v>470</v>
      </c>
      <c r="Z60" s="259">
        <f t="shared" si="70"/>
        <v>105</v>
      </c>
      <c r="AA60" s="267">
        <f>(VLOOKUP(A60,Hshldprojections2014!$A$2:$AW$319,40, FALSE)-VLOOKUP(A60,Hshldprojections2014!$A$2:$AW$319,30, FALSE))/10</f>
        <v>223.7</v>
      </c>
      <c r="AB60" s="267">
        <f>(VLOOKUP(A60,Hshldprojections2014!$A$2:$AW$319,41, FALSE)-VLOOKUP(A60,Hshldprojections2014!$A$2:$AW$319,31, FALSE))/10</f>
        <v>216.1</v>
      </c>
      <c r="AC60" s="267">
        <f>(VLOOKUP(A60,Hshldprojections2014!$A$2:$AW$319,42, FALSE)-VLOOKUP(A60,Hshldprojections2014!$A$2:$AW$319,32, FALSE))/10</f>
        <v>208.8</v>
      </c>
      <c r="AD60" s="267">
        <f>IF(IndividualLATest!$J$7=2014,(VLOOKUP($A60,Hshldprojections2014!$A$2:$AY$326,43,FALSE)-VLOOKUP($A60,Hshldprojections2014!$A$2:$AY$326,33,FALSE))/10,IF(IndividualLATest!$J$7=2016,(VLOOKUP($A60,Hshldprojections2016!$A$1:$AQ$322,33,FALSE)-VLOOKUP($A60,Hshldprojections2016!$A$1:$AQ$322,23,FALSE))/10,(VLOOKUP($A60,Hshldprojections2018!$A$1:$AQ$327,33,FALSE)-VLOOKUP($A60,Hshldprojections2018!$A$1:$AQ$327,23,FALSE))/10))</f>
        <v>180.9</v>
      </c>
      <c r="AE60" s="267">
        <f>IF(IndividualLATest!$J$7=2014,(VLOOKUP($A60,Hshldprojections2014!$A$2:$AY$326,44,FALSE)-VLOOKUP($A60,Hshldprojections2014!$A$2:$AY$326,34,FALSE))/10,IF(IndividualLATest!$J$7=2016,(VLOOKUP($A60,Hshldprojections2016!$A$1:$AQ$322,34,FALSE)-VLOOKUP($A60,Hshldprojections2016!$A$1:$AQ$322,24,FALSE))/10,(VLOOKUP($A60,Hshldprojections2018!$A$1:$AQ$327,34,FALSE)-VLOOKUP($A60,Hshldprojections2018!$A$1:$AQ$327,24,FALSE))/10))</f>
        <v>178.8</v>
      </c>
      <c r="AF60" s="267">
        <f>IF(IndividualLATest!$J$7=2014,(VLOOKUP($A60,Hshldprojections2014!$A$2:$AY$326,45,FALSE)-VLOOKUP($A60,Hshldprojections2014!$A$2:$AY$326,35,FALSE))/10,IF(IndividualLATest!$J$7=2016,(VLOOKUP($A60,Hshldprojections2016!$A$1:$AQ$322,35,FALSE)-VLOOKUP($A60,Hshldprojections2016!$A$1:$AQ$322,25,FALSE))/10,(VLOOKUP($A60,Hshldprojections2018!$A$1:$AQ$327,35,FALSE)-VLOOKUP($A60,Hshldprojections2018!$A$1:$AQ$327,25,FALSE))/10))</f>
        <v>178.9</v>
      </c>
      <c r="AG60" s="267">
        <f>IF(IndividualLATest!$J$7=2014,(VLOOKUP($A60,Hshldprojections2014!$A$2:$AY$326,46,FALSE)-VLOOKUP($A60,Hshldprojections2014!$A$2:$AY$326,36,FALSE))/10,IF(IndividualLATest!$J$7=2016,(VLOOKUP($A60,Hshldprojections2016!$A$1:$AQ$322,36,FALSE)-VLOOKUP($A60,Hshldprojections2016!$A$1:$AQ$322,26,FALSE))/10,(VLOOKUP($A60,Hshldprojections2018!$A$1:$AQ$327,36,FALSE)-VLOOKUP($A60,Hshldprojections2018!$A$1:$AQ$327,26,FALSE))/10))</f>
        <v>175</v>
      </c>
      <c r="AH60" s="267">
        <f>IF(IndividualLATest!$J$7=2014,(VLOOKUP($A60,Hshldprojections2014!$A$2:$AY$326,47,FALSE)-VLOOKUP($A60,Hshldprojections2014!$A$2:$AY$326,37,FALSE))/10,IF(IndividualLATest!$J$7=2016,(VLOOKUP($A60,Hshldprojections2016!$A$1:$AQ$322,37,FALSE)-VLOOKUP($A60,Hshldprojections2016!$A$1:$AQ$322,27,FALSE))/10,(VLOOKUP($A60,Hshldprojections2018!$A$1:$AQ$327,37,FALSE)-VLOOKUP($A60,Hshldprojections2018!$A$1:$AQ$327,27,FALSE))/10))</f>
        <v>173.8</v>
      </c>
      <c r="AI60" s="268">
        <f>VLOOKUP($A60,AffordabilityRatio!$A$2:$I$321,5,FALSE)</f>
        <v>5.68</v>
      </c>
      <c r="AJ60" s="268">
        <f>VLOOKUP($A60,AffordabilityRatio!$A$2:$I$321,6,FALSE)</f>
        <v>5.75</v>
      </c>
      <c r="AK60" s="268">
        <f>VLOOKUP($A60,AffordabilityRatio!$A$2:$I$321,7,FALSE)</f>
        <v>5.65</v>
      </c>
      <c r="AL60" s="268">
        <f>IF((VLOOKUP($A60,AffordabilityRatio!$A$2:$I$321,8,FALSE))="",AK60,VLOOKUP($A60,AffordabilityRatio!$A$2:$I$321,8,FALSE))</f>
        <v>5.92</v>
      </c>
      <c r="AM60" s="268">
        <f>IF((VLOOKUP($A60,AffordabilityRatio!$A$2:$I$321,9,FALSE))="",AL60,VLOOKUP($A60,AffordabilityRatio!$A$2:$I$321,9,FALSE))</f>
        <v>6.45</v>
      </c>
      <c r="AN60" s="268">
        <f>IF((VLOOKUP($A60,AffordabilityRatio!$A$2:$I$321,9,FALSE))="",AM60,VLOOKUP($A60,AffordabilityRatio!$A$2:$I$321,9,FALSE))</f>
        <v>6.45</v>
      </c>
      <c r="AO60" s="268">
        <f>IF((VLOOKUP($A60,AffordabilityRatio!$A$2:$I$321,9,FALSE))="",AN60,VLOOKUP($A60,AffordabilityRatio!$A$2:$I$321,9,FALSE))</f>
        <v>6.45</v>
      </c>
      <c r="AP60" s="268">
        <f>IF((VLOOKUP($A60,AffordabilityRatio!$A$2:$I$321,9,FALSE))="",AO60,VLOOKUP($A60,AffordabilityRatio!$A$2:$I$321,9,FALSE))</f>
        <v>6.45</v>
      </c>
      <c r="AQ60" s="267">
        <f t="shared" si="24"/>
        <v>247</v>
      </c>
      <c r="AR60" s="267">
        <f t="shared" si="25"/>
        <v>240</v>
      </c>
      <c r="AS60" s="267">
        <f t="shared" si="26"/>
        <v>230</v>
      </c>
      <c r="AT60" s="267">
        <f t="shared" si="27"/>
        <v>203</v>
      </c>
      <c r="AU60" s="267">
        <f t="shared" si="28"/>
        <v>206</v>
      </c>
      <c r="AV60" s="267">
        <f t="shared" si="29"/>
        <v>206</v>
      </c>
      <c r="AW60" s="267">
        <f t="shared" si="30"/>
        <v>202</v>
      </c>
      <c r="AX60" s="267">
        <f t="shared" si="31"/>
        <v>200</v>
      </c>
      <c r="AY60" s="267">
        <f t="shared" si="32"/>
        <v>247</v>
      </c>
      <c r="AZ60" s="267">
        <f t="shared" si="33"/>
        <v>240</v>
      </c>
      <c r="BA60" s="267">
        <f t="shared" si="34"/>
        <v>230</v>
      </c>
      <c r="BB60" s="267">
        <f t="shared" si="35"/>
        <v>203</v>
      </c>
      <c r="BC60" s="267">
        <f t="shared" si="36"/>
        <v>206</v>
      </c>
      <c r="BD60" s="267">
        <f t="shared" si="37"/>
        <v>206</v>
      </c>
      <c r="BE60" s="267">
        <f t="shared" si="38"/>
        <v>202</v>
      </c>
      <c r="BF60" s="267">
        <f t="shared" si="39"/>
        <v>200</v>
      </c>
      <c r="BG60" s="269">
        <f>AY60*VLOOKUP($B60,'Major Cities &amp; Towns'!$A$28:$B$345,2,FALSE)</f>
        <v>247</v>
      </c>
      <c r="BH60" s="269">
        <f>AZ60*VLOOKUP($B60,'Major Cities &amp; Towns'!$A$28:$B$345,2,FALSE)</f>
        <v>240</v>
      </c>
      <c r="BI60" s="269">
        <f>BA60*VLOOKUP($B60,'Major Cities &amp; Towns'!$A$28:$B$345,2,FALSE)</f>
        <v>230</v>
      </c>
      <c r="BJ60" s="269">
        <f>BB60*VLOOKUP($B60,'Major Cities &amp; Towns'!$A$28:$B$345,2,FALSE)</f>
        <v>203</v>
      </c>
      <c r="BK60" s="269">
        <f>BC60*VLOOKUP($B60,'Major Cities &amp; Towns'!$A$28:$B$345,2,FALSE)</f>
        <v>206</v>
      </c>
      <c r="BL60" s="269">
        <f>BD60*VLOOKUP($B60,'Major Cities &amp; Towns'!$A$28:$B$345,2,FALSE)</f>
        <v>206</v>
      </c>
      <c r="BM60" s="269">
        <f>BE60*VLOOKUP($B60,'Major Cities &amp; Towns'!$A$28:$B$345,2,FALSE)</f>
        <v>202</v>
      </c>
      <c r="BN60" s="269">
        <f>BF60*VLOOKUP($B60,'Major Cities &amp; Towns'!$A$28:$B$345,2,FALSE)</f>
        <v>200</v>
      </c>
      <c r="BO60" s="270">
        <f t="shared" si="40"/>
        <v>240</v>
      </c>
      <c r="BP60" s="270">
        <f t="shared" si="41"/>
        <v>240</v>
      </c>
      <c r="BQ60" s="270">
        <f t="shared" si="42"/>
        <v>230</v>
      </c>
      <c r="BR60" s="270">
        <f t="shared" si="43"/>
        <v>203</v>
      </c>
      <c r="BS60" s="270">
        <f t="shared" si="44"/>
        <v>206</v>
      </c>
      <c r="BT60" s="270">
        <f t="shared" si="45"/>
        <v>206</v>
      </c>
      <c r="BU60" s="270">
        <f t="shared" si="46"/>
        <v>202</v>
      </c>
      <c r="BV60" s="270">
        <f t="shared" si="47"/>
        <v>200</v>
      </c>
      <c r="BW60" s="39">
        <f>VLOOKUP($A60,NetAdditions!$A$2:$H$336,6,FALSE)</f>
        <v>212</v>
      </c>
      <c r="BX60" s="39">
        <f>VLOOKUP($A60,NetAdditions!$A$2:$H$336,7,FALSE)</f>
        <v>304</v>
      </c>
      <c r="BY60" s="39">
        <f>IF((VLOOKUP($C60,NetAdditions!$A$2:$H$336,8,FALSE))="",(AVERAGE(VLOOKUP($C60,NetAdditions!$A$2:$H$336,5,FALSE),VLOOKUP($C60,NetAdditions!$A$2:$H$336,6,FALSE),VLOOKUP($C60,NetAdditions!$A$2:$H$336,7,FALSE))),VLOOKUP($C60,NetAdditions!$A$2:$H$336,8,FALSE))</f>
        <v>276</v>
      </c>
      <c r="BZ60" s="39">
        <f t="shared" si="48"/>
        <v>264</v>
      </c>
      <c r="CA60" s="39">
        <f t="shared" si="49"/>
        <v>281.33333333333331</v>
      </c>
      <c r="CB60" s="39">
        <f t="shared" si="50"/>
        <v>273.77777777777777</v>
      </c>
      <c r="CC60" s="39">
        <f t="shared" si="51"/>
        <v>273.03703703703701</v>
      </c>
      <c r="CD60" s="39">
        <f t="shared" si="52"/>
        <v>276.04938271604937</v>
      </c>
      <c r="CE60" s="276">
        <f t="shared" si="5"/>
        <v>710</v>
      </c>
      <c r="CF60" s="276">
        <f t="shared" si="6"/>
        <v>673</v>
      </c>
      <c r="CG60" s="276">
        <f t="shared" si="7"/>
        <v>639</v>
      </c>
      <c r="CH60" s="276">
        <f t="shared" si="8"/>
        <v>615</v>
      </c>
      <c r="CI60" s="276">
        <f t="shared" si="9"/>
        <v>614</v>
      </c>
      <c r="CJ60" s="276">
        <f t="shared" si="10"/>
        <v>608</v>
      </c>
      <c r="CK60" s="276">
        <f t="shared" si="53"/>
        <v>611.38888888888891</v>
      </c>
      <c r="CL60" s="276">
        <f t="shared" si="54"/>
        <v>579.52777777777783</v>
      </c>
      <c r="CM60" s="276">
        <f t="shared" si="55"/>
        <v>585.75</v>
      </c>
      <c r="CN60" s="276">
        <f t="shared" si="56"/>
        <v>615</v>
      </c>
      <c r="CO60" s="276">
        <f t="shared" si="57"/>
        <v>614</v>
      </c>
      <c r="CP60" s="276">
        <f t="shared" si="58"/>
        <v>608</v>
      </c>
      <c r="CQ60" s="39">
        <f t="shared" si="12"/>
        <v>792</v>
      </c>
      <c r="CR60" s="39">
        <f t="shared" si="13"/>
        <v>844</v>
      </c>
      <c r="CS60" s="277">
        <f t="shared" si="14"/>
        <v>821.33333333333326</v>
      </c>
      <c r="CT60" s="39">
        <f t="shared" si="15"/>
        <v>819.11111111111109</v>
      </c>
      <c r="CU60" s="39">
        <f t="shared" si="16"/>
        <v>828.14814814814804</v>
      </c>
      <c r="CV60" s="39">
        <f t="shared" si="59"/>
        <v>822.8641975308642</v>
      </c>
      <c r="CW60" s="297">
        <f t="shared" si="18"/>
        <v>1.2954111767378464</v>
      </c>
      <c r="CX60" s="279" t="str">
        <f t="shared" si="60"/>
        <v>Pass</v>
      </c>
      <c r="CY60" s="278">
        <f t="shared" si="19"/>
        <v>1.4563581460000958</v>
      </c>
      <c r="CZ60" s="279" t="str">
        <f t="shared" si="61"/>
        <v>Pass</v>
      </c>
      <c r="DA60" s="278">
        <f t="shared" si="20"/>
        <v>1.4021909233176837</v>
      </c>
      <c r="DB60" s="292" t="str">
        <f t="shared" si="62"/>
        <v>Pass</v>
      </c>
      <c r="DC60" s="299">
        <f t="shared" si="63"/>
        <v>1.331887985546522</v>
      </c>
      <c r="DD60" s="293" t="str">
        <f t="shared" si="64"/>
        <v>Pass</v>
      </c>
      <c r="DE60" s="299">
        <f t="shared" si="65"/>
        <v>1.348775485583303</v>
      </c>
      <c r="DF60" s="293" t="str">
        <f t="shared" si="66"/>
        <v>Pass</v>
      </c>
      <c r="DG60" s="299">
        <f t="shared" si="67"/>
        <v>1.353395061728395</v>
      </c>
      <c r="DH60" s="293" t="str">
        <f t="shared" si="68"/>
        <v>Pass</v>
      </c>
    </row>
    <row r="61" spans="1:112" ht="15" thickTop="1" thickBot="1">
      <c r="A61" s="38" t="s">
        <v>231</v>
      </c>
      <c r="B61" s="38" t="s">
        <v>232</v>
      </c>
      <c r="C61" s="38" t="s">
        <v>231</v>
      </c>
      <c r="D61" s="38" t="s">
        <v>113</v>
      </c>
      <c r="E61" s="38" t="str">
        <f>VLOOKUP(C61,PoliticalControl!A:K,11,FALSE)</f>
        <v>NOC</v>
      </c>
      <c r="F61" s="38" t="str">
        <f>VLOOKUP(C61,UrbanRuralClassification!A:N,13,FALSE)</f>
        <v xml:space="preserve">Largely Rural (rural including hub towns 50-79%) </v>
      </c>
      <c r="G61" s="38" t="str">
        <f>VLOOKUP(C61,UrbanRuralClassification!A:N,14,FALSE)</f>
        <v>Predominantly Rural</v>
      </c>
      <c r="H61" s="258">
        <f>IF(ISBLANK((VLOOKUP($A61,'local-plan-data'!$C$1:$AD$566,27,FALSE)))=TRUE,"",VLOOKUP($A61,'local-plan-data'!$C$1:$AD$566,27,FALSE))</f>
        <v>42199</v>
      </c>
      <c r="I61" s="259">
        <f>VLOOKUP($A61,'local-plan-data'!$C$1:$AD$566,28,FALSE)</f>
        <v>434.58823529411762</v>
      </c>
      <c r="J61" s="260">
        <f t="shared" si="21"/>
        <v>434.58823529411762</v>
      </c>
      <c r="K61" s="259">
        <f t="shared" si="69"/>
        <v>434.58823529411762</v>
      </c>
      <c r="L61" s="259">
        <f t="shared" si="69"/>
        <v>434.58823529411762</v>
      </c>
      <c r="M61" s="259">
        <f t="shared" si="69"/>
        <v>434.58823529411762</v>
      </c>
      <c r="N61" s="259" t="str">
        <f t="shared" si="69"/>
        <v>-</v>
      </c>
      <c r="O61" s="259" t="str">
        <f t="shared" si="69"/>
        <v>-</v>
      </c>
      <c r="P61" s="259" t="str">
        <f t="shared" si="69"/>
        <v>-</v>
      </c>
      <c r="Q61" s="259" t="str">
        <f t="shared" si="69"/>
        <v>-</v>
      </c>
      <c r="R61" s="259" t="str">
        <f t="shared" si="69"/>
        <v>-</v>
      </c>
      <c r="S61" s="259">
        <f t="shared" si="70"/>
        <v>835</v>
      </c>
      <c r="T61" s="259">
        <f t="shared" si="70"/>
        <v>470</v>
      </c>
      <c r="U61" s="259">
        <f t="shared" si="70"/>
        <v>104</v>
      </c>
      <c r="V61" s="259">
        <f t="shared" si="70"/>
        <v>-261</v>
      </c>
      <c r="W61" s="259">
        <f t="shared" si="70"/>
        <v>-626</v>
      </c>
      <c r="X61" s="259">
        <f t="shared" si="70"/>
        <v>-991</v>
      </c>
      <c r="Y61" s="259">
        <f t="shared" si="70"/>
        <v>-1357</v>
      </c>
      <c r="Z61" s="259">
        <f t="shared" si="70"/>
        <v>-1722</v>
      </c>
      <c r="AA61" s="267">
        <f>(VLOOKUP(A61,Hshldprojections2014!$A$2:$AW$319,40, FALSE)-VLOOKUP(A61,Hshldprojections2014!$A$2:$AW$319,30, FALSE))/10</f>
        <v>527</v>
      </c>
      <c r="AB61" s="267">
        <f>(VLOOKUP(A61,Hshldprojections2014!$A$2:$AW$319,41, FALSE)-VLOOKUP(A61,Hshldprojections2014!$A$2:$AW$319,31, FALSE))/10</f>
        <v>532.6</v>
      </c>
      <c r="AC61" s="267">
        <f>(VLOOKUP(A61,Hshldprojections2014!$A$2:$AW$319,42, FALSE)-VLOOKUP(A61,Hshldprojections2014!$A$2:$AW$319,32, FALSE))/10</f>
        <v>537.6</v>
      </c>
      <c r="AD61" s="267">
        <f>IF(IndividualLATest!$J$7=2014,(VLOOKUP($A61,Hshldprojections2014!$A$2:$AY$326,43,FALSE)-VLOOKUP($A61,Hshldprojections2014!$A$2:$AY$326,33,FALSE))/10,IF(IndividualLATest!$J$7=2016,(VLOOKUP($A61,Hshldprojections2016!$A$1:$AQ$322,33,FALSE)-VLOOKUP($A61,Hshldprojections2016!$A$1:$AQ$322,23,FALSE))/10,(VLOOKUP($A61,Hshldprojections2018!$A$1:$AQ$327,33,FALSE)-VLOOKUP($A61,Hshldprojections2018!$A$1:$AQ$327,23,FALSE))/10))</f>
        <v>479.5</v>
      </c>
      <c r="AE61" s="267">
        <f>IF(IndividualLATest!$J$7=2014,(VLOOKUP($A61,Hshldprojections2014!$A$2:$AY$326,44,FALSE)-VLOOKUP($A61,Hshldprojections2014!$A$2:$AY$326,34,FALSE))/10,IF(IndividualLATest!$J$7=2016,(VLOOKUP($A61,Hshldprojections2016!$A$1:$AQ$322,34,FALSE)-VLOOKUP($A61,Hshldprojections2016!$A$1:$AQ$322,24,FALSE))/10,(VLOOKUP($A61,Hshldprojections2018!$A$1:$AQ$327,34,FALSE)-VLOOKUP($A61,Hshldprojections2018!$A$1:$AQ$327,24,FALSE))/10))</f>
        <v>472</v>
      </c>
      <c r="AF61" s="267">
        <f>IF(IndividualLATest!$J$7=2014,(VLOOKUP($A61,Hshldprojections2014!$A$2:$AY$326,45,FALSE)-VLOOKUP($A61,Hshldprojections2014!$A$2:$AY$326,35,FALSE))/10,IF(IndividualLATest!$J$7=2016,(VLOOKUP($A61,Hshldprojections2016!$A$1:$AQ$322,35,FALSE)-VLOOKUP($A61,Hshldprojections2016!$A$1:$AQ$322,25,FALSE))/10,(VLOOKUP($A61,Hshldprojections2018!$A$1:$AQ$327,35,FALSE)-VLOOKUP($A61,Hshldprojections2018!$A$1:$AQ$327,25,FALSE))/10))</f>
        <v>465.1</v>
      </c>
      <c r="AG61" s="267">
        <f>IF(IndividualLATest!$J$7=2014,(VLOOKUP($A61,Hshldprojections2014!$A$2:$AY$326,46,FALSE)-VLOOKUP($A61,Hshldprojections2014!$A$2:$AY$326,36,FALSE))/10,IF(IndividualLATest!$J$7=2016,(VLOOKUP($A61,Hshldprojections2016!$A$1:$AQ$322,36,FALSE)-VLOOKUP($A61,Hshldprojections2016!$A$1:$AQ$322,26,FALSE))/10,(VLOOKUP($A61,Hshldprojections2018!$A$1:$AQ$327,36,FALSE)-VLOOKUP($A61,Hshldprojections2018!$A$1:$AQ$327,26,FALSE))/10))</f>
        <v>458.2</v>
      </c>
      <c r="AH61" s="267">
        <f>IF(IndividualLATest!$J$7=2014,(VLOOKUP($A61,Hshldprojections2014!$A$2:$AY$326,47,FALSE)-VLOOKUP($A61,Hshldprojections2014!$A$2:$AY$326,37,FALSE))/10,IF(IndividualLATest!$J$7=2016,(VLOOKUP($A61,Hshldprojections2016!$A$1:$AQ$322,37,FALSE)-VLOOKUP($A61,Hshldprojections2016!$A$1:$AQ$322,27,FALSE))/10,(VLOOKUP($A61,Hshldprojections2018!$A$1:$AQ$327,37,FALSE)-VLOOKUP($A61,Hshldprojections2018!$A$1:$AQ$327,27,FALSE))/10))</f>
        <v>451.5</v>
      </c>
      <c r="AI61" s="268">
        <f>VLOOKUP($A61,AffordabilityRatio!$A$2:$I$321,5,FALSE)</f>
        <v>13.5</v>
      </c>
      <c r="AJ61" s="268">
        <f>VLOOKUP($A61,AffordabilityRatio!$A$2:$I$321,6,FALSE)</f>
        <v>12.83</v>
      </c>
      <c r="AK61" s="268">
        <f>VLOOKUP($A61,AffordabilityRatio!$A$2:$I$321,7,FALSE)</f>
        <v>13.14</v>
      </c>
      <c r="AL61" s="268">
        <f>IF((VLOOKUP($A61,AffordabilityRatio!$A$2:$I$321,8,FALSE))="",AK61,VLOOKUP($A61,AffordabilityRatio!$A$2:$I$321,8,FALSE))</f>
        <v>14.47</v>
      </c>
      <c r="AM61" s="268">
        <f>IF((VLOOKUP($A61,AffordabilityRatio!$A$2:$I$321,9,FALSE))="",AL61,VLOOKUP($A61,AffordabilityRatio!$A$2:$I$321,9,FALSE))</f>
        <v>14.61</v>
      </c>
      <c r="AN61" s="268">
        <f>IF((VLOOKUP($A61,AffordabilityRatio!$A$2:$I$321,9,FALSE))="",AM61,VLOOKUP($A61,AffordabilityRatio!$A$2:$I$321,9,FALSE))</f>
        <v>14.61</v>
      </c>
      <c r="AO61" s="268">
        <f>IF((VLOOKUP($A61,AffordabilityRatio!$A$2:$I$321,9,FALSE))="",AN61,VLOOKUP($A61,AffordabilityRatio!$A$2:$I$321,9,FALSE))</f>
        <v>14.61</v>
      </c>
      <c r="AP61" s="268">
        <f>IF((VLOOKUP($A61,AffordabilityRatio!$A$2:$I$321,9,FALSE))="",AO61,VLOOKUP($A61,AffordabilityRatio!$A$2:$I$321,9,FALSE))</f>
        <v>14.61</v>
      </c>
      <c r="AQ61" s="267">
        <f t="shared" si="24"/>
        <v>840</v>
      </c>
      <c r="AR61" s="267">
        <f t="shared" si="25"/>
        <v>827</v>
      </c>
      <c r="AS61" s="267">
        <f t="shared" si="26"/>
        <v>845</v>
      </c>
      <c r="AT61" s="267">
        <f t="shared" si="27"/>
        <v>793</v>
      </c>
      <c r="AU61" s="267">
        <f t="shared" si="28"/>
        <v>785</v>
      </c>
      <c r="AV61" s="267">
        <f t="shared" si="29"/>
        <v>774</v>
      </c>
      <c r="AW61" s="267">
        <f t="shared" si="30"/>
        <v>762</v>
      </c>
      <c r="AX61" s="267">
        <f t="shared" si="31"/>
        <v>751</v>
      </c>
      <c r="AY61" s="267">
        <f t="shared" si="32"/>
        <v>608.42352941176466</v>
      </c>
      <c r="AZ61" s="267">
        <f t="shared" si="33"/>
        <v>608.42352941176466</v>
      </c>
      <c r="BA61" s="267">
        <f t="shared" si="34"/>
        <v>608.42352941176466</v>
      </c>
      <c r="BB61" s="267">
        <f t="shared" si="35"/>
        <v>671.3</v>
      </c>
      <c r="BC61" s="267">
        <f t="shared" si="36"/>
        <v>660.8</v>
      </c>
      <c r="BD61" s="267">
        <f t="shared" si="37"/>
        <v>651.1400000000001</v>
      </c>
      <c r="BE61" s="267">
        <f t="shared" si="38"/>
        <v>641.48</v>
      </c>
      <c r="BF61" s="267">
        <f t="shared" si="39"/>
        <v>632.1</v>
      </c>
      <c r="BG61" s="269">
        <f>AY61*VLOOKUP($B61,'Major Cities &amp; Towns'!$A$28:$B$345,2,FALSE)</f>
        <v>608.42352941176466</v>
      </c>
      <c r="BH61" s="269">
        <f>AZ61*VLOOKUP($B61,'Major Cities &amp; Towns'!$A$28:$B$345,2,FALSE)</f>
        <v>608.42352941176466</v>
      </c>
      <c r="BI61" s="269">
        <f>BA61*VLOOKUP($B61,'Major Cities &amp; Towns'!$A$28:$B$345,2,FALSE)</f>
        <v>608.42352941176466</v>
      </c>
      <c r="BJ61" s="269">
        <f>BB61*VLOOKUP($B61,'Major Cities &amp; Towns'!$A$28:$B$345,2,FALSE)</f>
        <v>671.3</v>
      </c>
      <c r="BK61" s="269">
        <f>BC61*VLOOKUP($B61,'Major Cities &amp; Towns'!$A$28:$B$345,2,FALSE)</f>
        <v>660.8</v>
      </c>
      <c r="BL61" s="269">
        <f>BD61*VLOOKUP($B61,'Major Cities &amp; Towns'!$A$28:$B$345,2,FALSE)</f>
        <v>651.1400000000001</v>
      </c>
      <c r="BM61" s="269">
        <f>BE61*VLOOKUP($B61,'Major Cities &amp; Towns'!$A$28:$B$345,2,FALSE)</f>
        <v>641.48</v>
      </c>
      <c r="BN61" s="269">
        <f>BF61*VLOOKUP($B61,'Major Cities &amp; Towns'!$A$28:$B$345,2,FALSE)</f>
        <v>632.1</v>
      </c>
      <c r="BO61" s="270">
        <f t="shared" si="40"/>
        <v>434.58823529411762</v>
      </c>
      <c r="BP61" s="270">
        <f t="shared" si="41"/>
        <v>434.58823529411762</v>
      </c>
      <c r="BQ61" s="270">
        <f t="shared" si="42"/>
        <v>728.06075745366627</v>
      </c>
      <c r="BR61" s="270">
        <f t="shared" si="43"/>
        <v>793</v>
      </c>
      <c r="BS61" s="270">
        <f t="shared" si="44"/>
        <v>785</v>
      </c>
      <c r="BT61" s="270">
        <f t="shared" si="45"/>
        <v>774</v>
      </c>
      <c r="BU61" s="270">
        <f t="shared" si="46"/>
        <v>762</v>
      </c>
      <c r="BV61" s="270">
        <f t="shared" si="47"/>
        <v>751</v>
      </c>
      <c r="BW61" s="39">
        <f>VLOOKUP($A61,NetAdditions!$A$2:$H$336,6,FALSE)</f>
        <v>635</v>
      </c>
      <c r="BX61" s="39">
        <f>VLOOKUP($A61,NetAdditions!$A$2:$H$336,7,FALSE)</f>
        <v>542</v>
      </c>
      <c r="BY61" s="39">
        <f>IF((VLOOKUP($C61,NetAdditions!$A$2:$H$336,8,FALSE))="",(AVERAGE(VLOOKUP($C61,NetAdditions!$A$2:$H$336,5,FALSE),VLOOKUP($C61,NetAdditions!$A$2:$H$336,6,FALSE),VLOOKUP($C61,NetAdditions!$A$2:$H$336,7,FALSE))),VLOOKUP($C61,NetAdditions!$A$2:$H$336,8,FALSE))</f>
        <v>530</v>
      </c>
      <c r="BZ61" s="39">
        <f t="shared" si="48"/>
        <v>569</v>
      </c>
      <c r="CA61" s="39">
        <f t="shared" si="49"/>
        <v>547</v>
      </c>
      <c r="CB61" s="39">
        <f t="shared" si="50"/>
        <v>548.66666666666663</v>
      </c>
      <c r="CC61" s="39">
        <f t="shared" si="51"/>
        <v>554.8888888888888</v>
      </c>
      <c r="CD61" s="39">
        <f t="shared" si="52"/>
        <v>550.18518518518511</v>
      </c>
      <c r="CE61" s="276">
        <f t="shared" si="5"/>
        <v>1597.2372280419015</v>
      </c>
      <c r="CF61" s="276">
        <f t="shared" si="6"/>
        <v>1955.648992747784</v>
      </c>
      <c r="CG61" s="276">
        <f t="shared" si="7"/>
        <v>2306.0607574536662</v>
      </c>
      <c r="CH61" s="276">
        <f t="shared" si="8"/>
        <v>2352</v>
      </c>
      <c r="CI61" s="276">
        <f t="shared" si="9"/>
        <v>2321</v>
      </c>
      <c r="CJ61" s="276">
        <f t="shared" si="10"/>
        <v>2287</v>
      </c>
      <c r="CK61" s="276">
        <f t="shared" si="53"/>
        <v>1375.398724147193</v>
      </c>
      <c r="CL61" s="276">
        <f t="shared" si="54"/>
        <v>1684.0310770883696</v>
      </c>
      <c r="CM61" s="276">
        <f t="shared" si="55"/>
        <v>2113.8890276658603</v>
      </c>
      <c r="CN61" s="276">
        <f t="shared" si="56"/>
        <v>2352</v>
      </c>
      <c r="CO61" s="276">
        <f t="shared" si="57"/>
        <v>2321</v>
      </c>
      <c r="CP61" s="276">
        <f t="shared" si="58"/>
        <v>2287</v>
      </c>
      <c r="CQ61" s="39">
        <f t="shared" si="12"/>
        <v>1707</v>
      </c>
      <c r="CR61" s="39">
        <f t="shared" si="13"/>
        <v>1641</v>
      </c>
      <c r="CS61" s="277">
        <f t="shared" si="14"/>
        <v>1646</v>
      </c>
      <c r="CT61" s="39">
        <f t="shared" si="15"/>
        <v>1664.6666666666665</v>
      </c>
      <c r="CU61" s="39">
        <f t="shared" si="16"/>
        <v>1650.5555555555552</v>
      </c>
      <c r="CV61" s="39">
        <f t="shared" si="59"/>
        <v>1653.7407407407404</v>
      </c>
      <c r="CW61" s="297">
        <f t="shared" si="18"/>
        <v>1.2410946513407697</v>
      </c>
      <c r="CX61" s="279" t="str">
        <f t="shared" si="60"/>
        <v>Pass</v>
      </c>
      <c r="CY61" s="278">
        <f t="shared" si="19"/>
        <v>0.9744475754195886</v>
      </c>
      <c r="CZ61" s="279" t="str">
        <f t="shared" si="61"/>
        <v>Pass</v>
      </c>
      <c r="DA61" s="278">
        <f t="shared" si="20"/>
        <v>0.77865960722521954</v>
      </c>
      <c r="DB61" s="292" t="str">
        <f t="shared" si="62"/>
        <v>Buffer and Action Plan</v>
      </c>
      <c r="DC61" s="299">
        <f t="shared" si="63"/>
        <v>0.707766439909297</v>
      </c>
      <c r="DD61" s="293" t="str">
        <f t="shared" si="64"/>
        <v>Presumption</v>
      </c>
      <c r="DE61" s="299">
        <f t="shared" si="65"/>
        <v>0.71113983436258299</v>
      </c>
      <c r="DF61" s="293" t="str">
        <f t="shared" si="66"/>
        <v>Presumption</v>
      </c>
      <c r="DG61" s="299">
        <f t="shared" si="67"/>
        <v>0.72310482760854411</v>
      </c>
      <c r="DH61" s="293" t="str">
        <f t="shared" si="68"/>
        <v>Presumption</v>
      </c>
    </row>
    <row r="62" spans="1:112" ht="15" thickTop="1" thickBot="1">
      <c r="A62" s="38" t="s">
        <v>233</v>
      </c>
      <c r="B62" s="38" t="s">
        <v>234</v>
      </c>
      <c r="C62" s="38" t="s">
        <v>233</v>
      </c>
      <c r="D62" s="38" t="s">
        <v>116</v>
      </c>
      <c r="E62" s="38" t="str">
        <f>VLOOKUP(C62,PoliticalControl!A:K,11,FALSE)</f>
        <v>LAB</v>
      </c>
      <c r="F62" s="38" t="str">
        <f>VLOOKUP(C62,UrbanRuralClassification!A:N,13,FALSE)</f>
        <v>Urban with Significant Rural (rural including hub towns 26-49%)</v>
      </c>
      <c r="G62" s="38" t="str">
        <f>VLOOKUP(C62,UrbanRuralClassification!A:N,14,FALSE)</f>
        <v>Urban with Significant Rural</v>
      </c>
      <c r="H62" s="258">
        <f>IF(ISBLANK((VLOOKUP($A62,'local-plan-data'!$C$1:$AD$566,27,FALSE)))=TRUE,"",VLOOKUP($A62,'local-plan-data'!$C$1:$AD$566,27,FALSE))</f>
        <v>41108</v>
      </c>
      <c r="I62" s="259">
        <f>VLOOKUP($A62,'local-plan-data'!$C$1:$AD$566,28,FALSE)</f>
        <v>417</v>
      </c>
      <c r="J62" s="260">
        <f t="shared" si="21"/>
        <v>417</v>
      </c>
      <c r="K62" s="259" t="str">
        <f t="shared" si="69"/>
        <v>-</v>
      </c>
      <c r="L62" s="259" t="str">
        <f t="shared" si="69"/>
        <v>-</v>
      </c>
      <c r="M62" s="259" t="str">
        <f t="shared" si="69"/>
        <v>-</v>
      </c>
      <c r="N62" s="259" t="str">
        <f t="shared" si="69"/>
        <v>-</v>
      </c>
      <c r="O62" s="259" t="str">
        <f t="shared" si="69"/>
        <v>-</v>
      </c>
      <c r="P62" s="259" t="str">
        <f t="shared" si="69"/>
        <v>-</v>
      </c>
      <c r="Q62" s="259" t="str">
        <f t="shared" si="69"/>
        <v>-</v>
      </c>
      <c r="R62" s="259" t="str">
        <f t="shared" si="69"/>
        <v>-</v>
      </c>
      <c r="S62" s="259">
        <f t="shared" si="70"/>
        <v>-257</v>
      </c>
      <c r="T62" s="259">
        <f t="shared" si="70"/>
        <v>-622</v>
      </c>
      <c r="U62" s="259">
        <f t="shared" si="70"/>
        <v>-988</v>
      </c>
      <c r="V62" s="259">
        <f t="shared" si="70"/>
        <v>-1353</v>
      </c>
      <c r="W62" s="259">
        <f t="shared" si="70"/>
        <v>-1718</v>
      </c>
      <c r="X62" s="259">
        <f t="shared" si="70"/>
        <v>-2083</v>
      </c>
      <c r="Y62" s="259">
        <f t="shared" si="70"/>
        <v>-2449</v>
      </c>
      <c r="Z62" s="259">
        <f t="shared" si="70"/>
        <v>-2814</v>
      </c>
      <c r="AA62" s="267">
        <f>(VLOOKUP(A62,Hshldprojections2014!$A$2:$AW$319,40, FALSE)-VLOOKUP(A62,Hshldprojections2014!$A$2:$AW$319,30, FALSE))/10</f>
        <v>512.5</v>
      </c>
      <c r="AB62" s="267">
        <f>(VLOOKUP(A62,Hshldprojections2014!$A$2:$AW$319,41, FALSE)-VLOOKUP(A62,Hshldprojections2014!$A$2:$AW$319,31, FALSE))/10</f>
        <v>498.3</v>
      </c>
      <c r="AC62" s="267">
        <f>(VLOOKUP(A62,Hshldprojections2014!$A$2:$AW$319,42, FALSE)-VLOOKUP(A62,Hshldprojections2014!$A$2:$AW$319,32, FALSE))/10</f>
        <v>483.5</v>
      </c>
      <c r="AD62" s="267">
        <f>IF(IndividualLATest!$J$7=2014,(VLOOKUP($A62,Hshldprojections2014!$A$2:$AY$326,43,FALSE)-VLOOKUP($A62,Hshldprojections2014!$A$2:$AY$326,33,FALSE))/10,IF(IndividualLATest!$J$7=2016,(VLOOKUP($A62,Hshldprojections2016!$A$1:$AQ$322,33,FALSE)-VLOOKUP($A62,Hshldprojections2016!$A$1:$AQ$322,23,FALSE))/10,(VLOOKUP($A62,Hshldprojections2018!$A$1:$AQ$327,33,FALSE)-VLOOKUP($A62,Hshldprojections2018!$A$1:$AQ$327,23,FALSE))/10))</f>
        <v>521.9</v>
      </c>
      <c r="AE62" s="267">
        <f>IF(IndividualLATest!$J$7=2014,(VLOOKUP($A62,Hshldprojections2014!$A$2:$AY$326,44,FALSE)-VLOOKUP($A62,Hshldprojections2014!$A$2:$AY$326,34,FALSE))/10,IF(IndividualLATest!$J$7=2016,(VLOOKUP($A62,Hshldprojections2016!$A$1:$AQ$322,34,FALSE)-VLOOKUP($A62,Hshldprojections2016!$A$1:$AQ$322,24,FALSE))/10,(VLOOKUP($A62,Hshldprojections2018!$A$1:$AQ$327,34,FALSE)-VLOOKUP($A62,Hshldprojections2018!$A$1:$AQ$327,24,FALSE))/10))</f>
        <v>504.3</v>
      </c>
      <c r="AF62" s="267">
        <f>IF(IndividualLATest!$J$7=2014,(VLOOKUP($A62,Hshldprojections2014!$A$2:$AY$326,45,FALSE)-VLOOKUP($A62,Hshldprojections2014!$A$2:$AY$326,35,FALSE))/10,IF(IndividualLATest!$J$7=2016,(VLOOKUP($A62,Hshldprojections2016!$A$1:$AQ$322,35,FALSE)-VLOOKUP($A62,Hshldprojections2016!$A$1:$AQ$322,25,FALSE))/10,(VLOOKUP($A62,Hshldprojections2018!$A$1:$AQ$327,35,FALSE)-VLOOKUP($A62,Hshldprojections2018!$A$1:$AQ$327,25,FALSE))/10))</f>
        <v>487.3</v>
      </c>
      <c r="AG62" s="267">
        <f>IF(IndividualLATest!$J$7=2014,(VLOOKUP($A62,Hshldprojections2014!$A$2:$AY$326,46,FALSE)-VLOOKUP($A62,Hshldprojections2014!$A$2:$AY$326,36,FALSE))/10,IF(IndividualLATest!$J$7=2016,(VLOOKUP($A62,Hshldprojections2016!$A$1:$AQ$322,36,FALSE)-VLOOKUP($A62,Hshldprojections2016!$A$1:$AQ$322,26,FALSE))/10,(VLOOKUP($A62,Hshldprojections2018!$A$1:$AQ$327,36,FALSE)-VLOOKUP($A62,Hshldprojections2018!$A$1:$AQ$327,26,FALSE))/10))</f>
        <v>472.7</v>
      </c>
      <c r="AH62" s="267">
        <f>IF(IndividualLATest!$J$7=2014,(VLOOKUP($A62,Hshldprojections2014!$A$2:$AY$326,47,FALSE)-VLOOKUP($A62,Hshldprojections2014!$A$2:$AY$326,37,FALSE))/10,IF(IndividualLATest!$J$7=2016,(VLOOKUP($A62,Hshldprojections2016!$A$1:$AQ$322,37,FALSE)-VLOOKUP($A62,Hshldprojections2016!$A$1:$AQ$322,27,FALSE))/10,(VLOOKUP($A62,Hshldprojections2018!$A$1:$AQ$327,37,FALSE)-VLOOKUP($A62,Hshldprojections2018!$A$1:$AQ$327,27,FALSE))/10))</f>
        <v>461.6</v>
      </c>
      <c r="AI62" s="268">
        <f>VLOOKUP($A62,AffordabilityRatio!$A$2:$I$321,5,FALSE)</f>
        <v>6.91</v>
      </c>
      <c r="AJ62" s="268">
        <f>VLOOKUP($A62,AffordabilityRatio!$A$2:$I$321,6,FALSE)</f>
        <v>6.61</v>
      </c>
      <c r="AK62" s="268">
        <f>VLOOKUP($A62,AffordabilityRatio!$A$2:$I$321,7,FALSE)</f>
        <v>6.83</v>
      </c>
      <c r="AL62" s="268">
        <f>IF((VLOOKUP($A62,AffordabilityRatio!$A$2:$I$321,8,FALSE))="",AK62,VLOOKUP($A62,AffordabilityRatio!$A$2:$I$321,8,FALSE))</f>
        <v>6.4</v>
      </c>
      <c r="AM62" s="268">
        <f>IF((VLOOKUP($A62,AffordabilityRatio!$A$2:$I$321,9,FALSE))="",AL62,VLOOKUP($A62,AffordabilityRatio!$A$2:$I$321,9,FALSE))</f>
        <v>7.02</v>
      </c>
      <c r="AN62" s="268">
        <f>IF((VLOOKUP($A62,AffordabilityRatio!$A$2:$I$321,9,FALSE))="",AM62,VLOOKUP($A62,AffordabilityRatio!$A$2:$I$321,9,FALSE))</f>
        <v>7.02</v>
      </c>
      <c r="AO62" s="268">
        <f>IF((VLOOKUP($A62,AffordabilityRatio!$A$2:$I$321,9,FALSE))="",AN62,VLOOKUP($A62,AffordabilityRatio!$A$2:$I$321,9,FALSE))</f>
        <v>7.02</v>
      </c>
      <c r="AP62" s="268">
        <f>IF((VLOOKUP($A62,AffordabilityRatio!$A$2:$I$321,9,FALSE))="",AO62,VLOOKUP($A62,AffordabilityRatio!$A$2:$I$321,9,FALSE))</f>
        <v>7.02</v>
      </c>
      <c r="AQ62" s="267">
        <f t="shared" si="24"/>
        <v>606</v>
      </c>
      <c r="AR62" s="267">
        <f t="shared" si="25"/>
        <v>580</v>
      </c>
      <c r="AS62" s="267">
        <f t="shared" si="26"/>
        <v>569</v>
      </c>
      <c r="AT62" s="267">
        <f t="shared" si="27"/>
        <v>600</v>
      </c>
      <c r="AU62" s="267">
        <f t="shared" si="28"/>
        <v>599</v>
      </c>
      <c r="AV62" s="267">
        <f t="shared" si="29"/>
        <v>579</v>
      </c>
      <c r="AW62" s="267">
        <f t="shared" si="30"/>
        <v>562</v>
      </c>
      <c r="AX62" s="267">
        <f t="shared" si="31"/>
        <v>549</v>
      </c>
      <c r="AY62" s="267">
        <f t="shared" si="32"/>
        <v>606</v>
      </c>
      <c r="AZ62" s="267">
        <f t="shared" si="33"/>
        <v>580</v>
      </c>
      <c r="BA62" s="267">
        <f t="shared" si="34"/>
        <v>569</v>
      </c>
      <c r="BB62" s="267">
        <f t="shared" si="35"/>
        <v>600</v>
      </c>
      <c r="BC62" s="267">
        <f t="shared" si="36"/>
        <v>599</v>
      </c>
      <c r="BD62" s="267">
        <f t="shared" si="37"/>
        <v>579</v>
      </c>
      <c r="BE62" s="267">
        <f t="shared" si="38"/>
        <v>562</v>
      </c>
      <c r="BF62" s="267">
        <f t="shared" si="39"/>
        <v>549</v>
      </c>
      <c r="BG62" s="269">
        <f>AY62*VLOOKUP($B62,'Major Cities &amp; Towns'!$A$28:$B$345,2,FALSE)</f>
        <v>606</v>
      </c>
      <c r="BH62" s="269">
        <f>AZ62*VLOOKUP($B62,'Major Cities &amp; Towns'!$A$28:$B$345,2,FALSE)</f>
        <v>580</v>
      </c>
      <c r="BI62" s="269">
        <f>BA62*VLOOKUP($B62,'Major Cities &amp; Towns'!$A$28:$B$345,2,FALSE)</f>
        <v>569</v>
      </c>
      <c r="BJ62" s="269">
        <f>BB62*VLOOKUP($B62,'Major Cities &amp; Towns'!$A$28:$B$345,2,FALSE)</f>
        <v>600</v>
      </c>
      <c r="BK62" s="269">
        <f>BC62*VLOOKUP($B62,'Major Cities &amp; Towns'!$A$28:$B$345,2,FALSE)</f>
        <v>599</v>
      </c>
      <c r="BL62" s="269">
        <f>BD62*VLOOKUP($B62,'Major Cities &amp; Towns'!$A$28:$B$345,2,FALSE)</f>
        <v>579</v>
      </c>
      <c r="BM62" s="269">
        <f>BE62*VLOOKUP($B62,'Major Cities &amp; Towns'!$A$28:$B$345,2,FALSE)</f>
        <v>562</v>
      </c>
      <c r="BN62" s="269">
        <f>BF62*VLOOKUP($B62,'Major Cities &amp; Towns'!$A$28:$B$345,2,FALSE)</f>
        <v>549</v>
      </c>
      <c r="BO62" s="270">
        <f t="shared" si="40"/>
        <v>606</v>
      </c>
      <c r="BP62" s="270">
        <f t="shared" si="41"/>
        <v>580</v>
      </c>
      <c r="BQ62" s="270">
        <f t="shared" si="42"/>
        <v>569</v>
      </c>
      <c r="BR62" s="270">
        <f t="shared" si="43"/>
        <v>600</v>
      </c>
      <c r="BS62" s="270">
        <f t="shared" si="44"/>
        <v>599</v>
      </c>
      <c r="BT62" s="270">
        <f t="shared" si="45"/>
        <v>579</v>
      </c>
      <c r="BU62" s="270">
        <f t="shared" si="46"/>
        <v>562</v>
      </c>
      <c r="BV62" s="270">
        <f t="shared" si="47"/>
        <v>549</v>
      </c>
      <c r="BW62" s="39">
        <f>VLOOKUP($A62,NetAdditions!$A$2:$H$336,6,FALSE)</f>
        <v>573</v>
      </c>
      <c r="BX62" s="39">
        <f>VLOOKUP($A62,NetAdditions!$A$2:$H$336,7,FALSE)</f>
        <v>640</v>
      </c>
      <c r="BY62" s="39">
        <f>IF((VLOOKUP($C62,NetAdditions!$A$2:$H$336,8,FALSE))="",(AVERAGE(VLOOKUP($C62,NetAdditions!$A$2:$H$336,5,FALSE),VLOOKUP($C62,NetAdditions!$A$2:$H$336,6,FALSE),VLOOKUP($C62,NetAdditions!$A$2:$H$336,7,FALSE))),VLOOKUP($C62,NetAdditions!$A$2:$H$336,8,FALSE))</f>
        <v>306</v>
      </c>
      <c r="BZ62" s="39">
        <f t="shared" si="48"/>
        <v>506.33333333333331</v>
      </c>
      <c r="CA62" s="39">
        <f t="shared" si="49"/>
        <v>484.11111111111109</v>
      </c>
      <c r="CB62" s="39">
        <f t="shared" si="50"/>
        <v>432.1481481481481</v>
      </c>
      <c r="CC62" s="39">
        <f t="shared" si="51"/>
        <v>474.19753086419746</v>
      </c>
      <c r="CD62" s="39">
        <f t="shared" si="52"/>
        <v>463.48559670781884</v>
      </c>
      <c r="CE62" s="276">
        <f t="shared" si="5"/>
        <v>1755</v>
      </c>
      <c r="CF62" s="276">
        <f t="shared" si="6"/>
        <v>1749</v>
      </c>
      <c r="CG62" s="276">
        <f t="shared" si="7"/>
        <v>1768</v>
      </c>
      <c r="CH62" s="276">
        <f t="shared" si="8"/>
        <v>1778</v>
      </c>
      <c r="CI62" s="276">
        <f t="shared" si="9"/>
        <v>1740</v>
      </c>
      <c r="CJ62" s="276">
        <f t="shared" si="10"/>
        <v>1690</v>
      </c>
      <c r="CK62" s="276">
        <f t="shared" si="53"/>
        <v>1511.25</v>
      </c>
      <c r="CL62" s="276">
        <f t="shared" si="54"/>
        <v>1506.0833333333335</v>
      </c>
      <c r="CM62" s="276">
        <f t="shared" si="55"/>
        <v>1620.6666666666665</v>
      </c>
      <c r="CN62" s="276">
        <f t="shared" si="56"/>
        <v>1778</v>
      </c>
      <c r="CO62" s="276">
        <f t="shared" si="57"/>
        <v>1740</v>
      </c>
      <c r="CP62" s="276">
        <f t="shared" si="58"/>
        <v>1690</v>
      </c>
      <c r="CQ62" s="39">
        <f t="shared" si="12"/>
        <v>1519</v>
      </c>
      <c r="CR62" s="39">
        <f t="shared" si="13"/>
        <v>1452.3333333333333</v>
      </c>
      <c r="CS62" s="277">
        <f t="shared" si="14"/>
        <v>1296.4444444444443</v>
      </c>
      <c r="CT62" s="39">
        <f t="shared" si="15"/>
        <v>1422.5925925925924</v>
      </c>
      <c r="CU62" s="39">
        <f t="shared" si="16"/>
        <v>1390.4567901234566</v>
      </c>
      <c r="CV62" s="39">
        <f t="shared" si="59"/>
        <v>1369.8312757201643</v>
      </c>
      <c r="CW62" s="297">
        <f t="shared" si="18"/>
        <v>1.0051282051282051</v>
      </c>
      <c r="CX62" s="279" t="str">
        <f t="shared" si="60"/>
        <v>Pass</v>
      </c>
      <c r="CY62" s="278">
        <f t="shared" si="19"/>
        <v>0.9643114037514523</v>
      </c>
      <c r="CZ62" s="279" t="str">
        <f t="shared" si="61"/>
        <v>Pass</v>
      </c>
      <c r="DA62" s="278">
        <f t="shared" si="20"/>
        <v>0.79994515288632939</v>
      </c>
      <c r="DB62" s="292" t="str">
        <f t="shared" si="62"/>
        <v>Buffer and Action Plan</v>
      </c>
      <c r="DC62" s="299">
        <f t="shared" si="63"/>
        <v>0.80010831979335906</v>
      </c>
      <c r="DD62" s="293" t="str">
        <f t="shared" si="64"/>
        <v>Buffer and Action Plan</v>
      </c>
      <c r="DE62" s="299">
        <f t="shared" si="65"/>
        <v>0.79911309777210149</v>
      </c>
      <c r="DF62" s="293" t="str">
        <f t="shared" si="66"/>
        <v>Buffer and Action Plan</v>
      </c>
      <c r="DG62" s="299">
        <f t="shared" si="67"/>
        <v>0.81055105072199074</v>
      </c>
      <c r="DH62" s="293" t="str">
        <f t="shared" si="68"/>
        <v>Buffer and Action Plan</v>
      </c>
    </row>
    <row r="63" spans="1:112" customFormat="1" ht="15.5" thickTop="1" thickBot="1">
      <c r="A63" s="3" t="s">
        <v>235</v>
      </c>
      <c r="B63" s="38" t="s">
        <v>236</v>
      </c>
      <c r="C63" s="3" t="s">
        <v>235</v>
      </c>
      <c r="D63" s="3" t="s">
        <v>131</v>
      </c>
      <c r="E63" s="3" t="str">
        <f>VLOOKUP(C63,PoliticalControl!A:K,11,FALSE)</f>
        <v>IND/OTHER</v>
      </c>
      <c r="F63" s="3" t="str">
        <f>VLOOKUP(C63,UrbanRuralClassification!A:N,13,FALSE)</f>
        <v>Urban with Major Conurbation</v>
      </c>
      <c r="G63" s="3" t="str">
        <f>VLOOKUP(C63,UrbanRuralClassification!A:N,14,FALSE)</f>
        <v>Predominantly Urban</v>
      </c>
      <c r="H63" s="262">
        <f>IF(ISBLANK((VLOOKUP($A63,'local-plan-data'!$C$1:$AD$566,27,FALSE)))=TRUE,"",VLOOKUP($A63,'local-plan-data'!$C$1:$AD$566,27,FALSE))</f>
        <v>42019</v>
      </c>
      <c r="I63" s="263">
        <f>VLOOKUP($A63,'local-plan-data'!$C$1:$AD$566,28,FALSE)</f>
        <v>110</v>
      </c>
      <c r="J63" s="264">
        <f t="shared" si="21"/>
        <v>110</v>
      </c>
      <c r="K63" s="259">
        <f t="shared" si="69"/>
        <v>110</v>
      </c>
      <c r="L63" s="259">
        <f t="shared" si="69"/>
        <v>110</v>
      </c>
      <c r="M63" s="259" t="str">
        <f t="shared" si="69"/>
        <v>-</v>
      </c>
      <c r="N63" s="259" t="str">
        <f t="shared" si="69"/>
        <v>-</v>
      </c>
      <c r="O63" s="259" t="str">
        <f t="shared" si="69"/>
        <v>-</v>
      </c>
      <c r="P63" s="259" t="str">
        <f t="shared" si="69"/>
        <v>-</v>
      </c>
      <c r="Q63" s="259" t="str">
        <f t="shared" si="69"/>
        <v>-</v>
      </c>
      <c r="R63" s="259" t="str">
        <f t="shared" si="69"/>
        <v>-</v>
      </c>
      <c r="S63" s="259">
        <f t="shared" si="70"/>
        <v>654</v>
      </c>
      <c r="T63" s="259">
        <f t="shared" si="70"/>
        <v>289</v>
      </c>
      <c r="U63" s="259">
        <f t="shared" si="70"/>
        <v>-77</v>
      </c>
      <c r="V63" s="259">
        <f t="shared" si="70"/>
        <v>-442</v>
      </c>
      <c r="W63" s="259">
        <f t="shared" si="70"/>
        <v>-807</v>
      </c>
      <c r="X63" s="259">
        <f t="shared" si="70"/>
        <v>-1172</v>
      </c>
      <c r="Y63" s="259">
        <f t="shared" si="70"/>
        <v>-1538</v>
      </c>
      <c r="Z63" s="259">
        <f t="shared" si="70"/>
        <v>-1903</v>
      </c>
      <c r="AA63" s="267" t="e">
        <f>(VLOOKUP(A63,Hshldprojections2014!$A$2:$AW$319,40, FALSE)-VLOOKUP(A63,Hshldprojections2014!$A$2:$AW$319,30, FALSE))/10</f>
        <v>#VALUE!</v>
      </c>
      <c r="AB63" s="267" t="e">
        <f>(VLOOKUP(A63,Hshldprojections2014!$A$2:$AW$319,41, FALSE)-VLOOKUP(A63,Hshldprojections2014!$A$2:$AW$319,31, FALSE))/10</f>
        <v>#VALUE!</v>
      </c>
      <c r="AC63" s="267" t="e">
        <f>(VLOOKUP(A63,Hshldprojections2014!$A$2:$AW$319,42, FALSE)-VLOOKUP(A63,Hshldprojections2014!$A$2:$AW$319,32, FALSE))/10</f>
        <v>#VALUE!</v>
      </c>
      <c r="AD63" s="267">
        <f>IF(IndividualLATest!$J$7=2014,(VLOOKUP($A63,Hshldprojections2014!$A$2:$AY$326,43,FALSE)-VLOOKUP($A63,Hshldprojections2014!$A$2:$AY$326,33,FALSE))/10,IF(IndividualLATest!$J$7=2016,(VLOOKUP($A63,Hshldprojections2016!$A$1:$AQ$322,33,FALSE)-VLOOKUP($A63,Hshldprojections2016!$A$1:$AQ$322,23,FALSE))/10,(VLOOKUP($A63,Hshldprojections2018!$A$1:$AQ$327,33,FALSE)-VLOOKUP($A63,Hshldprojections2018!$A$1:$AQ$327,23,FALSE))/10))</f>
        <v>24.4</v>
      </c>
      <c r="AE63" s="267">
        <f>IF(IndividualLATest!$J$7=2014,(VLOOKUP($A63,Hshldprojections2014!$A$2:$AY$326,44,FALSE)-VLOOKUP($A63,Hshldprojections2014!$A$2:$AY$326,34,FALSE))/10,IF(IndividualLATest!$J$7=2016,(VLOOKUP($A63,Hshldprojections2016!$A$1:$AQ$322,34,FALSE)-VLOOKUP($A63,Hshldprojections2016!$A$1:$AQ$322,24,FALSE))/10,(VLOOKUP($A63,Hshldprojections2018!$A$1:$AQ$327,34,FALSE)-VLOOKUP($A63,Hshldprojections2018!$A$1:$AQ$327,24,FALSE))/10))</f>
        <v>25.5</v>
      </c>
      <c r="AF63" s="267">
        <f>IF(IndividualLATest!$J$7=2014,(VLOOKUP($A63,Hshldprojections2014!$A$2:$AY$326,45,FALSE)-VLOOKUP($A63,Hshldprojections2014!$A$2:$AY$326,35,FALSE))/10,IF(IndividualLATest!$J$7=2016,(VLOOKUP($A63,Hshldprojections2016!$A$1:$AQ$322,35,FALSE)-VLOOKUP($A63,Hshldprojections2016!$A$1:$AQ$322,25,FALSE))/10,(VLOOKUP($A63,Hshldprojections2018!$A$1:$AQ$327,35,FALSE)-VLOOKUP($A63,Hshldprojections2018!$A$1:$AQ$327,25,FALSE))/10))</f>
        <v>25.8</v>
      </c>
      <c r="AG63" s="267">
        <f>IF(IndividualLATest!$J$7=2014,(VLOOKUP($A63,Hshldprojections2014!$A$2:$AY$326,46,FALSE)-VLOOKUP($A63,Hshldprojections2014!$A$2:$AY$326,36,FALSE))/10,IF(IndividualLATest!$J$7=2016,(VLOOKUP($A63,Hshldprojections2016!$A$1:$AQ$322,36,FALSE)-VLOOKUP($A63,Hshldprojections2016!$A$1:$AQ$322,26,FALSE))/10,(VLOOKUP($A63,Hshldprojections2018!$A$1:$AQ$327,36,FALSE)-VLOOKUP($A63,Hshldprojections2018!$A$1:$AQ$327,26,FALSE))/10))</f>
        <v>26.7</v>
      </c>
      <c r="AH63" s="267">
        <f>IF(IndividualLATest!$J$7=2014,(VLOOKUP($A63,Hshldprojections2014!$A$2:$AY$326,47,FALSE)-VLOOKUP($A63,Hshldprojections2014!$A$2:$AY$326,37,FALSE))/10,IF(IndividualLATest!$J$7=2016,(VLOOKUP($A63,Hshldprojections2016!$A$1:$AQ$322,37,FALSE)-VLOOKUP($A63,Hshldprojections2016!$A$1:$AQ$322,27,FALSE))/10,(VLOOKUP($A63,Hshldprojections2018!$A$1:$AQ$327,37,FALSE)-VLOOKUP($A63,Hshldprojections2018!$A$1:$AQ$327,27,FALSE))/10))</f>
        <v>27.3</v>
      </c>
      <c r="AI63" s="268">
        <f>VLOOKUP($A63,AffordabilityRatio!$A$2:$I$321,5,FALSE)</f>
        <v>15.1</v>
      </c>
      <c r="AJ63" s="268">
        <f>VLOOKUP($A63,AffordabilityRatio!$A$2:$I$321,6,FALSE)</f>
        <v>14.51</v>
      </c>
      <c r="AK63" s="268">
        <f>VLOOKUP($A63,AffordabilityRatio!$A$2:$I$321,7,FALSE)</f>
        <v>14.94</v>
      </c>
      <c r="AL63" s="268">
        <f>IF((VLOOKUP($A63,AffordabilityRatio!$A$2:$I$321,8,FALSE))="",AK63,VLOOKUP($A63,AffordabilityRatio!$A$2:$I$321,8,FALSE))</f>
        <v>14.36</v>
      </c>
      <c r="AM63" s="268">
        <f>IF((VLOOKUP($A63,AffordabilityRatio!$A$2:$I$321,9,FALSE))="",AL63,VLOOKUP($A63,AffordabilityRatio!$A$2:$I$321,9,FALSE))</f>
        <v>11.48</v>
      </c>
      <c r="AN63" s="268">
        <f>IF((VLOOKUP($A63,AffordabilityRatio!$A$2:$I$321,9,FALSE))="",AM63,VLOOKUP($A63,AffordabilityRatio!$A$2:$I$321,9,FALSE))</f>
        <v>11.48</v>
      </c>
      <c r="AO63" s="268">
        <f>IF((VLOOKUP($A63,AffordabilityRatio!$A$2:$I$321,9,FALSE))="",AN63,VLOOKUP($A63,AffordabilityRatio!$A$2:$I$321,9,FALSE))</f>
        <v>11.48</v>
      </c>
      <c r="AP63" s="268">
        <f>IF((VLOOKUP($A63,AffordabilityRatio!$A$2:$I$321,9,FALSE))="",AO63,VLOOKUP($A63,AffordabilityRatio!$A$2:$I$321,9,FALSE))</f>
        <v>11.48</v>
      </c>
      <c r="AQ63" s="267" t="e">
        <f t="shared" si="24"/>
        <v>#VALUE!</v>
      </c>
      <c r="AR63" s="267" t="e">
        <f t="shared" si="25"/>
        <v>#VALUE!</v>
      </c>
      <c r="AS63" s="267" t="e">
        <f t="shared" si="26"/>
        <v>#VALUE!</v>
      </c>
      <c r="AT63" s="267">
        <f t="shared" si="27"/>
        <v>40</v>
      </c>
      <c r="AU63" s="267">
        <f t="shared" si="28"/>
        <v>37</v>
      </c>
      <c r="AV63" s="267">
        <f t="shared" si="29"/>
        <v>38</v>
      </c>
      <c r="AW63" s="267">
        <f t="shared" si="30"/>
        <v>39</v>
      </c>
      <c r="AX63" s="267">
        <f t="shared" si="31"/>
        <v>40</v>
      </c>
      <c r="AY63" s="267" t="e">
        <f t="shared" si="32"/>
        <v>#VALUE!</v>
      </c>
      <c r="AZ63" s="267" t="e">
        <f t="shared" si="33"/>
        <v>#VALUE!</v>
      </c>
      <c r="BA63" s="267" t="e">
        <f t="shared" si="34"/>
        <v>#VALUE!</v>
      </c>
      <c r="BB63" s="267">
        <f t="shared" si="35"/>
        <v>40</v>
      </c>
      <c r="BC63" s="267">
        <f t="shared" si="36"/>
        <v>37</v>
      </c>
      <c r="BD63" s="267">
        <f t="shared" si="37"/>
        <v>38</v>
      </c>
      <c r="BE63" s="267">
        <f t="shared" si="38"/>
        <v>39</v>
      </c>
      <c r="BF63" s="267">
        <f t="shared" si="39"/>
        <v>40</v>
      </c>
      <c r="BG63" s="269" t="e">
        <f>AY63*VLOOKUP($B63,'Major Cities &amp; Towns'!$A$28:$B$345,2,FALSE)</f>
        <v>#VALUE!</v>
      </c>
      <c r="BH63" s="269" t="e">
        <f>AZ63*VLOOKUP($B63,'Major Cities &amp; Towns'!$A$28:$B$345,2,FALSE)</f>
        <v>#VALUE!</v>
      </c>
      <c r="BI63" s="269" t="e">
        <f>BA63*VLOOKUP($B63,'Major Cities &amp; Towns'!$A$28:$B$345,2,FALSE)</f>
        <v>#VALUE!</v>
      </c>
      <c r="BJ63" s="269">
        <f>BB63*VLOOKUP($B63,'Major Cities &amp; Towns'!$A$28:$B$345,2,FALSE)</f>
        <v>54</v>
      </c>
      <c r="BK63" s="269">
        <f>BC63*VLOOKUP($B63,'Major Cities &amp; Towns'!$A$28:$B$345,2,FALSE)</f>
        <v>49.95</v>
      </c>
      <c r="BL63" s="269">
        <f>BD63*VLOOKUP($B63,'Major Cities &amp; Towns'!$A$28:$B$345,2,FALSE)</f>
        <v>51.300000000000004</v>
      </c>
      <c r="BM63" s="269">
        <f>BE63*VLOOKUP($B63,'Major Cities &amp; Towns'!$A$28:$B$345,2,FALSE)</f>
        <v>52.650000000000006</v>
      </c>
      <c r="BN63" s="269">
        <f>BF63*VLOOKUP($B63,'Major Cities &amp; Towns'!$A$28:$B$345,2,FALSE)</f>
        <v>54</v>
      </c>
      <c r="BO63" s="270" t="e">
        <f t="shared" si="40"/>
        <v>#VALUE!</v>
      </c>
      <c r="BP63" s="270" t="e">
        <f t="shared" si="41"/>
        <v>#VALUE!</v>
      </c>
      <c r="BQ63" s="270" t="e">
        <f t="shared" si="42"/>
        <v>#VALUE!</v>
      </c>
      <c r="BR63" s="270">
        <f t="shared" si="43"/>
        <v>40</v>
      </c>
      <c r="BS63" s="270">
        <f t="shared" si="44"/>
        <v>37</v>
      </c>
      <c r="BT63" s="270">
        <f t="shared" si="45"/>
        <v>38</v>
      </c>
      <c r="BU63" s="270">
        <f t="shared" si="46"/>
        <v>39</v>
      </c>
      <c r="BV63" s="270">
        <f t="shared" si="47"/>
        <v>40</v>
      </c>
      <c r="BW63" s="39">
        <f>VLOOKUP($A63,NetAdditions!$A$2:$H$336,6,FALSE)</f>
        <v>351</v>
      </c>
      <c r="BX63" s="39">
        <f>VLOOKUP($A63,NetAdditions!$A$2:$H$336,7,FALSE)</f>
        <v>297</v>
      </c>
      <c r="BY63" s="39">
        <f>IF((VLOOKUP($C63,NetAdditions!$A$2:$H$336,8,FALSE))="",(AVERAGE(VLOOKUP($C63,NetAdditions!$A$2:$H$336,5,FALSE),VLOOKUP($C63,NetAdditions!$A$2:$H$336,6,FALSE),VLOOKUP($C63,NetAdditions!$A$2:$H$336,7,FALSE))),VLOOKUP($C63,NetAdditions!$A$2:$H$336,8,FALSE))</f>
        <v>206</v>
      </c>
      <c r="BZ63" s="39">
        <f t="shared" si="48"/>
        <v>284.66666666666669</v>
      </c>
      <c r="CA63" s="39">
        <f t="shared" si="49"/>
        <v>262.5555555555556</v>
      </c>
      <c r="CB63" s="39">
        <f t="shared" si="50"/>
        <v>251.0740740740741</v>
      </c>
      <c r="CC63" s="39">
        <f t="shared" si="51"/>
        <v>266.09876543209879</v>
      </c>
      <c r="CD63" s="39">
        <f t="shared" si="52"/>
        <v>259.90946502057614</v>
      </c>
      <c r="CE63" s="276" t="e">
        <f t="shared" si="5"/>
        <v>#VALUE!</v>
      </c>
      <c r="CF63" s="276" t="e">
        <f t="shared" si="6"/>
        <v>#VALUE!</v>
      </c>
      <c r="CG63" s="276" t="e">
        <f t="shared" si="7"/>
        <v>#VALUE!</v>
      </c>
      <c r="CH63" s="276">
        <f t="shared" si="8"/>
        <v>115</v>
      </c>
      <c r="CI63" s="276">
        <f t="shared" si="9"/>
        <v>114</v>
      </c>
      <c r="CJ63" s="276">
        <f t="shared" si="10"/>
        <v>117</v>
      </c>
      <c r="CK63" s="276" t="e">
        <f t="shared" si="53"/>
        <v>#VALUE!</v>
      </c>
      <c r="CL63" s="276" t="e">
        <f t="shared" si="54"/>
        <v>#VALUE!</v>
      </c>
      <c r="CM63" s="276" t="e">
        <f t="shared" si="55"/>
        <v>#VALUE!</v>
      </c>
      <c r="CN63" s="276">
        <f t="shared" si="56"/>
        <v>115</v>
      </c>
      <c r="CO63" s="276">
        <f t="shared" si="57"/>
        <v>114</v>
      </c>
      <c r="CP63" s="276">
        <f t="shared" si="58"/>
        <v>117</v>
      </c>
      <c r="CQ63" s="39">
        <f t="shared" si="12"/>
        <v>854</v>
      </c>
      <c r="CR63" s="39">
        <f t="shared" si="13"/>
        <v>787.66666666666674</v>
      </c>
      <c r="CS63" s="277">
        <f t="shared" si="14"/>
        <v>753.22222222222229</v>
      </c>
      <c r="CT63" s="39">
        <f t="shared" si="15"/>
        <v>798.29629629629642</v>
      </c>
      <c r="CU63" s="39">
        <f t="shared" si="16"/>
        <v>779.72839506172841</v>
      </c>
      <c r="CV63" s="39">
        <f t="shared" si="59"/>
        <v>777.082304526749</v>
      </c>
      <c r="CW63" s="297" t="str">
        <f t="shared" si="18"/>
        <v>-</v>
      </c>
      <c r="CX63" s="279" t="str">
        <f t="shared" si="60"/>
        <v>Pass</v>
      </c>
      <c r="CY63" s="278" t="str">
        <f t="shared" si="19"/>
        <v>-</v>
      </c>
      <c r="CZ63" s="279" t="str">
        <f t="shared" si="61"/>
        <v>Pass</v>
      </c>
      <c r="DA63" s="278" t="str">
        <f t="shared" si="20"/>
        <v>-</v>
      </c>
      <c r="DB63" s="292" t="str">
        <f t="shared" si="62"/>
        <v>Pass</v>
      </c>
      <c r="DC63" s="299">
        <f t="shared" si="63"/>
        <v>6.9417069243156213</v>
      </c>
      <c r="DD63" s="293" t="str">
        <f t="shared" si="64"/>
        <v>Pass</v>
      </c>
      <c r="DE63" s="299">
        <f t="shared" si="65"/>
        <v>6.8397227636993723</v>
      </c>
      <c r="DF63" s="293" t="str">
        <f t="shared" si="66"/>
        <v>Pass</v>
      </c>
      <c r="DG63" s="299">
        <f t="shared" si="67"/>
        <v>6.6417290985192219</v>
      </c>
      <c r="DH63" s="293" t="str">
        <f t="shared" si="68"/>
        <v>Pass</v>
      </c>
    </row>
    <row r="64" spans="1:112" ht="15" thickTop="1" thickBot="1">
      <c r="A64" s="38" t="s">
        <v>237</v>
      </c>
      <c r="B64" s="38" t="s">
        <v>238</v>
      </c>
      <c r="C64" s="38" t="s">
        <v>237</v>
      </c>
      <c r="D64" s="38" t="s">
        <v>128</v>
      </c>
      <c r="E64" s="38" t="str">
        <f>VLOOKUP(C64,PoliticalControl!A:K,11,FALSE)</f>
        <v>NOC</v>
      </c>
      <c r="F64" s="38" t="str">
        <f>VLOOKUP(C64,UrbanRuralClassification!A:N,13,FALSE)</f>
        <v>Urban with Significant Rural (rural including hub towns 26-49%)</v>
      </c>
      <c r="G64" s="38" t="str">
        <f>VLOOKUP(C64,UrbanRuralClassification!A:N,14,FALSE)</f>
        <v>Urban with Significant Rural</v>
      </c>
      <c r="H64" s="258">
        <f>IF(ISBLANK((VLOOKUP($A64,'local-plan-data'!$C$1:$AD$566,27,FALSE)))=TRUE,"",VLOOKUP($A64,'local-plan-data'!$C$1:$AD$566,27,FALSE))</f>
        <v>44228</v>
      </c>
      <c r="I64" s="259">
        <f>VLOOKUP($A64,'local-plan-data'!$C$1:$AD$566,28,FALSE)</f>
        <v>920</v>
      </c>
      <c r="J64" s="260">
        <f t="shared" si="21"/>
        <v>920</v>
      </c>
      <c r="K64" s="259">
        <f t="shared" si="69"/>
        <v>920</v>
      </c>
      <c r="L64" s="259">
        <f t="shared" si="69"/>
        <v>920</v>
      </c>
      <c r="M64" s="259">
        <f t="shared" si="69"/>
        <v>920</v>
      </c>
      <c r="N64" s="259">
        <f t="shared" si="69"/>
        <v>920</v>
      </c>
      <c r="O64" s="259">
        <f t="shared" si="69"/>
        <v>920</v>
      </c>
      <c r="P64" s="259">
        <f t="shared" si="69"/>
        <v>920</v>
      </c>
      <c r="Q64" s="259">
        <f t="shared" si="69"/>
        <v>920</v>
      </c>
      <c r="R64" s="259">
        <f t="shared" si="69"/>
        <v>920</v>
      </c>
      <c r="S64" s="259">
        <f t="shared" si="70"/>
        <v>2863</v>
      </c>
      <c r="T64" s="259">
        <f t="shared" si="70"/>
        <v>2498</v>
      </c>
      <c r="U64" s="259">
        <f t="shared" si="70"/>
        <v>2132</v>
      </c>
      <c r="V64" s="259">
        <f t="shared" si="70"/>
        <v>1767</v>
      </c>
      <c r="W64" s="259">
        <f t="shared" si="70"/>
        <v>1402</v>
      </c>
      <c r="X64" s="259">
        <f t="shared" si="70"/>
        <v>1037</v>
      </c>
      <c r="Y64" s="259">
        <f t="shared" si="70"/>
        <v>671</v>
      </c>
      <c r="Z64" s="259">
        <f t="shared" si="70"/>
        <v>306</v>
      </c>
      <c r="AA64" s="267">
        <f>(VLOOKUP(A64,Hshldprojections2014!$A$2:$AW$319,40, FALSE)-VLOOKUP(A64,Hshldprojections2014!$A$2:$AW$319,30, FALSE))/10</f>
        <v>818.6</v>
      </c>
      <c r="AB64" s="267">
        <f>(VLOOKUP(A64,Hshldprojections2014!$A$2:$AW$319,41, FALSE)-VLOOKUP(A64,Hshldprojections2014!$A$2:$AW$319,31, FALSE))/10</f>
        <v>807.7</v>
      </c>
      <c r="AC64" s="267">
        <f>(VLOOKUP(A64,Hshldprojections2014!$A$2:$AW$319,42, FALSE)-VLOOKUP(A64,Hshldprojections2014!$A$2:$AW$319,32, FALSE))/10</f>
        <v>800.7</v>
      </c>
      <c r="AD64" s="267">
        <f>IF(IndividualLATest!$J$7=2014,(VLOOKUP($A64,Hshldprojections2014!$A$2:$AY$326,43,FALSE)-VLOOKUP($A64,Hshldprojections2014!$A$2:$AY$326,33,FALSE))/10,IF(IndividualLATest!$J$7=2016,(VLOOKUP($A64,Hshldprojections2016!$A$1:$AQ$322,33,FALSE)-VLOOKUP($A64,Hshldprojections2016!$A$1:$AQ$322,23,FALSE))/10,(VLOOKUP($A64,Hshldprojections2018!$A$1:$AQ$327,33,FALSE)-VLOOKUP($A64,Hshldprojections2018!$A$1:$AQ$327,23,FALSE))/10))</f>
        <v>758.9</v>
      </c>
      <c r="AE64" s="267">
        <f>IF(IndividualLATest!$J$7=2014,(VLOOKUP($A64,Hshldprojections2014!$A$2:$AY$326,44,FALSE)-VLOOKUP($A64,Hshldprojections2014!$A$2:$AY$326,34,FALSE))/10,IF(IndividualLATest!$J$7=2016,(VLOOKUP($A64,Hshldprojections2016!$A$1:$AQ$322,34,FALSE)-VLOOKUP($A64,Hshldprojections2016!$A$1:$AQ$322,24,FALSE))/10,(VLOOKUP($A64,Hshldprojections2018!$A$1:$AQ$327,34,FALSE)-VLOOKUP($A64,Hshldprojections2018!$A$1:$AQ$327,24,FALSE))/10))</f>
        <v>746.2</v>
      </c>
      <c r="AF64" s="267">
        <f>IF(IndividualLATest!$J$7=2014,(VLOOKUP($A64,Hshldprojections2014!$A$2:$AY$326,45,FALSE)-VLOOKUP($A64,Hshldprojections2014!$A$2:$AY$326,35,FALSE))/10,IF(IndividualLATest!$J$7=2016,(VLOOKUP($A64,Hshldprojections2016!$A$1:$AQ$322,35,FALSE)-VLOOKUP($A64,Hshldprojections2016!$A$1:$AQ$322,25,FALSE))/10,(VLOOKUP($A64,Hshldprojections2018!$A$1:$AQ$327,35,FALSE)-VLOOKUP($A64,Hshldprojections2018!$A$1:$AQ$327,25,FALSE))/10))</f>
        <v>735.4</v>
      </c>
      <c r="AG64" s="267">
        <f>IF(IndividualLATest!$J$7=2014,(VLOOKUP($A64,Hshldprojections2014!$A$2:$AY$326,46,FALSE)-VLOOKUP($A64,Hshldprojections2014!$A$2:$AY$326,36,FALSE))/10,IF(IndividualLATest!$J$7=2016,(VLOOKUP($A64,Hshldprojections2016!$A$1:$AQ$322,36,FALSE)-VLOOKUP($A64,Hshldprojections2016!$A$1:$AQ$322,26,FALSE))/10,(VLOOKUP($A64,Hshldprojections2018!$A$1:$AQ$327,36,FALSE)-VLOOKUP($A64,Hshldprojections2018!$A$1:$AQ$327,26,FALSE))/10))</f>
        <v>721.7</v>
      </c>
      <c r="AH64" s="267">
        <f>IF(IndividualLATest!$J$7=2014,(VLOOKUP($A64,Hshldprojections2014!$A$2:$AY$326,47,FALSE)-VLOOKUP($A64,Hshldprojections2014!$A$2:$AY$326,37,FALSE))/10,IF(IndividualLATest!$J$7=2016,(VLOOKUP($A64,Hshldprojections2016!$A$1:$AQ$322,37,FALSE)-VLOOKUP($A64,Hshldprojections2016!$A$1:$AQ$322,27,FALSE))/10,(VLOOKUP($A64,Hshldprojections2018!$A$1:$AQ$327,37,FALSE)-VLOOKUP($A64,Hshldprojections2018!$A$1:$AQ$327,27,FALSE))/10))</f>
        <v>711.3</v>
      </c>
      <c r="AI64" s="268">
        <f>VLOOKUP($A64,AffordabilityRatio!$A$2:$I$321,5,FALSE)</f>
        <v>8.99</v>
      </c>
      <c r="AJ64" s="268">
        <f>VLOOKUP($A64,AffordabilityRatio!$A$2:$I$321,6,FALSE)</f>
        <v>9.58</v>
      </c>
      <c r="AK64" s="268">
        <f>VLOOKUP($A64,AffordabilityRatio!$A$2:$I$321,7,FALSE)</f>
        <v>9.5</v>
      </c>
      <c r="AL64" s="268">
        <f>IF((VLOOKUP($A64,AffordabilityRatio!$A$2:$I$321,8,FALSE))="",AK64,VLOOKUP($A64,AffordabilityRatio!$A$2:$I$321,8,FALSE))</f>
        <v>9.58</v>
      </c>
      <c r="AM64" s="268">
        <f>IF((VLOOKUP($A64,AffordabilityRatio!$A$2:$I$321,9,FALSE))="",AL64,VLOOKUP($A64,AffordabilityRatio!$A$2:$I$321,9,FALSE))</f>
        <v>10.38</v>
      </c>
      <c r="AN64" s="268">
        <f>IF((VLOOKUP($A64,AffordabilityRatio!$A$2:$I$321,9,FALSE))="",AM64,VLOOKUP($A64,AffordabilityRatio!$A$2:$I$321,9,FALSE))</f>
        <v>10.38</v>
      </c>
      <c r="AO64" s="268">
        <f>IF((VLOOKUP($A64,AffordabilityRatio!$A$2:$I$321,9,FALSE))="",AN64,VLOOKUP($A64,AffordabilityRatio!$A$2:$I$321,9,FALSE))</f>
        <v>10.38</v>
      </c>
      <c r="AP64" s="268">
        <f>IF((VLOOKUP($A64,AffordabilityRatio!$A$2:$I$321,9,FALSE))="",AO64,VLOOKUP($A64,AffordabilityRatio!$A$2:$I$321,9,FALSE))</f>
        <v>10.38</v>
      </c>
      <c r="AQ64" s="267">
        <f t="shared" si="24"/>
        <v>1074</v>
      </c>
      <c r="AR64" s="267">
        <f t="shared" si="25"/>
        <v>1089</v>
      </c>
      <c r="AS64" s="267">
        <f t="shared" si="26"/>
        <v>1076</v>
      </c>
      <c r="AT64" s="267">
        <f t="shared" si="27"/>
        <v>1024</v>
      </c>
      <c r="AU64" s="267">
        <f t="shared" si="28"/>
        <v>1044</v>
      </c>
      <c r="AV64" s="267">
        <f t="shared" si="29"/>
        <v>1029</v>
      </c>
      <c r="AW64" s="267">
        <f t="shared" si="30"/>
        <v>1009</v>
      </c>
      <c r="AX64" s="267">
        <f t="shared" si="31"/>
        <v>995</v>
      </c>
      <c r="AY64" s="267">
        <f t="shared" si="32"/>
        <v>1074</v>
      </c>
      <c r="AZ64" s="267">
        <f t="shared" si="33"/>
        <v>1089</v>
      </c>
      <c r="BA64" s="267">
        <f t="shared" si="34"/>
        <v>1076</v>
      </c>
      <c r="BB64" s="267">
        <f t="shared" si="35"/>
        <v>1024</v>
      </c>
      <c r="BC64" s="267">
        <f t="shared" si="36"/>
        <v>1044</v>
      </c>
      <c r="BD64" s="267">
        <f t="shared" si="37"/>
        <v>1029</v>
      </c>
      <c r="BE64" s="267">
        <f t="shared" si="38"/>
        <v>1009</v>
      </c>
      <c r="BF64" s="267">
        <f t="shared" si="39"/>
        <v>995</v>
      </c>
      <c r="BG64" s="269">
        <f>AY64*VLOOKUP($B64,'Major Cities &amp; Towns'!$A$28:$B$345,2,FALSE)</f>
        <v>1074</v>
      </c>
      <c r="BH64" s="269">
        <f>AZ64*VLOOKUP($B64,'Major Cities &amp; Towns'!$A$28:$B$345,2,FALSE)</f>
        <v>1089</v>
      </c>
      <c r="BI64" s="269">
        <f>BA64*VLOOKUP($B64,'Major Cities &amp; Towns'!$A$28:$B$345,2,FALSE)</f>
        <v>1076</v>
      </c>
      <c r="BJ64" s="269">
        <f>BB64*VLOOKUP($B64,'Major Cities &amp; Towns'!$A$28:$B$345,2,FALSE)</f>
        <v>1024</v>
      </c>
      <c r="BK64" s="269">
        <f>BC64*VLOOKUP($B64,'Major Cities &amp; Towns'!$A$28:$B$345,2,FALSE)</f>
        <v>1044</v>
      </c>
      <c r="BL64" s="269">
        <f>BD64*VLOOKUP($B64,'Major Cities &amp; Towns'!$A$28:$B$345,2,FALSE)</f>
        <v>1029</v>
      </c>
      <c r="BM64" s="269">
        <f>BE64*VLOOKUP($B64,'Major Cities &amp; Towns'!$A$28:$B$345,2,FALSE)</f>
        <v>1009</v>
      </c>
      <c r="BN64" s="269">
        <f>BF64*VLOOKUP($B64,'Major Cities &amp; Towns'!$A$28:$B$345,2,FALSE)</f>
        <v>995</v>
      </c>
      <c r="BO64" s="270">
        <f t="shared" si="40"/>
        <v>920</v>
      </c>
      <c r="BP64" s="270">
        <f t="shared" si="41"/>
        <v>920</v>
      </c>
      <c r="BQ64" s="270">
        <f t="shared" si="42"/>
        <v>920</v>
      </c>
      <c r="BR64" s="270">
        <f t="shared" si="43"/>
        <v>920</v>
      </c>
      <c r="BS64" s="270">
        <f t="shared" si="44"/>
        <v>920</v>
      </c>
      <c r="BT64" s="270">
        <f t="shared" si="45"/>
        <v>920</v>
      </c>
      <c r="BU64" s="270">
        <f t="shared" si="46"/>
        <v>920</v>
      </c>
      <c r="BV64" s="270">
        <f t="shared" si="47"/>
        <v>932.1232876712329</v>
      </c>
      <c r="BW64" s="39">
        <f>VLOOKUP($A64,NetAdditions!$A$2:$H$336,6,FALSE)</f>
        <v>1175</v>
      </c>
      <c r="BX64" s="39">
        <f>VLOOKUP($A64,NetAdditions!$A$2:$H$336,7,FALSE)</f>
        <v>785</v>
      </c>
      <c r="BY64" s="39">
        <f>IF((VLOOKUP($C64,NetAdditions!$A$2:$H$336,8,FALSE))="",(AVERAGE(VLOOKUP($C64,NetAdditions!$A$2:$H$336,5,FALSE),VLOOKUP($C64,NetAdditions!$A$2:$H$336,6,FALSE),VLOOKUP($C64,NetAdditions!$A$2:$H$336,7,FALSE))),VLOOKUP($C64,NetAdditions!$A$2:$H$336,8,FALSE))</f>
        <v>741</v>
      </c>
      <c r="BZ64" s="39">
        <f t="shared" si="48"/>
        <v>900.33333333333337</v>
      </c>
      <c r="CA64" s="39">
        <f t="shared" si="49"/>
        <v>808.77777777777783</v>
      </c>
      <c r="CB64" s="39">
        <f t="shared" si="50"/>
        <v>816.70370370370381</v>
      </c>
      <c r="CC64" s="39">
        <f t="shared" si="51"/>
        <v>841.93827160493845</v>
      </c>
      <c r="CD64" s="39">
        <f t="shared" si="52"/>
        <v>822.47325102880677</v>
      </c>
      <c r="CE64" s="276">
        <f t="shared" si="5"/>
        <v>2760</v>
      </c>
      <c r="CF64" s="276">
        <f t="shared" si="6"/>
        <v>2760</v>
      </c>
      <c r="CG64" s="276">
        <f t="shared" si="7"/>
        <v>2760</v>
      </c>
      <c r="CH64" s="276">
        <f t="shared" si="8"/>
        <v>2760</v>
      </c>
      <c r="CI64" s="276">
        <f t="shared" si="9"/>
        <v>2760</v>
      </c>
      <c r="CJ64" s="276">
        <f t="shared" si="10"/>
        <v>2772.1232876712329</v>
      </c>
      <c r="CK64" s="276">
        <f t="shared" si="53"/>
        <v>2376.666666666667</v>
      </c>
      <c r="CL64" s="276">
        <f t="shared" si="54"/>
        <v>2376.666666666667</v>
      </c>
      <c r="CM64" s="276">
        <f t="shared" si="55"/>
        <v>2530</v>
      </c>
      <c r="CN64" s="276">
        <f t="shared" si="56"/>
        <v>2760</v>
      </c>
      <c r="CO64" s="276">
        <f t="shared" si="57"/>
        <v>2760</v>
      </c>
      <c r="CP64" s="276">
        <f t="shared" si="58"/>
        <v>2772.1232876712329</v>
      </c>
      <c r="CQ64" s="39">
        <f t="shared" si="12"/>
        <v>2701</v>
      </c>
      <c r="CR64" s="39">
        <f t="shared" si="13"/>
        <v>2426.3333333333335</v>
      </c>
      <c r="CS64" s="277">
        <f t="shared" si="14"/>
        <v>2450.1111111111113</v>
      </c>
      <c r="CT64" s="39">
        <f t="shared" si="15"/>
        <v>2525.8148148148152</v>
      </c>
      <c r="CU64" s="39">
        <f t="shared" si="16"/>
        <v>2467.4197530864203</v>
      </c>
      <c r="CV64" s="39">
        <f t="shared" si="59"/>
        <v>2481.1152263374488</v>
      </c>
      <c r="CW64" s="297">
        <f t="shared" si="18"/>
        <v>1.1364656381486675</v>
      </c>
      <c r="CX64" s="279" t="str">
        <f t="shared" si="60"/>
        <v>Pass</v>
      </c>
      <c r="CY64" s="278">
        <f t="shared" si="19"/>
        <v>1.0208976157082748</v>
      </c>
      <c r="CZ64" s="279" t="str">
        <f t="shared" si="61"/>
        <v>Pass</v>
      </c>
      <c r="DA64" s="278">
        <f t="shared" si="20"/>
        <v>0.96842336407553808</v>
      </c>
      <c r="DB64" s="292" t="str">
        <f t="shared" si="62"/>
        <v>Pass</v>
      </c>
      <c r="DC64" s="299">
        <f t="shared" si="63"/>
        <v>0.91515029522275915</v>
      </c>
      <c r="DD64" s="293" t="str">
        <f t="shared" si="64"/>
        <v>Action Plan</v>
      </c>
      <c r="DE64" s="299">
        <f t="shared" si="65"/>
        <v>0.8939926641617465</v>
      </c>
      <c r="DF64" s="293" t="str">
        <f t="shared" si="66"/>
        <v>Action Plan</v>
      </c>
      <c r="DG64" s="299">
        <f t="shared" si="67"/>
        <v>0.89502340583912121</v>
      </c>
      <c r="DH64" s="293" t="str">
        <f t="shared" si="68"/>
        <v>Action Plan</v>
      </c>
    </row>
    <row r="65" spans="1:112" ht="15" thickTop="1" thickBot="1">
      <c r="A65" s="38" t="s">
        <v>239</v>
      </c>
      <c r="B65" s="38" t="s">
        <v>240</v>
      </c>
      <c r="C65" s="38" t="s">
        <v>239</v>
      </c>
      <c r="D65" s="38" t="s">
        <v>116</v>
      </c>
      <c r="E65" s="38" t="str">
        <f>VLOOKUP(C65,PoliticalControl!A:K,11,FALSE)</f>
        <v>NOC</v>
      </c>
      <c r="F65" s="38" t="str">
        <f>VLOOKUP(C65,UrbanRuralClassification!A:N,13,FALSE)</f>
        <v xml:space="preserve">Mainly Rural (rural including hub towns &gt;=80%) </v>
      </c>
      <c r="G65" s="38" t="str">
        <f>VLOOKUP(C65,UrbanRuralClassification!A:N,14,FALSE)</f>
        <v>Predominantly Rural</v>
      </c>
      <c r="H65" s="258">
        <f>IF(ISBLANK((VLOOKUP($A65,'local-plan-data'!$C$1:$AD$566,27,FALSE)))=TRUE,"",VLOOKUP($A65,'local-plan-data'!$C$1:$AD$566,27,FALSE))</f>
        <v>41613</v>
      </c>
      <c r="I65" s="259">
        <f>VLOOKUP($A65,'local-plan-data'!$C$1:$AD$566,28,FALSE)</f>
        <v>230</v>
      </c>
      <c r="J65" s="260">
        <f t="shared" si="21"/>
        <v>230</v>
      </c>
      <c r="K65" s="259">
        <f t="shared" si="69"/>
        <v>230</v>
      </c>
      <c r="L65" s="259" t="str">
        <f t="shared" si="69"/>
        <v>-</v>
      </c>
      <c r="M65" s="259" t="str">
        <f t="shared" si="69"/>
        <v>-</v>
      </c>
      <c r="N65" s="259" t="str">
        <f t="shared" si="69"/>
        <v>-</v>
      </c>
      <c r="O65" s="259" t="str">
        <f t="shared" si="69"/>
        <v>-</v>
      </c>
      <c r="P65" s="259" t="str">
        <f t="shared" si="69"/>
        <v>-</v>
      </c>
      <c r="Q65" s="259" t="str">
        <f t="shared" si="69"/>
        <v>-</v>
      </c>
      <c r="R65" s="259" t="str">
        <f t="shared" si="69"/>
        <v>-</v>
      </c>
      <c r="S65" s="259">
        <f t="shared" si="70"/>
        <v>248</v>
      </c>
      <c r="T65" s="259">
        <f t="shared" si="70"/>
        <v>-117</v>
      </c>
      <c r="U65" s="259">
        <f t="shared" si="70"/>
        <v>-483</v>
      </c>
      <c r="V65" s="259">
        <f t="shared" si="70"/>
        <v>-848</v>
      </c>
      <c r="W65" s="259">
        <f t="shared" si="70"/>
        <v>-1213</v>
      </c>
      <c r="X65" s="259">
        <f t="shared" si="70"/>
        <v>-1578</v>
      </c>
      <c r="Y65" s="259">
        <f t="shared" si="70"/>
        <v>-1944</v>
      </c>
      <c r="Z65" s="259">
        <f t="shared" si="70"/>
        <v>-2309</v>
      </c>
      <c r="AA65" s="267">
        <f>(VLOOKUP(A65,Hshldprojections2014!$A$2:$AW$319,40, FALSE)-VLOOKUP(A65,Hshldprojections2014!$A$2:$AW$319,30, FALSE))/10</f>
        <v>20.5</v>
      </c>
      <c r="AB65" s="267">
        <f>(VLOOKUP(A65,Hshldprojections2014!$A$2:$AW$319,41, FALSE)-VLOOKUP(A65,Hshldprojections2014!$A$2:$AW$319,31, FALSE))/10</f>
        <v>15.1</v>
      </c>
      <c r="AC65" s="267">
        <f>(VLOOKUP(A65,Hshldprojections2014!$A$2:$AW$319,42, FALSE)-VLOOKUP(A65,Hshldprojections2014!$A$2:$AW$319,32, FALSE))/10</f>
        <v>11.3</v>
      </c>
      <c r="AD65" s="267">
        <f>IF(IndividualLATest!$J$7=2014,(VLOOKUP($A65,Hshldprojections2014!$A$2:$AY$326,43,FALSE)-VLOOKUP($A65,Hshldprojections2014!$A$2:$AY$326,33,FALSE))/10,IF(IndividualLATest!$J$7=2016,(VLOOKUP($A65,Hshldprojections2016!$A$1:$AQ$322,33,FALSE)-VLOOKUP($A65,Hshldprojections2016!$A$1:$AQ$322,23,FALSE))/10,(VLOOKUP($A65,Hshldprojections2018!$A$1:$AQ$327,33,FALSE)-VLOOKUP($A65,Hshldprojections2018!$A$1:$AQ$327,23,FALSE))/10))</f>
        <v>-66.2</v>
      </c>
      <c r="AE65" s="267">
        <f>IF(IndividualLATest!$J$7=2014,(VLOOKUP($A65,Hshldprojections2014!$A$2:$AY$326,44,FALSE)-VLOOKUP($A65,Hshldprojections2014!$A$2:$AY$326,34,FALSE))/10,IF(IndividualLATest!$J$7=2016,(VLOOKUP($A65,Hshldprojections2016!$A$1:$AQ$322,34,FALSE)-VLOOKUP($A65,Hshldprojections2016!$A$1:$AQ$322,24,FALSE))/10,(VLOOKUP($A65,Hshldprojections2018!$A$1:$AQ$327,34,FALSE)-VLOOKUP($A65,Hshldprojections2018!$A$1:$AQ$327,24,FALSE))/10))</f>
        <v>-66.7</v>
      </c>
      <c r="AF65" s="267">
        <f>IF(IndividualLATest!$J$7=2014,(VLOOKUP($A65,Hshldprojections2014!$A$2:$AY$326,45,FALSE)-VLOOKUP($A65,Hshldprojections2014!$A$2:$AY$326,35,FALSE))/10,IF(IndividualLATest!$J$7=2016,(VLOOKUP($A65,Hshldprojections2016!$A$1:$AQ$322,35,FALSE)-VLOOKUP($A65,Hshldprojections2016!$A$1:$AQ$322,25,FALSE))/10,(VLOOKUP($A65,Hshldprojections2018!$A$1:$AQ$327,35,FALSE)-VLOOKUP($A65,Hshldprojections2018!$A$1:$AQ$327,25,FALSE))/10))</f>
        <v>-66.099999999999994</v>
      </c>
      <c r="AG65" s="267">
        <f>IF(IndividualLATest!$J$7=2014,(VLOOKUP($A65,Hshldprojections2014!$A$2:$AY$326,46,FALSE)-VLOOKUP($A65,Hshldprojections2014!$A$2:$AY$326,36,FALSE))/10,IF(IndividualLATest!$J$7=2016,(VLOOKUP($A65,Hshldprojections2016!$A$1:$AQ$322,36,FALSE)-VLOOKUP($A65,Hshldprojections2016!$A$1:$AQ$322,26,FALSE))/10,(VLOOKUP($A65,Hshldprojections2018!$A$1:$AQ$327,36,FALSE)-VLOOKUP($A65,Hshldprojections2018!$A$1:$AQ$327,26,FALSE))/10))</f>
        <v>-66.099999999999994</v>
      </c>
      <c r="AH65" s="267">
        <f>IF(IndividualLATest!$J$7=2014,(VLOOKUP($A65,Hshldprojections2014!$A$2:$AY$326,47,FALSE)-VLOOKUP($A65,Hshldprojections2014!$A$2:$AY$326,37,FALSE))/10,IF(IndividualLATest!$J$7=2016,(VLOOKUP($A65,Hshldprojections2016!$A$1:$AQ$322,37,FALSE)-VLOOKUP($A65,Hshldprojections2016!$A$1:$AQ$322,27,FALSE))/10,(VLOOKUP($A65,Hshldprojections2018!$A$1:$AQ$327,37,FALSE)-VLOOKUP($A65,Hshldprojections2018!$A$1:$AQ$327,27,FALSE))/10))</f>
        <v>-61.9</v>
      </c>
      <c r="AI65" s="268">
        <f>VLOOKUP($A65,AffordabilityRatio!$A$2:$I$321,5,FALSE)</f>
        <v>2.72</v>
      </c>
      <c r="AJ65" s="268">
        <f>VLOOKUP($A65,AffordabilityRatio!$A$2:$I$321,6,FALSE)</f>
        <v>2.5099999999999998</v>
      </c>
      <c r="AK65" s="268">
        <f>VLOOKUP($A65,AffordabilityRatio!$A$2:$I$321,7,FALSE)</f>
        <v>2.78</v>
      </c>
      <c r="AL65" s="268">
        <f>IF((VLOOKUP($A65,AffordabilityRatio!$A$2:$I$321,8,FALSE))="",AK65,VLOOKUP($A65,AffordabilityRatio!$A$2:$I$321,8,FALSE))</f>
        <v>2.6</v>
      </c>
      <c r="AM65" s="268">
        <f>IF((VLOOKUP($A65,AffordabilityRatio!$A$2:$I$321,9,FALSE))="",AL65,VLOOKUP($A65,AffordabilityRatio!$A$2:$I$321,9,FALSE))</f>
        <v>2.71</v>
      </c>
      <c r="AN65" s="268">
        <f>IF((VLOOKUP($A65,AffordabilityRatio!$A$2:$I$321,9,FALSE))="",AM65,VLOOKUP($A65,AffordabilityRatio!$A$2:$I$321,9,FALSE))</f>
        <v>2.71</v>
      </c>
      <c r="AO65" s="268">
        <f>IF((VLOOKUP($A65,AffordabilityRatio!$A$2:$I$321,9,FALSE))="",AN65,VLOOKUP($A65,AffordabilityRatio!$A$2:$I$321,9,FALSE))</f>
        <v>2.71</v>
      </c>
      <c r="AP65" s="268">
        <f>IF((VLOOKUP($A65,AffordabilityRatio!$A$2:$I$321,9,FALSE))="",AO65,VLOOKUP($A65,AffordabilityRatio!$A$2:$I$321,9,FALSE))</f>
        <v>2.71</v>
      </c>
      <c r="AQ65" s="267">
        <f t="shared" si="24"/>
        <v>20.5</v>
      </c>
      <c r="AR65" s="267">
        <f t="shared" si="25"/>
        <v>15.1</v>
      </c>
      <c r="AS65" s="267">
        <f t="shared" si="26"/>
        <v>11.3</v>
      </c>
      <c r="AT65" s="267">
        <f t="shared" si="27"/>
        <v>0</v>
      </c>
      <c r="AU65" s="267">
        <f t="shared" si="28"/>
        <v>0</v>
      </c>
      <c r="AV65" s="267">
        <f t="shared" si="29"/>
        <v>0</v>
      </c>
      <c r="AW65" s="267">
        <f t="shared" si="30"/>
        <v>0</v>
      </c>
      <c r="AX65" s="267">
        <f t="shared" si="31"/>
        <v>0</v>
      </c>
      <c r="AY65" s="267">
        <f t="shared" si="32"/>
        <v>20.5</v>
      </c>
      <c r="AZ65" s="267">
        <f t="shared" si="33"/>
        <v>15.1</v>
      </c>
      <c r="BA65" s="267">
        <f t="shared" si="34"/>
        <v>11.3</v>
      </c>
      <c r="BB65" s="267">
        <f t="shared" si="35"/>
        <v>0</v>
      </c>
      <c r="BC65" s="267">
        <f t="shared" si="36"/>
        <v>0</v>
      </c>
      <c r="BD65" s="267">
        <f t="shared" si="37"/>
        <v>0</v>
      </c>
      <c r="BE65" s="267">
        <f t="shared" si="38"/>
        <v>0</v>
      </c>
      <c r="BF65" s="267">
        <f t="shared" si="39"/>
        <v>0</v>
      </c>
      <c r="BG65" s="269">
        <f>AY65*VLOOKUP($B65,'Major Cities &amp; Towns'!$A$28:$B$345,2,FALSE)</f>
        <v>20.5</v>
      </c>
      <c r="BH65" s="269">
        <f>AZ65*VLOOKUP($B65,'Major Cities &amp; Towns'!$A$28:$B$345,2,FALSE)</f>
        <v>15.1</v>
      </c>
      <c r="BI65" s="269">
        <f>BA65*VLOOKUP($B65,'Major Cities &amp; Towns'!$A$28:$B$345,2,FALSE)</f>
        <v>11.3</v>
      </c>
      <c r="BJ65" s="269">
        <f>BB65*VLOOKUP($B65,'Major Cities &amp; Towns'!$A$28:$B$345,2,FALSE)</f>
        <v>0</v>
      </c>
      <c r="BK65" s="269">
        <f>BC65*VLOOKUP($B65,'Major Cities &amp; Towns'!$A$28:$B$345,2,FALSE)</f>
        <v>0</v>
      </c>
      <c r="BL65" s="269">
        <f>BD65*VLOOKUP($B65,'Major Cities &amp; Towns'!$A$28:$B$345,2,FALSE)</f>
        <v>0</v>
      </c>
      <c r="BM65" s="269">
        <f>BE65*VLOOKUP($B65,'Major Cities &amp; Towns'!$A$28:$B$345,2,FALSE)</f>
        <v>0</v>
      </c>
      <c r="BN65" s="269">
        <f>BF65*VLOOKUP($B65,'Major Cities &amp; Towns'!$A$28:$B$345,2,FALSE)</f>
        <v>0</v>
      </c>
      <c r="BO65" s="270">
        <f t="shared" si="40"/>
        <v>20.5</v>
      </c>
      <c r="BP65" s="270">
        <f t="shared" si="41"/>
        <v>15.1</v>
      </c>
      <c r="BQ65" s="270">
        <f t="shared" si="42"/>
        <v>11.3</v>
      </c>
      <c r="BR65" s="270">
        <f t="shared" si="43"/>
        <v>0</v>
      </c>
      <c r="BS65" s="270">
        <f t="shared" si="44"/>
        <v>0</v>
      </c>
      <c r="BT65" s="270">
        <f t="shared" si="45"/>
        <v>0</v>
      </c>
      <c r="BU65" s="270">
        <f t="shared" si="46"/>
        <v>0</v>
      </c>
      <c r="BV65" s="270">
        <f t="shared" si="47"/>
        <v>0</v>
      </c>
      <c r="BW65" s="39">
        <f>VLOOKUP($A65,NetAdditions!$A$2:$H$336,6,FALSE)</f>
        <v>117</v>
      </c>
      <c r="BX65" s="39">
        <f>VLOOKUP($A65,NetAdditions!$A$2:$H$336,7,FALSE)</f>
        <v>165</v>
      </c>
      <c r="BY65" s="39">
        <f>IF((VLOOKUP($C65,NetAdditions!$A$2:$H$336,8,FALSE))="",(AVERAGE(VLOOKUP($C65,NetAdditions!$A$2:$H$336,5,FALSE),VLOOKUP($C65,NetAdditions!$A$2:$H$336,6,FALSE),VLOOKUP($C65,NetAdditions!$A$2:$H$336,7,FALSE))),VLOOKUP($C65,NetAdditions!$A$2:$H$336,8,FALSE))</f>
        <v>107</v>
      </c>
      <c r="BZ65" s="39">
        <f t="shared" si="48"/>
        <v>129.66666666666666</v>
      </c>
      <c r="CA65" s="39">
        <f t="shared" si="49"/>
        <v>133.88888888888889</v>
      </c>
      <c r="CB65" s="39">
        <f t="shared" si="50"/>
        <v>123.51851851851852</v>
      </c>
      <c r="CC65" s="39">
        <f t="shared" si="51"/>
        <v>129.02469135802468</v>
      </c>
      <c r="CD65" s="39">
        <f t="shared" si="52"/>
        <v>128.81069958847738</v>
      </c>
      <c r="CE65" s="276">
        <f t="shared" si="5"/>
        <v>46.900000000000006</v>
      </c>
      <c r="CF65" s="276">
        <f t="shared" si="6"/>
        <v>26.4</v>
      </c>
      <c r="CG65" s="276">
        <f t="shared" si="7"/>
        <v>11.3</v>
      </c>
      <c r="CH65" s="276">
        <f t="shared" si="8"/>
        <v>0</v>
      </c>
      <c r="CI65" s="276">
        <f t="shared" si="9"/>
        <v>0</v>
      </c>
      <c r="CJ65" s="276">
        <f t="shared" si="10"/>
        <v>0</v>
      </c>
      <c r="CK65" s="276">
        <f t="shared" si="53"/>
        <v>40.38611111111112</v>
      </c>
      <c r="CL65" s="276">
        <f t="shared" si="54"/>
        <v>22.733333333333334</v>
      </c>
      <c r="CM65" s="276">
        <f t="shared" si="55"/>
        <v>10.358333333333334</v>
      </c>
      <c r="CN65" s="276">
        <f t="shared" si="56"/>
        <v>0</v>
      </c>
      <c r="CO65" s="276">
        <f t="shared" si="57"/>
        <v>0</v>
      </c>
      <c r="CP65" s="276">
        <f t="shared" si="58"/>
        <v>0</v>
      </c>
      <c r="CQ65" s="39">
        <f t="shared" si="12"/>
        <v>389</v>
      </c>
      <c r="CR65" s="39">
        <f t="shared" si="13"/>
        <v>401.66666666666663</v>
      </c>
      <c r="CS65" s="277">
        <f t="shared" si="14"/>
        <v>370.55555555555554</v>
      </c>
      <c r="CT65" s="39">
        <f t="shared" si="15"/>
        <v>387.07407407407408</v>
      </c>
      <c r="CU65" s="39">
        <f t="shared" si="16"/>
        <v>386.4320987654321</v>
      </c>
      <c r="CV65" s="39">
        <f t="shared" si="59"/>
        <v>381.35390946502059</v>
      </c>
      <c r="CW65" s="297">
        <f t="shared" si="18"/>
        <v>9.6320242107435146</v>
      </c>
      <c r="CX65" s="279" t="str">
        <f t="shared" si="60"/>
        <v>Pass</v>
      </c>
      <c r="CY65" s="278">
        <f t="shared" si="19"/>
        <v>17.668621700879761</v>
      </c>
      <c r="CZ65" s="279" t="str">
        <f t="shared" si="61"/>
        <v>Pass</v>
      </c>
      <c r="DA65" s="278">
        <f t="shared" si="20"/>
        <v>35.77366586216143</v>
      </c>
      <c r="DB65" s="292" t="str">
        <f t="shared" si="62"/>
        <v>Pass</v>
      </c>
      <c r="DC65" s="299" t="str">
        <f t="shared" si="63"/>
        <v>-</v>
      </c>
      <c r="DD65" s="293" t="str">
        <f t="shared" si="64"/>
        <v>Pass</v>
      </c>
      <c r="DE65" s="299" t="str">
        <f t="shared" si="65"/>
        <v>-</v>
      </c>
      <c r="DF65" s="293" t="str">
        <f t="shared" si="66"/>
        <v>Pass</v>
      </c>
      <c r="DG65" s="299" t="str">
        <f t="shared" si="67"/>
        <v>-</v>
      </c>
      <c r="DH65" s="293" t="str">
        <f t="shared" si="68"/>
        <v>Pass</v>
      </c>
    </row>
    <row r="66" spans="1:112" ht="15" thickTop="1" thickBot="1">
      <c r="A66" s="38" t="s">
        <v>241</v>
      </c>
      <c r="B66" s="38" t="s">
        <v>242</v>
      </c>
      <c r="C66" s="38" t="s">
        <v>241</v>
      </c>
      <c r="D66" s="38" t="s">
        <v>119</v>
      </c>
      <c r="E66" s="38" t="str">
        <f>VLOOKUP(C66,PoliticalControl!A:K,11,FALSE)</f>
        <v>LAB</v>
      </c>
      <c r="F66" s="38" t="str">
        <f>VLOOKUP(C66,UrbanRuralClassification!A:N,13,FALSE)</f>
        <v>Urban with City and Town</v>
      </c>
      <c r="G66" s="38" t="str">
        <f>VLOOKUP(C66,UrbanRuralClassification!A:N,14,FALSE)</f>
        <v>Predominantly Urban</v>
      </c>
      <c r="H66" s="258">
        <f>IF(ISBLANK((VLOOKUP($A66,'local-plan-data'!$C$1:$AD$566,27,FALSE)))=TRUE,"",VLOOKUP($A66,'local-plan-data'!$C$1:$AD$566,27,FALSE))</f>
        <v>42565</v>
      </c>
      <c r="I66" s="259">
        <f>VLOOKUP($A66,'local-plan-data'!$C$1:$AD$566,28,FALSE)</f>
        <v>460</v>
      </c>
      <c r="J66" s="260">
        <f t="shared" si="21"/>
        <v>460</v>
      </c>
      <c r="K66" s="259">
        <f t="shared" si="69"/>
        <v>460</v>
      </c>
      <c r="L66" s="259">
        <f t="shared" si="69"/>
        <v>460</v>
      </c>
      <c r="M66" s="259">
        <f t="shared" si="69"/>
        <v>460</v>
      </c>
      <c r="N66" s="259">
        <f t="shared" si="69"/>
        <v>460</v>
      </c>
      <c r="O66" s="259" t="str">
        <f t="shared" si="69"/>
        <v>-</v>
      </c>
      <c r="P66" s="259" t="str">
        <f t="shared" si="69"/>
        <v>-</v>
      </c>
      <c r="Q66" s="259" t="str">
        <f t="shared" si="69"/>
        <v>-</v>
      </c>
      <c r="R66" s="259" t="str">
        <f t="shared" si="69"/>
        <v>-</v>
      </c>
      <c r="S66" s="259">
        <f t="shared" si="70"/>
        <v>1200</v>
      </c>
      <c r="T66" s="259">
        <f t="shared" si="70"/>
        <v>835</v>
      </c>
      <c r="U66" s="259">
        <f t="shared" si="70"/>
        <v>469</v>
      </c>
      <c r="V66" s="259">
        <f t="shared" si="70"/>
        <v>104</v>
      </c>
      <c r="W66" s="259">
        <f t="shared" si="70"/>
        <v>-261</v>
      </c>
      <c r="X66" s="259">
        <f t="shared" si="70"/>
        <v>-626</v>
      </c>
      <c r="Y66" s="259">
        <f t="shared" si="70"/>
        <v>-992</v>
      </c>
      <c r="Z66" s="259">
        <f t="shared" si="70"/>
        <v>-1357</v>
      </c>
      <c r="AA66" s="267">
        <f>(VLOOKUP(A66,Hshldprojections2014!$A$2:$AW$319,40, FALSE)-VLOOKUP(A66,Hshldprojections2014!$A$2:$AW$319,30, FALSE))/10</f>
        <v>427.3</v>
      </c>
      <c r="AB66" s="267">
        <f>(VLOOKUP(A66,Hshldprojections2014!$A$2:$AW$319,41, FALSE)-VLOOKUP(A66,Hshldprojections2014!$A$2:$AW$319,31, FALSE))/10</f>
        <v>424.6</v>
      </c>
      <c r="AC66" s="267">
        <f>(VLOOKUP(A66,Hshldprojections2014!$A$2:$AW$319,42, FALSE)-VLOOKUP(A66,Hshldprojections2014!$A$2:$AW$319,32, FALSE))/10</f>
        <v>422.3</v>
      </c>
      <c r="AD66" s="267">
        <f>IF(IndividualLATest!$J$7=2014,(VLOOKUP($A66,Hshldprojections2014!$A$2:$AY$326,43,FALSE)-VLOOKUP($A66,Hshldprojections2014!$A$2:$AY$326,33,FALSE))/10,IF(IndividualLATest!$J$7=2016,(VLOOKUP($A66,Hshldprojections2016!$A$1:$AQ$322,33,FALSE)-VLOOKUP($A66,Hshldprojections2016!$A$1:$AQ$322,23,FALSE))/10,(VLOOKUP($A66,Hshldprojections2018!$A$1:$AQ$327,33,FALSE)-VLOOKUP($A66,Hshldprojections2018!$A$1:$AQ$327,23,FALSE))/10))</f>
        <v>482.9</v>
      </c>
      <c r="AE66" s="267">
        <f>IF(IndividualLATest!$J$7=2014,(VLOOKUP($A66,Hshldprojections2014!$A$2:$AY$326,44,FALSE)-VLOOKUP($A66,Hshldprojections2014!$A$2:$AY$326,34,FALSE))/10,IF(IndividualLATest!$J$7=2016,(VLOOKUP($A66,Hshldprojections2016!$A$1:$AQ$322,34,FALSE)-VLOOKUP($A66,Hshldprojections2016!$A$1:$AQ$322,24,FALSE))/10,(VLOOKUP($A66,Hshldprojections2018!$A$1:$AQ$327,34,FALSE)-VLOOKUP($A66,Hshldprojections2018!$A$1:$AQ$327,24,FALSE))/10))</f>
        <v>473.9</v>
      </c>
      <c r="AF66" s="267">
        <f>IF(IndividualLATest!$J$7=2014,(VLOOKUP($A66,Hshldprojections2014!$A$2:$AY$326,45,FALSE)-VLOOKUP($A66,Hshldprojections2014!$A$2:$AY$326,35,FALSE))/10,IF(IndividualLATest!$J$7=2016,(VLOOKUP($A66,Hshldprojections2016!$A$1:$AQ$322,35,FALSE)-VLOOKUP($A66,Hshldprojections2016!$A$1:$AQ$322,25,FALSE))/10,(VLOOKUP($A66,Hshldprojections2018!$A$1:$AQ$327,35,FALSE)-VLOOKUP($A66,Hshldprojections2018!$A$1:$AQ$327,25,FALSE))/10))</f>
        <v>466.1</v>
      </c>
      <c r="AG66" s="267">
        <f>IF(IndividualLATest!$J$7=2014,(VLOOKUP($A66,Hshldprojections2014!$A$2:$AY$326,46,FALSE)-VLOOKUP($A66,Hshldprojections2014!$A$2:$AY$326,36,FALSE))/10,IF(IndividualLATest!$J$7=2016,(VLOOKUP($A66,Hshldprojections2016!$A$1:$AQ$322,36,FALSE)-VLOOKUP($A66,Hshldprojections2016!$A$1:$AQ$322,26,FALSE))/10,(VLOOKUP($A66,Hshldprojections2018!$A$1:$AQ$327,36,FALSE)-VLOOKUP($A66,Hshldprojections2018!$A$1:$AQ$327,26,FALSE))/10))</f>
        <v>458.7</v>
      </c>
      <c r="AH66" s="267">
        <f>IF(IndividualLATest!$J$7=2014,(VLOOKUP($A66,Hshldprojections2014!$A$2:$AY$326,47,FALSE)-VLOOKUP($A66,Hshldprojections2014!$A$2:$AY$326,37,FALSE))/10,IF(IndividualLATest!$J$7=2016,(VLOOKUP($A66,Hshldprojections2016!$A$1:$AQ$322,37,FALSE)-VLOOKUP($A66,Hshldprojections2016!$A$1:$AQ$322,27,FALSE))/10,(VLOOKUP($A66,Hshldprojections2018!$A$1:$AQ$327,37,FALSE)-VLOOKUP($A66,Hshldprojections2018!$A$1:$AQ$327,27,FALSE))/10))</f>
        <v>452.8</v>
      </c>
      <c r="AI66" s="268">
        <f>VLOOKUP($A66,AffordabilityRatio!$A$2:$I$321,5,FALSE)</f>
        <v>6.38</v>
      </c>
      <c r="AJ66" s="268">
        <f>VLOOKUP($A66,AffordabilityRatio!$A$2:$I$321,6,FALSE)</f>
        <v>6.83</v>
      </c>
      <c r="AK66" s="268">
        <f>VLOOKUP($A66,AffordabilityRatio!$A$2:$I$321,7,FALSE)</f>
        <v>7.19</v>
      </c>
      <c r="AL66" s="268">
        <f>IF((VLOOKUP($A66,AffordabilityRatio!$A$2:$I$321,8,FALSE))="",AK66,VLOOKUP($A66,AffordabilityRatio!$A$2:$I$321,8,FALSE))</f>
        <v>6.18</v>
      </c>
      <c r="AM66" s="268">
        <f>IF((VLOOKUP($A66,AffordabilityRatio!$A$2:$I$321,9,FALSE))="",AL66,VLOOKUP($A66,AffordabilityRatio!$A$2:$I$321,9,FALSE))</f>
        <v>6.18</v>
      </c>
      <c r="AN66" s="268">
        <f>IF((VLOOKUP($A66,AffordabilityRatio!$A$2:$I$321,9,FALSE))="",AM66,VLOOKUP($A66,AffordabilityRatio!$A$2:$I$321,9,FALSE))</f>
        <v>6.18</v>
      </c>
      <c r="AO66" s="268">
        <f>IF((VLOOKUP($A66,AffordabilityRatio!$A$2:$I$321,9,FALSE))="",AN66,VLOOKUP($A66,AffordabilityRatio!$A$2:$I$321,9,FALSE))</f>
        <v>6.18</v>
      </c>
      <c r="AP66" s="268">
        <f>IF((VLOOKUP($A66,AffordabilityRatio!$A$2:$I$321,9,FALSE))="",AO66,VLOOKUP($A66,AffordabilityRatio!$A$2:$I$321,9,FALSE))</f>
        <v>6.18</v>
      </c>
      <c r="AQ66" s="267">
        <f t="shared" si="24"/>
        <v>491</v>
      </c>
      <c r="AR66" s="267">
        <f t="shared" si="25"/>
        <v>500</v>
      </c>
      <c r="AS66" s="267">
        <f t="shared" si="26"/>
        <v>506</v>
      </c>
      <c r="AT66" s="267">
        <f t="shared" si="27"/>
        <v>549</v>
      </c>
      <c r="AU66" s="267">
        <f t="shared" si="28"/>
        <v>538</v>
      </c>
      <c r="AV66" s="267">
        <f t="shared" si="29"/>
        <v>530</v>
      </c>
      <c r="AW66" s="267">
        <f t="shared" si="30"/>
        <v>521</v>
      </c>
      <c r="AX66" s="267">
        <f t="shared" si="31"/>
        <v>514</v>
      </c>
      <c r="AY66" s="267">
        <f t="shared" si="32"/>
        <v>491</v>
      </c>
      <c r="AZ66" s="267">
        <f t="shared" si="33"/>
        <v>500</v>
      </c>
      <c r="BA66" s="267">
        <f t="shared" si="34"/>
        <v>506</v>
      </c>
      <c r="BB66" s="267">
        <f t="shared" si="35"/>
        <v>549</v>
      </c>
      <c r="BC66" s="267">
        <f t="shared" si="36"/>
        <v>538</v>
      </c>
      <c r="BD66" s="267">
        <f t="shared" si="37"/>
        <v>530</v>
      </c>
      <c r="BE66" s="267">
        <f t="shared" si="38"/>
        <v>521</v>
      </c>
      <c r="BF66" s="267">
        <f t="shared" si="39"/>
        <v>514</v>
      </c>
      <c r="BG66" s="269">
        <f>AY66*VLOOKUP($B66,'Major Cities &amp; Towns'!$A$28:$B$345,2,FALSE)</f>
        <v>491</v>
      </c>
      <c r="BH66" s="269">
        <f>AZ66*VLOOKUP($B66,'Major Cities &amp; Towns'!$A$28:$B$345,2,FALSE)</f>
        <v>500</v>
      </c>
      <c r="BI66" s="269">
        <f>BA66*VLOOKUP($B66,'Major Cities &amp; Towns'!$A$28:$B$345,2,FALSE)</f>
        <v>506</v>
      </c>
      <c r="BJ66" s="269">
        <f>BB66*VLOOKUP($B66,'Major Cities &amp; Towns'!$A$28:$B$345,2,FALSE)</f>
        <v>549</v>
      </c>
      <c r="BK66" s="269">
        <f>BC66*VLOOKUP($B66,'Major Cities &amp; Towns'!$A$28:$B$345,2,FALSE)</f>
        <v>538</v>
      </c>
      <c r="BL66" s="269">
        <f>BD66*VLOOKUP($B66,'Major Cities &amp; Towns'!$A$28:$B$345,2,FALSE)</f>
        <v>530</v>
      </c>
      <c r="BM66" s="269">
        <f>BE66*VLOOKUP($B66,'Major Cities &amp; Towns'!$A$28:$B$345,2,FALSE)</f>
        <v>521</v>
      </c>
      <c r="BN66" s="269">
        <f>BF66*VLOOKUP($B66,'Major Cities &amp; Towns'!$A$28:$B$345,2,FALSE)</f>
        <v>514</v>
      </c>
      <c r="BO66" s="270">
        <f t="shared" si="40"/>
        <v>460</v>
      </c>
      <c r="BP66" s="270">
        <f t="shared" si="41"/>
        <v>460</v>
      </c>
      <c r="BQ66" s="270">
        <f t="shared" si="42"/>
        <v>460</v>
      </c>
      <c r="BR66" s="270">
        <f t="shared" si="43"/>
        <v>523.64109589041095</v>
      </c>
      <c r="BS66" s="270">
        <f t="shared" si="44"/>
        <v>538</v>
      </c>
      <c r="BT66" s="270">
        <f t="shared" si="45"/>
        <v>530</v>
      </c>
      <c r="BU66" s="270">
        <f t="shared" si="46"/>
        <v>521</v>
      </c>
      <c r="BV66" s="270">
        <f t="shared" si="47"/>
        <v>514</v>
      </c>
      <c r="BW66" s="39">
        <f>VLOOKUP($A66,NetAdditions!$A$2:$H$336,6,FALSE)</f>
        <v>632</v>
      </c>
      <c r="BX66" s="39">
        <f>VLOOKUP($A66,NetAdditions!$A$2:$H$336,7,FALSE)</f>
        <v>371</v>
      </c>
      <c r="BY66" s="39">
        <f>IF((VLOOKUP($C66,NetAdditions!$A$2:$H$336,8,FALSE))="",(AVERAGE(VLOOKUP($C66,NetAdditions!$A$2:$H$336,5,FALSE),VLOOKUP($C66,NetAdditions!$A$2:$H$336,6,FALSE),VLOOKUP($C66,NetAdditions!$A$2:$H$336,7,FALSE))),VLOOKUP($C66,NetAdditions!$A$2:$H$336,8,FALSE))</f>
        <v>533.33333333333337</v>
      </c>
      <c r="BZ66" s="39">
        <f t="shared" si="48"/>
        <v>512.1111111111112</v>
      </c>
      <c r="CA66" s="39">
        <f t="shared" si="49"/>
        <v>472.14814814814821</v>
      </c>
      <c r="CB66" s="39">
        <f t="shared" si="50"/>
        <v>505.86419753086426</v>
      </c>
      <c r="CC66" s="39">
        <f t="shared" si="51"/>
        <v>496.70781893004119</v>
      </c>
      <c r="CD66" s="39">
        <f t="shared" si="52"/>
        <v>491.57338820301788</v>
      </c>
      <c r="CE66" s="276">
        <f t="shared" si="5"/>
        <v>1380</v>
      </c>
      <c r="CF66" s="276">
        <f t="shared" si="6"/>
        <v>1443.641095890411</v>
      </c>
      <c r="CG66" s="276">
        <f t="shared" si="7"/>
        <v>1521.641095890411</v>
      </c>
      <c r="CH66" s="276">
        <f t="shared" si="8"/>
        <v>1591.641095890411</v>
      </c>
      <c r="CI66" s="276">
        <f t="shared" si="9"/>
        <v>1589</v>
      </c>
      <c r="CJ66" s="276">
        <f t="shared" si="10"/>
        <v>1565</v>
      </c>
      <c r="CK66" s="276">
        <f t="shared" si="53"/>
        <v>1188.3333333333335</v>
      </c>
      <c r="CL66" s="276">
        <f t="shared" si="54"/>
        <v>1243.135388127854</v>
      </c>
      <c r="CM66" s="276">
        <f t="shared" si="55"/>
        <v>1394.8376712328766</v>
      </c>
      <c r="CN66" s="276">
        <f t="shared" si="56"/>
        <v>1591.641095890411</v>
      </c>
      <c r="CO66" s="276">
        <f t="shared" si="57"/>
        <v>1589</v>
      </c>
      <c r="CP66" s="276">
        <f t="shared" si="58"/>
        <v>1565</v>
      </c>
      <c r="CQ66" s="39">
        <f t="shared" si="12"/>
        <v>1536.3333333333335</v>
      </c>
      <c r="CR66" s="39">
        <f t="shared" si="13"/>
        <v>1416.4444444444446</v>
      </c>
      <c r="CS66" s="277">
        <f t="shared" si="14"/>
        <v>1517.5925925925928</v>
      </c>
      <c r="CT66" s="39">
        <f t="shared" si="15"/>
        <v>1490.1234567901236</v>
      </c>
      <c r="CU66" s="39">
        <f t="shared" si="16"/>
        <v>1474.7201646090537</v>
      </c>
      <c r="CV66" s="39">
        <f t="shared" si="59"/>
        <v>1494.1454046639233</v>
      </c>
      <c r="CW66" s="297">
        <f t="shared" si="18"/>
        <v>1.2928471248246844</v>
      </c>
      <c r="CX66" s="279" t="str">
        <f t="shared" si="60"/>
        <v>Pass</v>
      </c>
      <c r="CY66" s="278">
        <f t="shared" si="19"/>
        <v>1.1394128571768773</v>
      </c>
      <c r="CZ66" s="279" t="str">
        <f t="shared" si="61"/>
        <v>Pass</v>
      </c>
      <c r="DA66" s="278">
        <f t="shared" si="20"/>
        <v>1.0880066002599535</v>
      </c>
      <c r="DB66" s="292" t="str">
        <f t="shared" si="62"/>
        <v>Pass</v>
      </c>
      <c r="DC66" s="299">
        <f t="shared" si="63"/>
        <v>0.93621825965514205</v>
      </c>
      <c r="DD66" s="293" t="str">
        <f t="shared" si="64"/>
        <v>Action Plan</v>
      </c>
      <c r="DE66" s="299">
        <f t="shared" si="65"/>
        <v>0.92808065740028545</v>
      </c>
      <c r="DF66" s="293" t="str">
        <f t="shared" si="66"/>
        <v>Action Plan</v>
      </c>
      <c r="DG66" s="299">
        <f t="shared" si="67"/>
        <v>0.95472549818781038</v>
      </c>
      <c r="DH66" s="293" t="str">
        <f t="shared" si="68"/>
        <v>Pass</v>
      </c>
    </row>
    <row r="67" spans="1:112" ht="15" thickTop="1" thickBot="1">
      <c r="A67" s="38" t="s">
        <v>243</v>
      </c>
      <c r="B67" s="38" t="s">
        <v>244</v>
      </c>
      <c r="C67" s="38" t="s">
        <v>243</v>
      </c>
      <c r="D67" s="38" t="s">
        <v>147</v>
      </c>
      <c r="E67" s="38" t="str">
        <f>VLOOKUP(C67,PoliticalControl!A:K,11,FALSE)</f>
        <v>CON</v>
      </c>
      <c r="F67" s="38" t="str">
        <f>VLOOKUP(C67,UrbanRuralClassification!A:N,13,FALSE)</f>
        <v xml:space="preserve">Mainly Rural (rural including hub towns &gt;=80%) </v>
      </c>
      <c r="G67" s="38" t="str">
        <f>VLOOKUP(C67,UrbanRuralClassification!A:N,14,FALSE)</f>
        <v>Predominantly Rural</v>
      </c>
      <c r="H67" s="258">
        <f>IF(ISBLANK((VLOOKUP($A67,'local-plan-data'!$C$1:$AD$566,27,FALSE)))=TRUE,"",VLOOKUP($A67,'local-plan-data'!$C$1:$AD$566,27,FALSE))</f>
        <v>42696</v>
      </c>
      <c r="I67" s="259">
        <f>VLOOKUP($A67,'local-plan-data'!$C$1:$AD$566,28,FALSE)</f>
        <v>2625</v>
      </c>
      <c r="J67" s="260">
        <f t="shared" si="21"/>
        <v>2625</v>
      </c>
      <c r="K67" s="259">
        <f t="shared" si="69"/>
        <v>2625</v>
      </c>
      <c r="L67" s="259">
        <f t="shared" si="69"/>
        <v>2625</v>
      </c>
      <c r="M67" s="259">
        <f t="shared" si="69"/>
        <v>2625</v>
      </c>
      <c r="N67" s="259">
        <f t="shared" si="69"/>
        <v>2625</v>
      </c>
      <c r="O67" s="259" t="str">
        <f t="shared" si="69"/>
        <v>-</v>
      </c>
      <c r="P67" s="259" t="str">
        <f t="shared" si="69"/>
        <v>-</v>
      </c>
      <c r="Q67" s="259" t="str">
        <f t="shared" si="69"/>
        <v>-</v>
      </c>
      <c r="R67" s="259" t="str">
        <f t="shared" si="69"/>
        <v>-</v>
      </c>
      <c r="S67" s="259">
        <f t="shared" si="70"/>
        <v>1331</v>
      </c>
      <c r="T67" s="259">
        <f t="shared" si="70"/>
        <v>966</v>
      </c>
      <c r="U67" s="259">
        <f t="shared" si="70"/>
        <v>600</v>
      </c>
      <c r="V67" s="259">
        <f t="shared" si="70"/>
        <v>235</v>
      </c>
      <c r="W67" s="259">
        <f t="shared" si="70"/>
        <v>-130</v>
      </c>
      <c r="X67" s="259">
        <f t="shared" si="70"/>
        <v>-495</v>
      </c>
      <c r="Y67" s="259">
        <f t="shared" si="70"/>
        <v>-861</v>
      </c>
      <c r="Z67" s="259">
        <f t="shared" si="70"/>
        <v>-1226</v>
      </c>
      <c r="AA67" s="267">
        <f>(VLOOKUP(A67,Hshldprojections2014!$A$2:$AW$319,40, FALSE)-VLOOKUP(A67,Hshldprojections2014!$A$2:$AW$319,30, FALSE))/10</f>
        <v>2176.8000000000002</v>
      </c>
      <c r="AB67" s="267">
        <f>(VLOOKUP(A67,Hshldprojections2014!$A$2:$AW$319,41, FALSE)-VLOOKUP(A67,Hshldprojections2014!$A$2:$AW$319,31, FALSE))/10</f>
        <v>2161.5</v>
      </c>
      <c r="AC67" s="267">
        <f>(VLOOKUP(A67,Hshldprojections2014!$A$2:$AW$319,42, FALSE)-VLOOKUP(A67,Hshldprojections2014!$A$2:$AW$319,32, FALSE))/10</f>
        <v>2146.1999999999998</v>
      </c>
      <c r="AD67" s="267">
        <f>IF(IndividualLATest!$J$7=2014,(VLOOKUP($A67,Hshldprojections2014!$A$2:$AY$326,43,FALSE)-VLOOKUP($A67,Hshldprojections2014!$A$2:$AY$326,33,FALSE))/10,IF(IndividualLATest!$J$7=2016,(VLOOKUP($A67,Hshldprojections2016!$A$1:$AQ$322,33,FALSE)-VLOOKUP($A67,Hshldprojections2016!$A$1:$AQ$322,23,FALSE))/10,(VLOOKUP($A67,Hshldprojections2018!$A$1:$AQ$327,33,FALSE)-VLOOKUP($A67,Hshldprojections2018!$A$1:$AQ$327,23,FALSE))/10))</f>
        <v>2732</v>
      </c>
      <c r="AE67" s="267">
        <f>IF(IndividualLATest!$J$7=2014,(VLOOKUP($A67,Hshldprojections2014!$A$2:$AY$326,44,FALSE)-VLOOKUP($A67,Hshldprojections2014!$A$2:$AY$326,34,FALSE))/10,IF(IndividualLATest!$J$7=2016,(VLOOKUP($A67,Hshldprojections2016!$A$1:$AQ$322,34,FALSE)-VLOOKUP($A67,Hshldprojections2016!$A$1:$AQ$322,24,FALSE))/10,(VLOOKUP($A67,Hshldprojections2018!$A$1:$AQ$327,34,FALSE)-VLOOKUP($A67,Hshldprojections2018!$A$1:$AQ$327,24,FALSE))/10))</f>
        <v>2671.5</v>
      </c>
      <c r="AF67" s="267">
        <f>IF(IndividualLATest!$J$7=2014,(VLOOKUP($A67,Hshldprojections2014!$A$2:$AY$326,45,FALSE)-VLOOKUP($A67,Hshldprojections2014!$A$2:$AY$326,35,FALSE))/10,IF(IndividualLATest!$J$7=2016,(VLOOKUP($A67,Hshldprojections2016!$A$1:$AQ$322,35,FALSE)-VLOOKUP($A67,Hshldprojections2016!$A$1:$AQ$322,25,FALSE))/10,(VLOOKUP($A67,Hshldprojections2018!$A$1:$AQ$327,35,FALSE)-VLOOKUP($A67,Hshldprojections2018!$A$1:$AQ$327,25,FALSE))/10))</f>
        <v>2614.6999999999998</v>
      </c>
      <c r="AG67" s="267">
        <f>IF(IndividualLATest!$J$7=2014,(VLOOKUP($A67,Hshldprojections2014!$A$2:$AY$326,46,FALSE)-VLOOKUP($A67,Hshldprojections2014!$A$2:$AY$326,36,FALSE))/10,IF(IndividualLATest!$J$7=2016,(VLOOKUP($A67,Hshldprojections2016!$A$1:$AQ$322,36,FALSE)-VLOOKUP($A67,Hshldprojections2016!$A$1:$AQ$322,26,FALSE))/10,(VLOOKUP($A67,Hshldprojections2018!$A$1:$AQ$327,36,FALSE)-VLOOKUP($A67,Hshldprojections2018!$A$1:$AQ$327,26,FALSE))/10))</f>
        <v>2552.1</v>
      </c>
      <c r="AH67" s="267">
        <f>IF(IndividualLATest!$J$7=2014,(VLOOKUP($A67,Hshldprojections2014!$A$2:$AY$326,47,FALSE)-VLOOKUP($A67,Hshldprojections2014!$A$2:$AY$326,37,FALSE))/10,IF(IndividualLATest!$J$7=2016,(VLOOKUP($A67,Hshldprojections2016!$A$1:$AQ$322,37,FALSE)-VLOOKUP($A67,Hshldprojections2016!$A$1:$AQ$322,27,FALSE))/10,(VLOOKUP($A67,Hshldprojections2018!$A$1:$AQ$327,37,FALSE)-VLOOKUP($A67,Hshldprojections2018!$A$1:$AQ$327,27,FALSE))/10))</f>
        <v>2490.5</v>
      </c>
      <c r="AI67" s="268">
        <f>VLOOKUP($A67,AffordabilityRatio!$A$2:$I$321,5,FALSE)</f>
        <v>8.9600000000000009</v>
      </c>
      <c r="AJ67" s="268">
        <f>VLOOKUP($A67,AffordabilityRatio!$A$2:$I$321,6,FALSE)</f>
        <v>9.3000000000000007</v>
      </c>
      <c r="AK67" s="268">
        <f>VLOOKUP($A67,AffordabilityRatio!$A$2:$I$321,7,FALSE)</f>
        <v>9.0500000000000007</v>
      </c>
      <c r="AL67" s="268">
        <f>IF((VLOOKUP($A67,AffordabilityRatio!$A$2:$I$321,8,FALSE))="",AK67,VLOOKUP($A67,AffordabilityRatio!$A$2:$I$321,8,FALSE))</f>
        <v>9.31</v>
      </c>
      <c r="AM67" s="268">
        <f>IF((VLOOKUP($A67,AffordabilityRatio!$A$2:$I$321,9,FALSE))="",AL67,VLOOKUP($A67,AffordabilityRatio!$A$2:$I$321,9,FALSE))</f>
        <v>10.99</v>
      </c>
      <c r="AN67" s="268">
        <f>IF((VLOOKUP($A67,AffordabilityRatio!$A$2:$I$321,9,FALSE))="",AM67,VLOOKUP($A67,AffordabilityRatio!$A$2:$I$321,9,FALSE))</f>
        <v>10.99</v>
      </c>
      <c r="AO67" s="268">
        <f>IF((VLOOKUP($A67,AffordabilityRatio!$A$2:$I$321,9,FALSE))="",AN67,VLOOKUP($A67,AffordabilityRatio!$A$2:$I$321,9,FALSE))</f>
        <v>10.99</v>
      </c>
      <c r="AP67" s="268">
        <f>IF((VLOOKUP($A67,AffordabilityRatio!$A$2:$I$321,9,FALSE))="",AO67,VLOOKUP($A67,AffordabilityRatio!$A$2:$I$321,9,FALSE))</f>
        <v>10.99</v>
      </c>
      <c r="AQ67" s="267">
        <f t="shared" si="24"/>
        <v>2852</v>
      </c>
      <c r="AR67" s="267">
        <f t="shared" si="25"/>
        <v>2877</v>
      </c>
      <c r="AS67" s="267">
        <f t="shared" si="26"/>
        <v>2824</v>
      </c>
      <c r="AT67" s="267">
        <f t="shared" si="27"/>
        <v>3639</v>
      </c>
      <c r="AU67" s="267">
        <f t="shared" si="28"/>
        <v>3839</v>
      </c>
      <c r="AV67" s="267">
        <f t="shared" si="29"/>
        <v>3757</v>
      </c>
      <c r="AW67" s="267">
        <f t="shared" si="30"/>
        <v>3667</v>
      </c>
      <c r="AX67" s="267">
        <f t="shared" si="31"/>
        <v>3579</v>
      </c>
      <c r="AY67" s="267">
        <f t="shared" si="32"/>
        <v>2852</v>
      </c>
      <c r="AZ67" s="267">
        <f t="shared" si="33"/>
        <v>2877</v>
      </c>
      <c r="BA67" s="267">
        <f t="shared" si="34"/>
        <v>2824</v>
      </c>
      <c r="BB67" s="267">
        <f t="shared" si="35"/>
        <v>3639</v>
      </c>
      <c r="BC67" s="267">
        <f t="shared" si="36"/>
        <v>3740.1000000000004</v>
      </c>
      <c r="BD67" s="267">
        <f t="shared" si="37"/>
        <v>3675</v>
      </c>
      <c r="BE67" s="267">
        <f t="shared" si="38"/>
        <v>3667</v>
      </c>
      <c r="BF67" s="267">
        <f t="shared" si="39"/>
        <v>3579</v>
      </c>
      <c r="BG67" s="269">
        <f>AY67*VLOOKUP($B67,'Major Cities &amp; Towns'!$A$28:$B$345,2,FALSE)</f>
        <v>2852</v>
      </c>
      <c r="BH67" s="269">
        <f>AZ67*VLOOKUP($B67,'Major Cities &amp; Towns'!$A$28:$B$345,2,FALSE)</f>
        <v>2877</v>
      </c>
      <c r="BI67" s="269">
        <f>BA67*VLOOKUP($B67,'Major Cities &amp; Towns'!$A$28:$B$345,2,FALSE)</f>
        <v>2824</v>
      </c>
      <c r="BJ67" s="269">
        <f>BB67*VLOOKUP($B67,'Major Cities &amp; Towns'!$A$28:$B$345,2,FALSE)</f>
        <v>3639</v>
      </c>
      <c r="BK67" s="269">
        <f>BC67*VLOOKUP($B67,'Major Cities &amp; Towns'!$A$28:$B$345,2,FALSE)</f>
        <v>3740.1000000000004</v>
      </c>
      <c r="BL67" s="269">
        <f>BD67*VLOOKUP($B67,'Major Cities &amp; Towns'!$A$28:$B$345,2,FALSE)</f>
        <v>3675</v>
      </c>
      <c r="BM67" s="269">
        <f>BE67*VLOOKUP($B67,'Major Cities &amp; Towns'!$A$28:$B$345,2,FALSE)</f>
        <v>3667</v>
      </c>
      <c r="BN67" s="269">
        <f>BF67*VLOOKUP($B67,'Major Cities &amp; Towns'!$A$28:$B$345,2,FALSE)</f>
        <v>3579</v>
      </c>
      <c r="BO67" s="270">
        <f t="shared" si="40"/>
        <v>2625</v>
      </c>
      <c r="BP67" s="270">
        <f t="shared" si="41"/>
        <v>2625</v>
      </c>
      <c r="BQ67" s="270">
        <f t="shared" si="42"/>
        <v>2625</v>
      </c>
      <c r="BR67" s="270">
        <f t="shared" si="43"/>
        <v>2986.1506849315069</v>
      </c>
      <c r="BS67" s="270">
        <f t="shared" si="44"/>
        <v>3839</v>
      </c>
      <c r="BT67" s="270">
        <f t="shared" si="45"/>
        <v>3757</v>
      </c>
      <c r="BU67" s="270">
        <f t="shared" si="46"/>
        <v>3667</v>
      </c>
      <c r="BV67" s="270">
        <f t="shared" si="47"/>
        <v>3579</v>
      </c>
      <c r="BW67" s="39">
        <f>VLOOKUP($A67,NetAdditions!$A$2:$H$336,6,FALSE)</f>
        <v>3109</v>
      </c>
      <c r="BX67" s="39">
        <f>VLOOKUP($A67,NetAdditions!$A$2:$H$336,7,FALSE)</f>
        <v>3037</v>
      </c>
      <c r="BY67" s="39">
        <f>IF((VLOOKUP($C67,NetAdditions!$A$2:$H$336,8,FALSE))="",(AVERAGE(VLOOKUP($C67,NetAdditions!$A$2:$H$336,5,FALSE),VLOOKUP($C67,NetAdditions!$A$2:$H$336,6,FALSE),VLOOKUP($C67,NetAdditions!$A$2:$H$336,7,FALSE))),VLOOKUP($C67,NetAdditions!$A$2:$H$336,8,FALSE))</f>
        <v>2664</v>
      </c>
      <c r="BZ67" s="39">
        <f t="shared" si="48"/>
        <v>2936.6666666666665</v>
      </c>
      <c r="CA67" s="39">
        <f t="shared" si="49"/>
        <v>2879.2222222222222</v>
      </c>
      <c r="CB67" s="39">
        <f t="shared" si="50"/>
        <v>2826.6296296296296</v>
      </c>
      <c r="CC67" s="39">
        <f t="shared" si="51"/>
        <v>2880.8395061728393</v>
      </c>
      <c r="CD67" s="39">
        <f t="shared" si="52"/>
        <v>2862.2304526748972</v>
      </c>
      <c r="CE67" s="276">
        <f t="shared" si="5"/>
        <v>7875</v>
      </c>
      <c r="CF67" s="276">
        <f t="shared" si="6"/>
        <v>8236.1506849315065</v>
      </c>
      <c r="CG67" s="276">
        <f t="shared" si="7"/>
        <v>9450.1506849315065</v>
      </c>
      <c r="CH67" s="276">
        <f t="shared" si="8"/>
        <v>10582.150684931506</v>
      </c>
      <c r="CI67" s="276">
        <f t="shared" si="9"/>
        <v>11263</v>
      </c>
      <c r="CJ67" s="276">
        <f t="shared" si="10"/>
        <v>11003</v>
      </c>
      <c r="CK67" s="276">
        <f t="shared" si="53"/>
        <v>6781.25</v>
      </c>
      <c r="CL67" s="276">
        <f t="shared" si="54"/>
        <v>7092.2408675799088</v>
      </c>
      <c r="CM67" s="276">
        <f t="shared" si="55"/>
        <v>8662.6381278538811</v>
      </c>
      <c r="CN67" s="276">
        <f t="shared" si="56"/>
        <v>10582.150684931506</v>
      </c>
      <c r="CO67" s="276">
        <f t="shared" si="57"/>
        <v>11263</v>
      </c>
      <c r="CP67" s="276">
        <f t="shared" si="58"/>
        <v>11003</v>
      </c>
      <c r="CQ67" s="39">
        <f t="shared" si="12"/>
        <v>8810</v>
      </c>
      <c r="CR67" s="39">
        <f t="shared" si="13"/>
        <v>8637.6666666666661</v>
      </c>
      <c r="CS67" s="277">
        <f t="shared" si="14"/>
        <v>8479.8888888888887</v>
      </c>
      <c r="CT67" s="39">
        <f t="shared" si="15"/>
        <v>8642.5185185185182</v>
      </c>
      <c r="CU67" s="39">
        <f t="shared" si="16"/>
        <v>8586.691358024691</v>
      </c>
      <c r="CV67" s="39">
        <f t="shared" si="59"/>
        <v>8569.699588477366</v>
      </c>
      <c r="CW67" s="297">
        <f t="shared" si="18"/>
        <v>1.2991705069124424</v>
      </c>
      <c r="CX67" s="279" t="str">
        <f t="shared" si="60"/>
        <v>Pass</v>
      </c>
      <c r="CY67" s="278">
        <f t="shared" si="19"/>
        <v>1.2179037384575044</v>
      </c>
      <c r="CZ67" s="279" t="str">
        <f t="shared" si="61"/>
        <v>Pass</v>
      </c>
      <c r="DA67" s="278">
        <f t="shared" si="20"/>
        <v>0.97890374314755457</v>
      </c>
      <c r="DB67" s="292" t="str">
        <f t="shared" si="62"/>
        <v>Pass</v>
      </c>
      <c r="DC67" s="299">
        <f t="shared" si="63"/>
        <v>0.81670718702059919</v>
      </c>
      <c r="DD67" s="293" t="str">
        <f t="shared" si="64"/>
        <v>Buffer and Action Plan</v>
      </c>
      <c r="DE67" s="299">
        <f t="shared" si="65"/>
        <v>0.76238048104631906</v>
      </c>
      <c r="DF67" s="293" t="str">
        <f t="shared" si="66"/>
        <v>Buffer and Action Plan</v>
      </c>
      <c r="DG67" s="299">
        <f t="shared" si="67"/>
        <v>0.77885118499294426</v>
      </c>
      <c r="DH67" s="293" t="str">
        <f t="shared" si="68"/>
        <v>Buffer and Action Plan</v>
      </c>
    </row>
    <row r="68" spans="1:112" ht="15" thickTop="1" thickBot="1">
      <c r="A68" s="38" t="s">
        <v>245</v>
      </c>
      <c r="B68" s="38" t="s">
        <v>246</v>
      </c>
      <c r="C68" s="38" t="s">
        <v>245</v>
      </c>
      <c r="D68" s="38" t="s">
        <v>147</v>
      </c>
      <c r="E68" s="38" t="str">
        <f>VLOOKUP(C68,PoliticalControl!A:K,11,FALSE)</f>
        <v>LD</v>
      </c>
      <c r="F68" s="38" t="str">
        <f>VLOOKUP(C68,UrbanRuralClassification!A:N,13,FALSE)</f>
        <v xml:space="preserve">Mainly Rural (rural including hub towns &gt;=80%) </v>
      </c>
      <c r="G68" s="38" t="str">
        <f>VLOOKUP(C68,UrbanRuralClassification!A:N,14,FALSE)</f>
        <v>Predominantly Rural</v>
      </c>
      <c r="H68" s="258">
        <f>IF(ISBLANK((VLOOKUP($A68,'local-plan-data'!$C$1:$AD$566,27,FALSE)))=TRUE,"",VLOOKUP($A68,'local-plan-data'!$C$1:$AD$566,27,FALSE))</f>
        <v>43315</v>
      </c>
      <c r="I68" s="259">
        <f>VLOOKUP($A68,'local-plan-data'!$C$1:$AD$566,28,FALSE)</f>
        <v>420</v>
      </c>
      <c r="J68" s="260">
        <f t="shared" si="21"/>
        <v>420</v>
      </c>
      <c r="K68" s="259">
        <f t="shared" si="69"/>
        <v>420</v>
      </c>
      <c r="L68" s="259">
        <f t="shared" si="69"/>
        <v>420</v>
      </c>
      <c r="M68" s="259">
        <f t="shared" si="69"/>
        <v>420</v>
      </c>
      <c r="N68" s="259">
        <f t="shared" si="69"/>
        <v>420</v>
      </c>
      <c r="O68" s="259">
        <f t="shared" si="69"/>
        <v>420</v>
      </c>
      <c r="P68" s="259">
        <f t="shared" si="69"/>
        <v>420</v>
      </c>
      <c r="Q68" s="259" t="str">
        <f t="shared" si="69"/>
        <v>-</v>
      </c>
      <c r="R68" s="259" t="str">
        <f t="shared" si="69"/>
        <v>-</v>
      </c>
      <c r="S68" s="259">
        <f t="shared" si="70"/>
        <v>1950</v>
      </c>
      <c r="T68" s="259">
        <f t="shared" si="70"/>
        <v>1585</v>
      </c>
      <c r="U68" s="259">
        <f t="shared" si="70"/>
        <v>1219</v>
      </c>
      <c r="V68" s="259">
        <f t="shared" si="70"/>
        <v>854</v>
      </c>
      <c r="W68" s="259">
        <f t="shared" si="70"/>
        <v>489</v>
      </c>
      <c r="X68" s="259">
        <f t="shared" si="70"/>
        <v>124</v>
      </c>
      <c r="Y68" s="259">
        <f t="shared" si="70"/>
        <v>-242</v>
      </c>
      <c r="Z68" s="259">
        <f t="shared" si="70"/>
        <v>-607</v>
      </c>
      <c r="AA68" s="267">
        <f>(VLOOKUP(A68,Hshldprojections2014!$A$2:$AW$319,40, FALSE)-VLOOKUP(A68,Hshldprojections2014!$A$2:$AW$319,30, FALSE))/10</f>
        <v>304.8</v>
      </c>
      <c r="AB68" s="267">
        <f>(VLOOKUP(A68,Hshldprojections2014!$A$2:$AW$319,41, FALSE)-VLOOKUP(A68,Hshldprojections2014!$A$2:$AW$319,31, FALSE))/10</f>
        <v>305.60000000000002</v>
      </c>
      <c r="AC68" s="267">
        <f>(VLOOKUP(A68,Hshldprojections2014!$A$2:$AW$319,42, FALSE)-VLOOKUP(A68,Hshldprojections2014!$A$2:$AW$319,32, FALSE))/10</f>
        <v>305.8</v>
      </c>
      <c r="AD68" s="267">
        <f>IF(IndividualLATest!$J$7=2014,(VLOOKUP($A68,Hshldprojections2014!$A$2:$AY$326,43,FALSE)-VLOOKUP($A68,Hshldprojections2014!$A$2:$AY$326,33,FALSE))/10,IF(IndividualLATest!$J$7=2016,(VLOOKUP($A68,Hshldprojections2016!$A$1:$AQ$322,33,FALSE)-VLOOKUP($A68,Hshldprojections2016!$A$1:$AQ$322,23,FALSE))/10,(VLOOKUP($A68,Hshldprojections2018!$A$1:$AQ$327,33,FALSE)-VLOOKUP($A68,Hshldprojections2018!$A$1:$AQ$327,23,FALSE))/10))</f>
        <v>585.9</v>
      </c>
      <c r="AE68" s="267">
        <f>IF(IndividualLATest!$J$7=2014,(VLOOKUP($A68,Hshldprojections2014!$A$2:$AY$326,44,FALSE)-VLOOKUP($A68,Hshldprojections2014!$A$2:$AY$326,34,FALSE))/10,IF(IndividualLATest!$J$7=2016,(VLOOKUP($A68,Hshldprojections2016!$A$1:$AQ$322,34,FALSE)-VLOOKUP($A68,Hshldprojections2016!$A$1:$AQ$322,24,FALSE))/10,(VLOOKUP($A68,Hshldprojections2018!$A$1:$AQ$327,34,FALSE)-VLOOKUP($A68,Hshldprojections2018!$A$1:$AQ$327,24,FALSE))/10))</f>
        <v>573.6</v>
      </c>
      <c r="AF68" s="267">
        <f>IF(IndividualLATest!$J$7=2014,(VLOOKUP($A68,Hshldprojections2014!$A$2:$AY$326,45,FALSE)-VLOOKUP($A68,Hshldprojections2014!$A$2:$AY$326,35,FALSE))/10,IF(IndividualLATest!$J$7=2016,(VLOOKUP($A68,Hshldprojections2016!$A$1:$AQ$322,35,FALSE)-VLOOKUP($A68,Hshldprojections2016!$A$1:$AQ$322,25,FALSE))/10,(VLOOKUP($A68,Hshldprojections2018!$A$1:$AQ$327,35,FALSE)-VLOOKUP($A68,Hshldprojections2018!$A$1:$AQ$327,25,FALSE))/10))</f>
        <v>557.6</v>
      </c>
      <c r="AG68" s="267">
        <f>IF(IndividualLATest!$J$7=2014,(VLOOKUP($A68,Hshldprojections2014!$A$2:$AY$326,46,FALSE)-VLOOKUP($A68,Hshldprojections2014!$A$2:$AY$326,36,FALSE))/10,IF(IndividualLATest!$J$7=2016,(VLOOKUP($A68,Hshldprojections2016!$A$1:$AQ$322,36,FALSE)-VLOOKUP($A68,Hshldprojections2016!$A$1:$AQ$322,26,FALSE))/10,(VLOOKUP($A68,Hshldprojections2018!$A$1:$AQ$327,36,FALSE)-VLOOKUP($A68,Hshldprojections2018!$A$1:$AQ$327,26,FALSE))/10))</f>
        <v>540.6</v>
      </c>
      <c r="AH68" s="267">
        <f>IF(IndividualLATest!$J$7=2014,(VLOOKUP($A68,Hshldprojections2014!$A$2:$AY$326,47,FALSE)-VLOOKUP($A68,Hshldprojections2014!$A$2:$AY$326,37,FALSE))/10,IF(IndividualLATest!$J$7=2016,(VLOOKUP($A68,Hshldprojections2016!$A$1:$AQ$322,37,FALSE)-VLOOKUP($A68,Hshldprojections2016!$A$1:$AQ$322,27,FALSE))/10,(VLOOKUP($A68,Hshldprojections2018!$A$1:$AQ$327,37,FALSE)-VLOOKUP($A68,Hshldprojections2018!$A$1:$AQ$327,27,FALSE))/10))</f>
        <v>525.5</v>
      </c>
      <c r="AI68" s="268">
        <f>VLOOKUP($A68,AffordabilityRatio!$A$2:$I$321,5,FALSE)</f>
        <v>14</v>
      </c>
      <c r="AJ68" s="268">
        <f>VLOOKUP($A68,AffordabilityRatio!$A$2:$I$321,6,FALSE)</f>
        <v>13.34</v>
      </c>
      <c r="AK68" s="268">
        <f>VLOOKUP($A68,AffordabilityRatio!$A$2:$I$321,7,FALSE)</f>
        <v>13.38</v>
      </c>
      <c r="AL68" s="268">
        <f>IF((VLOOKUP($A68,AffordabilityRatio!$A$2:$I$321,8,FALSE))="",AK68,VLOOKUP($A68,AffordabilityRatio!$A$2:$I$321,8,FALSE))</f>
        <v>14.01</v>
      </c>
      <c r="AM68" s="268">
        <f>IF((VLOOKUP($A68,AffordabilityRatio!$A$2:$I$321,9,FALSE))="",AL68,VLOOKUP($A68,AffordabilityRatio!$A$2:$I$321,9,FALSE))</f>
        <v>15.75</v>
      </c>
      <c r="AN68" s="268">
        <f>IF((VLOOKUP($A68,AffordabilityRatio!$A$2:$I$321,9,FALSE))="",AM68,VLOOKUP($A68,AffordabilityRatio!$A$2:$I$321,9,FALSE))</f>
        <v>15.75</v>
      </c>
      <c r="AO68" s="268">
        <f>IF((VLOOKUP($A68,AffordabilityRatio!$A$2:$I$321,9,FALSE))="",AN68,VLOOKUP($A68,AffordabilityRatio!$A$2:$I$321,9,FALSE))</f>
        <v>15.75</v>
      </c>
      <c r="AP68" s="268">
        <f>IF((VLOOKUP($A68,AffordabilityRatio!$A$2:$I$321,9,FALSE))="",AO68,VLOOKUP($A68,AffordabilityRatio!$A$2:$I$321,9,FALSE))</f>
        <v>15.75</v>
      </c>
      <c r="AQ68" s="267">
        <f t="shared" si="24"/>
        <v>495</v>
      </c>
      <c r="AR68" s="267">
        <f t="shared" si="25"/>
        <v>484</v>
      </c>
      <c r="AS68" s="267">
        <f t="shared" si="26"/>
        <v>485</v>
      </c>
      <c r="AT68" s="267">
        <f t="shared" si="27"/>
        <v>952</v>
      </c>
      <c r="AU68" s="267">
        <f t="shared" si="28"/>
        <v>995</v>
      </c>
      <c r="AV68" s="267">
        <f t="shared" si="29"/>
        <v>967</v>
      </c>
      <c r="AW68" s="267">
        <f t="shared" si="30"/>
        <v>938</v>
      </c>
      <c r="AX68" s="267">
        <f t="shared" si="31"/>
        <v>911</v>
      </c>
      <c r="AY68" s="267">
        <f t="shared" si="32"/>
        <v>495</v>
      </c>
      <c r="AZ68" s="267">
        <f t="shared" si="33"/>
        <v>484</v>
      </c>
      <c r="BA68" s="267">
        <f t="shared" si="34"/>
        <v>485</v>
      </c>
      <c r="BB68" s="267">
        <f t="shared" si="35"/>
        <v>588</v>
      </c>
      <c r="BC68" s="267">
        <f t="shared" si="36"/>
        <v>588</v>
      </c>
      <c r="BD68" s="267">
        <f t="shared" si="37"/>
        <v>588</v>
      </c>
      <c r="BE68" s="267">
        <f t="shared" si="38"/>
        <v>756.84</v>
      </c>
      <c r="BF68" s="267">
        <f t="shared" si="39"/>
        <v>735.7</v>
      </c>
      <c r="BG68" s="269">
        <f>AY68*VLOOKUP($B68,'Major Cities &amp; Towns'!$A$28:$B$345,2,FALSE)</f>
        <v>495</v>
      </c>
      <c r="BH68" s="269">
        <f>AZ68*VLOOKUP($B68,'Major Cities &amp; Towns'!$A$28:$B$345,2,FALSE)</f>
        <v>484</v>
      </c>
      <c r="BI68" s="269">
        <f>BA68*VLOOKUP($B68,'Major Cities &amp; Towns'!$A$28:$B$345,2,FALSE)</f>
        <v>485</v>
      </c>
      <c r="BJ68" s="269">
        <f>BB68*VLOOKUP($B68,'Major Cities &amp; Towns'!$A$28:$B$345,2,FALSE)</f>
        <v>588</v>
      </c>
      <c r="BK68" s="269">
        <f>BC68*VLOOKUP($B68,'Major Cities &amp; Towns'!$A$28:$B$345,2,FALSE)</f>
        <v>588</v>
      </c>
      <c r="BL68" s="269">
        <f>BD68*VLOOKUP($B68,'Major Cities &amp; Towns'!$A$28:$B$345,2,FALSE)</f>
        <v>588</v>
      </c>
      <c r="BM68" s="269">
        <f>BE68*VLOOKUP($B68,'Major Cities &amp; Towns'!$A$28:$B$345,2,FALSE)</f>
        <v>756.84</v>
      </c>
      <c r="BN68" s="269">
        <f>BF68*VLOOKUP($B68,'Major Cities &amp; Towns'!$A$28:$B$345,2,FALSE)</f>
        <v>735.7</v>
      </c>
      <c r="BO68" s="270">
        <f t="shared" si="40"/>
        <v>420</v>
      </c>
      <c r="BP68" s="270">
        <f t="shared" si="41"/>
        <v>420</v>
      </c>
      <c r="BQ68" s="270">
        <f t="shared" si="42"/>
        <v>420</v>
      </c>
      <c r="BR68" s="270">
        <f t="shared" si="43"/>
        <v>420</v>
      </c>
      <c r="BS68" s="270">
        <f t="shared" si="44"/>
        <v>420</v>
      </c>
      <c r="BT68" s="270">
        <f t="shared" si="45"/>
        <v>781.16986301369866</v>
      </c>
      <c r="BU68" s="270">
        <f t="shared" si="46"/>
        <v>938</v>
      </c>
      <c r="BV68" s="270">
        <f t="shared" si="47"/>
        <v>911</v>
      </c>
      <c r="BW68" s="39">
        <f>VLOOKUP($A68,NetAdditions!$A$2:$H$336,6,FALSE)</f>
        <v>806</v>
      </c>
      <c r="BX68" s="39">
        <f>VLOOKUP($A68,NetAdditions!$A$2:$H$336,7,FALSE)</f>
        <v>312</v>
      </c>
      <c r="BY68" s="39">
        <f>IF((VLOOKUP($C68,NetAdditions!$A$2:$H$336,8,FALSE))="",(AVERAGE(VLOOKUP($C68,NetAdditions!$A$2:$H$336,5,FALSE),VLOOKUP($C68,NetAdditions!$A$2:$H$336,6,FALSE),VLOOKUP($C68,NetAdditions!$A$2:$H$336,7,FALSE))),VLOOKUP($C68,NetAdditions!$A$2:$H$336,8,FALSE))</f>
        <v>378</v>
      </c>
      <c r="BZ68" s="39">
        <f t="shared" si="48"/>
        <v>498.66666666666669</v>
      </c>
      <c r="CA68" s="39">
        <f t="shared" si="49"/>
        <v>396.22222222222223</v>
      </c>
      <c r="CB68" s="39">
        <f t="shared" si="50"/>
        <v>424.2962962962963</v>
      </c>
      <c r="CC68" s="39">
        <f t="shared" si="51"/>
        <v>439.72839506172841</v>
      </c>
      <c r="CD68" s="39">
        <f t="shared" si="52"/>
        <v>420.08230452674894</v>
      </c>
      <c r="CE68" s="276">
        <f t="shared" si="5"/>
        <v>1260</v>
      </c>
      <c r="CF68" s="276">
        <f t="shared" si="6"/>
        <v>1260</v>
      </c>
      <c r="CG68" s="276">
        <f t="shared" si="7"/>
        <v>1260</v>
      </c>
      <c r="CH68" s="276">
        <f t="shared" si="8"/>
        <v>1621.1698630136987</v>
      </c>
      <c r="CI68" s="276">
        <f t="shared" si="9"/>
        <v>2139.1698630136989</v>
      </c>
      <c r="CJ68" s="276">
        <f t="shared" si="10"/>
        <v>2630.1698630136989</v>
      </c>
      <c r="CK68" s="276">
        <f t="shared" si="53"/>
        <v>1085</v>
      </c>
      <c r="CL68" s="276">
        <f t="shared" si="54"/>
        <v>1085</v>
      </c>
      <c r="CM68" s="276">
        <f t="shared" si="55"/>
        <v>1155</v>
      </c>
      <c r="CN68" s="276">
        <f t="shared" si="56"/>
        <v>1621.1698630136987</v>
      </c>
      <c r="CO68" s="276">
        <f t="shared" si="57"/>
        <v>2139.1698630136989</v>
      </c>
      <c r="CP68" s="276">
        <f t="shared" si="58"/>
        <v>2630.1698630136989</v>
      </c>
      <c r="CQ68" s="39">
        <f t="shared" si="12"/>
        <v>1496</v>
      </c>
      <c r="CR68" s="39">
        <f t="shared" si="13"/>
        <v>1188.6666666666667</v>
      </c>
      <c r="CS68" s="277">
        <f t="shared" si="14"/>
        <v>1272.8888888888889</v>
      </c>
      <c r="CT68" s="39">
        <f t="shared" si="15"/>
        <v>1319.1851851851852</v>
      </c>
      <c r="CU68" s="39">
        <f t="shared" si="16"/>
        <v>1260.2469135802469</v>
      </c>
      <c r="CV68" s="39">
        <f t="shared" si="59"/>
        <v>1284.1069958847736</v>
      </c>
      <c r="CW68" s="297">
        <f t="shared" si="18"/>
        <v>1.3788018433179723</v>
      </c>
      <c r="CX68" s="279" t="str">
        <f t="shared" si="60"/>
        <v>Pass</v>
      </c>
      <c r="CY68" s="278">
        <f t="shared" si="19"/>
        <v>1.0955453149001537</v>
      </c>
      <c r="CZ68" s="279" t="str">
        <f t="shared" si="61"/>
        <v>Pass</v>
      </c>
      <c r="DA68" s="278">
        <f t="shared" si="20"/>
        <v>1.1020683020683022</v>
      </c>
      <c r="DB68" s="292" t="str">
        <f t="shared" si="62"/>
        <v>Pass</v>
      </c>
      <c r="DC68" s="299">
        <f t="shared" si="63"/>
        <v>0.81372422179922932</v>
      </c>
      <c r="DD68" s="293" t="str">
        <f t="shared" si="64"/>
        <v>Buffer and Action Plan</v>
      </c>
      <c r="DE68" s="299">
        <f t="shared" si="65"/>
        <v>0.58912895856002268</v>
      </c>
      <c r="DF68" s="293" t="str">
        <f t="shared" si="66"/>
        <v>Presumption</v>
      </c>
      <c r="DG68" s="299">
        <f t="shared" si="67"/>
        <v>0.48822207795104888</v>
      </c>
      <c r="DH68" s="293" t="str">
        <f t="shared" si="68"/>
        <v>Presumption</v>
      </c>
    </row>
    <row r="69" spans="1:112" ht="15" thickTop="1" thickBot="1">
      <c r="A69" s="38" t="s">
        <v>247</v>
      </c>
      <c r="B69" s="38" t="s">
        <v>248</v>
      </c>
      <c r="C69" s="38" t="s">
        <v>247</v>
      </c>
      <c r="D69" s="38" t="s">
        <v>154</v>
      </c>
      <c r="E69" s="38" t="str">
        <f>VLOOKUP(C69,PoliticalControl!A:K,11,FALSE)</f>
        <v>LAB</v>
      </c>
      <c r="F69" s="38" t="str">
        <f>VLOOKUP(C69,UrbanRuralClassification!A:N,13,FALSE)</f>
        <v>Urban with City and Town</v>
      </c>
      <c r="G69" s="38" t="str">
        <f>VLOOKUP(C69,UrbanRuralClassification!A:N,14,FALSE)</f>
        <v>Predominantly Urban</v>
      </c>
      <c r="H69" s="258">
        <f>IF(ISBLANK((VLOOKUP($A69,'local-plan-data'!$C$1:$AD$566,27,FALSE)))=TRUE,"",VLOOKUP($A69,'local-plan-data'!$C$1:$AD$566,27,FALSE))</f>
        <v>43075</v>
      </c>
      <c r="I69" s="259">
        <f>VLOOKUP($A69,'local-plan-data'!$C$1:$AD$566,28,FALSE)</f>
        <v>1230</v>
      </c>
      <c r="J69" s="260">
        <f t="shared" si="21"/>
        <v>1230</v>
      </c>
      <c r="K69" s="259">
        <f t="shared" si="69"/>
        <v>1230</v>
      </c>
      <c r="L69" s="259">
        <f t="shared" si="69"/>
        <v>1230</v>
      </c>
      <c r="M69" s="259">
        <f t="shared" si="69"/>
        <v>1230</v>
      </c>
      <c r="N69" s="259">
        <f t="shared" si="69"/>
        <v>1230</v>
      </c>
      <c r="O69" s="259">
        <f t="shared" si="69"/>
        <v>1230</v>
      </c>
      <c r="P69" s="259" t="str">
        <f t="shared" si="69"/>
        <v>-</v>
      </c>
      <c r="Q69" s="259" t="str">
        <f t="shared" si="69"/>
        <v>-</v>
      </c>
      <c r="R69" s="259" t="str">
        <f t="shared" si="69"/>
        <v>-</v>
      </c>
      <c r="S69" s="259">
        <f t="shared" si="70"/>
        <v>1710</v>
      </c>
      <c r="T69" s="259">
        <f t="shared" si="70"/>
        <v>1345</v>
      </c>
      <c r="U69" s="259">
        <f t="shared" si="70"/>
        <v>979</v>
      </c>
      <c r="V69" s="259">
        <f t="shared" si="70"/>
        <v>614</v>
      </c>
      <c r="W69" s="259">
        <f t="shared" si="70"/>
        <v>249</v>
      </c>
      <c r="X69" s="259">
        <f t="shared" si="70"/>
        <v>-116</v>
      </c>
      <c r="Y69" s="259">
        <f t="shared" si="70"/>
        <v>-482</v>
      </c>
      <c r="Z69" s="259">
        <f t="shared" si="70"/>
        <v>-847</v>
      </c>
      <c r="AA69" s="267">
        <f>(VLOOKUP(A69,Hshldprojections2014!$A$2:$AW$319,40, FALSE)-VLOOKUP(A69,Hshldprojections2014!$A$2:$AW$319,30, FALSE))/10</f>
        <v>2123.1</v>
      </c>
      <c r="AB69" s="267">
        <f>(VLOOKUP(A69,Hshldprojections2014!$A$2:$AW$319,41, FALSE)-VLOOKUP(A69,Hshldprojections2014!$A$2:$AW$319,31, FALSE))/10</f>
        <v>2108.3000000000002</v>
      </c>
      <c r="AC69" s="267">
        <f>(VLOOKUP(A69,Hshldprojections2014!$A$2:$AW$319,42, FALSE)-VLOOKUP(A69,Hshldprojections2014!$A$2:$AW$319,32, FALSE))/10</f>
        <v>2102.6</v>
      </c>
      <c r="AD69" s="267">
        <f>IF(IndividualLATest!$J$7=2014,(VLOOKUP($A69,Hshldprojections2014!$A$2:$AY$326,43,FALSE)-VLOOKUP($A69,Hshldprojections2014!$A$2:$AY$326,33,FALSE))/10,IF(IndividualLATest!$J$7=2016,(VLOOKUP($A69,Hshldprojections2016!$A$1:$AQ$322,33,FALSE)-VLOOKUP($A69,Hshldprojections2016!$A$1:$AQ$322,23,FALSE))/10,(VLOOKUP($A69,Hshldprojections2018!$A$1:$AQ$327,33,FALSE)-VLOOKUP($A69,Hshldprojections2018!$A$1:$AQ$327,23,FALSE))/10))</f>
        <v>1753.9</v>
      </c>
      <c r="AE69" s="267">
        <f>IF(IndividualLATest!$J$7=2014,(VLOOKUP($A69,Hshldprojections2014!$A$2:$AY$326,44,FALSE)-VLOOKUP($A69,Hshldprojections2014!$A$2:$AY$326,34,FALSE))/10,IF(IndividualLATest!$J$7=2016,(VLOOKUP($A69,Hshldprojections2016!$A$1:$AQ$322,34,FALSE)-VLOOKUP($A69,Hshldprojections2016!$A$1:$AQ$322,24,FALSE))/10,(VLOOKUP($A69,Hshldprojections2018!$A$1:$AQ$327,34,FALSE)-VLOOKUP($A69,Hshldprojections2018!$A$1:$AQ$327,24,FALSE))/10))</f>
        <v>1735.1</v>
      </c>
      <c r="AF69" s="267">
        <f>IF(IndividualLATest!$J$7=2014,(VLOOKUP($A69,Hshldprojections2014!$A$2:$AY$326,45,FALSE)-VLOOKUP($A69,Hshldprojections2014!$A$2:$AY$326,35,FALSE))/10,IF(IndividualLATest!$J$7=2016,(VLOOKUP($A69,Hshldprojections2016!$A$1:$AQ$322,35,FALSE)-VLOOKUP($A69,Hshldprojections2016!$A$1:$AQ$322,25,FALSE))/10,(VLOOKUP($A69,Hshldprojections2018!$A$1:$AQ$327,35,FALSE)-VLOOKUP($A69,Hshldprojections2018!$A$1:$AQ$327,25,FALSE))/10))</f>
        <v>1719.2</v>
      </c>
      <c r="AG69" s="267">
        <f>IF(IndividualLATest!$J$7=2014,(VLOOKUP($A69,Hshldprojections2014!$A$2:$AY$326,46,FALSE)-VLOOKUP($A69,Hshldprojections2014!$A$2:$AY$326,36,FALSE))/10,IF(IndividualLATest!$J$7=2016,(VLOOKUP($A69,Hshldprojections2016!$A$1:$AQ$322,36,FALSE)-VLOOKUP($A69,Hshldprojections2016!$A$1:$AQ$322,26,FALSE))/10,(VLOOKUP($A69,Hshldprojections2018!$A$1:$AQ$327,36,FALSE)-VLOOKUP($A69,Hshldprojections2018!$A$1:$AQ$327,26,FALSE))/10))</f>
        <v>1696.7</v>
      </c>
      <c r="AH69" s="267">
        <f>IF(IndividualLATest!$J$7=2014,(VLOOKUP($A69,Hshldprojections2014!$A$2:$AY$326,47,FALSE)-VLOOKUP($A69,Hshldprojections2014!$A$2:$AY$326,37,FALSE))/10,IF(IndividualLATest!$J$7=2016,(VLOOKUP($A69,Hshldprojections2016!$A$1:$AQ$322,37,FALSE)-VLOOKUP($A69,Hshldprojections2016!$A$1:$AQ$322,27,FALSE))/10,(VLOOKUP($A69,Hshldprojections2018!$A$1:$AQ$327,37,FALSE)-VLOOKUP($A69,Hshldprojections2018!$A$1:$AQ$327,27,FALSE))/10))</f>
        <v>1679.7</v>
      </c>
      <c r="AI69" s="268">
        <f>VLOOKUP($A69,AffordabilityRatio!$A$2:$I$321,5,FALSE)</f>
        <v>5.52</v>
      </c>
      <c r="AJ69" s="268">
        <f>VLOOKUP($A69,AffordabilityRatio!$A$2:$I$321,6,FALSE)</f>
        <v>5.66</v>
      </c>
      <c r="AK69" s="268">
        <f>VLOOKUP($A69,AffordabilityRatio!$A$2:$I$321,7,FALSE)</f>
        <v>6.08</v>
      </c>
      <c r="AL69" s="268">
        <f>IF((VLOOKUP($A69,AffordabilityRatio!$A$2:$I$321,8,FALSE))="",AK69,VLOOKUP($A69,AffordabilityRatio!$A$2:$I$321,8,FALSE))</f>
        <v>5.69</v>
      </c>
      <c r="AM69" s="268">
        <f>IF((VLOOKUP($A69,AffordabilityRatio!$A$2:$I$321,9,FALSE))="",AL69,VLOOKUP($A69,AffordabilityRatio!$A$2:$I$321,9,FALSE))</f>
        <v>5.96</v>
      </c>
      <c r="AN69" s="268">
        <f>IF((VLOOKUP($A69,AffordabilityRatio!$A$2:$I$321,9,FALSE))="",AM69,VLOOKUP($A69,AffordabilityRatio!$A$2:$I$321,9,FALSE))</f>
        <v>5.96</v>
      </c>
      <c r="AO69" s="268">
        <f>IF((VLOOKUP($A69,AffordabilityRatio!$A$2:$I$321,9,FALSE))="",AN69,VLOOKUP($A69,AffordabilityRatio!$A$2:$I$321,9,FALSE))</f>
        <v>5.96</v>
      </c>
      <c r="AP69" s="268">
        <f>IF((VLOOKUP($A69,AffordabilityRatio!$A$2:$I$321,9,FALSE))="",AO69,VLOOKUP($A69,AffordabilityRatio!$A$2:$I$321,9,FALSE))</f>
        <v>5.96</v>
      </c>
      <c r="AQ69" s="267">
        <f t="shared" si="24"/>
        <v>2325</v>
      </c>
      <c r="AR69" s="267">
        <f t="shared" si="25"/>
        <v>2327</v>
      </c>
      <c r="AS69" s="267">
        <f t="shared" si="26"/>
        <v>2376</v>
      </c>
      <c r="AT69" s="267">
        <f t="shared" si="27"/>
        <v>1939</v>
      </c>
      <c r="AU69" s="267">
        <f t="shared" si="28"/>
        <v>1948</v>
      </c>
      <c r="AV69" s="267">
        <f t="shared" si="29"/>
        <v>1930</v>
      </c>
      <c r="AW69" s="267">
        <f t="shared" si="30"/>
        <v>1905</v>
      </c>
      <c r="AX69" s="267">
        <f t="shared" si="31"/>
        <v>1885</v>
      </c>
      <c r="AY69" s="267">
        <f t="shared" si="32"/>
        <v>1722</v>
      </c>
      <c r="AZ69" s="267">
        <f t="shared" si="33"/>
        <v>1722</v>
      </c>
      <c r="BA69" s="267">
        <f t="shared" si="34"/>
        <v>1722</v>
      </c>
      <c r="BB69" s="267">
        <f t="shared" si="35"/>
        <v>1722</v>
      </c>
      <c r="BC69" s="267">
        <f t="shared" si="36"/>
        <v>1722</v>
      </c>
      <c r="BD69" s="267">
        <f t="shared" si="37"/>
        <v>1930</v>
      </c>
      <c r="BE69" s="267">
        <f t="shared" si="38"/>
        <v>1905</v>
      </c>
      <c r="BF69" s="267">
        <f t="shared" si="39"/>
        <v>1885</v>
      </c>
      <c r="BG69" s="269">
        <f>AY69*VLOOKUP($B69,'Major Cities &amp; Towns'!$A$28:$B$345,2,FALSE)</f>
        <v>2324.7000000000003</v>
      </c>
      <c r="BH69" s="269">
        <f>AZ69*VLOOKUP($B69,'Major Cities &amp; Towns'!$A$28:$B$345,2,FALSE)</f>
        <v>2324.7000000000003</v>
      </c>
      <c r="BI69" s="269">
        <f>BA69*VLOOKUP($B69,'Major Cities &amp; Towns'!$A$28:$B$345,2,FALSE)</f>
        <v>2324.7000000000003</v>
      </c>
      <c r="BJ69" s="269">
        <f>BB69*VLOOKUP($B69,'Major Cities &amp; Towns'!$A$28:$B$345,2,FALSE)</f>
        <v>2324.7000000000003</v>
      </c>
      <c r="BK69" s="269">
        <f>BC69*VLOOKUP($B69,'Major Cities &amp; Towns'!$A$28:$B$345,2,FALSE)</f>
        <v>2324.7000000000003</v>
      </c>
      <c r="BL69" s="269">
        <f>BD69*VLOOKUP($B69,'Major Cities &amp; Towns'!$A$28:$B$345,2,FALSE)</f>
        <v>2605.5</v>
      </c>
      <c r="BM69" s="269">
        <f>BE69*VLOOKUP($B69,'Major Cities &amp; Towns'!$A$28:$B$345,2,FALSE)</f>
        <v>2571.75</v>
      </c>
      <c r="BN69" s="269">
        <f>BF69*VLOOKUP($B69,'Major Cities &amp; Towns'!$A$28:$B$345,2,FALSE)</f>
        <v>2544.75</v>
      </c>
      <c r="BO69" s="270">
        <f t="shared" si="40"/>
        <v>1230</v>
      </c>
      <c r="BP69" s="270">
        <f t="shared" si="41"/>
        <v>1230</v>
      </c>
      <c r="BQ69" s="270">
        <f t="shared" si="42"/>
        <v>1230</v>
      </c>
      <c r="BR69" s="270">
        <f t="shared" si="43"/>
        <v>1230</v>
      </c>
      <c r="BS69" s="270">
        <f t="shared" si="44"/>
        <v>1458.186301369863</v>
      </c>
      <c r="BT69" s="270">
        <f t="shared" si="45"/>
        <v>1930</v>
      </c>
      <c r="BU69" s="270">
        <f t="shared" si="46"/>
        <v>1905</v>
      </c>
      <c r="BV69" s="270">
        <f t="shared" si="47"/>
        <v>1885</v>
      </c>
      <c r="BW69" s="39">
        <f>VLOOKUP($A69,NetAdditions!$A$2:$H$336,6,FALSE)</f>
        <v>1499</v>
      </c>
      <c r="BX69" s="39">
        <f>VLOOKUP($A69,NetAdditions!$A$2:$H$336,7,FALSE)</f>
        <v>2241</v>
      </c>
      <c r="BY69" s="39">
        <f>IF((VLOOKUP($C69,NetAdditions!$A$2:$H$336,8,FALSE))="",(AVERAGE(VLOOKUP($C69,NetAdditions!$A$2:$H$336,5,FALSE),VLOOKUP($C69,NetAdditions!$A$2:$H$336,6,FALSE),VLOOKUP($C69,NetAdditions!$A$2:$H$336,7,FALSE))),VLOOKUP($C69,NetAdditions!$A$2:$H$336,8,FALSE))</f>
        <v>589</v>
      </c>
      <c r="BZ69" s="39">
        <f t="shared" si="48"/>
        <v>1443</v>
      </c>
      <c r="CA69" s="39">
        <f t="shared" si="49"/>
        <v>1424.3333333333333</v>
      </c>
      <c r="CB69" s="39">
        <f t="shared" si="50"/>
        <v>1152.1111111111111</v>
      </c>
      <c r="CC69" s="39">
        <f t="shared" si="51"/>
        <v>1339.8148148148148</v>
      </c>
      <c r="CD69" s="39">
        <f t="shared" si="52"/>
        <v>1305.4197530864196</v>
      </c>
      <c r="CE69" s="276">
        <f t="shared" ref="CE69:CE132" si="71">SUM(BO69:BQ69)</f>
        <v>3690</v>
      </c>
      <c r="CF69" s="276">
        <f t="shared" ref="CF69:CF132" si="72">SUM(BP69:BR69)</f>
        <v>3690</v>
      </c>
      <c r="CG69" s="276">
        <f t="shared" ref="CG69:CG132" si="73">SUM(BQ69:BS69)</f>
        <v>3918.186301369863</v>
      </c>
      <c r="CH69" s="276">
        <f t="shared" ref="CH69:CH132" si="74">SUM(BR69:BT69)</f>
        <v>4618.186301369863</v>
      </c>
      <c r="CI69" s="276">
        <f t="shared" ref="CI69:CI132" si="75">SUM(BS69:BU69)</f>
        <v>5293.186301369863</v>
      </c>
      <c r="CJ69" s="276">
        <f t="shared" ref="CJ69:CJ132" si="76">SUM(BT69:BV69)</f>
        <v>5720</v>
      </c>
      <c r="CK69" s="276">
        <f t="shared" si="53"/>
        <v>3177.5</v>
      </c>
      <c r="CL69" s="276">
        <f t="shared" si="54"/>
        <v>3177.5</v>
      </c>
      <c r="CM69" s="276">
        <f t="shared" si="55"/>
        <v>3591.6707762557076</v>
      </c>
      <c r="CN69" s="276">
        <f t="shared" si="56"/>
        <v>4618.186301369863</v>
      </c>
      <c r="CO69" s="276">
        <f t="shared" si="57"/>
        <v>5293.186301369863</v>
      </c>
      <c r="CP69" s="276">
        <f t="shared" si="58"/>
        <v>5720</v>
      </c>
      <c r="CQ69" s="39">
        <f t="shared" ref="CQ69:CQ132" si="77">SUM(BW69:BY69)</f>
        <v>4329</v>
      </c>
      <c r="CR69" s="39">
        <f t="shared" ref="CR69:CR132" si="78">SUM(BX69:BZ69)</f>
        <v>4273</v>
      </c>
      <c r="CS69" s="277">
        <f t="shared" ref="CS69:CS132" si="79">SUM(BY69:CA69)</f>
        <v>3456.333333333333</v>
      </c>
      <c r="CT69" s="39">
        <f t="shared" ref="CT69:CT132" si="80">SUM(BZ69:CB69)</f>
        <v>4019.4444444444443</v>
      </c>
      <c r="CU69" s="39">
        <f t="shared" ref="CU69:CU132" si="81">SUM(CA69:CC69)</f>
        <v>3916.2592592592591</v>
      </c>
      <c r="CV69" s="39">
        <f t="shared" si="59"/>
        <v>3797.3456790123455</v>
      </c>
      <c r="CW69" s="297">
        <f t="shared" ref="CW69:CW132" si="82">IFERROR(CQ69/CK69,"-")</f>
        <v>1.3623918174665617</v>
      </c>
      <c r="CX69" s="279" t="str">
        <f t="shared" si="60"/>
        <v>Pass</v>
      </c>
      <c r="CY69" s="278">
        <f t="shared" ref="CY69:CY132" si="83">IFERROR(CR69/CL69,"-")</f>
        <v>1.3447678992918961</v>
      </c>
      <c r="CZ69" s="279" t="str">
        <f t="shared" si="61"/>
        <v>Pass</v>
      </c>
      <c r="DA69" s="278">
        <f t="shared" ref="DA69:DA132" si="84">IFERROR(CS69/CM69,"-")</f>
        <v>0.96231908452826986</v>
      </c>
      <c r="DB69" s="292" t="str">
        <f t="shared" si="62"/>
        <v>Pass</v>
      </c>
      <c r="DC69" s="299">
        <f t="shared" si="63"/>
        <v>0.87035129857194848</v>
      </c>
      <c r="DD69" s="293" t="str">
        <f t="shared" si="64"/>
        <v>Action Plan</v>
      </c>
      <c r="DE69" s="299">
        <f t="shared" si="65"/>
        <v>0.73986801829471627</v>
      </c>
      <c r="DF69" s="293" t="str">
        <f t="shared" si="66"/>
        <v>Presumption</v>
      </c>
      <c r="DG69" s="299">
        <f t="shared" si="67"/>
        <v>0.66387162220495555</v>
      </c>
      <c r="DH69" s="293" t="str">
        <f t="shared" si="68"/>
        <v>Presumption</v>
      </c>
    </row>
    <row r="70" spans="1:112" ht="15" thickTop="1" thickBot="1">
      <c r="A70" s="38" t="s">
        <v>249</v>
      </c>
      <c r="B70" s="38" t="s">
        <v>250</v>
      </c>
      <c r="C70" s="38" t="s">
        <v>249</v>
      </c>
      <c r="D70" s="38" t="s">
        <v>136</v>
      </c>
      <c r="E70" s="38" t="str">
        <f>VLOOKUP(C70,PoliticalControl!A:K,11,FALSE)</f>
        <v>NOC</v>
      </c>
      <c r="F70" s="38" t="str">
        <f>VLOOKUP(C70,UrbanRuralClassification!A:N,13,FALSE)</f>
        <v xml:space="preserve">Mainly Rural (rural including hub towns &gt;=80%) </v>
      </c>
      <c r="G70" s="38" t="str">
        <f>VLOOKUP(C70,UrbanRuralClassification!A:N,14,FALSE)</f>
        <v>Predominantly Rural</v>
      </c>
      <c r="H70" s="258">
        <f>IF(ISBLANK((VLOOKUP($A70,'local-plan-data'!$C$1:$AD$566,27,FALSE)))=TRUE,"",VLOOKUP($A70,'local-plan-data'!$C$1:$AD$566,27,FALSE))</f>
        <v>43781</v>
      </c>
      <c r="I70" s="259">
        <f>VLOOKUP($A70,'local-plan-data'!$C$1:$AD$566,28,FALSE)</f>
        <v>230</v>
      </c>
      <c r="J70" s="260">
        <f t="shared" ref="J70:J133" si="85">IFERROR(IF(ISNUMBER(I70),I70,VALUE(LEFT(I70,FIND("-",I70)-1))),"-")</f>
        <v>230</v>
      </c>
      <c r="K70" s="259">
        <f t="shared" si="69"/>
        <v>230</v>
      </c>
      <c r="L70" s="259">
        <f t="shared" si="69"/>
        <v>230</v>
      </c>
      <c r="M70" s="259">
        <f t="shared" si="69"/>
        <v>230</v>
      </c>
      <c r="N70" s="259">
        <f t="shared" si="69"/>
        <v>230</v>
      </c>
      <c r="O70" s="259">
        <f t="shared" si="69"/>
        <v>230</v>
      </c>
      <c r="P70" s="259">
        <f t="shared" si="69"/>
        <v>230</v>
      </c>
      <c r="Q70" s="259">
        <f t="shared" si="69"/>
        <v>230</v>
      </c>
      <c r="R70" s="259" t="str">
        <f t="shared" si="69"/>
        <v>-</v>
      </c>
      <c r="S70" s="259">
        <f t="shared" si="70"/>
        <v>2417</v>
      </c>
      <c r="T70" s="259">
        <f t="shared" si="70"/>
        <v>2052</v>
      </c>
      <c r="U70" s="259">
        <f t="shared" si="70"/>
        <v>1686</v>
      </c>
      <c r="V70" s="259">
        <f t="shared" si="70"/>
        <v>1321</v>
      </c>
      <c r="W70" s="259">
        <f t="shared" si="70"/>
        <v>956</v>
      </c>
      <c r="X70" s="259">
        <f t="shared" si="70"/>
        <v>591</v>
      </c>
      <c r="Y70" s="259">
        <f t="shared" si="70"/>
        <v>225</v>
      </c>
      <c r="Z70" s="259">
        <f t="shared" si="70"/>
        <v>-140</v>
      </c>
      <c r="AA70" s="267">
        <f>(VLOOKUP(A70,Hshldprojections2014!$A$2:$AW$319,40, FALSE)-VLOOKUP(A70,Hshldprojections2014!$A$2:$AW$319,30, FALSE))/10</f>
        <v>122.3</v>
      </c>
      <c r="AB70" s="267">
        <f>(VLOOKUP(A70,Hshldprojections2014!$A$2:$AW$319,41, FALSE)-VLOOKUP(A70,Hshldprojections2014!$A$2:$AW$319,31, FALSE))/10</f>
        <v>122.4</v>
      </c>
      <c r="AC70" s="267">
        <f>(VLOOKUP(A70,Hshldprojections2014!$A$2:$AW$319,42, FALSE)-VLOOKUP(A70,Hshldprojections2014!$A$2:$AW$319,32, FALSE))/10</f>
        <v>122.6</v>
      </c>
      <c r="AD70" s="267">
        <f>IF(IndividualLATest!$J$7=2014,(VLOOKUP($A70,Hshldprojections2014!$A$2:$AY$326,43,FALSE)-VLOOKUP($A70,Hshldprojections2014!$A$2:$AY$326,33,FALSE))/10,IF(IndividualLATest!$J$7=2016,(VLOOKUP($A70,Hshldprojections2016!$A$1:$AQ$322,33,FALSE)-VLOOKUP($A70,Hshldprojections2016!$A$1:$AQ$322,23,FALSE))/10,(VLOOKUP($A70,Hshldprojections2018!$A$1:$AQ$327,33,FALSE)-VLOOKUP($A70,Hshldprojections2018!$A$1:$AQ$327,23,FALSE))/10))</f>
        <v>180.2</v>
      </c>
      <c r="AE70" s="267">
        <f>IF(IndividualLATest!$J$7=2014,(VLOOKUP($A70,Hshldprojections2014!$A$2:$AY$326,44,FALSE)-VLOOKUP($A70,Hshldprojections2014!$A$2:$AY$326,34,FALSE))/10,IF(IndividualLATest!$J$7=2016,(VLOOKUP($A70,Hshldprojections2016!$A$1:$AQ$322,34,FALSE)-VLOOKUP($A70,Hshldprojections2016!$A$1:$AQ$322,24,FALSE))/10,(VLOOKUP($A70,Hshldprojections2018!$A$1:$AQ$327,34,FALSE)-VLOOKUP($A70,Hshldprojections2018!$A$1:$AQ$327,24,FALSE))/10))</f>
        <v>173.2</v>
      </c>
      <c r="AF70" s="267">
        <f>IF(IndividualLATest!$J$7=2014,(VLOOKUP($A70,Hshldprojections2014!$A$2:$AY$326,45,FALSE)-VLOOKUP($A70,Hshldprojections2014!$A$2:$AY$326,35,FALSE))/10,IF(IndividualLATest!$J$7=2016,(VLOOKUP($A70,Hshldprojections2016!$A$1:$AQ$322,35,FALSE)-VLOOKUP($A70,Hshldprojections2016!$A$1:$AQ$322,25,FALSE))/10,(VLOOKUP($A70,Hshldprojections2018!$A$1:$AQ$327,35,FALSE)-VLOOKUP($A70,Hshldprojections2018!$A$1:$AQ$327,25,FALSE))/10))</f>
        <v>166.1</v>
      </c>
      <c r="AG70" s="267">
        <f>IF(IndividualLATest!$J$7=2014,(VLOOKUP($A70,Hshldprojections2014!$A$2:$AY$326,46,FALSE)-VLOOKUP($A70,Hshldprojections2014!$A$2:$AY$326,36,FALSE))/10,IF(IndividualLATest!$J$7=2016,(VLOOKUP($A70,Hshldprojections2016!$A$1:$AQ$322,36,FALSE)-VLOOKUP($A70,Hshldprojections2016!$A$1:$AQ$322,26,FALSE))/10,(VLOOKUP($A70,Hshldprojections2018!$A$1:$AQ$327,36,FALSE)-VLOOKUP($A70,Hshldprojections2018!$A$1:$AQ$327,26,FALSE))/10))</f>
        <v>159.4</v>
      </c>
      <c r="AH70" s="267">
        <f>IF(IndividualLATest!$J$7=2014,(VLOOKUP($A70,Hshldprojections2014!$A$2:$AY$326,47,FALSE)-VLOOKUP($A70,Hshldprojections2014!$A$2:$AY$326,37,FALSE))/10,IF(IndividualLATest!$J$7=2016,(VLOOKUP($A70,Hshldprojections2016!$A$1:$AQ$322,37,FALSE)-VLOOKUP($A70,Hshldprojections2016!$A$1:$AQ$322,27,FALSE))/10,(VLOOKUP($A70,Hshldprojections2018!$A$1:$AQ$327,37,FALSE)-VLOOKUP($A70,Hshldprojections2018!$A$1:$AQ$327,27,FALSE))/10))</f>
        <v>155.1</v>
      </c>
      <c r="AI70" s="268">
        <f>VLOOKUP($A70,AffordabilityRatio!$A$2:$I$321,5,FALSE)</f>
        <v>7.92</v>
      </c>
      <c r="AJ70" s="268">
        <f>VLOOKUP($A70,AffordabilityRatio!$A$2:$I$321,6,FALSE)</f>
        <v>7.49</v>
      </c>
      <c r="AK70" s="268">
        <f>VLOOKUP($A70,AffordabilityRatio!$A$2:$I$321,7,FALSE)</f>
        <v>7.72</v>
      </c>
      <c r="AL70" s="268">
        <f>IF((VLOOKUP($A70,AffordabilityRatio!$A$2:$I$321,8,FALSE))="",AK70,VLOOKUP($A70,AffordabilityRatio!$A$2:$I$321,8,FALSE))</f>
        <v>8.5399999999999991</v>
      </c>
      <c r="AM70" s="268">
        <f>IF((VLOOKUP($A70,AffordabilityRatio!$A$2:$I$321,9,FALSE))="",AL70,VLOOKUP($A70,AffordabilityRatio!$A$2:$I$321,9,FALSE))</f>
        <v>8.19</v>
      </c>
      <c r="AN70" s="268">
        <f>IF((VLOOKUP($A70,AffordabilityRatio!$A$2:$I$321,9,FALSE))="",AM70,VLOOKUP($A70,AffordabilityRatio!$A$2:$I$321,9,FALSE))</f>
        <v>8.19</v>
      </c>
      <c r="AO70" s="268">
        <f>IF((VLOOKUP($A70,AffordabilityRatio!$A$2:$I$321,9,FALSE))="",AN70,VLOOKUP($A70,AffordabilityRatio!$A$2:$I$321,9,FALSE))</f>
        <v>8.19</v>
      </c>
      <c r="AP70" s="268">
        <f>IF((VLOOKUP($A70,AffordabilityRatio!$A$2:$I$321,9,FALSE))="",AO70,VLOOKUP($A70,AffordabilityRatio!$A$2:$I$321,9,FALSE))</f>
        <v>8.19</v>
      </c>
      <c r="AQ70" s="267">
        <f t="shared" ref="AQ70:AQ133" si="86">IF(AA70&lt;0,0,IF(AI70&gt;4,ROUND((1+((AI70-4)/4*0.25))*AA70,0),AA70))</f>
        <v>152</v>
      </c>
      <c r="AR70" s="267">
        <f t="shared" ref="AR70:AR133" si="87">IF(AB70&lt;0,0,IF(AJ70&gt;4,ROUND((1+((AJ70-4)/4*0.25))*AB70,0),AB70))</f>
        <v>149</v>
      </c>
      <c r="AS70" s="267">
        <f t="shared" ref="AS70:AS133" si="88">IF(AC70&lt;0,0,IF(AK70&gt;4,ROUND((1+((AK70-4)/4*0.25))*AC70,0),AC70))</f>
        <v>151</v>
      </c>
      <c r="AT70" s="267">
        <f t="shared" ref="AT70:AT133" si="89">IF(AD70&lt;0,0,IF(AL70&gt;4,ROUND((1+((AL70-4)/4*0.25))*AD70,0),AD70))</f>
        <v>231</v>
      </c>
      <c r="AU70" s="267">
        <f t="shared" ref="AU70:AU133" si="90">IF(AE70&lt;0,0,IF(AM70&gt;4,ROUND((1+((AM70-4)/4*0.25))*AE70,0),AE70))</f>
        <v>219</v>
      </c>
      <c r="AV70" s="267">
        <f t="shared" ref="AV70:AV133" si="91">IF(AF70&lt;0,0,IF(AN70&gt;4,ROUND((1+((AN70-4)/4*0.25))*AF70,0),AF70))</f>
        <v>210</v>
      </c>
      <c r="AW70" s="267">
        <f t="shared" ref="AW70:AW133" si="92">IF(AG70&lt;0,0,IF(AO70&gt;4,ROUND((1+((AO70-4)/4*0.25))*AG70,0),AG70))</f>
        <v>201</v>
      </c>
      <c r="AX70" s="267">
        <f t="shared" ref="AX70:AX133" si="93">IF(AH70&lt;0,0,IF(AP70&gt;4,ROUND((1+((AP70-4)/4*0.25))*AH70,0),AH70))</f>
        <v>196</v>
      </c>
      <c r="AY70" s="267">
        <f t="shared" ref="AY70:AY133" si="94">IF(AA70&lt;0,0,IF(K70="-",MIN((MAX(J70, AA70)+((MAX(J70, AA70))*0.4)),AQ70),MIN(K70+(K70*0.4),AQ70)))</f>
        <v>152</v>
      </c>
      <c r="AZ70" s="267">
        <f t="shared" ref="AZ70:AZ133" si="95">IF(AB70&lt;0,0,IF(L70="-",MIN((MAX(J70, AB70)+((MAX(J70, AB70))*0.4)),AR70),MIN(L70+(L70*0.4),AR70)))</f>
        <v>149</v>
      </c>
      <c r="BA70" s="267">
        <f t="shared" ref="BA70:BA133" si="96">IF(AC70&lt;0,0,IF(M70="-",MIN((MAX(J70, AC70)+((MAX(J70, AC70))*0.4)),AS70),MIN(M70+(M70*0.4),AS70)))</f>
        <v>151</v>
      </c>
      <c r="BB70" s="267">
        <f t="shared" ref="BB70:BB133" si="97">IF(AD70&lt;0,0,IF(N70="-",MIN((MAX(J70, AD70)+((MAX(J70, AD70))*0.4)),AT70),MIN(N70+(N70*0.4),AT70)))</f>
        <v>231</v>
      </c>
      <c r="BC70" s="267">
        <f t="shared" ref="BC70:BC133" si="98">IF(AE70&lt;0,0,IF(O70="-",MIN((MAX(J70, AE70)+((MAX(J70, AE70))*0.4)),AU70),MIN(O70+(O70*0.4),AU70)))</f>
        <v>219</v>
      </c>
      <c r="BD70" s="267">
        <f t="shared" ref="BD70:BD133" si="99">IF(AF70&lt;0,0,IF(P70="-",MIN((MAX(J70, AF70)+((MAX(J70, AF70))*0.4)),AV70),MIN(P70+(P70*0.4),AV70)))</f>
        <v>210</v>
      </c>
      <c r="BE70" s="267">
        <f t="shared" ref="BE70:BE133" si="100">IF(AG70&lt;0,0,IF(Q70="-",MIN((MAX(J70, AG70)+((MAX(J70, AG70))*0.4)),AW70),MIN(Q70+(Q70*0.4),AW70)))</f>
        <v>201</v>
      </c>
      <c r="BF70" s="267">
        <f t="shared" ref="BF70:BF133" si="101">IF(AH70&lt;0,0,IF(R70="-",MIN((MAX(J70, AH70)+((MAX(J70, AH70))*0.4)),AX70),MIN(R70+(R70*0.4),AX70)))</f>
        <v>196</v>
      </c>
      <c r="BG70" s="269">
        <f>AY70*VLOOKUP($B70,'Major Cities &amp; Towns'!$A$28:$B$345,2,FALSE)</f>
        <v>152</v>
      </c>
      <c r="BH70" s="269">
        <f>AZ70*VLOOKUP($B70,'Major Cities &amp; Towns'!$A$28:$B$345,2,FALSE)</f>
        <v>149</v>
      </c>
      <c r="BI70" s="269">
        <f>BA70*VLOOKUP($B70,'Major Cities &amp; Towns'!$A$28:$B$345,2,FALSE)</f>
        <v>151</v>
      </c>
      <c r="BJ70" s="269">
        <f>BB70*VLOOKUP($B70,'Major Cities &amp; Towns'!$A$28:$B$345,2,FALSE)</f>
        <v>231</v>
      </c>
      <c r="BK70" s="269">
        <f>BC70*VLOOKUP($B70,'Major Cities &amp; Towns'!$A$28:$B$345,2,FALSE)</f>
        <v>219</v>
      </c>
      <c r="BL70" s="269">
        <f>BD70*VLOOKUP($B70,'Major Cities &amp; Towns'!$A$28:$B$345,2,FALSE)</f>
        <v>210</v>
      </c>
      <c r="BM70" s="269">
        <f>BE70*VLOOKUP($B70,'Major Cities &amp; Towns'!$A$28:$B$345,2,FALSE)</f>
        <v>201</v>
      </c>
      <c r="BN70" s="269">
        <f>BF70*VLOOKUP($B70,'Major Cities &amp; Towns'!$A$28:$B$345,2,FALSE)</f>
        <v>196</v>
      </c>
      <c r="BO70" s="270">
        <f t="shared" ref="BO70:BO133" si="102">IFERROR(IF(AND(S70&lt;365,S70&gt;0),SUM(((S70/365)*(MIN(K70,BG70)))+(((365-S70)/365)*AQ70)),(MIN(K70,AQ70))),AQ70)</f>
        <v>152</v>
      </c>
      <c r="BP70" s="270">
        <f t="shared" ref="BP70:BP133" si="103">IFERROR(IF(AND(T70&lt;365,T70&gt;0),SUM(((T70/365)*(MIN(L70,BH70)))+(((365-T70)/365)*AR70)),(MIN(L70,AR70))),AR70)</f>
        <v>149</v>
      </c>
      <c r="BQ70" s="270">
        <f t="shared" ref="BQ70:BQ133" si="104">IFERROR(IF(AND(U70&lt;365,U70&gt;0),SUM(((U70/365)*(MIN(M70,BI70)))+(((365-U70)/365)*AS70)),(MIN(M70,AS70))),AS70)</f>
        <v>151</v>
      </c>
      <c r="BR70" s="270">
        <f t="shared" ref="BR70:BR133" si="105">IFERROR(IF(AND(V70&lt;365,V70&gt;0),SUM(((V70/365)*(MIN(N70,BJ70)))+(((365-V70)/365)*AT70)),(MIN(N70,AT70))),AT70)</f>
        <v>230</v>
      </c>
      <c r="BS70" s="270">
        <f t="shared" ref="BS70:BS133" si="106">IFERROR(IF(AND(W70&lt;365,W70&gt;0),SUM(((W70/365)*(MIN(O70,BK70)))+(((365-W70)/365)*AU70)),(MIN(O70,AU70))),AU70)</f>
        <v>219</v>
      </c>
      <c r="BT70" s="270">
        <f t="shared" ref="BT70:BT133" si="107">IFERROR(IF(AND(X70&lt;365,X70&gt;0),SUM(((X70/365)*(MIN(P70,BL70)))+(((365-X70)/365)*AV70)),(MIN(P70,AV70))),AV70)</f>
        <v>210</v>
      </c>
      <c r="BU70" s="270">
        <f t="shared" ref="BU70:BU133" si="108">IFERROR(IF(AND(Y70&lt;365,Y70&gt;0),SUM(((Y70/365)*(MIN(Q70,BM70)))+(((365-Y70)/365)*AW70)),(MIN(Q70,AW70))),AW70)</f>
        <v>201</v>
      </c>
      <c r="BV70" s="270">
        <f t="shared" ref="BV70:BV133" si="109">IFERROR(IF(AND(Z70&lt;365,Z70&gt;0),SUM(((Z70/365)*(MIN(R70,BN70)))+(((365-Z70)/365)*AX70)),(MIN(R70,AX70))),AX70)</f>
        <v>196</v>
      </c>
      <c r="BW70" s="39">
        <f>VLOOKUP($A70,NetAdditions!$A$2:$H$336,6,FALSE)</f>
        <v>250</v>
      </c>
      <c r="BX70" s="39">
        <f>VLOOKUP($A70,NetAdditions!$A$2:$H$336,7,FALSE)</f>
        <v>291</v>
      </c>
      <c r="BY70" s="39">
        <f>IF((VLOOKUP($C70,NetAdditions!$A$2:$H$336,8,FALSE))="",(AVERAGE(VLOOKUP($C70,NetAdditions!$A$2:$H$336,5,FALSE),VLOOKUP($C70,NetAdditions!$A$2:$H$336,6,FALSE),VLOOKUP($C70,NetAdditions!$A$2:$H$336,7,FALSE))),VLOOKUP($C70,NetAdditions!$A$2:$H$336,8,FALSE))</f>
        <v>188</v>
      </c>
      <c r="BZ70" s="39">
        <f t="shared" ref="BZ70:BZ133" si="110">AVERAGE(BW70:BY70)</f>
        <v>243</v>
      </c>
      <c r="CA70" s="39">
        <f t="shared" ref="CA70:CA133" si="111">AVERAGE(BX70:BZ70)</f>
        <v>240.66666666666666</v>
      </c>
      <c r="CB70" s="39">
        <f t="shared" ref="CB70:CB133" si="112">AVERAGE(BY70:CA70)</f>
        <v>223.88888888888889</v>
      </c>
      <c r="CC70" s="39">
        <f t="shared" ref="CC70:CC133" si="113">AVERAGE(BZ70:CB70)</f>
        <v>235.85185185185185</v>
      </c>
      <c r="CD70" s="39">
        <f t="shared" ref="CD70:CD133" si="114">AVERAGE(CA70:CC70)</f>
        <v>233.46913580246914</v>
      </c>
      <c r="CE70" s="276">
        <f t="shared" si="71"/>
        <v>452</v>
      </c>
      <c r="CF70" s="276">
        <f t="shared" si="72"/>
        <v>530</v>
      </c>
      <c r="CG70" s="276">
        <f t="shared" si="73"/>
        <v>600</v>
      </c>
      <c r="CH70" s="276">
        <f t="shared" si="74"/>
        <v>659</v>
      </c>
      <c r="CI70" s="276">
        <f t="shared" si="75"/>
        <v>630</v>
      </c>
      <c r="CJ70" s="276">
        <f t="shared" si="76"/>
        <v>607</v>
      </c>
      <c r="CK70" s="276">
        <f t="shared" ref="CK70:CK133" si="115">CE70*((24+7)/36)</f>
        <v>389.22222222222223</v>
      </c>
      <c r="CL70" s="276">
        <f t="shared" ref="CL70:CL133" si="116">CF70*((24+7)/36)</f>
        <v>456.38888888888891</v>
      </c>
      <c r="CM70" s="276">
        <f t="shared" ref="CM70:CM133" si="117">CG70*((24+9)/36)</f>
        <v>550</v>
      </c>
      <c r="CN70" s="276">
        <f t="shared" ref="CN70:CN133" si="118">CH70</f>
        <v>659</v>
      </c>
      <c r="CO70" s="276">
        <f t="shared" ref="CO70:CO133" si="119">CI70</f>
        <v>630</v>
      </c>
      <c r="CP70" s="276">
        <f t="shared" ref="CP70:CP133" si="120">CJ70</f>
        <v>607</v>
      </c>
      <c r="CQ70" s="39">
        <f t="shared" si="77"/>
        <v>729</v>
      </c>
      <c r="CR70" s="39">
        <f t="shared" si="78"/>
        <v>722</v>
      </c>
      <c r="CS70" s="277">
        <f t="shared" si="79"/>
        <v>671.66666666666663</v>
      </c>
      <c r="CT70" s="39">
        <f t="shared" si="80"/>
        <v>707.55555555555554</v>
      </c>
      <c r="CU70" s="39">
        <f t="shared" si="81"/>
        <v>700.40740740740739</v>
      </c>
      <c r="CV70" s="39">
        <f t="shared" ref="CV70:CV133" si="121">SUM(CB70:CD70)</f>
        <v>693.20987654320993</v>
      </c>
      <c r="CW70" s="297">
        <f t="shared" si="82"/>
        <v>1.8729660291178989</v>
      </c>
      <c r="CX70" s="279" t="str">
        <f t="shared" ref="CX70:CX133" si="122">IF(CW70&lt;0.25, "Presumption", IF(CW70&lt;0.85, "Buffer and Action Plan", IF(CW70&lt;0.95, "Action Plan", "Pass")))</f>
        <v>Pass</v>
      </c>
      <c r="CY70" s="278">
        <f t="shared" si="83"/>
        <v>1.5819841752891053</v>
      </c>
      <c r="CZ70" s="279" t="str">
        <f t="shared" ref="CZ70:CZ133" si="123">IF(CY70&lt;0.45, "Presumption", IF(CY70&lt;0.85, "Buffer and Action Plan", IF(CY70&lt;0.95, "Action Plan", "Pass")))</f>
        <v>Pass</v>
      </c>
      <c r="DA70" s="278">
        <f t="shared" si="84"/>
        <v>1.2212121212121212</v>
      </c>
      <c r="DB70" s="292" t="str">
        <f t="shared" ref="DB70:DB133" si="124">IF(DA70&lt;0.75, "Presumption", IF(DA70&lt;0.85, "Buffer and Action Plan", IF(DA70&lt;0.95, "Action Plan", "Pass")))</f>
        <v>Pass</v>
      </c>
      <c r="DC70" s="299">
        <f t="shared" ref="DC70:DC133" si="125">IFERROR(CT70/CN70,"-")</f>
        <v>1.0736806609340752</v>
      </c>
      <c r="DD70" s="293" t="str">
        <f t="shared" ref="DD70:DD133" si="126">IF(DC70&lt;0.75, "Presumption", IF(DC70&lt;0.85, "Buffer and Action Plan", IF(DC70&lt;0.95, "Action Plan", "Pass")))</f>
        <v>Pass</v>
      </c>
      <c r="DE70" s="299">
        <f t="shared" ref="DE70:DE133" si="127">IFERROR(CU70/CO70,"-")</f>
        <v>1.1117577895355673</v>
      </c>
      <c r="DF70" s="293" t="str">
        <f t="shared" ref="DF70:DF133" si="128">IF(DE70&lt;0.75, "Presumption", IF(DE70&lt;0.85, "Buffer and Action Plan", IF(DE70&lt;0.95, "Action Plan", "Pass")))</f>
        <v>Pass</v>
      </c>
      <c r="DG70" s="299">
        <f t="shared" ref="DG70:DG133" si="129">IFERROR(CV70/CP70,"-")</f>
        <v>1.1420261557548763</v>
      </c>
      <c r="DH70" s="293" t="str">
        <f t="shared" ref="DH70:DH133" si="130">IF(DG70&lt;0.75, "Presumption", IF(DG70&lt;0.85, "Buffer and Action Plan", IF(DG70&lt;0.95, "Action Plan", "Pass")))</f>
        <v>Pass</v>
      </c>
    </row>
    <row r="71" spans="1:112" ht="15" thickTop="1" thickBot="1">
      <c r="A71" s="38" t="s">
        <v>251</v>
      </c>
      <c r="B71" s="38" t="s">
        <v>252</v>
      </c>
      <c r="C71" s="38" t="s">
        <v>251</v>
      </c>
      <c r="D71" s="38" t="s">
        <v>113</v>
      </c>
      <c r="E71" s="38" t="str">
        <f>VLOOKUP(C71,PoliticalControl!A:K,11,FALSE)</f>
        <v>NOC</v>
      </c>
      <c r="F71" s="38" t="str">
        <f>VLOOKUP(C71,UrbanRuralClassification!A:N,13,FALSE)</f>
        <v>Urban with City and Town</v>
      </c>
      <c r="G71" s="38" t="str">
        <f>VLOOKUP(C71,UrbanRuralClassification!A:N,14,FALSE)</f>
        <v>Predominantly Urban</v>
      </c>
      <c r="H71" s="258">
        <f>IF(ISBLANK((VLOOKUP($A71,'local-plan-data'!$C$1:$AD$566,27,FALSE)))=TRUE,"",VLOOKUP($A71,'local-plan-data'!$C$1:$AD$566,27,FALSE))</f>
        <v>42354</v>
      </c>
      <c r="I71" s="259">
        <f>VLOOKUP($A71,'local-plan-data'!$C$1:$AD$566,28,FALSE)</f>
        <v>340</v>
      </c>
      <c r="J71" s="260">
        <f t="shared" si="85"/>
        <v>340</v>
      </c>
      <c r="K71" s="259">
        <f t="shared" si="69"/>
        <v>340</v>
      </c>
      <c r="L71" s="259">
        <f t="shared" si="69"/>
        <v>340</v>
      </c>
      <c r="M71" s="259">
        <f t="shared" si="69"/>
        <v>340</v>
      </c>
      <c r="N71" s="259" t="str">
        <f t="shared" si="69"/>
        <v>-</v>
      </c>
      <c r="O71" s="259" t="str">
        <f t="shared" si="69"/>
        <v>-</v>
      </c>
      <c r="P71" s="259" t="str">
        <f t="shared" si="69"/>
        <v>-</v>
      </c>
      <c r="Q71" s="259" t="str">
        <f t="shared" si="69"/>
        <v>-</v>
      </c>
      <c r="R71" s="259" t="str">
        <f t="shared" si="69"/>
        <v>-</v>
      </c>
      <c r="S71" s="259">
        <f t="shared" si="70"/>
        <v>990</v>
      </c>
      <c r="T71" s="259">
        <f t="shared" si="70"/>
        <v>625</v>
      </c>
      <c r="U71" s="259">
        <f t="shared" si="70"/>
        <v>259</v>
      </c>
      <c r="V71" s="259">
        <f t="shared" si="70"/>
        <v>-106</v>
      </c>
      <c r="W71" s="259">
        <f t="shared" si="70"/>
        <v>-471</v>
      </c>
      <c r="X71" s="259">
        <f t="shared" si="70"/>
        <v>-836</v>
      </c>
      <c r="Y71" s="259">
        <f t="shared" si="70"/>
        <v>-1202</v>
      </c>
      <c r="Z71" s="259">
        <f t="shared" si="70"/>
        <v>-1567</v>
      </c>
      <c r="AA71" s="267">
        <f>(VLOOKUP(A71,Hshldprojections2014!$A$2:$AW$319,40, FALSE)-VLOOKUP(A71,Hshldprojections2014!$A$2:$AW$319,30, FALSE))/10</f>
        <v>572.20000000000005</v>
      </c>
      <c r="AB71" s="267">
        <f>(VLOOKUP(A71,Hshldprojections2014!$A$2:$AW$319,41, FALSE)-VLOOKUP(A71,Hshldprojections2014!$A$2:$AW$319,31, FALSE))/10</f>
        <v>569.70000000000005</v>
      </c>
      <c r="AC71" s="267">
        <f>(VLOOKUP(A71,Hshldprojections2014!$A$2:$AW$319,42, FALSE)-VLOOKUP(A71,Hshldprojections2014!$A$2:$AW$319,32, FALSE))/10</f>
        <v>570.6</v>
      </c>
      <c r="AD71" s="267">
        <f>IF(IndividualLATest!$J$7=2014,(VLOOKUP($A71,Hshldprojections2014!$A$2:$AY$326,43,FALSE)-VLOOKUP($A71,Hshldprojections2014!$A$2:$AY$326,33,FALSE))/10,IF(IndividualLATest!$J$7=2016,(VLOOKUP($A71,Hshldprojections2016!$A$1:$AQ$322,33,FALSE)-VLOOKUP($A71,Hshldprojections2016!$A$1:$AQ$322,23,FALSE))/10,(VLOOKUP($A71,Hshldprojections2018!$A$1:$AQ$327,33,FALSE)-VLOOKUP($A71,Hshldprojections2018!$A$1:$AQ$327,23,FALSE))/10))</f>
        <v>289</v>
      </c>
      <c r="AE71" s="267">
        <f>IF(IndividualLATest!$J$7=2014,(VLOOKUP($A71,Hshldprojections2014!$A$2:$AY$326,44,FALSE)-VLOOKUP($A71,Hshldprojections2014!$A$2:$AY$326,34,FALSE))/10,IF(IndividualLATest!$J$7=2016,(VLOOKUP($A71,Hshldprojections2016!$A$1:$AQ$322,34,FALSE)-VLOOKUP($A71,Hshldprojections2016!$A$1:$AQ$322,24,FALSE))/10,(VLOOKUP($A71,Hshldprojections2018!$A$1:$AQ$327,34,FALSE)-VLOOKUP($A71,Hshldprojections2018!$A$1:$AQ$327,24,FALSE))/10))</f>
        <v>286</v>
      </c>
      <c r="AF71" s="267">
        <f>IF(IndividualLATest!$J$7=2014,(VLOOKUP($A71,Hshldprojections2014!$A$2:$AY$326,45,FALSE)-VLOOKUP($A71,Hshldprojections2014!$A$2:$AY$326,35,FALSE))/10,IF(IndividualLATest!$J$7=2016,(VLOOKUP($A71,Hshldprojections2016!$A$1:$AQ$322,35,FALSE)-VLOOKUP($A71,Hshldprojections2016!$A$1:$AQ$322,25,FALSE))/10,(VLOOKUP($A71,Hshldprojections2018!$A$1:$AQ$327,35,FALSE)-VLOOKUP($A71,Hshldprojections2018!$A$1:$AQ$327,25,FALSE))/10))</f>
        <v>283.60000000000002</v>
      </c>
      <c r="AG71" s="267">
        <f>IF(IndividualLATest!$J$7=2014,(VLOOKUP($A71,Hshldprojections2014!$A$2:$AY$326,46,FALSE)-VLOOKUP($A71,Hshldprojections2014!$A$2:$AY$326,36,FALSE))/10,IF(IndividualLATest!$J$7=2016,(VLOOKUP($A71,Hshldprojections2016!$A$1:$AQ$322,36,FALSE)-VLOOKUP($A71,Hshldprojections2016!$A$1:$AQ$322,26,FALSE))/10,(VLOOKUP($A71,Hshldprojections2018!$A$1:$AQ$327,36,FALSE)-VLOOKUP($A71,Hshldprojections2018!$A$1:$AQ$327,26,FALSE))/10))</f>
        <v>281</v>
      </c>
      <c r="AH71" s="267">
        <f>IF(IndividualLATest!$J$7=2014,(VLOOKUP($A71,Hshldprojections2014!$A$2:$AY$326,47,FALSE)-VLOOKUP($A71,Hshldprojections2014!$A$2:$AY$326,37,FALSE))/10,IF(IndividualLATest!$J$7=2016,(VLOOKUP($A71,Hshldprojections2016!$A$1:$AQ$322,37,FALSE)-VLOOKUP($A71,Hshldprojections2016!$A$1:$AQ$322,27,FALSE))/10,(VLOOKUP($A71,Hshldprojections2018!$A$1:$AQ$327,37,FALSE)-VLOOKUP($A71,Hshldprojections2018!$A$1:$AQ$327,27,FALSE))/10))</f>
        <v>279.8</v>
      </c>
      <c r="AI71" s="268">
        <f>VLOOKUP($A71,AffordabilityRatio!$A$2:$I$321,5,FALSE)</f>
        <v>8.9</v>
      </c>
      <c r="AJ71" s="268">
        <f>VLOOKUP($A71,AffordabilityRatio!$A$2:$I$321,6,FALSE)</f>
        <v>9.09</v>
      </c>
      <c r="AK71" s="268">
        <f>VLOOKUP($A71,AffordabilityRatio!$A$2:$I$321,7,FALSE)</f>
        <v>9.0500000000000007</v>
      </c>
      <c r="AL71" s="268">
        <f>IF((VLOOKUP($A71,AffordabilityRatio!$A$2:$I$321,8,FALSE))="",AK71,VLOOKUP($A71,AffordabilityRatio!$A$2:$I$321,8,FALSE))</f>
        <v>8.2100000000000009</v>
      </c>
      <c r="AM71" s="268">
        <f>IF((VLOOKUP($A71,AffordabilityRatio!$A$2:$I$321,9,FALSE))="",AL71,VLOOKUP($A71,AffordabilityRatio!$A$2:$I$321,9,FALSE))</f>
        <v>8.99</v>
      </c>
      <c r="AN71" s="268">
        <f>IF((VLOOKUP($A71,AffordabilityRatio!$A$2:$I$321,9,FALSE))="",AM71,VLOOKUP($A71,AffordabilityRatio!$A$2:$I$321,9,FALSE))</f>
        <v>8.99</v>
      </c>
      <c r="AO71" s="268">
        <f>IF((VLOOKUP($A71,AffordabilityRatio!$A$2:$I$321,9,FALSE))="",AN71,VLOOKUP($A71,AffordabilityRatio!$A$2:$I$321,9,FALSE))</f>
        <v>8.99</v>
      </c>
      <c r="AP71" s="268">
        <f>IF((VLOOKUP($A71,AffordabilityRatio!$A$2:$I$321,9,FALSE))="",AO71,VLOOKUP($A71,AffordabilityRatio!$A$2:$I$321,9,FALSE))</f>
        <v>8.99</v>
      </c>
      <c r="AQ71" s="267">
        <f t="shared" si="86"/>
        <v>747</v>
      </c>
      <c r="AR71" s="267">
        <f t="shared" si="87"/>
        <v>751</v>
      </c>
      <c r="AS71" s="267">
        <f t="shared" si="88"/>
        <v>751</v>
      </c>
      <c r="AT71" s="267">
        <f t="shared" si="89"/>
        <v>365</v>
      </c>
      <c r="AU71" s="267">
        <f t="shared" si="90"/>
        <v>375</v>
      </c>
      <c r="AV71" s="267">
        <f t="shared" si="91"/>
        <v>372</v>
      </c>
      <c r="AW71" s="267">
        <f t="shared" si="92"/>
        <v>369</v>
      </c>
      <c r="AX71" s="267">
        <f t="shared" si="93"/>
        <v>367</v>
      </c>
      <c r="AY71" s="267">
        <f t="shared" si="94"/>
        <v>476</v>
      </c>
      <c r="AZ71" s="267">
        <f t="shared" si="95"/>
        <v>476</v>
      </c>
      <c r="BA71" s="267">
        <f t="shared" si="96"/>
        <v>476</v>
      </c>
      <c r="BB71" s="267">
        <f t="shared" si="97"/>
        <v>365</v>
      </c>
      <c r="BC71" s="267">
        <f t="shared" si="98"/>
        <v>375</v>
      </c>
      <c r="BD71" s="267">
        <f t="shared" si="99"/>
        <v>372</v>
      </c>
      <c r="BE71" s="267">
        <f t="shared" si="100"/>
        <v>369</v>
      </c>
      <c r="BF71" s="267">
        <f t="shared" si="101"/>
        <v>367</v>
      </c>
      <c r="BG71" s="269">
        <f>AY71*VLOOKUP($B71,'Major Cities &amp; Towns'!$A$28:$B$345,2,FALSE)</f>
        <v>476</v>
      </c>
      <c r="BH71" s="269">
        <f>AZ71*VLOOKUP($B71,'Major Cities &amp; Towns'!$A$28:$B$345,2,FALSE)</f>
        <v>476</v>
      </c>
      <c r="BI71" s="269">
        <f>BA71*VLOOKUP($B71,'Major Cities &amp; Towns'!$A$28:$B$345,2,FALSE)</f>
        <v>476</v>
      </c>
      <c r="BJ71" s="269">
        <f>BB71*VLOOKUP($B71,'Major Cities &amp; Towns'!$A$28:$B$345,2,FALSE)</f>
        <v>365</v>
      </c>
      <c r="BK71" s="269">
        <f>BC71*VLOOKUP($B71,'Major Cities &amp; Towns'!$A$28:$B$345,2,FALSE)</f>
        <v>375</v>
      </c>
      <c r="BL71" s="269">
        <f>BD71*VLOOKUP($B71,'Major Cities &amp; Towns'!$A$28:$B$345,2,FALSE)</f>
        <v>372</v>
      </c>
      <c r="BM71" s="269">
        <f>BE71*VLOOKUP($B71,'Major Cities &amp; Towns'!$A$28:$B$345,2,FALSE)</f>
        <v>369</v>
      </c>
      <c r="BN71" s="269">
        <f>BF71*VLOOKUP($B71,'Major Cities &amp; Towns'!$A$28:$B$345,2,FALSE)</f>
        <v>367</v>
      </c>
      <c r="BO71" s="270">
        <f t="shared" si="102"/>
        <v>340</v>
      </c>
      <c r="BP71" s="270">
        <f t="shared" si="103"/>
        <v>340</v>
      </c>
      <c r="BQ71" s="270">
        <f t="shared" si="104"/>
        <v>459.35890410958905</v>
      </c>
      <c r="BR71" s="270">
        <f t="shared" si="105"/>
        <v>365</v>
      </c>
      <c r="BS71" s="270">
        <f t="shared" si="106"/>
        <v>375</v>
      </c>
      <c r="BT71" s="270">
        <f t="shared" si="107"/>
        <v>372</v>
      </c>
      <c r="BU71" s="270">
        <f t="shared" si="108"/>
        <v>369</v>
      </c>
      <c r="BV71" s="270">
        <f t="shared" si="109"/>
        <v>367</v>
      </c>
      <c r="BW71" s="39">
        <f>VLOOKUP($A71,NetAdditions!$A$2:$H$336,6,FALSE)</f>
        <v>512</v>
      </c>
      <c r="BX71" s="39">
        <f>VLOOKUP($A71,NetAdditions!$A$2:$H$336,7,FALSE)</f>
        <v>452</v>
      </c>
      <c r="BY71" s="39">
        <f>IF((VLOOKUP($C71,NetAdditions!$A$2:$H$336,8,FALSE))="",(AVERAGE(VLOOKUP($C71,NetAdditions!$A$2:$H$336,5,FALSE),VLOOKUP($C71,NetAdditions!$A$2:$H$336,6,FALSE),VLOOKUP($C71,NetAdditions!$A$2:$H$336,7,FALSE))),VLOOKUP($C71,NetAdditions!$A$2:$H$336,8,FALSE))</f>
        <v>568</v>
      </c>
      <c r="BZ71" s="39">
        <f t="shared" si="110"/>
        <v>510.66666666666669</v>
      </c>
      <c r="CA71" s="39">
        <f t="shared" si="111"/>
        <v>510.22222222222223</v>
      </c>
      <c r="CB71" s="39">
        <f t="shared" si="112"/>
        <v>529.62962962962968</v>
      </c>
      <c r="CC71" s="39">
        <f t="shared" si="113"/>
        <v>516.83950617283961</v>
      </c>
      <c r="CD71" s="39">
        <f t="shared" si="114"/>
        <v>518.89711934156378</v>
      </c>
      <c r="CE71" s="276">
        <f t="shared" si="71"/>
        <v>1139.358904109589</v>
      </c>
      <c r="CF71" s="276">
        <f t="shared" si="72"/>
        <v>1164.358904109589</v>
      </c>
      <c r="CG71" s="276">
        <f t="shared" si="73"/>
        <v>1199.358904109589</v>
      </c>
      <c r="CH71" s="276">
        <f t="shared" si="74"/>
        <v>1112</v>
      </c>
      <c r="CI71" s="276">
        <f t="shared" si="75"/>
        <v>1116</v>
      </c>
      <c r="CJ71" s="276">
        <f t="shared" si="76"/>
        <v>1108</v>
      </c>
      <c r="CK71" s="276">
        <f t="shared" si="115"/>
        <v>981.11461187214616</v>
      </c>
      <c r="CL71" s="276">
        <f t="shared" si="116"/>
        <v>1002.642389649924</v>
      </c>
      <c r="CM71" s="276">
        <f t="shared" si="117"/>
        <v>1099.4123287671232</v>
      </c>
      <c r="CN71" s="276">
        <f t="shared" si="118"/>
        <v>1112</v>
      </c>
      <c r="CO71" s="276">
        <f t="shared" si="119"/>
        <v>1116</v>
      </c>
      <c r="CP71" s="276">
        <f t="shared" si="120"/>
        <v>1108</v>
      </c>
      <c r="CQ71" s="39">
        <f t="shared" si="77"/>
        <v>1532</v>
      </c>
      <c r="CR71" s="39">
        <f t="shared" si="78"/>
        <v>1530.6666666666667</v>
      </c>
      <c r="CS71" s="277">
        <f t="shared" si="79"/>
        <v>1588.8888888888889</v>
      </c>
      <c r="CT71" s="39">
        <f t="shared" si="80"/>
        <v>1550.5185185185187</v>
      </c>
      <c r="CU71" s="39">
        <f t="shared" si="81"/>
        <v>1556.6913580246915</v>
      </c>
      <c r="CV71" s="39">
        <f t="shared" si="121"/>
        <v>1565.3662551440329</v>
      </c>
      <c r="CW71" s="297">
        <f t="shared" si="82"/>
        <v>1.5614893320941003</v>
      </c>
      <c r="CX71" s="279" t="str">
        <f t="shared" si="122"/>
        <v>Pass</v>
      </c>
      <c r="CY71" s="278">
        <f t="shared" si="83"/>
        <v>1.5266327081992854</v>
      </c>
      <c r="CZ71" s="279" t="str">
        <f t="shared" si="123"/>
        <v>Pass</v>
      </c>
      <c r="DA71" s="278">
        <f t="shared" si="84"/>
        <v>1.4452165464350057</v>
      </c>
      <c r="DB71" s="292" t="str">
        <f t="shared" si="124"/>
        <v>Pass</v>
      </c>
      <c r="DC71" s="299">
        <f t="shared" si="125"/>
        <v>1.3943511857180924</v>
      </c>
      <c r="DD71" s="293" t="str">
        <f t="shared" si="126"/>
        <v>Pass</v>
      </c>
      <c r="DE71" s="299">
        <f t="shared" si="127"/>
        <v>1.3948847294128059</v>
      </c>
      <c r="DF71" s="293" t="str">
        <f t="shared" si="128"/>
        <v>Pass</v>
      </c>
      <c r="DG71" s="299">
        <f t="shared" si="129"/>
        <v>1.4127854288303547</v>
      </c>
      <c r="DH71" s="293" t="str">
        <f t="shared" si="130"/>
        <v>Pass</v>
      </c>
    </row>
    <row r="72" spans="1:112" customFormat="1" ht="15.5" thickTop="1" thickBot="1">
      <c r="A72" s="3" t="s">
        <v>253</v>
      </c>
      <c r="B72" s="3" t="s">
        <v>254</v>
      </c>
      <c r="C72" s="3" t="s">
        <v>253</v>
      </c>
      <c r="D72" s="3" t="s">
        <v>131</v>
      </c>
      <c r="E72" s="3" t="str">
        <f>VLOOKUP(C72,PoliticalControl!A:K,11,FALSE)</f>
        <v>LAB</v>
      </c>
      <c r="F72" s="3" t="str">
        <f>VLOOKUP(C72,UrbanRuralClassification!A:N,13,FALSE)</f>
        <v>Urban with Major Conurbation</v>
      </c>
      <c r="G72" s="3" t="str">
        <f>VLOOKUP(C72,UrbanRuralClassification!A:N,14,FALSE)</f>
        <v>Predominantly Urban</v>
      </c>
      <c r="H72" s="262">
        <f>IF(ISBLANK((VLOOKUP($A72,'local-plan-data'!$C$1:$AD$566,27,FALSE)))=TRUE,"",VLOOKUP($A72,'local-plan-data'!$C$1:$AD$566,27,FALSE))</f>
        <v>43158</v>
      </c>
      <c r="I72" s="263">
        <f>VLOOKUP($A72,'local-plan-data'!$C$1:$AD$566,28,FALSE)</f>
        <v>1644.5</v>
      </c>
      <c r="J72" s="264">
        <f t="shared" si="85"/>
        <v>1644.5</v>
      </c>
      <c r="K72" s="259">
        <f t="shared" si="69"/>
        <v>1644.5</v>
      </c>
      <c r="L72" s="259">
        <f t="shared" si="69"/>
        <v>1644.5</v>
      </c>
      <c r="M72" s="259">
        <f t="shared" si="69"/>
        <v>1644.5</v>
      </c>
      <c r="N72" s="259">
        <f t="shared" si="69"/>
        <v>1644.5</v>
      </c>
      <c r="O72" s="259">
        <f t="shared" si="69"/>
        <v>1644.5</v>
      </c>
      <c r="P72" s="259" t="str">
        <f t="shared" si="69"/>
        <v>-</v>
      </c>
      <c r="Q72" s="259" t="str">
        <f t="shared" si="69"/>
        <v>-</v>
      </c>
      <c r="R72" s="259" t="str">
        <f t="shared" si="69"/>
        <v>-</v>
      </c>
      <c r="S72" s="259">
        <f t="shared" si="70"/>
        <v>1793</v>
      </c>
      <c r="T72" s="259">
        <f t="shared" si="70"/>
        <v>1428</v>
      </c>
      <c r="U72" s="259">
        <f t="shared" si="70"/>
        <v>1062</v>
      </c>
      <c r="V72" s="259">
        <f t="shared" si="70"/>
        <v>697</v>
      </c>
      <c r="W72" s="259">
        <f t="shared" si="70"/>
        <v>332</v>
      </c>
      <c r="X72" s="259">
        <f t="shared" si="70"/>
        <v>-33</v>
      </c>
      <c r="Y72" s="259">
        <f t="shared" si="70"/>
        <v>-399</v>
      </c>
      <c r="Z72" s="259">
        <f t="shared" si="70"/>
        <v>-764</v>
      </c>
      <c r="AA72" s="267">
        <f>(VLOOKUP(A72,Hshldprojections2014!$A$2:$AW$319,40, FALSE)-VLOOKUP(A72,Hshldprojections2014!$A$2:$AW$319,30, FALSE))/10</f>
        <v>2485.4</v>
      </c>
      <c r="AB72" s="267">
        <f>(VLOOKUP(A72,Hshldprojections2014!$A$2:$AW$319,41, FALSE)-VLOOKUP(A72,Hshldprojections2014!$A$2:$AW$319,31, FALSE))/10</f>
        <v>2472.6</v>
      </c>
      <c r="AC72" s="267">
        <f>(VLOOKUP(A72,Hshldprojections2014!$A$2:$AW$319,42, FALSE)-VLOOKUP(A72,Hshldprojections2014!$A$2:$AW$319,32, FALSE))/10</f>
        <v>2458.5</v>
      </c>
      <c r="AD72" s="267">
        <f>IF(IndividualLATest!$J$7=2014,(VLOOKUP($A72,Hshldprojections2014!$A$2:$AY$326,43,FALSE)-VLOOKUP($A72,Hshldprojections2014!$A$2:$AY$326,33,FALSE))/10,IF(IndividualLATest!$J$7=2016,(VLOOKUP($A72,Hshldprojections2016!$A$1:$AQ$322,33,FALSE)-VLOOKUP($A72,Hshldprojections2016!$A$1:$AQ$322,23,FALSE))/10,(VLOOKUP($A72,Hshldprojections2018!$A$1:$AQ$327,33,FALSE)-VLOOKUP($A72,Hshldprojections2018!$A$1:$AQ$327,23,FALSE))/10))</f>
        <v>941</v>
      </c>
      <c r="AE72" s="267">
        <f>IF(IndividualLATest!$J$7=2014,(VLOOKUP($A72,Hshldprojections2014!$A$2:$AY$326,44,FALSE)-VLOOKUP($A72,Hshldprojections2014!$A$2:$AY$326,34,FALSE))/10,IF(IndividualLATest!$J$7=2016,(VLOOKUP($A72,Hshldprojections2016!$A$1:$AQ$322,34,FALSE)-VLOOKUP($A72,Hshldprojections2016!$A$1:$AQ$322,24,FALSE))/10,(VLOOKUP($A72,Hshldprojections2018!$A$1:$AQ$327,34,FALSE)-VLOOKUP($A72,Hshldprojections2018!$A$1:$AQ$327,24,FALSE))/10))</f>
        <v>917.7</v>
      </c>
      <c r="AF72" s="267">
        <f>IF(IndividualLATest!$J$7=2014,(VLOOKUP($A72,Hshldprojections2014!$A$2:$AY$326,45,FALSE)-VLOOKUP($A72,Hshldprojections2014!$A$2:$AY$326,35,FALSE))/10,IF(IndividualLATest!$J$7=2016,(VLOOKUP($A72,Hshldprojections2016!$A$1:$AQ$322,35,FALSE)-VLOOKUP($A72,Hshldprojections2016!$A$1:$AQ$322,25,FALSE))/10,(VLOOKUP($A72,Hshldprojections2018!$A$1:$AQ$327,35,FALSE)-VLOOKUP($A72,Hshldprojections2018!$A$1:$AQ$327,25,FALSE))/10))</f>
        <v>905.5</v>
      </c>
      <c r="AG72" s="267">
        <f>IF(IndividualLATest!$J$7=2014,(VLOOKUP($A72,Hshldprojections2014!$A$2:$AY$326,46,FALSE)-VLOOKUP($A72,Hshldprojections2014!$A$2:$AY$326,36,FALSE))/10,IF(IndividualLATest!$J$7=2016,(VLOOKUP($A72,Hshldprojections2016!$A$1:$AQ$322,36,FALSE)-VLOOKUP($A72,Hshldprojections2016!$A$1:$AQ$322,26,FALSE))/10,(VLOOKUP($A72,Hshldprojections2018!$A$1:$AQ$327,36,FALSE)-VLOOKUP($A72,Hshldprojections2018!$A$1:$AQ$327,26,FALSE))/10))</f>
        <v>896.6</v>
      </c>
      <c r="AH72" s="267">
        <f>IF(IndividualLATest!$J$7=2014,(VLOOKUP($A72,Hshldprojections2014!$A$2:$AY$326,47,FALSE)-VLOOKUP($A72,Hshldprojections2014!$A$2:$AY$326,37,FALSE))/10,IF(IndividualLATest!$J$7=2016,(VLOOKUP($A72,Hshldprojections2016!$A$1:$AQ$322,37,FALSE)-VLOOKUP($A72,Hshldprojections2016!$A$1:$AQ$322,27,FALSE))/10,(VLOOKUP($A72,Hshldprojections2018!$A$1:$AQ$327,37,FALSE)-VLOOKUP($A72,Hshldprojections2018!$A$1:$AQ$327,27,FALSE))/10))</f>
        <v>893.4</v>
      </c>
      <c r="AI72" s="268">
        <f>VLOOKUP($A72,AffordabilityRatio!$A$2:$I$321,5,FALSE)</f>
        <v>11.21</v>
      </c>
      <c r="AJ72" s="268">
        <f>VLOOKUP($A72,AffordabilityRatio!$A$2:$I$321,6,FALSE)</f>
        <v>11.09</v>
      </c>
      <c r="AK72" s="268">
        <f>VLOOKUP($A72,AffordabilityRatio!$A$2:$I$321,7,FALSE)</f>
        <v>10.8</v>
      </c>
      <c r="AL72" s="268">
        <f>IF((VLOOKUP($A72,AffordabilityRatio!$A$2:$I$321,8,FALSE))="",AK72,VLOOKUP($A72,AffordabilityRatio!$A$2:$I$321,8,FALSE))</f>
        <v>11.43</v>
      </c>
      <c r="AM72" s="268">
        <f>IF((VLOOKUP($A72,AffordabilityRatio!$A$2:$I$321,9,FALSE))="",AL72,VLOOKUP($A72,AffordabilityRatio!$A$2:$I$321,9,FALSE))</f>
        <v>11.88</v>
      </c>
      <c r="AN72" s="268">
        <f>IF((VLOOKUP($A72,AffordabilityRatio!$A$2:$I$321,9,FALSE))="",AM72,VLOOKUP($A72,AffordabilityRatio!$A$2:$I$321,9,FALSE))</f>
        <v>11.88</v>
      </c>
      <c r="AO72" s="268">
        <f>IF((VLOOKUP($A72,AffordabilityRatio!$A$2:$I$321,9,FALSE))="",AN72,VLOOKUP($A72,AffordabilityRatio!$A$2:$I$321,9,FALSE))</f>
        <v>11.88</v>
      </c>
      <c r="AP72" s="268">
        <f>IF((VLOOKUP($A72,AffordabilityRatio!$A$2:$I$321,9,FALSE))="",AO72,VLOOKUP($A72,AffordabilityRatio!$A$2:$I$321,9,FALSE))</f>
        <v>11.88</v>
      </c>
      <c r="AQ72" s="267">
        <f t="shared" si="86"/>
        <v>3605</v>
      </c>
      <c r="AR72" s="267">
        <f t="shared" si="87"/>
        <v>3568</v>
      </c>
      <c r="AS72" s="267">
        <f t="shared" si="88"/>
        <v>3503</v>
      </c>
      <c r="AT72" s="267">
        <f t="shared" si="89"/>
        <v>1378</v>
      </c>
      <c r="AU72" s="267">
        <f t="shared" si="90"/>
        <v>1370</v>
      </c>
      <c r="AV72" s="267">
        <f t="shared" si="91"/>
        <v>1351</v>
      </c>
      <c r="AW72" s="267">
        <f t="shared" si="92"/>
        <v>1338</v>
      </c>
      <c r="AX72" s="267">
        <f t="shared" si="93"/>
        <v>1333</v>
      </c>
      <c r="AY72" s="267">
        <f t="shared" si="94"/>
        <v>2302.3000000000002</v>
      </c>
      <c r="AZ72" s="267">
        <f t="shared" si="95"/>
        <v>2302.3000000000002</v>
      </c>
      <c r="BA72" s="267">
        <f t="shared" si="96"/>
        <v>2302.3000000000002</v>
      </c>
      <c r="BB72" s="267">
        <f t="shared" si="97"/>
        <v>1378</v>
      </c>
      <c r="BC72" s="267">
        <f t="shared" si="98"/>
        <v>1370</v>
      </c>
      <c r="BD72" s="267">
        <f t="shared" si="99"/>
        <v>1351</v>
      </c>
      <c r="BE72" s="267">
        <f t="shared" si="100"/>
        <v>1338</v>
      </c>
      <c r="BF72" s="267">
        <f t="shared" si="101"/>
        <v>1333</v>
      </c>
      <c r="BG72" s="269">
        <f>AY72*VLOOKUP($B72,'Major Cities &amp; Towns'!$A$28:$B$345,2,FALSE)</f>
        <v>3108.1050000000005</v>
      </c>
      <c r="BH72" s="269">
        <f>AZ72*VLOOKUP($B72,'Major Cities &amp; Towns'!$A$28:$B$345,2,FALSE)</f>
        <v>3108.1050000000005</v>
      </c>
      <c r="BI72" s="269">
        <f>BA72*VLOOKUP($B72,'Major Cities &amp; Towns'!$A$28:$B$345,2,FALSE)</f>
        <v>3108.1050000000005</v>
      </c>
      <c r="BJ72" s="269">
        <f>BB72*VLOOKUP($B72,'Major Cities &amp; Towns'!$A$28:$B$345,2,FALSE)</f>
        <v>1860.3000000000002</v>
      </c>
      <c r="BK72" s="269">
        <f>BC72*VLOOKUP($B72,'Major Cities &amp; Towns'!$A$28:$B$345,2,FALSE)</f>
        <v>1849.5000000000002</v>
      </c>
      <c r="BL72" s="269">
        <f>BD72*VLOOKUP($B72,'Major Cities &amp; Towns'!$A$28:$B$345,2,FALSE)</f>
        <v>1823.8500000000001</v>
      </c>
      <c r="BM72" s="269">
        <f>BE72*VLOOKUP($B72,'Major Cities &amp; Towns'!$A$28:$B$345,2,FALSE)</f>
        <v>1806.3000000000002</v>
      </c>
      <c r="BN72" s="269">
        <f>BF72*VLOOKUP($B72,'Major Cities &amp; Towns'!$A$28:$B$345,2,FALSE)</f>
        <v>1799.5500000000002</v>
      </c>
      <c r="BO72" s="270">
        <f t="shared" si="102"/>
        <v>1644.5</v>
      </c>
      <c r="BP72" s="270">
        <f t="shared" si="103"/>
        <v>1644.5</v>
      </c>
      <c r="BQ72" s="270">
        <f t="shared" si="104"/>
        <v>1644.5</v>
      </c>
      <c r="BR72" s="270">
        <f t="shared" si="105"/>
        <v>1378</v>
      </c>
      <c r="BS72" s="270">
        <f t="shared" si="106"/>
        <v>1619.682191780822</v>
      </c>
      <c r="BT72" s="270">
        <f t="shared" si="107"/>
        <v>1351</v>
      </c>
      <c r="BU72" s="270">
        <f t="shared" si="108"/>
        <v>1338</v>
      </c>
      <c r="BV72" s="270">
        <f t="shared" si="109"/>
        <v>1333</v>
      </c>
      <c r="BW72" s="39">
        <f>VLOOKUP($A72,NetAdditions!$A$2:$H$336,6,FALSE)</f>
        <v>1590</v>
      </c>
      <c r="BX72" s="39">
        <f>VLOOKUP($A72,NetAdditions!$A$2:$H$336,7,FALSE)</f>
        <v>1657</v>
      </c>
      <c r="BY72" s="39">
        <f>IF((VLOOKUP($C72,NetAdditions!$A$2:$H$336,8,FALSE))="",(AVERAGE(VLOOKUP($C72,NetAdditions!$A$2:$H$336,5,FALSE),VLOOKUP($C72,NetAdditions!$A$2:$H$336,6,FALSE),VLOOKUP($C72,NetAdditions!$A$2:$H$336,7,FALSE))),VLOOKUP($C72,NetAdditions!$A$2:$H$336,8,FALSE))</f>
        <v>2029</v>
      </c>
      <c r="BZ72" s="39">
        <f t="shared" si="110"/>
        <v>1758.6666666666667</v>
      </c>
      <c r="CA72" s="39">
        <f t="shared" si="111"/>
        <v>1814.8888888888889</v>
      </c>
      <c r="CB72" s="39">
        <f t="shared" si="112"/>
        <v>1867.5185185185185</v>
      </c>
      <c r="CC72" s="39">
        <f t="shared" si="113"/>
        <v>1813.6913580246912</v>
      </c>
      <c r="CD72" s="39">
        <f t="shared" si="114"/>
        <v>1832.0329218106997</v>
      </c>
      <c r="CE72" s="276">
        <f t="shared" si="71"/>
        <v>4933.5</v>
      </c>
      <c r="CF72" s="276">
        <f t="shared" si="72"/>
        <v>4667</v>
      </c>
      <c r="CG72" s="276">
        <f t="shared" si="73"/>
        <v>4642.182191780822</v>
      </c>
      <c r="CH72" s="276">
        <f t="shared" si="74"/>
        <v>4348.682191780822</v>
      </c>
      <c r="CI72" s="276">
        <f t="shared" si="75"/>
        <v>4308.682191780822</v>
      </c>
      <c r="CJ72" s="276">
        <f t="shared" si="76"/>
        <v>4022</v>
      </c>
      <c r="CK72" s="276">
        <f t="shared" si="115"/>
        <v>4248.291666666667</v>
      </c>
      <c r="CL72" s="276">
        <f t="shared" si="116"/>
        <v>4018.8055555555557</v>
      </c>
      <c r="CM72" s="276">
        <f t="shared" si="117"/>
        <v>4255.3336757990864</v>
      </c>
      <c r="CN72" s="276">
        <f t="shared" si="118"/>
        <v>4348.682191780822</v>
      </c>
      <c r="CO72" s="276">
        <f t="shared" si="119"/>
        <v>4308.682191780822</v>
      </c>
      <c r="CP72" s="276">
        <f t="shared" si="120"/>
        <v>4022</v>
      </c>
      <c r="CQ72" s="39">
        <f t="shared" si="77"/>
        <v>5276</v>
      </c>
      <c r="CR72" s="39">
        <f t="shared" si="78"/>
        <v>5444.666666666667</v>
      </c>
      <c r="CS72" s="277">
        <f t="shared" si="79"/>
        <v>5602.5555555555557</v>
      </c>
      <c r="CT72" s="39">
        <f t="shared" si="80"/>
        <v>5441.0740740740739</v>
      </c>
      <c r="CU72" s="39">
        <f t="shared" si="81"/>
        <v>5496.0987654320988</v>
      </c>
      <c r="CV72" s="39">
        <f t="shared" si="121"/>
        <v>5513.2427983539092</v>
      </c>
      <c r="CW72" s="297">
        <f t="shared" si="82"/>
        <v>1.2419109642111044</v>
      </c>
      <c r="CX72" s="279" t="str">
        <f t="shared" si="122"/>
        <v>Pass</v>
      </c>
      <c r="CY72" s="278">
        <f t="shared" si="83"/>
        <v>1.3547972379853053</v>
      </c>
      <c r="CZ72" s="279" t="str">
        <f t="shared" si="123"/>
        <v>Pass</v>
      </c>
      <c r="DA72" s="278">
        <f t="shared" si="84"/>
        <v>1.3165960609430896</v>
      </c>
      <c r="DB72" s="292" t="str">
        <f t="shared" si="124"/>
        <v>Pass</v>
      </c>
      <c r="DC72" s="299">
        <f t="shared" si="125"/>
        <v>1.2512006704830982</v>
      </c>
      <c r="DD72" s="293" t="str">
        <f t="shared" si="126"/>
        <v>Pass</v>
      </c>
      <c r="DE72" s="299">
        <f t="shared" si="127"/>
        <v>1.2755869476556834</v>
      </c>
      <c r="DF72" s="293" t="str">
        <f t="shared" si="128"/>
        <v>Pass</v>
      </c>
      <c r="DG72" s="299">
        <f t="shared" si="129"/>
        <v>1.3707714565773021</v>
      </c>
      <c r="DH72" s="293" t="str">
        <f t="shared" si="130"/>
        <v>Pass</v>
      </c>
    </row>
    <row r="73" spans="1:112" ht="15" thickTop="1" thickBot="1">
      <c r="A73" s="38" t="s">
        <v>255</v>
      </c>
      <c r="B73" s="38" t="s">
        <v>256</v>
      </c>
      <c r="C73" s="38" t="s">
        <v>255</v>
      </c>
      <c r="D73" s="38" t="s">
        <v>128</v>
      </c>
      <c r="E73" s="38" t="str">
        <f>VLOOKUP(C73,PoliticalControl!A:K,11,FALSE)</f>
        <v>CON</v>
      </c>
      <c r="F73" s="38" t="str">
        <f>VLOOKUP(C73,UrbanRuralClassification!A:N,13,FALSE)</f>
        <v>Urban with Significant Rural (rural including hub towns 26-49%)</v>
      </c>
      <c r="G73" s="38" t="str">
        <f>VLOOKUP(C73,UrbanRuralClassification!A:N,14,FALSE)</f>
        <v>Urban with Significant Rural</v>
      </c>
      <c r="H73" s="258">
        <f>IF(ISBLANK((VLOOKUP($A73,'local-plan-data'!$C$1:$AD$566,27,FALSE)))=TRUE,"",VLOOKUP($A73,'local-plan-data'!$C$1:$AD$566,27,FALSE))</f>
        <v>41542</v>
      </c>
      <c r="I73" s="259">
        <f>VLOOKUP($A73,'local-plan-data'!$C$1:$AD$566,28,FALSE)</f>
        <v>430</v>
      </c>
      <c r="J73" s="260">
        <f t="shared" si="85"/>
        <v>430</v>
      </c>
      <c r="K73" s="259">
        <f t="shared" si="69"/>
        <v>430</v>
      </c>
      <c r="L73" s="259" t="str">
        <f t="shared" si="69"/>
        <v>-</v>
      </c>
      <c r="M73" s="259" t="str">
        <f t="shared" si="69"/>
        <v>-</v>
      </c>
      <c r="N73" s="259" t="str">
        <f t="shared" si="69"/>
        <v>-</v>
      </c>
      <c r="O73" s="259" t="str">
        <f t="shared" si="69"/>
        <v>-</v>
      </c>
      <c r="P73" s="259" t="str">
        <f t="shared" si="69"/>
        <v>-</v>
      </c>
      <c r="Q73" s="259" t="str">
        <f t="shared" si="69"/>
        <v>-</v>
      </c>
      <c r="R73" s="259" t="str">
        <f t="shared" si="69"/>
        <v>-</v>
      </c>
      <c r="S73" s="259">
        <f t="shared" si="70"/>
        <v>177</v>
      </c>
      <c r="T73" s="259">
        <f t="shared" si="70"/>
        <v>-188</v>
      </c>
      <c r="U73" s="259">
        <f t="shared" si="70"/>
        <v>-554</v>
      </c>
      <c r="V73" s="259">
        <f t="shared" si="70"/>
        <v>-919</v>
      </c>
      <c r="W73" s="259">
        <f t="shared" si="70"/>
        <v>-1284</v>
      </c>
      <c r="X73" s="259">
        <f t="shared" si="70"/>
        <v>-1649</v>
      </c>
      <c r="Y73" s="259">
        <f t="shared" si="70"/>
        <v>-2015</v>
      </c>
      <c r="Z73" s="259">
        <f t="shared" si="70"/>
        <v>-2380</v>
      </c>
      <c r="AA73" s="267">
        <f>(VLOOKUP(A73,Hshldprojections2014!$A$2:$AW$319,40, FALSE)-VLOOKUP(A73,Hshldprojections2014!$A$2:$AW$319,30, FALSE))/10</f>
        <v>739.3</v>
      </c>
      <c r="AB73" s="267">
        <f>(VLOOKUP(A73,Hshldprojections2014!$A$2:$AW$319,41, FALSE)-VLOOKUP(A73,Hshldprojections2014!$A$2:$AW$319,31, FALSE))/10</f>
        <v>732.4</v>
      </c>
      <c r="AC73" s="267">
        <f>(VLOOKUP(A73,Hshldprojections2014!$A$2:$AW$319,42, FALSE)-VLOOKUP(A73,Hshldprojections2014!$A$2:$AW$319,32, FALSE))/10</f>
        <v>730.5</v>
      </c>
      <c r="AD73" s="267">
        <f>IF(IndividualLATest!$J$7=2014,(VLOOKUP($A73,Hshldprojections2014!$A$2:$AY$326,43,FALSE)-VLOOKUP($A73,Hshldprojections2014!$A$2:$AY$326,33,FALSE))/10,IF(IndividualLATest!$J$7=2016,(VLOOKUP($A73,Hshldprojections2016!$A$1:$AQ$322,33,FALSE)-VLOOKUP($A73,Hshldprojections2016!$A$1:$AQ$322,23,FALSE))/10,(VLOOKUP($A73,Hshldprojections2018!$A$1:$AQ$327,33,FALSE)-VLOOKUP($A73,Hshldprojections2018!$A$1:$AQ$327,23,FALSE))/10))</f>
        <v>350.4</v>
      </c>
      <c r="AE73" s="267">
        <f>IF(IndividualLATest!$J$7=2014,(VLOOKUP($A73,Hshldprojections2014!$A$2:$AY$326,44,FALSE)-VLOOKUP($A73,Hshldprojections2014!$A$2:$AY$326,34,FALSE))/10,IF(IndividualLATest!$J$7=2016,(VLOOKUP($A73,Hshldprojections2016!$A$1:$AQ$322,34,FALSE)-VLOOKUP($A73,Hshldprojections2016!$A$1:$AQ$322,24,FALSE))/10,(VLOOKUP($A73,Hshldprojections2018!$A$1:$AQ$327,34,FALSE)-VLOOKUP($A73,Hshldprojections2018!$A$1:$AQ$327,24,FALSE))/10))</f>
        <v>343.6</v>
      </c>
      <c r="AF73" s="267">
        <f>IF(IndividualLATest!$J$7=2014,(VLOOKUP($A73,Hshldprojections2014!$A$2:$AY$326,45,FALSE)-VLOOKUP($A73,Hshldprojections2014!$A$2:$AY$326,35,FALSE))/10,IF(IndividualLATest!$J$7=2016,(VLOOKUP($A73,Hshldprojections2016!$A$1:$AQ$322,35,FALSE)-VLOOKUP($A73,Hshldprojections2016!$A$1:$AQ$322,25,FALSE))/10,(VLOOKUP($A73,Hshldprojections2018!$A$1:$AQ$327,35,FALSE)-VLOOKUP($A73,Hshldprojections2018!$A$1:$AQ$327,25,FALSE))/10))</f>
        <v>337.5</v>
      </c>
      <c r="AG73" s="267">
        <f>IF(IndividualLATest!$J$7=2014,(VLOOKUP($A73,Hshldprojections2014!$A$2:$AY$326,46,FALSE)-VLOOKUP($A73,Hshldprojections2014!$A$2:$AY$326,36,FALSE))/10,IF(IndividualLATest!$J$7=2016,(VLOOKUP($A73,Hshldprojections2016!$A$1:$AQ$322,36,FALSE)-VLOOKUP($A73,Hshldprojections2016!$A$1:$AQ$322,26,FALSE))/10,(VLOOKUP($A73,Hshldprojections2018!$A$1:$AQ$327,36,FALSE)-VLOOKUP($A73,Hshldprojections2018!$A$1:$AQ$327,26,FALSE))/10))</f>
        <v>332.4</v>
      </c>
      <c r="AH73" s="267">
        <f>IF(IndividualLATest!$J$7=2014,(VLOOKUP($A73,Hshldprojections2014!$A$2:$AY$326,47,FALSE)-VLOOKUP($A73,Hshldprojections2014!$A$2:$AY$326,37,FALSE))/10,IF(IndividualLATest!$J$7=2016,(VLOOKUP($A73,Hshldprojections2016!$A$1:$AQ$322,37,FALSE)-VLOOKUP($A73,Hshldprojections2016!$A$1:$AQ$322,27,FALSE))/10,(VLOOKUP($A73,Hshldprojections2018!$A$1:$AQ$327,37,FALSE)-VLOOKUP($A73,Hshldprojections2018!$A$1:$AQ$327,27,FALSE))/10))</f>
        <v>328.6</v>
      </c>
      <c r="AI73" s="268">
        <f>VLOOKUP($A73,AffordabilityRatio!$A$2:$I$321,5,FALSE)</f>
        <v>12.93</v>
      </c>
      <c r="AJ73" s="268">
        <f>VLOOKUP($A73,AffordabilityRatio!$A$2:$I$321,6,FALSE)</f>
        <v>12.28</v>
      </c>
      <c r="AK73" s="268">
        <f>VLOOKUP($A73,AffordabilityRatio!$A$2:$I$321,7,FALSE)</f>
        <v>12.1</v>
      </c>
      <c r="AL73" s="268">
        <f>IF((VLOOKUP($A73,AffordabilityRatio!$A$2:$I$321,8,FALSE))="",AK73,VLOOKUP($A73,AffordabilityRatio!$A$2:$I$321,8,FALSE))</f>
        <v>11.87</v>
      </c>
      <c r="AM73" s="268">
        <f>IF((VLOOKUP($A73,AffordabilityRatio!$A$2:$I$321,9,FALSE))="",AL73,VLOOKUP($A73,AffordabilityRatio!$A$2:$I$321,9,FALSE))</f>
        <v>14.04</v>
      </c>
      <c r="AN73" s="268">
        <f>IF((VLOOKUP($A73,AffordabilityRatio!$A$2:$I$321,9,FALSE))="",AM73,VLOOKUP($A73,AffordabilityRatio!$A$2:$I$321,9,FALSE))</f>
        <v>14.04</v>
      </c>
      <c r="AO73" s="268">
        <f>IF((VLOOKUP($A73,AffordabilityRatio!$A$2:$I$321,9,FALSE))="",AN73,VLOOKUP($A73,AffordabilityRatio!$A$2:$I$321,9,FALSE))</f>
        <v>14.04</v>
      </c>
      <c r="AP73" s="268">
        <f>IF((VLOOKUP($A73,AffordabilityRatio!$A$2:$I$321,9,FALSE))="",AO73,VLOOKUP($A73,AffordabilityRatio!$A$2:$I$321,9,FALSE))</f>
        <v>14.04</v>
      </c>
      <c r="AQ73" s="267">
        <f t="shared" si="86"/>
        <v>1152</v>
      </c>
      <c r="AR73" s="267">
        <f t="shared" si="87"/>
        <v>1111</v>
      </c>
      <c r="AS73" s="267">
        <f t="shared" si="88"/>
        <v>1100</v>
      </c>
      <c r="AT73" s="267">
        <f t="shared" si="89"/>
        <v>523</v>
      </c>
      <c r="AU73" s="267">
        <f t="shared" si="90"/>
        <v>559</v>
      </c>
      <c r="AV73" s="267">
        <f t="shared" si="91"/>
        <v>549</v>
      </c>
      <c r="AW73" s="267">
        <f t="shared" si="92"/>
        <v>541</v>
      </c>
      <c r="AX73" s="267">
        <f t="shared" si="93"/>
        <v>535</v>
      </c>
      <c r="AY73" s="267">
        <f t="shared" si="94"/>
        <v>602</v>
      </c>
      <c r="AZ73" s="267">
        <f t="shared" si="95"/>
        <v>1025.3599999999999</v>
      </c>
      <c r="BA73" s="267">
        <f t="shared" si="96"/>
        <v>1022.7</v>
      </c>
      <c r="BB73" s="267">
        <f t="shared" si="97"/>
        <v>523</v>
      </c>
      <c r="BC73" s="267">
        <f t="shared" si="98"/>
        <v>559</v>
      </c>
      <c r="BD73" s="267">
        <f t="shared" si="99"/>
        <v>549</v>
      </c>
      <c r="BE73" s="267">
        <f t="shared" si="100"/>
        <v>541</v>
      </c>
      <c r="BF73" s="267">
        <f t="shared" si="101"/>
        <v>535</v>
      </c>
      <c r="BG73" s="269">
        <f>AY73*VLOOKUP($B73,'Major Cities &amp; Towns'!$A$28:$B$345,2,FALSE)</f>
        <v>602</v>
      </c>
      <c r="BH73" s="269">
        <f>AZ73*VLOOKUP($B73,'Major Cities &amp; Towns'!$A$28:$B$345,2,FALSE)</f>
        <v>1025.3599999999999</v>
      </c>
      <c r="BI73" s="269">
        <f>BA73*VLOOKUP($B73,'Major Cities &amp; Towns'!$A$28:$B$345,2,FALSE)</f>
        <v>1022.7</v>
      </c>
      <c r="BJ73" s="269">
        <f>BB73*VLOOKUP($B73,'Major Cities &amp; Towns'!$A$28:$B$345,2,FALSE)</f>
        <v>523</v>
      </c>
      <c r="BK73" s="269">
        <f>BC73*VLOOKUP($B73,'Major Cities &amp; Towns'!$A$28:$B$345,2,FALSE)</f>
        <v>559</v>
      </c>
      <c r="BL73" s="269">
        <f>BD73*VLOOKUP($B73,'Major Cities &amp; Towns'!$A$28:$B$345,2,FALSE)</f>
        <v>549</v>
      </c>
      <c r="BM73" s="269">
        <f>BE73*VLOOKUP($B73,'Major Cities &amp; Towns'!$A$28:$B$345,2,FALSE)</f>
        <v>541</v>
      </c>
      <c r="BN73" s="269">
        <f>BF73*VLOOKUP($B73,'Major Cities &amp; Towns'!$A$28:$B$345,2,FALSE)</f>
        <v>535</v>
      </c>
      <c r="BO73" s="270">
        <f t="shared" si="102"/>
        <v>801.87945205479457</v>
      </c>
      <c r="BP73" s="270">
        <f t="shared" si="103"/>
        <v>1111</v>
      </c>
      <c r="BQ73" s="270">
        <f t="shared" si="104"/>
        <v>1100</v>
      </c>
      <c r="BR73" s="270">
        <f t="shared" si="105"/>
        <v>523</v>
      </c>
      <c r="BS73" s="270">
        <f t="shared" si="106"/>
        <v>559</v>
      </c>
      <c r="BT73" s="270">
        <f t="shared" si="107"/>
        <v>549</v>
      </c>
      <c r="BU73" s="270">
        <f t="shared" si="108"/>
        <v>541</v>
      </c>
      <c r="BV73" s="270">
        <f t="shared" si="109"/>
        <v>535</v>
      </c>
      <c r="BW73" s="39">
        <f>VLOOKUP($A73,NetAdditions!$A$2:$H$336,6,FALSE)</f>
        <v>557</v>
      </c>
      <c r="BX73" s="39">
        <f>VLOOKUP($A73,NetAdditions!$A$2:$H$336,7,FALSE)</f>
        <v>488</v>
      </c>
      <c r="BY73" s="39">
        <f>IF((VLOOKUP($C73,NetAdditions!$A$2:$H$336,8,FALSE))="",(AVERAGE(VLOOKUP($C73,NetAdditions!$A$2:$H$336,5,FALSE),VLOOKUP($C73,NetAdditions!$A$2:$H$336,6,FALSE),VLOOKUP($C73,NetAdditions!$A$2:$H$336,7,FALSE))),VLOOKUP($C73,NetAdditions!$A$2:$H$336,8,FALSE))</f>
        <v>751</v>
      </c>
      <c r="BZ73" s="39">
        <f t="shared" si="110"/>
        <v>598.66666666666663</v>
      </c>
      <c r="CA73" s="39">
        <f t="shared" si="111"/>
        <v>612.55555555555554</v>
      </c>
      <c r="CB73" s="39">
        <f t="shared" si="112"/>
        <v>654.07407407407402</v>
      </c>
      <c r="CC73" s="39">
        <f t="shared" si="113"/>
        <v>621.76543209876536</v>
      </c>
      <c r="CD73" s="39">
        <f t="shared" si="114"/>
        <v>629.46502057613168</v>
      </c>
      <c r="CE73" s="276">
        <f t="shared" si="71"/>
        <v>3012.8794520547945</v>
      </c>
      <c r="CF73" s="276">
        <f t="shared" si="72"/>
        <v>2734</v>
      </c>
      <c r="CG73" s="276">
        <f t="shared" si="73"/>
        <v>2182</v>
      </c>
      <c r="CH73" s="276">
        <f t="shared" si="74"/>
        <v>1631</v>
      </c>
      <c r="CI73" s="276">
        <f t="shared" si="75"/>
        <v>1649</v>
      </c>
      <c r="CJ73" s="276">
        <f t="shared" si="76"/>
        <v>1625</v>
      </c>
      <c r="CK73" s="276">
        <f t="shared" si="115"/>
        <v>2594.4239726027399</v>
      </c>
      <c r="CL73" s="276">
        <f t="shared" si="116"/>
        <v>2354.2777777777778</v>
      </c>
      <c r="CM73" s="276">
        <f t="shared" si="117"/>
        <v>2000.1666666666665</v>
      </c>
      <c r="CN73" s="276">
        <f t="shared" si="118"/>
        <v>1631</v>
      </c>
      <c r="CO73" s="276">
        <f t="shared" si="119"/>
        <v>1649</v>
      </c>
      <c r="CP73" s="276">
        <f t="shared" si="120"/>
        <v>1625</v>
      </c>
      <c r="CQ73" s="39">
        <f t="shared" si="77"/>
        <v>1796</v>
      </c>
      <c r="CR73" s="39">
        <f t="shared" si="78"/>
        <v>1837.6666666666665</v>
      </c>
      <c r="CS73" s="277">
        <f t="shared" si="79"/>
        <v>1962.2222222222222</v>
      </c>
      <c r="CT73" s="39">
        <f t="shared" si="80"/>
        <v>1865.2962962962961</v>
      </c>
      <c r="CU73" s="39">
        <f t="shared" si="81"/>
        <v>1888.3950617283949</v>
      </c>
      <c r="CV73" s="39">
        <f t="shared" si="121"/>
        <v>1905.3045267489711</v>
      </c>
      <c r="CW73" s="297">
        <f t="shared" si="82"/>
        <v>0.69225385633414549</v>
      </c>
      <c r="CX73" s="279" t="str">
        <f t="shared" si="122"/>
        <v>Buffer and Action Plan</v>
      </c>
      <c r="CY73" s="278">
        <f t="shared" si="83"/>
        <v>0.78056492908889252</v>
      </c>
      <c r="CZ73" s="279" t="str">
        <f t="shared" si="123"/>
        <v>Buffer and Action Plan</v>
      </c>
      <c r="DA73" s="278">
        <f t="shared" si="84"/>
        <v>0.98102935866455576</v>
      </c>
      <c r="DB73" s="292" t="str">
        <f t="shared" si="124"/>
        <v>Pass</v>
      </c>
      <c r="DC73" s="299">
        <f t="shared" si="125"/>
        <v>1.1436519290596543</v>
      </c>
      <c r="DD73" s="293" t="str">
        <f t="shared" si="126"/>
        <v>Pass</v>
      </c>
      <c r="DE73" s="299">
        <f t="shared" si="127"/>
        <v>1.1451759015939327</v>
      </c>
      <c r="DF73" s="293" t="str">
        <f t="shared" si="128"/>
        <v>Pass</v>
      </c>
      <c r="DG73" s="299">
        <f t="shared" si="129"/>
        <v>1.1724950933839822</v>
      </c>
      <c r="DH73" s="293" t="str">
        <f t="shared" si="130"/>
        <v>Pass</v>
      </c>
    </row>
    <row r="74" spans="1:112" ht="15" thickTop="1" thickBot="1">
      <c r="A74" s="38" t="s">
        <v>257</v>
      </c>
      <c r="B74" s="38" t="s">
        <v>258</v>
      </c>
      <c r="C74" s="38" t="s">
        <v>257</v>
      </c>
      <c r="D74" s="38" t="s">
        <v>259</v>
      </c>
      <c r="E74" s="38" t="str">
        <f>VLOOKUP(C74,PoliticalControl!A:K,11,FALSE)</f>
        <v>NOC</v>
      </c>
      <c r="F74" s="38" t="str">
        <f>VLOOKUP(C74,UrbanRuralClassification!A:N,13,FALSE)</f>
        <v>Urban with City and Town</v>
      </c>
      <c r="G74" s="38" t="str">
        <f>VLOOKUP(C74,UrbanRuralClassification!A:N,14,FALSE)</f>
        <v>Predominantly Urban</v>
      </c>
      <c r="H74" s="258">
        <f>IF(ISBLANK((VLOOKUP($A74,'local-plan-data'!$C$1:$AD$566,27,FALSE)))=TRUE,"",VLOOKUP($A74,'local-plan-data'!$C$1:$AD$566,27,FALSE))</f>
        <v>40669</v>
      </c>
      <c r="I74" s="259">
        <f>VLOOKUP($A74,'local-plan-data'!$C$1:$AD$566,28,FALSE)</f>
        <v>394.31818181818181</v>
      </c>
      <c r="J74" s="260">
        <f t="shared" si="85"/>
        <v>394.31818181818181</v>
      </c>
      <c r="K74" s="259" t="str">
        <f t="shared" si="69"/>
        <v>-</v>
      </c>
      <c r="L74" s="259" t="str">
        <f t="shared" si="69"/>
        <v>-</v>
      </c>
      <c r="M74" s="259" t="str">
        <f t="shared" si="69"/>
        <v>-</v>
      </c>
      <c r="N74" s="259" t="str">
        <f t="shared" si="69"/>
        <v>-</v>
      </c>
      <c r="O74" s="259" t="str">
        <f t="shared" si="69"/>
        <v>-</v>
      </c>
      <c r="P74" s="259" t="str">
        <f t="shared" si="69"/>
        <v>-</v>
      </c>
      <c r="Q74" s="259" t="str">
        <f t="shared" si="69"/>
        <v>-</v>
      </c>
      <c r="R74" s="259" t="str">
        <f t="shared" si="69"/>
        <v>-</v>
      </c>
      <c r="S74" s="259">
        <f t="shared" si="70"/>
        <v>-695</v>
      </c>
      <c r="T74" s="259">
        <f t="shared" si="70"/>
        <v>-1060</v>
      </c>
      <c r="U74" s="259">
        <f t="shared" si="70"/>
        <v>-1426</v>
      </c>
      <c r="V74" s="259">
        <f t="shared" si="70"/>
        <v>-1791</v>
      </c>
      <c r="W74" s="259">
        <f t="shared" si="70"/>
        <v>-2156</v>
      </c>
      <c r="X74" s="259">
        <f t="shared" si="70"/>
        <v>-2521</v>
      </c>
      <c r="Y74" s="259">
        <f t="shared" si="70"/>
        <v>-2887</v>
      </c>
      <c r="Z74" s="259">
        <f t="shared" si="70"/>
        <v>-3252</v>
      </c>
      <c r="AA74" s="267">
        <f>(VLOOKUP(A74,Hshldprojections2014!$A$2:$AW$319,40, FALSE)-VLOOKUP(A74,Hshldprojections2014!$A$2:$AW$319,30, FALSE))/10</f>
        <v>163</v>
      </c>
      <c r="AB74" s="267">
        <f>(VLOOKUP(A74,Hshldprojections2014!$A$2:$AW$319,41, FALSE)-VLOOKUP(A74,Hshldprojections2014!$A$2:$AW$319,31, FALSE))/10</f>
        <v>158.5</v>
      </c>
      <c r="AC74" s="267">
        <f>(VLOOKUP(A74,Hshldprojections2014!$A$2:$AW$319,42, FALSE)-VLOOKUP(A74,Hshldprojections2014!$A$2:$AW$319,32, FALSE))/10</f>
        <v>155.69999999999999</v>
      </c>
      <c r="AD74" s="267">
        <f>IF(IndividualLATest!$J$7=2014,(VLOOKUP($A74,Hshldprojections2014!$A$2:$AY$326,43,FALSE)-VLOOKUP($A74,Hshldprojections2014!$A$2:$AY$326,33,FALSE))/10,IF(IndividualLATest!$J$7=2016,(VLOOKUP($A74,Hshldprojections2016!$A$1:$AQ$322,33,FALSE)-VLOOKUP($A74,Hshldprojections2016!$A$1:$AQ$322,23,FALSE))/10,(VLOOKUP($A74,Hshldprojections2018!$A$1:$AQ$327,33,FALSE)-VLOOKUP($A74,Hshldprojections2018!$A$1:$AQ$327,23,FALSE))/10))</f>
        <v>144.80000000000001</v>
      </c>
      <c r="AE74" s="267">
        <f>IF(IndividualLATest!$J$7=2014,(VLOOKUP($A74,Hshldprojections2014!$A$2:$AY$326,44,FALSE)-VLOOKUP($A74,Hshldprojections2014!$A$2:$AY$326,34,FALSE))/10,IF(IndividualLATest!$J$7=2016,(VLOOKUP($A74,Hshldprojections2016!$A$1:$AQ$322,34,FALSE)-VLOOKUP($A74,Hshldprojections2016!$A$1:$AQ$322,24,FALSE))/10,(VLOOKUP($A74,Hshldprojections2018!$A$1:$AQ$327,34,FALSE)-VLOOKUP($A74,Hshldprojections2018!$A$1:$AQ$327,24,FALSE))/10))</f>
        <v>140</v>
      </c>
      <c r="AF74" s="267">
        <f>IF(IndividualLATest!$J$7=2014,(VLOOKUP($A74,Hshldprojections2014!$A$2:$AY$326,45,FALSE)-VLOOKUP($A74,Hshldprojections2014!$A$2:$AY$326,35,FALSE))/10,IF(IndividualLATest!$J$7=2016,(VLOOKUP($A74,Hshldprojections2016!$A$1:$AQ$322,35,FALSE)-VLOOKUP($A74,Hshldprojections2016!$A$1:$AQ$322,25,FALSE))/10,(VLOOKUP($A74,Hshldprojections2018!$A$1:$AQ$327,35,FALSE)-VLOOKUP($A74,Hshldprojections2018!$A$1:$AQ$327,25,FALSE))/10))</f>
        <v>140.80000000000001</v>
      </c>
      <c r="AG74" s="267">
        <f>IF(IndividualLATest!$J$7=2014,(VLOOKUP($A74,Hshldprojections2014!$A$2:$AY$326,46,FALSE)-VLOOKUP($A74,Hshldprojections2014!$A$2:$AY$326,36,FALSE))/10,IF(IndividualLATest!$J$7=2016,(VLOOKUP($A74,Hshldprojections2016!$A$1:$AQ$322,36,FALSE)-VLOOKUP($A74,Hshldprojections2016!$A$1:$AQ$322,26,FALSE))/10,(VLOOKUP($A74,Hshldprojections2018!$A$1:$AQ$327,36,FALSE)-VLOOKUP($A74,Hshldprojections2018!$A$1:$AQ$327,26,FALSE))/10))</f>
        <v>137.1</v>
      </c>
      <c r="AH74" s="267">
        <f>IF(IndividualLATest!$J$7=2014,(VLOOKUP($A74,Hshldprojections2014!$A$2:$AY$326,47,FALSE)-VLOOKUP($A74,Hshldprojections2014!$A$2:$AY$326,37,FALSE))/10,IF(IndividualLATest!$J$7=2016,(VLOOKUP($A74,Hshldprojections2016!$A$1:$AQ$322,37,FALSE)-VLOOKUP($A74,Hshldprojections2016!$A$1:$AQ$322,27,FALSE))/10,(VLOOKUP($A74,Hshldprojections2018!$A$1:$AQ$327,37,FALSE)-VLOOKUP($A74,Hshldprojections2018!$A$1:$AQ$327,27,FALSE))/10))</f>
        <v>136.5</v>
      </c>
      <c r="AI74" s="268">
        <f>VLOOKUP($A74,AffordabilityRatio!$A$2:$I$321,5,FALSE)</f>
        <v>5.37</v>
      </c>
      <c r="AJ74" s="268">
        <f>VLOOKUP($A74,AffordabilityRatio!$A$2:$I$321,6,FALSE)</f>
        <v>5.34</v>
      </c>
      <c r="AK74" s="268">
        <f>VLOOKUP($A74,AffordabilityRatio!$A$2:$I$321,7,FALSE)</f>
        <v>5.0199999999999996</v>
      </c>
      <c r="AL74" s="268">
        <f>IF((VLOOKUP($A74,AffordabilityRatio!$A$2:$I$321,8,FALSE))="",AK74,VLOOKUP($A74,AffordabilityRatio!$A$2:$I$321,8,FALSE))</f>
        <v>5.24</v>
      </c>
      <c r="AM74" s="268">
        <f>IF((VLOOKUP($A74,AffordabilityRatio!$A$2:$I$321,9,FALSE))="",AL74,VLOOKUP($A74,AffordabilityRatio!$A$2:$I$321,9,FALSE))</f>
        <v>5.29</v>
      </c>
      <c r="AN74" s="268">
        <f>IF((VLOOKUP($A74,AffordabilityRatio!$A$2:$I$321,9,FALSE))="",AM74,VLOOKUP($A74,AffordabilityRatio!$A$2:$I$321,9,FALSE))</f>
        <v>5.29</v>
      </c>
      <c r="AO74" s="268">
        <f>IF((VLOOKUP($A74,AffordabilityRatio!$A$2:$I$321,9,FALSE))="",AN74,VLOOKUP($A74,AffordabilityRatio!$A$2:$I$321,9,FALSE))</f>
        <v>5.29</v>
      </c>
      <c r="AP74" s="268">
        <f>IF((VLOOKUP($A74,AffordabilityRatio!$A$2:$I$321,9,FALSE))="",AO74,VLOOKUP($A74,AffordabilityRatio!$A$2:$I$321,9,FALSE))</f>
        <v>5.29</v>
      </c>
      <c r="AQ74" s="267">
        <f t="shared" si="86"/>
        <v>177</v>
      </c>
      <c r="AR74" s="267">
        <f t="shared" si="87"/>
        <v>172</v>
      </c>
      <c r="AS74" s="267">
        <f t="shared" si="88"/>
        <v>166</v>
      </c>
      <c r="AT74" s="267">
        <f t="shared" si="89"/>
        <v>156</v>
      </c>
      <c r="AU74" s="267">
        <f t="shared" si="90"/>
        <v>151</v>
      </c>
      <c r="AV74" s="267">
        <f t="shared" si="91"/>
        <v>152</v>
      </c>
      <c r="AW74" s="267">
        <f t="shared" si="92"/>
        <v>148</v>
      </c>
      <c r="AX74" s="267">
        <f t="shared" si="93"/>
        <v>148</v>
      </c>
      <c r="AY74" s="267">
        <f t="shared" si="94"/>
        <v>177</v>
      </c>
      <c r="AZ74" s="267">
        <f t="shared" si="95"/>
        <v>172</v>
      </c>
      <c r="BA74" s="267">
        <f t="shared" si="96"/>
        <v>166</v>
      </c>
      <c r="BB74" s="267">
        <f t="shared" si="97"/>
        <v>156</v>
      </c>
      <c r="BC74" s="267">
        <f t="shared" si="98"/>
        <v>151</v>
      </c>
      <c r="BD74" s="267">
        <f t="shared" si="99"/>
        <v>152</v>
      </c>
      <c r="BE74" s="267">
        <f t="shared" si="100"/>
        <v>148</v>
      </c>
      <c r="BF74" s="267">
        <f t="shared" si="101"/>
        <v>148</v>
      </c>
      <c r="BG74" s="269">
        <f>AY74*VLOOKUP($B74,'Major Cities &amp; Towns'!$A$28:$B$345,2,FALSE)</f>
        <v>177</v>
      </c>
      <c r="BH74" s="269">
        <f>AZ74*VLOOKUP($B74,'Major Cities &amp; Towns'!$A$28:$B$345,2,FALSE)</f>
        <v>172</v>
      </c>
      <c r="BI74" s="269">
        <f>BA74*VLOOKUP($B74,'Major Cities &amp; Towns'!$A$28:$B$345,2,FALSE)</f>
        <v>166</v>
      </c>
      <c r="BJ74" s="269">
        <f>BB74*VLOOKUP($B74,'Major Cities &amp; Towns'!$A$28:$B$345,2,FALSE)</f>
        <v>156</v>
      </c>
      <c r="BK74" s="269">
        <f>BC74*VLOOKUP($B74,'Major Cities &amp; Towns'!$A$28:$B$345,2,FALSE)</f>
        <v>151</v>
      </c>
      <c r="BL74" s="269">
        <f>BD74*VLOOKUP($B74,'Major Cities &amp; Towns'!$A$28:$B$345,2,FALSE)</f>
        <v>152</v>
      </c>
      <c r="BM74" s="269">
        <f>BE74*VLOOKUP($B74,'Major Cities &amp; Towns'!$A$28:$B$345,2,FALSE)</f>
        <v>148</v>
      </c>
      <c r="BN74" s="269">
        <f>BF74*VLOOKUP($B74,'Major Cities &amp; Towns'!$A$28:$B$345,2,FALSE)</f>
        <v>148</v>
      </c>
      <c r="BO74" s="270">
        <f t="shared" si="102"/>
        <v>177</v>
      </c>
      <c r="BP74" s="270">
        <f t="shared" si="103"/>
        <v>172</v>
      </c>
      <c r="BQ74" s="270">
        <f t="shared" si="104"/>
        <v>166</v>
      </c>
      <c r="BR74" s="270">
        <f t="shared" si="105"/>
        <v>156</v>
      </c>
      <c r="BS74" s="270">
        <f t="shared" si="106"/>
        <v>151</v>
      </c>
      <c r="BT74" s="270">
        <f t="shared" si="107"/>
        <v>152</v>
      </c>
      <c r="BU74" s="270">
        <f t="shared" si="108"/>
        <v>148</v>
      </c>
      <c r="BV74" s="270">
        <f t="shared" si="109"/>
        <v>148</v>
      </c>
      <c r="BW74" s="39">
        <f>VLOOKUP($A74,NetAdditions!$A$2:$H$336,6,FALSE)</f>
        <v>538</v>
      </c>
      <c r="BX74" s="39">
        <f>VLOOKUP($A74,NetAdditions!$A$2:$H$336,7,FALSE)</f>
        <v>533</v>
      </c>
      <c r="BY74" s="39">
        <f>IF((VLOOKUP($C74,NetAdditions!$A$2:$H$336,8,FALSE))="",(AVERAGE(VLOOKUP($C74,NetAdditions!$A$2:$H$336,5,FALSE),VLOOKUP($C74,NetAdditions!$A$2:$H$336,6,FALSE),VLOOKUP($C74,NetAdditions!$A$2:$H$336,7,FALSE))),VLOOKUP($C74,NetAdditions!$A$2:$H$336,8,FALSE))</f>
        <v>542</v>
      </c>
      <c r="BZ74" s="39">
        <f t="shared" si="110"/>
        <v>537.66666666666663</v>
      </c>
      <c r="CA74" s="39">
        <f t="shared" si="111"/>
        <v>537.55555555555554</v>
      </c>
      <c r="CB74" s="39">
        <f t="shared" si="112"/>
        <v>539.07407407407402</v>
      </c>
      <c r="CC74" s="39">
        <f t="shared" si="113"/>
        <v>538.09876543209873</v>
      </c>
      <c r="CD74" s="39">
        <f t="shared" si="114"/>
        <v>538.24279835390951</v>
      </c>
      <c r="CE74" s="276">
        <f t="shared" si="71"/>
        <v>515</v>
      </c>
      <c r="CF74" s="276">
        <f t="shared" si="72"/>
        <v>494</v>
      </c>
      <c r="CG74" s="276">
        <f t="shared" si="73"/>
        <v>473</v>
      </c>
      <c r="CH74" s="276">
        <f t="shared" si="74"/>
        <v>459</v>
      </c>
      <c r="CI74" s="276">
        <f t="shared" si="75"/>
        <v>451</v>
      </c>
      <c r="CJ74" s="276">
        <f t="shared" si="76"/>
        <v>448</v>
      </c>
      <c r="CK74" s="276">
        <f t="shared" si="115"/>
        <v>443.47222222222223</v>
      </c>
      <c r="CL74" s="276">
        <f t="shared" si="116"/>
        <v>425.38888888888891</v>
      </c>
      <c r="CM74" s="276">
        <f t="shared" si="117"/>
        <v>433.58333333333331</v>
      </c>
      <c r="CN74" s="276">
        <f t="shared" si="118"/>
        <v>459</v>
      </c>
      <c r="CO74" s="276">
        <f t="shared" si="119"/>
        <v>451</v>
      </c>
      <c r="CP74" s="276">
        <f t="shared" si="120"/>
        <v>448</v>
      </c>
      <c r="CQ74" s="39">
        <f t="shared" si="77"/>
        <v>1613</v>
      </c>
      <c r="CR74" s="39">
        <f t="shared" si="78"/>
        <v>1612.6666666666665</v>
      </c>
      <c r="CS74" s="277">
        <f t="shared" si="79"/>
        <v>1617.2222222222222</v>
      </c>
      <c r="CT74" s="39">
        <f t="shared" si="80"/>
        <v>1614.2962962962961</v>
      </c>
      <c r="CU74" s="39">
        <f t="shared" si="81"/>
        <v>1614.7283950617284</v>
      </c>
      <c r="CV74" s="39">
        <f t="shared" si="121"/>
        <v>1615.4156378600824</v>
      </c>
      <c r="CW74" s="297">
        <f t="shared" si="82"/>
        <v>3.6372063889758848</v>
      </c>
      <c r="CX74" s="279" t="str">
        <f t="shared" si="122"/>
        <v>Pass</v>
      </c>
      <c r="CY74" s="278">
        <f t="shared" si="83"/>
        <v>3.7910408776283133</v>
      </c>
      <c r="CZ74" s="279" t="str">
        <f t="shared" si="123"/>
        <v>Pass</v>
      </c>
      <c r="DA74" s="278">
        <f t="shared" si="84"/>
        <v>3.7298994170030113</v>
      </c>
      <c r="DB74" s="292" t="str">
        <f t="shared" si="124"/>
        <v>Pass</v>
      </c>
      <c r="DC74" s="299">
        <f t="shared" si="125"/>
        <v>3.5169853949810372</v>
      </c>
      <c r="DD74" s="293" t="str">
        <f t="shared" si="126"/>
        <v>Pass</v>
      </c>
      <c r="DE74" s="299">
        <f t="shared" si="127"/>
        <v>3.5803290356135884</v>
      </c>
      <c r="DF74" s="293" t="str">
        <f t="shared" si="128"/>
        <v>Pass</v>
      </c>
      <c r="DG74" s="299">
        <f t="shared" si="129"/>
        <v>3.6058384773662553</v>
      </c>
      <c r="DH74" s="293" t="str">
        <f t="shared" si="130"/>
        <v>Pass</v>
      </c>
    </row>
    <row r="75" spans="1:112" ht="15" thickTop="1" thickBot="1">
      <c r="A75" s="38" t="s">
        <v>260</v>
      </c>
      <c r="B75" s="38" t="s">
        <v>261</v>
      </c>
      <c r="C75" s="38" t="s">
        <v>260</v>
      </c>
      <c r="D75" s="38" t="s">
        <v>113</v>
      </c>
      <c r="E75" s="38" t="str">
        <f>VLOOKUP(C75,PoliticalControl!A:K,11,FALSE)</f>
        <v>CON</v>
      </c>
      <c r="F75" s="38" t="str">
        <f>VLOOKUP(C75,UrbanRuralClassification!A:N,13,FALSE)</f>
        <v>Urban with Major Conurbation</v>
      </c>
      <c r="G75" s="38" t="str">
        <f>VLOOKUP(C75,UrbanRuralClassification!A:N,14,FALSE)</f>
        <v>Predominantly Urban</v>
      </c>
      <c r="H75" s="258">
        <f>IF(ISBLANK((VLOOKUP($A75,'local-plan-data'!$C$1:$AD$566,27,FALSE)))=TRUE,"",VLOOKUP($A75,'local-plan-data'!$C$1:$AD$566,27,FALSE))</f>
        <v>40812</v>
      </c>
      <c r="I75" s="259">
        <f>VLOOKUP($A75,'local-plan-data'!$C$1:$AD$566,28,FALSE)</f>
        <v>865</v>
      </c>
      <c r="J75" s="260">
        <f t="shared" si="85"/>
        <v>865</v>
      </c>
      <c r="K75" s="259" t="str">
        <f t="shared" si="69"/>
        <v>-</v>
      </c>
      <c r="L75" s="259" t="str">
        <f t="shared" si="69"/>
        <v>-</v>
      </c>
      <c r="M75" s="259" t="str">
        <f t="shared" si="69"/>
        <v>-</v>
      </c>
      <c r="N75" s="259" t="str">
        <f t="shared" si="69"/>
        <v>-</v>
      </c>
      <c r="O75" s="259" t="str">
        <f t="shared" si="69"/>
        <v>-</v>
      </c>
      <c r="P75" s="259" t="str">
        <f t="shared" si="69"/>
        <v>-</v>
      </c>
      <c r="Q75" s="259" t="str">
        <f t="shared" si="69"/>
        <v>-</v>
      </c>
      <c r="R75" s="259" t="str">
        <f t="shared" si="69"/>
        <v>-</v>
      </c>
      <c r="S75" s="259">
        <f t="shared" si="70"/>
        <v>-552</v>
      </c>
      <c r="T75" s="259">
        <f t="shared" si="70"/>
        <v>-917</v>
      </c>
      <c r="U75" s="259">
        <f t="shared" si="70"/>
        <v>-1283</v>
      </c>
      <c r="V75" s="259">
        <f t="shared" si="70"/>
        <v>-1648</v>
      </c>
      <c r="W75" s="259">
        <f t="shared" si="70"/>
        <v>-2013</v>
      </c>
      <c r="X75" s="259">
        <f t="shared" si="70"/>
        <v>-2378</v>
      </c>
      <c r="Y75" s="259">
        <f t="shared" si="70"/>
        <v>-2744</v>
      </c>
      <c r="Z75" s="259">
        <f t="shared" si="70"/>
        <v>-3109</v>
      </c>
      <c r="AA75" s="267">
        <f>(VLOOKUP(A75,Hshldprojections2014!$A$2:$AW$319,40, FALSE)-VLOOKUP(A75,Hshldprojections2014!$A$2:$AW$319,30, FALSE))/10</f>
        <v>595.29999999999995</v>
      </c>
      <c r="AB75" s="267">
        <f>(VLOOKUP(A75,Hshldprojections2014!$A$2:$AW$319,41, FALSE)-VLOOKUP(A75,Hshldprojections2014!$A$2:$AW$319,31, FALSE))/10</f>
        <v>588.4</v>
      </c>
      <c r="AC75" s="267">
        <f>(VLOOKUP(A75,Hshldprojections2014!$A$2:$AW$319,42, FALSE)-VLOOKUP(A75,Hshldprojections2014!$A$2:$AW$319,32, FALSE))/10</f>
        <v>585</v>
      </c>
      <c r="AD75" s="267">
        <f>IF(IndividualLATest!$J$7=2014,(VLOOKUP($A75,Hshldprojections2014!$A$2:$AY$326,43,FALSE)-VLOOKUP($A75,Hshldprojections2014!$A$2:$AY$326,33,FALSE))/10,IF(IndividualLATest!$J$7=2016,(VLOOKUP($A75,Hshldprojections2016!$A$1:$AQ$322,33,FALSE)-VLOOKUP($A75,Hshldprojections2016!$A$1:$AQ$322,23,FALSE))/10,(VLOOKUP($A75,Hshldprojections2018!$A$1:$AQ$327,33,FALSE)-VLOOKUP($A75,Hshldprojections2018!$A$1:$AQ$327,23,FALSE))/10))</f>
        <v>643.9</v>
      </c>
      <c r="AE75" s="267">
        <f>IF(IndividualLATest!$J$7=2014,(VLOOKUP($A75,Hshldprojections2014!$A$2:$AY$326,44,FALSE)-VLOOKUP($A75,Hshldprojections2014!$A$2:$AY$326,34,FALSE))/10,IF(IndividualLATest!$J$7=2016,(VLOOKUP($A75,Hshldprojections2016!$A$1:$AQ$322,34,FALSE)-VLOOKUP($A75,Hshldprojections2016!$A$1:$AQ$322,24,FALSE))/10,(VLOOKUP($A75,Hshldprojections2018!$A$1:$AQ$327,34,FALSE)-VLOOKUP($A75,Hshldprojections2018!$A$1:$AQ$327,24,FALSE))/10))</f>
        <v>629.4</v>
      </c>
      <c r="AF75" s="267">
        <f>IF(IndividualLATest!$J$7=2014,(VLOOKUP($A75,Hshldprojections2014!$A$2:$AY$326,45,FALSE)-VLOOKUP($A75,Hshldprojections2014!$A$2:$AY$326,35,FALSE))/10,IF(IndividualLATest!$J$7=2016,(VLOOKUP($A75,Hshldprojections2016!$A$1:$AQ$322,35,FALSE)-VLOOKUP($A75,Hshldprojections2016!$A$1:$AQ$322,25,FALSE))/10,(VLOOKUP($A75,Hshldprojections2018!$A$1:$AQ$327,35,FALSE)-VLOOKUP($A75,Hshldprojections2018!$A$1:$AQ$327,25,FALSE))/10))</f>
        <v>616.5</v>
      </c>
      <c r="AG75" s="267">
        <f>IF(IndividualLATest!$J$7=2014,(VLOOKUP($A75,Hshldprojections2014!$A$2:$AY$326,46,FALSE)-VLOOKUP($A75,Hshldprojections2014!$A$2:$AY$326,36,FALSE))/10,IF(IndividualLATest!$J$7=2016,(VLOOKUP($A75,Hshldprojections2016!$A$1:$AQ$322,36,FALSE)-VLOOKUP($A75,Hshldprojections2016!$A$1:$AQ$322,26,FALSE))/10,(VLOOKUP($A75,Hshldprojections2018!$A$1:$AQ$327,36,FALSE)-VLOOKUP($A75,Hshldprojections2018!$A$1:$AQ$327,26,FALSE))/10))</f>
        <v>603.4</v>
      </c>
      <c r="AH75" s="267">
        <f>IF(IndividualLATest!$J$7=2014,(VLOOKUP($A75,Hshldprojections2014!$A$2:$AY$326,47,FALSE)-VLOOKUP($A75,Hshldprojections2014!$A$2:$AY$326,37,FALSE))/10,IF(IndividualLATest!$J$7=2016,(VLOOKUP($A75,Hshldprojections2016!$A$1:$AQ$322,37,FALSE)-VLOOKUP($A75,Hshldprojections2016!$A$1:$AQ$322,27,FALSE))/10,(VLOOKUP($A75,Hshldprojections2018!$A$1:$AQ$327,37,FALSE)-VLOOKUP($A75,Hshldprojections2018!$A$1:$AQ$327,27,FALSE))/10))</f>
        <v>593.5</v>
      </c>
      <c r="AI75" s="268">
        <f>VLOOKUP($A75,AffordabilityRatio!$A$2:$I$321,5,FALSE)</f>
        <v>9.8800000000000008</v>
      </c>
      <c r="AJ75" s="268">
        <f>VLOOKUP($A75,AffordabilityRatio!$A$2:$I$321,6,FALSE)</f>
        <v>9.67</v>
      </c>
      <c r="AK75" s="268">
        <f>VLOOKUP($A75,AffordabilityRatio!$A$2:$I$321,7,FALSE)</f>
        <v>9.18</v>
      </c>
      <c r="AL75" s="268">
        <f>IF((VLOOKUP($A75,AffordabilityRatio!$A$2:$I$321,8,FALSE))="",AK75,VLOOKUP($A75,AffordabilityRatio!$A$2:$I$321,8,FALSE))</f>
        <v>8.73</v>
      </c>
      <c r="AM75" s="268">
        <f>IF((VLOOKUP($A75,AffordabilityRatio!$A$2:$I$321,9,FALSE))="",AL75,VLOOKUP($A75,AffordabilityRatio!$A$2:$I$321,9,FALSE))</f>
        <v>8.86</v>
      </c>
      <c r="AN75" s="268">
        <f>IF((VLOOKUP($A75,AffordabilityRatio!$A$2:$I$321,9,FALSE))="",AM75,VLOOKUP($A75,AffordabilityRatio!$A$2:$I$321,9,FALSE))</f>
        <v>8.86</v>
      </c>
      <c r="AO75" s="268">
        <f>IF((VLOOKUP($A75,AffordabilityRatio!$A$2:$I$321,9,FALSE))="",AN75,VLOOKUP($A75,AffordabilityRatio!$A$2:$I$321,9,FALSE))</f>
        <v>8.86</v>
      </c>
      <c r="AP75" s="268">
        <f>IF((VLOOKUP($A75,AffordabilityRatio!$A$2:$I$321,9,FALSE))="",AO75,VLOOKUP($A75,AffordabilityRatio!$A$2:$I$321,9,FALSE))</f>
        <v>8.86</v>
      </c>
      <c r="AQ75" s="267">
        <f t="shared" si="86"/>
        <v>814</v>
      </c>
      <c r="AR75" s="267">
        <f t="shared" si="87"/>
        <v>797</v>
      </c>
      <c r="AS75" s="267">
        <f t="shared" si="88"/>
        <v>774</v>
      </c>
      <c r="AT75" s="267">
        <f t="shared" si="89"/>
        <v>834</v>
      </c>
      <c r="AU75" s="267">
        <f t="shared" si="90"/>
        <v>821</v>
      </c>
      <c r="AV75" s="267">
        <f t="shared" si="91"/>
        <v>804</v>
      </c>
      <c r="AW75" s="267">
        <f t="shared" si="92"/>
        <v>787</v>
      </c>
      <c r="AX75" s="267">
        <f t="shared" si="93"/>
        <v>774</v>
      </c>
      <c r="AY75" s="267">
        <f t="shared" si="94"/>
        <v>814</v>
      </c>
      <c r="AZ75" s="267">
        <f t="shared" si="95"/>
        <v>797</v>
      </c>
      <c r="BA75" s="267">
        <f t="shared" si="96"/>
        <v>774</v>
      </c>
      <c r="BB75" s="267">
        <f t="shared" si="97"/>
        <v>834</v>
      </c>
      <c r="BC75" s="267">
        <f t="shared" si="98"/>
        <v>821</v>
      </c>
      <c r="BD75" s="267">
        <f t="shared" si="99"/>
        <v>804</v>
      </c>
      <c r="BE75" s="267">
        <f t="shared" si="100"/>
        <v>787</v>
      </c>
      <c r="BF75" s="267">
        <f t="shared" si="101"/>
        <v>774</v>
      </c>
      <c r="BG75" s="269">
        <f>AY75*VLOOKUP($B75,'Major Cities &amp; Towns'!$A$28:$B$345,2,FALSE)</f>
        <v>814</v>
      </c>
      <c r="BH75" s="269">
        <f>AZ75*VLOOKUP($B75,'Major Cities &amp; Towns'!$A$28:$B$345,2,FALSE)</f>
        <v>797</v>
      </c>
      <c r="BI75" s="269">
        <f>BA75*VLOOKUP($B75,'Major Cities &amp; Towns'!$A$28:$B$345,2,FALSE)</f>
        <v>774</v>
      </c>
      <c r="BJ75" s="269">
        <f>BB75*VLOOKUP($B75,'Major Cities &amp; Towns'!$A$28:$B$345,2,FALSE)</f>
        <v>834</v>
      </c>
      <c r="BK75" s="269">
        <f>BC75*VLOOKUP($B75,'Major Cities &amp; Towns'!$A$28:$B$345,2,FALSE)</f>
        <v>821</v>
      </c>
      <c r="BL75" s="269">
        <f>BD75*VLOOKUP($B75,'Major Cities &amp; Towns'!$A$28:$B$345,2,FALSE)</f>
        <v>804</v>
      </c>
      <c r="BM75" s="269">
        <f>BE75*VLOOKUP($B75,'Major Cities &amp; Towns'!$A$28:$B$345,2,FALSE)</f>
        <v>787</v>
      </c>
      <c r="BN75" s="269">
        <f>BF75*VLOOKUP($B75,'Major Cities &amp; Towns'!$A$28:$B$345,2,FALSE)</f>
        <v>774</v>
      </c>
      <c r="BO75" s="270">
        <f t="shared" si="102"/>
        <v>814</v>
      </c>
      <c r="BP75" s="270">
        <f t="shared" si="103"/>
        <v>797</v>
      </c>
      <c r="BQ75" s="270">
        <f t="shared" si="104"/>
        <v>774</v>
      </c>
      <c r="BR75" s="270">
        <f t="shared" si="105"/>
        <v>834</v>
      </c>
      <c r="BS75" s="270">
        <f t="shared" si="106"/>
        <v>821</v>
      </c>
      <c r="BT75" s="270">
        <f t="shared" si="107"/>
        <v>804</v>
      </c>
      <c r="BU75" s="270">
        <f t="shared" si="108"/>
        <v>787</v>
      </c>
      <c r="BV75" s="270">
        <f t="shared" si="109"/>
        <v>774</v>
      </c>
      <c r="BW75" s="39">
        <f>VLOOKUP($A75,NetAdditions!$A$2:$H$336,6,FALSE)</f>
        <v>1013</v>
      </c>
      <c r="BX75" s="39">
        <f>VLOOKUP($A75,NetAdditions!$A$2:$H$336,7,FALSE)</f>
        <v>540</v>
      </c>
      <c r="BY75" s="39">
        <f>IF((VLOOKUP($C75,NetAdditions!$A$2:$H$336,8,FALSE))="",(AVERAGE(VLOOKUP($C75,NetAdditions!$A$2:$H$336,5,FALSE),VLOOKUP($C75,NetAdditions!$A$2:$H$336,6,FALSE),VLOOKUP($C75,NetAdditions!$A$2:$H$336,7,FALSE))),VLOOKUP($C75,NetAdditions!$A$2:$H$336,8,FALSE))</f>
        <v>606</v>
      </c>
      <c r="BZ75" s="39">
        <f t="shared" si="110"/>
        <v>719.66666666666663</v>
      </c>
      <c r="CA75" s="39">
        <f t="shared" si="111"/>
        <v>621.8888888888888</v>
      </c>
      <c r="CB75" s="39">
        <f t="shared" si="112"/>
        <v>649.18518518518511</v>
      </c>
      <c r="CC75" s="39">
        <f t="shared" si="113"/>
        <v>663.58024691358014</v>
      </c>
      <c r="CD75" s="39">
        <f t="shared" si="114"/>
        <v>644.88477366255131</v>
      </c>
      <c r="CE75" s="276">
        <f t="shared" si="71"/>
        <v>2385</v>
      </c>
      <c r="CF75" s="276">
        <f t="shared" si="72"/>
        <v>2405</v>
      </c>
      <c r="CG75" s="276">
        <f t="shared" si="73"/>
        <v>2429</v>
      </c>
      <c r="CH75" s="276">
        <f t="shared" si="74"/>
        <v>2459</v>
      </c>
      <c r="CI75" s="276">
        <f t="shared" si="75"/>
        <v>2412</v>
      </c>
      <c r="CJ75" s="276">
        <f t="shared" si="76"/>
        <v>2365</v>
      </c>
      <c r="CK75" s="276">
        <f t="shared" si="115"/>
        <v>2053.75</v>
      </c>
      <c r="CL75" s="276">
        <f t="shared" si="116"/>
        <v>2070.9722222222222</v>
      </c>
      <c r="CM75" s="276">
        <f t="shared" si="117"/>
        <v>2226.583333333333</v>
      </c>
      <c r="CN75" s="276">
        <f t="shared" si="118"/>
        <v>2459</v>
      </c>
      <c r="CO75" s="276">
        <f t="shared" si="119"/>
        <v>2412</v>
      </c>
      <c r="CP75" s="276">
        <f t="shared" si="120"/>
        <v>2365</v>
      </c>
      <c r="CQ75" s="39">
        <f t="shared" si="77"/>
        <v>2159</v>
      </c>
      <c r="CR75" s="39">
        <f t="shared" si="78"/>
        <v>1865.6666666666665</v>
      </c>
      <c r="CS75" s="277">
        <f t="shared" si="79"/>
        <v>1947.5555555555552</v>
      </c>
      <c r="CT75" s="39">
        <f t="shared" si="80"/>
        <v>1990.7407407407404</v>
      </c>
      <c r="CU75" s="39">
        <f t="shared" si="81"/>
        <v>1934.654320987654</v>
      </c>
      <c r="CV75" s="39">
        <f t="shared" si="121"/>
        <v>1957.6502057613166</v>
      </c>
      <c r="CW75" s="297">
        <f t="shared" si="82"/>
        <v>1.0512477175897748</v>
      </c>
      <c r="CX75" s="279" t="str">
        <f t="shared" si="122"/>
        <v>Pass</v>
      </c>
      <c r="CY75" s="278">
        <f t="shared" si="83"/>
        <v>0.9008651331231976</v>
      </c>
      <c r="CZ75" s="279" t="str">
        <f t="shared" si="123"/>
        <v>Action Plan</v>
      </c>
      <c r="DA75" s="278">
        <f t="shared" si="84"/>
        <v>0.87468343376124347</v>
      </c>
      <c r="DB75" s="292" t="str">
        <f t="shared" si="124"/>
        <v>Action Plan</v>
      </c>
      <c r="DC75" s="299">
        <f t="shared" si="125"/>
        <v>0.80957329838989034</v>
      </c>
      <c r="DD75" s="293" t="str">
        <f t="shared" si="126"/>
        <v>Buffer and Action Plan</v>
      </c>
      <c r="DE75" s="299">
        <f t="shared" si="127"/>
        <v>0.80209548963003896</v>
      </c>
      <c r="DF75" s="293" t="str">
        <f t="shared" si="128"/>
        <v>Buffer and Action Plan</v>
      </c>
      <c r="DG75" s="299">
        <f t="shared" si="129"/>
        <v>0.82775907220351652</v>
      </c>
      <c r="DH75" s="293" t="str">
        <f t="shared" si="130"/>
        <v>Buffer and Action Plan</v>
      </c>
    </row>
    <row r="76" spans="1:112" ht="15" thickTop="1" thickBot="1">
      <c r="A76" s="38" t="s">
        <v>262</v>
      </c>
      <c r="B76" s="38" t="s">
        <v>263</v>
      </c>
      <c r="C76" s="38" t="s">
        <v>262</v>
      </c>
      <c r="D76" s="38" t="s">
        <v>119</v>
      </c>
      <c r="E76" s="38" t="e">
        <f>VLOOKUP(C76,PoliticalControl!A:K,11,FALSE)</f>
        <v>#N/A</v>
      </c>
      <c r="F76" s="38" t="str">
        <f>VLOOKUP(C76,UrbanRuralClassification!A:N,13,FALSE)</f>
        <v xml:space="preserve">Mainly Rural (rural including hub towns &gt;=80%) </v>
      </c>
      <c r="G76" s="38" t="str">
        <f>VLOOKUP(C76,UrbanRuralClassification!A:N,14,FALSE)</f>
        <v>Predominantly Rural</v>
      </c>
      <c r="H76" s="258">
        <f>IF(ISBLANK((VLOOKUP($A76,'local-plan-data'!$C$1:$AD$566,27,FALSE)))=TRUE,"",VLOOKUP($A76,'local-plan-data'!$C$1:$AD$566,27,FALSE))</f>
        <v>41988</v>
      </c>
      <c r="I76" s="259">
        <f>VLOOKUP($A76,'local-plan-data'!$C$1:$AD$566,28,FALSE)</f>
        <v>707.22222222222217</v>
      </c>
      <c r="J76" s="260">
        <f t="shared" si="85"/>
        <v>707.22222222222217</v>
      </c>
      <c r="K76" s="259">
        <f t="shared" si="69"/>
        <v>707.22222222222217</v>
      </c>
      <c r="L76" s="259">
        <f t="shared" si="69"/>
        <v>707.22222222222217</v>
      </c>
      <c r="M76" s="259" t="str">
        <f t="shared" si="69"/>
        <v>-</v>
      </c>
      <c r="N76" s="259" t="str">
        <f t="shared" si="69"/>
        <v>-</v>
      </c>
      <c r="O76" s="259" t="str">
        <f t="shared" si="69"/>
        <v>-</v>
      </c>
      <c r="P76" s="259" t="str">
        <f t="shared" si="69"/>
        <v>-</v>
      </c>
      <c r="Q76" s="259" t="str">
        <f t="shared" si="69"/>
        <v>-</v>
      </c>
      <c r="R76" s="259" t="str">
        <f t="shared" si="69"/>
        <v>-</v>
      </c>
      <c r="S76" s="259">
        <f t="shared" si="70"/>
        <v>623</v>
      </c>
      <c r="T76" s="259">
        <f t="shared" si="70"/>
        <v>258</v>
      </c>
      <c r="U76" s="259">
        <f t="shared" si="70"/>
        <v>-108</v>
      </c>
      <c r="V76" s="259">
        <f t="shared" si="70"/>
        <v>-473</v>
      </c>
      <c r="W76" s="259">
        <f t="shared" si="70"/>
        <v>-838</v>
      </c>
      <c r="X76" s="259">
        <f t="shared" si="70"/>
        <v>-1203</v>
      </c>
      <c r="Y76" s="259">
        <f t="shared" si="70"/>
        <v>-1569</v>
      </c>
      <c r="Z76" s="259">
        <f t="shared" si="70"/>
        <v>-1934</v>
      </c>
      <c r="AA76" s="267">
        <f>(VLOOKUP(A76,Hshldprojections2014!$A$2:$AW$319,40, FALSE)-VLOOKUP(A76,Hshldprojections2014!$A$2:$AW$319,30, FALSE))/10</f>
        <v>273.2</v>
      </c>
      <c r="AB76" s="267">
        <f>(VLOOKUP(A76,Hshldprojections2014!$A$2:$AW$319,41, FALSE)-VLOOKUP(A76,Hshldprojections2014!$A$2:$AW$319,31, FALSE))/10</f>
        <v>267.5</v>
      </c>
      <c r="AC76" s="267">
        <f>(VLOOKUP(A76,Hshldprojections2014!$A$2:$AW$319,42, FALSE)-VLOOKUP(A76,Hshldprojections2014!$A$2:$AW$319,32, FALSE))/10</f>
        <v>262.2</v>
      </c>
      <c r="AD76" s="267">
        <f>IF(IndividualLATest!$J$7=2014,(VLOOKUP($A76,Hshldprojections2014!$A$2:$AY$326,43,FALSE)-VLOOKUP($A76,Hshldprojections2014!$A$2:$AY$326,33,FALSE))/10,IF(IndividualLATest!$J$7=2016,(VLOOKUP($A76,Hshldprojections2016!$A$1:$AQ$322,33,FALSE)-VLOOKUP($A76,Hshldprojections2016!$A$1:$AQ$322,23,FALSE))/10,(VLOOKUP($A76,Hshldprojections2018!$A$1:$AQ$327,33,FALSE)-VLOOKUP($A76,Hshldprojections2018!$A$1:$AQ$327,23,FALSE))/10))</f>
        <v>526.29999999999995</v>
      </c>
      <c r="AE76" s="267">
        <f>IF(IndividualLATest!$J$7=2014,(VLOOKUP($A76,Hshldprojections2014!$A$2:$AY$326,44,FALSE)-VLOOKUP($A76,Hshldprojections2014!$A$2:$AY$326,34,FALSE))/10,IF(IndividualLATest!$J$7=2016,(VLOOKUP($A76,Hshldprojections2016!$A$1:$AQ$322,34,FALSE)-VLOOKUP($A76,Hshldprojections2016!$A$1:$AQ$322,24,FALSE))/10,(VLOOKUP($A76,Hshldprojections2018!$A$1:$AQ$327,34,FALSE)-VLOOKUP($A76,Hshldprojections2018!$A$1:$AQ$327,24,FALSE))/10))</f>
        <v>508.8</v>
      </c>
      <c r="AF76" s="267">
        <f>IF(IndividualLATest!$J$7=2014,(VLOOKUP($A76,Hshldprojections2014!$A$2:$AY$326,45,FALSE)-VLOOKUP($A76,Hshldprojections2014!$A$2:$AY$326,35,FALSE))/10,IF(IndividualLATest!$J$7=2016,(VLOOKUP($A76,Hshldprojections2016!$A$1:$AQ$322,35,FALSE)-VLOOKUP($A76,Hshldprojections2016!$A$1:$AQ$322,25,FALSE))/10,(VLOOKUP($A76,Hshldprojections2018!$A$1:$AQ$327,35,FALSE)-VLOOKUP($A76,Hshldprojections2018!$A$1:$AQ$327,25,FALSE))/10))</f>
        <v>492.2</v>
      </c>
      <c r="AG76" s="267">
        <f>IF(IndividualLATest!$J$7=2014,(VLOOKUP($A76,Hshldprojections2014!$A$2:$AY$326,46,FALSE)-VLOOKUP($A76,Hshldprojections2014!$A$2:$AY$326,36,FALSE))/10,IF(IndividualLATest!$J$7=2016,(VLOOKUP($A76,Hshldprojections2016!$A$1:$AQ$322,36,FALSE)-VLOOKUP($A76,Hshldprojections2016!$A$1:$AQ$322,26,FALSE))/10,(VLOOKUP($A76,Hshldprojections2018!$A$1:$AQ$327,36,FALSE)-VLOOKUP($A76,Hshldprojections2018!$A$1:$AQ$327,26,FALSE))/10))</f>
        <v>478.5</v>
      </c>
      <c r="AH76" s="267">
        <f>IF(IndividualLATest!$J$7=2014,(VLOOKUP($A76,Hshldprojections2014!$A$2:$AY$326,47,FALSE)-VLOOKUP($A76,Hshldprojections2014!$A$2:$AY$326,37,FALSE))/10,IF(IndividualLATest!$J$7=2016,(VLOOKUP($A76,Hshldprojections2016!$A$1:$AQ$322,37,FALSE)-VLOOKUP($A76,Hshldprojections2016!$A$1:$AQ$322,27,FALSE))/10,(VLOOKUP($A76,Hshldprojections2018!$A$1:$AQ$327,37,FALSE)-VLOOKUP($A76,Hshldprojections2018!$A$1:$AQ$327,27,FALSE))/10))</f>
        <v>464.7</v>
      </c>
      <c r="AI76" s="268">
        <f>VLOOKUP($A76,AffordabilityRatio!$A$2:$I$321,5,FALSE)</f>
        <v>10.220000000000001</v>
      </c>
      <c r="AJ76" s="268">
        <f>VLOOKUP($A76,AffordabilityRatio!$A$2:$I$321,6,FALSE)</f>
        <v>10.210000000000001</v>
      </c>
      <c r="AK76" s="268">
        <f>VLOOKUP($A76,AffordabilityRatio!$A$2:$I$321,7,FALSE)</f>
        <v>9.2799999999999994</v>
      </c>
      <c r="AL76" s="268">
        <f>IF((VLOOKUP($A76,AffordabilityRatio!$A$2:$I$321,8,FALSE))="",AK76,VLOOKUP($A76,AffordabilityRatio!$A$2:$I$321,8,FALSE))</f>
        <v>9.2100000000000009</v>
      </c>
      <c r="AM76" s="268">
        <f>IF((VLOOKUP($A76,AffordabilityRatio!$A$2:$I$321,9,FALSE))="",AL76,VLOOKUP($A76,AffordabilityRatio!$A$2:$I$321,9,FALSE))</f>
        <v>9.2100000000000009</v>
      </c>
      <c r="AN76" s="268">
        <f>IF((VLOOKUP($A76,AffordabilityRatio!$A$2:$I$321,9,FALSE))="",AM76,VLOOKUP($A76,AffordabilityRatio!$A$2:$I$321,9,FALSE))</f>
        <v>9.2100000000000009</v>
      </c>
      <c r="AO76" s="268">
        <f>IF((VLOOKUP($A76,AffordabilityRatio!$A$2:$I$321,9,FALSE))="",AN76,VLOOKUP($A76,AffordabilityRatio!$A$2:$I$321,9,FALSE))</f>
        <v>9.2100000000000009</v>
      </c>
      <c r="AP76" s="268">
        <f>IF((VLOOKUP($A76,AffordabilityRatio!$A$2:$I$321,9,FALSE))="",AO76,VLOOKUP($A76,AffordabilityRatio!$A$2:$I$321,9,FALSE))</f>
        <v>9.2100000000000009</v>
      </c>
      <c r="AQ76" s="267">
        <f t="shared" si="86"/>
        <v>379</v>
      </c>
      <c r="AR76" s="267">
        <f t="shared" si="87"/>
        <v>371</v>
      </c>
      <c r="AS76" s="267">
        <f t="shared" si="88"/>
        <v>349</v>
      </c>
      <c r="AT76" s="267">
        <f t="shared" si="89"/>
        <v>698</v>
      </c>
      <c r="AU76" s="267">
        <f t="shared" si="90"/>
        <v>674</v>
      </c>
      <c r="AV76" s="267">
        <f t="shared" si="91"/>
        <v>652</v>
      </c>
      <c r="AW76" s="267">
        <f t="shared" si="92"/>
        <v>634</v>
      </c>
      <c r="AX76" s="267">
        <f t="shared" si="93"/>
        <v>616</v>
      </c>
      <c r="AY76" s="267">
        <f t="shared" si="94"/>
        <v>379</v>
      </c>
      <c r="AZ76" s="267">
        <f t="shared" si="95"/>
        <v>371</v>
      </c>
      <c r="BA76" s="267">
        <f t="shared" si="96"/>
        <v>349</v>
      </c>
      <c r="BB76" s="267">
        <f t="shared" si="97"/>
        <v>698</v>
      </c>
      <c r="BC76" s="267">
        <f t="shared" si="98"/>
        <v>674</v>
      </c>
      <c r="BD76" s="267">
        <f t="shared" si="99"/>
        <v>652</v>
      </c>
      <c r="BE76" s="267">
        <f t="shared" si="100"/>
        <v>634</v>
      </c>
      <c r="BF76" s="267">
        <f t="shared" si="101"/>
        <v>616</v>
      </c>
      <c r="BG76" s="269">
        <f>AY76*VLOOKUP($B76,'Major Cities &amp; Towns'!$A$28:$B$345,2,FALSE)</f>
        <v>379</v>
      </c>
      <c r="BH76" s="269">
        <f>AZ76*VLOOKUP($B76,'Major Cities &amp; Towns'!$A$28:$B$345,2,FALSE)</f>
        <v>371</v>
      </c>
      <c r="BI76" s="269">
        <f>BA76*VLOOKUP($B76,'Major Cities &amp; Towns'!$A$28:$B$345,2,FALSE)</f>
        <v>349</v>
      </c>
      <c r="BJ76" s="269">
        <f>BB76*VLOOKUP($B76,'Major Cities &amp; Towns'!$A$28:$B$345,2,FALSE)</f>
        <v>698</v>
      </c>
      <c r="BK76" s="269">
        <f>BC76*VLOOKUP($B76,'Major Cities &amp; Towns'!$A$28:$B$345,2,FALSE)</f>
        <v>674</v>
      </c>
      <c r="BL76" s="269">
        <f>BD76*VLOOKUP($B76,'Major Cities &amp; Towns'!$A$28:$B$345,2,FALSE)</f>
        <v>652</v>
      </c>
      <c r="BM76" s="269">
        <f>BE76*VLOOKUP($B76,'Major Cities &amp; Towns'!$A$28:$B$345,2,FALSE)</f>
        <v>634</v>
      </c>
      <c r="BN76" s="269">
        <f>BF76*VLOOKUP($B76,'Major Cities &amp; Towns'!$A$28:$B$345,2,FALSE)</f>
        <v>616</v>
      </c>
      <c r="BO76" s="270">
        <f t="shared" si="102"/>
        <v>379</v>
      </c>
      <c r="BP76" s="270">
        <f t="shared" si="103"/>
        <v>371</v>
      </c>
      <c r="BQ76" s="270">
        <f t="shared" si="104"/>
        <v>349</v>
      </c>
      <c r="BR76" s="270">
        <f t="shared" si="105"/>
        <v>698</v>
      </c>
      <c r="BS76" s="270">
        <f t="shared" si="106"/>
        <v>674</v>
      </c>
      <c r="BT76" s="270">
        <f t="shared" si="107"/>
        <v>652</v>
      </c>
      <c r="BU76" s="270">
        <f t="shared" si="108"/>
        <v>634</v>
      </c>
      <c r="BV76" s="270">
        <f t="shared" si="109"/>
        <v>616</v>
      </c>
      <c r="BW76" s="39">
        <f>VLOOKUP($A76,NetAdditions!$A$2:$H$336,6,FALSE)</f>
        <v>796</v>
      </c>
      <c r="BX76" s="39">
        <f>VLOOKUP($A76,NetAdditions!$A$2:$H$336,7,FALSE)</f>
        <v>549</v>
      </c>
      <c r="BY76" s="39">
        <f>IF((VLOOKUP($C76,NetAdditions!$A$2:$H$336,8,FALSE))="",(AVERAGE(VLOOKUP($C76,NetAdditions!$A$2:$H$336,5,FALSE),VLOOKUP($C76,NetAdditions!$A$2:$H$336,6,FALSE),VLOOKUP($C76,NetAdditions!$A$2:$H$336,7,FALSE))),VLOOKUP($C76,NetAdditions!$A$2:$H$336,8,FALSE))</f>
        <v>733</v>
      </c>
      <c r="BZ76" s="39">
        <f t="shared" si="110"/>
        <v>692.66666666666663</v>
      </c>
      <c r="CA76" s="39">
        <f t="shared" si="111"/>
        <v>658.22222222222217</v>
      </c>
      <c r="CB76" s="39">
        <f t="shared" si="112"/>
        <v>694.62962962962956</v>
      </c>
      <c r="CC76" s="39">
        <f t="shared" si="113"/>
        <v>681.83950617283938</v>
      </c>
      <c r="CD76" s="39">
        <f t="shared" si="114"/>
        <v>678.23045267489704</v>
      </c>
      <c r="CE76" s="276">
        <f t="shared" si="71"/>
        <v>1099</v>
      </c>
      <c r="CF76" s="276">
        <f t="shared" si="72"/>
        <v>1418</v>
      </c>
      <c r="CG76" s="276">
        <f t="shared" si="73"/>
        <v>1721</v>
      </c>
      <c r="CH76" s="276">
        <f t="shared" si="74"/>
        <v>2024</v>
      </c>
      <c r="CI76" s="276">
        <f t="shared" si="75"/>
        <v>1960</v>
      </c>
      <c r="CJ76" s="276">
        <f t="shared" si="76"/>
        <v>1902</v>
      </c>
      <c r="CK76" s="276">
        <f t="shared" si="115"/>
        <v>946.3611111111112</v>
      </c>
      <c r="CL76" s="276">
        <f t="shared" si="116"/>
        <v>1221.0555555555557</v>
      </c>
      <c r="CM76" s="276">
        <f t="shared" si="117"/>
        <v>1577.5833333333333</v>
      </c>
      <c r="CN76" s="276">
        <f t="shared" si="118"/>
        <v>2024</v>
      </c>
      <c r="CO76" s="276">
        <f t="shared" si="119"/>
        <v>1960</v>
      </c>
      <c r="CP76" s="276">
        <f t="shared" si="120"/>
        <v>1902</v>
      </c>
      <c r="CQ76" s="39">
        <f t="shared" si="77"/>
        <v>2078</v>
      </c>
      <c r="CR76" s="39">
        <f t="shared" si="78"/>
        <v>1974.6666666666665</v>
      </c>
      <c r="CS76" s="277">
        <f t="shared" si="79"/>
        <v>2083.8888888888887</v>
      </c>
      <c r="CT76" s="39">
        <f t="shared" si="80"/>
        <v>2045.5185185185182</v>
      </c>
      <c r="CU76" s="39">
        <f t="shared" si="81"/>
        <v>2034.691358024691</v>
      </c>
      <c r="CV76" s="39">
        <f t="shared" si="121"/>
        <v>2054.699588477366</v>
      </c>
      <c r="CW76" s="297">
        <f t="shared" si="82"/>
        <v>2.1957791540696818</v>
      </c>
      <c r="CX76" s="279" t="str">
        <f t="shared" si="122"/>
        <v>Pass</v>
      </c>
      <c r="CY76" s="278">
        <f t="shared" si="83"/>
        <v>1.6171800354884205</v>
      </c>
      <c r="CZ76" s="279" t="str">
        <f t="shared" si="123"/>
        <v>Pass</v>
      </c>
      <c r="DA76" s="278">
        <f t="shared" si="84"/>
        <v>1.3209374394731745</v>
      </c>
      <c r="DB76" s="292" t="str">
        <f t="shared" si="124"/>
        <v>Pass</v>
      </c>
      <c r="DC76" s="299">
        <f t="shared" si="125"/>
        <v>1.0106316791099399</v>
      </c>
      <c r="DD76" s="293" t="str">
        <f t="shared" si="126"/>
        <v>Pass</v>
      </c>
      <c r="DE76" s="299">
        <f t="shared" si="127"/>
        <v>1.0381078357268831</v>
      </c>
      <c r="DF76" s="293" t="str">
        <f t="shared" si="128"/>
        <v>Pass</v>
      </c>
      <c r="DG76" s="299">
        <f t="shared" si="129"/>
        <v>1.0802836953088149</v>
      </c>
      <c r="DH76" s="293" t="str">
        <f t="shared" si="130"/>
        <v>Pass</v>
      </c>
    </row>
    <row r="77" spans="1:112" ht="15" thickTop="1" thickBot="1">
      <c r="A77" s="38" t="s">
        <v>264</v>
      </c>
      <c r="B77" s="38" t="s">
        <v>265</v>
      </c>
      <c r="C77" s="38" t="s">
        <v>264</v>
      </c>
      <c r="D77" s="38" t="s">
        <v>119</v>
      </c>
      <c r="E77" s="38" t="str">
        <f>VLOOKUP(C77,PoliticalControl!A:K,11,FALSE)</f>
        <v>NOC</v>
      </c>
      <c r="F77" s="38" t="str">
        <f>VLOOKUP(C77,UrbanRuralClassification!A:N,13,FALSE)</f>
        <v>Urban with City and Town</v>
      </c>
      <c r="G77" s="38" t="str">
        <f>VLOOKUP(C77,UrbanRuralClassification!A:N,14,FALSE)</f>
        <v>Predominantly Urban</v>
      </c>
      <c r="H77" s="258">
        <f>IF(ISBLANK((VLOOKUP($A77,'local-plan-data'!$C$1:$AD$566,27,FALSE)))=TRUE,"",VLOOKUP($A77,'local-plan-data'!$C$1:$AD$566,27,FALSE))</f>
        <v>42760</v>
      </c>
      <c r="I77" s="259">
        <f>VLOOKUP($A77,'local-plan-data'!$C$1:$AD$566,28,FALSE)</f>
        <v>647.05882352941171</v>
      </c>
      <c r="J77" s="260">
        <f t="shared" si="85"/>
        <v>647.05882352941171</v>
      </c>
      <c r="K77" s="259">
        <f t="shared" si="69"/>
        <v>647.05882352941171</v>
      </c>
      <c r="L77" s="259">
        <f t="shared" si="69"/>
        <v>647.05882352941171</v>
      </c>
      <c r="M77" s="259">
        <f t="shared" si="69"/>
        <v>647.05882352941171</v>
      </c>
      <c r="N77" s="259">
        <f t="shared" si="69"/>
        <v>647.05882352941171</v>
      </c>
      <c r="O77" s="259" t="str">
        <f t="shared" si="69"/>
        <v>-</v>
      </c>
      <c r="P77" s="259" t="str">
        <f t="shared" si="69"/>
        <v>-</v>
      </c>
      <c r="Q77" s="259" t="str">
        <f t="shared" si="69"/>
        <v>-</v>
      </c>
      <c r="R77" s="259" t="str">
        <f t="shared" si="69"/>
        <v>-</v>
      </c>
      <c r="S77" s="259">
        <f t="shared" si="70"/>
        <v>1395</v>
      </c>
      <c r="T77" s="259">
        <f t="shared" si="70"/>
        <v>1030</v>
      </c>
      <c r="U77" s="259">
        <f t="shared" si="70"/>
        <v>664</v>
      </c>
      <c r="V77" s="259">
        <f t="shared" si="70"/>
        <v>299</v>
      </c>
      <c r="W77" s="259">
        <f t="shared" si="70"/>
        <v>-66</v>
      </c>
      <c r="X77" s="259">
        <f t="shared" si="70"/>
        <v>-431</v>
      </c>
      <c r="Y77" s="259">
        <f t="shared" si="70"/>
        <v>-797</v>
      </c>
      <c r="Z77" s="259">
        <f t="shared" si="70"/>
        <v>-1162</v>
      </c>
      <c r="AA77" s="267">
        <f>(VLOOKUP(A77,Hshldprojections2014!$A$2:$AW$319,40, FALSE)-VLOOKUP(A77,Hshldprojections2014!$A$2:$AW$319,30, FALSE))/10</f>
        <v>867.1</v>
      </c>
      <c r="AB77" s="267">
        <f>(VLOOKUP(A77,Hshldprojections2014!$A$2:$AW$319,41, FALSE)-VLOOKUP(A77,Hshldprojections2014!$A$2:$AW$319,31, FALSE))/10</f>
        <v>868.6</v>
      </c>
      <c r="AC77" s="267">
        <f>(VLOOKUP(A77,Hshldprojections2014!$A$2:$AW$319,42, FALSE)-VLOOKUP(A77,Hshldprojections2014!$A$2:$AW$319,32, FALSE))/10</f>
        <v>869</v>
      </c>
      <c r="AD77" s="267">
        <f>IF(IndividualLATest!$J$7=2014,(VLOOKUP($A77,Hshldprojections2014!$A$2:$AY$326,43,FALSE)-VLOOKUP($A77,Hshldprojections2014!$A$2:$AY$326,33,FALSE))/10,IF(IndividualLATest!$J$7=2016,(VLOOKUP($A77,Hshldprojections2016!$A$1:$AQ$322,33,FALSE)-VLOOKUP($A77,Hshldprojections2016!$A$1:$AQ$322,23,FALSE))/10,(VLOOKUP($A77,Hshldprojections2018!$A$1:$AQ$327,33,FALSE)-VLOOKUP($A77,Hshldprojections2018!$A$1:$AQ$327,23,FALSE))/10))</f>
        <v>457.6</v>
      </c>
      <c r="AE77" s="267">
        <f>IF(IndividualLATest!$J$7=2014,(VLOOKUP($A77,Hshldprojections2014!$A$2:$AY$326,44,FALSE)-VLOOKUP($A77,Hshldprojections2014!$A$2:$AY$326,34,FALSE))/10,IF(IndividualLATest!$J$7=2016,(VLOOKUP($A77,Hshldprojections2016!$A$1:$AQ$322,34,FALSE)-VLOOKUP($A77,Hshldprojections2016!$A$1:$AQ$322,24,FALSE))/10,(VLOOKUP($A77,Hshldprojections2018!$A$1:$AQ$327,34,FALSE)-VLOOKUP($A77,Hshldprojections2018!$A$1:$AQ$327,24,FALSE))/10))</f>
        <v>475.1</v>
      </c>
      <c r="AF77" s="267">
        <f>IF(IndividualLATest!$J$7=2014,(VLOOKUP($A77,Hshldprojections2014!$A$2:$AY$326,45,FALSE)-VLOOKUP($A77,Hshldprojections2014!$A$2:$AY$326,35,FALSE))/10,IF(IndividualLATest!$J$7=2016,(VLOOKUP($A77,Hshldprojections2016!$A$1:$AQ$322,35,FALSE)-VLOOKUP($A77,Hshldprojections2016!$A$1:$AQ$322,25,FALSE))/10,(VLOOKUP($A77,Hshldprojections2018!$A$1:$AQ$327,35,FALSE)-VLOOKUP($A77,Hshldprojections2018!$A$1:$AQ$327,25,FALSE))/10))</f>
        <v>491.1</v>
      </c>
      <c r="AG77" s="267">
        <f>IF(IndividualLATest!$J$7=2014,(VLOOKUP($A77,Hshldprojections2014!$A$2:$AY$326,46,FALSE)-VLOOKUP($A77,Hshldprojections2014!$A$2:$AY$326,36,FALSE))/10,IF(IndividualLATest!$J$7=2016,(VLOOKUP($A77,Hshldprojections2016!$A$1:$AQ$322,36,FALSE)-VLOOKUP($A77,Hshldprojections2016!$A$1:$AQ$322,26,FALSE))/10,(VLOOKUP($A77,Hshldprojections2018!$A$1:$AQ$327,36,FALSE)-VLOOKUP($A77,Hshldprojections2018!$A$1:$AQ$327,26,FALSE))/10))</f>
        <v>500.9</v>
      </c>
      <c r="AH77" s="267">
        <f>IF(IndividualLATest!$J$7=2014,(VLOOKUP($A77,Hshldprojections2014!$A$2:$AY$326,47,FALSE)-VLOOKUP($A77,Hshldprojections2014!$A$2:$AY$326,37,FALSE))/10,IF(IndividualLATest!$J$7=2016,(VLOOKUP($A77,Hshldprojections2016!$A$1:$AQ$322,37,FALSE)-VLOOKUP($A77,Hshldprojections2016!$A$1:$AQ$322,27,FALSE))/10,(VLOOKUP($A77,Hshldprojections2018!$A$1:$AQ$327,37,FALSE)-VLOOKUP($A77,Hshldprojections2018!$A$1:$AQ$327,27,FALSE))/10))</f>
        <v>512.79999999999995</v>
      </c>
      <c r="AI77" s="268">
        <f>VLOOKUP($A77,AffordabilityRatio!$A$2:$I$321,5,FALSE)</f>
        <v>4.5</v>
      </c>
      <c r="AJ77" s="268">
        <f>VLOOKUP($A77,AffordabilityRatio!$A$2:$I$321,6,FALSE)</f>
        <v>4.28</v>
      </c>
      <c r="AK77" s="268">
        <f>VLOOKUP($A77,AffordabilityRatio!$A$2:$I$321,7,FALSE)</f>
        <v>4.22</v>
      </c>
      <c r="AL77" s="268">
        <f>IF((VLOOKUP($A77,AffordabilityRatio!$A$2:$I$321,8,FALSE))="",AK77,VLOOKUP($A77,AffordabilityRatio!$A$2:$I$321,8,FALSE))</f>
        <v>4.2</v>
      </c>
      <c r="AM77" s="268">
        <f>IF((VLOOKUP($A77,AffordabilityRatio!$A$2:$I$321,9,FALSE))="",AL77,VLOOKUP($A77,AffordabilityRatio!$A$2:$I$321,9,FALSE))</f>
        <v>5.08</v>
      </c>
      <c r="AN77" s="268">
        <f>IF((VLOOKUP($A77,AffordabilityRatio!$A$2:$I$321,9,FALSE))="",AM77,VLOOKUP($A77,AffordabilityRatio!$A$2:$I$321,9,FALSE))</f>
        <v>5.08</v>
      </c>
      <c r="AO77" s="268">
        <f>IF((VLOOKUP($A77,AffordabilityRatio!$A$2:$I$321,9,FALSE))="",AN77,VLOOKUP($A77,AffordabilityRatio!$A$2:$I$321,9,FALSE))</f>
        <v>5.08</v>
      </c>
      <c r="AP77" s="268">
        <f>IF((VLOOKUP($A77,AffordabilityRatio!$A$2:$I$321,9,FALSE))="",AO77,VLOOKUP($A77,AffordabilityRatio!$A$2:$I$321,9,FALSE))</f>
        <v>5.08</v>
      </c>
      <c r="AQ77" s="267">
        <f t="shared" si="86"/>
        <v>894</v>
      </c>
      <c r="AR77" s="267">
        <f t="shared" si="87"/>
        <v>884</v>
      </c>
      <c r="AS77" s="267">
        <f t="shared" si="88"/>
        <v>881</v>
      </c>
      <c r="AT77" s="267">
        <f t="shared" si="89"/>
        <v>463</v>
      </c>
      <c r="AU77" s="267">
        <f t="shared" si="90"/>
        <v>507</v>
      </c>
      <c r="AV77" s="267">
        <f t="shared" si="91"/>
        <v>524</v>
      </c>
      <c r="AW77" s="267">
        <f t="shared" si="92"/>
        <v>535</v>
      </c>
      <c r="AX77" s="267">
        <f t="shared" si="93"/>
        <v>547</v>
      </c>
      <c r="AY77" s="267">
        <f t="shared" si="94"/>
        <v>894</v>
      </c>
      <c r="AZ77" s="267">
        <f t="shared" si="95"/>
        <v>884</v>
      </c>
      <c r="BA77" s="267">
        <f t="shared" si="96"/>
        <v>881</v>
      </c>
      <c r="BB77" s="267">
        <f t="shared" si="97"/>
        <v>463</v>
      </c>
      <c r="BC77" s="267">
        <f t="shared" si="98"/>
        <v>507</v>
      </c>
      <c r="BD77" s="267">
        <f t="shared" si="99"/>
        <v>524</v>
      </c>
      <c r="BE77" s="267">
        <f t="shared" si="100"/>
        <v>535</v>
      </c>
      <c r="BF77" s="267">
        <f t="shared" si="101"/>
        <v>547</v>
      </c>
      <c r="BG77" s="269">
        <f>AY77*VLOOKUP($B77,'Major Cities &amp; Towns'!$A$28:$B$345,2,FALSE)</f>
        <v>1206.9000000000001</v>
      </c>
      <c r="BH77" s="269">
        <f>AZ77*VLOOKUP($B77,'Major Cities &amp; Towns'!$A$28:$B$345,2,FALSE)</f>
        <v>1193.4000000000001</v>
      </c>
      <c r="BI77" s="269">
        <f>BA77*VLOOKUP($B77,'Major Cities &amp; Towns'!$A$28:$B$345,2,FALSE)</f>
        <v>1189.3500000000001</v>
      </c>
      <c r="BJ77" s="269">
        <f>BB77*VLOOKUP($B77,'Major Cities &amp; Towns'!$A$28:$B$345,2,FALSE)</f>
        <v>625.05000000000007</v>
      </c>
      <c r="BK77" s="269">
        <f>BC77*VLOOKUP($B77,'Major Cities &amp; Towns'!$A$28:$B$345,2,FALSE)</f>
        <v>684.45</v>
      </c>
      <c r="BL77" s="269">
        <f>BD77*VLOOKUP($B77,'Major Cities &amp; Towns'!$A$28:$B$345,2,FALSE)</f>
        <v>707.40000000000009</v>
      </c>
      <c r="BM77" s="269">
        <f>BE77*VLOOKUP($B77,'Major Cities &amp; Towns'!$A$28:$B$345,2,FALSE)</f>
        <v>722.25</v>
      </c>
      <c r="BN77" s="269">
        <f>BF77*VLOOKUP($B77,'Major Cities &amp; Towns'!$A$28:$B$345,2,FALSE)</f>
        <v>738.45</v>
      </c>
      <c r="BO77" s="270">
        <f t="shared" si="102"/>
        <v>647.05882352941171</v>
      </c>
      <c r="BP77" s="270">
        <f t="shared" si="103"/>
        <v>647.05882352941171</v>
      </c>
      <c r="BQ77" s="270">
        <f t="shared" si="104"/>
        <v>647.05882352941171</v>
      </c>
      <c r="BR77" s="270">
        <f t="shared" si="105"/>
        <v>595.74780821917807</v>
      </c>
      <c r="BS77" s="270">
        <f t="shared" si="106"/>
        <v>507</v>
      </c>
      <c r="BT77" s="270">
        <f t="shared" si="107"/>
        <v>524</v>
      </c>
      <c r="BU77" s="270">
        <f t="shared" si="108"/>
        <v>535</v>
      </c>
      <c r="BV77" s="270">
        <f t="shared" si="109"/>
        <v>547</v>
      </c>
      <c r="BW77" s="39">
        <f>VLOOKUP($A77,NetAdditions!$A$2:$H$336,6,FALSE)</f>
        <v>609</v>
      </c>
      <c r="BX77" s="39">
        <f>VLOOKUP($A77,NetAdditions!$A$2:$H$336,7,FALSE)</f>
        <v>540</v>
      </c>
      <c r="BY77" s="39">
        <f>IF((VLOOKUP($C77,NetAdditions!$A$2:$H$336,8,FALSE))="",(AVERAGE(VLOOKUP($C77,NetAdditions!$A$2:$H$336,5,FALSE),VLOOKUP($C77,NetAdditions!$A$2:$H$336,6,FALSE),VLOOKUP($C77,NetAdditions!$A$2:$H$336,7,FALSE))),VLOOKUP($C77,NetAdditions!$A$2:$H$336,8,FALSE))</f>
        <v>539</v>
      </c>
      <c r="BZ77" s="39">
        <f t="shared" si="110"/>
        <v>562.66666666666663</v>
      </c>
      <c r="CA77" s="39">
        <f t="shared" si="111"/>
        <v>547.22222222222217</v>
      </c>
      <c r="CB77" s="39">
        <f t="shared" si="112"/>
        <v>549.62962962962956</v>
      </c>
      <c r="CC77" s="39">
        <f t="shared" si="113"/>
        <v>553.17283950617275</v>
      </c>
      <c r="CD77" s="39">
        <f t="shared" si="114"/>
        <v>550.00823045267487</v>
      </c>
      <c r="CE77" s="276">
        <f t="shared" si="71"/>
        <v>1941.1764705882351</v>
      </c>
      <c r="CF77" s="276">
        <f t="shared" si="72"/>
        <v>1889.8654552780015</v>
      </c>
      <c r="CG77" s="276">
        <f t="shared" si="73"/>
        <v>1749.8066317485898</v>
      </c>
      <c r="CH77" s="276">
        <f t="shared" si="74"/>
        <v>1626.7478082191781</v>
      </c>
      <c r="CI77" s="276">
        <f t="shared" si="75"/>
        <v>1566</v>
      </c>
      <c r="CJ77" s="276">
        <f t="shared" si="76"/>
        <v>1606</v>
      </c>
      <c r="CK77" s="276">
        <f t="shared" si="115"/>
        <v>1671.5686274509803</v>
      </c>
      <c r="CL77" s="276">
        <f t="shared" si="116"/>
        <v>1627.3841420449457</v>
      </c>
      <c r="CM77" s="276">
        <f t="shared" si="117"/>
        <v>1603.9894124362072</v>
      </c>
      <c r="CN77" s="276">
        <f t="shared" si="118"/>
        <v>1626.7478082191781</v>
      </c>
      <c r="CO77" s="276">
        <f t="shared" si="119"/>
        <v>1566</v>
      </c>
      <c r="CP77" s="276">
        <f t="shared" si="120"/>
        <v>1606</v>
      </c>
      <c r="CQ77" s="39">
        <f t="shared" si="77"/>
        <v>1688</v>
      </c>
      <c r="CR77" s="39">
        <f t="shared" si="78"/>
        <v>1641.6666666666665</v>
      </c>
      <c r="CS77" s="277">
        <f t="shared" si="79"/>
        <v>1648.8888888888887</v>
      </c>
      <c r="CT77" s="39">
        <f t="shared" si="80"/>
        <v>1659.5185185185182</v>
      </c>
      <c r="CU77" s="39">
        <f t="shared" si="81"/>
        <v>1650.0246913580245</v>
      </c>
      <c r="CV77" s="39">
        <f t="shared" si="121"/>
        <v>1652.8106995884773</v>
      </c>
      <c r="CW77" s="297">
        <f t="shared" si="82"/>
        <v>1.0098299120234604</v>
      </c>
      <c r="CX77" s="279" t="str">
        <f t="shared" si="122"/>
        <v>Pass</v>
      </c>
      <c r="CY77" s="278">
        <f t="shared" si="83"/>
        <v>1.0087763695446692</v>
      </c>
      <c r="CZ77" s="279" t="str">
        <f t="shared" si="123"/>
        <v>Pass</v>
      </c>
      <c r="DA77" s="278">
        <f t="shared" si="84"/>
        <v>1.0279923770721693</v>
      </c>
      <c r="DB77" s="292" t="str">
        <f t="shared" si="124"/>
        <v>Pass</v>
      </c>
      <c r="DC77" s="299">
        <f t="shared" si="125"/>
        <v>1.0201449235915767</v>
      </c>
      <c r="DD77" s="293" t="str">
        <f t="shared" si="126"/>
        <v>Pass</v>
      </c>
      <c r="DE77" s="299">
        <f t="shared" si="127"/>
        <v>1.0536556138940132</v>
      </c>
      <c r="DF77" s="293" t="str">
        <f t="shared" si="128"/>
        <v>Pass</v>
      </c>
      <c r="DG77" s="299">
        <f t="shared" si="129"/>
        <v>1.0291473845507331</v>
      </c>
      <c r="DH77" s="293" t="str">
        <f t="shared" si="130"/>
        <v>Pass</v>
      </c>
    </row>
    <row r="78" spans="1:112" ht="15" thickTop="1" thickBot="1">
      <c r="A78" s="38" t="s">
        <v>266</v>
      </c>
      <c r="B78" s="38" t="s">
        <v>267</v>
      </c>
      <c r="C78" s="38" t="s">
        <v>266</v>
      </c>
      <c r="D78" s="38" t="s">
        <v>119</v>
      </c>
      <c r="E78" s="38" t="str">
        <f>VLOOKUP(C78,PoliticalControl!A:K,11,FALSE)</f>
        <v>CON</v>
      </c>
      <c r="F78" s="38" t="str">
        <f>VLOOKUP(C78,UrbanRuralClassification!A:N,13,FALSE)</f>
        <v xml:space="preserve">Mainly Rural (rural including hub towns &gt;=80%) </v>
      </c>
      <c r="G78" s="38" t="str">
        <f>VLOOKUP(C78,UrbanRuralClassification!A:N,14,FALSE)</f>
        <v>Predominantly Rural</v>
      </c>
      <c r="H78" s="258">
        <f>IF(ISBLANK((VLOOKUP($A78,'local-plan-data'!$C$1:$AD$566,27,FALSE)))=TRUE,"",VLOOKUP($A78,'local-plan-data'!$C$1:$AD$566,27,FALSE))</f>
        <v>43076</v>
      </c>
      <c r="I78" s="259">
        <f>VLOOKUP($A78,'local-plan-data'!$C$1:$AD$566,28,FALSE)</f>
        <v>268</v>
      </c>
      <c r="J78" s="260">
        <f t="shared" si="85"/>
        <v>268</v>
      </c>
      <c r="K78" s="259">
        <f t="shared" si="69"/>
        <v>268</v>
      </c>
      <c r="L78" s="259">
        <f t="shared" si="69"/>
        <v>268</v>
      </c>
      <c r="M78" s="259">
        <f t="shared" si="69"/>
        <v>268</v>
      </c>
      <c r="N78" s="259">
        <f t="shared" si="69"/>
        <v>268</v>
      </c>
      <c r="O78" s="259">
        <f t="shared" si="69"/>
        <v>268</v>
      </c>
      <c r="P78" s="259" t="str">
        <f t="shared" si="69"/>
        <v>-</v>
      </c>
      <c r="Q78" s="259" t="str">
        <f t="shared" si="69"/>
        <v>-</v>
      </c>
      <c r="R78" s="259" t="str">
        <f t="shared" si="69"/>
        <v>-</v>
      </c>
      <c r="S78" s="259">
        <f t="shared" si="70"/>
        <v>1711</v>
      </c>
      <c r="T78" s="259">
        <f t="shared" si="70"/>
        <v>1346</v>
      </c>
      <c r="U78" s="259">
        <f t="shared" si="70"/>
        <v>980</v>
      </c>
      <c r="V78" s="259">
        <f t="shared" si="70"/>
        <v>615</v>
      </c>
      <c r="W78" s="259">
        <f t="shared" si="70"/>
        <v>250</v>
      </c>
      <c r="X78" s="259">
        <f t="shared" si="70"/>
        <v>-115</v>
      </c>
      <c r="Y78" s="259">
        <f t="shared" si="70"/>
        <v>-481</v>
      </c>
      <c r="Z78" s="259">
        <f t="shared" si="70"/>
        <v>-846</v>
      </c>
      <c r="AA78" s="267">
        <f>(VLOOKUP(A78,Hshldprojections2014!$A$2:$AW$319,40, FALSE)-VLOOKUP(A78,Hshldprojections2014!$A$2:$AW$319,30, FALSE))/10</f>
        <v>174.5</v>
      </c>
      <c r="AB78" s="267">
        <f>(VLOOKUP(A78,Hshldprojections2014!$A$2:$AW$319,41, FALSE)-VLOOKUP(A78,Hshldprojections2014!$A$2:$AW$319,31, FALSE))/10</f>
        <v>172.9</v>
      </c>
      <c r="AC78" s="267">
        <f>(VLOOKUP(A78,Hshldprojections2014!$A$2:$AW$319,42, FALSE)-VLOOKUP(A78,Hshldprojections2014!$A$2:$AW$319,32, FALSE))/10</f>
        <v>170</v>
      </c>
      <c r="AD78" s="267">
        <f>IF(IndividualLATest!$J$7=2014,(VLOOKUP($A78,Hshldprojections2014!$A$2:$AY$326,43,FALSE)-VLOOKUP($A78,Hshldprojections2014!$A$2:$AY$326,33,FALSE))/10,IF(IndividualLATest!$J$7=2016,(VLOOKUP($A78,Hshldprojections2016!$A$1:$AQ$322,33,FALSE)-VLOOKUP($A78,Hshldprojections2016!$A$1:$AQ$322,23,FALSE))/10,(VLOOKUP($A78,Hshldprojections2018!$A$1:$AQ$327,33,FALSE)-VLOOKUP($A78,Hshldprojections2018!$A$1:$AQ$327,23,FALSE))/10))</f>
        <v>194.3</v>
      </c>
      <c r="AE78" s="267">
        <f>IF(IndividualLATest!$J$7=2014,(VLOOKUP($A78,Hshldprojections2014!$A$2:$AY$326,44,FALSE)-VLOOKUP($A78,Hshldprojections2014!$A$2:$AY$326,34,FALSE))/10,IF(IndividualLATest!$J$7=2016,(VLOOKUP($A78,Hshldprojections2016!$A$1:$AQ$322,34,FALSE)-VLOOKUP($A78,Hshldprojections2016!$A$1:$AQ$322,24,FALSE))/10,(VLOOKUP($A78,Hshldprojections2018!$A$1:$AQ$327,34,FALSE)-VLOOKUP($A78,Hshldprojections2018!$A$1:$AQ$327,24,FALSE))/10))</f>
        <v>183.7</v>
      </c>
      <c r="AF78" s="267">
        <f>IF(IndividualLATest!$J$7=2014,(VLOOKUP($A78,Hshldprojections2014!$A$2:$AY$326,45,FALSE)-VLOOKUP($A78,Hshldprojections2014!$A$2:$AY$326,35,FALSE))/10,IF(IndividualLATest!$J$7=2016,(VLOOKUP($A78,Hshldprojections2016!$A$1:$AQ$322,35,FALSE)-VLOOKUP($A78,Hshldprojections2016!$A$1:$AQ$322,25,FALSE))/10,(VLOOKUP($A78,Hshldprojections2018!$A$1:$AQ$327,35,FALSE)-VLOOKUP($A78,Hshldprojections2018!$A$1:$AQ$327,25,FALSE))/10))</f>
        <v>174.5</v>
      </c>
      <c r="AG78" s="267">
        <f>IF(IndividualLATest!$J$7=2014,(VLOOKUP($A78,Hshldprojections2014!$A$2:$AY$326,46,FALSE)-VLOOKUP($A78,Hshldprojections2014!$A$2:$AY$326,36,FALSE))/10,IF(IndividualLATest!$J$7=2016,(VLOOKUP($A78,Hshldprojections2016!$A$1:$AQ$322,36,FALSE)-VLOOKUP($A78,Hshldprojections2016!$A$1:$AQ$322,26,FALSE))/10,(VLOOKUP($A78,Hshldprojections2018!$A$1:$AQ$327,36,FALSE)-VLOOKUP($A78,Hshldprojections2018!$A$1:$AQ$327,26,FALSE))/10))</f>
        <v>166.4</v>
      </c>
      <c r="AH78" s="267">
        <f>IF(IndividualLATest!$J$7=2014,(VLOOKUP($A78,Hshldprojections2014!$A$2:$AY$326,47,FALSE)-VLOOKUP($A78,Hshldprojections2014!$A$2:$AY$326,37,FALSE))/10,IF(IndividualLATest!$J$7=2016,(VLOOKUP($A78,Hshldprojections2016!$A$1:$AQ$322,37,FALSE)-VLOOKUP($A78,Hshldprojections2016!$A$1:$AQ$322,27,FALSE))/10,(VLOOKUP($A78,Hshldprojections2018!$A$1:$AQ$327,37,FALSE)-VLOOKUP($A78,Hshldprojections2018!$A$1:$AQ$327,27,FALSE))/10))</f>
        <v>162.80000000000001</v>
      </c>
      <c r="AI78" s="268">
        <f>VLOOKUP($A78,AffordabilityRatio!$A$2:$I$321,5,FALSE)</f>
        <v>9.35</v>
      </c>
      <c r="AJ78" s="268">
        <f>VLOOKUP($A78,AffordabilityRatio!$A$2:$I$321,6,FALSE)</f>
        <v>9.2100000000000009</v>
      </c>
      <c r="AK78" s="268">
        <f>VLOOKUP($A78,AffordabilityRatio!$A$2:$I$321,7,FALSE)</f>
        <v>9.73</v>
      </c>
      <c r="AL78" s="268">
        <f>IF((VLOOKUP($A78,AffordabilityRatio!$A$2:$I$321,8,FALSE))="",AK78,VLOOKUP($A78,AffordabilityRatio!$A$2:$I$321,8,FALSE))</f>
        <v>10.220000000000001</v>
      </c>
      <c r="AM78" s="268">
        <f>IF((VLOOKUP($A78,AffordabilityRatio!$A$2:$I$321,9,FALSE))="",AL78,VLOOKUP($A78,AffordabilityRatio!$A$2:$I$321,9,FALSE))</f>
        <v>10.210000000000001</v>
      </c>
      <c r="AN78" s="268">
        <f>IF((VLOOKUP($A78,AffordabilityRatio!$A$2:$I$321,9,FALSE))="",AM78,VLOOKUP($A78,AffordabilityRatio!$A$2:$I$321,9,FALSE))</f>
        <v>10.210000000000001</v>
      </c>
      <c r="AO78" s="268">
        <f>IF((VLOOKUP($A78,AffordabilityRatio!$A$2:$I$321,9,FALSE))="",AN78,VLOOKUP($A78,AffordabilityRatio!$A$2:$I$321,9,FALSE))</f>
        <v>10.210000000000001</v>
      </c>
      <c r="AP78" s="268">
        <f>IF((VLOOKUP($A78,AffordabilityRatio!$A$2:$I$321,9,FALSE))="",AO78,VLOOKUP($A78,AffordabilityRatio!$A$2:$I$321,9,FALSE))</f>
        <v>10.210000000000001</v>
      </c>
      <c r="AQ78" s="267">
        <f t="shared" si="86"/>
        <v>233</v>
      </c>
      <c r="AR78" s="267">
        <f t="shared" si="87"/>
        <v>229</v>
      </c>
      <c r="AS78" s="267">
        <f t="shared" si="88"/>
        <v>231</v>
      </c>
      <c r="AT78" s="267">
        <f t="shared" si="89"/>
        <v>270</v>
      </c>
      <c r="AU78" s="267">
        <f t="shared" si="90"/>
        <v>255</v>
      </c>
      <c r="AV78" s="267">
        <f t="shared" si="91"/>
        <v>242</v>
      </c>
      <c r="AW78" s="267">
        <f t="shared" si="92"/>
        <v>231</v>
      </c>
      <c r="AX78" s="267">
        <f t="shared" si="93"/>
        <v>226</v>
      </c>
      <c r="AY78" s="267">
        <f t="shared" si="94"/>
        <v>233</v>
      </c>
      <c r="AZ78" s="267">
        <f t="shared" si="95"/>
        <v>229</v>
      </c>
      <c r="BA78" s="267">
        <f t="shared" si="96"/>
        <v>231</v>
      </c>
      <c r="BB78" s="267">
        <f t="shared" si="97"/>
        <v>270</v>
      </c>
      <c r="BC78" s="267">
        <f t="shared" si="98"/>
        <v>255</v>
      </c>
      <c r="BD78" s="267">
        <f t="shared" si="99"/>
        <v>242</v>
      </c>
      <c r="BE78" s="267">
        <f t="shared" si="100"/>
        <v>231</v>
      </c>
      <c r="BF78" s="267">
        <f t="shared" si="101"/>
        <v>226</v>
      </c>
      <c r="BG78" s="269">
        <f>AY78*VLOOKUP($B78,'Major Cities &amp; Towns'!$A$28:$B$345,2,FALSE)</f>
        <v>233</v>
      </c>
      <c r="BH78" s="269">
        <f>AZ78*VLOOKUP($B78,'Major Cities &amp; Towns'!$A$28:$B$345,2,FALSE)</f>
        <v>229</v>
      </c>
      <c r="BI78" s="269">
        <f>BA78*VLOOKUP($B78,'Major Cities &amp; Towns'!$A$28:$B$345,2,FALSE)</f>
        <v>231</v>
      </c>
      <c r="BJ78" s="269">
        <f>BB78*VLOOKUP($B78,'Major Cities &amp; Towns'!$A$28:$B$345,2,FALSE)</f>
        <v>270</v>
      </c>
      <c r="BK78" s="269">
        <f>BC78*VLOOKUP($B78,'Major Cities &amp; Towns'!$A$28:$B$345,2,FALSE)</f>
        <v>255</v>
      </c>
      <c r="BL78" s="269">
        <f>BD78*VLOOKUP($B78,'Major Cities &amp; Towns'!$A$28:$B$345,2,FALSE)</f>
        <v>242</v>
      </c>
      <c r="BM78" s="269">
        <f>BE78*VLOOKUP($B78,'Major Cities &amp; Towns'!$A$28:$B$345,2,FALSE)</f>
        <v>231</v>
      </c>
      <c r="BN78" s="269">
        <f>BF78*VLOOKUP($B78,'Major Cities &amp; Towns'!$A$28:$B$345,2,FALSE)</f>
        <v>226</v>
      </c>
      <c r="BO78" s="270">
        <f t="shared" si="102"/>
        <v>233</v>
      </c>
      <c r="BP78" s="270">
        <f t="shared" si="103"/>
        <v>229</v>
      </c>
      <c r="BQ78" s="270">
        <f t="shared" si="104"/>
        <v>231</v>
      </c>
      <c r="BR78" s="270">
        <f t="shared" si="105"/>
        <v>268</v>
      </c>
      <c r="BS78" s="270">
        <f t="shared" si="106"/>
        <v>254.99999999999997</v>
      </c>
      <c r="BT78" s="270">
        <f t="shared" si="107"/>
        <v>242</v>
      </c>
      <c r="BU78" s="270">
        <f t="shared" si="108"/>
        <v>231</v>
      </c>
      <c r="BV78" s="270">
        <f t="shared" si="109"/>
        <v>226</v>
      </c>
      <c r="BW78" s="39">
        <f>VLOOKUP($A78,NetAdditions!$A$2:$H$336,6,FALSE)</f>
        <v>411</v>
      </c>
      <c r="BX78" s="39">
        <f>VLOOKUP($A78,NetAdditions!$A$2:$H$336,7,FALSE)</f>
        <v>435</v>
      </c>
      <c r="BY78" s="39">
        <f>IF((VLOOKUP($C78,NetAdditions!$A$2:$H$336,8,FALSE))="",(AVERAGE(VLOOKUP($C78,NetAdditions!$A$2:$H$336,5,FALSE),VLOOKUP($C78,NetAdditions!$A$2:$H$336,6,FALSE),VLOOKUP($C78,NetAdditions!$A$2:$H$336,7,FALSE))),VLOOKUP($C78,NetAdditions!$A$2:$H$336,8,FALSE))</f>
        <v>423</v>
      </c>
      <c r="BZ78" s="39">
        <f t="shared" si="110"/>
        <v>423</v>
      </c>
      <c r="CA78" s="39">
        <f t="shared" si="111"/>
        <v>427</v>
      </c>
      <c r="CB78" s="39">
        <f t="shared" si="112"/>
        <v>424.33333333333331</v>
      </c>
      <c r="CC78" s="39">
        <f t="shared" si="113"/>
        <v>424.77777777777777</v>
      </c>
      <c r="CD78" s="39">
        <f t="shared" si="114"/>
        <v>425.37037037037038</v>
      </c>
      <c r="CE78" s="276">
        <f t="shared" si="71"/>
        <v>693</v>
      </c>
      <c r="CF78" s="276">
        <f t="shared" si="72"/>
        <v>728</v>
      </c>
      <c r="CG78" s="276">
        <f t="shared" si="73"/>
        <v>754</v>
      </c>
      <c r="CH78" s="276">
        <f t="shared" si="74"/>
        <v>765</v>
      </c>
      <c r="CI78" s="276">
        <f t="shared" si="75"/>
        <v>728</v>
      </c>
      <c r="CJ78" s="276">
        <f t="shared" si="76"/>
        <v>699</v>
      </c>
      <c r="CK78" s="276">
        <f t="shared" si="115"/>
        <v>596.75</v>
      </c>
      <c r="CL78" s="276">
        <f t="shared" si="116"/>
        <v>626.88888888888891</v>
      </c>
      <c r="CM78" s="276">
        <f t="shared" si="117"/>
        <v>691.16666666666663</v>
      </c>
      <c r="CN78" s="276">
        <f t="shared" si="118"/>
        <v>765</v>
      </c>
      <c r="CO78" s="276">
        <f t="shared" si="119"/>
        <v>728</v>
      </c>
      <c r="CP78" s="276">
        <f t="shared" si="120"/>
        <v>699</v>
      </c>
      <c r="CQ78" s="39">
        <f t="shared" si="77"/>
        <v>1269</v>
      </c>
      <c r="CR78" s="39">
        <f t="shared" si="78"/>
        <v>1281</v>
      </c>
      <c r="CS78" s="277">
        <f t="shared" si="79"/>
        <v>1273</v>
      </c>
      <c r="CT78" s="39">
        <f t="shared" si="80"/>
        <v>1274.3333333333333</v>
      </c>
      <c r="CU78" s="39">
        <f t="shared" si="81"/>
        <v>1276.1111111111111</v>
      </c>
      <c r="CV78" s="39">
        <f t="shared" si="121"/>
        <v>1274.4814814814815</v>
      </c>
      <c r="CW78" s="297">
        <f t="shared" si="82"/>
        <v>2.126518642647675</v>
      </c>
      <c r="CX78" s="279" t="str">
        <f t="shared" si="122"/>
        <v>Pass</v>
      </c>
      <c r="CY78" s="278">
        <f t="shared" si="83"/>
        <v>2.0434243176178661</v>
      </c>
      <c r="CZ78" s="279" t="str">
        <f t="shared" si="123"/>
        <v>Pass</v>
      </c>
      <c r="DA78" s="278">
        <f t="shared" si="84"/>
        <v>1.8418133590547385</v>
      </c>
      <c r="DB78" s="292" t="str">
        <f t="shared" si="124"/>
        <v>Pass</v>
      </c>
      <c r="DC78" s="299">
        <f t="shared" si="125"/>
        <v>1.6657952069716775</v>
      </c>
      <c r="DD78" s="293" t="str">
        <f t="shared" si="126"/>
        <v>Pass</v>
      </c>
      <c r="DE78" s="299">
        <f t="shared" si="127"/>
        <v>1.7528998778998779</v>
      </c>
      <c r="DF78" s="293" t="str">
        <f t="shared" si="128"/>
        <v>Pass</v>
      </c>
      <c r="DG78" s="299">
        <f t="shared" si="129"/>
        <v>1.8232925343082711</v>
      </c>
      <c r="DH78" s="293" t="str">
        <f t="shared" si="130"/>
        <v>Pass</v>
      </c>
    </row>
    <row r="79" spans="1:112" ht="15" thickTop="1" thickBot="1">
      <c r="A79" s="38" t="s">
        <v>268</v>
      </c>
      <c r="B79" s="38" t="s">
        <v>269</v>
      </c>
      <c r="C79" s="38" t="s">
        <v>268</v>
      </c>
      <c r="D79" s="38" t="s">
        <v>136</v>
      </c>
      <c r="E79" s="38" t="str">
        <f>VLOOKUP(C79,PoliticalControl!A:K,11,FALSE)</f>
        <v>LAB</v>
      </c>
      <c r="F79" s="38" t="str">
        <f>VLOOKUP(C79,UrbanRuralClassification!A:N,13,FALSE)</f>
        <v>Urban with Minor Conurbation</v>
      </c>
      <c r="G79" s="38" t="str">
        <f>VLOOKUP(C79,UrbanRuralClassification!A:N,14,FALSE)</f>
        <v>Predominantly Urban</v>
      </c>
      <c r="H79" s="258">
        <f>IF(ISBLANK((VLOOKUP($A79,'local-plan-data'!$C$1:$AD$566,27,FALSE)))=TRUE,"",VLOOKUP($A79,'local-plan-data'!$C$1:$AD$566,27,FALSE))</f>
        <v>44462</v>
      </c>
      <c r="I79" s="259">
        <f>VLOOKUP($A79,'local-plan-data'!$C$1:$AD$566,28,FALSE)</f>
        <v>920</v>
      </c>
      <c r="J79" s="260">
        <f t="shared" si="85"/>
        <v>920</v>
      </c>
      <c r="K79" s="259">
        <f t="shared" si="69"/>
        <v>920</v>
      </c>
      <c r="L79" s="259">
        <f t="shared" si="69"/>
        <v>920</v>
      </c>
      <c r="M79" s="259">
        <f t="shared" si="69"/>
        <v>920</v>
      </c>
      <c r="N79" s="259">
        <f t="shared" si="69"/>
        <v>920</v>
      </c>
      <c r="O79" s="259">
        <f t="shared" si="69"/>
        <v>920</v>
      </c>
      <c r="P79" s="259">
        <f t="shared" si="69"/>
        <v>920</v>
      </c>
      <c r="Q79" s="259">
        <f t="shared" si="69"/>
        <v>920</v>
      </c>
      <c r="R79" s="259">
        <f t="shared" si="69"/>
        <v>920</v>
      </c>
      <c r="S79" s="259">
        <f t="shared" si="70"/>
        <v>3097</v>
      </c>
      <c r="T79" s="259">
        <f t="shared" si="70"/>
        <v>2732</v>
      </c>
      <c r="U79" s="259">
        <f t="shared" si="70"/>
        <v>2366</v>
      </c>
      <c r="V79" s="259">
        <f t="shared" si="70"/>
        <v>2001</v>
      </c>
      <c r="W79" s="259">
        <f t="shared" si="70"/>
        <v>1636</v>
      </c>
      <c r="X79" s="259">
        <f t="shared" si="70"/>
        <v>1271</v>
      </c>
      <c r="Y79" s="259">
        <f t="shared" si="70"/>
        <v>905</v>
      </c>
      <c r="Z79" s="259">
        <f t="shared" si="70"/>
        <v>540</v>
      </c>
      <c r="AA79" s="267">
        <f>(VLOOKUP(A79,Hshldprojections2014!$A$2:$AW$319,40, FALSE)-VLOOKUP(A79,Hshldprojections2014!$A$2:$AW$319,30, FALSE))/10</f>
        <v>531.9</v>
      </c>
      <c r="AB79" s="267">
        <f>(VLOOKUP(A79,Hshldprojections2014!$A$2:$AW$319,41, FALSE)-VLOOKUP(A79,Hshldprojections2014!$A$2:$AW$319,31, FALSE))/10</f>
        <v>523.6</v>
      </c>
      <c r="AC79" s="267">
        <f>(VLOOKUP(A79,Hshldprojections2014!$A$2:$AW$319,42, FALSE)-VLOOKUP(A79,Hshldprojections2014!$A$2:$AW$319,32, FALSE))/10</f>
        <v>517.20000000000005</v>
      </c>
      <c r="AD79" s="267">
        <f>IF(IndividualLATest!$J$7=2014,(VLOOKUP($A79,Hshldprojections2014!$A$2:$AY$326,43,FALSE)-VLOOKUP($A79,Hshldprojections2014!$A$2:$AY$326,33,FALSE))/10,IF(IndividualLATest!$J$7=2016,(VLOOKUP($A79,Hshldprojections2016!$A$1:$AQ$322,33,FALSE)-VLOOKUP($A79,Hshldprojections2016!$A$1:$AQ$322,23,FALSE))/10,(VLOOKUP($A79,Hshldprojections2018!$A$1:$AQ$327,33,FALSE)-VLOOKUP($A79,Hshldprojections2018!$A$1:$AQ$327,23,FALSE))/10))</f>
        <v>876.6</v>
      </c>
      <c r="AE79" s="267">
        <f>IF(IndividualLATest!$J$7=2014,(VLOOKUP($A79,Hshldprojections2014!$A$2:$AY$326,44,FALSE)-VLOOKUP($A79,Hshldprojections2014!$A$2:$AY$326,34,FALSE))/10,IF(IndividualLATest!$J$7=2016,(VLOOKUP($A79,Hshldprojections2016!$A$1:$AQ$322,34,FALSE)-VLOOKUP($A79,Hshldprojections2016!$A$1:$AQ$322,24,FALSE))/10,(VLOOKUP($A79,Hshldprojections2018!$A$1:$AQ$327,34,FALSE)-VLOOKUP($A79,Hshldprojections2018!$A$1:$AQ$327,24,FALSE))/10))</f>
        <v>863</v>
      </c>
      <c r="AF79" s="267">
        <f>IF(IndividualLATest!$J$7=2014,(VLOOKUP($A79,Hshldprojections2014!$A$2:$AY$326,45,FALSE)-VLOOKUP($A79,Hshldprojections2014!$A$2:$AY$326,35,FALSE))/10,IF(IndividualLATest!$J$7=2016,(VLOOKUP($A79,Hshldprojections2016!$A$1:$AQ$322,35,FALSE)-VLOOKUP($A79,Hshldprojections2016!$A$1:$AQ$322,25,FALSE))/10,(VLOOKUP($A79,Hshldprojections2018!$A$1:$AQ$327,35,FALSE)-VLOOKUP($A79,Hshldprojections2018!$A$1:$AQ$327,25,FALSE))/10))</f>
        <v>858.1</v>
      </c>
      <c r="AG79" s="267">
        <f>IF(IndividualLATest!$J$7=2014,(VLOOKUP($A79,Hshldprojections2014!$A$2:$AY$326,46,FALSE)-VLOOKUP($A79,Hshldprojections2014!$A$2:$AY$326,36,FALSE))/10,IF(IndividualLATest!$J$7=2016,(VLOOKUP($A79,Hshldprojections2016!$A$1:$AQ$322,36,FALSE)-VLOOKUP($A79,Hshldprojections2016!$A$1:$AQ$322,26,FALSE))/10,(VLOOKUP($A79,Hshldprojections2018!$A$1:$AQ$327,36,FALSE)-VLOOKUP($A79,Hshldprojections2018!$A$1:$AQ$327,26,FALSE))/10))</f>
        <v>851.3</v>
      </c>
      <c r="AH79" s="267">
        <f>IF(IndividualLATest!$J$7=2014,(VLOOKUP($A79,Hshldprojections2014!$A$2:$AY$326,47,FALSE)-VLOOKUP($A79,Hshldprojections2014!$A$2:$AY$326,37,FALSE))/10,IF(IndividualLATest!$J$7=2016,(VLOOKUP($A79,Hshldprojections2016!$A$1:$AQ$322,37,FALSE)-VLOOKUP($A79,Hshldprojections2016!$A$1:$AQ$322,27,FALSE))/10,(VLOOKUP($A79,Hshldprojections2018!$A$1:$AQ$327,37,FALSE)-VLOOKUP($A79,Hshldprojections2018!$A$1:$AQ$327,27,FALSE))/10))</f>
        <v>844.7</v>
      </c>
      <c r="AI79" s="268">
        <f>VLOOKUP($A79,AffordabilityRatio!$A$2:$I$321,5,FALSE)</f>
        <v>5.19</v>
      </c>
      <c r="AJ79" s="268">
        <f>VLOOKUP($A79,AffordabilityRatio!$A$2:$I$321,6,FALSE)</f>
        <v>4.79</v>
      </c>
      <c r="AK79" s="268">
        <f>VLOOKUP($A79,AffordabilityRatio!$A$2:$I$321,7,FALSE)</f>
        <v>4.95</v>
      </c>
      <c r="AL79" s="268">
        <f>IF((VLOOKUP($A79,AffordabilityRatio!$A$2:$I$321,8,FALSE))="",AK79,VLOOKUP($A79,AffordabilityRatio!$A$2:$I$321,8,FALSE))</f>
        <v>4.96</v>
      </c>
      <c r="AM79" s="268">
        <f>IF((VLOOKUP($A79,AffordabilityRatio!$A$2:$I$321,9,FALSE))="",AL79,VLOOKUP($A79,AffordabilityRatio!$A$2:$I$321,9,FALSE))</f>
        <v>5.56</v>
      </c>
      <c r="AN79" s="268">
        <f>IF((VLOOKUP($A79,AffordabilityRatio!$A$2:$I$321,9,FALSE))="",AM79,VLOOKUP($A79,AffordabilityRatio!$A$2:$I$321,9,FALSE))</f>
        <v>5.56</v>
      </c>
      <c r="AO79" s="268">
        <f>IF((VLOOKUP($A79,AffordabilityRatio!$A$2:$I$321,9,FALSE))="",AN79,VLOOKUP($A79,AffordabilityRatio!$A$2:$I$321,9,FALSE))</f>
        <v>5.56</v>
      </c>
      <c r="AP79" s="268">
        <f>IF((VLOOKUP($A79,AffordabilityRatio!$A$2:$I$321,9,FALSE))="",AO79,VLOOKUP($A79,AffordabilityRatio!$A$2:$I$321,9,FALSE))</f>
        <v>5.56</v>
      </c>
      <c r="AQ79" s="267">
        <f t="shared" si="86"/>
        <v>571</v>
      </c>
      <c r="AR79" s="267">
        <f t="shared" si="87"/>
        <v>549</v>
      </c>
      <c r="AS79" s="267">
        <f t="shared" si="88"/>
        <v>548</v>
      </c>
      <c r="AT79" s="267">
        <f t="shared" si="89"/>
        <v>929</v>
      </c>
      <c r="AU79" s="267">
        <f t="shared" si="90"/>
        <v>947</v>
      </c>
      <c r="AV79" s="267">
        <f t="shared" si="91"/>
        <v>942</v>
      </c>
      <c r="AW79" s="267">
        <f t="shared" si="92"/>
        <v>934</v>
      </c>
      <c r="AX79" s="267">
        <f t="shared" si="93"/>
        <v>927</v>
      </c>
      <c r="AY79" s="267">
        <f t="shared" si="94"/>
        <v>571</v>
      </c>
      <c r="AZ79" s="267">
        <f t="shared" si="95"/>
        <v>549</v>
      </c>
      <c r="BA79" s="267">
        <f t="shared" si="96"/>
        <v>548</v>
      </c>
      <c r="BB79" s="267">
        <f t="shared" si="97"/>
        <v>929</v>
      </c>
      <c r="BC79" s="267">
        <f t="shared" si="98"/>
        <v>947</v>
      </c>
      <c r="BD79" s="267">
        <f t="shared" si="99"/>
        <v>942</v>
      </c>
      <c r="BE79" s="267">
        <f t="shared" si="100"/>
        <v>934</v>
      </c>
      <c r="BF79" s="267">
        <f t="shared" si="101"/>
        <v>927</v>
      </c>
      <c r="BG79" s="269">
        <f>AY79*VLOOKUP($B79,'Major Cities &amp; Towns'!$A$28:$B$345,2,FALSE)</f>
        <v>571</v>
      </c>
      <c r="BH79" s="269">
        <f>AZ79*VLOOKUP($B79,'Major Cities &amp; Towns'!$A$28:$B$345,2,FALSE)</f>
        <v>549</v>
      </c>
      <c r="BI79" s="269">
        <f>BA79*VLOOKUP($B79,'Major Cities &amp; Towns'!$A$28:$B$345,2,FALSE)</f>
        <v>548</v>
      </c>
      <c r="BJ79" s="269">
        <f>BB79*VLOOKUP($B79,'Major Cities &amp; Towns'!$A$28:$B$345,2,FALSE)</f>
        <v>929</v>
      </c>
      <c r="BK79" s="269">
        <f>BC79*VLOOKUP($B79,'Major Cities &amp; Towns'!$A$28:$B$345,2,FALSE)</f>
        <v>947</v>
      </c>
      <c r="BL79" s="269">
        <f>BD79*VLOOKUP($B79,'Major Cities &amp; Towns'!$A$28:$B$345,2,FALSE)</f>
        <v>942</v>
      </c>
      <c r="BM79" s="269">
        <f>BE79*VLOOKUP($B79,'Major Cities &amp; Towns'!$A$28:$B$345,2,FALSE)</f>
        <v>934</v>
      </c>
      <c r="BN79" s="269">
        <f>BF79*VLOOKUP($B79,'Major Cities &amp; Towns'!$A$28:$B$345,2,FALSE)</f>
        <v>927</v>
      </c>
      <c r="BO79" s="270">
        <f t="shared" si="102"/>
        <v>571</v>
      </c>
      <c r="BP79" s="270">
        <f t="shared" si="103"/>
        <v>549</v>
      </c>
      <c r="BQ79" s="270">
        <f t="shared" si="104"/>
        <v>548</v>
      </c>
      <c r="BR79" s="270">
        <f t="shared" si="105"/>
        <v>920</v>
      </c>
      <c r="BS79" s="270">
        <f t="shared" si="106"/>
        <v>920</v>
      </c>
      <c r="BT79" s="270">
        <f t="shared" si="107"/>
        <v>920</v>
      </c>
      <c r="BU79" s="270">
        <f t="shared" si="108"/>
        <v>920</v>
      </c>
      <c r="BV79" s="270">
        <f t="shared" si="109"/>
        <v>920</v>
      </c>
      <c r="BW79" s="39">
        <f>VLOOKUP($A79,NetAdditions!$A$2:$H$336,6,FALSE)</f>
        <v>1327</v>
      </c>
      <c r="BX79" s="39">
        <f>VLOOKUP($A79,NetAdditions!$A$2:$H$336,7,FALSE)</f>
        <v>1213</v>
      </c>
      <c r="BY79" s="39">
        <f>IF((VLOOKUP($C79,NetAdditions!$A$2:$H$336,8,FALSE))="",(AVERAGE(VLOOKUP($C79,NetAdditions!$A$2:$H$336,5,FALSE),VLOOKUP($C79,NetAdditions!$A$2:$H$336,6,FALSE),VLOOKUP($C79,NetAdditions!$A$2:$H$336,7,FALSE))),VLOOKUP($C79,NetAdditions!$A$2:$H$336,8,FALSE))</f>
        <v>761</v>
      </c>
      <c r="BZ79" s="39">
        <f t="shared" si="110"/>
        <v>1100.3333333333333</v>
      </c>
      <c r="CA79" s="39">
        <f t="shared" si="111"/>
        <v>1024.7777777777776</v>
      </c>
      <c r="CB79" s="39">
        <f t="shared" si="112"/>
        <v>962.03703703703695</v>
      </c>
      <c r="CC79" s="39">
        <f t="shared" si="113"/>
        <v>1029.0493827160492</v>
      </c>
      <c r="CD79" s="39">
        <f t="shared" si="114"/>
        <v>1005.2880658436212</v>
      </c>
      <c r="CE79" s="276">
        <f t="shared" si="71"/>
        <v>1668</v>
      </c>
      <c r="CF79" s="276">
        <f t="shared" si="72"/>
        <v>2017</v>
      </c>
      <c r="CG79" s="276">
        <f t="shared" si="73"/>
        <v>2388</v>
      </c>
      <c r="CH79" s="276">
        <f t="shared" si="74"/>
        <v>2760</v>
      </c>
      <c r="CI79" s="276">
        <f t="shared" si="75"/>
        <v>2760</v>
      </c>
      <c r="CJ79" s="276">
        <f t="shared" si="76"/>
        <v>2760</v>
      </c>
      <c r="CK79" s="276">
        <f t="shared" si="115"/>
        <v>1436.3333333333335</v>
      </c>
      <c r="CL79" s="276">
        <f t="shared" si="116"/>
        <v>1736.8611111111113</v>
      </c>
      <c r="CM79" s="276">
        <f t="shared" si="117"/>
        <v>2189</v>
      </c>
      <c r="CN79" s="276">
        <f t="shared" si="118"/>
        <v>2760</v>
      </c>
      <c r="CO79" s="276">
        <f t="shared" si="119"/>
        <v>2760</v>
      </c>
      <c r="CP79" s="276">
        <f t="shared" si="120"/>
        <v>2760</v>
      </c>
      <c r="CQ79" s="39">
        <f t="shared" si="77"/>
        <v>3301</v>
      </c>
      <c r="CR79" s="39">
        <f t="shared" si="78"/>
        <v>3074.333333333333</v>
      </c>
      <c r="CS79" s="277">
        <f t="shared" si="79"/>
        <v>2886.1111111111109</v>
      </c>
      <c r="CT79" s="39">
        <f t="shared" si="80"/>
        <v>3087.1481481481478</v>
      </c>
      <c r="CU79" s="39">
        <f t="shared" si="81"/>
        <v>3015.8641975308637</v>
      </c>
      <c r="CV79" s="39">
        <f t="shared" si="121"/>
        <v>2996.3744855967075</v>
      </c>
      <c r="CW79" s="297">
        <f t="shared" si="82"/>
        <v>2.29821304246925</v>
      </c>
      <c r="CX79" s="279" t="str">
        <f t="shared" si="122"/>
        <v>Pass</v>
      </c>
      <c r="CY79" s="278">
        <f t="shared" si="83"/>
        <v>1.7700513378220606</v>
      </c>
      <c r="CZ79" s="279" t="str">
        <f t="shared" si="123"/>
        <v>Pass</v>
      </c>
      <c r="DA79" s="278">
        <f t="shared" si="84"/>
        <v>1.3184609918278258</v>
      </c>
      <c r="DB79" s="292" t="str">
        <f t="shared" si="124"/>
        <v>Pass</v>
      </c>
      <c r="DC79" s="299">
        <f t="shared" si="125"/>
        <v>1.1185319377348362</v>
      </c>
      <c r="DD79" s="293" t="str">
        <f t="shared" si="126"/>
        <v>Pass</v>
      </c>
      <c r="DE79" s="299">
        <f t="shared" si="127"/>
        <v>1.0927044193952404</v>
      </c>
      <c r="DF79" s="293" t="str">
        <f t="shared" si="128"/>
        <v>Pass</v>
      </c>
      <c r="DG79" s="299">
        <f t="shared" si="129"/>
        <v>1.0856429295640244</v>
      </c>
      <c r="DH79" s="293" t="str">
        <f t="shared" si="130"/>
        <v>Pass</v>
      </c>
    </row>
    <row r="80" spans="1:112" ht="15" thickTop="1" thickBot="1">
      <c r="A80" s="38" t="s">
        <v>270</v>
      </c>
      <c r="B80" s="38" t="s">
        <v>271</v>
      </c>
      <c r="C80" s="38" t="s">
        <v>270</v>
      </c>
      <c r="D80" s="38" t="s">
        <v>147</v>
      </c>
      <c r="E80" s="38" t="str">
        <f>VLOOKUP(C80,PoliticalControl!A:K,11,FALSE)</f>
        <v>CON</v>
      </c>
      <c r="F80" s="38" t="str">
        <f>VLOOKUP(C80,UrbanRuralClassification!A:N,13,FALSE)</f>
        <v xml:space="preserve">Largely Rural (rural including hub towns 50-79%) </v>
      </c>
      <c r="G80" s="38" t="str">
        <f>VLOOKUP(C80,UrbanRuralClassification!A:N,14,FALSE)</f>
        <v>Predominantly Rural</v>
      </c>
      <c r="H80" s="258" t="str">
        <f>IF(ISBLANK((VLOOKUP($A80,'local-plan-data'!$C$1:$AD$566,27,FALSE)))=TRUE,"",VLOOKUP($A80,'local-plan-data'!$C$1:$AD$566,27,FALSE))</f>
        <v/>
      </c>
      <c r="I80" s="259">
        <f>VLOOKUP($A80,'local-plan-data'!$C$1:$AD$566,28,FALSE)</f>
        <v>1793</v>
      </c>
      <c r="J80" s="260">
        <f t="shared" si="85"/>
        <v>1793</v>
      </c>
      <c r="K80" s="259" t="str">
        <f t="shared" si="69"/>
        <v>-</v>
      </c>
      <c r="L80" s="259" t="str">
        <f t="shared" si="69"/>
        <v>-</v>
      </c>
      <c r="M80" s="259" t="str">
        <f t="shared" si="69"/>
        <v>-</v>
      </c>
      <c r="N80" s="259" t="str">
        <f t="shared" si="69"/>
        <v>-</v>
      </c>
      <c r="O80" s="259" t="str">
        <f t="shared" si="69"/>
        <v>-</v>
      </c>
      <c r="P80" s="259" t="str">
        <f t="shared" si="69"/>
        <v>-</v>
      </c>
      <c r="Q80" s="259" t="str">
        <f t="shared" si="69"/>
        <v>-</v>
      </c>
      <c r="R80" s="259" t="str">
        <f t="shared" si="69"/>
        <v>-</v>
      </c>
      <c r="S80" s="259" t="str">
        <f t="shared" si="70"/>
        <v>-</v>
      </c>
      <c r="T80" s="259" t="str">
        <f t="shared" si="70"/>
        <v>-</v>
      </c>
      <c r="U80" s="259" t="str">
        <f t="shared" si="70"/>
        <v>-</v>
      </c>
      <c r="V80" s="259" t="str">
        <f t="shared" si="70"/>
        <v>-</v>
      </c>
      <c r="W80" s="259" t="str">
        <f t="shared" si="70"/>
        <v>-</v>
      </c>
      <c r="X80" s="259" t="str">
        <f t="shared" si="70"/>
        <v>-</v>
      </c>
      <c r="Y80" s="259" t="str">
        <f t="shared" si="70"/>
        <v>-</v>
      </c>
      <c r="Z80" s="259" t="str">
        <f t="shared" si="70"/>
        <v>-</v>
      </c>
      <c r="AA80" s="267">
        <f>(VLOOKUP(A80,Hshldprojections2014!$A$2:$AW$319,40, FALSE)-VLOOKUP(A80,Hshldprojections2014!$A$2:$AW$319,30, FALSE))/10</f>
        <v>1285.9000000000001</v>
      </c>
      <c r="AB80" s="267">
        <f>(VLOOKUP(A80,Hshldprojections2014!$A$2:$AW$319,41, FALSE)-VLOOKUP(A80,Hshldprojections2014!$A$2:$AW$319,31, FALSE))/10</f>
        <v>1294.5</v>
      </c>
      <c r="AC80" s="267">
        <f>(VLOOKUP(A80,Hshldprojections2014!$A$2:$AW$319,42, FALSE)-VLOOKUP(A80,Hshldprojections2014!$A$2:$AW$319,32, FALSE))/10</f>
        <v>1300.3</v>
      </c>
      <c r="AD80" s="267">
        <f>IF(IndividualLATest!$J$7=2014,(VLOOKUP($A80,Hshldprojections2014!$A$2:$AY$326,43,FALSE)-VLOOKUP($A80,Hshldprojections2014!$A$2:$AY$326,33,FALSE))/10,IF(IndividualLATest!$J$7=2016,(VLOOKUP($A80,Hshldprojections2016!$A$1:$AQ$322,33,FALSE)-VLOOKUP($A80,Hshldprojections2016!$A$1:$AQ$322,23,FALSE))/10,(VLOOKUP($A80,Hshldprojections2018!$A$1:$AQ$327,33,FALSE)-VLOOKUP($A80,Hshldprojections2018!$A$1:$AQ$327,23,FALSE))/10))</f>
        <v>1321.1</v>
      </c>
      <c r="AE80" s="267">
        <f>IF(IndividualLATest!$J$7=2014,(VLOOKUP($A80,Hshldprojections2014!$A$2:$AY$326,44,FALSE)-VLOOKUP($A80,Hshldprojections2014!$A$2:$AY$326,34,FALSE))/10,IF(IndividualLATest!$J$7=2016,(VLOOKUP($A80,Hshldprojections2016!$A$1:$AQ$322,34,FALSE)-VLOOKUP($A80,Hshldprojections2016!$A$1:$AQ$322,24,FALSE))/10,(VLOOKUP($A80,Hshldprojections2018!$A$1:$AQ$327,34,FALSE)-VLOOKUP($A80,Hshldprojections2018!$A$1:$AQ$327,24,FALSE))/10))</f>
        <v>1284.4000000000001</v>
      </c>
      <c r="AF80" s="267">
        <f>IF(IndividualLATest!$J$7=2014,(VLOOKUP($A80,Hshldprojections2014!$A$2:$AY$326,45,FALSE)-VLOOKUP($A80,Hshldprojections2014!$A$2:$AY$326,35,FALSE))/10,IF(IndividualLATest!$J$7=2016,(VLOOKUP($A80,Hshldprojections2016!$A$1:$AQ$322,35,FALSE)-VLOOKUP($A80,Hshldprojections2016!$A$1:$AQ$322,25,FALSE))/10,(VLOOKUP($A80,Hshldprojections2018!$A$1:$AQ$327,35,FALSE)-VLOOKUP($A80,Hshldprojections2018!$A$1:$AQ$327,25,FALSE))/10))</f>
        <v>1247.0999999999999</v>
      </c>
      <c r="AG80" s="267">
        <f>IF(IndividualLATest!$J$7=2014,(VLOOKUP($A80,Hshldprojections2014!$A$2:$AY$326,46,FALSE)-VLOOKUP($A80,Hshldprojections2014!$A$2:$AY$326,36,FALSE))/10,IF(IndividualLATest!$J$7=2016,(VLOOKUP($A80,Hshldprojections2016!$A$1:$AQ$322,36,FALSE)-VLOOKUP($A80,Hshldprojections2016!$A$1:$AQ$322,26,FALSE))/10,(VLOOKUP($A80,Hshldprojections2018!$A$1:$AQ$327,36,FALSE)-VLOOKUP($A80,Hshldprojections2018!$A$1:$AQ$327,26,FALSE))/10))</f>
        <v>1212.4000000000001</v>
      </c>
      <c r="AH80" s="267">
        <f>IF(IndividualLATest!$J$7=2014,(VLOOKUP($A80,Hshldprojections2014!$A$2:$AY$326,47,FALSE)-VLOOKUP($A80,Hshldprojections2014!$A$2:$AY$326,37,FALSE))/10,IF(IndividualLATest!$J$7=2016,(VLOOKUP($A80,Hshldprojections2016!$A$1:$AQ$322,37,FALSE)-VLOOKUP($A80,Hshldprojections2016!$A$1:$AQ$322,27,FALSE))/10,(VLOOKUP($A80,Hshldprojections2018!$A$1:$AQ$327,37,FALSE)-VLOOKUP($A80,Hshldprojections2018!$A$1:$AQ$327,27,FALSE))/10))</f>
        <v>1174</v>
      </c>
      <c r="AI80" s="268">
        <f>VLOOKUP($A80,AffordabilityRatio!$A$2:$I$321,5,FALSE)</f>
        <v>10.97</v>
      </c>
      <c r="AJ80" s="268">
        <f>VLOOKUP($A80,AffordabilityRatio!$A$2:$I$321,6,FALSE)</f>
        <v>10.49</v>
      </c>
      <c r="AK80" s="268">
        <f>VLOOKUP($A80,AffordabilityRatio!$A$2:$I$321,7,FALSE)</f>
        <v>10</v>
      </c>
      <c r="AL80" s="268">
        <f>IF((VLOOKUP($A80,AffordabilityRatio!$A$2:$I$321,8,FALSE))="",AK80,VLOOKUP($A80,AffordabilityRatio!$A$2:$I$321,8,FALSE))</f>
        <v>10.1</v>
      </c>
      <c r="AM80" s="268">
        <f>IF((VLOOKUP($A80,AffordabilityRatio!$A$2:$I$321,9,FALSE))="",AL80,VLOOKUP($A80,AffordabilityRatio!$A$2:$I$321,9,FALSE))</f>
        <v>12.22</v>
      </c>
      <c r="AN80" s="268">
        <f>IF((VLOOKUP($A80,AffordabilityRatio!$A$2:$I$321,9,FALSE))="",AM80,VLOOKUP($A80,AffordabilityRatio!$A$2:$I$321,9,FALSE))</f>
        <v>12.22</v>
      </c>
      <c r="AO80" s="268">
        <f>IF((VLOOKUP($A80,AffordabilityRatio!$A$2:$I$321,9,FALSE))="",AN80,VLOOKUP($A80,AffordabilityRatio!$A$2:$I$321,9,FALSE))</f>
        <v>12.22</v>
      </c>
      <c r="AP80" s="268">
        <f>IF((VLOOKUP($A80,AffordabilityRatio!$A$2:$I$321,9,FALSE))="",AO80,VLOOKUP($A80,AffordabilityRatio!$A$2:$I$321,9,FALSE))</f>
        <v>12.22</v>
      </c>
      <c r="AQ80" s="267">
        <f t="shared" si="86"/>
        <v>1846</v>
      </c>
      <c r="AR80" s="267">
        <f t="shared" si="87"/>
        <v>1820</v>
      </c>
      <c r="AS80" s="267">
        <f t="shared" si="88"/>
        <v>1788</v>
      </c>
      <c r="AT80" s="267">
        <f t="shared" si="89"/>
        <v>1825</v>
      </c>
      <c r="AU80" s="267">
        <f t="shared" si="90"/>
        <v>1944</v>
      </c>
      <c r="AV80" s="267">
        <f t="shared" si="91"/>
        <v>1888</v>
      </c>
      <c r="AW80" s="267">
        <f t="shared" si="92"/>
        <v>1835</v>
      </c>
      <c r="AX80" s="267">
        <f t="shared" si="93"/>
        <v>1777</v>
      </c>
      <c r="AY80" s="267">
        <f t="shared" si="94"/>
        <v>1846</v>
      </c>
      <c r="AZ80" s="267">
        <f t="shared" si="95"/>
        <v>1820</v>
      </c>
      <c r="BA80" s="267">
        <f t="shared" si="96"/>
        <v>1788</v>
      </c>
      <c r="BB80" s="267">
        <f t="shared" si="97"/>
        <v>1825</v>
      </c>
      <c r="BC80" s="267">
        <f t="shared" si="98"/>
        <v>1944</v>
      </c>
      <c r="BD80" s="267">
        <f t="shared" si="99"/>
        <v>1888</v>
      </c>
      <c r="BE80" s="267">
        <f t="shared" si="100"/>
        <v>1835</v>
      </c>
      <c r="BF80" s="267">
        <f t="shared" si="101"/>
        <v>1777</v>
      </c>
      <c r="BG80" s="269">
        <f>AY80*VLOOKUP($B80,'Major Cities &amp; Towns'!$A$28:$B$345,2,FALSE)</f>
        <v>1846</v>
      </c>
      <c r="BH80" s="269">
        <f>AZ80*VLOOKUP($B80,'Major Cities &amp; Towns'!$A$28:$B$345,2,FALSE)</f>
        <v>1820</v>
      </c>
      <c r="BI80" s="269">
        <f>BA80*VLOOKUP($B80,'Major Cities &amp; Towns'!$A$28:$B$345,2,FALSE)</f>
        <v>1788</v>
      </c>
      <c r="BJ80" s="269">
        <f>BB80*VLOOKUP($B80,'Major Cities &amp; Towns'!$A$28:$B$345,2,FALSE)</f>
        <v>1825</v>
      </c>
      <c r="BK80" s="269">
        <f>BC80*VLOOKUP($B80,'Major Cities &amp; Towns'!$A$28:$B$345,2,FALSE)</f>
        <v>1944</v>
      </c>
      <c r="BL80" s="269">
        <f>BD80*VLOOKUP($B80,'Major Cities &amp; Towns'!$A$28:$B$345,2,FALSE)</f>
        <v>1888</v>
      </c>
      <c r="BM80" s="269">
        <f>BE80*VLOOKUP($B80,'Major Cities &amp; Towns'!$A$28:$B$345,2,FALSE)</f>
        <v>1835</v>
      </c>
      <c r="BN80" s="269">
        <f>BF80*VLOOKUP($B80,'Major Cities &amp; Towns'!$A$28:$B$345,2,FALSE)</f>
        <v>1777</v>
      </c>
      <c r="BO80" s="270">
        <f t="shared" si="102"/>
        <v>1846</v>
      </c>
      <c r="BP80" s="270">
        <f t="shared" si="103"/>
        <v>1820</v>
      </c>
      <c r="BQ80" s="270">
        <f t="shared" si="104"/>
        <v>1788</v>
      </c>
      <c r="BR80" s="270">
        <f t="shared" si="105"/>
        <v>1825</v>
      </c>
      <c r="BS80" s="270">
        <f t="shared" si="106"/>
        <v>1944</v>
      </c>
      <c r="BT80" s="270">
        <f t="shared" si="107"/>
        <v>1888</v>
      </c>
      <c r="BU80" s="270">
        <f t="shared" si="108"/>
        <v>1835</v>
      </c>
      <c r="BV80" s="270">
        <f t="shared" si="109"/>
        <v>1777</v>
      </c>
      <c r="BW80" s="39" t="str">
        <f>VLOOKUP($A80,NetAdditions!$A$2:$H$336,6,FALSE)</f>
        <v>Not Applicable</v>
      </c>
      <c r="BX80" s="39">
        <f>VLOOKUP($A80,NetAdditions!$A$2:$H$336,7,FALSE)</f>
        <v>1420</v>
      </c>
      <c r="BY80" s="39">
        <f>IF((VLOOKUP($C80,NetAdditions!$A$2:$H$336,8,FALSE))="",(AVERAGE(VLOOKUP($C80,NetAdditions!$A$2:$H$336,5,FALSE),VLOOKUP($C80,NetAdditions!$A$2:$H$336,6,FALSE),VLOOKUP($C80,NetAdditions!$A$2:$H$336,7,FALSE))),VLOOKUP($C80,NetAdditions!$A$2:$H$336,8,FALSE))</f>
        <v>1376</v>
      </c>
      <c r="BZ80" s="39">
        <f t="shared" si="110"/>
        <v>1398</v>
      </c>
      <c r="CA80" s="39">
        <f t="shared" si="111"/>
        <v>1398</v>
      </c>
      <c r="CB80" s="39">
        <f t="shared" si="112"/>
        <v>1390.6666666666667</v>
      </c>
      <c r="CC80" s="39">
        <f t="shared" si="113"/>
        <v>1395.5555555555557</v>
      </c>
      <c r="CD80" s="39">
        <f t="shared" si="114"/>
        <v>1394.7407407407409</v>
      </c>
      <c r="CE80" s="276">
        <f t="shared" si="71"/>
        <v>5454</v>
      </c>
      <c r="CF80" s="276">
        <f t="shared" si="72"/>
        <v>5433</v>
      </c>
      <c r="CG80" s="276">
        <f t="shared" si="73"/>
        <v>5557</v>
      </c>
      <c r="CH80" s="276">
        <f t="shared" si="74"/>
        <v>5657</v>
      </c>
      <c r="CI80" s="276">
        <f t="shared" si="75"/>
        <v>5667</v>
      </c>
      <c r="CJ80" s="276">
        <f t="shared" si="76"/>
        <v>5500</v>
      </c>
      <c r="CK80" s="276">
        <f t="shared" si="115"/>
        <v>4696.5</v>
      </c>
      <c r="CL80" s="276">
        <f t="shared" si="116"/>
        <v>4678.416666666667</v>
      </c>
      <c r="CM80" s="276">
        <f t="shared" si="117"/>
        <v>5093.9166666666661</v>
      </c>
      <c r="CN80" s="276">
        <f t="shared" si="118"/>
        <v>5657</v>
      </c>
      <c r="CO80" s="276">
        <f t="shared" si="119"/>
        <v>5667</v>
      </c>
      <c r="CP80" s="276">
        <f t="shared" si="120"/>
        <v>5500</v>
      </c>
      <c r="CQ80" s="39">
        <f t="shared" si="77"/>
        <v>2796</v>
      </c>
      <c r="CR80" s="39">
        <f t="shared" si="78"/>
        <v>4194</v>
      </c>
      <c r="CS80" s="277">
        <f t="shared" si="79"/>
        <v>4172</v>
      </c>
      <c r="CT80" s="39">
        <f t="shared" si="80"/>
        <v>4186.666666666667</v>
      </c>
      <c r="CU80" s="39">
        <f t="shared" si="81"/>
        <v>4184.2222222222226</v>
      </c>
      <c r="CV80" s="39">
        <f t="shared" si="121"/>
        <v>4180.9629629629635</v>
      </c>
      <c r="CW80" s="297">
        <f t="shared" si="82"/>
        <v>0.59533695305014367</v>
      </c>
      <c r="CX80" s="279" t="str">
        <f t="shared" si="122"/>
        <v>Buffer and Action Plan</v>
      </c>
      <c r="CY80" s="278">
        <f t="shared" si="83"/>
        <v>0.89645713471437982</v>
      </c>
      <c r="CZ80" s="279" t="str">
        <f t="shared" si="123"/>
        <v>Action Plan</v>
      </c>
      <c r="DA80" s="278">
        <f t="shared" si="84"/>
        <v>0.81901614671094614</v>
      </c>
      <c r="DB80" s="292" t="str">
        <f t="shared" si="124"/>
        <v>Buffer and Action Plan</v>
      </c>
      <c r="DC80" s="299">
        <f t="shared" si="125"/>
        <v>0.7400860291084792</v>
      </c>
      <c r="DD80" s="293" t="str">
        <f t="shared" si="126"/>
        <v>Presumption</v>
      </c>
      <c r="DE80" s="299">
        <f t="shared" si="127"/>
        <v>0.73834872458482836</v>
      </c>
      <c r="DF80" s="293" t="str">
        <f t="shared" si="128"/>
        <v>Presumption</v>
      </c>
      <c r="DG80" s="299">
        <f t="shared" si="129"/>
        <v>0.76017508417508428</v>
      </c>
      <c r="DH80" s="293" t="str">
        <f t="shared" si="130"/>
        <v>Buffer and Action Plan</v>
      </c>
    </row>
    <row r="81" spans="1:112" s="47" customFormat="1" ht="15" thickTop="1" thickBot="1">
      <c r="A81" s="46" t="s">
        <v>272</v>
      </c>
      <c r="B81" s="46" t="s">
        <v>273</v>
      </c>
      <c r="C81" s="46" t="s">
        <v>272</v>
      </c>
      <c r="D81" s="46" t="s">
        <v>113</v>
      </c>
      <c r="E81" s="46" t="str">
        <f>VLOOKUP(C81,PoliticalControl!A:K,11,FALSE)</f>
        <v>CON</v>
      </c>
      <c r="F81" s="46" t="str">
        <f>VLOOKUP(C81,UrbanRuralClassification!A:N,13,FALSE)</f>
        <v>Urban with Significant Rural (rural including hub towns 26-49%)</v>
      </c>
      <c r="G81" s="46" t="str">
        <f>VLOOKUP(C81,UrbanRuralClassification!A:N,14,FALSE)</f>
        <v>Urban with Significant Rural</v>
      </c>
      <c r="H81" s="258">
        <f>IF(ISBLANK((VLOOKUP($A81,'local-plan-data'!$C$1:$AD$566,27,FALSE)))=TRUE,"",VLOOKUP($A81,'local-plan-data'!$C$1:$AD$566,27,FALSE))</f>
        <v>40233</v>
      </c>
      <c r="I81" s="259">
        <f>VLOOKUP($A81,'local-plan-data'!$C$1:$AD$566,28,FALSE)</f>
        <v>505</v>
      </c>
      <c r="J81" s="260">
        <f t="shared" si="85"/>
        <v>505</v>
      </c>
      <c r="K81" s="259" t="str">
        <f t="shared" si="69"/>
        <v>-</v>
      </c>
      <c r="L81" s="259" t="str">
        <f t="shared" si="69"/>
        <v>-</v>
      </c>
      <c r="M81" s="259" t="str">
        <f t="shared" si="69"/>
        <v>-</v>
      </c>
      <c r="N81" s="259" t="str">
        <f t="shared" si="69"/>
        <v>-</v>
      </c>
      <c r="O81" s="259" t="str">
        <f t="shared" si="69"/>
        <v>-</v>
      </c>
      <c r="P81" s="259" t="str">
        <f t="shared" si="69"/>
        <v>-</v>
      </c>
      <c r="Q81" s="259" t="str">
        <f t="shared" si="69"/>
        <v>-</v>
      </c>
      <c r="R81" s="259" t="str">
        <f t="shared" si="69"/>
        <v>-</v>
      </c>
      <c r="S81" s="259">
        <f t="shared" si="70"/>
        <v>-1132</v>
      </c>
      <c r="T81" s="259">
        <f t="shared" si="70"/>
        <v>-1497</v>
      </c>
      <c r="U81" s="259">
        <f t="shared" si="70"/>
        <v>-1863</v>
      </c>
      <c r="V81" s="259">
        <f t="shared" si="70"/>
        <v>-2228</v>
      </c>
      <c r="W81" s="259">
        <f t="shared" si="70"/>
        <v>-2593</v>
      </c>
      <c r="X81" s="259">
        <f t="shared" si="70"/>
        <v>-2958</v>
      </c>
      <c r="Y81" s="259">
        <f t="shared" si="70"/>
        <v>-3324</v>
      </c>
      <c r="Z81" s="259">
        <f t="shared" si="70"/>
        <v>-3689</v>
      </c>
      <c r="AA81" s="267">
        <f>(VLOOKUP(A81,Hshldprojections2014!$A$2:$AW$319,40, FALSE)-VLOOKUP(A81,Hshldprojections2014!$A$2:$AW$319,30, FALSE))/10</f>
        <v>479.1</v>
      </c>
      <c r="AB81" s="267">
        <f>(VLOOKUP(A81,Hshldprojections2014!$A$2:$AW$319,41, FALSE)-VLOOKUP(A81,Hshldprojections2014!$A$2:$AW$319,31, FALSE))/10</f>
        <v>475.2</v>
      </c>
      <c r="AC81" s="267">
        <f>(VLOOKUP(A81,Hshldprojections2014!$A$2:$AW$319,42, FALSE)-VLOOKUP(A81,Hshldprojections2014!$A$2:$AW$319,32, FALSE))/10</f>
        <v>471.3</v>
      </c>
      <c r="AD81" s="267">
        <f>IF(IndividualLATest!$J$7=2014,(VLOOKUP($A81,Hshldprojections2014!$A$2:$AY$326,43,FALSE)-VLOOKUP($A81,Hshldprojections2014!$A$2:$AY$326,33,FALSE))/10,IF(IndividualLATest!$J$7=2016,(VLOOKUP($A81,Hshldprojections2016!$A$1:$AQ$322,33,FALSE)-VLOOKUP($A81,Hshldprojections2016!$A$1:$AQ$322,23,FALSE))/10,(VLOOKUP($A81,Hshldprojections2018!$A$1:$AQ$327,33,FALSE)-VLOOKUP($A81,Hshldprojections2018!$A$1:$AQ$327,23,FALSE))/10))</f>
        <v>665.5</v>
      </c>
      <c r="AE81" s="267">
        <f>IF(IndividualLATest!$J$7=2014,(VLOOKUP($A81,Hshldprojections2014!$A$2:$AY$326,44,FALSE)-VLOOKUP($A81,Hshldprojections2014!$A$2:$AY$326,34,FALSE))/10,IF(IndividualLATest!$J$7=2016,(VLOOKUP($A81,Hshldprojections2016!$A$1:$AQ$322,34,FALSE)-VLOOKUP($A81,Hshldprojections2016!$A$1:$AQ$322,24,FALSE))/10,(VLOOKUP($A81,Hshldprojections2018!$A$1:$AQ$327,34,FALSE)-VLOOKUP($A81,Hshldprojections2018!$A$1:$AQ$327,24,FALSE))/10))</f>
        <v>653.1</v>
      </c>
      <c r="AF81" s="267">
        <f>IF(IndividualLATest!$J$7=2014,(VLOOKUP($A81,Hshldprojections2014!$A$2:$AY$326,45,FALSE)-VLOOKUP($A81,Hshldprojections2014!$A$2:$AY$326,35,FALSE))/10,IF(IndividualLATest!$J$7=2016,(VLOOKUP($A81,Hshldprojections2016!$A$1:$AQ$322,35,FALSE)-VLOOKUP($A81,Hshldprojections2016!$A$1:$AQ$322,25,FALSE))/10,(VLOOKUP($A81,Hshldprojections2018!$A$1:$AQ$327,35,FALSE)-VLOOKUP($A81,Hshldprojections2018!$A$1:$AQ$327,25,FALSE))/10))</f>
        <v>639.20000000000005</v>
      </c>
      <c r="AG81" s="267">
        <f>IF(IndividualLATest!$J$7=2014,(VLOOKUP($A81,Hshldprojections2014!$A$2:$AY$326,46,FALSE)-VLOOKUP($A81,Hshldprojections2014!$A$2:$AY$326,36,FALSE))/10,IF(IndividualLATest!$J$7=2016,(VLOOKUP($A81,Hshldprojections2016!$A$1:$AQ$322,36,FALSE)-VLOOKUP($A81,Hshldprojections2016!$A$1:$AQ$322,26,FALSE))/10,(VLOOKUP($A81,Hshldprojections2018!$A$1:$AQ$327,36,FALSE)-VLOOKUP($A81,Hshldprojections2018!$A$1:$AQ$327,26,FALSE))/10))</f>
        <v>627</v>
      </c>
      <c r="AH81" s="267">
        <f>IF(IndividualLATest!$J$7=2014,(VLOOKUP($A81,Hshldprojections2014!$A$2:$AY$326,47,FALSE)-VLOOKUP($A81,Hshldprojections2014!$A$2:$AY$326,37,FALSE))/10,IF(IndividualLATest!$J$7=2016,(VLOOKUP($A81,Hshldprojections2016!$A$1:$AQ$322,37,FALSE)-VLOOKUP($A81,Hshldprojections2016!$A$1:$AQ$322,27,FALSE))/10,(VLOOKUP($A81,Hshldprojections2018!$A$1:$AQ$327,37,FALSE)-VLOOKUP($A81,Hshldprojections2018!$A$1:$AQ$327,27,FALSE))/10))</f>
        <v>617.9</v>
      </c>
      <c r="AI81" s="268">
        <f>VLOOKUP($A81,AffordabilityRatio!$A$2:$I$321,5,FALSE)</f>
        <v>8.3000000000000007</v>
      </c>
      <c r="AJ81" s="268">
        <f>VLOOKUP($A81,AffordabilityRatio!$A$2:$I$321,6,FALSE)</f>
        <v>9.3699999999999992</v>
      </c>
      <c r="AK81" s="268">
        <f>VLOOKUP($A81,AffordabilityRatio!$A$2:$I$321,7,FALSE)</f>
        <v>8.2100000000000009</v>
      </c>
      <c r="AL81" s="268">
        <f>IF((VLOOKUP($A81,AffordabilityRatio!$A$2:$I$321,8,FALSE))="",AK81,VLOOKUP($A81,AffordabilityRatio!$A$2:$I$321,8,FALSE))</f>
        <v>7.12</v>
      </c>
      <c r="AM81" s="268">
        <f>IF((VLOOKUP($A81,AffordabilityRatio!$A$2:$I$321,9,FALSE))="",AL81,VLOOKUP($A81,AffordabilityRatio!$A$2:$I$321,9,FALSE))</f>
        <v>9.25</v>
      </c>
      <c r="AN81" s="268">
        <f>IF((VLOOKUP($A81,AffordabilityRatio!$A$2:$I$321,9,FALSE))="",AM81,VLOOKUP($A81,AffordabilityRatio!$A$2:$I$321,9,FALSE))</f>
        <v>9.25</v>
      </c>
      <c r="AO81" s="268">
        <f>IF((VLOOKUP($A81,AffordabilityRatio!$A$2:$I$321,9,FALSE))="",AN81,VLOOKUP($A81,AffordabilityRatio!$A$2:$I$321,9,FALSE))</f>
        <v>9.25</v>
      </c>
      <c r="AP81" s="268">
        <f>IF((VLOOKUP($A81,AffordabilityRatio!$A$2:$I$321,9,FALSE))="",AO81,VLOOKUP($A81,AffordabilityRatio!$A$2:$I$321,9,FALSE))</f>
        <v>9.25</v>
      </c>
      <c r="AQ81" s="267">
        <f t="shared" si="86"/>
        <v>608</v>
      </c>
      <c r="AR81" s="267">
        <f t="shared" si="87"/>
        <v>635</v>
      </c>
      <c r="AS81" s="267">
        <f t="shared" si="88"/>
        <v>595</v>
      </c>
      <c r="AT81" s="267">
        <f t="shared" si="89"/>
        <v>795</v>
      </c>
      <c r="AU81" s="267">
        <f t="shared" si="90"/>
        <v>867</v>
      </c>
      <c r="AV81" s="267">
        <f t="shared" si="91"/>
        <v>849</v>
      </c>
      <c r="AW81" s="267">
        <f t="shared" si="92"/>
        <v>833</v>
      </c>
      <c r="AX81" s="267">
        <f t="shared" si="93"/>
        <v>821</v>
      </c>
      <c r="AY81" s="267">
        <f t="shared" si="94"/>
        <v>608</v>
      </c>
      <c r="AZ81" s="267">
        <f t="shared" si="95"/>
        <v>635</v>
      </c>
      <c r="BA81" s="267">
        <f t="shared" si="96"/>
        <v>595</v>
      </c>
      <c r="BB81" s="267">
        <f t="shared" si="97"/>
        <v>795</v>
      </c>
      <c r="BC81" s="267">
        <f t="shared" si="98"/>
        <v>867</v>
      </c>
      <c r="BD81" s="267">
        <f t="shared" si="99"/>
        <v>849</v>
      </c>
      <c r="BE81" s="267">
        <f t="shared" si="100"/>
        <v>833</v>
      </c>
      <c r="BF81" s="267">
        <f t="shared" si="101"/>
        <v>821</v>
      </c>
      <c r="BG81" s="269">
        <f>AY81*VLOOKUP($B81,'Major Cities &amp; Towns'!$A$28:$B$345,2,FALSE)</f>
        <v>608</v>
      </c>
      <c r="BH81" s="269">
        <f>AZ81*VLOOKUP($B81,'Major Cities &amp; Towns'!$A$28:$B$345,2,FALSE)</f>
        <v>635</v>
      </c>
      <c r="BI81" s="269">
        <f>BA81*VLOOKUP($B81,'Major Cities &amp; Towns'!$A$28:$B$345,2,FALSE)</f>
        <v>595</v>
      </c>
      <c r="BJ81" s="269">
        <f>BB81*VLOOKUP($B81,'Major Cities &amp; Towns'!$A$28:$B$345,2,FALSE)</f>
        <v>795</v>
      </c>
      <c r="BK81" s="269">
        <f>BC81*VLOOKUP($B81,'Major Cities &amp; Towns'!$A$28:$B$345,2,FALSE)</f>
        <v>867</v>
      </c>
      <c r="BL81" s="269">
        <f>BD81*VLOOKUP($B81,'Major Cities &amp; Towns'!$A$28:$B$345,2,FALSE)</f>
        <v>849</v>
      </c>
      <c r="BM81" s="269">
        <f>BE81*VLOOKUP($B81,'Major Cities &amp; Towns'!$A$28:$B$345,2,FALSE)</f>
        <v>833</v>
      </c>
      <c r="BN81" s="269">
        <f>BF81*VLOOKUP($B81,'Major Cities &amp; Towns'!$A$28:$B$345,2,FALSE)</f>
        <v>821</v>
      </c>
      <c r="BO81" s="270">
        <f t="shared" si="102"/>
        <v>608</v>
      </c>
      <c r="BP81" s="270">
        <f t="shared" si="103"/>
        <v>635</v>
      </c>
      <c r="BQ81" s="270">
        <f t="shared" si="104"/>
        <v>595</v>
      </c>
      <c r="BR81" s="270">
        <f t="shared" si="105"/>
        <v>795</v>
      </c>
      <c r="BS81" s="270">
        <f t="shared" si="106"/>
        <v>867</v>
      </c>
      <c r="BT81" s="270">
        <f t="shared" si="107"/>
        <v>849</v>
      </c>
      <c r="BU81" s="270">
        <f t="shared" si="108"/>
        <v>833</v>
      </c>
      <c r="BV81" s="270">
        <f t="shared" si="109"/>
        <v>821</v>
      </c>
      <c r="BW81" s="39">
        <f>VLOOKUP($A81,NetAdditions!$A$2:$H$336,6,FALSE)</f>
        <v>446</v>
      </c>
      <c r="BX81" s="39">
        <f>VLOOKUP($A81,NetAdditions!$A$2:$H$336,7,FALSE)</f>
        <v>442</v>
      </c>
      <c r="BY81" s="39">
        <f>IF((VLOOKUP($C81,NetAdditions!$A$2:$H$336,8,FALSE))="",(AVERAGE(VLOOKUP($C81,NetAdditions!$A$2:$H$336,5,FALSE),VLOOKUP($C81,NetAdditions!$A$2:$H$336,6,FALSE),VLOOKUP($C81,NetAdditions!$A$2:$H$336,7,FALSE))),VLOOKUP($C81,NetAdditions!$A$2:$H$336,8,FALSE))</f>
        <v>483</v>
      </c>
      <c r="BZ81" s="39">
        <f t="shared" si="110"/>
        <v>457</v>
      </c>
      <c r="CA81" s="39">
        <f t="shared" si="111"/>
        <v>460.66666666666669</v>
      </c>
      <c r="CB81" s="39">
        <f t="shared" si="112"/>
        <v>466.88888888888891</v>
      </c>
      <c r="CC81" s="39">
        <f t="shared" si="113"/>
        <v>461.51851851851853</v>
      </c>
      <c r="CD81" s="39">
        <f t="shared" si="114"/>
        <v>463.02469135802471</v>
      </c>
      <c r="CE81" s="276">
        <f t="shared" si="71"/>
        <v>1838</v>
      </c>
      <c r="CF81" s="276">
        <f t="shared" si="72"/>
        <v>2025</v>
      </c>
      <c r="CG81" s="276">
        <f t="shared" si="73"/>
        <v>2257</v>
      </c>
      <c r="CH81" s="276">
        <f t="shared" si="74"/>
        <v>2511</v>
      </c>
      <c r="CI81" s="276">
        <f t="shared" si="75"/>
        <v>2549</v>
      </c>
      <c r="CJ81" s="276">
        <f t="shared" si="76"/>
        <v>2503</v>
      </c>
      <c r="CK81" s="276">
        <f t="shared" si="115"/>
        <v>1582.7222222222224</v>
      </c>
      <c r="CL81" s="276">
        <f t="shared" si="116"/>
        <v>1743.75</v>
      </c>
      <c r="CM81" s="276">
        <f t="shared" si="117"/>
        <v>2068.9166666666665</v>
      </c>
      <c r="CN81" s="276">
        <f t="shared" si="118"/>
        <v>2511</v>
      </c>
      <c r="CO81" s="276">
        <f t="shared" si="119"/>
        <v>2549</v>
      </c>
      <c r="CP81" s="276">
        <f t="shared" si="120"/>
        <v>2503</v>
      </c>
      <c r="CQ81" s="39">
        <f t="shared" si="77"/>
        <v>1371</v>
      </c>
      <c r="CR81" s="39">
        <f t="shared" si="78"/>
        <v>1382</v>
      </c>
      <c r="CS81" s="277">
        <f t="shared" si="79"/>
        <v>1400.6666666666667</v>
      </c>
      <c r="CT81" s="39">
        <f t="shared" si="80"/>
        <v>1384.5555555555557</v>
      </c>
      <c r="CU81" s="39">
        <f t="shared" si="81"/>
        <v>1389.0740740740741</v>
      </c>
      <c r="CV81" s="39">
        <f t="shared" si="121"/>
        <v>1391.4320987654321</v>
      </c>
      <c r="CW81" s="297">
        <f t="shared" si="82"/>
        <v>0.86622907086945833</v>
      </c>
      <c r="CX81" s="279" t="str">
        <f t="shared" si="122"/>
        <v>Action Plan</v>
      </c>
      <c r="CY81" s="278">
        <f t="shared" si="83"/>
        <v>0.79254480286738349</v>
      </c>
      <c r="CZ81" s="279" t="str">
        <f t="shared" si="123"/>
        <v>Buffer and Action Plan</v>
      </c>
      <c r="DA81" s="278">
        <f t="shared" si="84"/>
        <v>0.67700487372618534</v>
      </c>
      <c r="DB81" s="292" t="str">
        <f t="shared" si="124"/>
        <v>Presumption</v>
      </c>
      <c r="DC81" s="299">
        <f t="shared" si="125"/>
        <v>0.5513960794725431</v>
      </c>
      <c r="DD81" s="293" t="str">
        <f t="shared" si="126"/>
        <v>Presumption</v>
      </c>
      <c r="DE81" s="299">
        <f t="shared" si="127"/>
        <v>0.54494863635703183</v>
      </c>
      <c r="DF81" s="293" t="str">
        <f t="shared" si="128"/>
        <v>Presumption</v>
      </c>
      <c r="DG81" s="299">
        <f t="shared" si="129"/>
        <v>0.5559057526030492</v>
      </c>
      <c r="DH81" s="293" t="str">
        <f t="shared" si="130"/>
        <v>Presumption</v>
      </c>
    </row>
    <row r="82" spans="1:112" ht="15" thickTop="1" thickBot="1">
      <c r="A82" s="38" t="s">
        <v>274</v>
      </c>
      <c r="B82" s="38" t="s">
        <v>275</v>
      </c>
      <c r="C82" s="38" t="s">
        <v>274</v>
      </c>
      <c r="D82" s="38" t="s">
        <v>154</v>
      </c>
      <c r="E82" s="38" t="str">
        <f>VLOOKUP(C82,PoliticalControl!A:K,11,FALSE)</f>
        <v>CON</v>
      </c>
      <c r="F82" s="38" t="str">
        <f>VLOOKUP(C82,UrbanRuralClassification!A:N,13,FALSE)</f>
        <v>Urban with Major Conurbation</v>
      </c>
      <c r="G82" s="38" t="str">
        <f>VLOOKUP(C82,UrbanRuralClassification!A:N,14,FALSE)</f>
        <v>Predominantly Urban</v>
      </c>
      <c r="H82" s="258">
        <f>IF(ISBLANK((VLOOKUP($A82,'local-plan-data'!$C$1:$AD$566,27,FALSE)))=TRUE,"",VLOOKUP($A82,'local-plan-data'!$C$1:$AD$566,27,FALSE))</f>
        <v>40577</v>
      </c>
      <c r="I82" s="259">
        <f>VLOOKUP($A82,'local-plan-data'!$C$1:$AD$566,28,FALSE)</f>
        <v>806.35</v>
      </c>
      <c r="J82" s="260">
        <f t="shared" si="85"/>
        <v>806.35</v>
      </c>
      <c r="K82" s="259" t="str">
        <f t="shared" si="69"/>
        <v>-</v>
      </c>
      <c r="L82" s="259" t="str">
        <f t="shared" si="69"/>
        <v>-</v>
      </c>
      <c r="M82" s="259" t="str">
        <f t="shared" si="69"/>
        <v>-</v>
      </c>
      <c r="N82" s="259" t="str">
        <f t="shared" si="69"/>
        <v>-</v>
      </c>
      <c r="O82" s="259" t="str">
        <f t="shared" si="69"/>
        <v>-</v>
      </c>
      <c r="P82" s="259" t="str">
        <f t="shared" si="69"/>
        <v>-</v>
      </c>
      <c r="Q82" s="259" t="str">
        <f t="shared" si="69"/>
        <v>-</v>
      </c>
      <c r="R82" s="259" t="str">
        <f t="shared" ref="L82:R119" si="131">IF(AND(ISNUMBER($H82),ISNUMBER($J82)),IF(($H82-R$1&gt;0),$J82,IF(DATEDIF($H82,R$1,"y")&lt;5,$J82,"-")),"-")</f>
        <v>-</v>
      </c>
      <c r="S82" s="259">
        <f t="shared" si="70"/>
        <v>-788</v>
      </c>
      <c r="T82" s="259">
        <f t="shared" si="70"/>
        <v>-1153</v>
      </c>
      <c r="U82" s="259">
        <f t="shared" si="70"/>
        <v>-1519</v>
      </c>
      <c r="V82" s="259">
        <f t="shared" si="70"/>
        <v>-1884</v>
      </c>
      <c r="W82" s="259">
        <f t="shared" si="70"/>
        <v>-2249</v>
      </c>
      <c r="X82" s="259">
        <f t="shared" si="70"/>
        <v>-2614</v>
      </c>
      <c r="Y82" s="259">
        <f t="shared" si="70"/>
        <v>-2980</v>
      </c>
      <c r="Z82" s="259">
        <f t="shared" ref="T82:Z119" si="132">IFERROR((EDATE($H82,60))-Z$1,"-")</f>
        <v>-3345</v>
      </c>
      <c r="AA82" s="267">
        <f>(VLOOKUP(A82,Hshldprojections2014!$A$2:$AW$319,40, FALSE)-VLOOKUP(A82,Hshldprojections2014!$A$2:$AW$319,30, FALSE))/10</f>
        <v>549.29999999999995</v>
      </c>
      <c r="AB82" s="267">
        <f>(VLOOKUP(A82,Hshldprojections2014!$A$2:$AW$319,41, FALSE)-VLOOKUP(A82,Hshldprojections2014!$A$2:$AW$319,31, FALSE))/10</f>
        <v>550.6</v>
      </c>
      <c r="AC82" s="267">
        <f>(VLOOKUP(A82,Hshldprojections2014!$A$2:$AW$319,42, FALSE)-VLOOKUP(A82,Hshldprojections2014!$A$2:$AW$319,32, FALSE))/10</f>
        <v>553.70000000000005</v>
      </c>
      <c r="AD82" s="267">
        <f>IF(IndividualLATest!$J$7=2014,(VLOOKUP($A82,Hshldprojections2014!$A$2:$AY$326,43,FALSE)-VLOOKUP($A82,Hshldprojections2014!$A$2:$AY$326,33,FALSE))/10,IF(IndividualLATest!$J$7=2016,(VLOOKUP($A82,Hshldprojections2016!$A$1:$AQ$322,33,FALSE)-VLOOKUP($A82,Hshldprojections2016!$A$1:$AQ$322,23,FALSE))/10,(VLOOKUP($A82,Hshldprojections2018!$A$1:$AQ$327,33,FALSE)-VLOOKUP($A82,Hshldprojections2018!$A$1:$AQ$327,23,FALSE))/10))</f>
        <v>658.7</v>
      </c>
      <c r="AE82" s="267">
        <f>IF(IndividualLATest!$J$7=2014,(VLOOKUP($A82,Hshldprojections2014!$A$2:$AY$326,44,FALSE)-VLOOKUP($A82,Hshldprojections2014!$A$2:$AY$326,34,FALSE))/10,IF(IndividualLATest!$J$7=2016,(VLOOKUP($A82,Hshldprojections2016!$A$1:$AQ$322,34,FALSE)-VLOOKUP($A82,Hshldprojections2016!$A$1:$AQ$322,24,FALSE))/10,(VLOOKUP($A82,Hshldprojections2018!$A$1:$AQ$327,34,FALSE)-VLOOKUP($A82,Hshldprojections2018!$A$1:$AQ$327,24,FALSE))/10))</f>
        <v>651</v>
      </c>
      <c r="AF82" s="267">
        <f>IF(IndividualLATest!$J$7=2014,(VLOOKUP($A82,Hshldprojections2014!$A$2:$AY$326,45,FALSE)-VLOOKUP($A82,Hshldprojections2014!$A$2:$AY$326,35,FALSE))/10,IF(IndividualLATest!$J$7=2016,(VLOOKUP($A82,Hshldprojections2016!$A$1:$AQ$322,35,FALSE)-VLOOKUP($A82,Hshldprojections2016!$A$1:$AQ$322,25,FALSE))/10,(VLOOKUP($A82,Hshldprojections2018!$A$1:$AQ$327,35,FALSE)-VLOOKUP($A82,Hshldprojections2018!$A$1:$AQ$327,25,FALSE))/10))</f>
        <v>652.5</v>
      </c>
      <c r="AG82" s="267">
        <f>IF(IndividualLATest!$J$7=2014,(VLOOKUP($A82,Hshldprojections2014!$A$2:$AY$326,46,FALSE)-VLOOKUP($A82,Hshldprojections2014!$A$2:$AY$326,36,FALSE))/10,IF(IndividualLATest!$J$7=2016,(VLOOKUP($A82,Hshldprojections2016!$A$1:$AQ$322,36,FALSE)-VLOOKUP($A82,Hshldprojections2016!$A$1:$AQ$322,26,FALSE))/10,(VLOOKUP($A82,Hshldprojections2018!$A$1:$AQ$327,36,FALSE)-VLOOKUP($A82,Hshldprojections2018!$A$1:$AQ$327,26,FALSE))/10))</f>
        <v>652.6</v>
      </c>
      <c r="AH82" s="267">
        <f>IF(IndividualLATest!$J$7=2014,(VLOOKUP($A82,Hshldprojections2014!$A$2:$AY$326,47,FALSE)-VLOOKUP($A82,Hshldprojections2014!$A$2:$AY$326,37,FALSE))/10,IF(IndividualLATest!$J$7=2016,(VLOOKUP($A82,Hshldprojections2016!$A$1:$AQ$322,37,FALSE)-VLOOKUP($A82,Hshldprojections2016!$A$1:$AQ$322,27,FALSE))/10,(VLOOKUP($A82,Hshldprojections2018!$A$1:$AQ$327,37,FALSE)-VLOOKUP($A82,Hshldprojections2018!$A$1:$AQ$327,27,FALSE))/10))</f>
        <v>659.6</v>
      </c>
      <c r="AI82" s="268">
        <f>VLOOKUP($A82,AffordabilityRatio!$A$2:$I$321,5,FALSE)</f>
        <v>6.08</v>
      </c>
      <c r="AJ82" s="268">
        <f>VLOOKUP($A82,AffordabilityRatio!$A$2:$I$321,6,FALSE)</f>
        <v>6.21</v>
      </c>
      <c r="AK82" s="268">
        <f>VLOOKUP($A82,AffordabilityRatio!$A$2:$I$321,7,FALSE)</f>
        <v>6.35</v>
      </c>
      <c r="AL82" s="268">
        <f>IF((VLOOKUP($A82,AffordabilityRatio!$A$2:$I$321,8,FALSE))="",AK82,VLOOKUP($A82,AffordabilityRatio!$A$2:$I$321,8,FALSE))</f>
        <v>6.19</v>
      </c>
      <c r="AM82" s="268">
        <f>IF((VLOOKUP($A82,AffordabilityRatio!$A$2:$I$321,9,FALSE))="",AL82,VLOOKUP($A82,AffordabilityRatio!$A$2:$I$321,9,FALSE))</f>
        <v>6.6</v>
      </c>
      <c r="AN82" s="268">
        <f>IF((VLOOKUP($A82,AffordabilityRatio!$A$2:$I$321,9,FALSE))="",AM82,VLOOKUP($A82,AffordabilityRatio!$A$2:$I$321,9,FALSE))</f>
        <v>6.6</v>
      </c>
      <c r="AO82" s="268">
        <f>IF((VLOOKUP($A82,AffordabilityRatio!$A$2:$I$321,9,FALSE))="",AN82,VLOOKUP($A82,AffordabilityRatio!$A$2:$I$321,9,FALSE))</f>
        <v>6.6</v>
      </c>
      <c r="AP82" s="268">
        <f>IF((VLOOKUP($A82,AffordabilityRatio!$A$2:$I$321,9,FALSE))="",AO82,VLOOKUP($A82,AffordabilityRatio!$A$2:$I$321,9,FALSE))</f>
        <v>6.6</v>
      </c>
      <c r="AQ82" s="267">
        <f t="shared" si="86"/>
        <v>621</v>
      </c>
      <c r="AR82" s="267">
        <f t="shared" si="87"/>
        <v>627</v>
      </c>
      <c r="AS82" s="267">
        <f t="shared" si="88"/>
        <v>635</v>
      </c>
      <c r="AT82" s="267">
        <f t="shared" si="89"/>
        <v>749</v>
      </c>
      <c r="AU82" s="267">
        <f t="shared" si="90"/>
        <v>757</v>
      </c>
      <c r="AV82" s="267">
        <f t="shared" si="91"/>
        <v>759</v>
      </c>
      <c r="AW82" s="267">
        <f t="shared" si="92"/>
        <v>759</v>
      </c>
      <c r="AX82" s="267">
        <f t="shared" si="93"/>
        <v>767</v>
      </c>
      <c r="AY82" s="267">
        <f t="shared" si="94"/>
        <v>621</v>
      </c>
      <c r="AZ82" s="267">
        <f t="shared" si="95"/>
        <v>627</v>
      </c>
      <c r="BA82" s="267">
        <f t="shared" si="96"/>
        <v>635</v>
      </c>
      <c r="BB82" s="267">
        <f t="shared" si="97"/>
        <v>749</v>
      </c>
      <c r="BC82" s="267">
        <f t="shared" si="98"/>
        <v>757</v>
      </c>
      <c r="BD82" s="267">
        <f t="shared" si="99"/>
        <v>759</v>
      </c>
      <c r="BE82" s="267">
        <f t="shared" si="100"/>
        <v>759</v>
      </c>
      <c r="BF82" s="267">
        <f t="shared" si="101"/>
        <v>767</v>
      </c>
      <c r="BG82" s="269">
        <f>AY82*VLOOKUP($B82,'Major Cities &amp; Towns'!$A$28:$B$345,2,FALSE)</f>
        <v>621</v>
      </c>
      <c r="BH82" s="269">
        <f>AZ82*VLOOKUP($B82,'Major Cities &amp; Towns'!$A$28:$B$345,2,FALSE)</f>
        <v>627</v>
      </c>
      <c r="BI82" s="269">
        <f>BA82*VLOOKUP($B82,'Major Cities &amp; Towns'!$A$28:$B$345,2,FALSE)</f>
        <v>635</v>
      </c>
      <c r="BJ82" s="269">
        <f>BB82*VLOOKUP($B82,'Major Cities &amp; Towns'!$A$28:$B$345,2,FALSE)</f>
        <v>749</v>
      </c>
      <c r="BK82" s="269">
        <f>BC82*VLOOKUP($B82,'Major Cities &amp; Towns'!$A$28:$B$345,2,FALSE)</f>
        <v>757</v>
      </c>
      <c r="BL82" s="269">
        <f>BD82*VLOOKUP($B82,'Major Cities &amp; Towns'!$A$28:$B$345,2,FALSE)</f>
        <v>759</v>
      </c>
      <c r="BM82" s="269">
        <f>BE82*VLOOKUP($B82,'Major Cities &amp; Towns'!$A$28:$B$345,2,FALSE)</f>
        <v>759</v>
      </c>
      <c r="BN82" s="269">
        <f>BF82*VLOOKUP($B82,'Major Cities &amp; Towns'!$A$28:$B$345,2,FALSE)</f>
        <v>767</v>
      </c>
      <c r="BO82" s="270">
        <f t="shared" si="102"/>
        <v>621</v>
      </c>
      <c r="BP82" s="270">
        <f t="shared" si="103"/>
        <v>627</v>
      </c>
      <c r="BQ82" s="270">
        <f t="shared" si="104"/>
        <v>635</v>
      </c>
      <c r="BR82" s="270">
        <f t="shared" si="105"/>
        <v>749</v>
      </c>
      <c r="BS82" s="270">
        <f t="shared" si="106"/>
        <v>757</v>
      </c>
      <c r="BT82" s="270">
        <f t="shared" si="107"/>
        <v>759</v>
      </c>
      <c r="BU82" s="270">
        <f t="shared" si="108"/>
        <v>759</v>
      </c>
      <c r="BV82" s="270">
        <f t="shared" si="109"/>
        <v>767</v>
      </c>
      <c r="BW82" s="39">
        <f>VLOOKUP($A82,NetAdditions!$A$2:$H$336,6,FALSE)</f>
        <v>753</v>
      </c>
      <c r="BX82" s="39">
        <f>VLOOKUP($A82,NetAdditions!$A$2:$H$336,7,FALSE)</f>
        <v>720</v>
      </c>
      <c r="BY82" s="39">
        <f>IF((VLOOKUP($C82,NetAdditions!$A$2:$H$336,8,FALSE))="",(AVERAGE(VLOOKUP($C82,NetAdditions!$A$2:$H$336,5,FALSE),VLOOKUP($C82,NetAdditions!$A$2:$H$336,6,FALSE),VLOOKUP($C82,NetAdditions!$A$2:$H$336,7,FALSE))),VLOOKUP($C82,NetAdditions!$A$2:$H$336,8,FALSE))</f>
        <v>591</v>
      </c>
      <c r="BZ82" s="39">
        <f t="shared" si="110"/>
        <v>688</v>
      </c>
      <c r="CA82" s="39">
        <f t="shared" si="111"/>
        <v>666.33333333333337</v>
      </c>
      <c r="CB82" s="39">
        <f t="shared" si="112"/>
        <v>648.44444444444446</v>
      </c>
      <c r="CC82" s="39">
        <f t="shared" si="113"/>
        <v>667.59259259259261</v>
      </c>
      <c r="CD82" s="39">
        <f t="shared" si="114"/>
        <v>660.79012345679018</v>
      </c>
      <c r="CE82" s="276">
        <f t="shared" si="71"/>
        <v>1883</v>
      </c>
      <c r="CF82" s="276">
        <f t="shared" si="72"/>
        <v>2011</v>
      </c>
      <c r="CG82" s="276">
        <f t="shared" si="73"/>
        <v>2141</v>
      </c>
      <c r="CH82" s="276">
        <f t="shared" si="74"/>
        <v>2265</v>
      </c>
      <c r="CI82" s="276">
        <f t="shared" si="75"/>
        <v>2275</v>
      </c>
      <c r="CJ82" s="276">
        <f t="shared" si="76"/>
        <v>2285</v>
      </c>
      <c r="CK82" s="276">
        <f t="shared" si="115"/>
        <v>1621.4722222222224</v>
      </c>
      <c r="CL82" s="276">
        <f t="shared" si="116"/>
        <v>1731.6944444444446</v>
      </c>
      <c r="CM82" s="276">
        <f t="shared" si="117"/>
        <v>1962.5833333333333</v>
      </c>
      <c r="CN82" s="276">
        <f t="shared" si="118"/>
        <v>2265</v>
      </c>
      <c r="CO82" s="276">
        <f t="shared" si="119"/>
        <v>2275</v>
      </c>
      <c r="CP82" s="276">
        <f t="shared" si="120"/>
        <v>2285</v>
      </c>
      <c r="CQ82" s="39">
        <f t="shared" si="77"/>
        <v>2064</v>
      </c>
      <c r="CR82" s="39">
        <f t="shared" si="78"/>
        <v>1999</v>
      </c>
      <c r="CS82" s="277">
        <f t="shared" si="79"/>
        <v>1945.3333333333335</v>
      </c>
      <c r="CT82" s="39">
        <f t="shared" si="80"/>
        <v>2002.7777777777778</v>
      </c>
      <c r="CU82" s="39">
        <f t="shared" si="81"/>
        <v>1982.3703703703704</v>
      </c>
      <c r="CV82" s="39">
        <f t="shared" si="121"/>
        <v>1976.8271604938273</v>
      </c>
      <c r="CW82" s="297">
        <f t="shared" si="82"/>
        <v>1.2729172733969472</v>
      </c>
      <c r="CX82" s="279" t="str">
        <f t="shared" si="122"/>
        <v>Pass</v>
      </c>
      <c r="CY82" s="278">
        <f t="shared" si="83"/>
        <v>1.1543606936045299</v>
      </c>
      <c r="CZ82" s="279" t="str">
        <f t="shared" si="123"/>
        <v>Pass</v>
      </c>
      <c r="DA82" s="278">
        <f t="shared" si="84"/>
        <v>0.99121056430724819</v>
      </c>
      <c r="DB82" s="292" t="str">
        <f t="shared" si="124"/>
        <v>Pass</v>
      </c>
      <c r="DC82" s="299">
        <f t="shared" si="125"/>
        <v>0.88422859946038757</v>
      </c>
      <c r="DD82" s="293" t="str">
        <f t="shared" si="126"/>
        <v>Action Plan</v>
      </c>
      <c r="DE82" s="299">
        <f t="shared" si="127"/>
        <v>0.87137159137159137</v>
      </c>
      <c r="DF82" s="293" t="str">
        <f t="shared" si="128"/>
        <v>Action Plan</v>
      </c>
      <c r="DG82" s="299">
        <f t="shared" si="129"/>
        <v>0.86513223653996818</v>
      </c>
      <c r="DH82" s="293" t="str">
        <f t="shared" si="130"/>
        <v>Action Plan</v>
      </c>
    </row>
    <row r="83" spans="1:112" ht="15" thickTop="1" thickBot="1">
      <c r="A83" s="38" t="s">
        <v>276</v>
      </c>
      <c r="B83" s="38" t="s">
        <v>277</v>
      </c>
      <c r="C83" s="38" t="s">
        <v>276</v>
      </c>
      <c r="D83" s="38" t="s">
        <v>259</v>
      </c>
      <c r="E83" s="38" t="str">
        <f>VLOOKUP(C83,PoliticalControl!A:K,11,FALSE)</f>
        <v>NOC</v>
      </c>
      <c r="F83" s="38" t="str">
        <f>VLOOKUP(C83,UrbanRuralClassification!A:N,13,FALSE)</f>
        <v xml:space="preserve">Largely Rural (rural including hub towns 50-79%) </v>
      </c>
      <c r="G83" s="38" t="str">
        <f>VLOOKUP(C83,UrbanRuralClassification!A:N,14,FALSE)</f>
        <v>Predominantly Rural</v>
      </c>
      <c r="H83" s="258">
        <f>IF(ISBLANK((VLOOKUP($A83,'local-plan-data'!$C$1:$AD$566,27,FALSE)))=TRUE,"",VLOOKUP($A83,'local-plan-data'!$C$1:$AD$566,27,FALSE))</f>
        <v>44125</v>
      </c>
      <c r="I83" s="259">
        <f>VLOOKUP($A83,'local-plan-data'!$C$1:$AD$566,28,FALSE)</f>
        <v>1308</v>
      </c>
      <c r="J83" s="260">
        <f t="shared" si="85"/>
        <v>1308</v>
      </c>
      <c r="K83" s="259">
        <f t="shared" ref="K83:K146" si="133">IF(AND(ISNUMBER($H83),ISNUMBER($J83)),IF(($H83-K$1&gt;0),$J83,IF(DATEDIF($H83,K$1,"y")&lt;5,$J83,"-")),"-")</f>
        <v>1308</v>
      </c>
      <c r="L83" s="259">
        <f t="shared" si="131"/>
        <v>1308</v>
      </c>
      <c r="M83" s="259">
        <f t="shared" si="131"/>
        <v>1308</v>
      </c>
      <c r="N83" s="259">
        <f t="shared" si="131"/>
        <v>1308</v>
      </c>
      <c r="O83" s="259">
        <f t="shared" si="131"/>
        <v>1308</v>
      </c>
      <c r="P83" s="259">
        <f t="shared" si="131"/>
        <v>1308</v>
      </c>
      <c r="Q83" s="259">
        <f t="shared" si="131"/>
        <v>1308</v>
      </c>
      <c r="R83" s="259">
        <f t="shared" si="131"/>
        <v>1308</v>
      </c>
      <c r="S83" s="259">
        <f t="shared" ref="S83:S146" si="134">IFERROR((EDATE($H83,60))-S$1,"-")</f>
        <v>2760</v>
      </c>
      <c r="T83" s="259">
        <f t="shared" si="132"/>
        <v>2395</v>
      </c>
      <c r="U83" s="259">
        <f t="shared" si="132"/>
        <v>2029</v>
      </c>
      <c r="V83" s="259">
        <f t="shared" si="132"/>
        <v>1664</v>
      </c>
      <c r="W83" s="259">
        <f t="shared" si="132"/>
        <v>1299</v>
      </c>
      <c r="X83" s="259">
        <f t="shared" si="132"/>
        <v>934</v>
      </c>
      <c r="Y83" s="259">
        <f t="shared" si="132"/>
        <v>568</v>
      </c>
      <c r="Z83" s="259">
        <f t="shared" si="132"/>
        <v>203</v>
      </c>
      <c r="AA83" s="267">
        <f>(VLOOKUP(A83,Hshldprojections2014!$A$2:$AW$319,40, FALSE)-VLOOKUP(A83,Hshldprojections2014!$A$2:$AW$319,30, FALSE))/10</f>
        <v>1278.5999999999999</v>
      </c>
      <c r="AB83" s="267">
        <f>(VLOOKUP(A83,Hshldprojections2014!$A$2:$AW$319,41, FALSE)-VLOOKUP(A83,Hshldprojections2014!$A$2:$AW$319,31, FALSE))/10</f>
        <v>1251.2</v>
      </c>
      <c r="AC83" s="267">
        <f>(VLOOKUP(A83,Hshldprojections2014!$A$2:$AW$319,42, FALSE)-VLOOKUP(A83,Hshldprojections2014!$A$2:$AW$319,32, FALSE))/10</f>
        <v>1224.3</v>
      </c>
      <c r="AD83" s="267">
        <f>IF(IndividualLATest!$J$7=2014,(VLOOKUP($A83,Hshldprojections2014!$A$2:$AY$326,43,FALSE)-VLOOKUP($A83,Hshldprojections2014!$A$2:$AY$326,33,FALSE))/10,IF(IndividualLATest!$J$7=2016,(VLOOKUP($A83,Hshldprojections2016!$A$1:$AQ$322,33,FALSE)-VLOOKUP($A83,Hshldprojections2016!$A$1:$AQ$322,23,FALSE))/10,(VLOOKUP($A83,Hshldprojections2018!$A$1:$AQ$327,33,FALSE)-VLOOKUP($A83,Hshldprojections2018!$A$1:$AQ$327,23,FALSE))/10))</f>
        <v>1120.3</v>
      </c>
      <c r="AE83" s="267">
        <f>IF(IndividualLATest!$J$7=2014,(VLOOKUP($A83,Hshldprojections2014!$A$2:$AY$326,44,FALSE)-VLOOKUP($A83,Hshldprojections2014!$A$2:$AY$326,34,FALSE))/10,IF(IndividualLATest!$J$7=2016,(VLOOKUP($A83,Hshldprojections2016!$A$1:$AQ$322,34,FALSE)-VLOOKUP($A83,Hshldprojections2016!$A$1:$AQ$322,24,FALSE))/10,(VLOOKUP($A83,Hshldprojections2018!$A$1:$AQ$327,34,FALSE)-VLOOKUP($A83,Hshldprojections2018!$A$1:$AQ$327,24,FALSE))/10))</f>
        <v>1108.0999999999999</v>
      </c>
      <c r="AF83" s="267">
        <f>IF(IndividualLATest!$J$7=2014,(VLOOKUP($A83,Hshldprojections2014!$A$2:$AY$326,45,FALSE)-VLOOKUP($A83,Hshldprojections2014!$A$2:$AY$326,35,FALSE))/10,IF(IndividualLATest!$J$7=2016,(VLOOKUP($A83,Hshldprojections2016!$A$1:$AQ$322,35,FALSE)-VLOOKUP($A83,Hshldprojections2016!$A$1:$AQ$322,25,FALSE))/10,(VLOOKUP($A83,Hshldprojections2018!$A$1:$AQ$327,35,FALSE)-VLOOKUP($A83,Hshldprojections2018!$A$1:$AQ$327,25,FALSE))/10))</f>
        <v>1099.5</v>
      </c>
      <c r="AG83" s="267">
        <f>IF(IndividualLATest!$J$7=2014,(VLOOKUP($A83,Hshldprojections2014!$A$2:$AY$326,46,FALSE)-VLOOKUP($A83,Hshldprojections2014!$A$2:$AY$326,36,FALSE))/10,IF(IndividualLATest!$J$7=2016,(VLOOKUP($A83,Hshldprojections2016!$A$1:$AQ$322,36,FALSE)-VLOOKUP($A83,Hshldprojections2016!$A$1:$AQ$322,26,FALSE))/10,(VLOOKUP($A83,Hshldprojections2018!$A$1:$AQ$327,36,FALSE)-VLOOKUP($A83,Hshldprojections2018!$A$1:$AQ$327,26,FALSE))/10))</f>
        <v>1085.5</v>
      </c>
      <c r="AH83" s="267">
        <f>IF(IndividualLATest!$J$7=2014,(VLOOKUP($A83,Hshldprojections2014!$A$2:$AY$326,47,FALSE)-VLOOKUP($A83,Hshldprojections2014!$A$2:$AY$326,37,FALSE))/10,IF(IndividualLATest!$J$7=2016,(VLOOKUP($A83,Hshldprojections2016!$A$1:$AQ$322,37,FALSE)-VLOOKUP($A83,Hshldprojections2016!$A$1:$AQ$322,27,FALSE))/10,(VLOOKUP($A83,Hshldprojections2018!$A$1:$AQ$327,37,FALSE)-VLOOKUP($A83,Hshldprojections2018!$A$1:$AQ$327,27,FALSE))/10))</f>
        <v>1067.4000000000001</v>
      </c>
      <c r="AI83" s="268">
        <f>VLOOKUP($A83,AffordabilityRatio!$A$2:$I$321,5,FALSE)</f>
        <v>4.55</v>
      </c>
      <c r="AJ83" s="268">
        <f>VLOOKUP($A83,AffordabilityRatio!$A$2:$I$321,6,FALSE)</f>
        <v>4.53</v>
      </c>
      <c r="AK83" s="268">
        <f>VLOOKUP($A83,AffordabilityRatio!$A$2:$I$321,7,FALSE)</f>
        <v>4.57</v>
      </c>
      <c r="AL83" s="268">
        <f>IF((VLOOKUP($A83,AffordabilityRatio!$A$2:$I$321,8,FALSE))="",AK83,VLOOKUP($A83,AffordabilityRatio!$A$2:$I$321,8,FALSE))</f>
        <v>4.51</v>
      </c>
      <c r="AM83" s="268">
        <f>IF((VLOOKUP($A83,AffordabilityRatio!$A$2:$I$321,9,FALSE))="",AL83,VLOOKUP($A83,AffordabilityRatio!$A$2:$I$321,9,FALSE))</f>
        <v>4.74</v>
      </c>
      <c r="AN83" s="268">
        <f>IF((VLOOKUP($A83,AffordabilityRatio!$A$2:$I$321,9,FALSE))="",AM83,VLOOKUP($A83,AffordabilityRatio!$A$2:$I$321,9,FALSE))</f>
        <v>4.74</v>
      </c>
      <c r="AO83" s="268">
        <f>IF((VLOOKUP($A83,AffordabilityRatio!$A$2:$I$321,9,FALSE))="",AN83,VLOOKUP($A83,AffordabilityRatio!$A$2:$I$321,9,FALSE))</f>
        <v>4.74</v>
      </c>
      <c r="AP83" s="268">
        <f>IF((VLOOKUP($A83,AffordabilityRatio!$A$2:$I$321,9,FALSE))="",AO83,VLOOKUP($A83,AffordabilityRatio!$A$2:$I$321,9,FALSE))</f>
        <v>4.74</v>
      </c>
      <c r="AQ83" s="267">
        <f t="shared" si="86"/>
        <v>1323</v>
      </c>
      <c r="AR83" s="267">
        <f t="shared" si="87"/>
        <v>1293</v>
      </c>
      <c r="AS83" s="267">
        <f t="shared" si="88"/>
        <v>1268</v>
      </c>
      <c r="AT83" s="267">
        <f t="shared" si="89"/>
        <v>1156</v>
      </c>
      <c r="AU83" s="267">
        <f t="shared" si="90"/>
        <v>1159</v>
      </c>
      <c r="AV83" s="267">
        <f t="shared" si="91"/>
        <v>1150</v>
      </c>
      <c r="AW83" s="267">
        <f t="shared" si="92"/>
        <v>1136</v>
      </c>
      <c r="AX83" s="267">
        <f t="shared" si="93"/>
        <v>1117</v>
      </c>
      <c r="AY83" s="267">
        <f t="shared" si="94"/>
        <v>1323</v>
      </c>
      <c r="AZ83" s="267">
        <f t="shared" si="95"/>
        <v>1293</v>
      </c>
      <c r="BA83" s="267">
        <f t="shared" si="96"/>
        <v>1268</v>
      </c>
      <c r="BB83" s="267">
        <f t="shared" si="97"/>
        <v>1156</v>
      </c>
      <c r="BC83" s="267">
        <f t="shared" si="98"/>
        <v>1159</v>
      </c>
      <c r="BD83" s="267">
        <f t="shared" si="99"/>
        <v>1150</v>
      </c>
      <c r="BE83" s="267">
        <f t="shared" si="100"/>
        <v>1136</v>
      </c>
      <c r="BF83" s="267">
        <f t="shared" si="101"/>
        <v>1117</v>
      </c>
      <c r="BG83" s="269">
        <f>AY83*VLOOKUP($B83,'Major Cities &amp; Towns'!$A$28:$B$345,2,FALSE)</f>
        <v>1323</v>
      </c>
      <c r="BH83" s="269">
        <f>AZ83*VLOOKUP($B83,'Major Cities &amp; Towns'!$A$28:$B$345,2,FALSE)</f>
        <v>1293</v>
      </c>
      <c r="BI83" s="269">
        <f>BA83*VLOOKUP($B83,'Major Cities &amp; Towns'!$A$28:$B$345,2,FALSE)</f>
        <v>1268</v>
      </c>
      <c r="BJ83" s="269">
        <f>BB83*VLOOKUP($B83,'Major Cities &amp; Towns'!$A$28:$B$345,2,FALSE)</f>
        <v>1156</v>
      </c>
      <c r="BK83" s="269">
        <f>BC83*VLOOKUP($B83,'Major Cities &amp; Towns'!$A$28:$B$345,2,FALSE)</f>
        <v>1159</v>
      </c>
      <c r="BL83" s="269">
        <f>BD83*VLOOKUP($B83,'Major Cities &amp; Towns'!$A$28:$B$345,2,FALSE)</f>
        <v>1150</v>
      </c>
      <c r="BM83" s="269">
        <f>BE83*VLOOKUP($B83,'Major Cities &amp; Towns'!$A$28:$B$345,2,FALSE)</f>
        <v>1136</v>
      </c>
      <c r="BN83" s="269">
        <f>BF83*VLOOKUP($B83,'Major Cities &amp; Towns'!$A$28:$B$345,2,FALSE)</f>
        <v>1117</v>
      </c>
      <c r="BO83" s="270">
        <f t="shared" si="102"/>
        <v>1308</v>
      </c>
      <c r="BP83" s="270">
        <f t="shared" si="103"/>
        <v>1293</v>
      </c>
      <c r="BQ83" s="270">
        <f t="shared" si="104"/>
        <v>1268</v>
      </c>
      <c r="BR83" s="270">
        <f t="shared" si="105"/>
        <v>1156</v>
      </c>
      <c r="BS83" s="270">
        <f t="shared" si="106"/>
        <v>1159</v>
      </c>
      <c r="BT83" s="270">
        <f t="shared" si="107"/>
        <v>1150</v>
      </c>
      <c r="BU83" s="270">
        <f t="shared" si="108"/>
        <v>1136</v>
      </c>
      <c r="BV83" s="270">
        <f t="shared" si="109"/>
        <v>1117</v>
      </c>
      <c r="BW83" s="39">
        <f>VLOOKUP($A83,NetAdditions!$A$2:$H$336,6,FALSE)</f>
        <v>1463</v>
      </c>
      <c r="BX83" s="39">
        <f>VLOOKUP($A83,NetAdditions!$A$2:$H$336,7,FALSE)</f>
        <v>1628</v>
      </c>
      <c r="BY83" s="39">
        <f>IF((VLOOKUP($C83,NetAdditions!$A$2:$H$336,8,FALSE))="",(AVERAGE(VLOOKUP($C83,NetAdditions!$A$2:$H$336,5,FALSE),VLOOKUP($C83,NetAdditions!$A$2:$H$336,6,FALSE),VLOOKUP($C83,NetAdditions!$A$2:$H$336,7,FALSE))),VLOOKUP($C83,NetAdditions!$A$2:$H$336,8,FALSE))</f>
        <v>1343</v>
      </c>
      <c r="BZ83" s="39">
        <f t="shared" si="110"/>
        <v>1478</v>
      </c>
      <c r="CA83" s="39">
        <f t="shared" si="111"/>
        <v>1483</v>
      </c>
      <c r="CB83" s="39">
        <f t="shared" si="112"/>
        <v>1434.6666666666667</v>
      </c>
      <c r="CC83" s="39">
        <f t="shared" si="113"/>
        <v>1465.2222222222224</v>
      </c>
      <c r="CD83" s="39">
        <f t="shared" si="114"/>
        <v>1460.9629629629633</v>
      </c>
      <c r="CE83" s="276">
        <f t="shared" si="71"/>
        <v>3869</v>
      </c>
      <c r="CF83" s="276">
        <f t="shared" si="72"/>
        <v>3717</v>
      </c>
      <c r="CG83" s="276">
        <f t="shared" si="73"/>
        <v>3583</v>
      </c>
      <c r="CH83" s="276">
        <f t="shared" si="74"/>
        <v>3465</v>
      </c>
      <c r="CI83" s="276">
        <f t="shared" si="75"/>
        <v>3445</v>
      </c>
      <c r="CJ83" s="276">
        <f t="shared" si="76"/>
        <v>3403</v>
      </c>
      <c r="CK83" s="276">
        <f t="shared" si="115"/>
        <v>3331.6388888888891</v>
      </c>
      <c r="CL83" s="276">
        <f t="shared" si="116"/>
        <v>3200.75</v>
      </c>
      <c r="CM83" s="276">
        <f t="shared" si="117"/>
        <v>3284.4166666666665</v>
      </c>
      <c r="CN83" s="276">
        <f t="shared" si="118"/>
        <v>3465</v>
      </c>
      <c r="CO83" s="276">
        <f t="shared" si="119"/>
        <v>3445</v>
      </c>
      <c r="CP83" s="276">
        <f t="shared" si="120"/>
        <v>3403</v>
      </c>
      <c r="CQ83" s="39">
        <f t="shared" si="77"/>
        <v>4434</v>
      </c>
      <c r="CR83" s="39">
        <f t="shared" si="78"/>
        <v>4449</v>
      </c>
      <c r="CS83" s="277">
        <f t="shared" si="79"/>
        <v>4304</v>
      </c>
      <c r="CT83" s="39">
        <f t="shared" si="80"/>
        <v>4395.666666666667</v>
      </c>
      <c r="CU83" s="39">
        <f t="shared" si="81"/>
        <v>4382.8888888888896</v>
      </c>
      <c r="CV83" s="39">
        <f t="shared" si="121"/>
        <v>4360.8518518518522</v>
      </c>
      <c r="CW83" s="297">
        <f t="shared" si="82"/>
        <v>1.3308765289021918</v>
      </c>
      <c r="CX83" s="279" t="str">
        <f t="shared" si="122"/>
        <v>Pass</v>
      </c>
      <c r="CY83" s="278">
        <f t="shared" si="83"/>
        <v>1.3899867218620636</v>
      </c>
      <c r="CZ83" s="279" t="str">
        <f t="shared" si="123"/>
        <v>Pass</v>
      </c>
      <c r="DA83" s="278">
        <f t="shared" si="84"/>
        <v>1.3104305685941187</v>
      </c>
      <c r="DB83" s="292" t="str">
        <f t="shared" si="124"/>
        <v>Pass</v>
      </c>
      <c r="DC83" s="299">
        <f t="shared" si="125"/>
        <v>1.2685906685906687</v>
      </c>
      <c r="DD83" s="293" t="str">
        <f t="shared" si="126"/>
        <v>Pass</v>
      </c>
      <c r="DE83" s="299">
        <f t="shared" si="127"/>
        <v>1.2722464118690535</v>
      </c>
      <c r="DF83" s="293" t="str">
        <f t="shared" si="128"/>
        <v>Pass</v>
      </c>
      <c r="DG83" s="299">
        <f t="shared" si="129"/>
        <v>1.2814727745671033</v>
      </c>
      <c r="DH83" s="293" t="str">
        <f t="shared" si="130"/>
        <v>Pass</v>
      </c>
    </row>
    <row r="84" spans="1:112" customFormat="1" ht="15.5" thickTop="1" thickBot="1">
      <c r="A84" s="3" t="s">
        <v>278</v>
      </c>
      <c r="B84" s="3" t="s">
        <v>279</v>
      </c>
      <c r="C84" s="3" t="s">
        <v>278</v>
      </c>
      <c r="D84" s="3" t="s">
        <v>131</v>
      </c>
      <c r="E84" s="3" t="str">
        <f>VLOOKUP(C84,PoliticalControl!A:K,11,FALSE)</f>
        <v>LAB</v>
      </c>
      <c r="F84" s="3" t="str">
        <f>VLOOKUP(C84,UrbanRuralClassification!A:N,13,FALSE)</f>
        <v>Urban with Major Conurbation</v>
      </c>
      <c r="G84" s="3" t="str">
        <f>VLOOKUP(C84,UrbanRuralClassification!A:N,14,FALSE)</f>
        <v>Predominantly Urban</v>
      </c>
      <c r="H84" s="262">
        <f>IF(ISBLANK((VLOOKUP($A84,'local-plan-data'!$C$1:$AD$566,27,FALSE)))=TRUE,"",VLOOKUP($A84,'local-plan-data'!$C$1:$AD$566,27,FALSE))</f>
        <v>41002</v>
      </c>
      <c r="I84" s="263">
        <f>VLOOKUP($A84,'local-plan-data'!$C$1:$AD$566,28,FALSE)</f>
        <v>933.33333333333337</v>
      </c>
      <c r="J84" s="264">
        <f t="shared" si="85"/>
        <v>933.33333333333337</v>
      </c>
      <c r="K84" s="259" t="str">
        <f t="shared" si="133"/>
        <v>-</v>
      </c>
      <c r="L84" s="259" t="str">
        <f t="shared" si="131"/>
        <v>-</v>
      </c>
      <c r="M84" s="259" t="str">
        <f t="shared" si="131"/>
        <v>-</v>
      </c>
      <c r="N84" s="259" t="str">
        <f t="shared" si="131"/>
        <v>-</v>
      </c>
      <c r="O84" s="259" t="str">
        <f t="shared" si="131"/>
        <v>-</v>
      </c>
      <c r="P84" s="259" t="str">
        <f t="shared" si="131"/>
        <v>-</v>
      </c>
      <c r="Q84" s="259" t="str">
        <f t="shared" si="131"/>
        <v>-</v>
      </c>
      <c r="R84" s="259" t="str">
        <f t="shared" si="131"/>
        <v>-</v>
      </c>
      <c r="S84" s="259">
        <f t="shared" si="134"/>
        <v>-363</v>
      </c>
      <c r="T84" s="259">
        <f t="shared" si="132"/>
        <v>-728</v>
      </c>
      <c r="U84" s="259">
        <f t="shared" si="132"/>
        <v>-1094</v>
      </c>
      <c r="V84" s="259">
        <f t="shared" si="132"/>
        <v>-1459</v>
      </c>
      <c r="W84" s="259">
        <f t="shared" si="132"/>
        <v>-1824</v>
      </c>
      <c r="X84" s="259">
        <f t="shared" si="132"/>
        <v>-2189</v>
      </c>
      <c r="Y84" s="259">
        <f t="shared" si="132"/>
        <v>-2555</v>
      </c>
      <c r="Z84" s="259">
        <f t="shared" si="132"/>
        <v>-2920</v>
      </c>
      <c r="AA84" s="267">
        <f>(VLOOKUP(A84,Hshldprojections2014!$A$2:$AW$319,40, FALSE)-VLOOKUP(A84,Hshldprojections2014!$A$2:$AW$319,30, FALSE))/10</f>
        <v>1712.8</v>
      </c>
      <c r="AB84" s="267">
        <f>(VLOOKUP(A84,Hshldprojections2014!$A$2:$AW$319,41, FALSE)-VLOOKUP(A84,Hshldprojections2014!$A$2:$AW$319,31, FALSE))/10</f>
        <v>1699.5</v>
      </c>
      <c r="AC84" s="267">
        <f>(VLOOKUP(A84,Hshldprojections2014!$A$2:$AW$319,42, FALSE)-VLOOKUP(A84,Hshldprojections2014!$A$2:$AW$319,32, FALSE))/10</f>
        <v>1686.8</v>
      </c>
      <c r="AD84" s="267">
        <f>IF(IndividualLATest!$J$7=2014,(VLOOKUP($A84,Hshldprojections2014!$A$2:$AY$326,43,FALSE)-VLOOKUP($A84,Hshldprojections2014!$A$2:$AY$326,33,FALSE))/10,IF(IndividualLATest!$J$7=2016,(VLOOKUP($A84,Hshldprojections2016!$A$1:$AQ$322,33,FALSE)-VLOOKUP($A84,Hshldprojections2016!$A$1:$AQ$322,23,FALSE))/10,(VLOOKUP($A84,Hshldprojections2018!$A$1:$AQ$327,33,FALSE)-VLOOKUP($A84,Hshldprojections2018!$A$1:$AQ$327,23,FALSE))/10))</f>
        <v>357</v>
      </c>
      <c r="AE84" s="267">
        <f>IF(IndividualLATest!$J$7=2014,(VLOOKUP($A84,Hshldprojections2014!$A$2:$AY$326,44,FALSE)-VLOOKUP($A84,Hshldprojections2014!$A$2:$AY$326,34,FALSE))/10,IF(IndividualLATest!$J$7=2016,(VLOOKUP($A84,Hshldprojections2016!$A$1:$AQ$322,34,FALSE)-VLOOKUP($A84,Hshldprojections2016!$A$1:$AQ$322,24,FALSE))/10,(VLOOKUP($A84,Hshldprojections2018!$A$1:$AQ$327,34,FALSE)-VLOOKUP($A84,Hshldprojections2018!$A$1:$AQ$327,24,FALSE))/10))</f>
        <v>357.3</v>
      </c>
      <c r="AF84" s="267">
        <f>IF(IndividualLATest!$J$7=2014,(VLOOKUP($A84,Hshldprojections2014!$A$2:$AY$326,45,FALSE)-VLOOKUP($A84,Hshldprojections2014!$A$2:$AY$326,35,FALSE))/10,IF(IndividualLATest!$J$7=2016,(VLOOKUP($A84,Hshldprojections2016!$A$1:$AQ$322,35,FALSE)-VLOOKUP($A84,Hshldprojections2016!$A$1:$AQ$322,25,FALSE))/10,(VLOOKUP($A84,Hshldprojections2018!$A$1:$AQ$327,35,FALSE)-VLOOKUP($A84,Hshldprojections2018!$A$1:$AQ$327,25,FALSE))/10))</f>
        <v>361.1</v>
      </c>
      <c r="AG84" s="267">
        <f>IF(IndividualLATest!$J$7=2014,(VLOOKUP($A84,Hshldprojections2014!$A$2:$AY$326,46,FALSE)-VLOOKUP($A84,Hshldprojections2014!$A$2:$AY$326,36,FALSE))/10,IF(IndividualLATest!$J$7=2016,(VLOOKUP($A84,Hshldprojections2016!$A$1:$AQ$322,36,FALSE)-VLOOKUP($A84,Hshldprojections2016!$A$1:$AQ$322,26,FALSE))/10,(VLOOKUP($A84,Hshldprojections2018!$A$1:$AQ$327,36,FALSE)-VLOOKUP($A84,Hshldprojections2018!$A$1:$AQ$327,26,FALSE))/10))</f>
        <v>362.3</v>
      </c>
      <c r="AH84" s="267">
        <f>IF(IndividualLATest!$J$7=2014,(VLOOKUP($A84,Hshldprojections2014!$A$2:$AY$326,47,FALSE)-VLOOKUP($A84,Hshldprojections2014!$A$2:$AY$326,37,FALSE))/10,IF(IndividualLATest!$J$7=2016,(VLOOKUP($A84,Hshldprojections2016!$A$1:$AQ$322,37,FALSE)-VLOOKUP($A84,Hshldprojections2016!$A$1:$AQ$322,27,FALSE))/10,(VLOOKUP($A84,Hshldprojections2018!$A$1:$AQ$327,37,FALSE)-VLOOKUP($A84,Hshldprojections2018!$A$1:$AQ$327,27,FALSE))/10))</f>
        <v>369.9</v>
      </c>
      <c r="AI84" s="268">
        <f>VLOOKUP($A84,AffordabilityRatio!$A$2:$I$321,5,FALSE)</f>
        <v>16.190000000000001</v>
      </c>
      <c r="AJ84" s="268">
        <f>VLOOKUP($A84,AffordabilityRatio!$A$2:$I$321,6,FALSE)</f>
        <v>15.62</v>
      </c>
      <c r="AK84" s="268">
        <f>VLOOKUP($A84,AffordabilityRatio!$A$2:$I$321,7,FALSE)</f>
        <v>15.15</v>
      </c>
      <c r="AL84" s="268">
        <f>IF((VLOOKUP($A84,AffordabilityRatio!$A$2:$I$321,8,FALSE))="",AK84,VLOOKUP($A84,AffordabilityRatio!$A$2:$I$321,8,FALSE))</f>
        <v>14.84</v>
      </c>
      <c r="AM84" s="268">
        <f>IF((VLOOKUP($A84,AffordabilityRatio!$A$2:$I$321,9,FALSE))="",AL84,VLOOKUP($A84,AffordabilityRatio!$A$2:$I$321,9,FALSE))</f>
        <v>16.350000000000001</v>
      </c>
      <c r="AN84" s="268">
        <f>IF((VLOOKUP($A84,AffordabilityRatio!$A$2:$I$321,9,FALSE))="",AM84,VLOOKUP($A84,AffordabilityRatio!$A$2:$I$321,9,FALSE))</f>
        <v>16.350000000000001</v>
      </c>
      <c r="AO84" s="268">
        <f>IF((VLOOKUP($A84,AffordabilityRatio!$A$2:$I$321,9,FALSE))="",AN84,VLOOKUP($A84,AffordabilityRatio!$A$2:$I$321,9,FALSE))</f>
        <v>16.350000000000001</v>
      </c>
      <c r="AP84" s="268">
        <f>IF((VLOOKUP($A84,AffordabilityRatio!$A$2:$I$321,9,FALSE))="",AO84,VLOOKUP($A84,AffordabilityRatio!$A$2:$I$321,9,FALSE))</f>
        <v>16.350000000000001</v>
      </c>
      <c r="AQ84" s="267">
        <f t="shared" si="86"/>
        <v>3018</v>
      </c>
      <c r="AR84" s="267">
        <f t="shared" si="87"/>
        <v>2934</v>
      </c>
      <c r="AS84" s="267">
        <f t="shared" si="88"/>
        <v>2862</v>
      </c>
      <c r="AT84" s="267">
        <f t="shared" si="89"/>
        <v>599</v>
      </c>
      <c r="AU84" s="267">
        <f t="shared" si="90"/>
        <v>633</v>
      </c>
      <c r="AV84" s="267">
        <f t="shared" si="91"/>
        <v>640</v>
      </c>
      <c r="AW84" s="267">
        <f t="shared" si="92"/>
        <v>642</v>
      </c>
      <c r="AX84" s="267">
        <f t="shared" si="93"/>
        <v>655</v>
      </c>
      <c r="AY84" s="267">
        <f t="shared" si="94"/>
        <v>2397.92</v>
      </c>
      <c r="AZ84" s="267">
        <f t="shared" si="95"/>
        <v>2379.3000000000002</v>
      </c>
      <c r="BA84" s="267">
        <f t="shared" si="96"/>
        <v>2361.52</v>
      </c>
      <c r="BB84" s="267">
        <f t="shared" si="97"/>
        <v>599</v>
      </c>
      <c r="BC84" s="267">
        <f t="shared" si="98"/>
        <v>633</v>
      </c>
      <c r="BD84" s="267">
        <f t="shared" si="99"/>
        <v>640</v>
      </c>
      <c r="BE84" s="267">
        <f t="shared" si="100"/>
        <v>642</v>
      </c>
      <c r="BF84" s="267">
        <f t="shared" si="101"/>
        <v>655</v>
      </c>
      <c r="BG84" s="269">
        <f>AY84*VLOOKUP($B84,'Major Cities &amp; Towns'!$A$28:$B$345,2,FALSE)</f>
        <v>3237.1920000000005</v>
      </c>
      <c r="BH84" s="269">
        <f>AZ84*VLOOKUP($B84,'Major Cities &amp; Towns'!$A$28:$B$345,2,FALSE)</f>
        <v>3212.0550000000003</v>
      </c>
      <c r="BI84" s="269">
        <f>BA84*VLOOKUP($B84,'Major Cities &amp; Towns'!$A$28:$B$345,2,FALSE)</f>
        <v>3188.0520000000001</v>
      </c>
      <c r="BJ84" s="269">
        <f>BB84*VLOOKUP($B84,'Major Cities &amp; Towns'!$A$28:$B$345,2,FALSE)</f>
        <v>808.65000000000009</v>
      </c>
      <c r="BK84" s="269">
        <f>BC84*VLOOKUP($B84,'Major Cities &amp; Towns'!$A$28:$B$345,2,FALSE)</f>
        <v>854.55000000000007</v>
      </c>
      <c r="BL84" s="269">
        <f>BD84*VLOOKUP($B84,'Major Cities &amp; Towns'!$A$28:$B$345,2,FALSE)</f>
        <v>864</v>
      </c>
      <c r="BM84" s="269">
        <f>BE84*VLOOKUP($B84,'Major Cities &amp; Towns'!$A$28:$B$345,2,FALSE)</f>
        <v>866.7</v>
      </c>
      <c r="BN84" s="269">
        <f>BF84*VLOOKUP($B84,'Major Cities &amp; Towns'!$A$28:$B$345,2,FALSE)</f>
        <v>884.25000000000011</v>
      </c>
      <c r="BO84" s="270">
        <f t="shared" si="102"/>
        <v>3018</v>
      </c>
      <c r="BP84" s="270">
        <f t="shared" si="103"/>
        <v>2934</v>
      </c>
      <c r="BQ84" s="270">
        <f t="shared" si="104"/>
        <v>2862</v>
      </c>
      <c r="BR84" s="270">
        <f t="shared" si="105"/>
        <v>599</v>
      </c>
      <c r="BS84" s="270">
        <f t="shared" si="106"/>
        <v>633</v>
      </c>
      <c r="BT84" s="270">
        <f t="shared" si="107"/>
        <v>640</v>
      </c>
      <c r="BU84" s="270">
        <f t="shared" si="108"/>
        <v>642</v>
      </c>
      <c r="BV84" s="270">
        <f t="shared" si="109"/>
        <v>655</v>
      </c>
      <c r="BW84" s="39">
        <f>VLOOKUP($A84,NetAdditions!$A$2:$H$336,6,FALSE)</f>
        <v>1754</v>
      </c>
      <c r="BX84" s="39">
        <f>VLOOKUP($A84,NetAdditions!$A$2:$H$336,7,FALSE)</f>
        <v>1808</v>
      </c>
      <c r="BY84" s="39">
        <f>IF((VLOOKUP($C84,NetAdditions!$A$2:$H$336,8,FALSE))="",(AVERAGE(VLOOKUP($C84,NetAdditions!$A$2:$H$336,5,FALSE),VLOOKUP($C84,NetAdditions!$A$2:$H$336,6,FALSE),VLOOKUP($C84,NetAdditions!$A$2:$H$336,7,FALSE))),VLOOKUP($C84,NetAdditions!$A$2:$H$336,8,FALSE))</f>
        <v>1681</v>
      </c>
      <c r="BZ84" s="39">
        <f t="shared" si="110"/>
        <v>1747.6666666666667</v>
      </c>
      <c r="CA84" s="39">
        <f t="shared" si="111"/>
        <v>1745.5555555555557</v>
      </c>
      <c r="CB84" s="39">
        <f t="shared" si="112"/>
        <v>1724.7407407407409</v>
      </c>
      <c r="CC84" s="39">
        <f t="shared" si="113"/>
        <v>1739.3209876543212</v>
      </c>
      <c r="CD84" s="39">
        <f t="shared" si="114"/>
        <v>1736.5390946502059</v>
      </c>
      <c r="CE84" s="276">
        <f t="shared" si="71"/>
        <v>8814</v>
      </c>
      <c r="CF84" s="276">
        <f t="shared" si="72"/>
        <v>6395</v>
      </c>
      <c r="CG84" s="276">
        <f t="shared" si="73"/>
        <v>4094</v>
      </c>
      <c r="CH84" s="276">
        <f t="shared" si="74"/>
        <v>1872</v>
      </c>
      <c r="CI84" s="276">
        <f t="shared" si="75"/>
        <v>1915</v>
      </c>
      <c r="CJ84" s="276">
        <f t="shared" si="76"/>
        <v>1937</v>
      </c>
      <c r="CK84" s="276">
        <f t="shared" si="115"/>
        <v>7589.8333333333339</v>
      </c>
      <c r="CL84" s="276">
        <f t="shared" si="116"/>
        <v>5506.8055555555557</v>
      </c>
      <c r="CM84" s="276">
        <f t="shared" si="117"/>
        <v>3752.833333333333</v>
      </c>
      <c r="CN84" s="276">
        <f t="shared" si="118"/>
        <v>1872</v>
      </c>
      <c r="CO84" s="276">
        <f t="shared" si="119"/>
        <v>1915</v>
      </c>
      <c r="CP84" s="276">
        <f t="shared" si="120"/>
        <v>1937</v>
      </c>
      <c r="CQ84" s="39">
        <f t="shared" si="77"/>
        <v>5243</v>
      </c>
      <c r="CR84" s="39">
        <f t="shared" si="78"/>
        <v>5236.666666666667</v>
      </c>
      <c r="CS84" s="277">
        <f t="shared" si="79"/>
        <v>5174.2222222222226</v>
      </c>
      <c r="CT84" s="39">
        <f t="shared" si="80"/>
        <v>5217.9629629629635</v>
      </c>
      <c r="CU84" s="39">
        <f t="shared" si="81"/>
        <v>5209.617283950618</v>
      </c>
      <c r="CV84" s="39">
        <f t="shared" si="121"/>
        <v>5200.600823045268</v>
      </c>
      <c r="CW84" s="297">
        <f t="shared" si="82"/>
        <v>0.69079250752102583</v>
      </c>
      <c r="CX84" s="279" t="str">
        <f t="shared" si="122"/>
        <v>Buffer and Action Plan</v>
      </c>
      <c r="CY84" s="278">
        <f t="shared" si="83"/>
        <v>0.95094453832379133</v>
      </c>
      <c r="CZ84" s="279" t="str">
        <f t="shared" si="123"/>
        <v>Pass</v>
      </c>
      <c r="DA84" s="278">
        <f t="shared" si="84"/>
        <v>1.378750869713254</v>
      </c>
      <c r="DB84" s="292" t="str">
        <f t="shared" si="124"/>
        <v>Pass</v>
      </c>
      <c r="DC84" s="299">
        <f t="shared" si="125"/>
        <v>2.7873733776511558</v>
      </c>
      <c r="DD84" s="293" t="str">
        <f t="shared" si="126"/>
        <v>Pass</v>
      </c>
      <c r="DE84" s="299">
        <f t="shared" si="127"/>
        <v>2.7204267801308708</v>
      </c>
      <c r="DF84" s="293" t="str">
        <f t="shared" si="128"/>
        <v>Pass</v>
      </c>
      <c r="DG84" s="299">
        <f t="shared" si="129"/>
        <v>2.6848739406532101</v>
      </c>
      <c r="DH84" s="293" t="str">
        <f t="shared" si="130"/>
        <v>Pass</v>
      </c>
    </row>
    <row r="85" spans="1:112" ht="15" thickTop="1" thickBot="1">
      <c r="A85" s="38" t="s">
        <v>280</v>
      </c>
      <c r="B85" s="38" t="s">
        <v>281</v>
      </c>
      <c r="C85" s="38" t="s">
        <v>280</v>
      </c>
      <c r="D85" s="38" t="s">
        <v>128</v>
      </c>
      <c r="E85" s="38" t="str">
        <f>VLOOKUP(C85,PoliticalControl!A:K,11,FALSE)</f>
        <v>CON</v>
      </c>
      <c r="F85" s="38" t="str">
        <f>VLOOKUP(C85,UrbanRuralClassification!A:N,13,FALSE)</f>
        <v xml:space="preserve">Mainly Rural (rural including hub towns &gt;=80%) </v>
      </c>
      <c r="G85" s="38" t="str">
        <f>VLOOKUP(C85,UrbanRuralClassification!A:N,14,FALSE)</f>
        <v>Predominantly Rural</v>
      </c>
      <c r="H85" s="258" t="str">
        <f>IF(ISBLANK((VLOOKUP($A85,'local-plan-data'!$C$1:$AD$566,27,FALSE)))=TRUE,"",VLOOKUP($A85,'local-plan-data'!$C$1:$AD$566,27,FALSE))</f>
        <v/>
      </c>
      <c r="I85" s="259" t="str">
        <f>VLOOKUP($A85,'local-plan-data'!$C$1:$AD$566,28,FALSE)</f>
        <v/>
      </c>
      <c r="J85" s="260" t="str">
        <f t="shared" si="85"/>
        <v>-</v>
      </c>
      <c r="K85" s="259" t="str">
        <f t="shared" si="133"/>
        <v>-</v>
      </c>
      <c r="L85" s="259" t="str">
        <f t="shared" si="131"/>
        <v>-</v>
      </c>
      <c r="M85" s="259" t="str">
        <f t="shared" si="131"/>
        <v>-</v>
      </c>
      <c r="N85" s="259" t="str">
        <f t="shared" si="131"/>
        <v>-</v>
      </c>
      <c r="O85" s="259" t="str">
        <f t="shared" si="131"/>
        <v>-</v>
      </c>
      <c r="P85" s="259" t="str">
        <f t="shared" si="131"/>
        <v>-</v>
      </c>
      <c r="Q85" s="259" t="str">
        <f t="shared" si="131"/>
        <v>-</v>
      </c>
      <c r="R85" s="259" t="str">
        <f t="shared" si="131"/>
        <v>-</v>
      </c>
      <c r="S85" s="259" t="str">
        <f t="shared" si="134"/>
        <v>-</v>
      </c>
      <c r="T85" s="259" t="str">
        <f t="shared" si="132"/>
        <v>-</v>
      </c>
      <c r="U85" s="259" t="str">
        <f t="shared" si="132"/>
        <v>-</v>
      </c>
      <c r="V85" s="259" t="str">
        <f t="shared" si="132"/>
        <v>-</v>
      </c>
      <c r="W85" s="259" t="str">
        <f t="shared" si="132"/>
        <v>-</v>
      </c>
      <c r="X85" s="259" t="str">
        <f t="shared" si="132"/>
        <v>-</v>
      </c>
      <c r="Y85" s="259" t="str">
        <f t="shared" si="132"/>
        <v>-</v>
      </c>
      <c r="Z85" s="259" t="str">
        <f t="shared" si="132"/>
        <v>-</v>
      </c>
      <c r="AA85" s="267">
        <f>(VLOOKUP(A85,Hshldprojections2014!$A$2:$AW$319,40, FALSE)-VLOOKUP(A85,Hshldprojections2014!$A$2:$AW$319,30, FALSE))/10</f>
        <v>436.6</v>
      </c>
      <c r="AB85" s="267">
        <f>(VLOOKUP(A85,Hshldprojections2014!$A$2:$AW$319,41, FALSE)-VLOOKUP(A85,Hshldprojections2014!$A$2:$AW$319,31, FALSE))/10</f>
        <v>432.8</v>
      </c>
      <c r="AC85" s="267">
        <f>(VLOOKUP(A85,Hshldprojections2014!$A$2:$AW$319,42, FALSE)-VLOOKUP(A85,Hshldprojections2014!$A$2:$AW$319,32, FALSE))/10</f>
        <v>429.3</v>
      </c>
      <c r="AD85" s="267">
        <f>IF(IndividualLATest!$J$7=2014,(VLOOKUP($A85,Hshldprojections2014!$A$2:$AY$326,43,FALSE)-VLOOKUP($A85,Hshldprojections2014!$A$2:$AY$326,33,FALSE))/10,IF(IndividualLATest!$J$7=2016,(VLOOKUP($A85,Hshldprojections2016!$A$1:$AQ$322,33,FALSE)-VLOOKUP($A85,Hshldprojections2016!$A$1:$AQ$322,23,FALSE))/10,(VLOOKUP($A85,Hshldprojections2018!$A$1:$AQ$327,33,FALSE)-VLOOKUP($A85,Hshldprojections2018!$A$1:$AQ$327,23,FALSE))/10))</f>
        <v>252.5</v>
      </c>
      <c r="AE85" s="267">
        <f>IF(IndividualLATest!$J$7=2014,(VLOOKUP($A85,Hshldprojections2014!$A$2:$AY$326,44,FALSE)-VLOOKUP($A85,Hshldprojections2014!$A$2:$AY$326,34,FALSE))/10,IF(IndividualLATest!$J$7=2016,(VLOOKUP($A85,Hshldprojections2016!$A$1:$AQ$322,34,FALSE)-VLOOKUP($A85,Hshldprojections2016!$A$1:$AQ$322,24,FALSE))/10,(VLOOKUP($A85,Hshldprojections2018!$A$1:$AQ$327,34,FALSE)-VLOOKUP($A85,Hshldprojections2018!$A$1:$AQ$327,24,FALSE))/10))</f>
        <v>245.5</v>
      </c>
      <c r="AF85" s="267">
        <f>IF(IndividualLATest!$J$7=2014,(VLOOKUP($A85,Hshldprojections2014!$A$2:$AY$326,45,FALSE)-VLOOKUP($A85,Hshldprojections2014!$A$2:$AY$326,35,FALSE))/10,IF(IndividualLATest!$J$7=2016,(VLOOKUP($A85,Hshldprojections2016!$A$1:$AQ$322,35,FALSE)-VLOOKUP($A85,Hshldprojections2016!$A$1:$AQ$322,25,FALSE))/10,(VLOOKUP($A85,Hshldprojections2018!$A$1:$AQ$327,35,FALSE)-VLOOKUP($A85,Hshldprojections2018!$A$1:$AQ$327,25,FALSE))/10))</f>
        <v>239.6</v>
      </c>
      <c r="AG85" s="267">
        <f>IF(IndividualLATest!$J$7=2014,(VLOOKUP($A85,Hshldprojections2014!$A$2:$AY$326,46,FALSE)-VLOOKUP($A85,Hshldprojections2014!$A$2:$AY$326,36,FALSE))/10,IF(IndividualLATest!$J$7=2016,(VLOOKUP($A85,Hshldprojections2016!$A$1:$AQ$322,36,FALSE)-VLOOKUP($A85,Hshldprojections2016!$A$1:$AQ$322,26,FALSE))/10,(VLOOKUP($A85,Hshldprojections2018!$A$1:$AQ$327,36,FALSE)-VLOOKUP($A85,Hshldprojections2018!$A$1:$AQ$327,26,FALSE))/10))</f>
        <v>232.5</v>
      </c>
      <c r="AH85" s="267">
        <f>IF(IndividualLATest!$J$7=2014,(VLOOKUP($A85,Hshldprojections2014!$A$2:$AY$326,47,FALSE)-VLOOKUP($A85,Hshldprojections2014!$A$2:$AY$326,37,FALSE))/10,IF(IndividualLATest!$J$7=2016,(VLOOKUP($A85,Hshldprojections2016!$A$1:$AQ$322,37,FALSE)-VLOOKUP($A85,Hshldprojections2016!$A$1:$AQ$322,27,FALSE))/10,(VLOOKUP($A85,Hshldprojections2018!$A$1:$AQ$327,37,FALSE)-VLOOKUP($A85,Hshldprojections2018!$A$1:$AQ$327,27,FALSE))/10))</f>
        <v>227.5</v>
      </c>
      <c r="AI85" s="268">
        <f>VLOOKUP($A85,AffordabilityRatio!$A$2:$I$321,5,FALSE)</f>
        <v>9.82</v>
      </c>
      <c r="AJ85" s="268">
        <f>VLOOKUP($A85,AffordabilityRatio!$A$2:$I$321,6,FALSE)</f>
        <v>10.66</v>
      </c>
      <c r="AK85" s="268">
        <f>VLOOKUP($A85,AffordabilityRatio!$A$2:$I$321,7,FALSE)</f>
        <v>10.32</v>
      </c>
      <c r="AL85" s="268">
        <f>IF((VLOOKUP($A85,AffordabilityRatio!$A$2:$I$321,8,FALSE))="",AK85,VLOOKUP($A85,AffordabilityRatio!$A$2:$I$321,8,FALSE))</f>
        <v>11.25</v>
      </c>
      <c r="AM85" s="268">
        <f>IF((VLOOKUP($A85,AffordabilityRatio!$A$2:$I$321,9,FALSE))="",AL85,VLOOKUP($A85,AffordabilityRatio!$A$2:$I$321,9,FALSE))</f>
        <v>10.66</v>
      </c>
      <c r="AN85" s="268">
        <f>IF((VLOOKUP($A85,AffordabilityRatio!$A$2:$I$321,9,FALSE))="",AM85,VLOOKUP($A85,AffordabilityRatio!$A$2:$I$321,9,FALSE))</f>
        <v>10.66</v>
      </c>
      <c r="AO85" s="268">
        <f>IF((VLOOKUP($A85,AffordabilityRatio!$A$2:$I$321,9,FALSE))="",AN85,VLOOKUP($A85,AffordabilityRatio!$A$2:$I$321,9,FALSE))</f>
        <v>10.66</v>
      </c>
      <c r="AP85" s="268">
        <f>IF((VLOOKUP($A85,AffordabilityRatio!$A$2:$I$321,9,FALSE))="",AO85,VLOOKUP($A85,AffordabilityRatio!$A$2:$I$321,9,FALSE))</f>
        <v>10.66</v>
      </c>
      <c r="AQ85" s="267">
        <f t="shared" si="86"/>
        <v>595</v>
      </c>
      <c r="AR85" s="267">
        <f t="shared" si="87"/>
        <v>613</v>
      </c>
      <c r="AS85" s="267">
        <f t="shared" si="88"/>
        <v>599</v>
      </c>
      <c r="AT85" s="267">
        <f t="shared" si="89"/>
        <v>367</v>
      </c>
      <c r="AU85" s="267">
        <f t="shared" si="90"/>
        <v>348</v>
      </c>
      <c r="AV85" s="267">
        <f t="shared" si="91"/>
        <v>339</v>
      </c>
      <c r="AW85" s="267">
        <f t="shared" si="92"/>
        <v>329</v>
      </c>
      <c r="AX85" s="267">
        <f t="shared" si="93"/>
        <v>322</v>
      </c>
      <c r="AY85" s="267">
        <f t="shared" si="94"/>
        <v>595</v>
      </c>
      <c r="AZ85" s="267">
        <f t="shared" si="95"/>
        <v>605.92000000000007</v>
      </c>
      <c r="BA85" s="267">
        <f t="shared" si="96"/>
        <v>599</v>
      </c>
      <c r="BB85" s="267">
        <f t="shared" si="97"/>
        <v>353.5</v>
      </c>
      <c r="BC85" s="267">
        <f t="shared" si="98"/>
        <v>343.7</v>
      </c>
      <c r="BD85" s="267">
        <f t="shared" si="99"/>
        <v>335.44</v>
      </c>
      <c r="BE85" s="267">
        <f t="shared" si="100"/>
        <v>325.5</v>
      </c>
      <c r="BF85" s="267">
        <f t="shared" si="101"/>
        <v>318.5</v>
      </c>
      <c r="BG85" s="269">
        <f>AY85*VLOOKUP($B85,'Major Cities &amp; Towns'!$A$28:$B$345,2,FALSE)</f>
        <v>595</v>
      </c>
      <c r="BH85" s="269">
        <f>AZ85*VLOOKUP($B85,'Major Cities &amp; Towns'!$A$28:$B$345,2,FALSE)</f>
        <v>605.92000000000007</v>
      </c>
      <c r="BI85" s="269">
        <f>BA85*VLOOKUP($B85,'Major Cities &amp; Towns'!$A$28:$B$345,2,FALSE)</f>
        <v>599</v>
      </c>
      <c r="BJ85" s="269">
        <f>BB85*VLOOKUP($B85,'Major Cities &amp; Towns'!$A$28:$B$345,2,FALSE)</f>
        <v>353.5</v>
      </c>
      <c r="BK85" s="269">
        <f>BC85*VLOOKUP($B85,'Major Cities &amp; Towns'!$A$28:$B$345,2,FALSE)</f>
        <v>343.7</v>
      </c>
      <c r="BL85" s="269">
        <f>BD85*VLOOKUP($B85,'Major Cities &amp; Towns'!$A$28:$B$345,2,FALSE)</f>
        <v>335.44</v>
      </c>
      <c r="BM85" s="269">
        <f>BE85*VLOOKUP($B85,'Major Cities &amp; Towns'!$A$28:$B$345,2,FALSE)</f>
        <v>325.5</v>
      </c>
      <c r="BN85" s="269">
        <f>BF85*VLOOKUP($B85,'Major Cities &amp; Towns'!$A$28:$B$345,2,FALSE)</f>
        <v>318.5</v>
      </c>
      <c r="BO85" s="270">
        <f t="shared" si="102"/>
        <v>595</v>
      </c>
      <c r="BP85" s="270">
        <f t="shared" si="103"/>
        <v>613</v>
      </c>
      <c r="BQ85" s="270">
        <f t="shared" si="104"/>
        <v>599</v>
      </c>
      <c r="BR85" s="270">
        <f t="shared" si="105"/>
        <v>367</v>
      </c>
      <c r="BS85" s="270">
        <f t="shared" si="106"/>
        <v>348</v>
      </c>
      <c r="BT85" s="270">
        <f t="shared" si="107"/>
        <v>339</v>
      </c>
      <c r="BU85" s="270">
        <f t="shared" si="108"/>
        <v>329</v>
      </c>
      <c r="BV85" s="270">
        <f t="shared" si="109"/>
        <v>322</v>
      </c>
      <c r="BW85" s="39">
        <f>VLOOKUP($A85,NetAdditions!$A$2:$H$336,6,FALSE)</f>
        <v>373</v>
      </c>
      <c r="BX85" s="39">
        <f>VLOOKUP($A85,NetAdditions!$A$2:$H$336,7,FALSE)</f>
        <v>470</v>
      </c>
      <c r="BY85" s="39">
        <f>IF((VLOOKUP($C85,NetAdditions!$A$2:$H$336,8,FALSE))="",(AVERAGE(VLOOKUP($C85,NetAdditions!$A$2:$H$336,5,FALSE),VLOOKUP($C85,NetAdditions!$A$2:$H$336,6,FALSE),VLOOKUP($C85,NetAdditions!$A$2:$H$336,7,FALSE))),VLOOKUP($C85,NetAdditions!$A$2:$H$336,8,FALSE))</f>
        <v>405</v>
      </c>
      <c r="BZ85" s="39">
        <f t="shared" si="110"/>
        <v>416</v>
      </c>
      <c r="CA85" s="39">
        <f t="shared" si="111"/>
        <v>430.33333333333331</v>
      </c>
      <c r="CB85" s="39">
        <f t="shared" si="112"/>
        <v>417.11111111111109</v>
      </c>
      <c r="CC85" s="39">
        <f t="shared" si="113"/>
        <v>421.1481481481481</v>
      </c>
      <c r="CD85" s="39">
        <f t="shared" si="114"/>
        <v>422.86419753086415</v>
      </c>
      <c r="CE85" s="276">
        <f t="shared" si="71"/>
        <v>1807</v>
      </c>
      <c r="CF85" s="276">
        <f t="shared" si="72"/>
        <v>1579</v>
      </c>
      <c r="CG85" s="276">
        <f t="shared" si="73"/>
        <v>1314</v>
      </c>
      <c r="CH85" s="276">
        <f t="shared" si="74"/>
        <v>1054</v>
      </c>
      <c r="CI85" s="276">
        <f t="shared" si="75"/>
        <v>1016</v>
      </c>
      <c r="CJ85" s="276">
        <f t="shared" si="76"/>
        <v>990</v>
      </c>
      <c r="CK85" s="276">
        <f t="shared" si="115"/>
        <v>1556.0277777777778</v>
      </c>
      <c r="CL85" s="276">
        <f t="shared" si="116"/>
        <v>1359.6944444444446</v>
      </c>
      <c r="CM85" s="276">
        <f t="shared" si="117"/>
        <v>1204.5</v>
      </c>
      <c r="CN85" s="276">
        <f t="shared" si="118"/>
        <v>1054</v>
      </c>
      <c r="CO85" s="276">
        <f t="shared" si="119"/>
        <v>1016</v>
      </c>
      <c r="CP85" s="276">
        <f t="shared" si="120"/>
        <v>990</v>
      </c>
      <c r="CQ85" s="39">
        <f t="shared" si="77"/>
        <v>1248</v>
      </c>
      <c r="CR85" s="39">
        <f t="shared" si="78"/>
        <v>1291</v>
      </c>
      <c r="CS85" s="277">
        <f t="shared" si="79"/>
        <v>1251.3333333333333</v>
      </c>
      <c r="CT85" s="39">
        <f t="shared" si="80"/>
        <v>1263.4444444444443</v>
      </c>
      <c r="CU85" s="39">
        <f t="shared" si="81"/>
        <v>1268.5925925925924</v>
      </c>
      <c r="CV85" s="39">
        <f t="shared" si="121"/>
        <v>1261.1234567901233</v>
      </c>
      <c r="CW85" s="297">
        <f t="shared" si="82"/>
        <v>0.8020422371779995</v>
      </c>
      <c r="CX85" s="279" t="str">
        <f t="shared" si="122"/>
        <v>Buffer and Action Plan</v>
      </c>
      <c r="CY85" s="278">
        <f t="shared" si="83"/>
        <v>0.94947802815174964</v>
      </c>
      <c r="CZ85" s="279" t="str">
        <f t="shared" si="123"/>
        <v>Action Plan</v>
      </c>
      <c r="DA85" s="278">
        <f t="shared" si="84"/>
        <v>1.0388819703888197</v>
      </c>
      <c r="DB85" s="292" t="str">
        <f t="shared" si="124"/>
        <v>Pass</v>
      </c>
      <c r="DC85" s="299">
        <f t="shared" si="125"/>
        <v>1.1987138941598143</v>
      </c>
      <c r="DD85" s="293" t="str">
        <f t="shared" si="126"/>
        <v>Pass</v>
      </c>
      <c r="DE85" s="299">
        <f t="shared" si="127"/>
        <v>1.248614756488772</v>
      </c>
      <c r="DF85" s="293" t="str">
        <f t="shared" si="128"/>
        <v>Pass</v>
      </c>
      <c r="DG85" s="299">
        <f t="shared" si="129"/>
        <v>1.2738620775657812</v>
      </c>
      <c r="DH85" s="293" t="str">
        <f t="shared" si="130"/>
        <v>Pass</v>
      </c>
    </row>
    <row r="86" spans="1:112" ht="15" thickTop="1" thickBot="1">
      <c r="A86" s="38" t="s">
        <v>282</v>
      </c>
      <c r="B86" s="38" t="s">
        <v>283</v>
      </c>
      <c r="C86" s="38" t="s">
        <v>282</v>
      </c>
      <c r="D86" s="38" t="s">
        <v>147</v>
      </c>
      <c r="E86" s="38" t="str">
        <f>VLOOKUP(C86,PoliticalControl!A:K,11,FALSE)</f>
        <v>NOC</v>
      </c>
      <c r="F86" s="38" t="str">
        <f>VLOOKUP(C86,UrbanRuralClassification!A:N,13,FALSE)</f>
        <v xml:space="preserve">Largely Rural (rural including hub towns 50-79%) </v>
      </c>
      <c r="G86" s="38" t="str">
        <f>VLOOKUP(C86,UrbanRuralClassification!A:N,14,FALSE)</f>
        <v>Predominantly Rural</v>
      </c>
      <c r="H86" s="258">
        <f>IF(ISBLANK((VLOOKUP($A86,'local-plan-data'!$C$1:$AD$566,27,FALSE)))=TRUE,"",VLOOKUP($A86,'local-plan-data'!$C$1:$AD$566,27,FALSE))</f>
        <v>42397</v>
      </c>
      <c r="I86" s="259">
        <f>VLOOKUP($A86,'local-plan-data'!$C$1:$AD$566,28,FALSE)</f>
        <v>950</v>
      </c>
      <c r="J86" s="260">
        <f t="shared" si="85"/>
        <v>950</v>
      </c>
      <c r="K86" s="259">
        <f t="shared" si="133"/>
        <v>950</v>
      </c>
      <c r="L86" s="259">
        <f t="shared" si="131"/>
        <v>950</v>
      </c>
      <c r="M86" s="259">
        <f t="shared" si="131"/>
        <v>950</v>
      </c>
      <c r="N86" s="259" t="str">
        <f t="shared" si="131"/>
        <v>-</v>
      </c>
      <c r="O86" s="259" t="str">
        <f t="shared" si="131"/>
        <v>-</v>
      </c>
      <c r="P86" s="259" t="str">
        <f t="shared" si="131"/>
        <v>-</v>
      </c>
      <c r="Q86" s="259" t="str">
        <f t="shared" si="131"/>
        <v>-</v>
      </c>
      <c r="R86" s="259" t="str">
        <f t="shared" si="131"/>
        <v>-</v>
      </c>
      <c r="S86" s="259">
        <f t="shared" si="134"/>
        <v>1033</v>
      </c>
      <c r="T86" s="259">
        <f t="shared" si="132"/>
        <v>668</v>
      </c>
      <c r="U86" s="259">
        <f t="shared" si="132"/>
        <v>302</v>
      </c>
      <c r="V86" s="259">
        <f t="shared" si="132"/>
        <v>-63</v>
      </c>
      <c r="W86" s="259">
        <f t="shared" si="132"/>
        <v>-428</v>
      </c>
      <c r="X86" s="259">
        <f t="shared" si="132"/>
        <v>-793</v>
      </c>
      <c r="Y86" s="259">
        <f t="shared" si="132"/>
        <v>-1159</v>
      </c>
      <c r="Z86" s="259">
        <f t="shared" si="132"/>
        <v>-1524</v>
      </c>
      <c r="AA86" s="267">
        <f>(VLOOKUP(A86,Hshldprojections2014!$A$2:$AW$319,40, FALSE)-VLOOKUP(A86,Hshldprojections2014!$A$2:$AW$319,30, FALSE))/10</f>
        <v>648.4</v>
      </c>
      <c r="AB86" s="267">
        <f>(VLOOKUP(A86,Hshldprojections2014!$A$2:$AW$319,41, FALSE)-VLOOKUP(A86,Hshldprojections2014!$A$2:$AW$319,31, FALSE))/10</f>
        <v>655.8</v>
      </c>
      <c r="AC86" s="267">
        <f>(VLOOKUP(A86,Hshldprojections2014!$A$2:$AW$319,42, FALSE)-VLOOKUP(A86,Hshldprojections2014!$A$2:$AW$319,32, FALSE))/10</f>
        <v>661</v>
      </c>
      <c r="AD86" s="267">
        <f>IF(IndividualLATest!$J$7=2014,(VLOOKUP($A86,Hshldprojections2014!$A$2:$AY$326,43,FALSE)-VLOOKUP($A86,Hshldprojections2014!$A$2:$AY$326,33,FALSE))/10,IF(IndividualLATest!$J$7=2016,(VLOOKUP($A86,Hshldprojections2016!$A$1:$AQ$322,33,FALSE)-VLOOKUP($A86,Hshldprojections2016!$A$1:$AQ$322,23,FALSE))/10,(VLOOKUP($A86,Hshldprojections2018!$A$1:$AQ$327,33,FALSE)-VLOOKUP($A86,Hshldprojections2018!$A$1:$AQ$327,23,FALSE))/10))</f>
        <v>1003.8</v>
      </c>
      <c r="AE86" s="267">
        <f>IF(IndividualLATest!$J$7=2014,(VLOOKUP($A86,Hshldprojections2014!$A$2:$AY$326,44,FALSE)-VLOOKUP($A86,Hshldprojections2014!$A$2:$AY$326,34,FALSE))/10,IF(IndividualLATest!$J$7=2016,(VLOOKUP($A86,Hshldprojections2016!$A$1:$AQ$322,34,FALSE)-VLOOKUP($A86,Hshldprojections2016!$A$1:$AQ$322,24,FALSE))/10,(VLOOKUP($A86,Hshldprojections2018!$A$1:$AQ$327,34,FALSE)-VLOOKUP($A86,Hshldprojections2018!$A$1:$AQ$327,24,FALSE))/10))</f>
        <v>985.5</v>
      </c>
      <c r="AF86" s="267">
        <f>IF(IndividualLATest!$J$7=2014,(VLOOKUP($A86,Hshldprojections2014!$A$2:$AY$326,45,FALSE)-VLOOKUP($A86,Hshldprojections2014!$A$2:$AY$326,35,FALSE))/10,IF(IndividualLATest!$J$7=2016,(VLOOKUP($A86,Hshldprojections2016!$A$1:$AQ$322,35,FALSE)-VLOOKUP($A86,Hshldprojections2016!$A$1:$AQ$322,25,FALSE))/10,(VLOOKUP($A86,Hshldprojections2018!$A$1:$AQ$327,35,FALSE)-VLOOKUP($A86,Hshldprojections2018!$A$1:$AQ$327,25,FALSE))/10))</f>
        <v>966.5</v>
      </c>
      <c r="AG86" s="267">
        <f>IF(IndividualLATest!$J$7=2014,(VLOOKUP($A86,Hshldprojections2014!$A$2:$AY$326,46,FALSE)-VLOOKUP($A86,Hshldprojections2014!$A$2:$AY$326,36,FALSE))/10,IF(IndividualLATest!$J$7=2016,(VLOOKUP($A86,Hshldprojections2016!$A$1:$AQ$322,36,FALSE)-VLOOKUP($A86,Hshldprojections2016!$A$1:$AQ$322,26,FALSE))/10,(VLOOKUP($A86,Hshldprojections2018!$A$1:$AQ$327,36,FALSE)-VLOOKUP($A86,Hshldprojections2018!$A$1:$AQ$327,26,FALSE))/10))</f>
        <v>949.5</v>
      </c>
      <c r="AH86" s="267">
        <f>IF(IndividualLATest!$J$7=2014,(VLOOKUP($A86,Hshldprojections2014!$A$2:$AY$326,47,FALSE)-VLOOKUP($A86,Hshldprojections2014!$A$2:$AY$326,37,FALSE))/10,IF(IndividualLATest!$J$7=2016,(VLOOKUP($A86,Hshldprojections2016!$A$1:$AQ$322,37,FALSE)-VLOOKUP($A86,Hshldprojections2016!$A$1:$AQ$322,27,FALSE))/10,(VLOOKUP($A86,Hshldprojections2018!$A$1:$AQ$327,37,FALSE)-VLOOKUP($A86,Hshldprojections2018!$A$1:$AQ$327,27,FALSE))/10))</f>
        <v>930.4</v>
      </c>
      <c r="AI86" s="268">
        <f>VLOOKUP($A86,AffordabilityRatio!$A$2:$I$321,5,FALSE)</f>
        <v>9.84</v>
      </c>
      <c r="AJ86" s="268">
        <f>VLOOKUP($A86,AffordabilityRatio!$A$2:$I$321,6,FALSE)</f>
        <v>9.93</v>
      </c>
      <c r="AK86" s="268">
        <f>VLOOKUP($A86,AffordabilityRatio!$A$2:$I$321,7,FALSE)</f>
        <v>10.56</v>
      </c>
      <c r="AL86" s="268">
        <f>IF((VLOOKUP($A86,AffordabilityRatio!$A$2:$I$321,8,FALSE))="",AK86,VLOOKUP($A86,AffordabilityRatio!$A$2:$I$321,8,FALSE))</f>
        <v>10.08</v>
      </c>
      <c r="AM86" s="268">
        <f>IF((VLOOKUP($A86,AffordabilityRatio!$A$2:$I$321,9,FALSE))="",AL86,VLOOKUP($A86,AffordabilityRatio!$A$2:$I$321,9,FALSE))</f>
        <v>10.88</v>
      </c>
      <c r="AN86" s="268">
        <f>IF((VLOOKUP($A86,AffordabilityRatio!$A$2:$I$321,9,FALSE))="",AM86,VLOOKUP($A86,AffordabilityRatio!$A$2:$I$321,9,FALSE))</f>
        <v>10.88</v>
      </c>
      <c r="AO86" s="268">
        <f>IF((VLOOKUP($A86,AffordabilityRatio!$A$2:$I$321,9,FALSE))="",AN86,VLOOKUP($A86,AffordabilityRatio!$A$2:$I$321,9,FALSE))</f>
        <v>10.88</v>
      </c>
      <c r="AP86" s="268">
        <f>IF((VLOOKUP($A86,AffordabilityRatio!$A$2:$I$321,9,FALSE))="",AO86,VLOOKUP($A86,AffordabilityRatio!$A$2:$I$321,9,FALSE))</f>
        <v>10.88</v>
      </c>
      <c r="AQ86" s="267">
        <f t="shared" si="86"/>
        <v>885</v>
      </c>
      <c r="AR86" s="267">
        <f t="shared" si="87"/>
        <v>899</v>
      </c>
      <c r="AS86" s="267">
        <f t="shared" si="88"/>
        <v>932</v>
      </c>
      <c r="AT86" s="267">
        <f t="shared" si="89"/>
        <v>1385</v>
      </c>
      <c r="AU86" s="267">
        <f t="shared" si="90"/>
        <v>1409</v>
      </c>
      <c r="AV86" s="267">
        <f t="shared" si="91"/>
        <v>1382</v>
      </c>
      <c r="AW86" s="267">
        <f t="shared" si="92"/>
        <v>1358</v>
      </c>
      <c r="AX86" s="267">
        <f t="shared" si="93"/>
        <v>1330</v>
      </c>
      <c r="AY86" s="267">
        <f t="shared" si="94"/>
        <v>885</v>
      </c>
      <c r="AZ86" s="267">
        <f t="shared" si="95"/>
        <v>899</v>
      </c>
      <c r="BA86" s="267">
        <f t="shared" si="96"/>
        <v>932</v>
      </c>
      <c r="BB86" s="267">
        <f t="shared" si="97"/>
        <v>1385</v>
      </c>
      <c r="BC86" s="267">
        <f t="shared" si="98"/>
        <v>1379.7</v>
      </c>
      <c r="BD86" s="267">
        <f t="shared" si="99"/>
        <v>1353.1</v>
      </c>
      <c r="BE86" s="267">
        <f t="shared" si="100"/>
        <v>1330</v>
      </c>
      <c r="BF86" s="267">
        <f t="shared" si="101"/>
        <v>1330</v>
      </c>
      <c r="BG86" s="269">
        <f>AY86*VLOOKUP($B86,'Major Cities &amp; Towns'!$A$28:$B$345,2,FALSE)</f>
        <v>885</v>
      </c>
      <c r="BH86" s="269">
        <f>AZ86*VLOOKUP($B86,'Major Cities &amp; Towns'!$A$28:$B$345,2,FALSE)</f>
        <v>899</v>
      </c>
      <c r="BI86" s="269">
        <f>BA86*VLOOKUP($B86,'Major Cities &amp; Towns'!$A$28:$B$345,2,FALSE)</f>
        <v>932</v>
      </c>
      <c r="BJ86" s="269">
        <f>BB86*VLOOKUP($B86,'Major Cities &amp; Towns'!$A$28:$B$345,2,FALSE)</f>
        <v>1385</v>
      </c>
      <c r="BK86" s="269">
        <f>BC86*VLOOKUP($B86,'Major Cities &amp; Towns'!$A$28:$B$345,2,FALSE)</f>
        <v>1379.7</v>
      </c>
      <c r="BL86" s="269">
        <f>BD86*VLOOKUP($B86,'Major Cities &amp; Towns'!$A$28:$B$345,2,FALSE)</f>
        <v>1353.1</v>
      </c>
      <c r="BM86" s="269">
        <f>BE86*VLOOKUP($B86,'Major Cities &amp; Towns'!$A$28:$B$345,2,FALSE)</f>
        <v>1330</v>
      </c>
      <c r="BN86" s="269">
        <f>BF86*VLOOKUP($B86,'Major Cities &amp; Towns'!$A$28:$B$345,2,FALSE)</f>
        <v>1330</v>
      </c>
      <c r="BO86" s="270">
        <f t="shared" si="102"/>
        <v>885</v>
      </c>
      <c r="BP86" s="270">
        <f t="shared" si="103"/>
        <v>899</v>
      </c>
      <c r="BQ86" s="270">
        <f t="shared" si="104"/>
        <v>932.00000000000011</v>
      </c>
      <c r="BR86" s="270">
        <f t="shared" si="105"/>
        <v>1385</v>
      </c>
      <c r="BS86" s="270">
        <f t="shared" si="106"/>
        <v>1409</v>
      </c>
      <c r="BT86" s="270">
        <f t="shared" si="107"/>
        <v>1382</v>
      </c>
      <c r="BU86" s="270">
        <f t="shared" si="108"/>
        <v>1358</v>
      </c>
      <c r="BV86" s="270">
        <f t="shared" si="109"/>
        <v>1330</v>
      </c>
      <c r="BW86" s="39">
        <f>VLOOKUP($A86,NetAdditions!$A$2:$H$336,6,FALSE)</f>
        <v>929</v>
      </c>
      <c r="BX86" s="39">
        <f>VLOOKUP($A86,NetAdditions!$A$2:$H$336,7,FALSE)</f>
        <v>1065</v>
      </c>
      <c r="BY86" s="39">
        <f>IF((VLOOKUP($C86,NetAdditions!$A$2:$H$336,8,FALSE))="",(AVERAGE(VLOOKUP($C86,NetAdditions!$A$2:$H$336,5,FALSE),VLOOKUP($C86,NetAdditions!$A$2:$H$336,6,FALSE),VLOOKUP($C86,NetAdditions!$A$2:$H$336,7,FALSE))),VLOOKUP($C86,NetAdditions!$A$2:$H$336,8,FALSE))</f>
        <v>872</v>
      </c>
      <c r="BZ86" s="39">
        <f t="shared" si="110"/>
        <v>955.33333333333337</v>
      </c>
      <c r="CA86" s="39">
        <f t="shared" si="111"/>
        <v>964.1111111111112</v>
      </c>
      <c r="CB86" s="39">
        <f t="shared" si="112"/>
        <v>930.48148148148164</v>
      </c>
      <c r="CC86" s="39">
        <f t="shared" si="113"/>
        <v>949.9753086419754</v>
      </c>
      <c r="CD86" s="39">
        <f t="shared" si="114"/>
        <v>948.18930041152271</v>
      </c>
      <c r="CE86" s="276">
        <f t="shared" si="71"/>
        <v>2716</v>
      </c>
      <c r="CF86" s="276">
        <f t="shared" si="72"/>
        <v>3216</v>
      </c>
      <c r="CG86" s="276">
        <f t="shared" si="73"/>
        <v>3726</v>
      </c>
      <c r="CH86" s="276">
        <f t="shared" si="74"/>
        <v>4176</v>
      </c>
      <c r="CI86" s="276">
        <f t="shared" si="75"/>
        <v>4149</v>
      </c>
      <c r="CJ86" s="276">
        <f t="shared" si="76"/>
        <v>4070</v>
      </c>
      <c r="CK86" s="276">
        <f t="shared" si="115"/>
        <v>2338.7777777777778</v>
      </c>
      <c r="CL86" s="276">
        <f t="shared" si="116"/>
        <v>2769.3333333333335</v>
      </c>
      <c r="CM86" s="276">
        <f t="shared" si="117"/>
        <v>3415.5</v>
      </c>
      <c r="CN86" s="276">
        <f t="shared" si="118"/>
        <v>4176</v>
      </c>
      <c r="CO86" s="276">
        <f t="shared" si="119"/>
        <v>4149</v>
      </c>
      <c r="CP86" s="276">
        <f t="shared" si="120"/>
        <v>4070</v>
      </c>
      <c r="CQ86" s="39">
        <f t="shared" si="77"/>
        <v>2866</v>
      </c>
      <c r="CR86" s="39">
        <f t="shared" si="78"/>
        <v>2892.3333333333335</v>
      </c>
      <c r="CS86" s="277">
        <f t="shared" si="79"/>
        <v>2791.4444444444448</v>
      </c>
      <c r="CT86" s="39">
        <f t="shared" si="80"/>
        <v>2849.9259259259261</v>
      </c>
      <c r="CU86" s="39">
        <f t="shared" si="81"/>
        <v>2844.5679012345681</v>
      </c>
      <c r="CV86" s="39">
        <f t="shared" si="121"/>
        <v>2828.6460905349795</v>
      </c>
      <c r="CW86" s="297">
        <f t="shared" si="82"/>
        <v>1.2254263860515939</v>
      </c>
      <c r="CX86" s="279" t="str">
        <f t="shared" si="122"/>
        <v>Pass</v>
      </c>
      <c r="CY86" s="278">
        <f t="shared" si="83"/>
        <v>1.0444150216658643</v>
      </c>
      <c r="CZ86" s="279" t="str">
        <f t="shared" si="123"/>
        <v>Pass</v>
      </c>
      <c r="DA86" s="278">
        <f t="shared" si="84"/>
        <v>0.8172872037606338</v>
      </c>
      <c r="DB86" s="292" t="str">
        <f t="shared" si="124"/>
        <v>Buffer and Action Plan</v>
      </c>
      <c r="DC86" s="299">
        <f t="shared" si="125"/>
        <v>0.68245352632325817</v>
      </c>
      <c r="DD86" s="293" t="str">
        <f t="shared" si="126"/>
        <v>Presumption</v>
      </c>
      <c r="DE86" s="299">
        <f t="shared" si="127"/>
        <v>0.68560325409365341</v>
      </c>
      <c r="DF86" s="293" t="str">
        <f t="shared" si="128"/>
        <v>Presumption</v>
      </c>
      <c r="DG86" s="299">
        <f t="shared" si="129"/>
        <v>0.69499903944348396</v>
      </c>
      <c r="DH86" s="293" t="str">
        <f t="shared" si="130"/>
        <v>Presumption</v>
      </c>
    </row>
    <row r="87" spans="1:112" ht="15" thickTop="1" thickBot="1">
      <c r="A87" s="38" t="s">
        <v>284</v>
      </c>
      <c r="B87" s="38" t="s">
        <v>285</v>
      </c>
      <c r="C87" s="38" t="s">
        <v>284</v>
      </c>
      <c r="D87" s="38" t="s">
        <v>113</v>
      </c>
      <c r="E87" s="38" t="str">
        <f>VLOOKUP(C87,PoliticalControl!A:K,11,FALSE)</f>
        <v>CON</v>
      </c>
      <c r="F87" s="38" t="str">
        <f>VLOOKUP(C87,UrbanRuralClassification!A:N,13,FALSE)</f>
        <v xml:space="preserve">Mainly Rural (rural including hub towns &gt;=80%) </v>
      </c>
      <c r="G87" s="38" t="str">
        <f>VLOOKUP(C87,UrbanRuralClassification!A:N,14,FALSE)</f>
        <v>Predominantly Rural</v>
      </c>
      <c r="H87" s="258">
        <f>IF(ISBLANK((VLOOKUP($A87,'local-plan-data'!$C$1:$AD$566,27,FALSE)))=TRUE,"",VLOOKUP($A87,'local-plan-data'!$C$1:$AD$566,27,FALSE))</f>
        <v>41767</v>
      </c>
      <c r="I87" s="259">
        <f>VLOOKUP($A87,'local-plan-data'!$C$1:$AD$566,28,FALSE)</f>
        <v>591.76470588235293</v>
      </c>
      <c r="J87" s="260">
        <f t="shared" si="85"/>
        <v>591.76470588235293</v>
      </c>
      <c r="K87" s="259">
        <f t="shared" si="133"/>
        <v>591.76470588235293</v>
      </c>
      <c r="L87" s="259">
        <f t="shared" si="131"/>
        <v>591.76470588235293</v>
      </c>
      <c r="M87" s="259" t="str">
        <f t="shared" si="131"/>
        <v>-</v>
      </c>
      <c r="N87" s="259" t="str">
        <f t="shared" si="131"/>
        <v>-</v>
      </c>
      <c r="O87" s="259" t="str">
        <f t="shared" si="131"/>
        <v>-</v>
      </c>
      <c r="P87" s="259" t="str">
        <f t="shared" si="131"/>
        <v>-</v>
      </c>
      <c r="Q87" s="259" t="str">
        <f t="shared" si="131"/>
        <v>-</v>
      </c>
      <c r="R87" s="259" t="str">
        <f t="shared" si="131"/>
        <v>-</v>
      </c>
      <c r="S87" s="259">
        <f t="shared" si="134"/>
        <v>402</v>
      </c>
      <c r="T87" s="259">
        <f t="shared" si="132"/>
        <v>37</v>
      </c>
      <c r="U87" s="259">
        <f t="shared" si="132"/>
        <v>-329</v>
      </c>
      <c r="V87" s="259">
        <f t="shared" si="132"/>
        <v>-694</v>
      </c>
      <c r="W87" s="259">
        <f t="shared" si="132"/>
        <v>-1059</v>
      </c>
      <c r="X87" s="259">
        <f t="shared" si="132"/>
        <v>-1424</v>
      </c>
      <c r="Y87" s="259">
        <f t="shared" si="132"/>
        <v>-1790</v>
      </c>
      <c r="Z87" s="259">
        <f t="shared" si="132"/>
        <v>-2155</v>
      </c>
      <c r="AA87" s="267">
        <f>(VLOOKUP(A87,Hshldprojections2014!$A$2:$AW$319,40, FALSE)-VLOOKUP(A87,Hshldprojections2014!$A$2:$AW$319,30, FALSE))/10</f>
        <v>400.1</v>
      </c>
      <c r="AB87" s="267">
        <f>(VLOOKUP(A87,Hshldprojections2014!$A$2:$AW$319,41, FALSE)-VLOOKUP(A87,Hshldprojections2014!$A$2:$AW$319,31, FALSE))/10</f>
        <v>396.6</v>
      </c>
      <c r="AC87" s="267">
        <f>(VLOOKUP(A87,Hshldprojections2014!$A$2:$AW$319,42, FALSE)-VLOOKUP(A87,Hshldprojections2014!$A$2:$AW$319,32, FALSE))/10</f>
        <v>392.3</v>
      </c>
      <c r="AD87" s="267">
        <f>IF(IndividualLATest!$J$7=2014,(VLOOKUP($A87,Hshldprojections2014!$A$2:$AY$326,43,FALSE)-VLOOKUP($A87,Hshldprojections2014!$A$2:$AY$326,33,FALSE))/10,IF(IndividualLATest!$J$7=2016,(VLOOKUP($A87,Hshldprojections2016!$A$1:$AQ$322,33,FALSE)-VLOOKUP($A87,Hshldprojections2016!$A$1:$AQ$322,23,FALSE))/10,(VLOOKUP($A87,Hshldprojections2018!$A$1:$AQ$327,33,FALSE)-VLOOKUP($A87,Hshldprojections2018!$A$1:$AQ$327,23,FALSE))/10))</f>
        <v>388.6</v>
      </c>
      <c r="AE87" s="267">
        <f>IF(IndividualLATest!$J$7=2014,(VLOOKUP($A87,Hshldprojections2014!$A$2:$AY$326,44,FALSE)-VLOOKUP($A87,Hshldprojections2014!$A$2:$AY$326,34,FALSE))/10,IF(IndividualLATest!$J$7=2016,(VLOOKUP($A87,Hshldprojections2016!$A$1:$AQ$322,34,FALSE)-VLOOKUP($A87,Hshldprojections2016!$A$1:$AQ$322,24,FALSE))/10,(VLOOKUP($A87,Hshldprojections2018!$A$1:$AQ$327,34,FALSE)-VLOOKUP($A87,Hshldprojections2018!$A$1:$AQ$327,24,FALSE))/10))</f>
        <v>371.1</v>
      </c>
      <c r="AF87" s="267">
        <f>IF(IndividualLATest!$J$7=2014,(VLOOKUP($A87,Hshldprojections2014!$A$2:$AY$326,45,FALSE)-VLOOKUP($A87,Hshldprojections2014!$A$2:$AY$326,35,FALSE))/10,IF(IndividualLATest!$J$7=2016,(VLOOKUP($A87,Hshldprojections2016!$A$1:$AQ$322,35,FALSE)-VLOOKUP($A87,Hshldprojections2016!$A$1:$AQ$322,25,FALSE))/10,(VLOOKUP($A87,Hshldprojections2018!$A$1:$AQ$327,35,FALSE)-VLOOKUP($A87,Hshldprojections2018!$A$1:$AQ$327,25,FALSE))/10))</f>
        <v>357.7</v>
      </c>
      <c r="AG87" s="267">
        <f>IF(IndividualLATest!$J$7=2014,(VLOOKUP($A87,Hshldprojections2014!$A$2:$AY$326,46,FALSE)-VLOOKUP($A87,Hshldprojections2014!$A$2:$AY$326,36,FALSE))/10,IF(IndividualLATest!$J$7=2016,(VLOOKUP($A87,Hshldprojections2016!$A$1:$AQ$322,36,FALSE)-VLOOKUP($A87,Hshldprojections2016!$A$1:$AQ$322,26,FALSE))/10,(VLOOKUP($A87,Hshldprojections2018!$A$1:$AQ$327,36,FALSE)-VLOOKUP($A87,Hshldprojections2018!$A$1:$AQ$327,26,FALSE))/10))</f>
        <v>343.4</v>
      </c>
      <c r="AH87" s="267">
        <f>IF(IndividualLATest!$J$7=2014,(VLOOKUP($A87,Hshldprojections2014!$A$2:$AY$326,47,FALSE)-VLOOKUP($A87,Hshldprojections2014!$A$2:$AY$326,37,FALSE))/10,IF(IndividualLATest!$J$7=2016,(VLOOKUP($A87,Hshldprojections2016!$A$1:$AQ$322,37,FALSE)-VLOOKUP($A87,Hshldprojections2016!$A$1:$AQ$322,27,FALSE))/10,(VLOOKUP($A87,Hshldprojections2018!$A$1:$AQ$327,37,FALSE)-VLOOKUP($A87,Hshldprojections2018!$A$1:$AQ$327,27,FALSE))/10))</f>
        <v>330.1</v>
      </c>
      <c r="AI87" s="268">
        <f>VLOOKUP($A87,AffordabilityRatio!$A$2:$I$321,5,FALSE)</f>
        <v>12.22</v>
      </c>
      <c r="AJ87" s="268">
        <f>VLOOKUP($A87,AffordabilityRatio!$A$2:$I$321,6,FALSE)</f>
        <v>12.59</v>
      </c>
      <c r="AK87" s="268">
        <f>VLOOKUP($A87,AffordabilityRatio!$A$2:$I$321,7,FALSE)</f>
        <v>13.42</v>
      </c>
      <c r="AL87" s="268">
        <f>IF((VLOOKUP($A87,AffordabilityRatio!$A$2:$I$321,8,FALSE))="",AK87,VLOOKUP($A87,AffordabilityRatio!$A$2:$I$321,8,FALSE))</f>
        <v>12.31</v>
      </c>
      <c r="AM87" s="268">
        <f>IF((VLOOKUP($A87,AffordabilityRatio!$A$2:$I$321,9,FALSE))="",AL87,VLOOKUP($A87,AffordabilityRatio!$A$2:$I$321,9,FALSE))</f>
        <v>14.51</v>
      </c>
      <c r="AN87" s="268">
        <f>IF((VLOOKUP($A87,AffordabilityRatio!$A$2:$I$321,9,FALSE))="",AM87,VLOOKUP($A87,AffordabilityRatio!$A$2:$I$321,9,FALSE))</f>
        <v>14.51</v>
      </c>
      <c r="AO87" s="268">
        <f>IF((VLOOKUP($A87,AffordabilityRatio!$A$2:$I$321,9,FALSE))="",AN87,VLOOKUP($A87,AffordabilityRatio!$A$2:$I$321,9,FALSE))</f>
        <v>14.51</v>
      </c>
      <c r="AP87" s="268">
        <f>IF((VLOOKUP($A87,AffordabilityRatio!$A$2:$I$321,9,FALSE))="",AO87,VLOOKUP($A87,AffordabilityRatio!$A$2:$I$321,9,FALSE))</f>
        <v>14.51</v>
      </c>
      <c r="AQ87" s="267">
        <f t="shared" si="86"/>
        <v>606</v>
      </c>
      <c r="AR87" s="267">
        <f t="shared" si="87"/>
        <v>610</v>
      </c>
      <c r="AS87" s="267">
        <f t="shared" si="88"/>
        <v>623</v>
      </c>
      <c r="AT87" s="267">
        <f t="shared" si="89"/>
        <v>590</v>
      </c>
      <c r="AU87" s="267">
        <f t="shared" si="90"/>
        <v>615</v>
      </c>
      <c r="AV87" s="267">
        <f t="shared" si="91"/>
        <v>593</v>
      </c>
      <c r="AW87" s="267">
        <f t="shared" si="92"/>
        <v>569</v>
      </c>
      <c r="AX87" s="267">
        <f t="shared" si="93"/>
        <v>547</v>
      </c>
      <c r="AY87" s="267">
        <f t="shared" si="94"/>
        <v>606</v>
      </c>
      <c r="AZ87" s="267">
        <f t="shared" si="95"/>
        <v>610</v>
      </c>
      <c r="BA87" s="267">
        <f t="shared" si="96"/>
        <v>623</v>
      </c>
      <c r="BB87" s="267">
        <f t="shared" si="97"/>
        <v>590</v>
      </c>
      <c r="BC87" s="267">
        <f t="shared" si="98"/>
        <v>615</v>
      </c>
      <c r="BD87" s="267">
        <f t="shared" si="99"/>
        <v>593</v>
      </c>
      <c r="BE87" s="267">
        <f t="shared" si="100"/>
        <v>569</v>
      </c>
      <c r="BF87" s="267">
        <f t="shared" si="101"/>
        <v>547</v>
      </c>
      <c r="BG87" s="269">
        <f>AY87*VLOOKUP($B87,'Major Cities &amp; Towns'!$A$28:$B$345,2,FALSE)</f>
        <v>606</v>
      </c>
      <c r="BH87" s="269">
        <f>AZ87*VLOOKUP($B87,'Major Cities &amp; Towns'!$A$28:$B$345,2,FALSE)</f>
        <v>610</v>
      </c>
      <c r="BI87" s="269">
        <f>BA87*VLOOKUP($B87,'Major Cities &amp; Towns'!$A$28:$B$345,2,FALSE)</f>
        <v>623</v>
      </c>
      <c r="BJ87" s="269">
        <f>BB87*VLOOKUP($B87,'Major Cities &amp; Towns'!$A$28:$B$345,2,FALSE)</f>
        <v>590</v>
      </c>
      <c r="BK87" s="269">
        <f>BC87*VLOOKUP($B87,'Major Cities &amp; Towns'!$A$28:$B$345,2,FALSE)</f>
        <v>615</v>
      </c>
      <c r="BL87" s="269">
        <f>BD87*VLOOKUP($B87,'Major Cities &amp; Towns'!$A$28:$B$345,2,FALSE)</f>
        <v>593</v>
      </c>
      <c r="BM87" s="269">
        <f>BE87*VLOOKUP($B87,'Major Cities &amp; Towns'!$A$28:$B$345,2,FALSE)</f>
        <v>569</v>
      </c>
      <c r="BN87" s="269">
        <f>BF87*VLOOKUP($B87,'Major Cities &amp; Towns'!$A$28:$B$345,2,FALSE)</f>
        <v>547</v>
      </c>
      <c r="BO87" s="270">
        <f t="shared" si="102"/>
        <v>591.76470588235293</v>
      </c>
      <c r="BP87" s="270">
        <f t="shared" si="103"/>
        <v>608.15149073327962</v>
      </c>
      <c r="BQ87" s="270">
        <f t="shared" si="104"/>
        <v>623</v>
      </c>
      <c r="BR87" s="270">
        <f t="shared" si="105"/>
        <v>590</v>
      </c>
      <c r="BS87" s="270">
        <f t="shared" si="106"/>
        <v>615</v>
      </c>
      <c r="BT87" s="270">
        <f t="shared" si="107"/>
        <v>593</v>
      </c>
      <c r="BU87" s="270">
        <f t="shared" si="108"/>
        <v>569</v>
      </c>
      <c r="BV87" s="270">
        <f t="shared" si="109"/>
        <v>547</v>
      </c>
      <c r="BW87" s="39">
        <f>VLOOKUP($A87,NetAdditions!$A$2:$H$336,6,FALSE)</f>
        <v>1112</v>
      </c>
      <c r="BX87" s="39">
        <f>VLOOKUP($A87,NetAdditions!$A$2:$H$336,7,FALSE)</f>
        <v>804</v>
      </c>
      <c r="BY87" s="39">
        <f>IF((VLOOKUP($C87,NetAdditions!$A$2:$H$336,8,FALSE))="",(AVERAGE(VLOOKUP($C87,NetAdditions!$A$2:$H$336,5,FALSE),VLOOKUP($C87,NetAdditions!$A$2:$H$336,6,FALSE),VLOOKUP($C87,NetAdditions!$A$2:$H$336,7,FALSE))),VLOOKUP($C87,NetAdditions!$A$2:$H$336,8,FALSE))</f>
        <v>419</v>
      </c>
      <c r="BZ87" s="39">
        <f t="shared" si="110"/>
        <v>778.33333333333337</v>
      </c>
      <c r="CA87" s="39">
        <f t="shared" si="111"/>
        <v>667.1111111111112</v>
      </c>
      <c r="CB87" s="39">
        <f t="shared" si="112"/>
        <v>621.48148148148164</v>
      </c>
      <c r="CC87" s="39">
        <f t="shared" si="113"/>
        <v>688.9753086419754</v>
      </c>
      <c r="CD87" s="39">
        <f t="shared" si="114"/>
        <v>659.18930041152271</v>
      </c>
      <c r="CE87" s="276">
        <f t="shared" si="71"/>
        <v>1822.9161966156325</v>
      </c>
      <c r="CF87" s="276">
        <f t="shared" si="72"/>
        <v>1821.1514907332796</v>
      </c>
      <c r="CG87" s="276">
        <f t="shared" si="73"/>
        <v>1828</v>
      </c>
      <c r="CH87" s="276">
        <f t="shared" si="74"/>
        <v>1798</v>
      </c>
      <c r="CI87" s="276">
        <f t="shared" si="75"/>
        <v>1777</v>
      </c>
      <c r="CJ87" s="276">
        <f t="shared" si="76"/>
        <v>1709</v>
      </c>
      <c r="CK87" s="276">
        <f t="shared" si="115"/>
        <v>1569.7333915301281</v>
      </c>
      <c r="CL87" s="276">
        <f t="shared" si="116"/>
        <v>1568.2137836869908</v>
      </c>
      <c r="CM87" s="276">
        <f t="shared" si="117"/>
        <v>1675.6666666666665</v>
      </c>
      <c r="CN87" s="276">
        <f t="shared" si="118"/>
        <v>1798</v>
      </c>
      <c r="CO87" s="276">
        <f t="shared" si="119"/>
        <v>1777</v>
      </c>
      <c r="CP87" s="276">
        <f t="shared" si="120"/>
        <v>1709</v>
      </c>
      <c r="CQ87" s="39">
        <f t="shared" si="77"/>
        <v>2335</v>
      </c>
      <c r="CR87" s="39">
        <f t="shared" si="78"/>
        <v>2001.3333333333335</v>
      </c>
      <c r="CS87" s="277">
        <f t="shared" si="79"/>
        <v>1864.4444444444448</v>
      </c>
      <c r="CT87" s="39">
        <f t="shared" si="80"/>
        <v>2066.9259259259261</v>
      </c>
      <c r="CU87" s="39">
        <f t="shared" si="81"/>
        <v>1977.5679012345681</v>
      </c>
      <c r="CV87" s="39">
        <f t="shared" si="121"/>
        <v>1969.6460905349797</v>
      </c>
      <c r="CW87" s="297">
        <f t="shared" si="82"/>
        <v>1.4875137476204883</v>
      </c>
      <c r="CX87" s="279" t="str">
        <f t="shared" si="122"/>
        <v>Pass</v>
      </c>
      <c r="CY87" s="278">
        <f t="shared" si="83"/>
        <v>1.2761865468546294</v>
      </c>
      <c r="CZ87" s="279" t="str">
        <f t="shared" si="123"/>
        <v>Pass</v>
      </c>
      <c r="DA87" s="278">
        <f t="shared" si="84"/>
        <v>1.1126583117830386</v>
      </c>
      <c r="DB87" s="292" t="str">
        <f t="shared" si="124"/>
        <v>Pass</v>
      </c>
      <c r="DC87" s="299">
        <f t="shared" si="125"/>
        <v>1.1495694804927286</v>
      </c>
      <c r="DD87" s="293" t="str">
        <f t="shared" si="126"/>
        <v>Pass</v>
      </c>
      <c r="DE87" s="299">
        <f t="shared" si="127"/>
        <v>1.1128688245551874</v>
      </c>
      <c r="DF87" s="293" t="str">
        <f t="shared" si="128"/>
        <v>Pass</v>
      </c>
      <c r="DG87" s="299">
        <f t="shared" si="129"/>
        <v>1.1525138037068343</v>
      </c>
      <c r="DH87" s="293" t="str">
        <f t="shared" si="130"/>
        <v>Pass</v>
      </c>
    </row>
    <row r="88" spans="1:112" ht="15" thickTop="1" thickBot="1">
      <c r="A88" s="38" t="s">
        <v>286</v>
      </c>
      <c r="B88" s="38" t="s">
        <v>287</v>
      </c>
      <c r="C88" s="38" t="s">
        <v>286</v>
      </c>
      <c r="D88" s="38" t="s">
        <v>128</v>
      </c>
      <c r="E88" s="38" t="str">
        <f>VLOOKUP(C88,PoliticalControl!A:K,11,FALSE)</f>
        <v>CON</v>
      </c>
      <c r="F88" s="38" t="str">
        <f>VLOOKUP(C88,UrbanRuralClassification!A:N,13,FALSE)</f>
        <v>Urban with Significant Rural (rural including hub towns 26-49%)</v>
      </c>
      <c r="G88" s="38" t="str">
        <f>VLOOKUP(C88,UrbanRuralClassification!A:N,14,FALSE)</f>
        <v>Urban with Significant Rural</v>
      </c>
      <c r="H88" s="258">
        <f>IF(ISBLANK((VLOOKUP($A88,'local-plan-data'!$C$1:$AD$566,27,FALSE)))=TRUE,"",VLOOKUP($A88,'local-plan-data'!$C$1:$AD$566,27,FALSE))</f>
        <v>43396</v>
      </c>
      <c r="I88" s="259">
        <f>VLOOKUP($A88,'local-plan-data'!$C$1:$AD$566,28,FALSE)</f>
        <v>839</v>
      </c>
      <c r="J88" s="260">
        <f t="shared" si="85"/>
        <v>839</v>
      </c>
      <c r="K88" s="259">
        <f t="shared" si="133"/>
        <v>839</v>
      </c>
      <c r="L88" s="259">
        <f t="shared" si="131"/>
        <v>839</v>
      </c>
      <c r="M88" s="259">
        <f t="shared" si="131"/>
        <v>839</v>
      </c>
      <c r="N88" s="259">
        <f t="shared" si="131"/>
        <v>839</v>
      </c>
      <c r="O88" s="259">
        <f t="shared" si="131"/>
        <v>839</v>
      </c>
      <c r="P88" s="259">
        <f t="shared" si="131"/>
        <v>839</v>
      </c>
      <c r="Q88" s="259" t="str">
        <f t="shared" si="131"/>
        <v>-</v>
      </c>
      <c r="R88" s="259" t="str">
        <f t="shared" si="131"/>
        <v>-</v>
      </c>
      <c r="S88" s="259">
        <f t="shared" si="134"/>
        <v>2031</v>
      </c>
      <c r="T88" s="259">
        <f t="shared" si="132"/>
        <v>1666</v>
      </c>
      <c r="U88" s="259">
        <f t="shared" si="132"/>
        <v>1300</v>
      </c>
      <c r="V88" s="259">
        <f t="shared" si="132"/>
        <v>935</v>
      </c>
      <c r="W88" s="259">
        <f t="shared" si="132"/>
        <v>570</v>
      </c>
      <c r="X88" s="259">
        <f t="shared" si="132"/>
        <v>205</v>
      </c>
      <c r="Y88" s="259">
        <f t="shared" si="132"/>
        <v>-161</v>
      </c>
      <c r="Z88" s="259">
        <f t="shared" si="132"/>
        <v>-526</v>
      </c>
      <c r="AA88" s="267">
        <f>(VLOOKUP(A88,Hshldprojections2014!$A$2:$AW$319,40, FALSE)-VLOOKUP(A88,Hshldprojections2014!$A$2:$AW$319,30, FALSE))/10</f>
        <v>770.3</v>
      </c>
      <c r="AB88" s="267">
        <f>(VLOOKUP(A88,Hshldprojections2014!$A$2:$AW$319,41, FALSE)-VLOOKUP(A88,Hshldprojections2014!$A$2:$AW$319,31, FALSE))/10</f>
        <v>755.9</v>
      </c>
      <c r="AC88" s="267">
        <f>(VLOOKUP(A88,Hshldprojections2014!$A$2:$AW$319,42, FALSE)-VLOOKUP(A88,Hshldprojections2014!$A$2:$AW$319,32, FALSE))/10</f>
        <v>747.5</v>
      </c>
      <c r="AD88" s="267">
        <f>IF(IndividualLATest!$J$7=2014,(VLOOKUP($A88,Hshldprojections2014!$A$2:$AY$326,43,FALSE)-VLOOKUP($A88,Hshldprojections2014!$A$2:$AY$326,33,FALSE))/10,IF(IndividualLATest!$J$7=2016,(VLOOKUP($A88,Hshldprojections2016!$A$1:$AQ$322,33,FALSE)-VLOOKUP($A88,Hshldprojections2016!$A$1:$AQ$322,23,FALSE))/10,(VLOOKUP($A88,Hshldprojections2018!$A$1:$AQ$327,33,FALSE)-VLOOKUP($A88,Hshldprojections2018!$A$1:$AQ$327,23,FALSE))/10))</f>
        <v>455.8</v>
      </c>
      <c r="AE88" s="267">
        <f>IF(IndividualLATest!$J$7=2014,(VLOOKUP($A88,Hshldprojections2014!$A$2:$AY$326,44,FALSE)-VLOOKUP($A88,Hshldprojections2014!$A$2:$AY$326,34,FALSE))/10,IF(IndividualLATest!$J$7=2016,(VLOOKUP($A88,Hshldprojections2016!$A$1:$AQ$322,34,FALSE)-VLOOKUP($A88,Hshldprojections2016!$A$1:$AQ$322,24,FALSE))/10,(VLOOKUP($A88,Hshldprojections2018!$A$1:$AQ$327,34,FALSE)-VLOOKUP($A88,Hshldprojections2018!$A$1:$AQ$327,24,FALSE))/10))</f>
        <v>442.3</v>
      </c>
      <c r="AF88" s="267">
        <f>IF(IndividualLATest!$J$7=2014,(VLOOKUP($A88,Hshldprojections2014!$A$2:$AY$326,45,FALSE)-VLOOKUP($A88,Hshldprojections2014!$A$2:$AY$326,35,FALSE))/10,IF(IndividualLATest!$J$7=2016,(VLOOKUP($A88,Hshldprojections2016!$A$1:$AQ$322,35,FALSE)-VLOOKUP($A88,Hshldprojections2016!$A$1:$AQ$322,25,FALSE))/10,(VLOOKUP($A88,Hshldprojections2018!$A$1:$AQ$327,35,FALSE)-VLOOKUP($A88,Hshldprojections2018!$A$1:$AQ$327,25,FALSE))/10))</f>
        <v>430.1</v>
      </c>
      <c r="AG88" s="267">
        <f>IF(IndividualLATest!$J$7=2014,(VLOOKUP($A88,Hshldprojections2014!$A$2:$AY$326,46,FALSE)-VLOOKUP($A88,Hshldprojections2014!$A$2:$AY$326,36,FALSE))/10,IF(IndividualLATest!$J$7=2016,(VLOOKUP($A88,Hshldprojections2016!$A$1:$AQ$322,36,FALSE)-VLOOKUP($A88,Hshldprojections2016!$A$1:$AQ$322,26,FALSE))/10,(VLOOKUP($A88,Hshldprojections2018!$A$1:$AQ$327,36,FALSE)-VLOOKUP($A88,Hshldprojections2018!$A$1:$AQ$327,26,FALSE))/10))</f>
        <v>419.9</v>
      </c>
      <c r="AH88" s="267">
        <f>IF(IndividualLATest!$J$7=2014,(VLOOKUP($A88,Hshldprojections2014!$A$2:$AY$326,47,FALSE)-VLOOKUP($A88,Hshldprojections2014!$A$2:$AY$326,37,FALSE))/10,IF(IndividualLATest!$J$7=2016,(VLOOKUP($A88,Hshldprojections2016!$A$1:$AQ$322,37,FALSE)-VLOOKUP($A88,Hshldprojections2016!$A$1:$AQ$322,27,FALSE))/10,(VLOOKUP($A88,Hshldprojections2018!$A$1:$AQ$327,37,FALSE)-VLOOKUP($A88,Hshldprojections2018!$A$1:$AQ$327,27,FALSE))/10))</f>
        <v>414.1</v>
      </c>
      <c r="AI88" s="268">
        <f>VLOOKUP($A88,AffordabilityRatio!$A$2:$I$321,5,FALSE)</f>
        <v>12.99</v>
      </c>
      <c r="AJ88" s="268">
        <f>VLOOKUP($A88,AffordabilityRatio!$A$2:$I$321,6,FALSE)</f>
        <v>12.4</v>
      </c>
      <c r="AK88" s="268">
        <f>VLOOKUP($A88,AffordabilityRatio!$A$2:$I$321,7,FALSE)</f>
        <v>12.49</v>
      </c>
      <c r="AL88" s="268">
        <f>IF((VLOOKUP($A88,AffordabilityRatio!$A$2:$I$321,8,FALSE))="",AK88,VLOOKUP($A88,AffordabilityRatio!$A$2:$I$321,8,FALSE))</f>
        <v>12.67</v>
      </c>
      <c r="AM88" s="268">
        <f>IF((VLOOKUP($A88,AffordabilityRatio!$A$2:$I$321,9,FALSE))="",AL88,VLOOKUP($A88,AffordabilityRatio!$A$2:$I$321,9,FALSE))</f>
        <v>12.62</v>
      </c>
      <c r="AN88" s="268">
        <f>IF((VLOOKUP($A88,AffordabilityRatio!$A$2:$I$321,9,FALSE))="",AM88,VLOOKUP($A88,AffordabilityRatio!$A$2:$I$321,9,FALSE))</f>
        <v>12.62</v>
      </c>
      <c r="AO88" s="268">
        <f>IF((VLOOKUP($A88,AffordabilityRatio!$A$2:$I$321,9,FALSE))="",AN88,VLOOKUP($A88,AffordabilityRatio!$A$2:$I$321,9,FALSE))</f>
        <v>12.62</v>
      </c>
      <c r="AP88" s="268">
        <f>IF((VLOOKUP($A88,AffordabilityRatio!$A$2:$I$321,9,FALSE))="",AO88,VLOOKUP($A88,AffordabilityRatio!$A$2:$I$321,9,FALSE))</f>
        <v>12.62</v>
      </c>
      <c r="AQ88" s="267">
        <f t="shared" si="86"/>
        <v>1203</v>
      </c>
      <c r="AR88" s="267">
        <f t="shared" si="87"/>
        <v>1153</v>
      </c>
      <c r="AS88" s="267">
        <f t="shared" si="88"/>
        <v>1144</v>
      </c>
      <c r="AT88" s="267">
        <f t="shared" si="89"/>
        <v>703</v>
      </c>
      <c r="AU88" s="267">
        <f t="shared" si="90"/>
        <v>681</v>
      </c>
      <c r="AV88" s="267">
        <f t="shared" si="91"/>
        <v>662</v>
      </c>
      <c r="AW88" s="267">
        <f t="shared" si="92"/>
        <v>646</v>
      </c>
      <c r="AX88" s="267">
        <f t="shared" si="93"/>
        <v>637</v>
      </c>
      <c r="AY88" s="267">
        <f t="shared" si="94"/>
        <v>1174.5999999999999</v>
      </c>
      <c r="AZ88" s="267">
        <f t="shared" si="95"/>
        <v>1153</v>
      </c>
      <c r="BA88" s="267">
        <f t="shared" si="96"/>
        <v>1144</v>
      </c>
      <c r="BB88" s="267">
        <f t="shared" si="97"/>
        <v>703</v>
      </c>
      <c r="BC88" s="267">
        <f t="shared" si="98"/>
        <v>681</v>
      </c>
      <c r="BD88" s="267">
        <f t="shared" si="99"/>
        <v>662</v>
      </c>
      <c r="BE88" s="267">
        <f t="shared" si="100"/>
        <v>646</v>
      </c>
      <c r="BF88" s="267">
        <f t="shared" si="101"/>
        <v>637</v>
      </c>
      <c r="BG88" s="269">
        <f>AY88*VLOOKUP($B88,'Major Cities &amp; Towns'!$A$28:$B$345,2,FALSE)</f>
        <v>1174.5999999999999</v>
      </c>
      <c r="BH88" s="269">
        <f>AZ88*VLOOKUP($B88,'Major Cities &amp; Towns'!$A$28:$B$345,2,FALSE)</f>
        <v>1153</v>
      </c>
      <c r="BI88" s="269">
        <f>BA88*VLOOKUP($B88,'Major Cities &amp; Towns'!$A$28:$B$345,2,FALSE)</f>
        <v>1144</v>
      </c>
      <c r="BJ88" s="269">
        <f>BB88*VLOOKUP($B88,'Major Cities &amp; Towns'!$A$28:$B$345,2,FALSE)</f>
        <v>703</v>
      </c>
      <c r="BK88" s="269">
        <f>BC88*VLOOKUP($B88,'Major Cities &amp; Towns'!$A$28:$B$345,2,FALSE)</f>
        <v>681</v>
      </c>
      <c r="BL88" s="269">
        <f>BD88*VLOOKUP($B88,'Major Cities &amp; Towns'!$A$28:$B$345,2,FALSE)</f>
        <v>662</v>
      </c>
      <c r="BM88" s="269">
        <f>BE88*VLOOKUP($B88,'Major Cities &amp; Towns'!$A$28:$B$345,2,FALSE)</f>
        <v>646</v>
      </c>
      <c r="BN88" s="269">
        <f>BF88*VLOOKUP($B88,'Major Cities &amp; Towns'!$A$28:$B$345,2,FALSE)</f>
        <v>637</v>
      </c>
      <c r="BO88" s="270">
        <f t="shared" si="102"/>
        <v>839</v>
      </c>
      <c r="BP88" s="270">
        <f t="shared" si="103"/>
        <v>839</v>
      </c>
      <c r="BQ88" s="270">
        <f t="shared" si="104"/>
        <v>839</v>
      </c>
      <c r="BR88" s="270">
        <f t="shared" si="105"/>
        <v>703</v>
      </c>
      <c r="BS88" s="270">
        <f t="shared" si="106"/>
        <v>681</v>
      </c>
      <c r="BT88" s="270">
        <f t="shared" si="107"/>
        <v>662</v>
      </c>
      <c r="BU88" s="270">
        <f t="shared" si="108"/>
        <v>646</v>
      </c>
      <c r="BV88" s="270">
        <f t="shared" si="109"/>
        <v>637</v>
      </c>
      <c r="BW88" s="39">
        <f>VLOOKUP($A88,NetAdditions!$A$2:$H$336,6,FALSE)</f>
        <v>917</v>
      </c>
      <c r="BX88" s="39">
        <f>VLOOKUP($A88,NetAdditions!$A$2:$H$336,7,FALSE)</f>
        <v>955</v>
      </c>
      <c r="BY88" s="39">
        <f>IF((VLOOKUP($C88,NetAdditions!$A$2:$H$336,8,FALSE))="",(AVERAGE(VLOOKUP($C88,NetAdditions!$A$2:$H$336,5,FALSE),VLOOKUP($C88,NetAdditions!$A$2:$H$336,6,FALSE),VLOOKUP($C88,NetAdditions!$A$2:$H$336,7,FALSE))),VLOOKUP($C88,NetAdditions!$A$2:$H$336,8,FALSE))</f>
        <v>805</v>
      </c>
      <c r="BZ88" s="39">
        <f t="shared" si="110"/>
        <v>892.33333333333337</v>
      </c>
      <c r="CA88" s="39">
        <f t="shared" si="111"/>
        <v>884.1111111111112</v>
      </c>
      <c r="CB88" s="39">
        <f t="shared" si="112"/>
        <v>860.48148148148164</v>
      </c>
      <c r="CC88" s="39">
        <f t="shared" si="113"/>
        <v>878.9753086419754</v>
      </c>
      <c r="CD88" s="39">
        <f t="shared" si="114"/>
        <v>874.52263374485608</v>
      </c>
      <c r="CE88" s="276">
        <f t="shared" si="71"/>
        <v>2517</v>
      </c>
      <c r="CF88" s="276">
        <f t="shared" si="72"/>
        <v>2381</v>
      </c>
      <c r="CG88" s="276">
        <f t="shared" si="73"/>
        <v>2223</v>
      </c>
      <c r="CH88" s="276">
        <f t="shared" si="74"/>
        <v>2046</v>
      </c>
      <c r="CI88" s="276">
        <f t="shared" si="75"/>
        <v>1989</v>
      </c>
      <c r="CJ88" s="276">
        <f t="shared" si="76"/>
        <v>1945</v>
      </c>
      <c r="CK88" s="276">
        <f t="shared" si="115"/>
        <v>2167.416666666667</v>
      </c>
      <c r="CL88" s="276">
        <f t="shared" si="116"/>
        <v>2050.3055555555557</v>
      </c>
      <c r="CM88" s="276">
        <f t="shared" si="117"/>
        <v>2037.75</v>
      </c>
      <c r="CN88" s="276">
        <f t="shared" si="118"/>
        <v>2046</v>
      </c>
      <c r="CO88" s="276">
        <f t="shared" si="119"/>
        <v>1989</v>
      </c>
      <c r="CP88" s="276">
        <f t="shared" si="120"/>
        <v>1945</v>
      </c>
      <c r="CQ88" s="39">
        <f t="shared" si="77"/>
        <v>2677</v>
      </c>
      <c r="CR88" s="39">
        <f t="shared" si="78"/>
        <v>2652.3333333333335</v>
      </c>
      <c r="CS88" s="277">
        <f t="shared" si="79"/>
        <v>2581.4444444444448</v>
      </c>
      <c r="CT88" s="39">
        <f t="shared" si="80"/>
        <v>2636.9259259259261</v>
      </c>
      <c r="CU88" s="39">
        <f t="shared" si="81"/>
        <v>2623.5679012345681</v>
      </c>
      <c r="CV88" s="39">
        <f t="shared" si="121"/>
        <v>2613.979423868313</v>
      </c>
      <c r="CW88" s="297">
        <f t="shared" si="82"/>
        <v>1.2351109231419892</v>
      </c>
      <c r="CX88" s="279" t="str">
        <f t="shared" si="122"/>
        <v>Pass</v>
      </c>
      <c r="CY88" s="278">
        <f t="shared" si="83"/>
        <v>1.2936283209819675</v>
      </c>
      <c r="CZ88" s="279" t="str">
        <f t="shared" si="123"/>
        <v>Pass</v>
      </c>
      <c r="DA88" s="278">
        <f t="shared" si="84"/>
        <v>1.2668111615480038</v>
      </c>
      <c r="DB88" s="292" t="str">
        <f t="shared" si="124"/>
        <v>Pass</v>
      </c>
      <c r="DC88" s="299">
        <f t="shared" si="125"/>
        <v>1.2888201006480577</v>
      </c>
      <c r="DD88" s="293" t="str">
        <f t="shared" si="126"/>
        <v>Pass</v>
      </c>
      <c r="DE88" s="299">
        <f t="shared" si="127"/>
        <v>1.3190386632652429</v>
      </c>
      <c r="DF88" s="293" t="str">
        <f t="shared" si="128"/>
        <v>Pass</v>
      </c>
      <c r="DG88" s="299">
        <f t="shared" si="129"/>
        <v>1.3439482899065878</v>
      </c>
      <c r="DH88" s="293" t="str">
        <f t="shared" si="130"/>
        <v>Pass</v>
      </c>
    </row>
    <row r="89" spans="1:112" ht="15" thickTop="1" thickBot="1">
      <c r="A89" s="38" t="s">
        <v>288</v>
      </c>
      <c r="B89" s="38" t="s">
        <v>289</v>
      </c>
      <c r="C89" s="38" t="s">
        <v>288</v>
      </c>
      <c r="D89" s="38" t="s">
        <v>119</v>
      </c>
      <c r="E89" s="38" t="str">
        <f>VLOOKUP(C89,PoliticalControl!A:K,11,FALSE)</f>
        <v>CON</v>
      </c>
      <c r="F89" s="38" t="str">
        <f>VLOOKUP(C89,UrbanRuralClassification!A:N,13,FALSE)</f>
        <v xml:space="preserve">Mainly Rural (rural including hub towns &gt;=80%) </v>
      </c>
      <c r="G89" s="38" t="str">
        <f>VLOOKUP(C89,UrbanRuralClassification!A:N,14,FALSE)</f>
        <v>Predominantly Rural</v>
      </c>
      <c r="H89" s="258">
        <f>IF(ISBLANK((VLOOKUP($A89,'local-plan-data'!$C$1:$AD$566,27,FALSE)))=TRUE,"",VLOOKUP($A89,'local-plan-data'!$C$1:$AD$566,27,FALSE))</f>
        <v>43299</v>
      </c>
      <c r="I89" s="259">
        <f>VLOOKUP($A89,'local-plan-data'!$C$1:$AD$566,28,FALSE)</f>
        <v>558.5</v>
      </c>
      <c r="J89" s="260">
        <f t="shared" si="85"/>
        <v>558.5</v>
      </c>
      <c r="K89" s="259">
        <f t="shared" si="133"/>
        <v>558.5</v>
      </c>
      <c r="L89" s="259">
        <f t="shared" si="131"/>
        <v>558.5</v>
      </c>
      <c r="M89" s="259">
        <f t="shared" si="131"/>
        <v>558.5</v>
      </c>
      <c r="N89" s="259">
        <f t="shared" si="131"/>
        <v>558.5</v>
      </c>
      <c r="O89" s="259">
        <f t="shared" si="131"/>
        <v>558.5</v>
      </c>
      <c r="P89" s="259">
        <f t="shared" si="131"/>
        <v>558.5</v>
      </c>
      <c r="Q89" s="259" t="str">
        <f t="shared" si="131"/>
        <v>-</v>
      </c>
      <c r="R89" s="259" t="str">
        <f t="shared" si="131"/>
        <v>-</v>
      </c>
      <c r="S89" s="259">
        <f t="shared" si="134"/>
        <v>1934</v>
      </c>
      <c r="T89" s="259">
        <f t="shared" si="132"/>
        <v>1569</v>
      </c>
      <c r="U89" s="259">
        <f t="shared" si="132"/>
        <v>1203</v>
      </c>
      <c r="V89" s="259">
        <f t="shared" si="132"/>
        <v>838</v>
      </c>
      <c r="W89" s="259">
        <f t="shared" si="132"/>
        <v>473</v>
      </c>
      <c r="X89" s="259">
        <f t="shared" si="132"/>
        <v>108</v>
      </c>
      <c r="Y89" s="259">
        <f t="shared" si="132"/>
        <v>-258</v>
      </c>
      <c r="Z89" s="259">
        <f t="shared" si="132"/>
        <v>-623</v>
      </c>
      <c r="AA89" s="267">
        <f>(VLOOKUP(A89,Hshldprojections2014!$A$2:$AW$319,40, FALSE)-VLOOKUP(A89,Hshldprojections2014!$A$2:$AW$319,30, FALSE))/10</f>
        <v>357.7</v>
      </c>
      <c r="AB89" s="267">
        <f>(VLOOKUP(A89,Hshldprojections2014!$A$2:$AW$319,41, FALSE)-VLOOKUP(A89,Hshldprojections2014!$A$2:$AW$319,31, FALSE))/10</f>
        <v>359.6</v>
      </c>
      <c r="AC89" s="267">
        <f>(VLOOKUP(A89,Hshldprojections2014!$A$2:$AW$319,42, FALSE)-VLOOKUP(A89,Hshldprojections2014!$A$2:$AW$319,32, FALSE))/10</f>
        <v>364</v>
      </c>
      <c r="AD89" s="267">
        <f>IF(IndividualLATest!$J$7=2014,(VLOOKUP($A89,Hshldprojections2014!$A$2:$AY$326,43,FALSE)-VLOOKUP($A89,Hshldprojections2014!$A$2:$AY$326,33,FALSE))/10,IF(IndividualLATest!$J$7=2016,(VLOOKUP($A89,Hshldprojections2016!$A$1:$AQ$322,33,FALSE)-VLOOKUP($A89,Hshldprojections2016!$A$1:$AQ$322,23,FALSE))/10,(VLOOKUP($A89,Hshldprojections2018!$A$1:$AQ$327,33,FALSE)-VLOOKUP($A89,Hshldprojections2018!$A$1:$AQ$327,23,FALSE))/10))</f>
        <v>621.29999999999995</v>
      </c>
      <c r="AE89" s="267">
        <f>IF(IndividualLATest!$J$7=2014,(VLOOKUP($A89,Hshldprojections2014!$A$2:$AY$326,44,FALSE)-VLOOKUP($A89,Hshldprojections2014!$A$2:$AY$326,34,FALSE))/10,IF(IndividualLATest!$J$7=2016,(VLOOKUP($A89,Hshldprojections2016!$A$1:$AQ$322,34,FALSE)-VLOOKUP($A89,Hshldprojections2016!$A$1:$AQ$322,24,FALSE))/10,(VLOOKUP($A89,Hshldprojections2018!$A$1:$AQ$327,34,FALSE)-VLOOKUP($A89,Hshldprojections2018!$A$1:$AQ$327,24,FALSE))/10))</f>
        <v>608.6</v>
      </c>
      <c r="AF89" s="267">
        <f>IF(IndividualLATest!$J$7=2014,(VLOOKUP($A89,Hshldprojections2014!$A$2:$AY$326,45,FALSE)-VLOOKUP($A89,Hshldprojections2014!$A$2:$AY$326,35,FALSE))/10,IF(IndividualLATest!$J$7=2016,(VLOOKUP($A89,Hshldprojections2016!$A$1:$AQ$322,35,FALSE)-VLOOKUP($A89,Hshldprojections2016!$A$1:$AQ$322,25,FALSE))/10,(VLOOKUP($A89,Hshldprojections2018!$A$1:$AQ$327,35,FALSE)-VLOOKUP($A89,Hshldprojections2018!$A$1:$AQ$327,25,FALSE))/10))</f>
        <v>598.4</v>
      </c>
      <c r="AG89" s="267">
        <f>IF(IndividualLATest!$J$7=2014,(VLOOKUP($A89,Hshldprojections2014!$A$2:$AY$326,46,FALSE)-VLOOKUP($A89,Hshldprojections2014!$A$2:$AY$326,36,FALSE))/10,IF(IndividualLATest!$J$7=2016,(VLOOKUP($A89,Hshldprojections2016!$A$1:$AQ$322,36,FALSE)-VLOOKUP($A89,Hshldprojections2016!$A$1:$AQ$322,26,FALSE))/10,(VLOOKUP($A89,Hshldprojections2018!$A$1:$AQ$327,36,FALSE)-VLOOKUP($A89,Hshldprojections2018!$A$1:$AQ$327,26,FALSE))/10))</f>
        <v>587.70000000000005</v>
      </c>
      <c r="AH89" s="267">
        <f>IF(IndividualLATest!$J$7=2014,(VLOOKUP($A89,Hshldprojections2014!$A$2:$AY$326,47,FALSE)-VLOOKUP($A89,Hshldprojections2014!$A$2:$AY$326,37,FALSE))/10,IF(IndividualLATest!$J$7=2016,(VLOOKUP($A89,Hshldprojections2016!$A$1:$AQ$322,37,FALSE)-VLOOKUP($A89,Hshldprojections2016!$A$1:$AQ$322,27,FALSE))/10,(VLOOKUP($A89,Hshldprojections2018!$A$1:$AQ$327,37,FALSE)-VLOOKUP($A89,Hshldprojections2018!$A$1:$AQ$327,27,FALSE))/10))</f>
        <v>582.5</v>
      </c>
      <c r="AI89" s="268">
        <f>VLOOKUP($A89,AffordabilityRatio!$A$2:$I$321,5,FALSE)</f>
        <v>6.46</v>
      </c>
      <c r="AJ89" s="268">
        <f>VLOOKUP($A89,AffordabilityRatio!$A$2:$I$321,6,FALSE)</f>
        <v>6.48</v>
      </c>
      <c r="AK89" s="268">
        <f>VLOOKUP($A89,AffordabilityRatio!$A$2:$I$321,7,FALSE)</f>
        <v>6.64</v>
      </c>
      <c r="AL89" s="268">
        <f>IF((VLOOKUP($A89,AffordabilityRatio!$A$2:$I$321,8,FALSE))="",AK89,VLOOKUP($A89,AffordabilityRatio!$A$2:$I$321,8,FALSE))</f>
        <v>6.64</v>
      </c>
      <c r="AM89" s="268">
        <f>IF((VLOOKUP($A89,AffordabilityRatio!$A$2:$I$321,9,FALSE))="",AL89,VLOOKUP($A89,AffordabilityRatio!$A$2:$I$321,9,FALSE))</f>
        <v>7.53</v>
      </c>
      <c r="AN89" s="268">
        <f>IF((VLOOKUP($A89,AffordabilityRatio!$A$2:$I$321,9,FALSE))="",AM89,VLOOKUP($A89,AffordabilityRatio!$A$2:$I$321,9,FALSE))</f>
        <v>7.53</v>
      </c>
      <c r="AO89" s="268">
        <f>IF((VLOOKUP($A89,AffordabilityRatio!$A$2:$I$321,9,FALSE))="",AN89,VLOOKUP($A89,AffordabilityRatio!$A$2:$I$321,9,FALSE))</f>
        <v>7.53</v>
      </c>
      <c r="AP89" s="268">
        <f>IF((VLOOKUP($A89,AffordabilityRatio!$A$2:$I$321,9,FALSE))="",AO89,VLOOKUP($A89,AffordabilityRatio!$A$2:$I$321,9,FALSE))</f>
        <v>7.53</v>
      </c>
      <c r="AQ89" s="267">
        <f t="shared" si="86"/>
        <v>413</v>
      </c>
      <c r="AR89" s="267">
        <f t="shared" si="87"/>
        <v>415</v>
      </c>
      <c r="AS89" s="267">
        <f t="shared" si="88"/>
        <v>424</v>
      </c>
      <c r="AT89" s="267">
        <f t="shared" si="89"/>
        <v>724</v>
      </c>
      <c r="AU89" s="267">
        <f t="shared" si="90"/>
        <v>743</v>
      </c>
      <c r="AV89" s="267">
        <f t="shared" si="91"/>
        <v>730</v>
      </c>
      <c r="AW89" s="267">
        <f t="shared" si="92"/>
        <v>717</v>
      </c>
      <c r="AX89" s="267">
        <f t="shared" si="93"/>
        <v>711</v>
      </c>
      <c r="AY89" s="267">
        <f t="shared" si="94"/>
        <v>413</v>
      </c>
      <c r="AZ89" s="267">
        <f t="shared" si="95"/>
        <v>415</v>
      </c>
      <c r="BA89" s="267">
        <f t="shared" si="96"/>
        <v>424</v>
      </c>
      <c r="BB89" s="267">
        <f t="shared" si="97"/>
        <v>724</v>
      </c>
      <c r="BC89" s="267">
        <f t="shared" si="98"/>
        <v>743</v>
      </c>
      <c r="BD89" s="267">
        <f t="shared" si="99"/>
        <v>730</v>
      </c>
      <c r="BE89" s="267">
        <f t="shared" si="100"/>
        <v>717</v>
      </c>
      <c r="BF89" s="267">
        <f t="shared" si="101"/>
        <v>711</v>
      </c>
      <c r="BG89" s="269">
        <f>AY89*VLOOKUP($B89,'Major Cities &amp; Towns'!$A$28:$B$345,2,FALSE)</f>
        <v>413</v>
      </c>
      <c r="BH89" s="269">
        <f>AZ89*VLOOKUP($B89,'Major Cities &amp; Towns'!$A$28:$B$345,2,FALSE)</f>
        <v>415</v>
      </c>
      <c r="BI89" s="269">
        <f>BA89*VLOOKUP($B89,'Major Cities &amp; Towns'!$A$28:$B$345,2,FALSE)</f>
        <v>424</v>
      </c>
      <c r="BJ89" s="269">
        <f>BB89*VLOOKUP($B89,'Major Cities &amp; Towns'!$A$28:$B$345,2,FALSE)</f>
        <v>724</v>
      </c>
      <c r="BK89" s="269">
        <f>BC89*VLOOKUP($B89,'Major Cities &amp; Towns'!$A$28:$B$345,2,FALSE)</f>
        <v>743</v>
      </c>
      <c r="BL89" s="269">
        <f>BD89*VLOOKUP($B89,'Major Cities &amp; Towns'!$A$28:$B$345,2,FALSE)</f>
        <v>730</v>
      </c>
      <c r="BM89" s="269">
        <f>BE89*VLOOKUP($B89,'Major Cities &amp; Towns'!$A$28:$B$345,2,FALSE)</f>
        <v>717</v>
      </c>
      <c r="BN89" s="269">
        <f>BF89*VLOOKUP($B89,'Major Cities &amp; Towns'!$A$28:$B$345,2,FALSE)</f>
        <v>711</v>
      </c>
      <c r="BO89" s="270">
        <f t="shared" si="102"/>
        <v>413</v>
      </c>
      <c r="BP89" s="270">
        <f t="shared" si="103"/>
        <v>415</v>
      </c>
      <c r="BQ89" s="270">
        <f t="shared" si="104"/>
        <v>424</v>
      </c>
      <c r="BR89" s="270">
        <f t="shared" si="105"/>
        <v>558.5</v>
      </c>
      <c r="BS89" s="270">
        <f t="shared" si="106"/>
        <v>558.5</v>
      </c>
      <c r="BT89" s="270">
        <f t="shared" si="107"/>
        <v>679.25479452054799</v>
      </c>
      <c r="BU89" s="270">
        <f t="shared" si="108"/>
        <v>717</v>
      </c>
      <c r="BV89" s="270">
        <f t="shared" si="109"/>
        <v>711</v>
      </c>
      <c r="BW89" s="39">
        <f>VLOOKUP($A89,NetAdditions!$A$2:$H$336,6,FALSE)</f>
        <v>481</v>
      </c>
      <c r="BX89" s="39">
        <f>VLOOKUP($A89,NetAdditions!$A$2:$H$336,7,FALSE)</f>
        <v>532</v>
      </c>
      <c r="BY89" s="39">
        <f>IF((VLOOKUP($C89,NetAdditions!$A$2:$H$336,8,FALSE))="",(AVERAGE(VLOOKUP($C89,NetAdditions!$A$2:$H$336,5,FALSE),VLOOKUP($C89,NetAdditions!$A$2:$H$336,6,FALSE),VLOOKUP($C89,NetAdditions!$A$2:$H$336,7,FALSE))),VLOOKUP($C89,NetAdditions!$A$2:$H$336,8,FALSE))</f>
        <v>454</v>
      </c>
      <c r="BZ89" s="39">
        <f t="shared" si="110"/>
        <v>489</v>
      </c>
      <c r="CA89" s="39">
        <f t="shared" si="111"/>
        <v>491.66666666666669</v>
      </c>
      <c r="CB89" s="39">
        <f t="shared" si="112"/>
        <v>478.22222222222223</v>
      </c>
      <c r="CC89" s="39">
        <f t="shared" si="113"/>
        <v>486.2962962962963</v>
      </c>
      <c r="CD89" s="39">
        <f t="shared" si="114"/>
        <v>485.39506172839509</v>
      </c>
      <c r="CE89" s="276">
        <f t="shared" si="71"/>
        <v>1252</v>
      </c>
      <c r="CF89" s="276">
        <f t="shared" si="72"/>
        <v>1397.5</v>
      </c>
      <c r="CG89" s="276">
        <f t="shared" si="73"/>
        <v>1541</v>
      </c>
      <c r="CH89" s="276">
        <f t="shared" si="74"/>
        <v>1796.2547945205479</v>
      </c>
      <c r="CI89" s="276">
        <f t="shared" si="75"/>
        <v>1954.7547945205479</v>
      </c>
      <c r="CJ89" s="276">
        <f t="shared" si="76"/>
        <v>2107.2547945205479</v>
      </c>
      <c r="CK89" s="276">
        <f t="shared" si="115"/>
        <v>1078.1111111111111</v>
      </c>
      <c r="CL89" s="276">
        <f t="shared" si="116"/>
        <v>1203.4027777777778</v>
      </c>
      <c r="CM89" s="276">
        <f t="shared" si="117"/>
        <v>1412.5833333333333</v>
      </c>
      <c r="CN89" s="276">
        <f t="shared" si="118"/>
        <v>1796.2547945205479</v>
      </c>
      <c r="CO89" s="276">
        <f t="shared" si="119"/>
        <v>1954.7547945205479</v>
      </c>
      <c r="CP89" s="276">
        <f t="shared" si="120"/>
        <v>2107.2547945205479</v>
      </c>
      <c r="CQ89" s="39">
        <f t="shared" si="77"/>
        <v>1467</v>
      </c>
      <c r="CR89" s="39">
        <f t="shared" si="78"/>
        <v>1475</v>
      </c>
      <c r="CS89" s="277">
        <f t="shared" si="79"/>
        <v>1434.6666666666667</v>
      </c>
      <c r="CT89" s="39">
        <f t="shared" si="80"/>
        <v>1458.8888888888889</v>
      </c>
      <c r="CU89" s="39">
        <f t="shared" si="81"/>
        <v>1456.1851851851852</v>
      </c>
      <c r="CV89" s="39">
        <f t="shared" si="121"/>
        <v>1449.9135802469136</v>
      </c>
      <c r="CW89" s="297">
        <f t="shared" si="82"/>
        <v>1.3607131814902609</v>
      </c>
      <c r="CX89" s="279" t="str">
        <f t="shared" si="122"/>
        <v>Pass</v>
      </c>
      <c r="CY89" s="278">
        <f t="shared" si="83"/>
        <v>1.2256910381441515</v>
      </c>
      <c r="CZ89" s="279" t="str">
        <f t="shared" si="123"/>
        <v>Pass</v>
      </c>
      <c r="DA89" s="278">
        <f t="shared" si="84"/>
        <v>1.0156332959707393</v>
      </c>
      <c r="DB89" s="292" t="str">
        <f t="shared" si="124"/>
        <v>Pass</v>
      </c>
      <c r="DC89" s="299">
        <f t="shared" si="125"/>
        <v>0.81218371321218497</v>
      </c>
      <c r="DD89" s="293" t="str">
        <f t="shared" si="126"/>
        <v>Buffer and Action Plan</v>
      </c>
      <c r="DE89" s="299">
        <f t="shared" si="127"/>
        <v>0.74494519172792251</v>
      </c>
      <c r="DF89" s="293" t="str">
        <f t="shared" si="128"/>
        <v>Presumption</v>
      </c>
      <c r="DG89" s="299">
        <f t="shared" si="129"/>
        <v>0.68805802887106704</v>
      </c>
      <c r="DH89" s="293" t="str">
        <f t="shared" si="130"/>
        <v>Presumption</v>
      </c>
    </row>
    <row r="90" spans="1:112" ht="15" thickTop="1" thickBot="1">
      <c r="A90" s="38" t="s">
        <v>290</v>
      </c>
      <c r="B90" s="38" t="s">
        <v>291</v>
      </c>
      <c r="C90" s="38" t="s">
        <v>290</v>
      </c>
      <c r="D90" s="38" t="s">
        <v>119</v>
      </c>
      <c r="E90" s="38" t="str">
        <f>VLOOKUP(C90,PoliticalControl!A:K,11,FALSE)</f>
        <v>CON</v>
      </c>
      <c r="F90" s="38" t="str">
        <f>VLOOKUP(C90,UrbanRuralClassification!A:N,13,FALSE)</f>
        <v xml:space="preserve">Largely Rural (rural including hub towns 50-79%) </v>
      </c>
      <c r="G90" s="38" t="str">
        <f>VLOOKUP(C90,UrbanRuralClassification!A:N,14,FALSE)</f>
        <v>Predominantly Rural</v>
      </c>
      <c r="H90" s="258">
        <f>IF(ISBLANK((VLOOKUP($A90,'local-plan-data'!$C$1:$AD$566,27,FALSE)))=TRUE,"",VLOOKUP($A90,'local-plan-data'!$C$1:$AD$566,27,FALSE))</f>
        <v>42565</v>
      </c>
      <c r="I90" s="259">
        <f>VLOOKUP($A90,'local-plan-data'!$C$1:$AD$566,28,FALSE)</f>
        <v>420</v>
      </c>
      <c r="J90" s="260">
        <f t="shared" si="85"/>
        <v>420</v>
      </c>
      <c r="K90" s="259">
        <f t="shared" si="133"/>
        <v>420</v>
      </c>
      <c r="L90" s="259">
        <f t="shared" si="131"/>
        <v>420</v>
      </c>
      <c r="M90" s="259">
        <f t="shared" si="131"/>
        <v>420</v>
      </c>
      <c r="N90" s="259">
        <f t="shared" si="131"/>
        <v>420</v>
      </c>
      <c r="O90" s="259" t="str">
        <f t="shared" si="131"/>
        <v>-</v>
      </c>
      <c r="P90" s="259" t="str">
        <f t="shared" si="131"/>
        <v>-</v>
      </c>
      <c r="Q90" s="259" t="str">
        <f t="shared" si="131"/>
        <v>-</v>
      </c>
      <c r="R90" s="259" t="str">
        <f t="shared" si="131"/>
        <v>-</v>
      </c>
      <c r="S90" s="259">
        <f t="shared" si="134"/>
        <v>1200</v>
      </c>
      <c r="T90" s="259">
        <f t="shared" si="132"/>
        <v>835</v>
      </c>
      <c r="U90" s="259">
        <f t="shared" si="132"/>
        <v>469</v>
      </c>
      <c r="V90" s="259">
        <f t="shared" si="132"/>
        <v>104</v>
      </c>
      <c r="W90" s="259">
        <f t="shared" si="132"/>
        <v>-261</v>
      </c>
      <c r="X90" s="259">
        <f t="shared" si="132"/>
        <v>-626</v>
      </c>
      <c r="Y90" s="259">
        <f t="shared" si="132"/>
        <v>-992</v>
      </c>
      <c r="Z90" s="259">
        <f t="shared" si="132"/>
        <v>-1357</v>
      </c>
      <c r="AA90" s="267">
        <f>(VLOOKUP(A90,Hshldprojections2014!$A$2:$AW$319,40, FALSE)-VLOOKUP(A90,Hshldprojections2014!$A$2:$AW$319,30, FALSE))/10</f>
        <v>371</v>
      </c>
      <c r="AB90" s="267">
        <f>(VLOOKUP(A90,Hshldprojections2014!$A$2:$AW$319,41, FALSE)-VLOOKUP(A90,Hshldprojections2014!$A$2:$AW$319,31, FALSE))/10</f>
        <v>370</v>
      </c>
      <c r="AC90" s="267">
        <f>(VLOOKUP(A90,Hshldprojections2014!$A$2:$AW$319,42, FALSE)-VLOOKUP(A90,Hshldprojections2014!$A$2:$AW$319,32, FALSE))/10</f>
        <v>367.2</v>
      </c>
      <c r="AD90" s="267">
        <f>IF(IndividualLATest!$J$7=2014,(VLOOKUP($A90,Hshldprojections2014!$A$2:$AY$326,43,FALSE)-VLOOKUP($A90,Hshldprojections2014!$A$2:$AY$326,33,FALSE))/10,IF(IndividualLATest!$J$7=2016,(VLOOKUP($A90,Hshldprojections2016!$A$1:$AQ$322,33,FALSE)-VLOOKUP($A90,Hshldprojections2016!$A$1:$AQ$322,23,FALSE))/10,(VLOOKUP($A90,Hshldprojections2018!$A$1:$AQ$327,33,FALSE)-VLOOKUP($A90,Hshldprojections2018!$A$1:$AQ$327,23,FALSE))/10))</f>
        <v>510.3</v>
      </c>
      <c r="AE90" s="267">
        <f>IF(IndividualLATest!$J$7=2014,(VLOOKUP($A90,Hshldprojections2014!$A$2:$AY$326,44,FALSE)-VLOOKUP($A90,Hshldprojections2014!$A$2:$AY$326,34,FALSE))/10,IF(IndividualLATest!$J$7=2016,(VLOOKUP($A90,Hshldprojections2016!$A$1:$AQ$322,34,FALSE)-VLOOKUP($A90,Hshldprojections2016!$A$1:$AQ$322,24,FALSE))/10,(VLOOKUP($A90,Hshldprojections2018!$A$1:$AQ$327,34,FALSE)-VLOOKUP($A90,Hshldprojections2018!$A$1:$AQ$327,24,FALSE))/10))</f>
        <v>494.1</v>
      </c>
      <c r="AF90" s="267">
        <f>IF(IndividualLATest!$J$7=2014,(VLOOKUP($A90,Hshldprojections2014!$A$2:$AY$326,45,FALSE)-VLOOKUP($A90,Hshldprojections2014!$A$2:$AY$326,35,FALSE))/10,IF(IndividualLATest!$J$7=2016,(VLOOKUP($A90,Hshldprojections2016!$A$1:$AQ$322,35,FALSE)-VLOOKUP($A90,Hshldprojections2016!$A$1:$AQ$322,25,FALSE))/10,(VLOOKUP($A90,Hshldprojections2018!$A$1:$AQ$327,35,FALSE)-VLOOKUP($A90,Hshldprojections2018!$A$1:$AQ$327,25,FALSE))/10))</f>
        <v>477.7</v>
      </c>
      <c r="AG90" s="267">
        <f>IF(IndividualLATest!$J$7=2014,(VLOOKUP($A90,Hshldprojections2014!$A$2:$AY$326,46,FALSE)-VLOOKUP($A90,Hshldprojections2014!$A$2:$AY$326,36,FALSE))/10,IF(IndividualLATest!$J$7=2016,(VLOOKUP($A90,Hshldprojections2016!$A$1:$AQ$322,36,FALSE)-VLOOKUP($A90,Hshldprojections2016!$A$1:$AQ$322,26,FALSE))/10,(VLOOKUP($A90,Hshldprojections2018!$A$1:$AQ$327,36,FALSE)-VLOOKUP($A90,Hshldprojections2018!$A$1:$AQ$327,26,FALSE))/10))</f>
        <v>463</v>
      </c>
      <c r="AH90" s="267">
        <f>IF(IndividualLATest!$J$7=2014,(VLOOKUP($A90,Hshldprojections2014!$A$2:$AY$326,47,FALSE)-VLOOKUP($A90,Hshldprojections2014!$A$2:$AY$326,37,FALSE))/10,IF(IndividualLATest!$J$7=2016,(VLOOKUP($A90,Hshldprojections2016!$A$1:$AQ$322,37,FALSE)-VLOOKUP($A90,Hshldprojections2016!$A$1:$AQ$322,27,FALSE))/10,(VLOOKUP($A90,Hshldprojections2018!$A$1:$AQ$327,37,FALSE)-VLOOKUP($A90,Hshldprojections2018!$A$1:$AQ$327,27,FALSE))/10))</f>
        <v>451.5</v>
      </c>
      <c r="AI90" s="268">
        <f>VLOOKUP($A90,AffordabilityRatio!$A$2:$I$321,5,FALSE)</f>
        <v>8.2899999999999991</v>
      </c>
      <c r="AJ90" s="268">
        <f>VLOOKUP($A90,AffordabilityRatio!$A$2:$I$321,6,FALSE)</f>
        <v>8.59</v>
      </c>
      <c r="AK90" s="268">
        <f>VLOOKUP($A90,AffordabilityRatio!$A$2:$I$321,7,FALSE)</f>
        <v>8</v>
      </c>
      <c r="AL90" s="268">
        <f>IF((VLOOKUP($A90,AffordabilityRatio!$A$2:$I$321,8,FALSE))="",AK90,VLOOKUP($A90,AffordabilityRatio!$A$2:$I$321,8,FALSE))</f>
        <v>7.66</v>
      </c>
      <c r="AM90" s="268">
        <f>IF((VLOOKUP($A90,AffordabilityRatio!$A$2:$I$321,9,FALSE))="",AL90,VLOOKUP($A90,AffordabilityRatio!$A$2:$I$321,9,FALSE))</f>
        <v>7.66</v>
      </c>
      <c r="AN90" s="268">
        <f>IF((VLOOKUP($A90,AffordabilityRatio!$A$2:$I$321,9,FALSE))="",AM90,VLOOKUP($A90,AffordabilityRatio!$A$2:$I$321,9,FALSE))</f>
        <v>7.66</v>
      </c>
      <c r="AO90" s="268">
        <f>IF((VLOOKUP($A90,AffordabilityRatio!$A$2:$I$321,9,FALSE))="",AN90,VLOOKUP($A90,AffordabilityRatio!$A$2:$I$321,9,FALSE))</f>
        <v>7.66</v>
      </c>
      <c r="AP90" s="268">
        <f>IF((VLOOKUP($A90,AffordabilityRatio!$A$2:$I$321,9,FALSE))="",AO90,VLOOKUP($A90,AffordabilityRatio!$A$2:$I$321,9,FALSE))</f>
        <v>7.66</v>
      </c>
      <c r="AQ90" s="267">
        <f t="shared" si="86"/>
        <v>470</v>
      </c>
      <c r="AR90" s="267">
        <f t="shared" si="87"/>
        <v>476</v>
      </c>
      <c r="AS90" s="267">
        <f t="shared" si="88"/>
        <v>459</v>
      </c>
      <c r="AT90" s="267">
        <f t="shared" si="89"/>
        <v>627</v>
      </c>
      <c r="AU90" s="267">
        <f t="shared" si="90"/>
        <v>607</v>
      </c>
      <c r="AV90" s="267">
        <f t="shared" si="91"/>
        <v>587</v>
      </c>
      <c r="AW90" s="267">
        <f t="shared" si="92"/>
        <v>569</v>
      </c>
      <c r="AX90" s="267">
        <f t="shared" si="93"/>
        <v>555</v>
      </c>
      <c r="AY90" s="267">
        <f t="shared" si="94"/>
        <v>470</v>
      </c>
      <c r="AZ90" s="267">
        <f t="shared" si="95"/>
        <v>476</v>
      </c>
      <c r="BA90" s="267">
        <f t="shared" si="96"/>
        <v>459</v>
      </c>
      <c r="BB90" s="267">
        <f t="shared" si="97"/>
        <v>588</v>
      </c>
      <c r="BC90" s="267">
        <f t="shared" si="98"/>
        <v>607</v>
      </c>
      <c r="BD90" s="267">
        <f t="shared" si="99"/>
        <v>587</v>
      </c>
      <c r="BE90" s="267">
        <f t="shared" si="100"/>
        <v>569</v>
      </c>
      <c r="BF90" s="267">
        <f t="shared" si="101"/>
        <v>555</v>
      </c>
      <c r="BG90" s="269">
        <f>AY90*VLOOKUP($B90,'Major Cities &amp; Towns'!$A$28:$B$345,2,FALSE)</f>
        <v>470</v>
      </c>
      <c r="BH90" s="269">
        <f>AZ90*VLOOKUP($B90,'Major Cities &amp; Towns'!$A$28:$B$345,2,FALSE)</f>
        <v>476</v>
      </c>
      <c r="BI90" s="269">
        <f>BA90*VLOOKUP($B90,'Major Cities &amp; Towns'!$A$28:$B$345,2,FALSE)</f>
        <v>459</v>
      </c>
      <c r="BJ90" s="269">
        <f>BB90*VLOOKUP($B90,'Major Cities &amp; Towns'!$A$28:$B$345,2,FALSE)</f>
        <v>588</v>
      </c>
      <c r="BK90" s="269">
        <f>BC90*VLOOKUP($B90,'Major Cities &amp; Towns'!$A$28:$B$345,2,FALSE)</f>
        <v>607</v>
      </c>
      <c r="BL90" s="269">
        <f>BD90*VLOOKUP($B90,'Major Cities &amp; Towns'!$A$28:$B$345,2,FALSE)</f>
        <v>587</v>
      </c>
      <c r="BM90" s="269">
        <f>BE90*VLOOKUP($B90,'Major Cities &amp; Towns'!$A$28:$B$345,2,FALSE)</f>
        <v>569</v>
      </c>
      <c r="BN90" s="269">
        <f>BF90*VLOOKUP($B90,'Major Cities &amp; Towns'!$A$28:$B$345,2,FALSE)</f>
        <v>555</v>
      </c>
      <c r="BO90" s="270">
        <f t="shared" si="102"/>
        <v>420</v>
      </c>
      <c r="BP90" s="270">
        <f t="shared" si="103"/>
        <v>420</v>
      </c>
      <c r="BQ90" s="270">
        <f t="shared" si="104"/>
        <v>420</v>
      </c>
      <c r="BR90" s="270">
        <f t="shared" si="105"/>
        <v>568.01917808219173</v>
      </c>
      <c r="BS90" s="270">
        <f t="shared" si="106"/>
        <v>607</v>
      </c>
      <c r="BT90" s="270">
        <f t="shared" si="107"/>
        <v>587</v>
      </c>
      <c r="BU90" s="270">
        <f t="shared" si="108"/>
        <v>569</v>
      </c>
      <c r="BV90" s="270">
        <f t="shared" si="109"/>
        <v>555</v>
      </c>
      <c r="BW90" s="39">
        <f>VLOOKUP($A90,NetAdditions!$A$2:$H$336,6,FALSE)</f>
        <v>473</v>
      </c>
      <c r="BX90" s="39">
        <f>VLOOKUP($A90,NetAdditions!$A$2:$H$336,7,FALSE)</f>
        <v>223</v>
      </c>
      <c r="BY90" s="39">
        <f>IF((VLOOKUP($C90,NetAdditions!$A$2:$H$336,8,FALSE))="",(AVERAGE(VLOOKUP($C90,NetAdditions!$A$2:$H$336,5,FALSE),VLOOKUP($C90,NetAdditions!$A$2:$H$336,6,FALSE),VLOOKUP($C90,NetAdditions!$A$2:$H$336,7,FALSE))),VLOOKUP($C90,NetAdditions!$A$2:$H$336,8,FALSE))</f>
        <v>382.66666666666669</v>
      </c>
      <c r="BZ90" s="39">
        <f t="shared" si="110"/>
        <v>359.5555555555556</v>
      </c>
      <c r="CA90" s="39">
        <f t="shared" si="111"/>
        <v>321.74074074074082</v>
      </c>
      <c r="CB90" s="39">
        <f t="shared" si="112"/>
        <v>354.65432098765433</v>
      </c>
      <c r="CC90" s="39">
        <f t="shared" si="113"/>
        <v>345.31687242798358</v>
      </c>
      <c r="CD90" s="39">
        <f t="shared" si="114"/>
        <v>340.57064471879289</v>
      </c>
      <c r="CE90" s="276">
        <f t="shared" si="71"/>
        <v>1260</v>
      </c>
      <c r="CF90" s="276">
        <f t="shared" si="72"/>
        <v>1408.0191780821917</v>
      </c>
      <c r="CG90" s="276">
        <f t="shared" si="73"/>
        <v>1595.0191780821917</v>
      </c>
      <c r="CH90" s="276">
        <f t="shared" si="74"/>
        <v>1762.0191780821917</v>
      </c>
      <c r="CI90" s="276">
        <f t="shared" si="75"/>
        <v>1763</v>
      </c>
      <c r="CJ90" s="276">
        <f t="shared" si="76"/>
        <v>1711</v>
      </c>
      <c r="CK90" s="276">
        <f t="shared" si="115"/>
        <v>1085</v>
      </c>
      <c r="CL90" s="276">
        <f t="shared" si="116"/>
        <v>1212.4609589041097</v>
      </c>
      <c r="CM90" s="276">
        <f t="shared" si="117"/>
        <v>1462.100913242009</v>
      </c>
      <c r="CN90" s="276">
        <f t="shared" si="118"/>
        <v>1762.0191780821917</v>
      </c>
      <c r="CO90" s="276">
        <f t="shared" si="119"/>
        <v>1763</v>
      </c>
      <c r="CP90" s="276">
        <f t="shared" si="120"/>
        <v>1711</v>
      </c>
      <c r="CQ90" s="39">
        <f t="shared" si="77"/>
        <v>1078.6666666666667</v>
      </c>
      <c r="CR90" s="39">
        <f t="shared" si="78"/>
        <v>965.2222222222224</v>
      </c>
      <c r="CS90" s="277">
        <f t="shared" si="79"/>
        <v>1063.962962962963</v>
      </c>
      <c r="CT90" s="39">
        <f t="shared" si="80"/>
        <v>1035.9506172839508</v>
      </c>
      <c r="CU90" s="39">
        <f t="shared" si="81"/>
        <v>1021.7119341563787</v>
      </c>
      <c r="CV90" s="39">
        <f t="shared" si="121"/>
        <v>1040.5418381344307</v>
      </c>
      <c r="CW90" s="297">
        <f t="shared" si="82"/>
        <v>0.99416282642089104</v>
      </c>
      <c r="CX90" s="279" t="str">
        <f t="shared" si="122"/>
        <v>Pass</v>
      </c>
      <c r="CY90" s="278">
        <f t="shared" si="83"/>
        <v>0.79608519774083653</v>
      </c>
      <c r="CZ90" s="279" t="str">
        <f t="shared" si="123"/>
        <v>Buffer and Action Plan</v>
      </c>
      <c r="DA90" s="278">
        <f t="shared" si="84"/>
        <v>0.72769461623806153</v>
      </c>
      <c r="DB90" s="292" t="str">
        <f t="shared" si="124"/>
        <v>Presumption</v>
      </c>
      <c r="DC90" s="299">
        <f t="shared" si="125"/>
        <v>0.58793379219146469</v>
      </c>
      <c r="DD90" s="293" t="str">
        <f t="shared" si="126"/>
        <v>Presumption</v>
      </c>
      <c r="DE90" s="299">
        <f t="shared" si="127"/>
        <v>0.57953030865364641</v>
      </c>
      <c r="DF90" s="293" t="str">
        <f t="shared" si="128"/>
        <v>Presumption</v>
      </c>
      <c r="DG90" s="299">
        <f t="shared" si="129"/>
        <v>0.60814835659522537</v>
      </c>
      <c r="DH90" s="293" t="str">
        <f t="shared" si="130"/>
        <v>Presumption</v>
      </c>
    </row>
    <row r="91" spans="1:112" ht="15" thickTop="1" thickBot="1">
      <c r="A91" s="38" t="s">
        <v>292</v>
      </c>
      <c r="B91" s="38" t="s">
        <v>293</v>
      </c>
      <c r="C91" s="38" t="s">
        <v>292</v>
      </c>
      <c r="D91" s="38" t="s">
        <v>136</v>
      </c>
      <c r="E91" s="38" t="str">
        <f>VLOOKUP(C91,PoliticalControl!A:K,11,FALSE)</f>
        <v>CON</v>
      </c>
      <c r="F91" s="38" t="str">
        <f>VLOOKUP(C91,UrbanRuralClassification!A:N,13,FALSE)</f>
        <v xml:space="preserve">Largely Rural (rural including hub towns 50-79%) </v>
      </c>
      <c r="G91" s="38" t="str">
        <f>VLOOKUP(C91,UrbanRuralClassification!A:N,14,FALSE)</f>
        <v>Predominantly Rural</v>
      </c>
      <c r="H91" s="258">
        <f>IF(ISBLANK((VLOOKUP($A91,'local-plan-data'!$C$1:$AD$566,27,FALSE)))=TRUE,"",VLOOKUP($A91,'local-plan-data'!$C$1:$AD$566,27,FALSE))</f>
        <v>42466</v>
      </c>
      <c r="I91" s="259">
        <f>VLOOKUP($A91,'local-plan-data'!$C$1:$AD$566,28,FALSE)</f>
        <v>1400</v>
      </c>
      <c r="J91" s="260">
        <f t="shared" si="85"/>
        <v>1400</v>
      </c>
      <c r="K91" s="259">
        <f t="shared" si="133"/>
        <v>1400</v>
      </c>
      <c r="L91" s="259">
        <f t="shared" si="131"/>
        <v>1400</v>
      </c>
      <c r="M91" s="259">
        <f t="shared" si="131"/>
        <v>1400</v>
      </c>
      <c r="N91" s="259">
        <f t="shared" si="131"/>
        <v>1400</v>
      </c>
      <c r="O91" s="259" t="str">
        <f t="shared" si="131"/>
        <v>-</v>
      </c>
      <c r="P91" s="259" t="str">
        <f t="shared" si="131"/>
        <v>-</v>
      </c>
      <c r="Q91" s="259" t="str">
        <f t="shared" si="131"/>
        <v>-</v>
      </c>
      <c r="R91" s="259" t="str">
        <f t="shared" si="131"/>
        <v>-</v>
      </c>
      <c r="S91" s="259">
        <f t="shared" si="134"/>
        <v>1101</v>
      </c>
      <c r="T91" s="259">
        <f t="shared" si="132"/>
        <v>736</v>
      </c>
      <c r="U91" s="259">
        <f t="shared" si="132"/>
        <v>370</v>
      </c>
      <c r="V91" s="259">
        <f t="shared" si="132"/>
        <v>5</v>
      </c>
      <c r="W91" s="259">
        <f t="shared" si="132"/>
        <v>-360</v>
      </c>
      <c r="X91" s="259">
        <f t="shared" si="132"/>
        <v>-725</v>
      </c>
      <c r="Y91" s="259">
        <f t="shared" si="132"/>
        <v>-1091</v>
      </c>
      <c r="Z91" s="259">
        <f t="shared" si="132"/>
        <v>-1456</v>
      </c>
      <c r="AA91" s="267">
        <f>(VLOOKUP(A91,Hshldprojections2014!$A$2:$AW$319,40, FALSE)-VLOOKUP(A91,Hshldprojections2014!$A$2:$AW$319,30, FALSE))/10</f>
        <v>823</v>
      </c>
      <c r="AB91" s="267">
        <f>(VLOOKUP(A91,Hshldprojections2014!$A$2:$AW$319,41, FALSE)-VLOOKUP(A91,Hshldprojections2014!$A$2:$AW$319,31, FALSE))/10</f>
        <v>803</v>
      </c>
      <c r="AC91" s="267">
        <f>(VLOOKUP(A91,Hshldprojections2014!$A$2:$AW$319,42, FALSE)-VLOOKUP(A91,Hshldprojections2014!$A$2:$AW$319,32, FALSE))/10</f>
        <v>785.7</v>
      </c>
      <c r="AD91" s="267">
        <f>IF(IndividualLATest!$J$7=2014,(VLOOKUP($A91,Hshldprojections2014!$A$2:$AY$326,43,FALSE)-VLOOKUP($A91,Hshldprojections2014!$A$2:$AY$326,33,FALSE))/10,IF(IndividualLATest!$J$7=2016,(VLOOKUP($A91,Hshldprojections2016!$A$1:$AQ$322,33,FALSE)-VLOOKUP($A91,Hshldprojections2016!$A$1:$AQ$322,23,FALSE))/10,(VLOOKUP($A91,Hshldprojections2018!$A$1:$AQ$327,33,FALSE)-VLOOKUP($A91,Hshldprojections2018!$A$1:$AQ$327,23,FALSE))/10))</f>
        <v>886.8</v>
      </c>
      <c r="AE91" s="267">
        <f>IF(IndividualLATest!$J$7=2014,(VLOOKUP($A91,Hshldprojections2014!$A$2:$AY$326,44,FALSE)-VLOOKUP($A91,Hshldprojections2014!$A$2:$AY$326,34,FALSE))/10,IF(IndividualLATest!$J$7=2016,(VLOOKUP($A91,Hshldprojections2016!$A$1:$AQ$322,34,FALSE)-VLOOKUP($A91,Hshldprojections2016!$A$1:$AQ$322,24,FALSE))/10,(VLOOKUP($A91,Hshldprojections2018!$A$1:$AQ$327,34,FALSE)-VLOOKUP($A91,Hshldprojections2018!$A$1:$AQ$327,24,FALSE))/10))</f>
        <v>851.2</v>
      </c>
      <c r="AF91" s="267">
        <f>IF(IndividualLATest!$J$7=2014,(VLOOKUP($A91,Hshldprojections2014!$A$2:$AY$326,45,FALSE)-VLOOKUP($A91,Hshldprojections2014!$A$2:$AY$326,35,FALSE))/10,IF(IndividualLATest!$J$7=2016,(VLOOKUP($A91,Hshldprojections2016!$A$1:$AQ$322,35,FALSE)-VLOOKUP($A91,Hshldprojections2016!$A$1:$AQ$322,25,FALSE))/10,(VLOOKUP($A91,Hshldprojections2018!$A$1:$AQ$327,35,FALSE)-VLOOKUP($A91,Hshldprojections2018!$A$1:$AQ$327,25,FALSE))/10))</f>
        <v>820.7</v>
      </c>
      <c r="AG91" s="267">
        <f>IF(IndividualLATest!$J$7=2014,(VLOOKUP($A91,Hshldprojections2014!$A$2:$AY$326,46,FALSE)-VLOOKUP($A91,Hshldprojections2014!$A$2:$AY$326,36,FALSE))/10,IF(IndividualLATest!$J$7=2016,(VLOOKUP($A91,Hshldprojections2016!$A$1:$AQ$322,36,FALSE)-VLOOKUP($A91,Hshldprojections2016!$A$1:$AQ$322,26,FALSE))/10,(VLOOKUP($A91,Hshldprojections2018!$A$1:$AQ$327,36,FALSE)-VLOOKUP($A91,Hshldprojections2018!$A$1:$AQ$327,26,FALSE))/10))</f>
        <v>790.3</v>
      </c>
      <c r="AH91" s="267">
        <f>IF(IndividualLATest!$J$7=2014,(VLOOKUP($A91,Hshldprojections2014!$A$2:$AY$326,47,FALSE)-VLOOKUP($A91,Hshldprojections2014!$A$2:$AY$326,37,FALSE))/10,IF(IndividualLATest!$J$7=2016,(VLOOKUP($A91,Hshldprojections2016!$A$1:$AQ$322,37,FALSE)-VLOOKUP($A91,Hshldprojections2016!$A$1:$AQ$322,27,FALSE))/10,(VLOOKUP($A91,Hshldprojections2018!$A$1:$AQ$327,37,FALSE)-VLOOKUP($A91,Hshldprojections2018!$A$1:$AQ$327,27,FALSE))/10))</f>
        <v>765.7</v>
      </c>
      <c r="AI91" s="268">
        <f>VLOOKUP($A91,AffordabilityRatio!$A$2:$I$321,5,FALSE)</f>
        <v>6.61</v>
      </c>
      <c r="AJ91" s="268">
        <f>VLOOKUP($A91,AffordabilityRatio!$A$2:$I$321,6,FALSE)</f>
        <v>6.65</v>
      </c>
      <c r="AK91" s="268">
        <f>VLOOKUP($A91,AffordabilityRatio!$A$2:$I$321,7,FALSE)</f>
        <v>6.51</v>
      </c>
      <c r="AL91" s="268">
        <f>IF((VLOOKUP($A91,AffordabilityRatio!$A$2:$I$321,8,FALSE))="",AK91,VLOOKUP($A91,AffordabilityRatio!$A$2:$I$321,8,FALSE))</f>
        <v>6.46</v>
      </c>
      <c r="AM91" s="268">
        <f>IF((VLOOKUP($A91,AffordabilityRatio!$A$2:$I$321,9,FALSE))="",AL91,VLOOKUP($A91,AffordabilityRatio!$A$2:$I$321,9,FALSE))</f>
        <v>7.24</v>
      </c>
      <c r="AN91" s="268">
        <f>IF((VLOOKUP($A91,AffordabilityRatio!$A$2:$I$321,9,FALSE))="",AM91,VLOOKUP($A91,AffordabilityRatio!$A$2:$I$321,9,FALSE))</f>
        <v>7.24</v>
      </c>
      <c r="AO91" s="268">
        <f>IF((VLOOKUP($A91,AffordabilityRatio!$A$2:$I$321,9,FALSE))="",AN91,VLOOKUP($A91,AffordabilityRatio!$A$2:$I$321,9,FALSE))</f>
        <v>7.24</v>
      </c>
      <c r="AP91" s="268">
        <f>IF((VLOOKUP($A91,AffordabilityRatio!$A$2:$I$321,9,FALSE))="",AO91,VLOOKUP($A91,AffordabilityRatio!$A$2:$I$321,9,FALSE))</f>
        <v>7.24</v>
      </c>
      <c r="AQ91" s="267">
        <f t="shared" si="86"/>
        <v>957</v>
      </c>
      <c r="AR91" s="267">
        <f t="shared" si="87"/>
        <v>936</v>
      </c>
      <c r="AS91" s="267">
        <f t="shared" si="88"/>
        <v>909</v>
      </c>
      <c r="AT91" s="267">
        <f t="shared" si="89"/>
        <v>1023</v>
      </c>
      <c r="AU91" s="267">
        <f t="shared" si="90"/>
        <v>1024</v>
      </c>
      <c r="AV91" s="267">
        <f t="shared" si="91"/>
        <v>987</v>
      </c>
      <c r="AW91" s="267">
        <f t="shared" si="92"/>
        <v>950</v>
      </c>
      <c r="AX91" s="267">
        <f t="shared" si="93"/>
        <v>921</v>
      </c>
      <c r="AY91" s="267">
        <f t="shared" si="94"/>
        <v>957</v>
      </c>
      <c r="AZ91" s="267">
        <f t="shared" si="95"/>
        <v>936</v>
      </c>
      <c r="BA91" s="267">
        <f t="shared" si="96"/>
        <v>909</v>
      </c>
      <c r="BB91" s="267">
        <f t="shared" si="97"/>
        <v>1023</v>
      </c>
      <c r="BC91" s="267">
        <f t="shared" si="98"/>
        <v>1024</v>
      </c>
      <c r="BD91" s="267">
        <f t="shared" si="99"/>
        <v>987</v>
      </c>
      <c r="BE91" s="267">
        <f t="shared" si="100"/>
        <v>950</v>
      </c>
      <c r="BF91" s="267">
        <f t="shared" si="101"/>
        <v>921</v>
      </c>
      <c r="BG91" s="269">
        <f>AY91*VLOOKUP($B91,'Major Cities &amp; Towns'!$A$28:$B$345,2,FALSE)</f>
        <v>957</v>
      </c>
      <c r="BH91" s="269">
        <f>AZ91*VLOOKUP($B91,'Major Cities &amp; Towns'!$A$28:$B$345,2,FALSE)</f>
        <v>936</v>
      </c>
      <c r="BI91" s="269">
        <f>BA91*VLOOKUP($B91,'Major Cities &amp; Towns'!$A$28:$B$345,2,FALSE)</f>
        <v>909</v>
      </c>
      <c r="BJ91" s="269">
        <f>BB91*VLOOKUP($B91,'Major Cities &amp; Towns'!$A$28:$B$345,2,FALSE)</f>
        <v>1023</v>
      </c>
      <c r="BK91" s="269">
        <f>BC91*VLOOKUP($B91,'Major Cities &amp; Towns'!$A$28:$B$345,2,FALSE)</f>
        <v>1024</v>
      </c>
      <c r="BL91" s="269">
        <f>BD91*VLOOKUP($B91,'Major Cities &amp; Towns'!$A$28:$B$345,2,FALSE)</f>
        <v>987</v>
      </c>
      <c r="BM91" s="269">
        <f>BE91*VLOOKUP($B91,'Major Cities &amp; Towns'!$A$28:$B$345,2,FALSE)</f>
        <v>950</v>
      </c>
      <c r="BN91" s="269">
        <f>BF91*VLOOKUP($B91,'Major Cities &amp; Towns'!$A$28:$B$345,2,FALSE)</f>
        <v>921</v>
      </c>
      <c r="BO91" s="270">
        <f t="shared" si="102"/>
        <v>957</v>
      </c>
      <c r="BP91" s="270">
        <f t="shared" si="103"/>
        <v>936</v>
      </c>
      <c r="BQ91" s="270">
        <f t="shared" si="104"/>
        <v>909</v>
      </c>
      <c r="BR91" s="270">
        <f t="shared" si="105"/>
        <v>1023</v>
      </c>
      <c r="BS91" s="270">
        <f t="shared" si="106"/>
        <v>1024</v>
      </c>
      <c r="BT91" s="270">
        <f t="shared" si="107"/>
        <v>987</v>
      </c>
      <c r="BU91" s="270">
        <f t="shared" si="108"/>
        <v>950</v>
      </c>
      <c r="BV91" s="270">
        <f t="shared" si="109"/>
        <v>921</v>
      </c>
      <c r="BW91" s="39">
        <f>VLOOKUP($A91,NetAdditions!$A$2:$H$336,6,FALSE)</f>
        <v>1432</v>
      </c>
      <c r="BX91" s="39">
        <f>VLOOKUP($A91,NetAdditions!$A$2:$H$336,7,FALSE)</f>
        <v>1241</v>
      </c>
      <c r="BY91" s="39">
        <f>IF((VLOOKUP($C91,NetAdditions!$A$2:$H$336,8,FALSE))="",(AVERAGE(VLOOKUP($C91,NetAdditions!$A$2:$H$336,5,FALSE),VLOOKUP($C91,NetAdditions!$A$2:$H$336,6,FALSE),VLOOKUP($C91,NetAdditions!$A$2:$H$336,7,FALSE))),VLOOKUP($C91,NetAdditions!$A$2:$H$336,8,FALSE))</f>
        <v>1447</v>
      </c>
      <c r="BZ91" s="39">
        <f t="shared" si="110"/>
        <v>1373.3333333333333</v>
      </c>
      <c r="CA91" s="39">
        <f t="shared" si="111"/>
        <v>1353.7777777777776</v>
      </c>
      <c r="CB91" s="39">
        <f t="shared" si="112"/>
        <v>1391.3703703703702</v>
      </c>
      <c r="CC91" s="39">
        <f t="shared" si="113"/>
        <v>1372.827160493827</v>
      </c>
      <c r="CD91" s="39">
        <f t="shared" si="114"/>
        <v>1372.6584362139918</v>
      </c>
      <c r="CE91" s="276">
        <f t="shared" si="71"/>
        <v>2802</v>
      </c>
      <c r="CF91" s="276">
        <f t="shared" si="72"/>
        <v>2868</v>
      </c>
      <c r="CG91" s="276">
        <f t="shared" si="73"/>
        <v>2956</v>
      </c>
      <c r="CH91" s="276">
        <f t="shared" si="74"/>
        <v>3034</v>
      </c>
      <c r="CI91" s="276">
        <f t="shared" si="75"/>
        <v>2961</v>
      </c>
      <c r="CJ91" s="276">
        <f t="shared" si="76"/>
        <v>2858</v>
      </c>
      <c r="CK91" s="276">
        <f t="shared" si="115"/>
        <v>2412.8333333333335</v>
      </c>
      <c r="CL91" s="276">
        <f t="shared" si="116"/>
        <v>2469.666666666667</v>
      </c>
      <c r="CM91" s="276">
        <f t="shared" si="117"/>
        <v>2709.6666666666665</v>
      </c>
      <c r="CN91" s="276">
        <f t="shared" si="118"/>
        <v>3034</v>
      </c>
      <c r="CO91" s="276">
        <f t="shared" si="119"/>
        <v>2961</v>
      </c>
      <c r="CP91" s="276">
        <f t="shared" si="120"/>
        <v>2858</v>
      </c>
      <c r="CQ91" s="39">
        <f t="shared" si="77"/>
        <v>4120</v>
      </c>
      <c r="CR91" s="39">
        <f t="shared" si="78"/>
        <v>4061.333333333333</v>
      </c>
      <c r="CS91" s="277">
        <f t="shared" si="79"/>
        <v>4174.1111111111104</v>
      </c>
      <c r="CT91" s="39">
        <f t="shared" si="80"/>
        <v>4118.4814814814808</v>
      </c>
      <c r="CU91" s="39">
        <f t="shared" si="81"/>
        <v>4117.9753086419751</v>
      </c>
      <c r="CV91" s="39">
        <f t="shared" si="121"/>
        <v>4136.8559670781888</v>
      </c>
      <c r="CW91" s="297">
        <f t="shared" si="82"/>
        <v>1.7075360917317122</v>
      </c>
      <c r="CX91" s="279" t="str">
        <f t="shared" si="122"/>
        <v>Pass</v>
      </c>
      <c r="CY91" s="278">
        <f t="shared" si="83"/>
        <v>1.6444864354163851</v>
      </c>
      <c r="CZ91" s="279" t="str">
        <f t="shared" si="123"/>
        <v>Pass</v>
      </c>
      <c r="DA91" s="278">
        <f t="shared" si="84"/>
        <v>1.5404518801000531</v>
      </c>
      <c r="DB91" s="292" t="str">
        <f t="shared" si="124"/>
        <v>Pass</v>
      </c>
      <c r="DC91" s="299">
        <f t="shared" si="125"/>
        <v>1.3574428086623207</v>
      </c>
      <c r="DD91" s="293" t="str">
        <f t="shared" si="126"/>
        <v>Pass</v>
      </c>
      <c r="DE91" s="299">
        <f t="shared" si="127"/>
        <v>1.390738030611947</v>
      </c>
      <c r="DF91" s="293" t="str">
        <f t="shared" si="128"/>
        <v>Pass</v>
      </c>
      <c r="DG91" s="299">
        <f t="shared" si="129"/>
        <v>1.4474653488727043</v>
      </c>
      <c r="DH91" s="293" t="str">
        <f t="shared" si="130"/>
        <v>Pass</v>
      </c>
    </row>
    <row r="92" spans="1:112" ht="15" thickTop="1" thickBot="1">
      <c r="A92" s="38" t="s">
        <v>294</v>
      </c>
      <c r="B92" s="38" t="s">
        <v>295</v>
      </c>
      <c r="C92" s="38" t="s">
        <v>294</v>
      </c>
      <c r="D92" s="38" t="s">
        <v>154</v>
      </c>
      <c r="E92" s="38" t="str">
        <f>VLOOKUP(C92,PoliticalControl!A:K,11,FALSE)</f>
        <v>CON</v>
      </c>
      <c r="F92" s="38" t="str">
        <f>VLOOKUP(C92,UrbanRuralClassification!A:N,13,FALSE)</f>
        <v>Urban with Significant Rural (rural including hub towns 26-49%)</v>
      </c>
      <c r="G92" s="38" t="str">
        <f>VLOOKUP(C92,UrbanRuralClassification!A:N,14,FALSE)</f>
        <v>Urban with Significant Rural</v>
      </c>
      <c r="H92" s="258">
        <f>IF(ISBLANK((VLOOKUP($A92,'local-plan-data'!$C$1:$AD$566,27,FALSE)))=TRUE,"",VLOOKUP($A92,'local-plan-data'!$C$1:$AD$566,27,FALSE))</f>
        <v>42292</v>
      </c>
      <c r="I92" s="259">
        <f>VLOOKUP($A92,'local-plan-data'!$C$1:$AD$566,28,FALSE)</f>
        <v>613.0526315789474</v>
      </c>
      <c r="J92" s="260">
        <f t="shared" si="85"/>
        <v>613.0526315789474</v>
      </c>
      <c r="K92" s="259">
        <f t="shared" si="133"/>
        <v>613.0526315789474</v>
      </c>
      <c r="L92" s="259">
        <f t="shared" si="131"/>
        <v>613.0526315789474</v>
      </c>
      <c r="M92" s="259">
        <f t="shared" si="131"/>
        <v>613.0526315789474</v>
      </c>
      <c r="N92" s="259" t="str">
        <f t="shared" si="131"/>
        <v>-</v>
      </c>
      <c r="O92" s="259" t="str">
        <f t="shared" si="131"/>
        <v>-</v>
      </c>
      <c r="P92" s="259" t="str">
        <f t="shared" si="131"/>
        <v>-</v>
      </c>
      <c r="Q92" s="259" t="str">
        <f t="shared" si="131"/>
        <v>-</v>
      </c>
      <c r="R92" s="259" t="str">
        <f t="shared" si="131"/>
        <v>-</v>
      </c>
      <c r="S92" s="259">
        <f t="shared" si="134"/>
        <v>928</v>
      </c>
      <c r="T92" s="259">
        <f t="shared" si="132"/>
        <v>563</v>
      </c>
      <c r="U92" s="259">
        <f t="shared" si="132"/>
        <v>197</v>
      </c>
      <c r="V92" s="259">
        <f t="shared" si="132"/>
        <v>-168</v>
      </c>
      <c r="W92" s="259">
        <f t="shared" si="132"/>
        <v>-533</v>
      </c>
      <c r="X92" s="259">
        <f t="shared" si="132"/>
        <v>-898</v>
      </c>
      <c r="Y92" s="259">
        <f t="shared" si="132"/>
        <v>-1264</v>
      </c>
      <c r="Z92" s="259">
        <f t="shared" si="132"/>
        <v>-1629</v>
      </c>
      <c r="AA92" s="267">
        <f>(VLOOKUP(A92,Hshldprojections2014!$A$2:$AW$319,40, FALSE)-VLOOKUP(A92,Hshldprojections2014!$A$2:$AW$319,30, FALSE))/10</f>
        <v>376.4</v>
      </c>
      <c r="AB92" s="267">
        <f>(VLOOKUP(A92,Hshldprojections2014!$A$2:$AW$319,41, FALSE)-VLOOKUP(A92,Hshldprojections2014!$A$2:$AW$319,31, FALSE))/10</f>
        <v>374.1</v>
      </c>
      <c r="AC92" s="267">
        <f>(VLOOKUP(A92,Hshldprojections2014!$A$2:$AW$319,42, FALSE)-VLOOKUP(A92,Hshldprojections2014!$A$2:$AW$319,32, FALSE))/10</f>
        <v>370</v>
      </c>
      <c r="AD92" s="267">
        <f>IF(IndividualLATest!$J$7=2014,(VLOOKUP($A92,Hshldprojections2014!$A$2:$AY$326,43,FALSE)-VLOOKUP($A92,Hshldprojections2014!$A$2:$AY$326,33,FALSE))/10,IF(IndividualLATest!$J$7=2016,(VLOOKUP($A92,Hshldprojections2016!$A$1:$AQ$322,33,FALSE)-VLOOKUP($A92,Hshldprojections2016!$A$1:$AQ$322,23,FALSE))/10,(VLOOKUP($A92,Hshldprojections2018!$A$1:$AQ$327,33,FALSE)-VLOOKUP($A92,Hshldprojections2018!$A$1:$AQ$327,23,FALSE))/10))</f>
        <v>423.1</v>
      </c>
      <c r="AE92" s="267">
        <f>IF(IndividualLATest!$J$7=2014,(VLOOKUP($A92,Hshldprojections2014!$A$2:$AY$326,44,FALSE)-VLOOKUP($A92,Hshldprojections2014!$A$2:$AY$326,34,FALSE))/10,IF(IndividualLATest!$J$7=2016,(VLOOKUP($A92,Hshldprojections2016!$A$1:$AQ$322,34,FALSE)-VLOOKUP($A92,Hshldprojections2016!$A$1:$AQ$322,24,FALSE))/10,(VLOOKUP($A92,Hshldprojections2018!$A$1:$AQ$327,34,FALSE)-VLOOKUP($A92,Hshldprojections2018!$A$1:$AQ$327,24,FALSE))/10))</f>
        <v>415.3</v>
      </c>
      <c r="AF92" s="267">
        <f>IF(IndividualLATest!$J$7=2014,(VLOOKUP($A92,Hshldprojections2014!$A$2:$AY$326,45,FALSE)-VLOOKUP($A92,Hshldprojections2014!$A$2:$AY$326,35,FALSE))/10,IF(IndividualLATest!$J$7=2016,(VLOOKUP($A92,Hshldprojections2016!$A$1:$AQ$322,35,FALSE)-VLOOKUP($A92,Hshldprojections2016!$A$1:$AQ$322,25,FALSE))/10,(VLOOKUP($A92,Hshldprojections2018!$A$1:$AQ$327,35,FALSE)-VLOOKUP($A92,Hshldprojections2018!$A$1:$AQ$327,25,FALSE))/10))</f>
        <v>409</v>
      </c>
      <c r="AG92" s="267">
        <f>IF(IndividualLATest!$J$7=2014,(VLOOKUP($A92,Hshldprojections2014!$A$2:$AY$326,46,FALSE)-VLOOKUP($A92,Hshldprojections2014!$A$2:$AY$326,36,FALSE))/10,IF(IndividualLATest!$J$7=2016,(VLOOKUP($A92,Hshldprojections2016!$A$1:$AQ$322,36,FALSE)-VLOOKUP($A92,Hshldprojections2016!$A$1:$AQ$322,26,FALSE))/10,(VLOOKUP($A92,Hshldprojections2018!$A$1:$AQ$327,36,FALSE)-VLOOKUP($A92,Hshldprojections2018!$A$1:$AQ$327,26,FALSE))/10))</f>
        <v>406.4</v>
      </c>
      <c r="AH92" s="267">
        <f>IF(IndividualLATest!$J$7=2014,(VLOOKUP($A92,Hshldprojections2014!$A$2:$AY$326,47,FALSE)-VLOOKUP($A92,Hshldprojections2014!$A$2:$AY$326,37,FALSE))/10,IF(IndividualLATest!$J$7=2016,(VLOOKUP($A92,Hshldprojections2016!$A$1:$AQ$322,37,FALSE)-VLOOKUP($A92,Hshldprojections2016!$A$1:$AQ$322,27,FALSE))/10,(VLOOKUP($A92,Hshldprojections2018!$A$1:$AQ$327,37,FALSE)-VLOOKUP($A92,Hshldprojections2018!$A$1:$AQ$327,27,FALSE))/10))</f>
        <v>403.6</v>
      </c>
      <c r="AI92" s="268">
        <f>VLOOKUP($A92,AffordabilityRatio!$A$2:$I$321,5,FALSE)</f>
        <v>6.4</v>
      </c>
      <c r="AJ92" s="268">
        <f>VLOOKUP($A92,AffordabilityRatio!$A$2:$I$321,6,FALSE)</f>
        <v>6.63</v>
      </c>
      <c r="AK92" s="268">
        <f>VLOOKUP($A92,AffordabilityRatio!$A$2:$I$321,7,FALSE)</f>
        <v>6.59</v>
      </c>
      <c r="AL92" s="268">
        <f>IF((VLOOKUP($A92,AffordabilityRatio!$A$2:$I$321,8,FALSE))="",AK92,VLOOKUP($A92,AffordabilityRatio!$A$2:$I$321,8,FALSE))</f>
        <v>6.81</v>
      </c>
      <c r="AM92" s="268">
        <f>IF((VLOOKUP($A92,AffordabilityRatio!$A$2:$I$321,9,FALSE))="",AL92,VLOOKUP($A92,AffordabilityRatio!$A$2:$I$321,9,FALSE))</f>
        <v>7.46</v>
      </c>
      <c r="AN92" s="268">
        <f>IF((VLOOKUP($A92,AffordabilityRatio!$A$2:$I$321,9,FALSE))="",AM92,VLOOKUP($A92,AffordabilityRatio!$A$2:$I$321,9,FALSE))</f>
        <v>7.46</v>
      </c>
      <c r="AO92" s="268">
        <f>IF((VLOOKUP($A92,AffordabilityRatio!$A$2:$I$321,9,FALSE))="",AN92,VLOOKUP($A92,AffordabilityRatio!$A$2:$I$321,9,FALSE))</f>
        <v>7.46</v>
      </c>
      <c r="AP92" s="268">
        <f>IF((VLOOKUP($A92,AffordabilityRatio!$A$2:$I$321,9,FALSE))="",AO92,VLOOKUP($A92,AffordabilityRatio!$A$2:$I$321,9,FALSE))</f>
        <v>7.46</v>
      </c>
      <c r="AQ92" s="267">
        <f t="shared" si="86"/>
        <v>433</v>
      </c>
      <c r="AR92" s="267">
        <f t="shared" si="87"/>
        <v>436</v>
      </c>
      <c r="AS92" s="267">
        <f t="shared" si="88"/>
        <v>430</v>
      </c>
      <c r="AT92" s="267">
        <f t="shared" si="89"/>
        <v>497</v>
      </c>
      <c r="AU92" s="267">
        <f t="shared" si="90"/>
        <v>505</v>
      </c>
      <c r="AV92" s="267">
        <f t="shared" si="91"/>
        <v>497</v>
      </c>
      <c r="AW92" s="267">
        <f t="shared" si="92"/>
        <v>494</v>
      </c>
      <c r="AX92" s="267">
        <f t="shared" si="93"/>
        <v>491</v>
      </c>
      <c r="AY92" s="267">
        <f t="shared" si="94"/>
        <v>433</v>
      </c>
      <c r="AZ92" s="267">
        <f t="shared" si="95"/>
        <v>436</v>
      </c>
      <c r="BA92" s="267">
        <f t="shared" si="96"/>
        <v>430</v>
      </c>
      <c r="BB92" s="267">
        <f t="shared" si="97"/>
        <v>497</v>
      </c>
      <c r="BC92" s="267">
        <f t="shared" si="98"/>
        <v>505</v>
      </c>
      <c r="BD92" s="267">
        <f t="shared" si="99"/>
        <v>497</v>
      </c>
      <c r="BE92" s="267">
        <f t="shared" si="100"/>
        <v>494</v>
      </c>
      <c r="BF92" s="267">
        <f t="shared" si="101"/>
        <v>491</v>
      </c>
      <c r="BG92" s="269">
        <f>AY92*VLOOKUP($B92,'Major Cities &amp; Towns'!$A$28:$B$345,2,FALSE)</f>
        <v>433</v>
      </c>
      <c r="BH92" s="269">
        <f>AZ92*VLOOKUP($B92,'Major Cities &amp; Towns'!$A$28:$B$345,2,FALSE)</f>
        <v>436</v>
      </c>
      <c r="BI92" s="269">
        <f>BA92*VLOOKUP($B92,'Major Cities &amp; Towns'!$A$28:$B$345,2,FALSE)</f>
        <v>430</v>
      </c>
      <c r="BJ92" s="269">
        <f>BB92*VLOOKUP($B92,'Major Cities &amp; Towns'!$A$28:$B$345,2,FALSE)</f>
        <v>497</v>
      </c>
      <c r="BK92" s="269">
        <f>BC92*VLOOKUP($B92,'Major Cities &amp; Towns'!$A$28:$B$345,2,FALSE)</f>
        <v>505</v>
      </c>
      <c r="BL92" s="269">
        <f>BD92*VLOOKUP($B92,'Major Cities &amp; Towns'!$A$28:$B$345,2,FALSE)</f>
        <v>497</v>
      </c>
      <c r="BM92" s="269">
        <f>BE92*VLOOKUP($B92,'Major Cities &amp; Towns'!$A$28:$B$345,2,FALSE)</f>
        <v>494</v>
      </c>
      <c r="BN92" s="269">
        <f>BF92*VLOOKUP($B92,'Major Cities &amp; Towns'!$A$28:$B$345,2,FALSE)</f>
        <v>491</v>
      </c>
      <c r="BO92" s="270">
        <f t="shared" si="102"/>
        <v>433</v>
      </c>
      <c r="BP92" s="270">
        <f t="shared" si="103"/>
        <v>436</v>
      </c>
      <c r="BQ92" s="270">
        <f t="shared" si="104"/>
        <v>430</v>
      </c>
      <c r="BR92" s="270">
        <f t="shared" si="105"/>
        <v>497</v>
      </c>
      <c r="BS92" s="270">
        <f t="shared" si="106"/>
        <v>505</v>
      </c>
      <c r="BT92" s="270">
        <f t="shared" si="107"/>
        <v>497</v>
      </c>
      <c r="BU92" s="270">
        <f t="shared" si="108"/>
        <v>494</v>
      </c>
      <c r="BV92" s="270">
        <f t="shared" si="109"/>
        <v>491</v>
      </c>
      <c r="BW92" s="39">
        <f>VLOOKUP($A92,NetAdditions!$A$2:$H$336,6,FALSE)</f>
        <v>763</v>
      </c>
      <c r="BX92" s="39">
        <f>VLOOKUP($A92,NetAdditions!$A$2:$H$336,7,FALSE)</f>
        <v>743</v>
      </c>
      <c r="BY92" s="39">
        <f>IF((VLOOKUP($C92,NetAdditions!$A$2:$H$336,8,FALSE))="",(AVERAGE(VLOOKUP($C92,NetAdditions!$A$2:$H$336,5,FALSE),VLOOKUP($C92,NetAdditions!$A$2:$H$336,6,FALSE),VLOOKUP($C92,NetAdditions!$A$2:$H$336,7,FALSE))),VLOOKUP($C92,NetAdditions!$A$2:$H$336,8,FALSE))</f>
        <v>689</v>
      </c>
      <c r="BZ92" s="39">
        <f t="shared" si="110"/>
        <v>731.66666666666663</v>
      </c>
      <c r="CA92" s="39">
        <f t="shared" si="111"/>
        <v>721.22222222222217</v>
      </c>
      <c r="CB92" s="39">
        <f t="shared" si="112"/>
        <v>713.96296296296293</v>
      </c>
      <c r="CC92" s="39">
        <f t="shared" si="113"/>
        <v>722.28395061728395</v>
      </c>
      <c r="CD92" s="39">
        <f t="shared" si="114"/>
        <v>719.15637860082313</v>
      </c>
      <c r="CE92" s="276">
        <f t="shared" si="71"/>
        <v>1299</v>
      </c>
      <c r="CF92" s="276">
        <f t="shared" si="72"/>
        <v>1363</v>
      </c>
      <c r="CG92" s="276">
        <f t="shared" si="73"/>
        <v>1432</v>
      </c>
      <c r="CH92" s="276">
        <f t="shared" si="74"/>
        <v>1499</v>
      </c>
      <c r="CI92" s="276">
        <f t="shared" si="75"/>
        <v>1496</v>
      </c>
      <c r="CJ92" s="276">
        <f t="shared" si="76"/>
        <v>1482</v>
      </c>
      <c r="CK92" s="276">
        <f t="shared" si="115"/>
        <v>1118.5833333333335</v>
      </c>
      <c r="CL92" s="276">
        <f t="shared" si="116"/>
        <v>1173.6944444444446</v>
      </c>
      <c r="CM92" s="276">
        <f t="shared" si="117"/>
        <v>1312.6666666666665</v>
      </c>
      <c r="CN92" s="276">
        <f t="shared" si="118"/>
        <v>1499</v>
      </c>
      <c r="CO92" s="276">
        <f t="shared" si="119"/>
        <v>1496</v>
      </c>
      <c r="CP92" s="276">
        <f t="shared" si="120"/>
        <v>1482</v>
      </c>
      <c r="CQ92" s="39">
        <f t="shared" si="77"/>
        <v>2195</v>
      </c>
      <c r="CR92" s="39">
        <f t="shared" si="78"/>
        <v>2163.6666666666665</v>
      </c>
      <c r="CS92" s="277">
        <f t="shared" si="79"/>
        <v>2141.8888888888887</v>
      </c>
      <c r="CT92" s="39">
        <f t="shared" si="80"/>
        <v>2166.8518518518517</v>
      </c>
      <c r="CU92" s="39">
        <f t="shared" si="81"/>
        <v>2157.4691358024693</v>
      </c>
      <c r="CV92" s="39">
        <f t="shared" si="121"/>
        <v>2155.4032921810699</v>
      </c>
      <c r="CW92" s="297">
        <f t="shared" si="82"/>
        <v>1.9623035089026295</v>
      </c>
      <c r="CX92" s="279" t="str">
        <f t="shared" si="122"/>
        <v>Pass</v>
      </c>
      <c r="CY92" s="278">
        <f t="shared" si="83"/>
        <v>1.8434667360897448</v>
      </c>
      <c r="CZ92" s="279" t="str">
        <f t="shared" si="123"/>
        <v>Pass</v>
      </c>
      <c r="DA92" s="278">
        <f t="shared" si="84"/>
        <v>1.6317081428813274</v>
      </c>
      <c r="DB92" s="292" t="str">
        <f t="shared" si="124"/>
        <v>Pass</v>
      </c>
      <c r="DC92" s="299">
        <f t="shared" si="125"/>
        <v>1.4455315889605416</v>
      </c>
      <c r="DD92" s="293" t="str">
        <f t="shared" si="126"/>
        <v>Pass</v>
      </c>
      <c r="DE92" s="299">
        <f t="shared" si="127"/>
        <v>1.4421585132369448</v>
      </c>
      <c r="DF92" s="293" t="str">
        <f t="shared" si="128"/>
        <v>Pass</v>
      </c>
      <c r="DG92" s="299">
        <f t="shared" si="129"/>
        <v>1.4543881863569972</v>
      </c>
      <c r="DH92" s="293" t="str">
        <f t="shared" si="130"/>
        <v>Pass</v>
      </c>
    </row>
    <row r="93" spans="1:112" ht="15" thickTop="1" thickBot="1">
      <c r="A93" s="38" t="s">
        <v>296</v>
      </c>
      <c r="B93" s="38" t="s">
        <v>297</v>
      </c>
      <c r="C93" s="38" t="s">
        <v>296</v>
      </c>
      <c r="D93" s="38" t="s">
        <v>128</v>
      </c>
      <c r="E93" s="38" t="str">
        <f>VLOOKUP(C93,PoliticalControl!A:K,11,FALSE)</f>
        <v>CON</v>
      </c>
      <c r="F93" s="38" t="str">
        <f>VLOOKUP(C93,UrbanRuralClassification!A:N,13,FALSE)</f>
        <v xml:space="preserve">Largely Rural (rural including hub towns 50-79%) </v>
      </c>
      <c r="G93" s="38" t="str">
        <f>VLOOKUP(C93,UrbanRuralClassification!A:N,14,FALSE)</f>
        <v>Predominantly Rural</v>
      </c>
      <c r="H93" s="258" t="e">
        <f>IF(ISBLANK((VLOOKUP($A93,'local-plan-data'!$C$1:$AD$566,27,FALSE)))=TRUE,"",VLOOKUP($A93,'local-plan-data'!$C$1:$AD$566,27,FALSE))</f>
        <v>#N/A</v>
      </c>
      <c r="I93" s="259" t="e">
        <f>VLOOKUP($A93,'local-plan-data'!$C$1:$AD$566,28,FALSE)</f>
        <v>#N/A</v>
      </c>
      <c r="J93" s="260" t="str">
        <f t="shared" si="85"/>
        <v>-</v>
      </c>
      <c r="K93" s="259" t="str">
        <f t="shared" si="133"/>
        <v>-</v>
      </c>
      <c r="L93" s="259" t="str">
        <f t="shared" si="131"/>
        <v>-</v>
      </c>
      <c r="M93" s="259" t="str">
        <f t="shared" si="131"/>
        <v>-</v>
      </c>
      <c r="N93" s="259" t="str">
        <f t="shared" si="131"/>
        <v>-</v>
      </c>
      <c r="O93" s="259" t="str">
        <f t="shared" si="131"/>
        <v>-</v>
      </c>
      <c r="P93" s="259" t="str">
        <f t="shared" si="131"/>
        <v>-</v>
      </c>
      <c r="Q93" s="259" t="str">
        <f t="shared" si="131"/>
        <v>-</v>
      </c>
      <c r="R93" s="259" t="str">
        <f t="shared" si="131"/>
        <v>-</v>
      </c>
      <c r="S93" s="259" t="str">
        <f t="shared" si="134"/>
        <v>-</v>
      </c>
      <c r="T93" s="259" t="str">
        <f t="shared" si="132"/>
        <v>-</v>
      </c>
      <c r="U93" s="259" t="str">
        <f t="shared" si="132"/>
        <v>-</v>
      </c>
      <c r="V93" s="259" t="str">
        <f t="shared" si="132"/>
        <v>-</v>
      </c>
      <c r="W93" s="259" t="str">
        <f t="shared" si="132"/>
        <v>-</v>
      </c>
      <c r="X93" s="259" t="str">
        <f t="shared" si="132"/>
        <v>-</v>
      </c>
      <c r="Y93" s="259" t="str">
        <f t="shared" si="132"/>
        <v>-</v>
      </c>
      <c r="Z93" s="259" t="str">
        <f t="shared" si="132"/>
        <v>-</v>
      </c>
      <c r="AA93" s="267">
        <f>(VLOOKUP(A93,Hshldprojections2014!$A$2:$AW$319,40, FALSE)-VLOOKUP(A93,Hshldprojections2014!$A$2:$AW$319,30, FALSE))/10</f>
        <v>694.3</v>
      </c>
      <c r="AB93" s="267">
        <f>(VLOOKUP(A93,Hshldprojections2014!$A$2:$AW$319,41, FALSE)-VLOOKUP(A93,Hshldprojections2014!$A$2:$AW$319,31, FALSE))/10</f>
        <v>695.4</v>
      </c>
      <c r="AC93" s="267">
        <f>(VLOOKUP(A93,Hshldprojections2014!$A$2:$AW$319,42, FALSE)-VLOOKUP(A93,Hshldprojections2014!$A$2:$AW$319,32, FALSE))/10</f>
        <v>697.7</v>
      </c>
      <c r="AD93" s="267">
        <f>IF(IndividualLATest!$J$7=2014,(VLOOKUP($A93,Hshldprojections2014!$A$2:$AY$326,43,FALSE)-VLOOKUP($A93,Hshldprojections2014!$A$2:$AY$326,33,FALSE))/10,IF(IndividualLATest!$J$7=2016,(VLOOKUP($A93,Hshldprojections2016!$A$1:$AQ$322,33,FALSE)-VLOOKUP($A93,Hshldprojections2016!$A$1:$AQ$322,23,FALSE))/10,(VLOOKUP($A93,Hshldprojections2018!$A$1:$AQ$327,33,FALSE)-VLOOKUP($A93,Hshldprojections2018!$A$1:$AQ$327,23,FALSE))/10))</f>
        <v>1019.8</v>
      </c>
      <c r="AE93" s="267">
        <f>IF(IndividualLATest!$J$7=2014,(VLOOKUP($A93,Hshldprojections2014!$A$2:$AY$326,44,FALSE)-VLOOKUP($A93,Hshldprojections2014!$A$2:$AY$326,34,FALSE))/10,IF(IndividualLATest!$J$7=2016,(VLOOKUP($A93,Hshldprojections2016!$A$1:$AQ$322,34,FALSE)-VLOOKUP($A93,Hshldprojections2016!$A$1:$AQ$322,24,FALSE))/10,(VLOOKUP($A93,Hshldprojections2018!$A$1:$AQ$327,34,FALSE)-VLOOKUP($A93,Hshldprojections2018!$A$1:$AQ$327,24,FALSE))/10))</f>
        <v>996.8</v>
      </c>
      <c r="AF93" s="267">
        <f>IF(IndividualLATest!$J$7=2014,(VLOOKUP($A93,Hshldprojections2014!$A$2:$AY$326,45,FALSE)-VLOOKUP($A93,Hshldprojections2014!$A$2:$AY$326,35,FALSE))/10,IF(IndividualLATest!$J$7=2016,(VLOOKUP($A93,Hshldprojections2016!$A$1:$AQ$322,35,FALSE)-VLOOKUP($A93,Hshldprojections2016!$A$1:$AQ$322,25,FALSE))/10,(VLOOKUP($A93,Hshldprojections2018!$A$1:$AQ$327,35,FALSE)-VLOOKUP($A93,Hshldprojections2018!$A$1:$AQ$327,25,FALSE))/10))</f>
        <v>977.5</v>
      </c>
      <c r="AG93" s="267">
        <f>IF(IndividualLATest!$J$7=2014,(VLOOKUP($A93,Hshldprojections2014!$A$2:$AY$326,46,FALSE)-VLOOKUP($A93,Hshldprojections2014!$A$2:$AY$326,36,FALSE))/10,IF(IndividualLATest!$J$7=2016,(VLOOKUP($A93,Hshldprojections2016!$A$1:$AQ$322,36,FALSE)-VLOOKUP($A93,Hshldprojections2016!$A$1:$AQ$322,26,FALSE))/10,(VLOOKUP($A93,Hshldprojections2018!$A$1:$AQ$327,36,FALSE)-VLOOKUP($A93,Hshldprojections2018!$A$1:$AQ$327,26,FALSE))/10))</f>
        <v>956.6</v>
      </c>
      <c r="AH93" s="267">
        <f>IF(IndividualLATest!$J$7=2014,(VLOOKUP($A93,Hshldprojections2014!$A$2:$AY$326,47,FALSE)-VLOOKUP($A93,Hshldprojections2014!$A$2:$AY$326,37,FALSE))/10,IF(IndividualLATest!$J$7=2016,(VLOOKUP($A93,Hshldprojections2016!$A$1:$AQ$322,37,FALSE)-VLOOKUP($A93,Hshldprojections2016!$A$1:$AQ$322,27,FALSE))/10,(VLOOKUP($A93,Hshldprojections2018!$A$1:$AQ$327,37,FALSE)-VLOOKUP($A93,Hshldprojections2018!$A$1:$AQ$327,27,FALSE))/10))</f>
        <v>940.2</v>
      </c>
      <c r="AI93" s="268">
        <f>VLOOKUP($A93,AffordabilityRatio!$A$2:$I$321,5,FALSE)</f>
        <v>8.26</v>
      </c>
      <c r="AJ93" s="268">
        <f>VLOOKUP($A93,AffordabilityRatio!$A$2:$I$321,6,FALSE)</f>
        <v>8.6999999999999993</v>
      </c>
      <c r="AK93" s="268">
        <f>VLOOKUP($A93,AffordabilityRatio!$A$2:$I$321,7,FALSE)</f>
        <v>7.86</v>
      </c>
      <c r="AL93" s="268">
        <f>IF((VLOOKUP($A93,AffordabilityRatio!$A$2:$I$321,8,FALSE))="",AK93,VLOOKUP($A93,AffordabilityRatio!$A$2:$I$321,8,FALSE))</f>
        <v>8.27</v>
      </c>
      <c r="AM93" s="268">
        <f>IF((VLOOKUP($A93,AffordabilityRatio!$A$2:$I$321,9,FALSE))="",AL93,VLOOKUP($A93,AffordabilityRatio!$A$2:$I$321,9,FALSE))</f>
        <v>9.74</v>
      </c>
      <c r="AN93" s="268">
        <f>IF((VLOOKUP($A93,AffordabilityRatio!$A$2:$I$321,9,FALSE))="",AM93,VLOOKUP($A93,AffordabilityRatio!$A$2:$I$321,9,FALSE))</f>
        <v>9.74</v>
      </c>
      <c r="AO93" s="268">
        <f>IF((VLOOKUP($A93,AffordabilityRatio!$A$2:$I$321,9,FALSE))="",AN93,VLOOKUP($A93,AffordabilityRatio!$A$2:$I$321,9,FALSE))</f>
        <v>9.74</v>
      </c>
      <c r="AP93" s="268">
        <f>IF((VLOOKUP($A93,AffordabilityRatio!$A$2:$I$321,9,FALSE))="",AO93,VLOOKUP($A93,AffordabilityRatio!$A$2:$I$321,9,FALSE))</f>
        <v>9.74</v>
      </c>
      <c r="AQ93" s="267">
        <f t="shared" si="86"/>
        <v>879</v>
      </c>
      <c r="AR93" s="267">
        <f t="shared" si="87"/>
        <v>900</v>
      </c>
      <c r="AS93" s="267">
        <f t="shared" si="88"/>
        <v>866</v>
      </c>
      <c r="AT93" s="267">
        <f t="shared" si="89"/>
        <v>1292</v>
      </c>
      <c r="AU93" s="267">
        <f t="shared" si="90"/>
        <v>1354</v>
      </c>
      <c r="AV93" s="267">
        <f t="shared" si="91"/>
        <v>1328</v>
      </c>
      <c r="AW93" s="267">
        <f t="shared" si="92"/>
        <v>1300</v>
      </c>
      <c r="AX93" s="267">
        <f t="shared" si="93"/>
        <v>1277</v>
      </c>
      <c r="AY93" s="267">
        <f t="shared" si="94"/>
        <v>879</v>
      </c>
      <c r="AZ93" s="267">
        <f t="shared" si="95"/>
        <v>900</v>
      </c>
      <c r="BA93" s="267">
        <f t="shared" si="96"/>
        <v>866</v>
      </c>
      <c r="BB93" s="267">
        <f t="shared" si="97"/>
        <v>1292</v>
      </c>
      <c r="BC93" s="267">
        <f t="shared" si="98"/>
        <v>1354</v>
      </c>
      <c r="BD93" s="267">
        <f t="shared" si="99"/>
        <v>1328</v>
      </c>
      <c r="BE93" s="267">
        <f t="shared" si="100"/>
        <v>1300</v>
      </c>
      <c r="BF93" s="267">
        <f t="shared" si="101"/>
        <v>1277</v>
      </c>
      <c r="BG93" s="269">
        <f>AY93*VLOOKUP($B93,'Major Cities &amp; Towns'!$A$28:$B$345,2,FALSE)</f>
        <v>879</v>
      </c>
      <c r="BH93" s="269">
        <f>AZ93*VLOOKUP($B93,'Major Cities &amp; Towns'!$A$28:$B$345,2,FALSE)</f>
        <v>900</v>
      </c>
      <c r="BI93" s="269">
        <f>BA93*VLOOKUP($B93,'Major Cities &amp; Towns'!$A$28:$B$345,2,FALSE)</f>
        <v>866</v>
      </c>
      <c r="BJ93" s="269">
        <f>BB93*VLOOKUP($B93,'Major Cities &amp; Towns'!$A$28:$B$345,2,FALSE)</f>
        <v>1292</v>
      </c>
      <c r="BK93" s="269">
        <f>BC93*VLOOKUP($B93,'Major Cities &amp; Towns'!$A$28:$B$345,2,FALSE)</f>
        <v>1354</v>
      </c>
      <c r="BL93" s="269">
        <f>BD93*VLOOKUP($B93,'Major Cities &amp; Towns'!$A$28:$B$345,2,FALSE)</f>
        <v>1328</v>
      </c>
      <c r="BM93" s="269">
        <f>BE93*VLOOKUP($B93,'Major Cities &amp; Towns'!$A$28:$B$345,2,FALSE)</f>
        <v>1300</v>
      </c>
      <c r="BN93" s="269">
        <f>BF93*VLOOKUP($B93,'Major Cities &amp; Towns'!$A$28:$B$345,2,FALSE)</f>
        <v>1277</v>
      </c>
      <c r="BO93" s="270">
        <f t="shared" si="102"/>
        <v>879</v>
      </c>
      <c r="BP93" s="270">
        <f t="shared" si="103"/>
        <v>900</v>
      </c>
      <c r="BQ93" s="270">
        <f t="shared" si="104"/>
        <v>866</v>
      </c>
      <c r="BR93" s="270">
        <f t="shared" si="105"/>
        <v>1292</v>
      </c>
      <c r="BS93" s="270">
        <f t="shared" si="106"/>
        <v>1354</v>
      </c>
      <c r="BT93" s="270">
        <f t="shared" si="107"/>
        <v>1328</v>
      </c>
      <c r="BU93" s="270">
        <f t="shared" si="108"/>
        <v>1300</v>
      </c>
      <c r="BV93" s="270">
        <f t="shared" si="109"/>
        <v>1277</v>
      </c>
      <c r="BW93" s="39" t="str">
        <f>VLOOKUP($A93,NetAdditions!$A$2:$H$336,6,FALSE)</f>
        <v>Not Applicable</v>
      </c>
      <c r="BX93" s="39">
        <f>VLOOKUP($A93,NetAdditions!$A$2:$H$336,7,FALSE)</f>
        <v>819</v>
      </c>
      <c r="BY93" s="39">
        <f>IF((VLOOKUP($C93,NetAdditions!$A$2:$H$336,8,FALSE))="",(AVERAGE(VLOOKUP($C93,NetAdditions!$A$2:$H$336,5,FALSE),VLOOKUP($C93,NetAdditions!$A$2:$H$336,6,FALSE),VLOOKUP($C93,NetAdditions!$A$2:$H$336,7,FALSE))),VLOOKUP($C93,NetAdditions!$A$2:$H$336,8,FALSE))</f>
        <v>712</v>
      </c>
      <c r="BZ93" s="39">
        <f t="shared" si="110"/>
        <v>765.5</v>
      </c>
      <c r="CA93" s="39">
        <f t="shared" si="111"/>
        <v>765.5</v>
      </c>
      <c r="CB93" s="39">
        <f t="shared" si="112"/>
        <v>747.66666666666663</v>
      </c>
      <c r="CC93" s="39">
        <f t="shared" si="113"/>
        <v>759.55555555555554</v>
      </c>
      <c r="CD93" s="39">
        <f t="shared" si="114"/>
        <v>757.57407407407402</v>
      </c>
      <c r="CE93" s="276">
        <f t="shared" si="71"/>
        <v>2645</v>
      </c>
      <c r="CF93" s="276">
        <f t="shared" si="72"/>
        <v>3058</v>
      </c>
      <c r="CG93" s="276">
        <f t="shared" si="73"/>
        <v>3512</v>
      </c>
      <c r="CH93" s="276">
        <f t="shared" si="74"/>
        <v>3974</v>
      </c>
      <c r="CI93" s="276">
        <f t="shared" si="75"/>
        <v>3982</v>
      </c>
      <c r="CJ93" s="276">
        <f t="shared" si="76"/>
        <v>3905</v>
      </c>
      <c r="CK93" s="276">
        <f t="shared" si="115"/>
        <v>2277.6388888888891</v>
      </c>
      <c r="CL93" s="276">
        <f t="shared" si="116"/>
        <v>2633.2777777777778</v>
      </c>
      <c r="CM93" s="276">
        <f t="shared" si="117"/>
        <v>3219.333333333333</v>
      </c>
      <c r="CN93" s="276">
        <f t="shared" si="118"/>
        <v>3974</v>
      </c>
      <c r="CO93" s="276">
        <f t="shared" si="119"/>
        <v>3982</v>
      </c>
      <c r="CP93" s="276">
        <f t="shared" si="120"/>
        <v>3905</v>
      </c>
      <c r="CQ93" s="39">
        <f t="shared" si="77"/>
        <v>1531</v>
      </c>
      <c r="CR93" s="39">
        <f t="shared" si="78"/>
        <v>2296.5</v>
      </c>
      <c r="CS93" s="277">
        <f t="shared" si="79"/>
        <v>2243</v>
      </c>
      <c r="CT93" s="39">
        <f t="shared" si="80"/>
        <v>2278.6666666666665</v>
      </c>
      <c r="CU93" s="39">
        <f t="shared" si="81"/>
        <v>2272.7222222222222</v>
      </c>
      <c r="CV93" s="39">
        <f t="shared" si="121"/>
        <v>2264.7962962962961</v>
      </c>
      <c r="CW93" s="297">
        <f t="shared" si="82"/>
        <v>0.67218732849563989</v>
      </c>
      <c r="CX93" s="279" t="str">
        <f t="shared" si="122"/>
        <v>Buffer and Action Plan</v>
      </c>
      <c r="CY93" s="278">
        <f t="shared" si="83"/>
        <v>0.87210700647692985</v>
      </c>
      <c r="CZ93" s="279" t="str">
        <f t="shared" si="123"/>
        <v>Action Plan</v>
      </c>
      <c r="DA93" s="278">
        <f t="shared" si="84"/>
        <v>0.69672810105611938</v>
      </c>
      <c r="DB93" s="292" t="str">
        <f t="shared" si="124"/>
        <v>Presumption</v>
      </c>
      <c r="DC93" s="299">
        <f t="shared" si="125"/>
        <v>0.57339372588491855</v>
      </c>
      <c r="DD93" s="293" t="str">
        <f t="shared" si="126"/>
        <v>Presumption</v>
      </c>
      <c r="DE93" s="299">
        <f t="shared" si="127"/>
        <v>0.57074892572130143</v>
      </c>
      <c r="DF93" s="293" t="str">
        <f t="shared" si="128"/>
        <v>Presumption</v>
      </c>
      <c r="DG93" s="299">
        <f t="shared" si="129"/>
        <v>0.57997344335372503</v>
      </c>
      <c r="DH93" s="293" t="str">
        <f t="shared" si="130"/>
        <v>Presumption</v>
      </c>
    </row>
    <row r="94" spans="1:112" ht="15" thickTop="1" thickBot="1">
      <c r="A94" s="38" t="s">
        <v>298</v>
      </c>
      <c r="B94" s="38" t="s">
        <v>299</v>
      </c>
      <c r="C94" s="38" t="s">
        <v>298</v>
      </c>
      <c r="D94" s="38" t="s">
        <v>113</v>
      </c>
      <c r="E94" s="38" t="str">
        <f>VLOOKUP(C94,PoliticalControl!A:K,11,FALSE)</f>
        <v>LD</v>
      </c>
      <c r="F94" s="38" t="str">
        <f>VLOOKUP(C94,UrbanRuralClassification!A:N,13,FALSE)</f>
        <v>Urban with City and Town</v>
      </c>
      <c r="G94" s="38" t="str">
        <f>VLOOKUP(C94,UrbanRuralClassification!A:N,14,FALSE)</f>
        <v>Predominantly Urban</v>
      </c>
      <c r="H94" s="258">
        <f>IF(ISBLANK((VLOOKUP($A94,'local-plan-data'!$C$1:$AD$566,27,FALSE)))=TRUE,"",VLOOKUP($A94,'local-plan-data'!$C$1:$AD$566,27,FALSE))</f>
        <v>41325</v>
      </c>
      <c r="I94" s="259">
        <f>VLOOKUP($A94,'local-plan-data'!$C$1:$AD$566,28,FALSE)</f>
        <v>239.14285714285714</v>
      </c>
      <c r="J94" s="260">
        <f t="shared" si="85"/>
        <v>239.14285714285714</v>
      </c>
      <c r="K94" s="259" t="str">
        <f t="shared" si="133"/>
        <v>-</v>
      </c>
      <c r="L94" s="259" t="str">
        <f t="shared" si="131"/>
        <v>-</v>
      </c>
      <c r="M94" s="259" t="str">
        <f t="shared" si="131"/>
        <v>-</v>
      </c>
      <c r="N94" s="259" t="str">
        <f t="shared" si="131"/>
        <v>-</v>
      </c>
      <c r="O94" s="259" t="str">
        <f t="shared" si="131"/>
        <v>-</v>
      </c>
      <c r="P94" s="259" t="str">
        <f t="shared" si="131"/>
        <v>-</v>
      </c>
      <c r="Q94" s="259" t="str">
        <f t="shared" si="131"/>
        <v>-</v>
      </c>
      <c r="R94" s="259" t="str">
        <f t="shared" si="131"/>
        <v>-</v>
      </c>
      <c r="S94" s="259">
        <f t="shared" si="134"/>
        <v>-40</v>
      </c>
      <c r="T94" s="259">
        <f t="shared" si="132"/>
        <v>-405</v>
      </c>
      <c r="U94" s="259">
        <f t="shared" si="132"/>
        <v>-771</v>
      </c>
      <c r="V94" s="259">
        <f t="shared" si="132"/>
        <v>-1136</v>
      </c>
      <c r="W94" s="259">
        <f t="shared" si="132"/>
        <v>-1501</v>
      </c>
      <c r="X94" s="259">
        <f t="shared" si="132"/>
        <v>-1866</v>
      </c>
      <c r="Y94" s="259">
        <f t="shared" si="132"/>
        <v>-2232</v>
      </c>
      <c r="Z94" s="259">
        <f t="shared" si="132"/>
        <v>-2597</v>
      </c>
      <c r="AA94" s="267">
        <f>(VLOOKUP(A94,Hshldprojections2014!$A$2:$AW$319,40, FALSE)-VLOOKUP(A94,Hshldprojections2014!$A$2:$AW$319,30, FALSE))/10</f>
        <v>518.70000000000005</v>
      </c>
      <c r="AB94" s="267">
        <f>(VLOOKUP(A94,Hshldprojections2014!$A$2:$AW$319,41, FALSE)-VLOOKUP(A94,Hshldprojections2014!$A$2:$AW$319,31, FALSE))/10</f>
        <v>526.9</v>
      </c>
      <c r="AC94" s="267">
        <f>(VLOOKUP(A94,Hshldprojections2014!$A$2:$AW$319,42, FALSE)-VLOOKUP(A94,Hshldprojections2014!$A$2:$AW$319,32, FALSE))/10</f>
        <v>535.79999999999995</v>
      </c>
      <c r="AD94" s="267">
        <f>IF(IndividualLATest!$J$7=2014,(VLOOKUP($A94,Hshldprojections2014!$A$2:$AY$326,43,FALSE)-VLOOKUP($A94,Hshldprojections2014!$A$2:$AY$326,33,FALSE))/10,IF(IndividualLATest!$J$7=2016,(VLOOKUP($A94,Hshldprojections2016!$A$1:$AQ$322,33,FALSE)-VLOOKUP($A94,Hshldprojections2016!$A$1:$AQ$322,23,FALSE))/10,(VLOOKUP($A94,Hshldprojections2018!$A$1:$AQ$327,33,FALSE)-VLOOKUP($A94,Hshldprojections2018!$A$1:$AQ$327,23,FALSE))/10))</f>
        <v>298.10000000000002</v>
      </c>
      <c r="AE94" s="267">
        <f>IF(IndividualLATest!$J$7=2014,(VLOOKUP($A94,Hshldprojections2014!$A$2:$AY$326,44,FALSE)-VLOOKUP($A94,Hshldprojections2014!$A$2:$AY$326,34,FALSE))/10,IF(IndividualLATest!$J$7=2016,(VLOOKUP($A94,Hshldprojections2016!$A$1:$AQ$322,34,FALSE)-VLOOKUP($A94,Hshldprojections2016!$A$1:$AQ$322,24,FALSE))/10,(VLOOKUP($A94,Hshldprojections2018!$A$1:$AQ$327,34,FALSE)-VLOOKUP($A94,Hshldprojections2018!$A$1:$AQ$327,24,FALSE))/10))</f>
        <v>298.7</v>
      </c>
      <c r="AF94" s="267">
        <f>IF(IndividualLATest!$J$7=2014,(VLOOKUP($A94,Hshldprojections2014!$A$2:$AY$326,45,FALSE)-VLOOKUP($A94,Hshldprojections2014!$A$2:$AY$326,35,FALSE))/10,IF(IndividualLATest!$J$7=2016,(VLOOKUP($A94,Hshldprojections2016!$A$1:$AQ$322,35,FALSE)-VLOOKUP($A94,Hshldprojections2016!$A$1:$AQ$322,25,FALSE))/10,(VLOOKUP($A94,Hshldprojections2018!$A$1:$AQ$327,35,FALSE)-VLOOKUP($A94,Hshldprojections2018!$A$1:$AQ$327,25,FALSE))/10))</f>
        <v>300.60000000000002</v>
      </c>
      <c r="AG94" s="267">
        <f>IF(IndividualLATest!$J$7=2014,(VLOOKUP($A94,Hshldprojections2014!$A$2:$AY$326,46,FALSE)-VLOOKUP($A94,Hshldprojections2014!$A$2:$AY$326,36,FALSE))/10,IF(IndividualLATest!$J$7=2016,(VLOOKUP($A94,Hshldprojections2016!$A$1:$AQ$322,36,FALSE)-VLOOKUP($A94,Hshldprojections2016!$A$1:$AQ$322,26,FALSE))/10,(VLOOKUP($A94,Hshldprojections2018!$A$1:$AQ$327,36,FALSE)-VLOOKUP($A94,Hshldprojections2018!$A$1:$AQ$327,26,FALSE))/10))</f>
        <v>299.89999999999998</v>
      </c>
      <c r="AH94" s="267">
        <f>IF(IndividualLATest!$J$7=2014,(VLOOKUP($A94,Hshldprojections2014!$A$2:$AY$326,47,FALSE)-VLOOKUP($A94,Hshldprojections2014!$A$2:$AY$326,37,FALSE))/10,IF(IndividualLATest!$J$7=2016,(VLOOKUP($A94,Hshldprojections2016!$A$1:$AQ$322,37,FALSE)-VLOOKUP($A94,Hshldprojections2016!$A$1:$AQ$322,27,FALSE))/10,(VLOOKUP($A94,Hshldprojections2018!$A$1:$AQ$327,37,FALSE)-VLOOKUP($A94,Hshldprojections2018!$A$1:$AQ$327,27,FALSE))/10))</f>
        <v>300.60000000000002</v>
      </c>
      <c r="AI94" s="268">
        <f>VLOOKUP($A94,AffordabilityRatio!$A$2:$I$321,5,FALSE)</f>
        <v>8.7799999999999994</v>
      </c>
      <c r="AJ94" s="268">
        <f>VLOOKUP($A94,AffordabilityRatio!$A$2:$I$321,6,FALSE)</f>
        <v>8.23</v>
      </c>
      <c r="AK94" s="268">
        <f>VLOOKUP($A94,AffordabilityRatio!$A$2:$I$321,7,FALSE)</f>
        <v>8.08</v>
      </c>
      <c r="AL94" s="268">
        <f>IF((VLOOKUP($A94,AffordabilityRatio!$A$2:$I$321,8,FALSE))="",AK94,VLOOKUP($A94,AffordabilityRatio!$A$2:$I$321,8,FALSE))</f>
        <v>9.01</v>
      </c>
      <c r="AM94" s="268">
        <f>IF((VLOOKUP($A94,AffordabilityRatio!$A$2:$I$321,9,FALSE))="",AL94,VLOOKUP($A94,AffordabilityRatio!$A$2:$I$321,9,FALSE))</f>
        <v>9.42</v>
      </c>
      <c r="AN94" s="268">
        <f>IF((VLOOKUP($A94,AffordabilityRatio!$A$2:$I$321,9,FALSE))="",AM94,VLOOKUP($A94,AffordabilityRatio!$A$2:$I$321,9,FALSE))</f>
        <v>9.42</v>
      </c>
      <c r="AO94" s="268">
        <f>IF((VLOOKUP($A94,AffordabilityRatio!$A$2:$I$321,9,FALSE))="",AN94,VLOOKUP($A94,AffordabilityRatio!$A$2:$I$321,9,FALSE))</f>
        <v>9.42</v>
      </c>
      <c r="AP94" s="268">
        <f>IF((VLOOKUP($A94,AffordabilityRatio!$A$2:$I$321,9,FALSE))="",AO94,VLOOKUP($A94,AffordabilityRatio!$A$2:$I$321,9,FALSE))</f>
        <v>9.42</v>
      </c>
      <c r="AQ94" s="267">
        <f t="shared" si="86"/>
        <v>674</v>
      </c>
      <c r="AR94" s="267">
        <f t="shared" si="87"/>
        <v>666</v>
      </c>
      <c r="AS94" s="267">
        <f t="shared" si="88"/>
        <v>672</v>
      </c>
      <c r="AT94" s="267">
        <f t="shared" si="89"/>
        <v>391</v>
      </c>
      <c r="AU94" s="267">
        <f t="shared" si="90"/>
        <v>400</v>
      </c>
      <c r="AV94" s="267">
        <f t="shared" si="91"/>
        <v>402</v>
      </c>
      <c r="AW94" s="267">
        <f t="shared" si="92"/>
        <v>401</v>
      </c>
      <c r="AX94" s="267">
        <f t="shared" si="93"/>
        <v>402</v>
      </c>
      <c r="AY94" s="267">
        <f t="shared" si="94"/>
        <v>674</v>
      </c>
      <c r="AZ94" s="267">
        <f t="shared" si="95"/>
        <v>666</v>
      </c>
      <c r="BA94" s="267">
        <f t="shared" si="96"/>
        <v>672</v>
      </c>
      <c r="BB94" s="267">
        <f t="shared" si="97"/>
        <v>391</v>
      </c>
      <c r="BC94" s="267">
        <f t="shared" si="98"/>
        <v>400</v>
      </c>
      <c r="BD94" s="267">
        <f t="shared" si="99"/>
        <v>402</v>
      </c>
      <c r="BE94" s="267">
        <f t="shared" si="100"/>
        <v>401</v>
      </c>
      <c r="BF94" s="267">
        <f t="shared" si="101"/>
        <v>402</v>
      </c>
      <c r="BG94" s="269">
        <f>AY94*VLOOKUP($B94,'Major Cities &amp; Towns'!$A$28:$B$345,2,FALSE)</f>
        <v>674</v>
      </c>
      <c r="BH94" s="269">
        <f>AZ94*VLOOKUP($B94,'Major Cities &amp; Towns'!$A$28:$B$345,2,FALSE)</f>
        <v>666</v>
      </c>
      <c r="BI94" s="269">
        <f>BA94*VLOOKUP($B94,'Major Cities &amp; Towns'!$A$28:$B$345,2,FALSE)</f>
        <v>672</v>
      </c>
      <c r="BJ94" s="269">
        <f>BB94*VLOOKUP($B94,'Major Cities &amp; Towns'!$A$28:$B$345,2,FALSE)</f>
        <v>391</v>
      </c>
      <c r="BK94" s="269">
        <f>BC94*VLOOKUP($B94,'Major Cities &amp; Towns'!$A$28:$B$345,2,FALSE)</f>
        <v>400</v>
      </c>
      <c r="BL94" s="269">
        <f>BD94*VLOOKUP($B94,'Major Cities &amp; Towns'!$A$28:$B$345,2,FALSE)</f>
        <v>402</v>
      </c>
      <c r="BM94" s="269">
        <f>BE94*VLOOKUP($B94,'Major Cities &amp; Towns'!$A$28:$B$345,2,FALSE)</f>
        <v>401</v>
      </c>
      <c r="BN94" s="269">
        <f>BF94*VLOOKUP($B94,'Major Cities &amp; Towns'!$A$28:$B$345,2,FALSE)</f>
        <v>402</v>
      </c>
      <c r="BO94" s="270">
        <f t="shared" si="102"/>
        <v>674</v>
      </c>
      <c r="BP94" s="270">
        <f t="shared" si="103"/>
        <v>666</v>
      </c>
      <c r="BQ94" s="270">
        <f t="shared" si="104"/>
        <v>672</v>
      </c>
      <c r="BR94" s="270">
        <f t="shared" si="105"/>
        <v>391</v>
      </c>
      <c r="BS94" s="270">
        <f t="shared" si="106"/>
        <v>400</v>
      </c>
      <c r="BT94" s="270">
        <f t="shared" si="107"/>
        <v>402</v>
      </c>
      <c r="BU94" s="270">
        <f t="shared" si="108"/>
        <v>401</v>
      </c>
      <c r="BV94" s="270">
        <f t="shared" si="109"/>
        <v>402</v>
      </c>
      <c r="BW94" s="39">
        <f>VLOOKUP($A94,NetAdditions!$A$2:$H$336,6,FALSE)</f>
        <v>130</v>
      </c>
      <c r="BX94" s="39">
        <f>VLOOKUP($A94,NetAdditions!$A$2:$H$336,7,FALSE)</f>
        <v>200</v>
      </c>
      <c r="BY94" s="39">
        <f>IF((VLOOKUP($C94,NetAdditions!$A$2:$H$336,8,FALSE))="",(AVERAGE(VLOOKUP($C94,NetAdditions!$A$2:$H$336,5,FALSE),VLOOKUP($C94,NetAdditions!$A$2:$H$336,6,FALSE),VLOOKUP($C94,NetAdditions!$A$2:$H$336,7,FALSE))),VLOOKUP($C94,NetAdditions!$A$2:$H$336,8,FALSE))</f>
        <v>230</v>
      </c>
      <c r="BZ94" s="39">
        <f t="shared" si="110"/>
        <v>186.66666666666666</v>
      </c>
      <c r="CA94" s="39">
        <f t="shared" si="111"/>
        <v>205.55555555555554</v>
      </c>
      <c r="CB94" s="39">
        <f t="shared" si="112"/>
        <v>207.40740740740739</v>
      </c>
      <c r="CC94" s="39">
        <f t="shared" si="113"/>
        <v>199.87654320987653</v>
      </c>
      <c r="CD94" s="39">
        <f t="shared" si="114"/>
        <v>204.27983539094649</v>
      </c>
      <c r="CE94" s="276">
        <f t="shared" si="71"/>
        <v>2012</v>
      </c>
      <c r="CF94" s="276">
        <f t="shared" si="72"/>
        <v>1729</v>
      </c>
      <c r="CG94" s="276">
        <f t="shared" si="73"/>
        <v>1463</v>
      </c>
      <c r="CH94" s="276">
        <f t="shared" si="74"/>
        <v>1193</v>
      </c>
      <c r="CI94" s="276">
        <f t="shared" si="75"/>
        <v>1203</v>
      </c>
      <c r="CJ94" s="276">
        <f t="shared" si="76"/>
        <v>1205</v>
      </c>
      <c r="CK94" s="276">
        <f t="shared" si="115"/>
        <v>1732.5555555555557</v>
      </c>
      <c r="CL94" s="276">
        <f t="shared" si="116"/>
        <v>1488.8611111111111</v>
      </c>
      <c r="CM94" s="276">
        <f t="shared" si="117"/>
        <v>1341.0833333333333</v>
      </c>
      <c r="CN94" s="276">
        <f t="shared" si="118"/>
        <v>1193</v>
      </c>
      <c r="CO94" s="276">
        <f t="shared" si="119"/>
        <v>1203</v>
      </c>
      <c r="CP94" s="276">
        <f t="shared" si="120"/>
        <v>1205</v>
      </c>
      <c r="CQ94" s="39">
        <f t="shared" si="77"/>
        <v>560</v>
      </c>
      <c r="CR94" s="39">
        <f t="shared" si="78"/>
        <v>616.66666666666663</v>
      </c>
      <c r="CS94" s="277">
        <f t="shared" si="79"/>
        <v>622.22222222222217</v>
      </c>
      <c r="CT94" s="39">
        <f t="shared" si="80"/>
        <v>599.62962962962956</v>
      </c>
      <c r="CU94" s="39">
        <f t="shared" si="81"/>
        <v>612.83950617283949</v>
      </c>
      <c r="CV94" s="39">
        <f t="shared" si="121"/>
        <v>611.56378600823041</v>
      </c>
      <c r="CW94" s="297">
        <f t="shared" si="82"/>
        <v>0.32322195857115371</v>
      </c>
      <c r="CX94" s="279" t="str">
        <f t="shared" si="122"/>
        <v>Buffer and Action Plan</v>
      </c>
      <c r="CY94" s="278">
        <f t="shared" si="83"/>
        <v>0.41418683184387767</v>
      </c>
      <c r="CZ94" s="279" t="str">
        <f t="shared" si="123"/>
        <v>Presumption</v>
      </c>
      <c r="DA94" s="278">
        <f t="shared" si="84"/>
        <v>0.46396984196027258</v>
      </c>
      <c r="DB94" s="292" t="str">
        <f t="shared" si="124"/>
        <v>Presumption</v>
      </c>
      <c r="DC94" s="299">
        <f t="shared" si="125"/>
        <v>0.50262332743472726</v>
      </c>
      <c r="DD94" s="293" t="str">
        <f t="shared" si="126"/>
        <v>Presumption</v>
      </c>
      <c r="DE94" s="299">
        <f t="shared" si="127"/>
        <v>0.50942602341881915</v>
      </c>
      <c r="DF94" s="293" t="str">
        <f t="shared" si="128"/>
        <v>Presumption</v>
      </c>
      <c r="DG94" s="299">
        <f t="shared" si="129"/>
        <v>0.50752181411471409</v>
      </c>
      <c r="DH94" s="293" t="str">
        <f t="shared" si="130"/>
        <v>Presumption</v>
      </c>
    </row>
    <row r="95" spans="1:112" ht="15" thickTop="1" thickBot="1">
      <c r="A95" s="38" t="s">
        <v>300</v>
      </c>
      <c r="B95" s="38" t="s">
        <v>301</v>
      </c>
      <c r="C95" s="38" t="s">
        <v>300</v>
      </c>
      <c r="D95" s="38" t="s">
        <v>113</v>
      </c>
      <c r="E95" s="38" t="str">
        <f>VLOOKUP(C95,PoliticalControl!A:K,11,FALSE)</f>
        <v>LD</v>
      </c>
      <c r="F95" s="38" t="str">
        <f>VLOOKUP(C95,UrbanRuralClassification!A:N,13,FALSE)</f>
        <v>Urban with City and Town</v>
      </c>
      <c r="G95" s="38" t="str">
        <f>VLOOKUP(C95,UrbanRuralClassification!A:N,14,FALSE)</f>
        <v>Predominantly Urban</v>
      </c>
      <c r="H95" s="258" t="str">
        <f>IF(ISBLANK((VLOOKUP($A95,'local-plan-data'!$C$1:$AD$566,27,FALSE)))=TRUE,"",VLOOKUP($A95,'local-plan-data'!$C$1:$AD$566,27,FALSE))</f>
        <v/>
      </c>
      <c r="I95" s="259">
        <f>VLOOKUP($A95,'local-plan-data'!$C$1:$AD$566,28,FALSE)</f>
        <v>729</v>
      </c>
      <c r="J95" s="260">
        <f t="shared" si="85"/>
        <v>729</v>
      </c>
      <c r="K95" s="259" t="str">
        <f t="shared" si="133"/>
        <v>-</v>
      </c>
      <c r="L95" s="259" t="str">
        <f t="shared" si="131"/>
        <v>-</v>
      </c>
      <c r="M95" s="259" t="str">
        <f t="shared" si="131"/>
        <v>-</v>
      </c>
      <c r="N95" s="259" t="str">
        <f t="shared" si="131"/>
        <v>-</v>
      </c>
      <c r="O95" s="259" t="str">
        <f t="shared" si="131"/>
        <v>-</v>
      </c>
      <c r="P95" s="259" t="str">
        <f t="shared" si="131"/>
        <v>-</v>
      </c>
      <c r="Q95" s="259" t="str">
        <f t="shared" si="131"/>
        <v>-</v>
      </c>
      <c r="R95" s="259" t="str">
        <f t="shared" si="131"/>
        <v>-</v>
      </c>
      <c r="S95" s="259" t="str">
        <f t="shared" si="134"/>
        <v>-</v>
      </c>
      <c r="T95" s="259" t="str">
        <f t="shared" si="132"/>
        <v>-</v>
      </c>
      <c r="U95" s="259" t="str">
        <f t="shared" si="132"/>
        <v>-</v>
      </c>
      <c r="V95" s="259" t="str">
        <f t="shared" si="132"/>
        <v>-</v>
      </c>
      <c r="W95" s="259" t="str">
        <f t="shared" si="132"/>
        <v>-</v>
      </c>
      <c r="X95" s="259" t="str">
        <f t="shared" si="132"/>
        <v>-</v>
      </c>
      <c r="Y95" s="259" t="str">
        <f t="shared" si="132"/>
        <v>-</v>
      </c>
      <c r="Z95" s="259" t="str">
        <f t="shared" si="132"/>
        <v>-</v>
      </c>
      <c r="AA95" s="267">
        <f>(VLOOKUP(A95,Hshldprojections2014!$A$2:$AW$319,40, FALSE)-VLOOKUP(A95,Hshldprojections2014!$A$2:$AW$319,30, FALSE))/10</f>
        <v>522.20000000000005</v>
      </c>
      <c r="AB95" s="267">
        <f>(VLOOKUP(A95,Hshldprojections2014!$A$2:$AW$319,41, FALSE)-VLOOKUP(A95,Hshldprojections2014!$A$2:$AW$319,31, FALSE))/10</f>
        <v>513.9</v>
      </c>
      <c r="AC95" s="267">
        <f>(VLOOKUP(A95,Hshldprojections2014!$A$2:$AW$319,42, FALSE)-VLOOKUP(A95,Hshldprojections2014!$A$2:$AW$319,32, FALSE))/10</f>
        <v>506.4</v>
      </c>
      <c r="AD95" s="267">
        <f>IF(IndividualLATest!$J$7=2014,(VLOOKUP($A95,Hshldprojections2014!$A$2:$AY$326,43,FALSE)-VLOOKUP($A95,Hshldprojections2014!$A$2:$AY$326,33,FALSE))/10,IF(IndividualLATest!$J$7=2016,(VLOOKUP($A95,Hshldprojections2016!$A$1:$AQ$322,33,FALSE)-VLOOKUP($A95,Hshldprojections2016!$A$1:$AQ$322,23,FALSE))/10,(VLOOKUP($A95,Hshldprojections2018!$A$1:$AQ$327,33,FALSE)-VLOOKUP($A95,Hshldprojections2018!$A$1:$AQ$327,23,FALSE))/10))</f>
        <v>450.9</v>
      </c>
      <c r="AE95" s="267">
        <f>IF(IndividualLATest!$J$7=2014,(VLOOKUP($A95,Hshldprojections2014!$A$2:$AY$326,44,FALSE)-VLOOKUP($A95,Hshldprojections2014!$A$2:$AY$326,34,FALSE))/10,IF(IndividualLATest!$J$7=2016,(VLOOKUP($A95,Hshldprojections2016!$A$1:$AQ$322,34,FALSE)-VLOOKUP($A95,Hshldprojections2016!$A$1:$AQ$322,24,FALSE))/10,(VLOOKUP($A95,Hshldprojections2018!$A$1:$AQ$327,34,FALSE)-VLOOKUP($A95,Hshldprojections2018!$A$1:$AQ$327,24,FALSE))/10))</f>
        <v>436.8</v>
      </c>
      <c r="AF95" s="267">
        <f>IF(IndividualLATest!$J$7=2014,(VLOOKUP($A95,Hshldprojections2014!$A$2:$AY$326,45,FALSE)-VLOOKUP($A95,Hshldprojections2014!$A$2:$AY$326,35,FALSE))/10,IF(IndividualLATest!$J$7=2016,(VLOOKUP($A95,Hshldprojections2016!$A$1:$AQ$322,35,FALSE)-VLOOKUP($A95,Hshldprojections2016!$A$1:$AQ$322,25,FALSE))/10,(VLOOKUP($A95,Hshldprojections2018!$A$1:$AQ$327,35,FALSE)-VLOOKUP($A95,Hshldprojections2018!$A$1:$AQ$327,25,FALSE))/10))</f>
        <v>424.4</v>
      </c>
      <c r="AG95" s="267">
        <f>IF(IndividualLATest!$J$7=2014,(VLOOKUP($A95,Hshldprojections2014!$A$2:$AY$326,46,FALSE)-VLOOKUP($A95,Hshldprojections2014!$A$2:$AY$326,36,FALSE))/10,IF(IndividualLATest!$J$7=2016,(VLOOKUP($A95,Hshldprojections2016!$A$1:$AQ$322,36,FALSE)-VLOOKUP($A95,Hshldprojections2016!$A$1:$AQ$322,26,FALSE))/10,(VLOOKUP($A95,Hshldprojections2018!$A$1:$AQ$327,36,FALSE)-VLOOKUP($A95,Hshldprojections2018!$A$1:$AQ$327,26,FALSE))/10))</f>
        <v>412.6</v>
      </c>
      <c r="AH95" s="267">
        <f>IF(IndividualLATest!$J$7=2014,(VLOOKUP($A95,Hshldprojections2014!$A$2:$AY$326,47,FALSE)-VLOOKUP($A95,Hshldprojections2014!$A$2:$AY$326,37,FALSE))/10,IF(IndividualLATest!$J$7=2016,(VLOOKUP($A95,Hshldprojections2016!$A$1:$AQ$322,37,FALSE)-VLOOKUP($A95,Hshldprojections2016!$A$1:$AQ$322,27,FALSE))/10,(VLOOKUP($A95,Hshldprojections2018!$A$1:$AQ$327,37,FALSE)-VLOOKUP($A95,Hshldprojections2018!$A$1:$AQ$327,27,FALSE))/10))</f>
        <v>404.4</v>
      </c>
      <c r="AI95" s="268">
        <f>VLOOKUP($A95,AffordabilityRatio!$A$2:$I$321,5,FALSE)</f>
        <v>9.6199999999999992</v>
      </c>
      <c r="AJ95" s="268">
        <f>VLOOKUP($A95,AffordabilityRatio!$A$2:$I$321,6,FALSE)</f>
        <v>10.44</v>
      </c>
      <c r="AK95" s="268">
        <f>VLOOKUP($A95,AffordabilityRatio!$A$2:$I$321,7,FALSE)</f>
        <v>9.93</v>
      </c>
      <c r="AL95" s="268">
        <f>IF((VLOOKUP($A95,AffordabilityRatio!$A$2:$I$321,8,FALSE))="",AK95,VLOOKUP($A95,AffordabilityRatio!$A$2:$I$321,8,FALSE))</f>
        <v>9.65</v>
      </c>
      <c r="AM95" s="268">
        <f>IF((VLOOKUP($A95,AffordabilityRatio!$A$2:$I$321,9,FALSE))="",AL95,VLOOKUP($A95,AffordabilityRatio!$A$2:$I$321,9,FALSE))</f>
        <v>9.75</v>
      </c>
      <c r="AN95" s="268">
        <f>IF((VLOOKUP($A95,AffordabilityRatio!$A$2:$I$321,9,FALSE))="",AM95,VLOOKUP($A95,AffordabilityRatio!$A$2:$I$321,9,FALSE))</f>
        <v>9.75</v>
      </c>
      <c r="AO95" s="268">
        <f>IF((VLOOKUP($A95,AffordabilityRatio!$A$2:$I$321,9,FALSE))="",AN95,VLOOKUP($A95,AffordabilityRatio!$A$2:$I$321,9,FALSE))</f>
        <v>9.75</v>
      </c>
      <c r="AP95" s="268">
        <f>IF((VLOOKUP($A95,AffordabilityRatio!$A$2:$I$321,9,FALSE))="",AO95,VLOOKUP($A95,AffordabilityRatio!$A$2:$I$321,9,FALSE))</f>
        <v>9.75</v>
      </c>
      <c r="AQ95" s="267">
        <f t="shared" si="86"/>
        <v>706</v>
      </c>
      <c r="AR95" s="267">
        <f t="shared" si="87"/>
        <v>721</v>
      </c>
      <c r="AS95" s="267">
        <f t="shared" si="88"/>
        <v>694</v>
      </c>
      <c r="AT95" s="267">
        <f t="shared" si="89"/>
        <v>610</v>
      </c>
      <c r="AU95" s="267">
        <f t="shared" si="90"/>
        <v>594</v>
      </c>
      <c r="AV95" s="267">
        <f t="shared" si="91"/>
        <v>577</v>
      </c>
      <c r="AW95" s="267">
        <f t="shared" si="92"/>
        <v>561</v>
      </c>
      <c r="AX95" s="267">
        <f t="shared" si="93"/>
        <v>550</v>
      </c>
      <c r="AY95" s="267">
        <f t="shared" si="94"/>
        <v>706</v>
      </c>
      <c r="AZ95" s="267">
        <f t="shared" si="95"/>
        <v>721</v>
      </c>
      <c r="BA95" s="267">
        <f t="shared" si="96"/>
        <v>694</v>
      </c>
      <c r="BB95" s="267">
        <f t="shared" si="97"/>
        <v>610</v>
      </c>
      <c r="BC95" s="267">
        <f t="shared" si="98"/>
        <v>594</v>
      </c>
      <c r="BD95" s="267">
        <f t="shared" si="99"/>
        <v>577</v>
      </c>
      <c r="BE95" s="267">
        <f t="shared" si="100"/>
        <v>561</v>
      </c>
      <c r="BF95" s="267">
        <f t="shared" si="101"/>
        <v>550</v>
      </c>
      <c r="BG95" s="269">
        <f>AY95*VLOOKUP($B95,'Major Cities &amp; Towns'!$A$28:$B$345,2,FALSE)</f>
        <v>706</v>
      </c>
      <c r="BH95" s="269">
        <f>AZ95*VLOOKUP($B95,'Major Cities &amp; Towns'!$A$28:$B$345,2,FALSE)</f>
        <v>721</v>
      </c>
      <c r="BI95" s="269">
        <f>BA95*VLOOKUP($B95,'Major Cities &amp; Towns'!$A$28:$B$345,2,FALSE)</f>
        <v>694</v>
      </c>
      <c r="BJ95" s="269">
        <f>BB95*VLOOKUP($B95,'Major Cities &amp; Towns'!$A$28:$B$345,2,FALSE)</f>
        <v>610</v>
      </c>
      <c r="BK95" s="269">
        <f>BC95*VLOOKUP($B95,'Major Cities &amp; Towns'!$A$28:$B$345,2,FALSE)</f>
        <v>594</v>
      </c>
      <c r="BL95" s="269">
        <f>BD95*VLOOKUP($B95,'Major Cities &amp; Towns'!$A$28:$B$345,2,FALSE)</f>
        <v>577</v>
      </c>
      <c r="BM95" s="269">
        <f>BE95*VLOOKUP($B95,'Major Cities &amp; Towns'!$A$28:$B$345,2,FALSE)</f>
        <v>561</v>
      </c>
      <c r="BN95" s="269">
        <f>BF95*VLOOKUP($B95,'Major Cities &amp; Towns'!$A$28:$B$345,2,FALSE)</f>
        <v>550</v>
      </c>
      <c r="BO95" s="270">
        <f t="shared" si="102"/>
        <v>706</v>
      </c>
      <c r="BP95" s="270">
        <f t="shared" si="103"/>
        <v>721</v>
      </c>
      <c r="BQ95" s="270">
        <f t="shared" si="104"/>
        <v>694</v>
      </c>
      <c r="BR95" s="270">
        <f t="shared" si="105"/>
        <v>610</v>
      </c>
      <c r="BS95" s="270">
        <f t="shared" si="106"/>
        <v>594</v>
      </c>
      <c r="BT95" s="270">
        <f t="shared" si="107"/>
        <v>577</v>
      </c>
      <c r="BU95" s="270">
        <f t="shared" si="108"/>
        <v>561</v>
      </c>
      <c r="BV95" s="270">
        <f t="shared" si="109"/>
        <v>550</v>
      </c>
      <c r="BW95" s="39">
        <f>VLOOKUP($A95,NetAdditions!$A$2:$H$336,6,FALSE)</f>
        <v>1162</v>
      </c>
      <c r="BX95" s="39">
        <f>VLOOKUP($A95,NetAdditions!$A$2:$H$336,7,FALSE)</f>
        <v>1223</v>
      </c>
      <c r="BY95" s="39">
        <f>IF((VLOOKUP($C95,NetAdditions!$A$2:$H$336,8,FALSE))="",(AVERAGE(VLOOKUP($C95,NetAdditions!$A$2:$H$336,5,FALSE),VLOOKUP($C95,NetAdditions!$A$2:$H$336,6,FALSE),VLOOKUP($C95,NetAdditions!$A$2:$H$336,7,FALSE))),VLOOKUP($C95,NetAdditions!$A$2:$H$336,8,FALSE))</f>
        <v>846</v>
      </c>
      <c r="BZ95" s="39">
        <f t="shared" si="110"/>
        <v>1077</v>
      </c>
      <c r="CA95" s="39">
        <f t="shared" si="111"/>
        <v>1048.6666666666667</v>
      </c>
      <c r="CB95" s="39">
        <f t="shared" si="112"/>
        <v>990.55555555555566</v>
      </c>
      <c r="CC95" s="39">
        <f t="shared" si="113"/>
        <v>1038.7407407407409</v>
      </c>
      <c r="CD95" s="39">
        <f t="shared" si="114"/>
        <v>1025.9876543209878</v>
      </c>
      <c r="CE95" s="276">
        <f t="shared" si="71"/>
        <v>2121</v>
      </c>
      <c r="CF95" s="276">
        <f t="shared" si="72"/>
        <v>2025</v>
      </c>
      <c r="CG95" s="276">
        <f t="shared" si="73"/>
        <v>1898</v>
      </c>
      <c r="CH95" s="276">
        <f t="shared" si="74"/>
        <v>1781</v>
      </c>
      <c r="CI95" s="276">
        <f t="shared" si="75"/>
        <v>1732</v>
      </c>
      <c r="CJ95" s="276">
        <f t="shared" si="76"/>
        <v>1688</v>
      </c>
      <c r="CK95" s="276">
        <f t="shared" si="115"/>
        <v>1826.4166666666667</v>
      </c>
      <c r="CL95" s="276">
        <f t="shared" si="116"/>
        <v>1743.75</v>
      </c>
      <c r="CM95" s="276">
        <f t="shared" si="117"/>
        <v>1739.8333333333333</v>
      </c>
      <c r="CN95" s="276">
        <f t="shared" si="118"/>
        <v>1781</v>
      </c>
      <c r="CO95" s="276">
        <f t="shared" si="119"/>
        <v>1732</v>
      </c>
      <c r="CP95" s="276">
        <f t="shared" si="120"/>
        <v>1688</v>
      </c>
      <c r="CQ95" s="39">
        <f t="shared" si="77"/>
        <v>3231</v>
      </c>
      <c r="CR95" s="39">
        <f t="shared" si="78"/>
        <v>3146</v>
      </c>
      <c r="CS95" s="277">
        <f t="shared" si="79"/>
        <v>2971.666666666667</v>
      </c>
      <c r="CT95" s="39">
        <f t="shared" si="80"/>
        <v>3116.2222222222226</v>
      </c>
      <c r="CU95" s="39">
        <f t="shared" si="81"/>
        <v>3077.9629629629635</v>
      </c>
      <c r="CV95" s="39">
        <f t="shared" si="121"/>
        <v>3055.2839506172841</v>
      </c>
      <c r="CW95" s="297">
        <f t="shared" si="82"/>
        <v>1.7690377332664142</v>
      </c>
      <c r="CX95" s="279" t="str">
        <f t="shared" si="122"/>
        <v>Pass</v>
      </c>
      <c r="CY95" s="278">
        <f t="shared" si="83"/>
        <v>1.8041577060931899</v>
      </c>
      <c r="CZ95" s="279" t="str">
        <f t="shared" si="123"/>
        <v>Pass</v>
      </c>
      <c r="DA95" s="278">
        <f t="shared" si="84"/>
        <v>1.7080180093878727</v>
      </c>
      <c r="DB95" s="292" t="str">
        <f t="shared" si="124"/>
        <v>Pass</v>
      </c>
      <c r="DC95" s="299">
        <f t="shared" si="125"/>
        <v>1.7497036621124216</v>
      </c>
      <c r="DD95" s="293" t="str">
        <f t="shared" si="126"/>
        <v>Pass</v>
      </c>
      <c r="DE95" s="299">
        <f t="shared" si="127"/>
        <v>1.7771148746899328</v>
      </c>
      <c r="DF95" s="293" t="str">
        <f t="shared" si="128"/>
        <v>Pass</v>
      </c>
      <c r="DG95" s="299">
        <f t="shared" si="129"/>
        <v>1.8100023404130829</v>
      </c>
      <c r="DH95" s="293" t="str">
        <f t="shared" si="130"/>
        <v>Pass</v>
      </c>
    </row>
    <row r="96" spans="1:112" ht="15" thickTop="1" thickBot="1">
      <c r="A96" s="38" t="s">
        <v>302</v>
      </c>
      <c r="B96" s="38" t="s">
        <v>303</v>
      </c>
      <c r="C96" s="38" t="s">
        <v>302</v>
      </c>
      <c r="D96" s="38" t="s">
        <v>116</v>
      </c>
      <c r="E96" s="38" t="str">
        <f>VLOOKUP(C96,PoliticalControl!A:K,11,FALSE)</f>
        <v>NOC</v>
      </c>
      <c r="F96" s="38" t="str">
        <f>VLOOKUP(C96,UrbanRuralClassification!A:N,13,FALSE)</f>
        <v xml:space="preserve">Mainly Rural (rural including hub towns &gt;=80%) </v>
      </c>
      <c r="G96" s="38" t="str">
        <f>VLOOKUP(C96,UrbanRuralClassification!A:N,14,FALSE)</f>
        <v>Predominantly Rural</v>
      </c>
      <c r="H96" s="258">
        <f>IF(ISBLANK((VLOOKUP($A96,'local-plan-data'!$C$1:$AD$566,27,FALSE)))=TRUE,"",VLOOKUP($A96,'local-plan-data'!$C$1:$AD$566,27,FALSE))</f>
        <v>43384</v>
      </c>
      <c r="I96" s="259">
        <f>VLOOKUP($A96,'local-plan-data'!$C$1:$AD$566,28,FALSE)</f>
        <v>242</v>
      </c>
      <c r="J96" s="260">
        <f t="shared" si="85"/>
        <v>242</v>
      </c>
      <c r="K96" s="259">
        <f t="shared" si="133"/>
        <v>242</v>
      </c>
      <c r="L96" s="259">
        <f t="shared" si="131"/>
        <v>242</v>
      </c>
      <c r="M96" s="259">
        <f t="shared" si="131"/>
        <v>242</v>
      </c>
      <c r="N96" s="259">
        <f t="shared" si="131"/>
        <v>242</v>
      </c>
      <c r="O96" s="259">
        <f t="shared" si="131"/>
        <v>242</v>
      </c>
      <c r="P96" s="259">
        <f t="shared" si="131"/>
        <v>242</v>
      </c>
      <c r="Q96" s="259" t="str">
        <f t="shared" si="131"/>
        <v>-</v>
      </c>
      <c r="R96" s="259" t="str">
        <f t="shared" si="131"/>
        <v>-</v>
      </c>
      <c r="S96" s="259">
        <f t="shared" si="134"/>
        <v>2019</v>
      </c>
      <c r="T96" s="259">
        <f t="shared" si="132"/>
        <v>1654</v>
      </c>
      <c r="U96" s="259">
        <f t="shared" si="132"/>
        <v>1288</v>
      </c>
      <c r="V96" s="259">
        <f t="shared" si="132"/>
        <v>923</v>
      </c>
      <c r="W96" s="259">
        <f t="shared" si="132"/>
        <v>558</v>
      </c>
      <c r="X96" s="259">
        <f t="shared" si="132"/>
        <v>193</v>
      </c>
      <c r="Y96" s="259">
        <f t="shared" si="132"/>
        <v>-173</v>
      </c>
      <c r="Z96" s="259">
        <f t="shared" si="132"/>
        <v>-538</v>
      </c>
      <c r="AA96" s="267">
        <f>(VLOOKUP(A96,Hshldprojections2014!$A$2:$AW$319,40, FALSE)-VLOOKUP(A96,Hshldprojections2014!$A$2:$AW$319,30, FALSE))/10</f>
        <v>81.7</v>
      </c>
      <c r="AB96" s="267">
        <f>(VLOOKUP(A96,Hshldprojections2014!$A$2:$AW$319,41, FALSE)-VLOOKUP(A96,Hshldprojections2014!$A$2:$AW$319,31, FALSE))/10</f>
        <v>78.5</v>
      </c>
      <c r="AC96" s="267">
        <f>(VLOOKUP(A96,Hshldprojections2014!$A$2:$AW$319,42, FALSE)-VLOOKUP(A96,Hshldprojections2014!$A$2:$AW$319,32, FALSE))/10</f>
        <v>76.2</v>
      </c>
      <c r="AD96" s="267">
        <f>IF(IndividualLATest!$J$7=2014,(VLOOKUP($A96,Hshldprojections2014!$A$2:$AY$326,43,FALSE)-VLOOKUP($A96,Hshldprojections2014!$A$2:$AY$326,33,FALSE))/10,IF(IndividualLATest!$J$7=2016,(VLOOKUP($A96,Hshldprojections2016!$A$1:$AQ$322,33,FALSE)-VLOOKUP($A96,Hshldprojections2016!$A$1:$AQ$322,23,FALSE))/10,(VLOOKUP($A96,Hshldprojections2018!$A$1:$AQ$327,33,FALSE)-VLOOKUP($A96,Hshldprojections2018!$A$1:$AQ$327,23,FALSE))/10))</f>
        <v>126.2</v>
      </c>
      <c r="AE96" s="267">
        <f>IF(IndividualLATest!$J$7=2014,(VLOOKUP($A96,Hshldprojections2014!$A$2:$AY$326,44,FALSE)-VLOOKUP($A96,Hshldprojections2014!$A$2:$AY$326,34,FALSE))/10,IF(IndividualLATest!$J$7=2016,(VLOOKUP($A96,Hshldprojections2016!$A$1:$AQ$322,34,FALSE)-VLOOKUP($A96,Hshldprojections2016!$A$1:$AQ$322,24,FALSE))/10,(VLOOKUP($A96,Hshldprojections2018!$A$1:$AQ$327,34,FALSE)-VLOOKUP($A96,Hshldprojections2018!$A$1:$AQ$327,24,FALSE))/10))</f>
        <v>120.2</v>
      </c>
      <c r="AF96" s="267">
        <f>IF(IndividualLATest!$J$7=2014,(VLOOKUP($A96,Hshldprojections2014!$A$2:$AY$326,45,FALSE)-VLOOKUP($A96,Hshldprojections2014!$A$2:$AY$326,35,FALSE))/10,IF(IndividualLATest!$J$7=2016,(VLOOKUP($A96,Hshldprojections2016!$A$1:$AQ$322,35,FALSE)-VLOOKUP($A96,Hshldprojections2016!$A$1:$AQ$322,25,FALSE))/10,(VLOOKUP($A96,Hshldprojections2018!$A$1:$AQ$327,35,FALSE)-VLOOKUP($A96,Hshldprojections2018!$A$1:$AQ$327,25,FALSE))/10))</f>
        <v>116.1</v>
      </c>
      <c r="AG96" s="267">
        <f>IF(IndividualLATest!$J$7=2014,(VLOOKUP($A96,Hshldprojections2014!$A$2:$AY$326,46,FALSE)-VLOOKUP($A96,Hshldprojections2014!$A$2:$AY$326,36,FALSE))/10,IF(IndividualLATest!$J$7=2016,(VLOOKUP($A96,Hshldprojections2016!$A$1:$AQ$322,36,FALSE)-VLOOKUP($A96,Hshldprojections2016!$A$1:$AQ$322,26,FALSE))/10,(VLOOKUP($A96,Hshldprojections2018!$A$1:$AQ$327,36,FALSE)-VLOOKUP($A96,Hshldprojections2018!$A$1:$AQ$327,26,FALSE))/10))</f>
        <v>110.2</v>
      </c>
      <c r="AH96" s="267">
        <f>IF(IndividualLATest!$J$7=2014,(VLOOKUP($A96,Hshldprojections2014!$A$2:$AY$326,47,FALSE)-VLOOKUP($A96,Hshldprojections2014!$A$2:$AY$326,37,FALSE))/10,IF(IndividualLATest!$J$7=2016,(VLOOKUP($A96,Hshldprojections2016!$A$1:$AQ$322,37,FALSE)-VLOOKUP($A96,Hshldprojections2016!$A$1:$AQ$322,27,FALSE))/10,(VLOOKUP($A96,Hshldprojections2018!$A$1:$AQ$327,37,FALSE)-VLOOKUP($A96,Hshldprojections2018!$A$1:$AQ$327,27,FALSE))/10))</f>
        <v>106.3</v>
      </c>
      <c r="AI96" s="268">
        <f>VLOOKUP($A96,AffordabilityRatio!$A$2:$I$321,5,FALSE)</f>
        <v>7.49</v>
      </c>
      <c r="AJ96" s="268">
        <f>VLOOKUP($A96,AffordabilityRatio!$A$2:$I$321,6,FALSE)</f>
        <v>8.58</v>
      </c>
      <c r="AK96" s="268">
        <f>VLOOKUP($A96,AffordabilityRatio!$A$2:$I$321,7,FALSE)</f>
        <v>7.51</v>
      </c>
      <c r="AL96" s="268">
        <f>IF((VLOOKUP($A96,AffordabilityRatio!$A$2:$I$321,8,FALSE))="",AK96,VLOOKUP($A96,AffordabilityRatio!$A$2:$I$321,8,FALSE))</f>
        <v>7.38</v>
      </c>
      <c r="AM96" s="268">
        <f>IF((VLOOKUP($A96,AffordabilityRatio!$A$2:$I$321,9,FALSE))="",AL96,VLOOKUP($A96,AffordabilityRatio!$A$2:$I$321,9,FALSE))</f>
        <v>8.39</v>
      </c>
      <c r="AN96" s="268">
        <f>IF((VLOOKUP($A96,AffordabilityRatio!$A$2:$I$321,9,FALSE))="",AM96,VLOOKUP($A96,AffordabilityRatio!$A$2:$I$321,9,FALSE))</f>
        <v>8.39</v>
      </c>
      <c r="AO96" s="268">
        <f>IF((VLOOKUP($A96,AffordabilityRatio!$A$2:$I$321,9,FALSE))="",AN96,VLOOKUP($A96,AffordabilityRatio!$A$2:$I$321,9,FALSE))</f>
        <v>8.39</v>
      </c>
      <c r="AP96" s="268">
        <f>IF((VLOOKUP($A96,AffordabilityRatio!$A$2:$I$321,9,FALSE))="",AO96,VLOOKUP($A96,AffordabilityRatio!$A$2:$I$321,9,FALSE))</f>
        <v>8.39</v>
      </c>
      <c r="AQ96" s="267">
        <f t="shared" si="86"/>
        <v>100</v>
      </c>
      <c r="AR96" s="267">
        <f t="shared" si="87"/>
        <v>101</v>
      </c>
      <c r="AS96" s="267">
        <f t="shared" si="88"/>
        <v>93</v>
      </c>
      <c r="AT96" s="267">
        <f t="shared" si="89"/>
        <v>153</v>
      </c>
      <c r="AU96" s="267">
        <f t="shared" si="90"/>
        <v>153</v>
      </c>
      <c r="AV96" s="267">
        <f t="shared" si="91"/>
        <v>148</v>
      </c>
      <c r="AW96" s="267">
        <f t="shared" si="92"/>
        <v>140</v>
      </c>
      <c r="AX96" s="267">
        <f t="shared" si="93"/>
        <v>135</v>
      </c>
      <c r="AY96" s="267">
        <f t="shared" si="94"/>
        <v>100</v>
      </c>
      <c r="AZ96" s="267">
        <f t="shared" si="95"/>
        <v>101</v>
      </c>
      <c r="BA96" s="267">
        <f t="shared" si="96"/>
        <v>93</v>
      </c>
      <c r="BB96" s="267">
        <f t="shared" si="97"/>
        <v>153</v>
      </c>
      <c r="BC96" s="267">
        <f t="shared" si="98"/>
        <v>153</v>
      </c>
      <c r="BD96" s="267">
        <f t="shared" si="99"/>
        <v>148</v>
      </c>
      <c r="BE96" s="267">
        <f t="shared" si="100"/>
        <v>140</v>
      </c>
      <c r="BF96" s="267">
        <f t="shared" si="101"/>
        <v>135</v>
      </c>
      <c r="BG96" s="269">
        <f>AY96*VLOOKUP($B96,'Major Cities &amp; Towns'!$A$28:$B$345,2,FALSE)</f>
        <v>100</v>
      </c>
      <c r="BH96" s="269">
        <f>AZ96*VLOOKUP($B96,'Major Cities &amp; Towns'!$A$28:$B$345,2,FALSE)</f>
        <v>101</v>
      </c>
      <c r="BI96" s="269">
        <f>BA96*VLOOKUP($B96,'Major Cities &amp; Towns'!$A$28:$B$345,2,FALSE)</f>
        <v>93</v>
      </c>
      <c r="BJ96" s="269">
        <f>BB96*VLOOKUP($B96,'Major Cities &amp; Towns'!$A$28:$B$345,2,FALSE)</f>
        <v>153</v>
      </c>
      <c r="BK96" s="269">
        <f>BC96*VLOOKUP($B96,'Major Cities &amp; Towns'!$A$28:$B$345,2,FALSE)</f>
        <v>153</v>
      </c>
      <c r="BL96" s="269">
        <f>BD96*VLOOKUP($B96,'Major Cities &amp; Towns'!$A$28:$B$345,2,FALSE)</f>
        <v>148</v>
      </c>
      <c r="BM96" s="269">
        <f>BE96*VLOOKUP($B96,'Major Cities &amp; Towns'!$A$28:$B$345,2,FALSE)</f>
        <v>140</v>
      </c>
      <c r="BN96" s="269">
        <f>BF96*VLOOKUP($B96,'Major Cities &amp; Towns'!$A$28:$B$345,2,FALSE)</f>
        <v>135</v>
      </c>
      <c r="BO96" s="270">
        <f t="shared" si="102"/>
        <v>100</v>
      </c>
      <c r="BP96" s="270">
        <f t="shared" si="103"/>
        <v>101</v>
      </c>
      <c r="BQ96" s="270">
        <f t="shared" si="104"/>
        <v>93</v>
      </c>
      <c r="BR96" s="270">
        <f t="shared" si="105"/>
        <v>153</v>
      </c>
      <c r="BS96" s="270">
        <f t="shared" si="106"/>
        <v>153</v>
      </c>
      <c r="BT96" s="270">
        <f t="shared" si="107"/>
        <v>148</v>
      </c>
      <c r="BU96" s="270">
        <f t="shared" si="108"/>
        <v>140</v>
      </c>
      <c r="BV96" s="270">
        <f t="shared" si="109"/>
        <v>135</v>
      </c>
      <c r="BW96" s="39">
        <f>VLOOKUP($A96,NetAdditions!$A$2:$H$336,6,FALSE)</f>
        <v>308</v>
      </c>
      <c r="BX96" s="39">
        <f>VLOOKUP($A96,NetAdditions!$A$2:$H$336,7,FALSE)</f>
        <v>364</v>
      </c>
      <c r="BY96" s="39">
        <f>IF((VLOOKUP($C96,NetAdditions!$A$2:$H$336,8,FALSE))="",(AVERAGE(VLOOKUP($C96,NetAdditions!$A$2:$H$336,5,FALSE),VLOOKUP($C96,NetAdditions!$A$2:$H$336,6,FALSE),VLOOKUP($C96,NetAdditions!$A$2:$H$336,7,FALSE))),VLOOKUP($C96,NetAdditions!$A$2:$H$336,8,FALSE))</f>
        <v>265</v>
      </c>
      <c r="BZ96" s="39">
        <f t="shared" si="110"/>
        <v>312.33333333333331</v>
      </c>
      <c r="CA96" s="39">
        <f t="shared" si="111"/>
        <v>313.77777777777777</v>
      </c>
      <c r="CB96" s="39">
        <f t="shared" si="112"/>
        <v>297.03703703703701</v>
      </c>
      <c r="CC96" s="39">
        <f t="shared" si="113"/>
        <v>307.71604938271599</v>
      </c>
      <c r="CD96" s="39">
        <f t="shared" si="114"/>
        <v>306.17695473251024</v>
      </c>
      <c r="CE96" s="276">
        <f t="shared" si="71"/>
        <v>294</v>
      </c>
      <c r="CF96" s="276">
        <f t="shared" si="72"/>
        <v>347</v>
      </c>
      <c r="CG96" s="276">
        <f t="shared" si="73"/>
        <v>399</v>
      </c>
      <c r="CH96" s="276">
        <f t="shared" si="74"/>
        <v>454</v>
      </c>
      <c r="CI96" s="276">
        <f t="shared" si="75"/>
        <v>441</v>
      </c>
      <c r="CJ96" s="276">
        <f t="shared" si="76"/>
        <v>423</v>
      </c>
      <c r="CK96" s="276">
        <f t="shared" si="115"/>
        <v>253.16666666666669</v>
      </c>
      <c r="CL96" s="276">
        <f t="shared" si="116"/>
        <v>298.8055555555556</v>
      </c>
      <c r="CM96" s="276">
        <f t="shared" si="117"/>
        <v>365.75</v>
      </c>
      <c r="CN96" s="276">
        <f t="shared" si="118"/>
        <v>454</v>
      </c>
      <c r="CO96" s="276">
        <f t="shared" si="119"/>
        <v>441</v>
      </c>
      <c r="CP96" s="276">
        <f t="shared" si="120"/>
        <v>423</v>
      </c>
      <c r="CQ96" s="39">
        <f t="shared" si="77"/>
        <v>937</v>
      </c>
      <c r="CR96" s="39">
        <f t="shared" si="78"/>
        <v>941.33333333333326</v>
      </c>
      <c r="CS96" s="277">
        <f t="shared" si="79"/>
        <v>891.11111111111109</v>
      </c>
      <c r="CT96" s="39">
        <f t="shared" si="80"/>
        <v>923.14814814814804</v>
      </c>
      <c r="CU96" s="39">
        <f t="shared" si="81"/>
        <v>918.53086419753072</v>
      </c>
      <c r="CV96" s="39">
        <f t="shared" si="121"/>
        <v>910.93004115226324</v>
      </c>
      <c r="CW96" s="297">
        <f t="shared" si="82"/>
        <v>3.7011191573403552</v>
      </c>
      <c r="CX96" s="279" t="str">
        <f t="shared" si="122"/>
        <v>Pass</v>
      </c>
      <c r="CY96" s="278">
        <f t="shared" si="83"/>
        <v>3.1503207213907216</v>
      </c>
      <c r="CZ96" s="279" t="str">
        <f t="shared" si="123"/>
        <v>Pass</v>
      </c>
      <c r="DA96" s="278">
        <f t="shared" si="84"/>
        <v>2.4363940153413837</v>
      </c>
      <c r="DB96" s="292" t="str">
        <f t="shared" si="124"/>
        <v>Pass</v>
      </c>
      <c r="DC96" s="299">
        <f t="shared" si="125"/>
        <v>2.0333659650840263</v>
      </c>
      <c r="DD96" s="293" t="str">
        <f t="shared" si="126"/>
        <v>Pass</v>
      </c>
      <c r="DE96" s="299">
        <f t="shared" si="127"/>
        <v>2.0828364267517703</v>
      </c>
      <c r="DF96" s="293" t="str">
        <f t="shared" si="128"/>
        <v>Pass</v>
      </c>
      <c r="DG96" s="299">
        <f t="shared" si="129"/>
        <v>2.1534989152535773</v>
      </c>
      <c r="DH96" s="293" t="str">
        <f t="shared" si="130"/>
        <v>Pass</v>
      </c>
    </row>
    <row r="97" spans="1:112" ht="15" thickTop="1" thickBot="1">
      <c r="A97" s="38" t="s">
        <v>304</v>
      </c>
      <c r="B97" s="38" t="s">
        <v>305</v>
      </c>
      <c r="C97" s="38" t="s">
        <v>304</v>
      </c>
      <c r="D97" s="38" t="s">
        <v>113</v>
      </c>
      <c r="E97" s="38" t="str">
        <f>VLOOKUP(C97,PoliticalControl!A:K,11,FALSE)</f>
        <v>NOC</v>
      </c>
      <c r="F97" s="38" t="str">
        <f>VLOOKUP(C97,UrbanRuralClassification!A:N,13,FALSE)</f>
        <v>Urban with Major Conurbation</v>
      </c>
      <c r="G97" s="38" t="str">
        <f>VLOOKUP(C97,UrbanRuralClassification!A:N,14,FALSE)</f>
        <v>Predominantly Urban</v>
      </c>
      <c r="H97" s="258">
        <f>IF(ISBLANK((VLOOKUP($A97,'local-plan-data'!$C$1:$AD$566,27,FALSE)))=TRUE,"",VLOOKUP($A97,'local-plan-data'!$C$1:$AD$566,27,FALSE))</f>
        <v>40744</v>
      </c>
      <c r="I97" s="259">
        <f>VLOOKUP($A97,'local-plan-data'!$C$1:$AD$566,28,FALSE)</f>
        <v>225</v>
      </c>
      <c r="J97" s="260">
        <f t="shared" si="85"/>
        <v>225</v>
      </c>
      <c r="K97" s="259" t="str">
        <f t="shared" si="133"/>
        <v>-</v>
      </c>
      <c r="L97" s="259" t="str">
        <f t="shared" si="131"/>
        <v>-</v>
      </c>
      <c r="M97" s="259" t="str">
        <f t="shared" si="131"/>
        <v>-</v>
      </c>
      <c r="N97" s="259" t="str">
        <f t="shared" si="131"/>
        <v>-</v>
      </c>
      <c r="O97" s="259" t="str">
        <f t="shared" si="131"/>
        <v>-</v>
      </c>
      <c r="P97" s="259" t="str">
        <f t="shared" si="131"/>
        <v>-</v>
      </c>
      <c r="Q97" s="259" t="str">
        <f t="shared" si="131"/>
        <v>-</v>
      </c>
      <c r="R97" s="259" t="str">
        <f t="shared" si="131"/>
        <v>-</v>
      </c>
      <c r="S97" s="259">
        <f t="shared" si="134"/>
        <v>-620</v>
      </c>
      <c r="T97" s="259">
        <f t="shared" si="132"/>
        <v>-985</v>
      </c>
      <c r="U97" s="259">
        <f t="shared" si="132"/>
        <v>-1351</v>
      </c>
      <c r="V97" s="259">
        <f t="shared" si="132"/>
        <v>-1716</v>
      </c>
      <c r="W97" s="259">
        <f t="shared" si="132"/>
        <v>-2081</v>
      </c>
      <c r="X97" s="259">
        <f t="shared" si="132"/>
        <v>-2446</v>
      </c>
      <c r="Y97" s="259">
        <f t="shared" si="132"/>
        <v>-2812</v>
      </c>
      <c r="Z97" s="259">
        <f t="shared" si="132"/>
        <v>-3177</v>
      </c>
      <c r="AA97" s="267">
        <f>(VLOOKUP(A97,Hshldprojections2014!$A$2:$AW$319,40, FALSE)-VLOOKUP(A97,Hshldprojections2014!$A$2:$AW$319,30, FALSE))/10</f>
        <v>445.1</v>
      </c>
      <c r="AB97" s="267">
        <f>(VLOOKUP(A97,Hshldprojections2014!$A$2:$AW$319,41, FALSE)-VLOOKUP(A97,Hshldprojections2014!$A$2:$AW$319,31, FALSE))/10</f>
        <v>447.1</v>
      </c>
      <c r="AC97" s="267">
        <f>(VLOOKUP(A97,Hshldprojections2014!$A$2:$AW$319,42, FALSE)-VLOOKUP(A97,Hshldprojections2014!$A$2:$AW$319,32, FALSE))/10</f>
        <v>451.9</v>
      </c>
      <c r="AD97" s="267">
        <f>IF(IndividualLATest!$J$7=2014,(VLOOKUP($A97,Hshldprojections2014!$A$2:$AY$326,43,FALSE)-VLOOKUP($A97,Hshldprojections2014!$A$2:$AY$326,33,FALSE))/10,IF(IndividualLATest!$J$7=2016,(VLOOKUP($A97,Hshldprojections2016!$A$1:$AQ$322,33,FALSE)-VLOOKUP($A97,Hshldprojections2016!$A$1:$AQ$322,23,FALSE))/10,(VLOOKUP($A97,Hshldprojections2018!$A$1:$AQ$327,33,FALSE)-VLOOKUP($A97,Hshldprojections2018!$A$1:$AQ$327,23,FALSE))/10))</f>
        <v>252.1</v>
      </c>
      <c r="AE97" s="267">
        <f>IF(IndividualLATest!$J$7=2014,(VLOOKUP($A97,Hshldprojections2014!$A$2:$AY$326,44,FALSE)-VLOOKUP($A97,Hshldprojections2014!$A$2:$AY$326,34,FALSE))/10,IF(IndividualLATest!$J$7=2016,(VLOOKUP($A97,Hshldprojections2016!$A$1:$AQ$322,34,FALSE)-VLOOKUP($A97,Hshldprojections2016!$A$1:$AQ$322,24,FALSE))/10,(VLOOKUP($A97,Hshldprojections2018!$A$1:$AQ$327,34,FALSE)-VLOOKUP($A97,Hshldprojections2018!$A$1:$AQ$327,24,FALSE))/10))</f>
        <v>240.3</v>
      </c>
      <c r="AF97" s="267">
        <f>IF(IndividualLATest!$J$7=2014,(VLOOKUP($A97,Hshldprojections2014!$A$2:$AY$326,45,FALSE)-VLOOKUP($A97,Hshldprojections2014!$A$2:$AY$326,35,FALSE))/10,IF(IndividualLATest!$J$7=2016,(VLOOKUP($A97,Hshldprojections2016!$A$1:$AQ$322,35,FALSE)-VLOOKUP($A97,Hshldprojections2016!$A$1:$AQ$322,25,FALSE))/10,(VLOOKUP($A97,Hshldprojections2018!$A$1:$AQ$327,35,FALSE)-VLOOKUP($A97,Hshldprojections2018!$A$1:$AQ$327,25,FALSE))/10))</f>
        <v>230</v>
      </c>
      <c r="AG97" s="267">
        <f>IF(IndividualLATest!$J$7=2014,(VLOOKUP($A97,Hshldprojections2014!$A$2:$AY$326,46,FALSE)-VLOOKUP($A97,Hshldprojections2014!$A$2:$AY$326,36,FALSE))/10,IF(IndividualLATest!$J$7=2016,(VLOOKUP($A97,Hshldprojections2016!$A$1:$AQ$322,36,FALSE)-VLOOKUP($A97,Hshldprojections2016!$A$1:$AQ$322,26,FALSE))/10,(VLOOKUP($A97,Hshldprojections2018!$A$1:$AQ$327,36,FALSE)-VLOOKUP($A97,Hshldprojections2018!$A$1:$AQ$327,26,FALSE))/10))</f>
        <v>221.5</v>
      </c>
      <c r="AH97" s="267">
        <f>IF(IndividualLATest!$J$7=2014,(VLOOKUP($A97,Hshldprojections2014!$A$2:$AY$326,47,FALSE)-VLOOKUP($A97,Hshldprojections2014!$A$2:$AY$326,37,FALSE))/10,IF(IndividualLATest!$J$7=2016,(VLOOKUP($A97,Hshldprojections2016!$A$1:$AQ$322,37,FALSE)-VLOOKUP($A97,Hshldprojections2016!$A$1:$AQ$322,27,FALSE))/10,(VLOOKUP($A97,Hshldprojections2018!$A$1:$AQ$327,37,FALSE)-VLOOKUP($A97,Hshldprojections2018!$A$1:$AQ$327,27,FALSE))/10))</f>
        <v>216.6</v>
      </c>
      <c r="AI97" s="268">
        <f>VLOOKUP($A97,AffordabilityRatio!$A$2:$I$321,5,FALSE)</f>
        <v>16.53</v>
      </c>
      <c r="AJ97" s="268">
        <f>VLOOKUP($A97,AffordabilityRatio!$A$2:$I$321,6,FALSE)</f>
        <v>15.83</v>
      </c>
      <c r="AK97" s="268">
        <f>VLOOKUP($A97,AffordabilityRatio!$A$2:$I$321,7,FALSE)</f>
        <v>15.81</v>
      </c>
      <c r="AL97" s="268">
        <f>IF((VLOOKUP($A97,AffordabilityRatio!$A$2:$I$321,8,FALSE))="",AK97,VLOOKUP($A97,AffordabilityRatio!$A$2:$I$321,8,FALSE))</f>
        <v>16.32</v>
      </c>
      <c r="AM97" s="268">
        <f>IF((VLOOKUP($A97,AffordabilityRatio!$A$2:$I$321,9,FALSE))="",AL97,VLOOKUP($A97,AffordabilityRatio!$A$2:$I$321,9,FALSE))</f>
        <v>17.78</v>
      </c>
      <c r="AN97" s="268">
        <f>IF((VLOOKUP($A97,AffordabilityRatio!$A$2:$I$321,9,FALSE))="",AM97,VLOOKUP($A97,AffordabilityRatio!$A$2:$I$321,9,FALSE))</f>
        <v>17.78</v>
      </c>
      <c r="AO97" s="268">
        <f>IF((VLOOKUP($A97,AffordabilityRatio!$A$2:$I$321,9,FALSE))="",AN97,VLOOKUP($A97,AffordabilityRatio!$A$2:$I$321,9,FALSE))</f>
        <v>17.78</v>
      </c>
      <c r="AP97" s="268">
        <f>IF((VLOOKUP($A97,AffordabilityRatio!$A$2:$I$321,9,FALSE))="",AO97,VLOOKUP($A97,AffordabilityRatio!$A$2:$I$321,9,FALSE))</f>
        <v>17.78</v>
      </c>
      <c r="AQ97" s="267">
        <f t="shared" si="86"/>
        <v>794</v>
      </c>
      <c r="AR97" s="267">
        <f t="shared" si="87"/>
        <v>778</v>
      </c>
      <c r="AS97" s="267">
        <f t="shared" si="88"/>
        <v>785</v>
      </c>
      <c r="AT97" s="267">
        <f t="shared" si="89"/>
        <v>446</v>
      </c>
      <c r="AU97" s="267">
        <f t="shared" si="90"/>
        <v>447</v>
      </c>
      <c r="AV97" s="267">
        <f t="shared" si="91"/>
        <v>428</v>
      </c>
      <c r="AW97" s="267">
        <f t="shared" si="92"/>
        <v>412</v>
      </c>
      <c r="AX97" s="267">
        <f t="shared" si="93"/>
        <v>403</v>
      </c>
      <c r="AY97" s="267">
        <f t="shared" si="94"/>
        <v>623.1400000000001</v>
      </c>
      <c r="AZ97" s="267">
        <f t="shared" si="95"/>
        <v>625.94000000000005</v>
      </c>
      <c r="BA97" s="267">
        <f t="shared" si="96"/>
        <v>632.66</v>
      </c>
      <c r="BB97" s="267">
        <f t="shared" si="97"/>
        <v>352.94</v>
      </c>
      <c r="BC97" s="267">
        <f t="shared" si="98"/>
        <v>336.42</v>
      </c>
      <c r="BD97" s="267">
        <f t="shared" si="99"/>
        <v>322</v>
      </c>
      <c r="BE97" s="267">
        <f t="shared" si="100"/>
        <v>315</v>
      </c>
      <c r="BF97" s="267">
        <f t="shared" si="101"/>
        <v>315</v>
      </c>
      <c r="BG97" s="269">
        <f>AY97*VLOOKUP($B97,'Major Cities &amp; Towns'!$A$28:$B$345,2,FALSE)</f>
        <v>623.1400000000001</v>
      </c>
      <c r="BH97" s="269">
        <f>AZ97*VLOOKUP($B97,'Major Cities &amp; Towns'!$A$28:$B$345,2,FALSE)</f>
        <v>625.94000000000005</v>
      </c>
      <c r="BI97" s="269">
        <f>BA97*VLOOKUP($B97,'Major Cities &amp; Towns'!$A$28:$B$345,2,FALSE)</f>
        <v>632.66</v>
      </c>
      <c r="BJ97" s="269">
        <f>BB97*VLOOKUP($B97,'Major Cities &amp; Towns'!$A$28:$B$345,2,FALSE)</f>
        <v>352.94</v>
      </c>
      <c r="BK97" s="269">
        <f>BC97*VLOOKUP($B97,'Major Cities &amp; Towns'!$A$28:$B$345,2,FALSE)</f>
        <v>336.42</v>
      </c>
      <c r="BL97" s="269">
        <f>BD97*VLOOKUP($B97,'Major Cities &amp; Towns'!$A$28:$B$345,2,FALSE)</f>
        <v>322</v>
      </c>
      <c r="BM97" s="269">
        <f>BE97*VLOOKUP($B97,'Major Cities &amp; Towns'!$A$28:$B$345,2,FALSE)</f>
        <v>315</v>
      </c>
      <c r="BN97" s="269">
        <f>BF97*VLOOKUP($B97,'Major Cities &amp; Towns'!$A$28:$B$345,2,FALSE)</f>
        <v>315</v>
      </c>
      <c r="BO97" s="270">
        <f t="shared" si="102"/>
        <v>794</v>
      </c>
      <c r="BP97" s="270">
        <f t="shared" si="103"/>
        <v>778</v>
      </c>
      <c r="BQ97" s="270">
        <f t="shared" si="104"/>
        <v>785</v>
      </c>
      <c r="BR97" s="270">
        <f t="shared" si="105"/>
        <v>446</v>
      </c>
      <c r="BS97" s="270">
        <f t="shared" si="106"/>
        <v>447</v>
      </c>
      <c r="BT97" s="270">
        <f t="shared" si="107"/>
        <v>428</v>
      </c>
      <c r="BU97" s="270">
        <f t="shared" si="108"/>
        <v>412</v>
      </c>
      <c r="BV97" s="270">
        <f t="shared" si="109"/>
        <v>403</v>
      </c>
      <c r="BW97" s="39">
        <f>VLOOKUP($A97,NetAdditions!$A$2:$H$336,6,FALSE)</f>
        <v>427</v>
      </c>
      <c r="BX97" s="39">
        <f>VLOOKUP($A97,NetAdditions!$A$2:$H$336,7,FALSE)</f>
        <v>396</v>
      </c>
      <c r="BY97" s="39">
        <f>IF((VLOOKUP($C97,NetAdditions!$A$2:$H$336,8,FALSE))="",(AVERAGE(VLOOKUP($C97,NetAdditions!$A$2:$H$336,5,FALSE),VLOOKUP($C97,NetAdditions!$A$2:$H$336,6,FALSE),VLOOKUP($C97,NetAdditions!$A$2:$H$336,7,FALSE))),VLOOKUP($C97,NetAdditions!$A$2:$H$336,8,FALSE))</f>
        <v>310</v>
      </c>
      <c r="BZ97" s="39">
        <f t="shared" si="110"/>
        <v>377.66666666666669</v>
      </c>
      <c r="CA97" s="39">
        <f t="shared" si="111"/>
        <v>361.22222222222223</v>
      </c>
      <c r="CB97" s="39">
        <f t="shared" si="112"/>
        <v>349.62962962962962</v>
      </c>
      <c r="CC97" s="39">
        <f t="shared" si="113"/>
        <v>362.83950617283949</v>
      </c>
      <c r="CD97" s="39">
        <f t="shared" si="114"/>
        <v>357.89711934156384</v>
      </c>
      <c r="CE97" s="276">
        <f t="shared" si="71"/>
        <v>2357</v>
      </c>
      <c r="CF97" s="276">
        <f t="shared" si="72"/>
        <v>2009</v>
      </c>
      <c r="CG97" s="276">
        <f t="shared" si="73"/>
        <v>1678</v>
      </c>
      <c r="CH97" s="276">
        <f t="shared" si="74"/>
        <v>1321</v>
      </c>
      <c r="CI97" s="276">
        <f t="shared" si="75"/>
        <v>1287</v>
      </c>
      <c r="CJ97" s="276">
        <f t="shared" si="76"/>
        <v>1243</v>
      </c>
      <c r="CK97" s="276">
        <f t="shared" si="115"/>
        <v>2029.6388888888889</v>
      </c>
      <c r="CL97" s="276">
        <f t="shared" si="116"/>
        <v>1729.9722222222224</v>
      </c>
      <c r="CM97" s="276">
        <f t="shared" si="117"/>
        <v>1538.1666666666665</v>
      </c>
      <c r="CN97" s="276">
        <f t="shared" si="118"/>
        <v>1321</v>
      </c>
      <c r="CO97" s="276">
        <f t="shared" si="119"/>
        <v>1287</v>
      </c>
      <c r="CP97" s="276">
        <f t="shared" si="120"/>
        <v>1243</v>
      </c>
      <c r="CQ97" s="39">
        <f t="shared" si="77"/>
        <v>1133</v>
      </c>
      <c r="CR97" s="39">
        <f t="shared" si="78"/>
        <v>1083.6666666666667</v>
      </c>
      <c r="CS97" s="277">
        <f t="shared" si="79"/>
        <v>1048.8888888888889</v>
      </c>
      <c r="CT97" s="39">
        <f t="shared" si="80"/>
        <v>1088.5185185185185</v>
      </c>
      <c r="CU97" s="39">
        <f t="shared" si="81"/>
        <v>1073.6913580246915</v>
      </c>
      <c r="CV97" s="39">
        <f t="shared" si="121"/>
        <v>1070.3662551440329</v>
      </c>
      <c r="CW97" s="297">
        <f t="shared" si="82"/>
        <v>0.55822738034954222</v>
      </c>
      <c r="CX97" s="279" t="str">
        <f t="shared" si="122"/>
        <v>Buffer and Action Plan</v>
      </c>
      <c r="CY97" s="278">
        <f t="shared" si="83"/>
        <v>0.6264069750638257</v>
      </c>
      <c r="CZ97" s="279" t="str">
        <f t="shared" si="123"/>
        <v>Buffer and Action Plan</v>
      </c>
      <c r="DA97" s="278">
        <f t="shared" si="84"/>
        <v>0.68190847690251755</v>
      </c>
      <c r="DB97" s="292" t="str">
        <f t="shared" si="124"/>
        <v>Presumption</v>
      </c>
      <c r="DC97" s="299">
        <f t="shared" si="125"/>
        <v>0.82401099055149019</v>
      </c>
      <c r="DD97" s="293" t="str">
        <f t="shared" si="126"/>
        <v>Buffer and Action Plan</v>
      </c>
      <c r="DE97" s="299">
        <f t="shared" si="127"/>
        <v>0.83425901944420466</v>
      </c>
      <c r="DF97" s="293" t="str">
        <f t="shared" si="128"/>
        <v>Buffer and Action Plan</v>
      </c>
      <c r="DG97" s="299">
        <f t="shared" si="129"/>
        <v>0.86111524951249629</v>
      </c>
      <c r="DH97" s="293" t="str">
        <f t="shared" si="130"/>
        <v>Action Plan</v>
      </c>
    </row>
    <row r="98" spans="1:112" customFormat="1" ht="15.5" thickTop="1" thickBot="1">
      <c r="A98" s="3" t="s">
        <v>306</v>
      </c>
      <c r="B98" s="3" t="s">
        <v>307</v>
      </c>
      <c r="C98" s="3" t="s">
        <v>306</v>
      </c>
      <c r="D98" s="3" t="s">
        <v>131</v>
      </c>
      <c r="E98" s="3" t="str">
        <f>VLOOKUP(C98,PoliticalControl!A:K,11,FALSE)</f>
        <v>LAB</v>
      </c>
      <c r="F98" s="3" t="str">
        <f>VLOOKUP(C98,UrbanRuralClassification!A:N,13,FALSE)</f>
        <v>Urban with Major Conurbation</v>
      </c>
      <c r="G98" s="3" t="str">
        <f>VLOOKUP(C98,UrbanRuralClassification!A:N,14,FALSE)</f>
        <v>Predominantly Urban</v>
      </c>
      <c r="H98" s="262">
        <f>IF(ISBLANK((VLOOKUP($A98,'local-plan-data'!$C$1:$AD$566,27,FALSE)))=TRUE,"",VLOOKUP($A98,'local-plan-data'!$C$1:$AD$566,27,FALSE))</f>
        <v>40492</v>
      </c>
      <c r="I98" s="263">
        <f>VLOOKUP($A98,'local-plan-data'!$C$1:$AD$566,28,FALSE)</f>
        <v>733.33333333333337</v>
      </c>
      <c r="J98" s="264">
        <f t="shared" si="85"/>
        <v>733.33333333333337</v>
      </c>
      <c r="K98" s="259" t="str">
        <f t="shared" si="133"/>
        <v>-</v>
      </c>
      <c r="L98" s="259" t="str">
        <f t="shared" si="131"/>
        <v>-</v>
      </c>
      <c r="M98" s="259" t="str">
        <f t="shared" si="131"/>
        <v>-</v>
      </c>
      <c r="N98" s="259" t="str">
        <f t="shared" si="131"/>
        <v>-</v>
      </c>
      <c r="O98" s="259" t="str">
        <f t="shared" si="131"/>
        <v>-</v>
      </c>
      <c r="P98" s="259" t="str">
        <f t="shared" si="131"/>
        <v>-</v>
      </c>
      <c r="Q98" s="259" t="str">
        <f t="shared" si="131"/>
        <v>-</v>
      </c>
      <c r="R98" s="259" t="str">
        <f t="shared" si="131"/>
        <v>-</v>
      </c>
      <c r="S98" s="259">
        <f t="shared" si="134"/>
        <v>-873</v>
      </c>
      <c r="T98" s="259">
        <f t="shared" si="132"/>
        <v>-1238</v>
      </c>
      <c r="U98" s="259">
        <f t="shared" si="132"/>
        <v>-1604</v>
      </c>
      <c r="V98" s="259">
        <f t="shared" si="132"/>
        <v>-1969</v>
      </c>
      <c r="W98" s="259">
        <f t="shared" si="132"/>
        <v>-2334</v>
      </c>
      <c r="X98" s="259">
        <f t="shared" si="132"/>
        <v>-2699</v>
      </c>
      <c r="Y98" s="259">
        <f t="shared" si="132"/>
        <v>-3065</v>
      </c>
      <c r="Z98" s="259">
        <f t="shared" si="132"/>
        <v>-3430</v>
      </c>
      <c r="AA98" s="267">
        <f>(VLOOKUP(A98,Hshldprojections2014!$A$2:$AW$319,40, FALSE)-VLOOKUP(A98,Hshldprojections2014!$A$2:$AW$319,30, FALSE))/10</f>
        <v>2351.1</v>
      </c>
      <c r="AB98" s="267">
        <f>(VLOOKUP(A98,Hshldprojections2014!$A$2:$AW$319,41, FALSE)-VLOOKUP(A98,Hshldprojections2014!$A$2:$AW$319,31, FALSE))/10</f>
        <v>2341</v>
      </c>
      <c r="AC98" s="267">
        <f>(VLOOKUP(A98,Hshldprojections2014!$A$2:$AW$319,42, FALSE)-VLOOKUP(A98,Hshldprojections2014!$A$2:$AW$319,32, FALSE))/10</f>
        <v>2326.6999999999998</v>
      </c>
      <c r="AD98" s="267">
        <f>IF(IndividualLATest!$J$7=2014,(VLOOKUP($A98,Hshldprojections2014!$A$2:$AY$326,43,FALSE)-VLOOKUP($A98,Hshldprojections2014!$A$2:$AY$326,33,FALSE))/10,IF(IndividualLATest!$J$7=2016,(VLOOKUP($A98,Hshldprojections2016!$A$1:$AQ$322,33,FALSE)-VLOOKUP($A98,Hshldprojections2016!$A$1:$AQ$322,23,FALSE))/10,(VLOOKUP($A98,Hshldprojections2018!$A$1:$AQ$327,33,FALSE)-VLOOKUP($A98,Hshldprojections2018!$A$1:$AQ$327,23,FALSE))/10))</f>
        <v>683.4</v>
      </c>
      <c r="AE98" s="267">
        <f>IF(IndividualLATest!$J$7=2014,(VLOOKUP($A98,Hshldprojections2014!$A$2:$AY$326,44,FALSE)-VLOOKUP($A98,Hshldprojections2014!$A$2:$AY$326,34,FALSE))/10,IF(IndividualLATest!$J$7=2016,(VLOOKUP($A98,Hshldprojections2016!$A$1:$AQ$322,34,FALSE)-VLOOKUP($A98,Hshldprojections2016!$A$1:$AQ$322,24,FALSE))/10,(VLOOKUP($A98,Hshldprojections2018!$A$1:$AQ$327,34,FALSE)-VLOOKUP($A98,Hshldprojections2018!$A$1:$AQ$327,24,FALSE))/10))</f>
        <v>666</v>
      </c>
      <c r="AF98" s="267">
        <f>IF(IndividualLATest!$J$7=2014,(VLOOKUP($A98,Hshldprojections2014!$A$2:$AY$326,45,FALSE)-VLOOKUP($A98,Hshldprojections2014!$A$2:$AY$326,35,FALSE))/10,IF(IndividualLATest!$J$7=2016,(VLOOKUP($A98,Hshldprojections2016!$A$1:$AQ$322,35,FALSE)-VLOOKUP($A98,Hshldprojections2016!$A$1:$AQ$322,25,FALSE))/10,(VLOOKUP($A98,Hshldprojections2018!$A$1:$AQ$327,35,FALSE)-VLOOKUP($A98,Hshldprojections2018!$A$1:$AQ$327,25,FALSE))/10))</f>
        <v>658.3</v>
      </c>
      <c r="AG98" s="267">
        <f>IF(IndividualLATest!$J$7=2014,(VLOOKUP($A98,Hshldprojections2014!$A$2:$AY$326,46,FALSE)-VLOOKUP($A98,Hshldprojections2014!$A$2:$AY$326,36,FALSE))/10,IF(IndividualLATest!$J$7=2016,(VLOOKUP($A98,Hshldprojections2016!$A$1:$AQ$322,36,FALSE)-VLOOKUP($A98,Hshldprojections2016!$A$1:$AQ$322,26,FALSE))/10,(VLOOKUP($A98,Hshldprojections2018!$A$1:$AQ$327,36,FALSE)-VLOOKUP($A98,Hshldprojections2018!$A$1:$AQ$327,26,FALSE))/10))</f>
        <v>653.79999999999995</v>
      </c>
      <c r="AH98" s="267">
        <f>IF(IndividualLATest!$J$7=2014,(VLOOKUP($A98,Hshldprojections2014!$A$2:$AY$326,47,FALSE)-VLOOKUP($A98,Hshldprojections2014!$A$2:$AY$326,37,FALSE))/10,IF(IndividualLATest!$J$7=2016,(VLOOKUP($A98,Hshldprojections2016!$A$1:$AQ$322,37,FALSE)-VLOOKUP($A98,Hshldprojections2016!$A$1:$AQ$322,27,FALSE))/10,(VLOOKUP($A98,Hshldprojections2018!$A$1:$AQ$327,37,FALSE)-VLOOKUP($A98,Hshldprojections2018!$A$1:$AQ$327,27,FALSE))/10))</f>
        <v>655.29999999999995</v>
      </c>
      <c r="AI98" s="268">
        <f>VLOOKUP($A98,AffordabilityRatio!$A$2:$I$321,5,FALSE)</f>
        <v>13.81</v>
      </c>
      <c r="AJ98" s="268">
        <f>VLOOKUP($A98,AffordabilityRatio!$A$2:$I$321,6,FALSE)</f>
        <v>13.68</v>
      </c>
      <c r="AK98" s="268">
        <f>VLOOKUP($A98,AffordabilityRatio!$A$2:$I$321,7,FALSE)</f>
        <v>14.49</v>
      </c>
      <c r="AL98" s="268">
        <f>IF((VLOOKUP($A98,AffordabilityRatio!$A$2:$I$321,8,FALSE))="",AK98,VLOOKUP($A98,AffordabilityRatio!$A$2:$I$321,8,FALSE))</f>
        <v>13.49</v>
      </c>
      <c r="AM98" s="268">
        <f>IF((VLOOKUP($A98,AffordabilityRatio!$A$2:$I$321,9,FALSE))="",AL98,VLOOKUP($A98,AffordabilityRatio!$A$2:$I$321,9,FALSE))</f>
        <v>14.92</v>
      </c>
      <c r="AN98" s="268">
        <f>IF((VLOOKUP($A98,AffordabilityRatio!$A$2:$I$321,9,FALSE))="",AM98,VLOOKUP($A98,AffordabilityRatio!$A$2:$I$321,9,FALSE))</f>
        <v>14.92</v>
      </c>
      <c r="AO98" s="268">
        <f>IF((VLOOKUP($A98,AffordabilityRatio!$A$2:$I$321,9,FALSE))="",AN98,VLOOKUP($A98,AffordabilityRatio!$A$2:$I$321,9,FALSE))</f>
        <v>14.92</v>
      </c>
      <c r="AP98" s="268">
        <f>IF((VLOOKUP($A98,AffordabilityRatio!$A$2:$I$321,9,FALSE))="",AO98,VLOOKUP($A98,AffordabilityRatio!$A$2:$I$321,9,FALSE))</f>
        <v>14.92</v>
      </c>
      <c r="AQ98" s="267">
        <f t="shared" si="86"/>
        <v>3793</v>
      </c>
      <c r="AR98" s="267">
        <f t="shared" si="87"/>
        <v>3757</v>
      </c>
      <c r="AS98" s="267">
        <f t="shared" si="88"/>
        <v>3852</v>
      </c>
      <c r="AT98" s="267">
        <f t="shared" si="89"/>
        <v>1089</v>
      </c>
      <c r="AU98" s="267">
        <f t="shared" si="90"/>
        <v>1121</v>
      </c>
      <c r="AV98" s="267">
        <f t="shared" si="91"/>
        <v>1108</v>
      </c>
      <c r="AW98" s="267">
        <f t="shared" si="92"/>
        <v>1100</v>
      </c>
      <c r="AX98" s="267">
        <f t="shared" si="93"/>
        <v>1103</v>
      </c>
      <c r="AY98" s="267">
        <f t="shared" si="94"/>
        <v>3291.54</v>
      </c>
      <c r="AZ98" s="267">
        <f t="shared" si="95"/>
        <v>3277.4</v>
      </c>
      <c r="BA98" s="267">
        <f t="shared" si="96"/>
        <v>3257.3799999999997</v>
      </c>
      <c r="BB98" s="267">
        <f t="shared" si="97"/>
        <v>1026.6666666666667</v>
      </c>
      <c r="BC98" s="267">
        <f t="shared" si="98"/>
        <v>1026.6666666666667</v>
      </c>
      <c r="BD98" s="267">
        <f t="shared" si="99"/>
        <v>1026.6666666666667</v>
      </c>
      <c r="BE98" s="267">
        <f t="shared" si="100"/>
        <v>1026.6666666666667</v>
      </c>
      <c r="BF98" s="267">
        <f t="shared" si="101"/>
        <v>1026.6666666666667</v>
      </c>
      <c r="BG98" s="269">
        <f>AY98*VLOOKUP($B98,'Major Cities &amp; Towns'!$A$28:$B$345,2,FALSE)</f>
        <v>4443.5790000000006</v>
      </c>
      <c r="BH98" s="269">
        <f>AZ98*VLOOKUP($B98,'Major Cities &amp; Towns'!$A$28:$B$345,2,FALSE)</f>
        <v>4424.4900000000007</v>
      </c>
      <c r="BI98" s="269">
        <f>BA98*VLOOKUP($B98,'Major Cities &amp; Towns'!$A$28:$B$345,2,FALSE)</f>
        <v>4397.4629999999997</v>
      </c>
      <c r="BJ98" s="269">
        <f>BB98*VLOOKUP($B98,'Major Cities &amp; Towns'!$A$28:$B$345,2,FALSE)</f>
        <v>1386.0000000000002</v>
      </c>
      <c r="BK98" s="269">
        <f>BC98*VLOOKUP($B98,'Major Cities &amp; Towns'!$A$28:$B$345,2,FALSE)</f>
        <v>1386.0000000000002</v>
      </c>
      <c r="BL98" s="269">
        <f>BD98*VLOOKUP($B98,'Major Cities &amp; Towns'!$A$28:$B$345,2,FALSE)</f>
        <v>1386.0000000000002</v>
      </c>
      <c r="BM98" s="269">
        <f>BE98*VLOOKUP($B98,'Major Cities &amp; Towns'!$A$28:$B$345,2,FALSE)</f>
        <v>1386.0000000000002</v>
      </c>
      <c r="BN98" s="269">
        <f>BF98*VLOOKUP($B98,'Major Cities &amp; Towns'!$A$28:$B$345,2,FALSE)</f>
        <v>1386.0000000000002</v>
      </c>
      <c r="BO98" s="270">
        <f t="shared" si="102"/>
        <v>3793</v>
      </c>
      <c r="BP98" s="270">
        <f t="shared" si="103"/>
        <v>3757</v>
      </c>
      <c r="BQ98" s="270">
        <f t="shared" si="104"/>
        <v>3852</v>
      </c>
      <c r="BR98" s="270">
        <f t="shared" si="105"/>
        <v>1089</v>
      </c>
      <c r="BS98" s="270">
        <f t="shared" si="106"/>
        <v>1121</v>
      </c>
      <c r="BT98" s="270">
        <f t="shared" si="107"/>
        <v>1108</v>
      </c>
      <c r="BU98" s="270">
        <f t="shared" si="108"/>
        <v>1100</v>
      </c>
      <c r="BV98" s="270">
        <f t="shared" si="109"/>
        <v>1103</v>
      </c>
      <c r="BW98" s="39">
        <f>VLOOKUP($A98,NetAdditions!$A$2:$H$336,6,FALSE)</f>
        <v>500</v>
      </c>
      <c r="BX98" s="39">
        <f>VLOOKUP($A98,NetAdditions!$A$2:$H$336,7,FALSE)</f>
        <v>420</v>
      </c>
      <c r="BY98" s="39">
        <f>IF((VLOOKUP($C98,NetAdditions!$A$2:$H$336,8,FALSE))="",(AVERAGE(VLOOKUP($C98,NetAdditions!$A$2:$H$336,5,FALSE),VLOOKUP($C98,NetAdditions!$A$2:$H$336,6,FALSE),VLOOKUP($C98,NetAdditions!$A$2:$H$336,7,FALSE))),VLOOKUP($C98,NetAdditions!$A$2:$H$336,8,FALSE))</f>
        <v>797</v>
      </c>
      <c r="BZ98" s="39">
        <f t="shared" si="110"/>
        <v>572.33333333333337</v>
      </c>
      <c r="CA98" s="39">
        <f t="shared" si="111"/>
        <v>596.44444444444446</v>
      </c>
      <c r="CB98" s="39">
        <f t="shared" si="112"/>
        <v>655.25925925925924</v>
      </c>
      <c r="CC98" s="39">
        <f t="shared" si="113"/>
        <v>608.01234567901236</v>
      </c>
      <c r="CD98" s="39">
        <f t="shared" si="114"/>
        <v>619.90534979423865</v>
      </c>
      <c r="CE98" s="276">
        <f t="shared" si="71"/>
        <v>11402</v>
      </c>
      <c r="CF98" s="276">
        <f t="shared" si="72"/>
        <v>8698</v>
      </c>
      <c r="CG98" s="276">
        <f t="shared" si="73"/>
        <v>6062</v>
      </c>
      <c r="CH98" s="276">
        <f t="shared" si="74"/>
        <v>3318</v>
      </c>
      <c r="CI98" s="276">
        <f t="shared" si="75"/>
        <v>3329</v>
      </c>
      <c r="CJ98" s="276">
        <f t="shared" si="76"/>
        <v>3311</v>
      </c>
      <c r="CK98" s="276">
        <f t="shared" si="115"/>
        <v>9818.3888888888887</v>
      </c>
      <c r="CL98" s="276">
        <f t="shared" si="116"/>
        <v>7489.9444444444453</v>
      </c>
      <c r="CM98" s="276">
        <f t="shared" si="117"/>
        <v>5556.833333333333</v>
      </c>
      <c r="CN98" s="276">
        <f t="shared" si="118"/>
        <v>3318</v>
      </c>
      <c r="CO98" s="276">
        <f t="shared" si="119"/>
        <v>3329</v>
      </c>
      <c r="CP98" s="276">
        <f t="shared" si="120"/>
        <v>3311</v>
      </c>
      <c r="CQ98" s="39">
        <f t="shared" si="77"/>
        <v>1717</v>
      </c>
      <c r="CR98" s="39">
        <f t="shared" si="78"/>
        <v>1789.3333333333335</v>
      </c>
      <c r="CS98" s="277">
        <f t="shared" si="79"/>
        <v>1965.7777777777778</v>
      </c>
      <c r="CT98" s="39">
        <f t="shared" si="80"/>
        <v>1824.037037037037</v>
      </c>
      <c r="CU98" s="39">
        <f t="shared" si="81"/>
        <v>1859.7160493827159</v>
      </c>
      <c r="CV98" s="39">
        <f t="shared" si="121"/>
        <v>1883.1769547325102</v>
      </c>
      <c r="CW98" s="297">
        <f t="shared" si="82"/>
        <v>0.17487594140247043</v>
      </c>
      <c r="CX98" s="279" t="str">
        <f t="shared" si="122"/>
        <v>Presumption</v>
      </c>
      <c r="CY98" s="278">
        <f t="shared" si="83"/>
        <v>0.23889807816405698</v>
      </c>
      <c r="CZ98" s="279" t="str">
        <f t="shared" si="123"/>
        <v>Presumption</v>
      </c>
      <c r="DA98" s="278">
        <f t="shared" si="84"/>
        <v>0.35375863551383185</v>
      </c>
      <c r="DB98" s="292" t="str">
        <f t="shared" si="124"/>
        <v>Presumption</v>
      </c>
      <c r="DC98" s="299">
        <f t="shared" si="125"/>
        <v>0.54973991471881767</v>
      </c>
      <c r="DD98" s="293" t="str">
        <f t="shared" si="126"/>
        <v>Presumption</v>
      </c>
      <c r="DE98" s="299">
        <f t="shared" si="127"/>
        <v>0.55864104817744542</v>
      </c>
      <c r="DF98" s="293" t="str">
        <f t="shared" si="128"/>
        <v>Presumption</v>
      </c>
      <c r="DG98" s="299">
        <f t="shared" si="129"/>
        <v>0.56876380390592274</v>
      </c>
      <c r="DH98" s="293" t="str">
        <f t="shared" si="130"/>
        <v>Presumption</v>
      </c>
    </row>
    <row r="99" spans="1:112" ht="15" thickTop="1" thickBot="1">
      <c r="A99" s="38" t="s">
        <v>308</v>
      </c>
      <c r="B99" s="38" t="s">
        <v>309</v>
      </c>
      <c r="C99" s="38" t="s">
        <v>308</v>
      </c>
      <c r="D99" s="38" t="s">
        <v>128</v>
      </c>
      <c r="E99" s="38" t="str">
        <f>VLOOKUP(C99,PoliticalControl!A:K,11,FALSE)</f>
        <v>CON</v>
      </c>
      <c r="F99" s="38" t="str">
        <f>VLOOKUP(C99,UrbanRuralClassification!A:N,13,FALSE)</f>
        <v>Urban with Significant Rural (rural including hub towns 26-49%)</v>
      </c>
      <c r="G99" s="38" t="str">
        <f>VLOOKUP(C99,UrbanRuralClassification!A:N,14,FALSE)</f>
        <v>Urban with Significant Rural</v>
      </c>
      <c r="H99" s="258" t="str">
        <f>IF(ISBLANK((VLOOKUP($A99,'local-plan-data'!$C$1:$AD$566,27,FALSE)))=TRUE,"",VLOOKUP($A99,'local-plan-data'!$C$1:$AD$566,27,FALSE))</f>
        <v/>
      </c>
      <c r="I99" s="259">
        <f>VLOOKUP($A99,'local-plan-data'!$C$1:$AD$566,28,FALSE)</f>
        <v>518.18181818181813</v>
      </c>
      <c r="J99" s="260">
        <f t="shared" si="85"/>
        <v>518.18181818181813</v>
      </c>
      <c r="K99" s="259" t="str">
        <f t="shared" si="133"/>
        <v>-</v>
      </c>
      <c r="L99" s="259" t="str">
        <f t="shared" si="131"/>
        <v>-</v>
      </c>
      <c r="M99" s="259" t="str">
        <f t="shared" si="131"/>
        <v>-</v>
      </c>
      <c r="N99" s="259" t="str">
        <f t="shared" si="131"/>
        <v>-</v>
      </c>
      <c r="O99" s="259" t="str">
        <f t="shared" si="131"/>
        <v>-</v>
      </c>
      <c r="P99" s="259" t="str">
        <f t="shared" si="131"/>
        <v>-</v>
      </c>
      <c r="Q99" s="259" t="str">
        <f t="shared" si="131"/>
        <v>-</v>
      </c>
      <c r="R99" s="259" t="str">
        <f t="shared" si="131"/>
        <v>-</v>
      </c>
      <c r="S99" s="259" t="str">
        <f t="shared" si="134"/>
        <v>-</v>
      </c>
      <c r="T99" s="259" t="str">
        <f t="shared" si="132"/>
        <v>-</v>
      </c>
      <c r="U99" s="259" t="str">
        <f t="shared" si="132"/>
        <v>-</v>
      </c>
      <c r="V99" s="259" t="str">
        <f t="shared" si="132"/>
        <v>-</v>
      </c>
      <c r="W99" s="259" t="str">
        <f t="shared" si="132"/>
        <v>-</v>
      </c>
      <c r="X99" s="259" t="str">
        <f t="shared" si="132"/>
        <v>-</v>
      </c>
      <c r="Y99" s="259" t="str">
        <f t="shared" si="132"/>
        <v>-</v>
      </c>
      <c r="Z99" s="259" t="str">
        <f t="shared" si="132"/>
        <v>-</v>
      </c>
      <c r="AA99" s="267">
        <f>(VLOOKUP(A99,Hshldprojections2014!$A$2:$AW$319,40, FALSE)-VLOOKUP(A99,Hshldprojections2014!$A$2:$AW$319,30, FALSE))/10</f>
        <v>669.4</v>
      </c>
      <c r="AB99" s="267">
        <f>(VLOOKUP(A99,Hshldprojections2014!$A$2:$AW$319,41, FALSE)-VLOOKUP(A99,Hshldprojections2014!$A$2:$AW$319,31, FALSE))/10</f>
        <v>674.3</v>
      </c>
      <c r="AC99" s="267">
        <f>(VLOOKUP(A99,Hshldprojections2014!$A$2:$AW$319,42, FALSE)-VLOOKUP(A99,Hshldprojections2014!$A$2:$AW$319,32, FALSE))/10</f>
        <v>680.7</v>
      </c>
      <c r="AD99" s="267">
        <f>IF(IndividualLATest!$J$7=2014,(VLOOKUP($A99,Hshldprojections2014!$A$2:$AY$326,43,FALSE)-VLOOKUP($A99,Hshldprojections2014!$A$2:$AY$326,33,FALSE))/10,IF(IndividualLATest!$J$7=2016,(VLOOKUP($A99,Hshldprojections2016!$A$1:$AQ$322,33,FALSE)-VLOOKUP($A99,Hshldprojections2016!$A$1:$AQ$322,23,FALSE))/10,(VLOOKUP($A99,Hshldprojections2018!$A$1:$AQ$327,33,FALSE)-VLOOKUP($A99,Hshldprojections2018!$A$1:$AQ$327,23,FALSE))/10))</f>
        <v>310.89999999999998</v>
      </c>
      <c r="AE99" s="267">
        <f>IF(IndividualLATest!$J$7=2014,(VLOOKUP($A99,Hshldprojections2014!$A$2:$AY$326,44,FALSE)-VLOOKUP($A99,Hshldprojections2014!$A$2:$AY$326,34,FALSE))/10,IF(IndividualLATest!$J$7=2016,(VLOOKUP($A99,Hshldprojections2016!$A$1:$AQ$322,34,FALSE)-VLOOKUP($A99,Hshldprojections2016!$A$1:$AQ$322,24,FALSE))/10,(VLOOKUP($A99,Hshldprojections2018!$A$1:$AQ$327,34,FALSE)-VLOOKUP($A99,Hshldprojections2018!$A$1:$AQ$327,24,FALSE))/10))</f>
        <v>311.3</v>
      </c>
      <c r="AF99" s="267">
        <f>IF(IndividualLATest!$J$7=2014,(VLOOKUP($A99,Hshldprojections2014!$A$2:$AY$326,45,FALSE)-VLOOKUP($A99,Hshldprojections2014!$A$2:$AY$326,35,FALSE))/10,IF(IndividualLATest!$J$7=2016,(VLOOKUP($A99,Hshldprojections2016!$A$1:$AQ$322,35,FALSE)-VLOOKUP($A99,Hshldprojections2016!$A$1:$AQ$322,25,FALSE))/10,(VLOOKUP($A99,Hshldprojections2018!$A$1:$AQ$327,35,FALSE)-VLOOKUP($A99,Hshldprojections2018!$A$1:$AQ$327,25,FALSE))/10))</f>
        <v>312.10000000000002</v>
      </c>
      <c r="AG99" s="267">
        <f>IF(IndividualLATest!$J$7=2014,(VLOOKUP($A99,Hshldprojections2014!$A$2:$AY$326,46,FALSE)-VLOOKUP($A99,Hshldprojections2014!$A$2:$AY$326,36,FALSE))/10,IF(IndividualLATest!$J$7=2016,(VLOOKUP($A99,Hshldprojections2016!$A$1:$AQ$322,36,FALSE)-VLOOKUP($A99,Hshldprojections2016!$A$1:$AQ$322,26,FALSE))/10,(VLOOKUP($A99,Hshldprojections2018!$A$1:$AQ$327,36,FALSE)-VLOOKUP($A99,Hshldprojections2018!$A$1:$AQ$327,26,FALSE))/10))</f>
        <v>313</v>
      </c>
      <c r="AH99" s="267">
        <f>IF(IndividualLATest!$J$7=2014,(VLOOKUP($A99,Hshldprojections2014!$A$2:$AY$326,47,FALSE)-VLOOKUP($A99,Hshldprojections2014!$A$2:$AY$326,37,FALSE))/10,IF(IndividualLATest!$J$7=2016,(VLOOKUP($A99,Hshldprojections2016!$A$1:$AQ$322,37,FALSE)-VLOOKUP($A99,Hshldprojections2016!$A$1:$AQ$322,27,FALSE))/10,(VLOOKUP($A99,Hshldprojections2018!$A$1:$AQ$327,37,FALSE)-VLOOKUP($A99,Hshldprojections2018!$A$1:$AQ$327,27,FALSE))/10))</f>
        <v>315.5</v>
      </c>
      <c r="AI99" s="268">
        <f>VLOOKUP($A99,AffordabilityRatio!$A$2:$I$321,5,FALSE)</f>
        <v>14.5</v>
      </c>
      <c r="AJ99" s="268">
        <f>VLOOKUP($A99,AffordabilityRatio!$A$2:$I$321,6,FALSE)</f>
        <v>14.42</v>
      </c>
      <c r="AK99" s="268">
        <f>VLOOKUP($A99,AffordabilityRatio!$A$2:$I$321,7,FALSE)</f>
        <v>13.67</v>
      </c>
      <c r="AL99" s="268">
        <f>IF((VLOOKUP($A99,AffordabilityRatio!$A$2:$I$321,8,FALSE))="",AK99,VLOOKUP($A99,AffordabilityRatio!$A$2:$I$321,8,FALSE))</f>
        <v>14.6</v>
      </c>
      <c r="AM99" s="268">
        <f>IF((VLOOKUP($A99,AffordabilityRatio!$A$2:$I$321,9,FALSE))="",AL99,VLOOKUP($A99,AffordabilityRatio!$A$2:$I$321,9,FALSE))</f>
        <v>15.42</v>
      </c>
      <c r="AN99" s="268">
        <f>IF((VLOOKUP($A99,AffordabilityRatio!$A$2:$I$321,9,FALSE))="",AM99,VLOOKUP($A99,AffordabilityRatio!$A$2:$I$321,9,FALSE))</f>
        <v>15.42</v>
      </c>
      <c r="AO99" s="268">
        <f>IF((VLOOKUP($A99,AffordabilityRatio!$A$2:$I$321,9,FALSE))="",AN99,VLOOKUP($A99,AffordabilityRatio!$A$2:$I$321,9,FALSE))</f>
        <v>15.42</v>
      </c>
      <c r="AP99" s="268">
        <f>IF((VLOOKUP($A99,AffordabilityRatio!$A$2:$I$321,9,FALSE))="",AO99,VLOOKUP($A99,AffordabilityRatio!$A$2:$I$321,9,FALSE))</f>
        <v>15.42</v>
      </c>
      <c r="AQ99" s="267">
        <f t="shared" si="86"/>
        <v>1109</v>
      </c>
      <c r="AR99" s="267">
        <f t="shared" si="87"/>
        <v>1113</v>
      </c>
      <c r="AS99" s="267">
        <f t="shared" si="88"/>
        <v>1092</v>
      </c>
      <c r="AT99" s="267">
        <f t="shared" si="89"/>
        <v>517</v>
      </c>
      <c r="AU99" s="267">
        <f t="shared" si="90"/>
        <v>533</v>
      </c>
      <c r="AV99" s="267">
        <f t="shared" si="91"/>
        <v>535</v>
      </c>
      <c r="AW99" s="267">
        <f t="shared" si="92"/>
        <v>536</v>
      </c>
      <c r="AX99" s="267">
        <f t="shared" si="93"/>
        <v>541</v>
      </c>
      <c r="AY99" s="267">
        <f t="shared" si="94"/>
        <v>937.16</v>
      </c>
      <c r="AZ99" s="267">
        <f t="shared" si="95"/>
        <v>944.02</v>
      </c>
      <c r="BA99" s="267">
        <f t="shared" si="96"/>
        <v>952.98</v>
      </c>
      <c r="BB99" s="267">
        <f t="shared" si="97"/>
        <v>517</v>
      </c>
      <c r="BC99" s="267">
        <f t="shared" si="98"/>
        <v>533</v>
      </c>
      <c r="BD99" s="267">
        <f t="shared" si="99"/>
        <v>535</v>
      </c>
      <c r="BE99" s="267">
        <f t="shared" si="100"/>
        <v>536</v>
      </c>
      <c r="BF99" s="267">
        <f t="shared" si="101"/>
        <v>541</v>
      </c>
      <c r="BG99" s="269">
        <f>AY99*VLOOKUP($B99,'Major Cities &amp; Towns'!$A$28:$B$345,2,FALSE)</f>
        <v>937.16</v>
      </c>
      <c r="BH99" s="269">
        <f>AZ99*VLOOKUP($B99,'Major Cities &amp; Towns'!$A$28:$B$345,2,FALSE)</f>
        <v>944.02</v>
      </c>
      <c r="BI99" s="269">
        <f>BA99*VLOOKUP($B99,'Major Cities &amp; Towns'!$A$28:$B$345,2,FALSE)</f>
        <v>952.98</v>
      </c>
      <c r="BJ99" s="269">
        <f>BB99*VLOOKUP($B99,'Major Cities &amp; Towns'!$A$28:$B$345,2,FALSE)</f>
        <v>517</v>
      </c>
      <c r="BK99" s="269">
        <f>BC99*VLOOKUP($B99,'Major Cities &amp; Towns'!$A$28:$B$345,2,FALSE)</f>
        <v>533</v>
      </c>
      <c r="BL99" s="269">
        <f>BD99*VLOOKUP($B99,'Major Cities &amp; Towns'!$A$28:$B$345,2,FALSE)</f>
        <v>535</v>
      </c>
      <c r="BM99" s="269">
        <f>BE99*VLOOKUP($B99,'Major Cities &amp; Towns'!$A$28:$B$345,2,FALSE)</f>
        <v>536</v>
      </c>
      <c r="BN99" s="269">
        <f>BF99*VLOOKUP($B99,'Major Cities &amp; Towns'!$A$28:$B$345,2,FALSE)</f>
        <v>541</v>
      </c>
      <c r="BO99" s="270">
        <f t="shared" si="102"/>
        <v>1109</v>
      </c>
      <c r="BP99" s="270">
        <f t="shared" si="103"/>
        <v>1113</v>
      </c>
      <c r="BQ99" s="270">
        <f t="shared" si="104"/>
        <v>1092</v>
      </c>
      <c r="BR99" s="270">
        <f t="shared" si="105"/>
        <v>517</v>
      </c>
      <c r="BS99" s="270">
        <f t="shared" si="106"/>
        <v>533</v>
      </c>
      <c r="BT99" s="270">
        <f t="shared" si="107"/>
        <v>535</v>
      </c>
      <c r="BU99" s="270">
        <f t="shared" si="108"/>
        <v>536</v>
      </c>
      <c r="BV99" s="270">
        <f t="shared" si="109"/>
        <v>541</v>
      </c>
      <c r="BW99" s="39">
        <f>VLOOKUP($A99,NetAdditions!$A$2:$H$336,6,FALSE)</f>
        <v>426</v>
      </c>
      <c r="BX99" s="39">
        <f>VLOOKUP($A99,NetAdditions!$A$2:$H$336,7,FALSE)</f>
        <v>223</v>
      </c>
      <c r="BY99" s="39">
        <f>IF((VLOOKUP($C99,NetAdditions!$A$2:$H$336,8,FALSE))="",(AVERAGE(VLOOKUP($C99,NetAdditions!$A$2:$H$336,5,FALSE),VLOOKUP($C99,NetAdditions!$A$2:$H$336,6,FALSE),VLOOKUP($C99,NetAdditions!$A$2:$H$336,7,FALSE))),VLOOKUP($C99,NetAdditions!$A$2:$H$336,8,FALSE))</f>
        <v>198</v>
      </c>
      <c r="BZ99" s="39">
        <f t="shared" si="110"/>
        <v>282.33333333333331</v>
      </c>
      <c r="CA99" s="39">
        <f t="shared" si="111"/>
        <v>234.44444444444443</v>
      </c>
      <c r="CB99" s="39">
        <f t="shared" si="112"/>
        <v>238.25925925925924</v>
      </c>
      <c r="CC99" s="39">
        <f t="shared" si="113"/>
        <v>251.67901234567898</v>
      </c>
      <c r="CD99" s="39">
        <f t="shared" si="114"/>
        <v>241.46090534979422</v>
      </c>
      <c r="CE99" s="276">
        <f t="shared" si="71"/>
        <v>3314</v>
      </c>
      <c r="CF99" s="276">
        <f t="shared" si="72"/>
        <v>2722</v>
      </c>
      <c r="CG99" s="276">
        <f t="shared" si="73"/>
        <v>2142</v>
      </c>
      <c r="CH99" s="276">
        <f t="shared" si="74"/>
        <v>1585</v>
      </c>
      <c r="CI99" s="276">
        <f t="shared" si="75"/>
        <v>1604</v>
      </c>
      <c r="CJ99" s="276">
        <f t="shared" si="76"/>
        <v>1612</v>
      </c>
      <c r="CK99" s="276">
        <f t="shared" si="115"/>
        <v>2853.7222222222222</v>
      </c>
      <c r="CL99" s="276">
        <f t="shared" si="116"/>
        <v>2343.9444444444448</v>
      </c>
      <c r="CM99" s="276">
        <f t="shared" si="117"/>
        <v>1963.5</v>
      </c>
      <c r="CN99" s="276">
        <f t="shared" si="118"/>
        <v>1585</v>
      </c>
      <c r="CO99" s="276">
        <f t="shared" si="119"/>
        <v>1604</v>
      </c>
      <c r="CP99" s="276">
        <f t="shared" si="120"/>
        <v>1612</v>
      </c>
      <c r="CQ99" s="39">
        <f t="shared" si="77"/>
        <v>847</v>
      </c>
      <c r="CR99" s="39">
        <f t="shared" si="78"/>
        <v>703.33333333333326</v>
      </c>
      <c r="CS99" s="277">
        <f t="shared" si="79"/>
        <v>714.77777777777771</v>
      </c>
      <c r="CT99" s="39">
        <f t="shared" si="80"/>
        <v>755.03703703703695</v>
      </c>
      <c r="CU99" s="39">
        <f t="shared" si="81"/>
        <v>724.38271604938268</v>
      </c>
      <c r="CV99" s="39">
        <f t="shared" si="121"/>
        <v>731.39917695473241</v>
      </c>
      <c r="CW99" s="297">
        <f t="shared" si="82"/>
        <v>0.29680534195105807</v>
      </c>
      <c r="CX99" s="279" t="str">
        <f t="shared" si="122"/>
        <v>Buffer and Action Plan</v>
      </c>
      <c r="CY99" s="278">
        <f t="shared" si="83"/>
        <v>0.30006399469081074</v>
      </c>
      <c r="CZ99" s="279" t="str">
        <f t="shared" si="123"/>
        <v>Presumption</v>
      </c>
      <c r="DA99" s="278">
        <f t="shared" si="84"/>
        <v>0.3640324816795405</v>
      </c>
      <c r="DB99" s="292" t="str">
        <f t="shared" si="124"/>
        <v>Presumption</v>
      </c>
      <c r="DC99" s="299">
        <f t="shared" si="125"/>
        <v>0.47636406122210534</v>
      </c>
      <c r="DD99" s="293" t="str">
        <f t="shared" si="126"/>
        <v>Presumption</v>
      </c>
      <c r="DE99" s="299">
        <f t="shared" si="127"/>
        <v>0.45161017210061266</v>
      </c>
      <c r="DF99" s="293" t="str">
        <f t="shared" si="128"/>
        <v>Presumption</v>
      </c>
      <c r="DG99" s="299">
        <f t="shared" si="129"/>
        <v>0.45372157379325834</v>
      </c>
      <c r="DH99" s="293" t="str">
        <f t="shared" si="130"/>
        <v>Presumption</v>
      </c>
    </row>
    <row r="100" spans="1:112" ht="15" thickTop="1" thickBot="1">
      <c r="A100" s="38" t="s">
        <v>310</v>
      </c>
      <c r="B100" s="38" t="s">
        <v>311</v>
      </c>
      <c r="C100" s="38" t="s">
        <v>310</v>
      </c>
      <c r="D100" s="38" t="s">
        <v>113</v>
      </c>
      <c r="E100" s="38" t="str">
        <f>VLOOKUP(C100,PoliticalControl!A:K,11,FALSE)</f>
        <v>IND/OTHER</v>
      </c>
      <c r="F100" s="38" t="str">
        <f>VLOOKUP(C100,UrbanRuralClassification!A:N,13,FALSE)</f>
        <v>Urban with Major Conurbation</v>
      </c>
      <c r="G100" s="38" t="str">
        <f>VLOOKUP(C100,UrbanRuralClassification!A:N,14,FALSE)</f>
        <v>Predominantly Urban</v>
      </c>
      <c r="H100" s="258">
        <f>IF(ISBLANK((VLOOKUP($A100,'local-plan-data'!$C$1:$AD$566,27,FALSE)))=TRUE,"",VLOOKUP($A100,'local-plan-data'!$C$1:$AD$566,27,FALSE))</f>
        <v>39287</v>
      </c>
      <c r="I100" s="259">
        <f>VLOOKUP($A100,'local-plan-data'!$C$1:$AD$566,28,FALSE)</f>
        <v>181</v>
      </c>
      <c r="J100" s="260">
        <f t="shared" si="85"/>
        <v>181</v>
      </c>
      <c r="K100" s="259" t="str">
        <f t="shared" si="133"/>
        <v>-</v>
      </c>
      <c r="L100" s="259" t="str">
        <f t="shared" si="131"/>
        <v>-</v>
      </c>
      <c r="M100" s="259" t="str">
        <f t="shared" si="131"/>
        <v>-</v>
      </c>
      <c r="N100" s="259" t="str">
        <f t="shared" si="131"/>
        <v>-</v>
      </c>
      <c r="O100" s="259" t="str">
        <f t="shared" si="131"/>
        <v>-</v>
      </c>
      <c r="P100" s="259" t="str">
        <f t="shared" si="131"/>
        <v>-</v>
      </c>
      <c r="Q100" s="259" t="str">
        <f t="shared" si="131"/>
        <v>-</v>
      </c>
      <c r="R100" s="259" t="str">
        <f t="shared" si="131"/>
        <v>-</v>
      </c>
      <c r="S100" s="259">
        <f t="shared" si="134"/>
        <v>-2077</v>
      </c>
      <c r="T100" s="259">
        <f t="shared" si="132"/>
        <v>-2442</v>
      </c>
      <c r="U100" s="259">
        <f t="shared" si="132"/>
        <v>-2808</v>
      </c>
      <c r="V100" s="259">
        <f t="shared" si="132"/>
        <v>-3173</v>
      </c>
      <c r="W100" s="259">
        <f t="shared" si="132"/>
        <v>-3538</v>
      </c>
      <c r="X100" s="259">
        <f t="shared" si="132"/>
        <v>-3903</v>
      </c>
      <c r="Y100" s="259">
        <f t="shared" si="132"/>
        <v>-4269</v>
      </c>
      <c r="Z100" s="259">
        <f t="shared" si="132"/>
        <v>-4634</v>
      </c>
      <c r="AA100" s="267">
        <f>(VLOOKUP(A100,Hshldprojections2014!$A$2:$AW$319,40, FALSE)-VLOOKUP(A100,Hshldprojections2014!$A$2:$AW$319,30, FALSE))/10</f>
        <v>412.3</v>
      </c>
      <c r="AB100" s="267">
        <f>(VLOOKUP(A100,Hshldprojections2014!$A$2:$AW$319,41, FALSE)-VLOOKUP(A100,Hshldprojections2014!$A$2:$AW$319,31, FALSE))/10</f>
        <v>413</v>
      </c>
      <c r="AC100" s="267">
        <f>(VLOOKUP(A100,Hshldprojections2014!$A$2:$AW$319,42, FALSE)-VLOOKUP(A100,Hshldprojections2014!$A$2:$AW$319,32, FALSE))/10</f>
        <v>412</v>
      </c>
      <c r="AD100" s="267">
        <f>IF(IndividualLATest!$J$7=2014,(VLOOKUP($A100,Hshldprojections2014!$A$2:$AY$326,43,FALSE)-VLOOKUP($A100,Hshldprojections2014!$A$2:$AY$326,33,FALSE))/10,IF(IndividualLATest!$J$7=2016,(VLOOKUP($A100,Hshldprojections2016!$A$1:$AQ$322,33,FALSE)-VLOOKUP($A100,Hshldprojections2016!$A$1:$AQ$322,23,FALSE))/10,(VLOOKUP($A100,Hshldprojections2018!$A$1:$AQ$327,33,FALSE)-VLOOKUP($A100,Hshldprojections2018!$A$1:$AQ$327,23,FALSE))/10))</f>
        <v>157.4</v>
      </c>
      <c r="AE100" s="267">
        <f>IF(IndividualLATest!$J$7=2014,(VLOOKUP($A100,Hshldprojections2014!$A$2:$AY$326,44,FALSE)-VLOOKUP($A100,Hshldprojections2014!$A$2:$AY$326,34,FALSE))/10,IF(IndividualLATest!$J$7=2016,(VLOOKUP($A100,Hshldprojections2016!$A$1:$AQ$322,34,FALSE)-VLOOKUP($A100,Hshldprojections2016!$A$1:$AQ$322,24,FALSE))/10,(VLOOKUP($A100,Hshldprojections2018!$A$1:$AQ$327,34,FALSE)-VLOOKUP($A100,Hshldprojections2018!$A$1:$AQ$327,24,FALSE))/10))</f>
        <v>152.4</v>
      </c>
      <c r="AF100" s="267">
        <f>IF(IndividualLATest!$J$7=2014,(VLOOKUP($A100,Hshldprojections2014!$A$2:$AY$326,45,FALSE)-VLOOKUP($A100,Hshldprojections2014!$A$2:$AY$326,35,FALSE))/10,IF(IndividualLATest!$J$7=2016,(VLOOKUP($A100,Hshldprojections2016!$A$1:$AQ$322,35,FALSE)-VLOOKUP($A100,Hshldprojections2016!$A$1:$AQ$322,25,FALSE))/10,(VLOOKUP($A100,Hshldprojections2018!$A$1:$AQ$327,35,FALSE)-VLOOKUP($A100,Hshldprojections2018!$A$1:$AQ$327,25,FALSE))/10))</f>
        <v>147.69999999999999</v>
      </c>
      <c r="AG100" s="267">
        <f>IF(IndividualLATest!$J$7=2014,(VLOOKUP($A100,Hshldprojections2014!$A$2:$AY$326,46,FALSE)-VLOOKUP($A100,Hshldprojections2014!$A$2:$AY$326,36,FALSE))/10,IF(IndividualLATest!$J$7=2016,(VLOOKUP($A100,Hshldprojections2016!$A$1:$AQ$322,36,FALSE)-VLOOKUP($A100,Hshldprojections2016!$A$1:$AQ$322,26,FALSE))/10,(VLOOKUP($A100,Hshldprojections2018!$A$1:$AQ$327,36,FALSE)-VLOOKUP($A100,Hshldprojections2018!$A$1:$AQ$327,26,FALSE))/10))</f>
        <v>144</v>
      </c>
      <c r="AH100" s="267">
        <f>IF(IndividualLATest!$J$7=2014,(VLOOKUP($A100,Hshldprojections2014!$A$2:$AY$326,47,FALSE)-VLOOKUP($A100,Hshldprojections2014!$A$2:$AY$326,37,FALSE))/10,IF(IndividualLATest!$J$7=2016,(VLOOKUP($A100,Hshldprojections2016!$A$1:$AQ$322,37,FALSE)-VLOOKUP($A100,Hshldprojections2016!$A$1:$AQ$322,27,FALSE))/10,(VLOOKUP($A100,Hshldprojections2018!$A$1:$AQ$327,37,FALSE)-VLOOKUP($A100,Hshldprojections2018!$A$1:$AQ$327,27,FALSE))/10))</f>
        <v>139.9</v>
      </c>
      <c r="AI100" s="268">
        <f>VLOOKUP($A100,AffordabilityRatio!$A$2:$I$321,5,FALSE)</f>
        <v>17.84</v>
      </c>
      <c r="AJ100" s="268">
        <f>VLOOKUP($A100,AffordabilityRatio!$A$2:$I$321,6,FALSE)</f>
        <v>16.75</v>
      </c>
      <c r="AK100" s="268">
        <f>VLOOKUP($A100,AffordabilityRatio!$A$2:$I$321,7,FALSE)</f>
        <v>16.39</v>
      </c>
      <c r="AL100" s="268">
        <f>IF((VLOOKUP($A100,AffordabilityRatio!$A$2:$I$321,8,FALSE))="",AK100,VLOOKUP($A100,AffordabilityRatio!$A$2:$I$321,8,FALSE))</f>
        <v>17.170000000000002</v>
      </c>
      <c r="AM100" s="268">
        <f>IF((VLOOKUP($A100,AffordabilityRatio!$A$2:$I$321,9,FALSE))="",AL100,VLOOKUP($A100,AffordabilityRatio!$A$2:$I$321,9,FALSE))</f>
        <v>17.98</v>
      </c>
      <c r="AN100" s="268">
        <f>IF((VLOOKUP($A100,AffordabilityRatio!$A$2:$I$321,9,FALSE))="",AM100,VLOOKUP($A100,AffordabilityRatio!$A$2:$I$321,9,FALSE))</f>
        <v>17.98</v>
      </c>
      <c r="AO100" s="268">
        <f>IF((VLOOKUP($A100,AffordabilityRatio!$A$2:$I$321,9,FALSE))="",AN100,VLOOKUP($A100,AffordabilityRatio!$A$2:$I$321,9,FALSE))</f>
        <v>17.98</v>
      </c>
      <c r="AP100" s="268">
        <f>IF((VLOOKUP($A100,AffordabilityRatio!$A$2:$I$321,9,FALSE))="",AO100,VLOOKUP($A100,AffordabilityRatio!$A$2:$I$321,9,FALSE))</f>
        <v>17.98</v>
      </c>
      <c r="AQ100" s="267">
        <f t="shared" si="86"/>
        <v>769</v>
      </c>
      <c r="AR100" s="267">
        <f t="shared" si="87"/>
        <v>742</v>
      </c>
      <c r="AS100" s="267">
        <f t="shared" si="88"/>
        <v>731</v>
      </c>
      <c r="AT100" s="267">
        <f t="shared" si="89"/>
        <v>287</v>
      </c>
      <c r="AU100" s="267">
        <f t="shared" si="90"/>
        <v>286</v>
      </c>
      <c r="AV100" s="267">
        <f t="shared" si="91"/>
        <v>277</v>
      </c>
      <c r="AW100" s="267">
        <f t="shared" si="92"/>
        <v>270</v>
      </c>
      <c r="AX100" s="267">
        <f t="shared" si="93"/>
        <v>262</v>
      </c>
      <c r="AY100" s="267">
        <f t="shared" si="94"/>
        <v>577.22</v>
      </c>
      <c r="AZ100" s="267">
        <f t="shared" si="95"/>
        <v>578.20000000000005</v>
      </c>
      <c r="BA100" s="267">
        <f t="shared" si="96"/>
        <v>576.79999999999995</v>
      </c>
      <c r="BB100" s="267">
        <f t="shared" si="97"/>
        <v>253.4</v>
      </c>
      <c r="BC100" s="267">
        <f t="shared" si="98"/>
        <v>253.4</v>
      </c>
      <c r="BD100" s="267">
        <f t="shared" si="99"/>
        <v>253.4</v>
      </c>
      <c r="BE100" s="267">
        <f t="shared" si="100"/>
        <v>253.4</v>
      </c>
      <c r="BF100" s="267">
        <f t="shared" si="101"/>
        <v>253.4</v>
      </c>
      <c r="BG100" s="269">
        <f>AY100*VLOOKUP($B100,'Major Cities &amp; Towns'!$A$28:$B$345,2,FALSE)</f>
        <v>577.22</v>
      </c>
      <c r="BH100" s="269">
        <f>AZ100*VLOOKUP($B100,'Major Cities &amp; Towns'!$A$28:$B$345,2,FALSE)</f>
        <v>578.20000000000005</v>
      </c>
      <c r="BI100" s="269">
        <f>BA100*VLOOKUP($B100,'Major Cities &amp; Towns'!$A$28:$B$345,2,FALSE)</f>
        <v>576.79999999999995</v>
      </c>
      <c r="BJ100" s="269">
        <f>BB100*VLOOKUP($B100,'Major Cities &amp; Towns'!$A$28:$B$345,2,FALSE)</f>
        <v>253.4</v>
      </c>
      <c r="BK100" s="269">
        <f>BC100*VLOOKUP($B100,'Major Cities &amp; Towns'!$A$28:$B$345,2,FALSE)</f>
        <v>253.4</v>
      </c>
      <c r="BL100" s="269">
        <f>BD100*VLOOKUP($B100,'Major Cities &amp; Towns'!$A$28:$B$345,2,FALSE)</f>
        <v>253.4</v>
      </c>
      <c r="BM100" s="269">
        <f>BE100*VLOOKUP($B100,'Major Cities &amp; Towns'!$A$28:$B$345,2,FALSE)</f>
        <v>253.4</v>
      </c>
      <c r="BN100" s="269">
        <f>BF100*VLOOKUP($B100,'Major Cities &amp; Towns'!$A$28:$B$345,2,FALSE)</f>
        <v>253.4</v>
      </c>
      <c r="BO100" s="270">
        <f t="shared" si="102"/>
        <v>769</v>
      </c>
      <c r="BP100" s="270">
        <f t="shared" si="103"/>
        <v>742</v>
      </c>
      <c r="BQ100" s="270">
        <f t="shared" si="104"/>
        <v>731</v>
      </c>
      <c r="BR100" s="270">
        <f t="shared" si="105"/>
        <v>287</v>
      </c>
      <c r="BS100" s="270">
        <f t="shared" si="106"/>
        <v>286</v>
      </c>
      <c r="BT100" s="270">
        <f t="shared" si="107"/>
        <v>277</v>
      </c>
      <c r="BU100" s="270">
        <f t="shared" si="108"/>
        <v>270</v>
      </c>
      <c r="BV100" s="270">
        <f t="shared" si="109"/>
        <v>262</v>
      </c>
      <c r="BW100" s="39">
        <f>VLOOKUP($A100,NetAdditions!$A$2:$H$336,6,FALSE)</f>
        <v>165</v>
      </c>
      <c r="BX100" s="39">
        <f>VLOOKUP($A100,NetAdditions!$A$2:$H$336,7,FALSE)</f>
        <v>185</v>
      </c>
      <c r="BY100" s="39">
        <f>IF((VLOOKUP($C100,NetAdditions!$A$2:$H$336,8,FALSE))="",(AVERAGE(VLOOKUP($C100,NetAdditions!$A$2:$H$336,5,FALSE),VLOOKUP($C100,NetAdditions!$A$2:$H$336,6,FALSE),VLOOKUP($C100,NetAdditions!$A$2:$H$336,7,FALSE))),VLOOKUP($C100,NetAdditions!$A$2:$H$336,8,FALSE))</f>
        <v>129</v>
      </c>
      <c r="BZ100" s="39">
        <f t="shared" si="110"/>
        <v>159.66666666666666</v>
      </c>
      <c r="CA100" s="39">
        <f t="shared" si="111"/>
        <v>157.88888888888889</v>
      </c>
      <c r="CB100" s="39">
        <f t="shared" si="112"/>
        <v>148.85185185185185</v>
      </c>
      <c r="CC100" s="39">
        <f t="shared" si="113"/>
        <v>155.46913580246914</v>
      </c>
      <c r="CD100" s="39">
        <f t="shared" si="114"/>
        <v>154.06995884773664</v>
      </c>
      <c r="CE100" s="276">
        <f t="shared" si="71"/>
        <v>2242</v>
      </c>
      <c r="CF100" s="276">
        <f t="shared" si="72"/>
        <v>1760</v>
      </c>
      <c r="CG100" s="276">
        <f t="shared" si="73"/>
        <v>1304</v>
      </c>
      <c r="CH100" s="276">
        <f t="shared" si="74"/>
        <v>850</v>
      </c>
      <c r="CI100" s="276">
        <f t="shared" si="75"/>
        <v>833</v>
      </c>
      <c r="CJ100" s="276">
        <f t="shared" si="76"/>
        <v>809</v>
      </c>
      <c r="CK100" s="276">
        <f t="shared" si="115"/>
        <v>1930.6111111111113</v>
      </c>
      <c r="CL100" s="276">
        <f t="shared" si="116"/>
        <v>1515.5555555555557</v>
      </c>
      <c r="CM100" s="276">
        <f t="shared" si="117"/>
        <v>1195.3333333333333</v>
      </c>
      <c r="CN100" s="276">
        <f t="shared" si="118"/>
        <v>850</v>
      </c>
      <c r="CO100" s="276">
        <f t="shared" si="119"/>
        <v>833</v>
      </c>
      <c r="CP100" s="276">
        <f t="shared" si="120"/>
        <v>809</v>
      </c>
      <c r="CQ100" s="39">
        <f t="shared" si="77"/>
        <v>479</v>
      </c>
      <c r="CR100" s="39">
        <f t="shared" si="78"/>
        <v>473.66666666666663</v>
      </c>
      <c r="CS100" s="277">
        <f t="shared" si="79"/>
        <v>446.55555555555554</v>
      </c>
      <c r="CT100" s="39">
        <f t="shared" si="80"/>
        <v>466.40740740740739</v>
      </c>
      <c r="CU100" s="39">
        <f t="shared" si="81"/>
        <v>462.20987654320993</v>
      </c>
      <c r="CV100" s="39">
        <f t="shared" si="121"/>
        <v>458.39094650205766</v>
      </c>
      <c r="CW100" s="297">
        <f t="shared" si="82"/>
        <v>0.24810796811602542</v>
      </c>
      <c r="CX100" s="279" t="str">
        <f t="shared" si="122"/>
        <v>Presumption</v>
      </c>
      <c r="CY100" s="278">
        <f t="shared" si="83"/>
        <v>0.31253665689149557</v>
      </c>
      <c r="CZ100" s="279" t="str">
        <f t="shared" si="123"/>
        <v>Presumption</v>
      </c>
      <c r="DA100" s="278">
        <f t="shared" si="84"/>
        <v>0.37358245026956682</v>
      </c>
      <c r="DB100" s="292" t="str">
        <f t="shared" si="124"/>
        <v>Presumption</v>
      </c>
      <c r="DC100" s="299">
        <f t="shared" si="125"/>
        <v>0.548714596949891</v>
      </c>
      <c r="DD100" s="293" t="str">
        <f t="shared" si="126"/>
        <v>Presumption</v>
      </c>
      <c r="DE100" s="299">
        <f t="shared" si="127"/>
        <v>0.55487380137240083</v>
      </c>
      <c r="DF100" s="293" t="str">
        <f t="shared" si="128"/>
        <v>Presumption</v>
      </c>
      <c r="DG100" s="299">
        <f t="shared" si="129"/>
        <v>0.56661427256125796</v>
      </c>
      <c r="DH100" s="293" t="str">
        <f t="shared" si="130"/>
        <v>Presumption</v>
      </c>
    </row>
    <row r="101" spans="1:112" ht="15" thickTop="1" thickBot="1">
      <c r="A101" s="38" t="s">
        <v>312</v>
      </c>
      <c r="B101" s="38" t="s">
        <v>313</v>
      </c>
      <c r="C101" s="38" t="s">
        <v>312</v>
      </c>
      <c r="D101" s="38" t="s">
        <v>119</v>
      </c>
      <c r="E101" s="38" t="str">
        <f>VLOOKUP(C101,PoliticalControl!A:K,11,FALSE)</f>
        <v>CON</v>
      </c>
      <c r="F101" s="38" t="str">
        <f>VLOOKUP(C101,UrbanRuralClassification!A:N,13,FALSE)</f>
        <v>Urban with Minor Conurbation</v>
      </c>
      <c r="G101" s="38" t="str">
        <f>VLOOKUP(C101,UrbanRuralClassification!A:N,14,FALSE)</f>
        <v>Predominantly Urban</v>
      </c>
      <c r="H101" s="258">
        <f>IF(ISBLANK((VLOOKUP($A101,'local-plan-data'!$C$1:$AD$566,27,FALSE)))=TRUE,"",VLOOKUP($A101,'local-plan-data'!$C$1:$AD$566,27,FALSE))</f>
        <v>41704</v>
      </c>
      <c r="I101" s="259">
        <f>VLOOKUP($A101,'local-plan-data'!$C$1:$AD$566,28,FALSE)</f>
        <v>367.64705882352939</v>
      </c>
      <c r="J101" s="260">
        <f t="shared" si="85"/>
        <v>367.64705882352939</v>
      </c>
      <c r="K101" s="259">
        <f t="shared" si="133"/>
        <v>367.64705882352939</v>
      </c>
      <c r="L101" s="259" t="str">
        <f t="shared" si="131"/>
        <v>-</v>
      </c>
      <c r="M101" s="259" t="str">
        <f t="shared" si="131"/>
        <v>-</v>
      </c>
      <c r="N101" s="259" t="str">
        <f t="shared" si="131"/>
        <v>-</v>
      </c>
      <c r="O101" s="259" t="str">
        <f t="shared" si="131"/>
        <v>-</v>
      </c>
      <c r="P101" s="259" t="str">
        <f t="shared" si="131"/>
        <v>-</v>
      </c>
      <c r="Q101" s="259" t="str">
        <f t="shared" si="131"/>
        <v>-</v>
      </c>
      <c r="R101" s="259" t="str">
        <f t="shared" si="131"/>
        <v>-</v>
      </c>
      <c r="S101" s="259">
        <f t="shared" si="134"/>
        <v>339</v>
      </c>
      <c r="T101" s="259">
        <f t="shared" si="132"/>
        <v>-26</v>
      </c>
      <c r="U101" s="259">
        <f t="shared" si="132"/>
        <v>-392</v>
      </c>
      <c r="V101" s="259">
        <f t="shared" si="132"/>
        <v>-757</v>
      </c>
      <c r="W101" s="259">
        <f t="shared" si="132"/>
        <v>-1122</v>
      </c>
      <c r="X101" s="259">
        <f t="shared" si="132"/>
        <v>-1487</v>
      </c>
      <c r="Y101" s="259">
        <f t="shared" si="132"/>
        <v>-1853</v>
      </c>
      <c r="Z101" s="259">
        <f t="shared" si="132"/>
        <v>-2218</v>
      </c>
      <c r="AA101" s="267">
        <f>(VLOOKUP(A101,Hshldprojections2014!$A$2:$AW$319,40, FALSE)-VLOOKUP(A101,Hshldprojections2014!$A$2:$AW$319,30, FALSE))/10</f>
        <v>356.9</v>
      </c>
      <c r="AB101" s="267">
        <f>(VLOOKUP(A101,Hshldprojections2014!$A$2:$AW$319,41, FALSE)-VLOOKUP(A101,Hshldprojections2014!$A$2:$AW$319,31, FALSE))/10</f>
        <v>351.7</v>
      </c>
      <c r="AC101" s="267">
        <f>(VLOOKUP(A101,Hshldprojections2014!$A$2:$AW$319,42, FALSE)-VLOOKUP(A101,Hshldprojections2014!$A$2:$AW$319,32, FALSE))/10</f>
        <v>344.9</v>
      </c>
      <c r="AD101" s="267">
        <f>IF(IndividualLATest!$J$7=2014,(VLOOKUP($A101,Hshldprojections2014!$A$2:$AY$326,43,FALSE)-VLOOKUP($A101,Hshldprojections2014!$A$2:$AY$326,33,FALSE))/10,IF(IndividualLATest!$J$7=2016,(VLOOKUP($A101,Hshldprojections2016!$A$1:$AQ$322,33,FALSE)-VLOOKUP($A101,Hshldprojections2016!$A$1:$AQ$322,23,FALSE))/10,(VLOOKUP($A101,Hshldprojections2018!$A$1:$AQ$327,33,FALSE)-VLOOKUP($A101,Hshldprojections2018!$A$1:$AQ$327,23,FALSE))/10))</f>
        <v>225.6</v>
      </c>
      <c r="AE101" s="267">
        <f>IF(IndividualLATest!$J$7=2014,(VLOOKUP($A101,Hshldprojections2014!$A$2:$AY$326,44,FALSE)-VLOOKUP($A101,Hshldprojections2014!$A$2:$AY$326,34,FALSE))/10,IF(IndividualLATest!$J$7=2016,(VLOOKUP($A101,Hshldprojections2016!$A$1:$AQ$322,34,FALSE)-VLOOKUP($A101,Hshldprojections2016!$A$1:$AQ$322,24,FALSE))/10,(VLOOKUP($A101,Hshldprojections2018!$A$1:$AQ$327,34,FALSE)-VLOOKUP($A101,Hshldprojections2018!$A$1:$AQ$327,24,FALSE))/10))</f>
        <v>227.7</v>
      </c>
      <c r="AF101" s="267">
        <f>IF(IndividualLATest!$J$7=2014,(VLOOKUP($A101,Hshldprojections2014!$A$2:$AY$326,45,FALSE)-VLOOKUP($A101,Hshldprojections2014!$A$2:$AY$326,35,FALSE))/10,IF(IndividualLATest!$J$7=2016,(VLOOKUP($A101,Hshldprojections2016!$A$1:$AQ$322,35,FALSE)-VLOOKUP($A101,Hshldprojections2016!$A$1:$AQ$322,25,FALSE))/10,(VLOOKUP($A101,Hshldprojections2018!$A$1:$AQ$327,35,FALSE)-VLOOKUP($A101,Hshldprojections2018!$A$1:$AQ$327,25,FALSE))/10))</f>
        <v>230.9</v>
      </c>
      <c r="AG101" s="267">
        <f>IF(IndividualLATest!$J$7=2014,(VLOOKUP($A101,Hshldprojections2014!$A$2:$AY$326,46,FALSE)-VLOOKUP($A101,Hshldprojections2014!$A$2:$AY$326,36,FALSE))/10,IF(IndividualLATest!$J$7=2016,(VLOOKUP($A101,Hshldprojections2016!$A$1:$AQ$322,36,FALSE)-VLOOKUP($A101,Hshldprojections2016!$A$1:$AQ$322,26,FALSE))/10,(VLOOKUP($A101,Hshldprojections2018!$A$1:$AQ$327,36,FALSE)-VLOOKUP($A101,Hshldprojections2018!$A$1:$AQ$327,26,FALSE))/10))</f>
        <v>232.8</v>
      </c>
      <c r="AH101" s="267">
        <f>IF(IndividualLATest!$J$7=2014,(VLOOKUP($A101,Hshldprojections2014!$A$2:$AY$326,47,FALSE)-VLOOKUP($A101,Hshldprojections2014!$A$2:$AY$326,37,FALSE))/10,IF(IndividualLATest!$J$7=2016,(VLOOKUP($A101,Hshldprojections2016!$A$1:$AQ$322,37,FALSE)-VLOOKUP($A101,Hshldprojections2016!$A$1:$AQ$322,27,FALSE))/10,(VLOOKUP($A101,Hshldprojections2018!$A$1:$AQ$327,37,FALSE)-VLOOKUP($A101,Hshldprojections2018!$A$1:$AQ$327,27,FALSE))/10))</f>
        <v>237.9</v>
      </c>
      <c r="AI101" s="268">
        <f>VLOOKUP($A101,AffordabilityRatio!$A$2:$I$321,5,FALSE)</f>
        <v>5.5</v>
      </c>
      <c r="AJ101" s="268">
        <f>VLOOKUP($A101,AffordabilityRatio!$A$2:$I$321,6,FALSE)</f>
        <v>5.9</v>
      </c>
      <c r="AK101" s="268">
        <f>VLOOKUP($A101,AffordabilityRatio!$A$2:$I$321,7,FALSE)</f>
        <v>6.18</v>
      </c>
      <c r="AL101" s="268">
        <f>IF((VLOOKUP($A101,AffordabilityRatio!$A$2:$I$321,8,FALSE))="",AK101,VLOOKUP($A101,AffordabilityRatio!$A$2:$I$321,8,FALSE))</f>
        <v>6.14</v>
      </c>
      <c r="AM101" s="268">
        <f>IF((VLOOKUP($A101,AffordabilityRatio!$A$2:$I$321,9,FALSE))="",AL101,VLOOKUP($A101,AffordabilityRatio!$A$2:$I$321,9,FALSE))</f>
        <v>6.28</v>
      </c>
      <c r="AN101" s="268">
        <f>IF((VLOOKUP($A101,AffordabilityRatio!$A$2:$I$321,9,FALSE))="",AM101,VLOOKUP($A101,AffordabilityRatio!$A$2:$I$321,9,FALSE))</f>
        <v>6.28</v>
      </c>
      <c r="AO101" s="268">
        <f>IF((VLOOKUP($A101,AffordabilityRatio!$A$2:$I$321,9,FALSE))="",AN101,VLOOKUP($A101,AffordabilityRatio!$A$2:$I$321,9,FALSE))</f>
        <v>6.28</v>
      </c>
      <c r="AP101" s="268">
        <f>IF((VLOOKUP($A101,AffordabilityRatio!$A$2:$I$321,9,FALSE))="",AO101,VLOOKUP($A101,AffordabilityRatio!$A$2:$I$321,9,FALSE))</f>
        <v>6.28</v>
      </c>
      <c r="AQ101" s="267">
        <f t="shared" si="86"/>
        <v>390</v>
      </c>
      <c r="AR101" s="267">
        <f t="shared" si="87"/>
        <v>393</v>
      </c>
      <c r="AS101" s="267">
        <f t="shared" si="88"/>
        <v>392</v>
      </c>
      <c r="AT101" s="267">
        <f t="shared" si="89"/>
        <v>256</v>
      </c>
      <c r="AU101" s="267">
        <f t="shared" si="90"/>
        <v>260</v>
      </c>
      <c r="AV101" s="267">
        <f t="shared" si="91"/>
        <v>264</v>
      </c>
      <c r="AW101" s="267">
        <f t="shared" si="92"/>
        <v>266</v>
      </c>
      <c r="AX101" s="267">
        <f t="shared" si="93"/>
        <v>272</v>
      </c>
      <c r="AY101" s="267">
        <f t="shared" si="94"/>
        <v>390</v>
      </c>
      <c r="AZ101" s="267">
        <f t="shared" si="95"/>
        <v>393</v>
      </c>
      <c r="BA101" s="267">
        <f t="shared" si="96"/>
        <v>392</v>
      </c>
      <c r="BB101" s="267">
        <f t="shared" si="97"/>
        <v>256</v>
      </c>
      <c r="BC101" s="267">
        <f t="shared" si="98"/>
        <v>260</v>
      </c>
      <c r="BD101" s="267">
        <f t="shared" si="99"/>
        <v>264</v>
      </c>
      <c r="BE101" s="267">
        <f t="shared" si="100"/>
        <v>266</v>
      </c>
      <c r="BF101" s="267">
        <f t="shared" si="101"/>
        <v>272</v>
      </c>
      <c r="BG101" s="269">
        <f>AY101*VLOOKUP($B101,'Major Cities &amp; Towns'!$A$28:$B$345,2,FALSE)</f>
        <v>390</v>
      </c>
      <c r="BH101" s="269">
        <f>AZ101*VLOOKUP($B101,'Major Cities &amp; Towns'!$A$28:$B$345,2,FALSE)</f>
        <v>393</v>
      </c>
      <c r="BI101" s="269">
        <f>BA101*VLOOKUP($B101,'Major Cities &amp; Towns'!$A$28:$B$345,2,FALSE)</f>
        <v>392</v>
      </c>
      <c r="BJ101" s="269">
        <f>BB101*VLOOKUP($B101,'Major Cities &amp; Towns'!$A$28:$B$345,2,FALSE)</f>
        <v>256</v>
      </c>
      <c r="BK101" s="269">
        <f>BC101*VLOOKUP($B101,'Major Cities &amp; Towns'!$A$28:$B$345,2,FALSE)</f>
        <v>260</v>
      </c>
      <c r="BL101" s="269">
        <f>BD101*VLOOKUP($B101,'Major Cities &amp; Towns'!$A$28:$B$345,2,FALSE)</f>
        <v>264</v>
      </c>
      <c r="BM101" s="269">
        <f>BE101*VLOOKUP($B101,'Major Cities &amp; Towns'!$A$28:$B$345,2,FALSE)</f>
        <v>266</v>
      </c>
      <c r="BN101" s="269">
        <f>BF101*VLOOKUP($B101,'Major Cities &amp; Towns'!$A$28:$B$345,2,FALSE)</f>
        <v>272</v>
      </c>
      <c r="BO101" s="270">
        <f t="shared" si="102"/>
        <v>369.23932312651084</v>
      </c>
      <c r="BP101" s="270">
        <f t="shared" si="103"/>
        <v>393</v>
      </c>
      <c r="BQ101" s="270">
        <f t="shared" si="104"/>
        <v>392</v>
      </c>
      <c r="BR101" s="270">
        <f t="shared" si="105"/>
        <v>256</v>
      </c>
      <c r="BS101" s="270">
        <f t="shared" si="106"/>
        <v>260</v>
      </c>
      <c r="BT101" s="270">
        <f t="shared" si="107"/>
        <v>264</v>
      </c>
      <c r="BU101" s="270">
        <f t="shared" si="108"/>
        <v>266</v>
      </c>
      <c r="BV101" s="270">
        <f t="shared" si="109"/>
        <v>272</v>
      </c>
      <c r="BW101" s="39">
        <f>VLOOKUP($A101,NetAdditions!$A$2:$H$336,6,FALSE)</f>
        <v>321</v>
      </c>
      <c r="BX101" s="39">
        <f>VLOOKUP($A101,NetAdditions!$A$2:$H$336,7,FALSE)</f>
        <v>246</v>
      </c>
      <c r="BY101" s="39">
        <f>IF((VLOOKUP($C101,NetAdditions!$A$2:$H$336,8,FALSE))="",(AVERAGE(VLOOKUP($C101,NetAdditions!$A$2:$H$336,5,FALSE),VLOOKUP($C101,NetAdditions!$A$2:$H$336,6,FALSE),VLOOKUP($C101,NetAdditions!$A$2:$H$336,7,FALSE))),VLOOKUP($C101,NetAdditions!$A$2:$H$336,8,FALSE))</f>
        <v>203</v>
      </c>
      <c r="BZ101" s="39">
        <f t="shared" si="110"/>
        <v>256.66666666666669</v>
      </c>
      <c r="CA101" s="39">
        <f t="shared" si="111"/>
        <v>235.22222222222226</v>
      </c>
      <c r="CB101" s="39">
        <f t="shared" si="112"/>
        <v>231.62962962962965</v>
      </c>
      <c r="CC101" s="39">
        <f t="shared" si="113"/>
        <v>241.17283950617286</v>
      </c>
      <c r="CD101" s="39">
        <f t="shared" si="114"/>
        <v>236.00823045267489</v>
      </c>
      <c r="CE101" s="276">
        <f t="shared" si="71"/>
        <v>1154.239323126511</v>
      </c>
      <c r="CF101" s="276">
        <f t="shared" si="72"/>
        <v>1041</v>
      </c>
      <c r="CG101" s="276">
        <f t="shared" si="73"/>
        <v>908</v>
      </c>
      <c r="CH101" s="276">
        <f t="shared" si="74"/>
        <v>780</v>
      </c>
      <c r="CI101" s="276">
        <f t="shared" si="75"/>
        <v>790</v>
      </c>
      <c r="CJ101" s="276">
        <f t="shared" si="76"/>
        <v>802</v>
      </c>
      <c r="CK101" s="276">
        <f t="shared" si="115"/>
        <v>993.92830602560673</v>
      </c>
      <c r="CL101" s="276">
        <f t="shared" si="116"/>
        <v>896.41666666666674</v>
      </c>
      <c r="CM101" s="276">
        <f t="shared" si="117"/>
        <v>832.33333333333326</v>
      </c>
      <c r="CN101" s="276">
        <f t="shared" si="118"/>
        <v>780</v>
      </c>
      <c r="CO101" s="276">
        <f t="shared" si="119"/>
        <v>790</v>
      </c>
      <c r="CP101" s="276">
        <f t="shared" si="120"/>
        <v>802</v>
      </c>
      <c r="CQ101" s="39">
        <f t="shared" si="77"/>
        <v>770</v>
      </c>
      <c r="CR101" s="39">
        <f t="shared" si="78"/>
        <v>705.66666666666674</v>
      </c>
      <c r="CS101" s="277">
        <f t="shared" si="79"/>
        <v>694.88888888888891</v>
      </c>
      <c r="CT101" s="39">
        <f t="shared" si="80"/>
        <v>723.51851851851859</v>
      </c>
      <c r="CU101" s="39">
        <f t="shared" si="81"/>
        <v>708.02469135802471</v>
      </c>
      <c r="CV101" s="39">
        <f t="shared" si="121"/>
        <v>708.81069958847741</v>
      </c>
      <c r="CW101" s="297">
        <f t="shared" si="82"/>
        <v>0.77470376417689257</v>
      </c>
      <c r="CX101" s="279" t="str">
        <f t="shared" si="122"/>
        <v>Buffer and Action Plan</v>
      </c>
      <c r="CY101" s="278">
        <f t="shared" si="83"/>
        <v>0.78720832945988661</v>
      </c>
      <c r="CZ101" s="279" t="str">
        <f t="shared" si="123"/>
        <v>Buffer and Action Plan</v>
      </c>
      <c r="DA101" s="278">
        <f t="shared" si="84"/>
        <v>0.83486850887731956</v>
      </c>
      <c r="DB101" s="292" t="str">
        <f t="shared" si="124"/>
        <v>Buffer and Action Plan</v>
      </c>
      <c r="DC101" s="299">
        <f t="shared" si="125"/>
        <v>0.92758784425451102</v>
      </c>
      <c r="DD101" s="293" t="str">
        <f t="shared" si="126"/>
        <v>Action Plan</v>
      </c>
      <c r="DE101" s="299">
        <f t="shared" si="127"/>
        <v>0.8962337865291452</v>
      </c>
      <c r="DF101" s="293" t="str">
        <f t="shared" si="128"/>
        <v>Action Plan</v>
      </c>
      <c r="DG101" s="299">
        <f t="shared" si="129"/>
        <v>0.8838038648235379</v>
      </c>
      <c r="DH101" s="293" t="str">
        <f t="shared" si="130"/>
        <v>Action Plan</v>
      </c>
    </row>
    <row r="102" spans="1:112" ht="15" thickTop="1" thickBot="1">
      <c r="A102" s="38" t="s">
        <v>314</v>
      </c>
      <c r="B102" s="38" t="s">
        <v>315</v>
      </c>
      <c r="C102" s="38" t="s">
        <v>314</v>
      </c>
      <c r="D102" s="38" t="s">
        <v>147</v>
      </c>
      <c r="E102" s="38" t="str">
        <f>VLOOKUP(C102,PoliticalControl!A:K,11,FALSE)</f>
        <v>LAB</v>
      </c>
      <c r="F102" s="38" t="str">
        <f>VLOOKUP(C102,UrbanRuralClassification!A:N,13,FALSE)</f>
        <v>Urban with City and Town</v>
      </c>
      <c r="G102" s="38" t="str">
        <f>VLOOKUP(C102,UrbanRuralClassification!A:N,14,FALSE)</f>
        <v>Predominantly Urban</v>
      </c>
      <c r="H102" s="258">
        <f>IF(ISBLANK((VLOOKUP($A102,'local-plan-data'!$C$1:$AD$566,27,FALSE)))=TRUE,"",VLOOKUP($A102,'local-plan-data'!$C$1:$AD$566,27,FALSE))</f>
        <v>40960</v>
      </c>
      <c r="I102" s="259">
        <f>VLOOKUP($A102,'local-plan-data'!$C$1:$AD$566,28,FALSE)</f>
        <v>600</v>
      </c>
      <c r="J102" s="260">
        <f t="shared" si="85"/>
        <v>600</v>
      </c>
      <c r="K102" s="259" t="str">
        <f t="shared" si="133"/>
        <v>-</v>
      </c>
      <c r="L102" s="259" t="str">
        <f t="shared" si="131"/>
        <v>-</v>
      </c>
      <c r="M102" s="259" t="str">
        <f t="shared" si="131"/>
        <v>-</v>
      </c>
      <c r="N102" s="259" t="str">
        <f t="shared" si="131"/>
        <v>-</v>
      </c>
      <c r="O102" s="259" t="str">
        <f t="shared" si="131"/>
        <v>-</v>
      </c>
      <c r="P102" s="259" t="str">
        <f t="shared" si="131"/>
        <v>-</v>
      </c>
      <c r="Q102" s="259" t="str">
        <f t="shared" si="131"/>
        <v>-</v>
      </c>
      <c r="R102" s="259" t="str">
        <f t="shared" si="131"/>
        <v>-</v>
      </c>
      <c r="S102" s="259">
        <f t="shared" si="134"/>
        <v>-404</v>
      </c>
      <c r="T102" s="259">
        <f t="shared" si="132"/>
        <v>-769</v>
      </c>
      <c r="U102" s="259">
        <f t="shared" si="132"/>
        <v>-1135</v>
      </c>
      <c r="V102" s="259">
        <f t="shared" si="132"/>
        <v>-1500</v>
      </c>
      <c r="W102" s="259">
        <f t="shared" si="132"/>
        <v>-1865</v>
      </c>
      <c r="X102" s="259">
        <f t="shared" si="132"/>
        <v>-2230</v>
      </c>
      <c r="Y102" s="259">
        <f t="shared" si="132"/>
        <v>-2596</v>
      </c>
      <c r="Z102" s="259">
        <f t="shared" si="132"/>
        <v>-2961</v>
      </c>
      <c r="AA102" s="267">
        <f>(VLOOKUP(A102,Hshldprojections2014!$A$2:$AW$319,40, FALSE)-VLOOKUP(A102,Hshldprojections2014!$A$2:$AW$319,30, FALSE))/10</f>
        <v>497.8</v>
      </c>
      <c r="AB102" s="267">
        <f>(VLOOKUP(A102,Hshldprojections2014!$A$2:$AW$319,41, FALSE)-VLOOKUP(A102,Hshldprojections2014!$A$2:$AW$319,31, FALSE))/10</f>
        <v>493.7</v>
      </c>
      <c r="AC102" s="267">
        <f>(VLOOKUP(A102,Hshldprojections2014!$A$2:$AW$319,42, FALSE)-VLOOKUP(A102,Hshldprojections2014!$A$2:$AW$319,32, FALSE))/10</f>
        <v>489.3</v>
      </c>
      <c r="AD102" s="267">
        <f>IF(IndividualLATest!$J$7=2014,(VLOOKUP($A102,Hshldprojections2014!$A$2:$AY$326,43,FALSE)-VLOOKUP($A102,Hshldprojections2014!$A$2:$AY$326,33,FALSE))/10,IF(IndividualLATest!$J$7=2016,(VLOOKUP($A102,Hshldprojections2016!$A$1:$AQ$322,33,FALSE)-VLOOKUP($A102,Hshldprojections2016!$A$1:$AQ$322,23,FALSE))/10,(VLOOKUP($A102,Hshldprojections2018!$A$1:$AQ$327,33,FALSE)-VLOOKUP($A102,Hshldprojections2018!$A$1:$AQ$327,23,FALSE))/10))</f>
        <v>431.9</v>
      </c>
      <c r="AE102" s="267">
        <f>IF(IndividualLATest!$J$7=2014,(VLOOKUP($A102,Hshldprojections2014!$A$2:$AY$326,44,FALSE)-VLOOKUP($A102,Hshldprojections2014!$A$2:$AY$326,34,FALSE))/10,IF(IndividualLATest!$J$7=2016,(VLOOKUP($A102,Hshldprojections2016!$A$1:$AQ$322,34,FALSE)-VLOOKUP($A102,Hshldprojections2016!$A$1:$AQ$322,24,FALSE))/10,(VLOOKUP($A102,Hshldprojections2018!$A$1:$AQ$327,34,FALSE)-VLOOKUP($A102,Hshldprojections2018!$A$1:$AQ$327,24,FALSE))/10))</f>
        <v>438</v>
      </c>
      <c r="AF102" s="267">
        <f>IF(IndividualLATest!$J$7=2014,(VLOOKUP($A102,Hshldprojections2014!$A$2:$AY$326,45,FALSE)-VLOOKUP($A102,Hshldprojections2014!$A$2:$AY$326,35,FALSE))/10,IF(IndividualLATest!$J$7=2016,(VLOOKUP($A102,Hshldprojections2016!$A$1:$AQ$322,35,FALSE)-VLOOKUP($A102,Hshldprojections2016!$A$1:$AQ$322,25,FALSE))/10,(VLOOKUP($A102,Hshldprojections2018!$A$1:$AQ$327,35,FALSE)-VLOOKUP($A102,Hshldprojections2018!$A$1:$AQ$327,25,FALSE))/10))</f>
        <v>441.6</v>
      </c>
      <c r="AG102" s="267">
        <f>IF(IndividualLATest!$J$7=2014,(VLOOKUP($A102,Hshldprojections2014!$A$2:$AY$326,46,FALSE)-VLOOKUP($A102,Hshldprojections2014!$A$2:$AY$326,36,FALSE))/10,IF(IndividualLATest!$J$7=2016,(VLOOKUP($A102,Hshldprojections2016!$A$1:$AQ$322,36,FALSE)-VLOOKUP($A102,Hshldprojections2016!$A$1:$AQ$322,26,FALSE))/10,(VLOOKUP($A102,Hshldprojections2018!$A$1:$AQ$327,36,FALSE)-VLOOKUP($A102,Hshldprojections2018!$A$1:$AQ$327,26,FALSE))/10))</f>
        <v>439.4</v>
      </c>
      <c r="AH102" s="267">
        <f>IF(IndividualLATest!$J$7=2014,(VLOOKUP($A102,Hshldprojections2014!$A$2:$AY$326,47,FALSE)-VLOOKUP($A102,Hshldprojections2014!$A$2:$AY$326,37,FALSE))/10,IF(IndividualLATest!$J$7=2016,(VLOOKUP($A102,Hshldprojections2016!$A$1:$AQ$322,37,FALSE)-VLOOKUP($A102,Hshldprojections2016!$A$1:$AQ$322,27,FALSE))/10,(VLOOKUP($A102,Hshldprojections2018!$A$1:$AQ$327,37,FALSE)-VLOOKUP($A102,Hshldprojections2018!$A$1:$AQ$327,27,FALSE))/10))</f>
        <v>436.8</v>
      </c>
      <c r="AI102" s="268">
        <f>VLOOKUP($A102,AffordabilityRatio!$A$2:$I$321,5,FALSE)</f>
        <v>8.5500000000000007</v>
      </c>
      <c r="AJ102" s="268">
        <f>VLOOKUP($A102,AffordabilityRatio!$A$2:$I$321,6,FALSE)</f>
        <v>8.6999999999999993</v>
      </c>
      <c r="AK102" s="268">
        <f>VLOOKUP($A102,AffordabilityRatio!$A$2:$I$321,7,FALSE)</f>
        <v>8.4499999999999993</v>
      </c>
      <c r="AL102" s="268">
        <f>IF((VLOOKUP($A102,AffordabilityRatio!$A$2:$I$321,8,FALSE))="",AK102,VLOOKUP($A102,AffordabilityRatio!$A$2:$I$321,8,FALSE))</f>
        <v>8.67</v>
      </c>
      <c r="AM102" s="268">
        <f>IF((VLOOKUP($A102,AffordabilityRatio!$A$2:$I$321,9,FALSE))="",AL102,VLOOKUP($A102,AffordabilityRatio!$A$2:$I$321,9,FALSE))</f>
        <v>9.2200000000000006</v>
      </c>
      <c r="AN102" s="268">
        <f>IF((VLOOKUP($A102,AffordabilityRatio!$A$2:$I$321,9,FALSE))="",AM102,VLOOKUP($A102,AffordabilityRatio!$A$2:$I$321,9,FALSE))</f>
        <v>9.2200000000000006</v>
      </c>
      <c r="AO102" s="268">
        <f>IF((VLOOKUP($A102,AffordabilityRatio!$A$2:$I$321,9,FALSE))="",AN102,VLOOKUP($A102,AffordabilityRatio!$A$2:$I$321,9,FALSE))</f>
        <v>9.2200000000000006</v>
      </c>
      <c r="AP102" s="268">
        <f>IF((VLOOKUP($A102,AffordabilityRatio!$A$2:$I$321,9,FALSE))="",AO102,VLOOKUP($A102,AffordabilityRatio!$A$2:$I$321,9,FALSE))</f>
        <v>9.2200000000000006</v>
      </c>
      <c r="AQ102" s="267">
        <f t="shared" si="86"/>
        <v>639</v>
      </c>
      <c r="AR102" s="267">
        <f t="shared" si="87"/>
        <v>639</v>
      </c>
      <c r="AS102" s="267">
        <f t="shared" si="88"/>
        <v>625</v>
      </c>
      <c r="AT102" s="267">
        <f t="shared" si="89"/>
        <v>558</v>
      </c>
      <c r="AU102" s="267">
        <f t="shared" si="90"/>
        <v>581</v>
      </c>
      <c r="AV102" s="267">
        <f t="shared" si="91"/>
        <v>586</v>
      </c>
      <c r="AW102" s="267">
        <f t="shared" si="92"/>
        <v>583</v>
      </c>
      <c r="AX102" s="267">
        <f t="shared" si="93"/>
        <v>579</v>
      </c>
      <c r="AY102" s="267">
        <f t="shared" si="94"/>
        <v>639</v>
      </c>
      <c r="AZ102" s="267">
        <f t="shared" si="95"/>
        <v>639</v>
      </c>
      <c r="BA102" s="267">
        <f t="shared" si="96"/>
        <v>625</v>
      </c>
      <c r="BB102" s="267">
        <f t="shared" si="97"/>
        <v>558</v>
      </c>
      <c r="BC102" s="267">
        <f t="shared" si="98"/>
        <v>581</v>
      </c>
      <c r="BD102" s="267">
        <f t="shared" si="99"/>
        <v>586</v>
      </c>
      <c r="BE102" s="267">
        <f t="shared" si="100"/>
        <v>583</v>
      </c>
      <c r="BF102" s="267">
        <f t="shared" si="101"/>
        <v>579</v>
      </c>
      <c r="BG102" s="269">
        <f>AY102*VLOOKUP($B102,'Major Cities &amp; Towns'!$A$28:$B$345,2,FALSE)</f>
        <v>639</v>
      </c>
      <c r="BH102" s="269">
        <f>AZ102*VLOOKUP($B102,'Major Cities &amp; Towns'!$A$28:$B$345,2,FALSE)</f>
        <v>639</v>
      </c>
      <c r="BI102" s="269">
        <f>BA102*VLOOKUP($B102,'Major Cities &amp; Towns'!$A$28:$B$345,2,FALSE)</f>
        <v>625</v>
      </c>
      <c r="BJ102" s="269">
        <f>BB102*VLOOKUP($B102,'Major Cities &amp; Towns'!$A$28:$B$345,2,FALSE)</f>
        <v>558</v>
      </c>
      <c r="BK102" s="269">
        <f>BC102*VLOOKUP($B102,'Major Cities &amp; Towns'!$A$28:$B$345,2,FALSE)</f>
        <v>581</v>
      </c>
      <c r="BL102" s="269">
        <f>BD102*VLOOKUP($B102,'Major Cities &amp; Towns'!$A$28:$B$345,2,FALSE)</f>
        <v>586</v>
      </c>
      <c r="BM102" s="269">
        <f>BE102*VLOOKUP($B102,'Major Cities &amp; Towns'!$A$28:$B$345,2,FALSE)</f>
        <v>583</v>
      </c>
      <c r="BN102" s="269">
        <f>BF102*VLOOKUP($B102,'Major Cities &amp; Towns'!$A$28:$B$345,2,FALSE)</f>
        <v>579</v>
      </c>
      <c r="BO102" s="270">
        <f t="shared" si="102"/>
        <v>639</v>
      </c>
      <c r="BP102" s="270">
        <f t="shared" si="103"/>
        <v>639</v>
      </c>
      <c r="BQ102" s="270">
        <f t="shared" si="104"/>
        <v>625</v>
      </c>
      <c r="BR102" s="270">
        <f t="shared" si="105"/>
        <v>558</v>
      </c>
      <c r="BS102" s="270">
        <f t="shared" si="106"/>
        <v>581</v>
      </c>
      <c r="BT102" s="270">
        <f t="shared" si="107"/>
        <v>586</v>
      </c>
      <c r="BU102" s="270">
        <f t="shared" si="108"/>
        <v>583</v>
      </c>
      <c r="BV102" s="270">
        <f t="shared" si="109"/>
        <v>579</v>
      </c>
      <c r="BW102" s="39">
        <f>VLOOKUP($A102,NetAdditions!$A$2:$H$336,6,FALSE)</f>
        <v>802</v>
      </c>
      <c r="BX102" s="39">
        <f>VLOOKUP($A102,NetAdditions!$A$2:$H$336,7,FALSE)</f>
        <v>1137</v>
      </c>
      <c r="BY102" s="39">
        <f>IF((VLOOKUP($C102,NetAdditions!$A$2:$H$336,8,FALSE))="",(AVERAGE(VLOOKUP($C102,NetAdditions!$A$2:$H$336,5,FALSE),VLOOKUP($C102,NetAdditions!$A$2:$H$336,6,FALSE),VLOOKUP($C102,NetAdditions!$A$2:$H$336,7,FALSE))),VLOOKUP($C102,NetAdditions!$A$2:$H$336,8,FALSE))</f>
        <v>520</v>
      </c>
      <c r="BZ102" s="39">
        <f t="shared" si="110"/>
        <v>819.66666666666663</v>
      </c>
      <c r="CA102" s="39">
        <f t="shared" si="111"/>
        <v>825.55555555555554</v>
      </c>
      <c r="CB102" s="39">
        <f t="shared" si="112"/>
        <v>721.74074074074076</v>
      </c>
      <c r="CC102" s="39">
        <f t="shared" si="113"/>
        <v>788.98765432098764</v>
      </c>
      <c r="CD102" s="39">
        <f t="shared" si="114"/>
        <v>778.76131687242798</v>
      </c>
      <c r="CE102" s="276">
        <f t="shared" si="71"/>
        <v>1903</v>
      </c>
      <c r="CF102" s="276">
        <f t="shared" si="72"/>
        <v>1822</v>
      </c>
      <c r="CG102" s="276">
        <f t="shared" si="73"/>
        <v>1764</v>
      </c>
      <c r="CH102" s="276">
        <f t="shared" si="74"/>
        <v>1725</v>
      </c>
      <c r="CI102" s="276">
        <f t="shared" si="75"/>
        <v>1750</v>
      </c>
      <c r="CJ102" s="276">
        <f t="shared" si="76"/>
        <v>1748</v>
      </c>
      <c r="CK102" s="276">
        <f t="shared" si="115"/>
        <v>1638.6944444444446</v>
      </c>
      <c r="CL102" s="276">
        <f t="shared" si="116"/>
        <v>1568.9444444444446</v>
      </c>
      <c r="CM102" s="276">
        <f t="shared" si="117"/>
        <v>1617</v>
      </c>
      <c r="CN102" s="276">
        <f t="shared" si="118"/>
        <v>1725</v>
      </c>
      <c r="CO102" s="276">
        <f t="shared" si="119"/>
        <v>1750</v>
      </c>
      <c r="CP102" s="276">
        <f t="shared" si="120"/>
        <v>1748</v>
      </c>
      <c r="CQ102" s="39">
        <f t="shared" si="77"/>
        <v>2459</v>
      </c>
      <c r="CR102" s="39">
        <f t="shared" si="78"/>
        <v>2476.6666666666665</v>
      </c>
      <c r="CS102" s="277">
        <f t="shared" si="79"/>
        <v>2165.2222222222222</v>
      </c>
      <c r="CT102" s="39">
        <f t="shared" si="80"/>
        <v>2366.962962962963</v>
      </c>
      <c r="CU102" s="39">
        <f t="shared" si="81"/>
        <v>2336.2839506172841</v>
      </c>
      <c r="CV102" s="39">
        <f t="shared" si="121"/>
        <v>2289.4897119341563</v>
      </c>
      <c r="CW102" s="297">
        <f t="shared" si="82"/>
        <v>1.5005848151475598</v>
      </c>
      <c r="CX102" s="279" t="str">
        <f t="shared" si="122"/>
        <v>Pass</v>
      </c>
      <c r="CY102" s="278">
        <f t="shared" si="83"/>
        <v>1.5785560001416379</v>
      </c>
      <c r="CZ102" s="279" t="str">
        <f t="shared" si="123"/>
        <v>Pass</v>
      </c>
      <c r="DA102" s="278">
        <f t="shared" si="84"/>
        <v>1.3390366247509105</v>
      </c>
      <c r="DB102" s="292" t="str">
        <f t="shared" si="124"/>
        <v>Pass</v>
      </c>
      <c r="DC102" s="299">
        <f t="shared" si="125"/>
        <v>1.3721524422973699</v>
      </c>
      <c r="DD102" s="293" t="str">
        <f t="shared" si="126"/>
        <v>Pass</v>
      </c>
      <c r="DE102" s="299">
        <f t="shared" si="127"/>
        <v>1.3350194003527338</v>
      </c>
      <c r="DF102" s="293" t="str">
        <f t="shared" si="128"/>
        <v>Pass</v>
      </c>
      <c r="DG102" s="299">
        <f t="shared" si="129"/>
        <v>1.3097767230744601</v>
      </c>
      <c r="DH102" s="293" t="str">
        <f t="shared" si="130"/>
        <v>Pass</v>
      </c>
    </row>
    <row r="103" spans="1:112" ht="15" thickTop="1" thickBot="1">
      <c r="A103" s="38" t="s">
        <v>316</v>
      </c>
      <c r="B103" s="38" t="s">
        <v>317</v>
      </c>
      <c r="C103" s="38" t="s">
        <v>316</v>
      </c>
      <c r="D103" s="38" t="s">
        <v>113</v>
      </c>
      <c r="E103" s="38" t="str">
        <f>VLOOKUP(C103,PoliticalControl!A:K,11,FALSE)</f>
        <v>CON</v>
      </c>
      <c r="F103" s="38" t="str">
        <f>VLOOKUP(C103,UrbanRuralClassification!A:N,13,FALSE)</f>
        <v>Urban with City and Town</v>
      </c>
      <c r="G103" s="38" t="str">
        <f>VLOOKUP(C103,UrbanRuralClassification!A:N,14,FALSE)</f>
        <v>Predominantly Urban</v>
      </c>
      <c r="H103" s="258">
        <f>IF(ISBLANK((VLOOKUP($A103,'local-plan-data'!$C$1:$AD$566,27,FALSE)))=TRUE,"",VLOOKUP($A103,'local-plan-data'!$C$1:$AD$566,27,FALSE))</f>
        <v>40759</v>
      </c>
      <c r="I103" s="259">
        <f>VLOOKUP($A103,'local-plan-data'!$C$1:$AD$566,28,FALSE)</f>
        <v>338</v>
      </c>
      <c r="J103" s="260">
        <f t="shared" si="85"/>
        <v>338</v>
      </c>
      <c r="K103" s="259" t="str">
        <f t="shared" si="133"/>
        <v>-</v>
      </c>
      <c r="L103" s="259" t="str">
        <f t="shared" si="131"/>
        <v>-</v>
      </c>
      <c r="M103" s="259" t="str">
        <f t="shared" si="131"/>
        <v>-</v>
      </c>
      <c r="N103" s="259" t="str">
        <f t="shared" si="131"/>
        <v>-</v>
      </c>
      <c r="O103" s="259" t="str">
        <f t="shared" si="131"/>
        <v>-</v>
      </c>
      <c r="P103" s="259" t="str">
        <f t="shared" si="131"/>
        <v>-</v>
      </c>
      <c r="Q103" s="259" t="str">
        <f t="shared" si="131"/>
        <v>-</v>
      </c>
      <c r="R103" s="259" t="str">
        <f t="shared" si="131"/>
        <v>-</v>
      </c>
      <c r="S103" s="259">
        <f t="shared" si="134"/>
        <v>-605</v>
      </c>
      <c r="T103" s="259">
        <f t="shared" si="132"/>
        <v>-970</v>
      </c>
      <c r="U103" s="259">
        <f t="shared" si="132"/>
        <v>-1336</v>
      </c>
      <c r="V103" s="259">
        <f t="shared" si="132"/>
        <v>-1701</v>
      </c>
      <c r="W103" s="259">
        <f t="shared" si="132"/>
        <v>-2066</v>
      </c>
      <c r="X103" s="259">
        <f t="shared" si="132"/>
        <v>-2431</v>
      </c>
      <c r="Y103" s="259">
        <f t="shared" si="132"/>
        <v>-2797</v>
      </c>
      <c r="Z103" s="259">
        <f t="shared" si="132"/>
        <v>-3162</v>
      </c>
      <c r="AA103" s="267">
        <f>(VLOOKUP(A103,Hshldprojections2014!$A$2:$AW$319,40, FALSE)-VLOOKUP(A103,Hshldprojections2014!$A$2:$AW$319,30, FALSE))/10</f>
        <v>397.7</v>
      </c>
      <c r="AB103" s="267">
        <f>(VLOOKUP(A103,Hshldprojections2014!$A$2:$AW$319,41, FALSE)-VLOOKUP(A103,Hshldprojections2014!$A$2:$AW$319,31, FALSE))/10</f>
        <v>393.6</v>
      </c>
      <c r="AC103" s="267">
        <f>(VLOOKUP(A103,Hshldprojections2014!$A$2:$AW$319,42, FALSE)-VLOOKUP(A103,Hshldprojections2014!$A$2:$AW$319,32, FALSE))/10</f>
        <v>389.7</v>
      </c>
      <c r="AD103" s="267">
        <f>IF(IndividualLATest!$J$7=2014,(VLOOKUP($A103,Hshldprojections2014!$A$2:$AY$326,43,FALSE)-VLOOKUP($A103,Hshldprojections2014!$A$2:$AY$326,33,FALSE))/10,IF(IndividualLATest!$J$7=2016,(VLOOKUP($A103,Hshldprojections2016!$A$1:$AQ$322,33,FALSE)-VLOOKUP($A103,Hshldprojections2016!$A$1:$AQ$322,23,FALSE))/10,(VLOOKUP($A103,Hshldprojections2018!$A$1:$AQ$327,33,FALSE)-VLOOKUP($A103,Hshldprojections2018!$A$1:$AQ$327,23,FALSE))/10))</f>
        <v>232.1</v>
      </c>
      <c r="AE103" s="267">
        <f>IF(IndividualLATest!$J$7=2014,(VLOOKUP($A103,Hshldprojections2014!$A$2:$AY$326,44,FALSE)-VLOOKUP($A103,Hshldprojections2014!$A$2:$AY$326,34,FALSE))/10,IF(IndividualLATest!$J$7=2016,(VLOOKUP($A103,Hshldprojections2016!$A$1:$AQ$322,34,FALSE)-VLOOKUP($A103,Hshldprojections2016!$A$1:$AQ$322,24,FALSE))/10,(VLOOKUP($A103,Hshldprojections2018!$A$1:$AQ$327,34,FALSE)-VLOOKUP($A103,Hshldprojections2018!$A$1:$AQ$327,24,FALSE))/10))</f>
        <v>227.2</v>
      </c>
      <c r="AF103" s="267">
        <f>IF(IndividualLATest!$J$7=2014,(VLOOKUP($A103,Hshldprojections2014!$A$2:$AY$326,45,FALSE)-VLOOKUP($A103,Hshldprojections2014!$A$2:$AY$326,35,FALSE))/10,IF(IndividualLATest!$J$7=2016,(VLOOKUP($A103,Hshldprojections2016!$A$1:$AQ$322,35,FALSE)-VLOOKUP($A103,Hshldprojections2016!$A$1:$AQ$322,25,FALSE))/10,(VLOOKUP($A103,Hshldprojections2018!$A$1:$AQ$327,35,FALSE)-VLOOKUP($A103,Hshldprojections2018!$A$1:$AQ$327,25,FALSE))/10))</f>
        <v>223.1</v>
      </c>
      <c r="AG103" s="267">
        <f>IF(IndividualLATest!$J$7=2014,(VLOOKUP($A103,Hshldprojections2014!$A$2:$AY$326,46,FALSE)-VLOOKUP($A103,Hshldprojections2014!$A$2:$AY$326,36,FALSE))/10,IF(IndividualLATest!$J$7=2016,(VLOOKUP($A103,Hshldprojections2016!$A$1:$AQ$322,36,FALSE)-VLOOKUP($A103,Hshldprojections2016!$A$1:$AQ$322,26,FALSE))/10,(VLOOKUP($A103,Hshldprojections2018!$A$1:$AQ$327,36,FALSE)-VLOOKUP($A103,Hshldprojections2018!$A$1:$AQ$327,26,FALSE))/10))</f>
        <v>219</v>
      </c>
      <c r="AH103" s="267">
        <f>IF(IndividualLATest!$J$7=2014,(VLOOKUP($A103,Hshldprojections2014!$A$2:$AY$326,47,FALSE)-VLOOKUP($A103,Hshldprojections2014!$A$2:$AY$326,37,FALSE))/10,IF(IndividualLATest!$J$7=2016,(VLOOKUP($A103,Hshldprojections2016!$A$1:$AQ$322,37,FALSE)-VLOOKUP($A103,Hshldprojections2016!$A$1:$AQ$322,27,FALSE))/10,(VLOOKUP($A103,Hshldprojections2018!$A$1:$AQ$327,37,FALSE)-VLOOKUP($A103,Hshldprojections2018!$A$1:$AQ$327,27,FALSE))/10))</f>
        <v>216.6</v>
      </c>
      <c r="AI103" s="268">
        <f>VLOOKUP($A103,AffordabilityRatio!$A$2:$I$321,5,FALSE)</f>
        <v>9.8699999999999992</v>
      </c>
      <c r="AJ103" s="268">
        <f>VLOOKUP($A103,AffordabilityRatio!$A$2:$I$321,6,FALSE)</f>
        <v>9.24</v>
      </c>
      <c r="AK103" s="268">
        <f>VLOOKUP($A103,AffordabilityRatio!$A$2:$I$321,7,FALSE)</f>
        <v>9.0299999999999994</v>
      </c>
      <c r="AL103" s="268">
        <f>IF((VLOOKUP($A103,AffordabilityRatio!$A$2:$I$321,8,FALSE))="",AK103,VLOOKUP($A103,AffordabilityRatio!$A$2:$I$321,8,FALSE))</f>
        <v>10.41</v>
      </c>
      <c r="AM103" s="268">
        <f>IF((VLOOKUP($A103,AffordabilityRatio!$A$2:$I$321,9,FALSE))="",AL103,VLOOKUP($A103,AffordabilityRatio!$A$2:$I$321,9,FALSE))</f>
        <v>10.74</v>
      </c>
      <c r="AN103" s="268">
        <f>IF((VLOOKUP($A103,AffordabilityRatio!$A$2:$I$321,9,FALSE))="",AM103,VLOOKUP($A103,AffordabilityRatio!$A$2:$I$321,9,FALSE))</f>
        <v>10.74</v>
      </c>
      <c r="AO103" s="268">
        <f>IF((VLOOKUP($A103,AffordabilityRatio!$A$2:$I$321,9,FALSE))="",AN103,VLOOKUP($A103,AffordabilityRatio!$A$2:$I$321,9,FALSE))</f>
        <v>10.74</v>
      </c>
      <c r="AP103" s="268">
        <f>IF((VLOOKUP($A103,AffordabilityRatio!$A$2:$I$321,9,FALSE))="",AO103,VLOOKUP($A103,AffordabilityRatio!$A$2:$I$321,9,FALSE))</f>
        <v>10.74</v>
      </c>
      <c r="AQ103" s="267">
        <f t="shared" si="86"/>
        <v>544</v>
      </c>
      <c r="AR103" s="267">
        <f t="shared" si="87"/>
        <v>523</v>
      </c>
      <c r="AS103" s="267">
        <f t="shared" si="88"/>
        <v>512</v>
      </c>
      <c r="AT103" s="267">
        <f t="shared" si="89"/>
        <v>325</v>
      </c>
      <c r="AU103" s="267">
        <f t="shared" si="90"/>
        <v>323</v>
      </c>
      <c r="AV103" s="267">
        <f t="shared" si="91"/>
        <v>317</v>
      </c>
      <c r="AW103" s="267">
        <f t="shared" si="92"/>
        <v>311</v>
      </c>
      <c r="AX103" s="267">
        <f t="shared" si="93"/>
        <v>308</v>
      </c>
      <c r="AY103" s="267">
        <f t="shared" si="94"/>
        <v>544</v>
      </c>
      <c r="AZ103" s="267">
        <f t="shared" si="95"/>
        <v>523</v>
      </c>
      <c r="BA103" s="267">
        <f t="shared" si="96"/>
        <v>512</v>
      </c>
      <c r="BB103" s="267">
        <f t="shared" si="97"/>
        <v>325</v>
      </c>
      <c r="BC103" s="267">
        <f t="shared" si="98"/>
        <v>323</v>
      </c>
      <c r="BD103" s="267">
        <f t="shared" si="99"/>
        <v>317</v>
      </c>
      <c r="BE103" s="267">
        <f t="shared" si="100"/>
        <v>311</v>
      </c>
      <c r="BF103" s="267">
        <f t="shared" si="101"/>
        <v>308</v>
      </c>
      <c r="BG103" s="269">
        <f>AY103*VLOOKUP($B103,'Major Cities &amp; Towns'!$A$28:$B$345,2,FALSE)</f>
        <v>544</v>
      </c>
      <c r="BH103" s="269">
        <f>AZ103*VLOOKUP($B103,'Major Cities &amp; Towns'!$A$28:$B$345,2,FALSE)</f>
        <v>523</v>
      </c>
      <c r="BI103" s="269">
        <f>BA103*VLOOKUP($B103,'Major Cities &amp; Towns'!$A$28:$B$345,2,FALSE)</f>
        <v>512</v>
      </c>
      <c r="BJ103" s="269">
        <f>BB103*VLOOKUP($B103,'Major Cities &amp; Towns'!$A$28:$B$345,2,FALSE)</f>
        <v>325</v>
      </c>
      <c r="BK103" s="269">
        <f>BC103*VLOOKUP($B103,'Major Cities &amp; Towns'!$A$28:$B$345,2,FALSE)</f>
        <v>323</v>
      </c>
      <c r="BL103" s="269">
        <f>BD103*VLOOKUP($B103,'Major Cities &amp; Towns'!$A$28:$B$345,2,FALSE)</f>
        <v>317</v>
      </c>
      <c r="BM103" s="269">
        <f>BE103*VLOOKUP($B103,'Major Cities &amp; Towns'!$A$28:$B$345,2,FALSE)</f>
        <v>311</v>
      </c>
      <c r="BN103" s="269">
        <f>BF103*VLOOKUP($B103,'Major Cities &amp; Towns'!$A$28:$B$345,2,FALSE)</f>
        <v>308</v>
      </c>
      <c r="BO103" s="270">
        <f t="shared" si="102"/>
        <v>544</v>
      </c>
      <c r="BP103" s="270">
        <f t="shared" si="103"/>
        <v>523</v>
      </c>
      <c r="BQ103" s="270">
        <f t="shared" si="104"/>
        <v>512</v>
      </c>
      <c r="BR103" s="270">
        <f t="shared" si="105"/>
        <v>325</v>
      </c>
      <c r="BS103" s="270">
        <f t="shared" si="106"/>
        <v>323</v>
      </c>
      <c r="BT103" s="270">
        <f t="shared" si="107"/>
        <v>317</v>
      </c>
      <c r="BU103" s="270">
        <f t="shared" si="108"/>
        <v>311</v>
      </c>
      <c r="BV103" s="270">
        <f t="shared" si="109"/>
        <v>308</v>
      </c>
      <c r="BW103" s="39">
        <f>VLOOKUP($A103,NetAdditions!$A$2:$H$336,6,FALSE)</f>
        <v>290</v>
      </c>
      <c r="BX103" s="39">
        <f>VLOOKUP($A103,NetAdditions!$A$2:$H$336,7,FALSE)</f>
        <v>285</v>
      </c>
      <c r="BY103" s="39">
        <f>IF((VLOOKUP($C103,NetAdditions!$A$2:$H$336,8,FALSE))="",(AVERAGE(VLOOKUP($C103,NetAdditions!$A$2:$H$336,5,FALSE),VLOOKUP($C103,NetAdditions!$A$2:$H$336,6,FALSE),VLOOKUP($C103,NetAdditions!$A$2:$H$336,7,FALSE))),VLOOKUP($C103,NetAdditions!$A$2:$H$336,8,FALSE))</f>
        <v>117</v>
      </c>
      <c r="BZ103" s="39">
        <f t="shared" si="110"/>
        <v>230.66666666666666</v>
      </c>
      <c r="CA103" s="39">
        <f t="shared" si="111"/>
        <v>210.88888888888889</v>
      </c>
      <c r="CB103" s="39">
        <f t="shared" si="112"/>
        <v>186.18518518518519</v>
      </c>
      <c r="CC103" s="39">
        <f t="shared" si="113"/>
        <v>209.24691358024691</v>
      </c>
      <c r="CD103" s="39">
        <f t="shared" si="114"/>
        <v>202.10699588477368</v>
      </c>
      <c r="CE103" s="276">
        <f t="shared" si="71"/>
        <v>1579</v>
      </c>
      <c r="CF103" s="276">
        <f t="shared" si="72"/>
        <v>1360</v>
      </c>
      <c r="CG103" s="276">
        <f t="shared" si="73"/>
        <v>1160</v>
      </c>
      <c r="CH103" s="276">
        <f t="shared" si="74"/>
        <v>965</v>
      </c>
      <c r="CI103" s="276">
        <f t="shared" si="75"/>
        <v>951</v>
      </c>
      <c r="CJ103" s="276">
        <f t="shared" si="76"/>
        <v>936</v>
      </c>
      <c r="CK103" s="276">
        <f t="shared" si="115"/>
        <v>1359.6944444444446</v>
      </c>
      <c r="CL103" s="276">
        <f t="shared" si="116"/>
        <v>1171.1111111111111</v>
      </c>
      <c r="CM103" s="276">
        <f t="shared" si="117"/>
        <v>1063.3333333333333</v>
      </c>
      <c r="CN103" s="276">
        <f t="shared" si="118"/>
        <v>965</v>
      </c>
      <c r="CO103" s="276">
        <f t="shared" si="119"/>
        <v>951</v>
      </c>
      <c r="CP103" s="276">
        <f t="shared" si="120"/>
        <v>936</v>
      </c>
      <c r="CQ103" s="39">
        <f t="shared" si="77"/>
        <v>692</v>
      </c>
      <c r="CR103" s="39">
        <f t="shared" si="78"/>
        <v>632.66666666666663</v>
      </c>
      <c r="CS103" s="277">
        <f t="shared" si="79"/>
        <v>558.55555555555554</v>
      </c>
      <c r="CT103" s="39">
        <f t="shared" si="80"/>
        <v>627.74074074074076</v>
      </c>
      <c r="CU103" s="39">
        <f t="shared" si="81"/>
        <v>606.32098765432102</v>
      </c>
      <c r="CV103" s="39">
        <f t="shared" si="121"/>
        <v>597.53909465020581</v>
      </c>
      <c r="CW103" s="297">
        <f t="shared" si="82"/>
        <v>0.50893787411387359</v>
      </c>
      <c r="CX103" s="279" t="str">
        <f t="shared" si="122"/>
        <v>Buffer and Action Plan</v>
      </c>
      <c r="CY103" s="278">
        <f t="shared" si="83"/>
        <v>0.54022770398481967</v>
      </c>
      <c r="CZ103" s="279" t="str">
        <f t="shared" si="123"/>
        <v>Buffer and Action Plan</v>
      </c>
      <c r="DA103" s="278">
        <f t="shared" si="84"/>
        <v>0.52528735632183909</v>
      </c>
      <c r="DB103" s="292" t="str">
        <f t="shared" si="124"/>
        <v>Presumption</v>
      </c>
      <c r="DC103" s="299">
        <f t="shared" si="125"/>
        <v>0.6505085396277106</v>
      </c>
      <c r="DD103" s="293" t="str">
        <f t="shared" si="126"/>
        <v>Presumption</v>
      </c>
      <c r="DE103" s="299">
        <f t="shared" si="127"/>
        <v>0.63756150121379707</v>
      </c>
      <c r="DF103" s="293" t="str">
        <f t="shared" si="128"/>
        <v>Presumption</v>
      </c>
      <c r="DG103" s="299">
        <f t="shared" si="129"/>
        <v>0.63839646864338229</v>
      </c>
      <c r="DH103" s="293" t="str">
        <f t="shared" si="130"/>
        <v>Presumption</v>
      </c>
    </row>
    <row r="104" spans="1:112" ht="15" thickTop="1" thickBot="1">
      <c r="A104" s="38" t="s">
        <v>318</v>
      </c>
      <c r="B104" s="38" t="s">
        <v>319</v>
      </c>
      <c r="C104" s="38" t="s">
        <v>318</v>
      </c>
      <c r="D104" s="38" t="s">
        <v>128</v>
      </c>
      <c r="E104" s="38" t="str">
        <f>VLOOKUP(C104,PoliticalControl!A:K,11,FALSE)</f>
        <v>CON</v>
      </c>
      <c r="F104" s="38" t="str">
        <f>VLOOKUP(C104,UrbanRuralClassification!A:N,13,FALSE)</f>
        <v xml:space="preserve">Largely Rural (rural including hub towns 50-79%) </v>
      </c>
      <c r="G104" s="38" t="str">
        <f>VLOOKUP(C104,UrbanRuralClassification!A:N,14,FALSE)</f>
        <v>Predominantly Rural</v>
      </c>
      <c r="H104" s="258">
        <f>IF(ISBLANK((VLOOKUP($A104,'local-plan-data'!$C$1:$AD$566,27,FALSE)))=TRUE,"",VLOOKUP($A104,'local-plan-data'!$C$1:$AD$566,27,FALSE))</f>
        <v>41767</v>
      </c>
      <c r="I104" s="259">
        <f>VLOOKUP($A104,'local-plan-data'!$C$1:$AD$566,28,FALSE)</f>
        <v>550</v>
      </c>
      <c r="J104" s="260">
        <f t="shared" si="85"/>
        <v>550</v>
      </c>
      <c r="K104" s="259">
        <f t="shared" si="133"/>
        <v>550</v>
      </c>
      <c r="L104" s="259">
        <f t="shared" si="131"/>
        <v>550</v>
      </c>
      <c r="M104" s="259" t="str">
        <f t="shared" si="131"/>
        <v>-</v>
      </c>
      <c r="N104" s="259" t="str">
        <f t="shared" si="131"/>
        <v>-</v>
      </c>
      <c r="O104" s="259" t="str">
        <f t="shared" si="131"/>
        <v>-</v>
      </c>
      <c r="P104" s="259" t="str">
        <f t="shared" si="131"/>
        <v>-</v>
      </c>
      <c r="Q104" s="259" t="str">
        <f t="shared" si="131"/>
        <v>-</v>
      </c>
      <c r="R104" s="259" t="str">
        <f t="shared" si="131"/>
        <v>-</v>
      </c>
      <c r="S104" s="259">
        <f t="shared" si="134"/>
        <v>402</v>
      </c>
      <c r="T104" s="259">
        <f t="shared" si="132"/>
        <v>37</v>
      </c>
      <c r="U104" s="259">
        <f t="shared" si="132"/>
        <v>-329</v>
      </c>
      <c r="V104" s="259">
        <f t="shared" si="132"/>
        <v>-694</v>
      </c>
      <c r="W104" s="259">
        <f t="shared" si="132"/>
        <v>-1059</v>
      </c>
      <c r="X104" s="259">
        <f t="shared" si="132"/>
        <v>-1424</v>
      </c>
      <c r="Y104" s="259">
        <f t="shared" si="132"/>
        <v>-1790</v>
      </c>
      <c r="Z104" s="259">
        <f t="shared" si="132"/>
        <v>-2155</v>
      </c>
      <c r="AA104" s="267">
        <f>(VLOOKUP(A104,Hshldprojections2014!$A$2:$AW$319,40, FALSE)-VLOOKUP(A104,Hshldprojections2014!$A$2:$AW$319,30, FALSE))/10</f>
        <v>435.8</v>
      </c>
      <c r="AB104" s="267">
        <f>(VLOOKUP(A104,Hshldprojections2014!$A$2:$AW$319,41, FALSE)-VLOOKUP(A104,Hshldprojections2014!$A$2:$AW$319,31, FALSE))/10</f>
        <v>430.3</v>
      </c>
      <c r="AC104" s="267">
        <f>(VLOOKUP(A104,Hshldprojections2014!$A$2:$AW$319,42, FALSE)-VLOOKUP(A104,Hshldprojections2014!$A$2:$AW$319,32, FALSE))/10</f>
        <v>428.2</v>
      </c>
      <c r="AD104" s="267">
        <f>IF(IndividualLATest!$J$7=2014,(VLOOKUP($A104,Hshldprojections2014!$A$2:$AY$326,43,FALSE)-VLOOKUP($A104,Hshldprojections2014!$A$2:$AY$326,33,FALSE))/10,IF(IndividualLATest!$J$7=2016,(VLOOKUP($A104,Hshldprojections2016!$A$1:$AQ$322,33,FALSE)-VLOOKUP($A104,Hshldprojections2016!$A$1:$AQ$322,23,FALSE))/10,(VLOOKUP($A104,Hshldprojections2018!$A$1:$AQ$327,33,FALSE)-VLOOKUP($A104,Hshldprojections2018!$A$1:$AQ$327,23,FALSE))/10))</f>
        <v>435.8</v>
      </c>
      <c r="AE104" s="267">
        <f>IF(IndividualLATest!$J$7=2014,(VLOOKUP($A104,Hshldprojections2014!$A$2:$AY$326,44,FALSE)-VLOOKUP($A104,Hshldprojections2014!$A$2:$AY$326,34,FALSE))/10,IF(IndividualLATest!$J$7=2016,(VLOOKUP($A104,Hshldprojections2016!$A$1:$AQ$322,34,FALSE)-VLOOKUP($A104,Hshldprojections2016!$A$1:$AQ$322,24,FALSE))/10,(VLOOKUP($A104,Hshldprojections2018!$A$1:$AQ$327,34,FALSE)-VLOOKUP($A104,Hshldprojections2018!$A$1:$AQ$327,24,FALSE))/10))</f>
        <v>427.3</v>
      </c>
      <c r="AF104" s="267">
        <f>IF(IndividualLATest!$J$7=2014,(VLOOKUP($A104,Hshldprojections2014!$A$2:$AY$326,45,FALSE)-VLOOKUP($A104,Hshldprojections2014!$A$2:$AY$326,35,FALSE))/10,IF(IndividualLATest!$J$7=2016,(VLOOKUP($A104,Hshldprojections2016!$A$1:$AQ$322,35,FALSE)-VLOOKUP($A104,Hshldprojections2016!$A$1:$AQ$322,25,FALSE))/10,(VLOOKUP($A104,Hshldprojections2018!$A$1:$AQ$327,35,FALSE)-VLOOKUP($A104,Hshldprojections2018!$A$1:$AQ$327,25,FALSE))/10))</f>
        <v>417.5</v>
      </c>
      <c r="AG104" s="267">
        <f>IF(IndividualLATest!$J$7=2014,(VLOOKUP($A104,Hshldprojections2014!$A$2:$AY$326,46,FALSE)-VLOOKUP($A104,Hshldprojections2014!$A$2:$AY$326,36,FALSE))/10,IF(IndividualLATest!$J$7=2016,(VLOOKUP($A104,Hshldprojections2016!$A$1:$AQ$322,36,FALSE)-VLOOKUP($A104,Hshldprojections2016!$A$1:$AQ$322,26,FALSE))/10,(VLOOKUP($A104,Hshldprojections2018!$A$1:$AQ$327,36,FALSE)-VLOOKUP($A104,Hshldprojections2018!$A$1:$AQ$327,26,FALSE))/10))</f>
        <v>410</v>
      </c>
      <c r="AH104" s="267">
        <f>IF(IndividualLATest!$J$7=2014,(VLOOKUP($A104,Hshldprojections2014!$A$2:$AY$326,47,FALSE)-VLOOKUP($A104,Hshldprojections2014!$A$2:$AY$326,37,FALSE))/10,IF(IndividualLATest!$J$7=2016,(VLOOKUP($A104,Hshldprojections2016!$A$1:$AQ$322,37,FALSE)-VLOOKUP($A104,Hshldprojections2016!$A$1:$AQ$322,27,FALSE))/10,(VLOOKUP($A104,Hshldprojections2018!$A$1:$AQ$327,37,FALSE)-VLOOKUP($A104,Hshldprojections2018!$A$1:$AQ$327,27,FALSE))/10))</f>
        <v>406.6</v>
      </c>
      <c r="AI104" s="268">
        <f>VLOOKUP($A104,AffordabilityRatio!$A$2:$I$321,5,FALSE)</f>
        <v>7.12</v>
      </c>
      <c r="AJ104" s="268">
        <f>VLOOKUP($A104,AffordabilityRatio!$A$2:$I$321,6,FALSE)</f>
        <v>8.48</v>
      </c>
      <c r="AK104" s="268">
        <f>VLOOKUP($A104,AffordabilityRatio!$A$2:$I$321,7,FALSE)</f>
        <v>8.17</v>
      </c>
      <c r="AL104" s="268">
        <f>IF((VLOOKUP($A104,AffordabilityRatio!$A$2:$I$321,8,FALSE))="",AK104,VLOOKUP($A104,AffordabilityRatio!$A$2:$I$321,8,FALSE))</f>
        <v>7.32</v>
      </c>
      <c r="AM104" s="268">
        <f>IF((VLOOKUP($A104,AffordabilityRatio!$A$2:$I$321,9,FALSE))="",AL104,VLOOKUP($A104,AffordabilityRatio!$A$2:$I$321,9,FALSE))</f>
        <v>8.91</v>
      </c>
      <c r="AN104" s="268">
        <f>IF((VLOOKUP($A104,AffordabilityRatio!$A$2:$I$321,9,FALSE))="",AM104,VLOOKUP($A104,AffordabilityRatio!$A$2:$I$321,9,FALSE))</f>
        <v>8.91</v>
      </c>
      <c r="AO104" s="268">
        <f>IF((VLOOKUP($A104,AffordabilityRatio!$A$2:$I$321,9,FALSE))="",AN104,VLOOKUP($A104,AffordabilityRatio!$A$2:$I$321,9,FALSE))</f>
        <v>8.91</v>
      </c>
      <c r="AP104" s="268">
        <f>IF((VLOOKUP($A104,AffordabilityRatio!$A$2:$I$321,9,FALSE))="",AO104,VLOOKUP($A104,AffordabilityRatio!$A$2:$I$321,9,FALSE))</f>
        <v>8.91</v>
      </c>
      <c r="AQ104" s="267">
        <f t="shared" si="86"/>
        <v>521</v>
      </c>
      <c r="AR104" s="267">
        <f t="shared" si="87"/>
        <v>551</v>
      </c>
      <c r="AS104" s="267">
        <f t="shared" si="88"/>
        <v>540</v>
      </c>
      <c r="AT104" s="267">
        <f t="shared" si="89"/>
        <v>526</v>
      </c>
      <c r="AU104" s="267">
        <f t="shared" si="90"/>
        <v>558</v>
      </c>
      <c r="AV104" s="267">
        <f t="shared" si="91"/>
        <v>546</v>
      </c>
      <c r="AW104" s="267">
        <f t="shared" si="92"/>
        <v>536</v>
      </c>
      <c r="AX104" s="267">
        <f t="shared" si="93"/>
        <v>531</v>
      </c>
      <c r="AY104" s="267">
        <f t="shared" si="94"/>
        <v>521</v>
      </c>
      <c r="AZ104" s="267">
        <f t="shared" si="95"/>
        <v>551</v>
      </c>
      <c r="BA104" s="267">
        <f t="shared" si="96"/>
        <v>540</v>
      </c>
      <c r="BB104" s="267">
        <f t="shared" si="97"/>
        <v>526</v>
      </c>
      <c r="BC104" s="267">
        <f t="shared" si="98"/>
        <v>558</v>
      </c>
      <c r="BD104" s="267">
        <f t="shared" si="99"/>
        <v>546</v>
      </c>
      <c r="BE104" s="267">
        <f t="shared" si="100"/>
        <v>536</v>
      </c>
      <c r="BF104" s="267">
        <f t="shared" si="101"/>
        <v>531</v>
      </c>
      <c r="BG104" s="269">
        <f>AY104*VLOOKUP($B104,'Major Cities &amp; Towns'!$A$28:$B$345,2,FALSE)</f>
        <v>521</v>
      </c>
      <c r="BH104" s="269">
        <f>AZ104*VLOOKUP($B104,'Major Cities &amp; Towns'!$A$28:$B$345,2,FALSE)</f>
        <v>551</v>
      </c>
      <c r="BI104" s="269">
        <f>BA104*VLOOKUP($B104,'Major Cities &amp; Towns'!$A$28:$B$345,2,FALSE)</f>
        <v>540</v>
      </c>
      <c r="BJ104" s="269">
        <f>BB104*VLOOKUP($B104,'Major Cities &amp; Towns'!$A$28:$B$345,2,FALSE)</f>
        <v>526</v>
      </c>
      <c r="BK104" s="269">
        <f>BC104*VLOOKUP($B104,'Major Cities &amp; Towns'!$A$28:$B$345,2,FALSE)</f>
        <v>558</v>
      </c>
      <c r="BL104" s="269">
        <f>BD104*VLOOKUP($B104,'Major Cities &amp; Towns'!$A$28:$B$345,2,FALSE)</f>
        <v>546</v>
      </c>
      <c r="BM104" s="269">
        <f>BE104*VLOOKUP($B104,'Major Cities &amp; Towns'!$A$28:$B$345,2,FALSE)</f>
        <v>536</v>
      </c>
      <c r="BN104" s="269">
        <f>BF104*VLOOKUP($B104,'Major Cities &amp; Towns'!$A$28:$B$345,2,FALSE)</f>
        <v>531</v>
      </c>
      <c r="BO104" s="270">
        <f t="shared" si="102"/>
        <v>521</v>
      </c>
      <c r="BP104" s="270">
        <f t="shared" si="103"/>
        <v>550.8986301369863</v>
      </c>
      <c r="BQ104" s="270">
        <f t="shared" si="104"/>
        <v>540</v>
      </c>
      <c r="BR104" s="270">
        <f t="shared" si="105"/>
        <v>526</v>
      </c>
      <c r="BS104" s="270">
        <f t="shared" si="106"/>
        <v>558</v>
      </c>
      <c r="BT104" s="270">
        <f t="shared" si="107"/>
        <v>546</v>
      </c>
      <c r="BU104" s="270">
        <f t="shared" si="108"/>
        <v>536</v>
      </c>
      <c r="BV104" s="270">
        <f t="shared" si="109"/>
        <v>531</v>
      </c>
      <c r="BW104" s="39">
        <f>VLOOKUP($A104,NetAdditions!$A$2:$H$336,6,FALSE)</f>
        <v>394</v>
      </c>
      <c r="BX104" s="39">
        <f>VLOOKUP($A104,NetAdditions!$A$2:$H$336,7,FALSE)</f>
        <v>561</v>
      </c>
      <c r="BY104" s="39">
        <f>IF((VLOOKUP($C104,NetAdditions!$A$2:$H$336,8,FALSE))="",(AVERAGE(VLOOKUP($C104,NetAdditions!$A$2:$H$336,5,FALSE),VLOOKUP($C104,NetAdditions!$A$2:$H$336,6,FALSE),VLOOKUP($C104,NetAdditions!$A$2:$H$336,7,FALSE))),VLOOKUP($C104,NetAdditions!$A$2:$H$336,8,FALSE))</f>
        <v>356</v>
      </c>
      <c r="BZ104" s="39">
        <f t="shared" si="110"/>
        <v>437</v>
      </c>
      <c r="CA104" s="39">
        <f t="shared" si="111"/>
        <v>451.33333333333331</v>
      </c>
      <c r="CB104" s="39">
        <f t="shared" si="112"/>
        <v>414.77777777777777</v>
      </c>
      <c r="CC104" s="39">
        <f t="shared" si="113"/>
        <v>434.37037037037038</v>
      </c>
      <c r="CD104" s="39">
        <f t="shared" si="114"/>
        <v>433.49382716049382</v>
      </c>
      <c r="CE104" s="276">
        <f t="shared" si="71"/>
        <v>1611.8986301369864</v>
      </c>
      <c r="CF104" s="276">
        <f t="shared" si="72"/>
        <v>1616.8986301369864</v>
      </c>
      <c r="CG104" s="276">
        <f t="shared" si="73"/>
        <v>1624</v>
      </c>
      <c r="CH104" s="276">
        <f t="shared" si="74"/>
        <v>1630</v>
      </c>
      <c r="CI104" s="276">
        <f t="shared" si="75"/>
        <v>1640</v>
      </c>
      <c r="CJ104" s="276">
        <f t="shared" si="76"/>
        <v>1613</v>
      </c>
      <c r="CK104" s="276">
        <f t="shared" si="115"/>
        <v>1388.0238203957383</v>
      </c>
      <c r="CL104" s="276">
        <f t="shared" si="116"/>
        <v>1392.329375951294</v>
      </c>
      <c r="CM104" s="276">
        <f t="shared" si="117"/>
        <v>1488.6666666666665</v>
      </c>
      <c r="CN104" s="276">
        <f t="shared" si="118"/>
        <v>1630</v>
      </c>
      <c r="CO104" s="276">
        <f t="shared" si="119"/>
        <v>1640</v>
      </c>
      <c r="CP104" s="276">
        <f t="shared" si="120"/>
        <v>1613</v>
      </c>
      <c r="CQ104" s="39">
        <f t="shared" si="77"/>
        <v>1311</v>
      </c>
      <c r="CR104" s="39">
        <f t="shared" si="78"/>
        <v>1354</v>
      </c>
      <c r="CS104" s="277">
        <f t="shared" si="79"/>
        <v>1244.3333333333333</v>
      </c>
      <c r="CT104" s="39">
        <f t="shared" si="80"/>
        <v>1303.1111111111111</v>
      </c>
      <c r="CU104" s="39">
        <f t="shared" si="81"/>
        <v>1300.4814814814815</v>
      </c>
      <c r="CV104" s="39">
        <f t="shared" si="121"/>
        <v>1282.641975308642</v>
      </c>
      <c r="CW104" s="297">
        <f t="shared" si="82"/>
        <v>0.94450828633922279</v>
      </c>
      <c r="CX104" s="279" t="str">
        <f t="shared" si="122"/>
        <v>Action Plan</v>
      </c>
      <c r="CY104" s="278">
        <f t="shared" si="83"/>
        <v>0.97247104269052298</v>
      </c>
      <c r="CZ104" s="279" t="str">
        <f t="shared" si="123"/>
        <v>Pass</v>
      </c>
      <c r="DA104" s="278">
        <f t="shared" si="84"/>
        <v>0.83587102552619796</v>
      </c>
      <c r="DB104" s="292" t="str">
        <f t="shared" si="124"/>
        <v>Buffer and Action Plan</v>
      </c>
      <c r="DC104" s="299">
        <f t="shared" si="125"/>
        <v>0.79945466939331966</v>
      </c>
      <c r="DD104" s="293" t="str">
        <f t="shared" si="126"/>
        <v>Buffer and Action Plan</v>
      </c>
      <c r="DE104" s="299">
        <f t="shared" si="127"/>
        <v>0.7929765130984644</v>
      </c>
      <c r="DF104" s="293" t="str">
        <f t="shared" si="128"/>
        <v>Buffer and Action Plan</v>
      </c>
      <c r="DG104" s="299">
        <f t="shared" si="129"/>
        <v>0.79519031327256173</v>
      </c>
      <c r="DH104" s="293" t="str">
        <f t="shared" si="130"/>
        <v>Buffer and Action Plan</v>
      </c>
    </row>
    <row r="105" spans="1:112" ht="15" thickTop="1" thickBot="1">
      <c r="A105" s="38" t="s">
        <v>320</v>
      </c>
      <c r="B105" s="38" t="s">
        <v>321</v>
      </c>
      <c r="C105" s="38" t="s">
        <v>320</v>
      </c>
      <c r="D105" s="38" t="s">
        <v>113</v>
      </c>
      <c r="E105" s="38" t="str">
        <f>VLOOKUP(C105,PoliticalControl!A:K,11,FALSE)</f>
        <v>NOC</v>
      </c>
      <c r="F105" s="38" t="str">
        <f>VLOOKUP(C105,UrbanRuralClassification!A:N,13,FALSE)</f>
        <v>Urban with Significant Rural (rural including hub towns 26-49%)</v>
      </c>
      <c r="G105" s="38" t="str">
        <f>VLOOKUP(C105,UrbanRuralClassification!A:N,14,FALSE)</f>
        <v>Urban with Significant Rural</v>
      </c>
      <c r="H105" s="258">
        <f>IF(ISBLANK((VLOOKUP($A105,'local-plan-data'!$C$1:$AD$566,27,FALSE)))=TRUE,"",VLOOKUP($A105,'local-plan-data'!$C$1:$AD$566,27,FALSE))</f>
        <v>41535</v>
      </c>
      <c r="I105" s="259">
        <f>VLOOKUP($A105,'local-plan-data'!$C$1:$AD$566,28,FALSE)</f>
        <v>350</v>
      </c>
      <c r="J105" s="260">
        <f t="shared" si="85"/>
        <v>350</v>
      </c>
      <c r="K105" s="259">
        <f t="shared" si="133"/>
        <v>350</v>
      </c>
      <c r="L105" s="259" t="str">
        <f t="shared" si="131"/>
        <v>-</v>
      </c>
      <c r="M105" s="259" t="str">
        <f t="shared" si="131"/>
        <v>-</v>
      </c>
      <c r="N105" s="259" t="str">
        <f t="shared" si="131"/>
        <v>-</v>
      </c>
      <c r="O105" s="259" t="str">
        <f t="shared" si="131"/>
        <v>-</v>
      </c>
      <c r="P105" s="259" t="str">
        <f t="shared" si="131"/>
        <v>-</v>
      </c>
      <c r="Q105" s="259" t="str">
        <f t="shared" si="131"/>
        <v>-</v>
      </c>
      <c r="R105" s="259" t="str">
        <f t="shared" si="131"/>
        <v>-</v>
      </c>
      <c r="S105" s="259">
        <f t="shared" si="134"/>
        <v>170</v>
      </c>
      <c r="T105" s="259">
        <f t="shared" si="132"/>
        <v>-195</v>
      </c>
      <c r="U105" s="259">
        <f t="shared" si="132"/>
        <v>-561</v>
      </c>
      <c r="V105" s="259">
        <f t="shared" si="132"/>
        <v>-926</v>
      </c>
      <c r="W105" s="259">
        <f t="shared" si="132"/>
        <v>-1291</v>
      </c>
      <c r="X105" s="259">
        <f t="shared" si="132"/>
        <v>-1656</v>
      </c>
      <c r="Y105" s="259">
        <f t="shared" si="132"/>
        <v>-2022</v>
      </c>
      <c r="Z105" s="259">
        <f t="shared" si="132"/>
        <v>-2387</v>
      </c>
      <c r="AA105" s="267">
        <f>(VLOOKUP(A105,Hshldprojections2014!$A$2:$AW$319,40, FALSE)-VLOOKUP(A105,Hshldprojections2014!$A$2:$AW$319,30, FALSE))/10</f>
        <v>553.70000000000005</v>
      </c>
      <c r="AB105" s="267">
        <f>(VLOOKUP(A105,Hshldprojections2014!$A$2:$AW$319,41, FALSE)-VLOOKUP(A105,Hshldprojections2014!$A$2:$AW$319,31, FALSE))/10</f>
        <v>556.4</v>
      </c>
      <c r="AC105" s="267">
        <f>(VLOOKUP(A105,Hshldprojections2014!$A$2:$AW$319,42, FALSE)-VLOOKUP(A105,Hshldprojections2014!$A$2:$AW$319,32, FALSE))/10</f>
        <v>559</v>
      </c>
      <c r="AD105" s="267">
        <f>IF(IndividualLATest!$J$7=2014,(VLOOKUP($A105,Hshldprojections2014!$A$2:$AY$326,43,FALSE)-VLOOKUP($A105,Hshldprojections2014!$A$2:$AY$326,33,FALSE))/10,IF(IndividualLATest!$J$7=2016,(VLOOKUP($A105,Hshldprojections2016!$A$1:$AQ$322,33,FALSE)-VLOOKUP($A105,Hshldprojections2016!$A$1:$AQ$322,23,FALSE))/10,(VLOOKUP($A105,Hshldprojections2018!$A$1:$AQ$327,33,FALSE)-VLOOKUP($A105,Hshldprojections2018!$A$1:$AQ$327,23,FALSE))/10))</f>
        <v>563.6</v>
      </c>
      <c r="AE105" s="267">
        <f>IF(IndividualLATest!$J$7=2014,(VLOOKUP($A105,Hshldprojections2014!$A$2:$AY$326,44,FALSE)-VLOOKUP($A105,Hshldprojections2014!$A$2:$AY$326,34,FALSE))/10,IF(IndividualLATest!$J$7=2016,(VLOOKUP($A105,Hshldprojections2016!$A$1:$AQ$322,34,FALSE)-VLOOKUP($A105,Hshldprojections2016!$A$1:$AQ$322,24,FALSE))/10,(VLOOKUP($A105,Hshldprojections2018!$A$1:$AQ$327,34,FALSE)-VLOOKUP($A105,Hshldprojections2018!$A$1:$AQ$327,24,FALSE))/10))</f>
        <v>552.29999999999995</v>
      </c>
      <c r="AF105" s="267">
        <f>IF(IndividualLATest!$J$7=2014,(VLOOKUP($A105,Hshldprojections2014!$A$2:$AY$326,45,FALSE)-VLOOKUP($A105,Hshldprojections2014!$A$2:$AY$326,35,FALSE))/10,IF(IndividualLATest!$J$7=2016,(VLOOKUP($A105,Hshldprojections2016!$A$1:$AQ$322,35,FALSE)-VLOOKUP($A105,Hshldprojections2016!$A$1:$AQ$322,25,FALSE))/10,(VLOOKUP($A105,Hshldprojections2018!$A$1:$AQ$327,35,FALSE)-VLOOKUP($A105,Hshldprojections2018!$A$1:$AQ$327,25,FALSE))/10))</f>
        <v>544.79999999999995</v>
      </c>
      <c r="AG105" s="267">
        <f>IF(IndividualLATest!$J$7=2014,(VLOOKUP($A105,Hshldprojections2014!$A$2:$AY$326,46,FALSE)-VLOOKUP($A105,Hshldprojections2014!$A$2:$AY$326,36,FALSE))/10,IF(IndividualLATest!$J$7=2016,(VLOOKUP($A105,Hshldprojections2016!$A$1:$AQ$322,36,FALSE)-VLOOKUP($A105,Hshldprojections2016!$A$1:$AQ$322,26,FALSE))/10,(VLOOKUP($A105,Hshldprojections2018!$A$1:$AQ$327,36,FALSE)-VLOOKUP($A105,Hshldprojections2018!$A$1:$AQ$327,26,FALSE))/10))</f>
        <v>538.20000000000005</v>
      </c>
      <c r="AH105" s="267">
        <f>IF(IndividualLATest!$J$7=2014,(VLOOKUP($A105,Hshldprojections2014!$A$2:$AY$326,47,FALSE)-VLOOKUP($A105,Hshldprojections2014!$A$2:$AY$326,37,FALSE))/10,IF(IndividualLATest!$J$7=2016,(VLOOKUP($A105,Hshldprojections2016!$A$1:$AQ$322,37,FALSE)-VLOOKUP($A105,Hshldprojections2016!$A$1:$AQ$322,27,FALSE))/10,(VLOOKUP($A105,Hshldprojections2018!$A$1:$AQ$327,37,FALSE)-VLOOKUP($A105,Hshldprojections2018!$A$1:$AQ$327,27,FALSE))/10))</f>
        <v>533.1</v>
      </c>
      <c r="AI105" s="268">
        <f>VLOOKUP($A105,AffordabilityRatio!$A$2:$I$321,5,FALSE)</f>
        <v>9.6999999999999993</v>
      </c>
      <c r="AJ105" s="268">
        <f>VLOOKUP($A105,AffordabilityRatio!$A$2:$I$321,6,FALSE)</f>
        <v>9.24</v>
      </c>
      <c r="AK105" s="268">
        <f>VLOOKUP($A105,AffordabilityRatio!$A$2:$I$321,7,FALSE)</f>
        <v>9.3800000000000008</v>
      </c>
      <c r="AL105" s="268">
        <f>IF((VLOOKUP($A105,AffordabilityRatio!$A$2:$I$321,8,FALSE))="",AK105,VLOOKUP($A105,AffordabilityRatio!$A$2:$I$321,8,FALSE))</f>
        <v>10.76</v>
      </c>
      <c r="AM105" s="268">
        <f>IF((VLOOKUP($A105,AffordabilityRatio!$A$2:$I$321,9,FALSE))="",AL105,VLOOKUP($A105,AffordabilityRatio!$A$2:$I$321,9,FALSE))</f>
        <v>11.2</v>
      </c>
      <c r="AN105" s="268">
        <f>IF((VLOOKUP($A105,AffordabilityRatio!$A$2:$I$321,9,FALSE))="",AM105,VLOOKUP($A105,AffordabilityRatio!$A$2:$I$321,9,FALSE))</f>
        <v>11.2</v>
      </c>
      <c r="AO105" s="268">
        <f>IF((VLOOKUP($A105,AffordabilityRatio!$A$2:$I$321,9,FALSE))="",AN105,VLOOKUP($A105,AffordabilityRatio!$A$2:$I$321,9,FALSE))</f>
        <v>11.2</v>
      </c>
      <c r="AP105" s="268">
        <f>IF((VLOOKUP($A105,AffordabilityRatio!$A$2:$I$321,9,FALSE))="",AO105,VLOOKUP($A105,AffordabilityRatio!$A$2:$I$321,9,FALSE))</f>
        <v>11.2</v>
      </c>
      <c r="AQ105" s="267">
        <f t="shared" si="86"/>
        <v>751</v>
      </c>
      <c r="AR105" s="267">
        <f t="shared" si="87"/>
        <v>739</v>
      </c>
      <c r="AS105" s="267">
        <f t="shared" si="88"/>
        <v>747</v>
      </c>
      <c r="AT105" s="267">
        <f t="shared" si="89"/>
        <v>802</v>
      </c>
      <c r="AU105" s="267">
        <f t="shared" si="90"/>
        <v>801</v>
      </c>
      <c r="AV105" s="267">
        <f t="shared" si="91"/>
        <v>790</v>
      </c>
      <c r="AW105" s="267">
        <f t="shared" si="92"/>
        <v>780</v>
      </c>
      <c r="AX105" s="267">
        <f t="shared" si="93"/>
        <v>773</v>
      </c>
      <c r="AY105" s="267">
        <f t="shared" si="94"/>
        <v>490</v>
      </c>
      <c r="AZ105" s="267">
        <f t="shared" si="95"/>
        <v>739</v>
      </c>
      <c r="BA105" s="267">
        <f t="shared" si="96"/>
        <v>747</v>
      </c>
      <c r="BB105" s="267">
        <f t="shared" si="97"/>
        <v>789.04000000000008</v>
      </c>
      <c r="BC105" s="267">
        <f t="shared" si="98"/>
        <v>773.21999999999991</v>
      </c>
      <c r="BD105" s="267">
        <f t="shared" si="99"/>
        <v>762.71999999999991</v>
      </c>
      <c r="BE105" s="267">
        <f t="shared" si="100"/>
        <v>753.48</v>
      </c>
      <c r="BF105" s="267">
        <f t="shared" si="101"/>
        <v>746.34</v>
      </c>
      <c r="BG105" s="269">
        <f>AY105*VLOOKUP($B105,'Major Cities &amp; Towns'!$A$28:$B$345,2,FALSE)</f>
        <v>490</v>
      </c>
      <c r="BH105" s="269">
        <f>AZ105*VLOOKUP($B105,'Major Cities &amp; Towns'!$A$28:$B$345,2,FALSE)</f>
        <v>739</v>
      </c>
      <c r="BI105" s="269">
        <f>BA105*VLOOKUP($B105,'Major Cities &amp; Towns'!$A$28:$B$345,2,FALSE)</f>
        <v>747</v>
      </c>
      <c r="BJ105" s="269">
        <f>BB105*VLOOKUP($B105,'Major Cities &amp; Towns'!$A$28:$B$345,2,FALSE)</f>
        <v>789.04000000000008</v>
      </c>
      <c r="BK105" s="269">
        <f>BC105*VLOOKUP($B105,'Major Cities &amp; Towns'!$A$28:$B$345,2,FALSE)</f>
        <v>773.21999999999991</v>
      </c>
      <c r="BL105" s="269">
        <f>BD105*VLOOKUP($B105,'Major Cities &amp; Towns'!$A$28:$B$345,2,FALSE)</f>
        <v>762.71999999999991</v>
      </c>
      <c r="BM105" s="269">
        <f>BE105*VLOOKUP($B105,'Major Cities &amp; Towns'!$A$28:$B$345,2,FALSE)</f>
        <v>753.48</v>
      </c>
      <c r="BN105" s="269">
        <f>BF105*VLOOKUP($B105,'Major Cities &amp; Towns'!$A$28:$B$345,2,FALSE)</f>
        <v>746.34</v>
      </c>
      <c r="BO105" s="270">
        <f t="shared" si="102"/>
        <v>564.23287671232879</v>
      </c>
      <c r="BP105" s="270">
        <f t="shared" si="103"/>
        <v>739</v>
      </c>
      <c r="BQ105" s="270">
        <f t="shared" si="104"/>
        <v>747</v>
      </c>
      <c r="BR105" s="270">
        <f t="shared" si="105"/>
        <v>802</v>
      </c>
      <c r="BS105" s="270">
        <f t="shared" si="106"/>
        <v>801</v>
      </c>
      <c r="BT105" s="270">
        <f t="shared" si="107"/>
        <v>790</v>
      </c>
      <c r="BU105" s="270">
        <f t="shared" si="108"/>
        <v>780</v>
      </c>
      <c r="BV105" s="270">
        <f t="shared" si="109"/>
        <v>773</v>
      </c>
      <c r="BW105" s="39">
        <f>VLOOKUP($A105,NetAdditions!$A$2:$H$336,6,FALSE)</f>
        <v>446</v>
      </c>
      <c r="BX105" s="39">
        <f>VLOOKUP($A105,NetAdditions!$A$2:$H$336,7,FALSE)</f>
        <v>462</v>
      </c>
      <c r="BY105" s="39">
        <f>IF((VLOOKUP($C105,NetAdditions!$A$2:$H$336,8,FALSE))="",(AVERAGE(VLOOKUP($C105,NetAdditions!$A$2:$H$336,5,FALSE),VLOOKUP($C105,NetAdditions!$A$2:$H$336,6,FALSE),VLOOKUP($C105,NetAdditions!$A$2:$H$336,7,FALSE))),VLOOKUP($C105,NetAdditions!$A$2:$H$336,8,FALSE))</f>
        <v>489</v>
      </c>
      <c r="BZ105" s="39">
        <f t="shared" si="110"/>
        <v>465.66666666666669</v>
      </c>
      <c r="CA105" s="39">
        <f t="shared" si="111"/>
        <v>472.22222222222223</v>
      </c>
      <c r="CB105" s="39">
        <f t="shared" si="112"/>
        <v>475.62962962962962</v>
      </c>
      <c r="CC105" s="39">
        <f t="shared" si="113"/>
        <v>471.17283950617281</v>
      </c>
      <c r="CD105" s="39">
        <f t="shared" si="114"/>
        <v>473.00823045267492</v>
      </c>
      <c r="CE105" s="276">
        <f t="shared" si="71"/>
        <v>2050.232876712329</v>
      </c>
      <c r="CF105" s="276">
        <f t="shared" si="72"/>
        <v>2288</v>
      </c>
      <c r="CG105" s="276">
        <f t="shared" si="73"/>
        <v>2350</v>
      </c>
      <c r="CH105" s="276">
        <f t="shared" si="74"/>
        <v>2393</v>
      </c>
      <c r="CI105" s="276">
        <f t="shared" si="75"/>
        <v>2371</v>
      </c>
      <c r="CJ105" s="276">
        <f t="shared" si="76"/>
        <v>2343</v>
      </c>
      <c r="CK105" s="276">
        <f t="shared" si="115"/>
        <v>1765.4783105022834</v>
      </c>
      <c r="CL105" s="276">
        <f t="shared" si="116"/>
        <v>1970.2222222222224</v>
      </c>
      <c r="CM105" s="276">
        <f t="shared" si="117"/>
        <v>2154.1666666666665</v>
      </c>
      <c r="CN105" s="276">
        <f t="shared" si="118"/>
        <v>2393</v>
      </c>
      <c r="CO105" s="276">
        <f t="shared" si="119"/>
        <v>2371</v>
      </c>
      <c r="CP105" s="276">
        <f t="shared" si="120"/>
        <v>2343</v>
      </c>
      <c r="CQ105" s="39">
        <f t="shared" si="77"/>
        <v>1397</v>
      </c>
      <c r="CR105" s="39">
        <f t="shared" si="78"/>
        <v>1416.6666666666667</v>
      </c>
      <c r="CS105" s="277">
        <f t="shared" si="79"/>
        <v>1426.8888888888889</v>
      </c>
      <c r="CT105" s="39">
        <f t="shared" si="80"/>
        <v>1413.5185185185185</v>
      </c>
      <c r="CU105" s="39">
        <f t="shared" si="81"/>
        <v>1419.0246913580247</v>
      </c>
      <c r="CV105" s="39">
        <f t="shared" si="121"/>
        <v>1419.8106995884773</v>
      </c>
      <c r="CW105" s="297">
        <f t="shared" si="82"/>
        <v>0.79128697967552464</v>
      </c>
      <c r="CX105" s="279" t="str">
        <f t="shared" si="122"/>
        <v>Buffer and Action Plan</v>
      </c>
      <c r="CY105" s="278">
        <f t="shared" si="83"/>
        <v>0.71903902549063836</v>
      </c>
      <c r="CZ105" s="279" t="str">
        <f t="shared" si="123"/>
        <v>Buffer and Action Plan</v>
      </c>
      <c r="DA105" s="278">
        <f t="shared" si="84"/>
        <v>0.66238555770470675</v>
      </c>
      <c r="DB105" s="292" t="str">
        <f t="shared" si="124"/>
        <v>Presumption</v>
      </c>
      <c r="DC105" s="299">
        <f t="shared" si="125"/>
        <v>0.59068889198433705</v>
      </c>
      <c r="DD105" s="293" t="str">
        <f t="shared" si="126"/>
        <v>Presumption</v>
      </c>
      <c r="DE105" s="299">
        <f t="shared" si="127"/>
        <v>0.59849206721131365</v>
      </c>
      <c r="DF105" s="293" t="str">
        <f t="shared" si="128"/>
        <v>Presumption</v>
      </c>
      <c r="DG105" s="299">
        <f t="shared" si="129"/>
        <v>0.60597981203093354</v>
      </c>
      <c r="DH105" s="293" t="str">
        <f t="shared" si="130"/>
        <v>Presumption</v>
      </c>
    </row>
    <row r="106" spans="1:112" ht="15" thickTop="1" thickBot="1">
      <c r="A106" s="38" t="s">
        <v>322</v>
      </c>
      <c r="B106" s="38" t="s">
        <v>323</v>
      </c>
      <c r="C106" s="38" t="s">
        <v>322</v>
      </c>
      <c r="D106" s="38" t="s">
        <v>147</v>
      </c>
      <c r="E106" s="38" t="str">
        <f>VLOOKUP(C106,PoliticalControl!A:K,11,FALSE)</f>
        <v>NOC</v>
      </c>
      <c r="F106" s="38" t="str">
        <f>VLOOKUP(C106,UrbanRuralClassification!A:N,13,FALSE)</f>
        <v xml:space="preserve">Mainly Rural (rural including hub towns &gt;=80%) </v>
      </c>
      <c r="G106" s="38" t="str">
        <f>VLOOKUP(C106,UrbanRuralClassification!A:N,14,FALSE)</f>
        <v>Predominantly Rural</v>
      </c>
      <c r="H106" s="258">
        <f>IF(ISBLANK((VLOOKUP($A106,'local-plan-data'!$C$1:$AD$566,27,FALSE)))=TRUE,"",VLOOKUP($A106,'local-plan-data'!$C$1:$AD$566,27,FALSE))</f>
        <v>40962</v>
      </c>
      <c r="I106" s="259">
        <f>VLOOKUP($A106,'local-plan-data'!$C$1:$AD$566,28,FALSE)</f>
        <v>330</v>
      </c>
      <c r="J106" s="260">
        <f t="shared" si="85"/>
        <v>330</v>
      </c>
      <c r="K106" s="259" t="str">
        <f t="shared" si="133"/>
        <v>-</v>
      </c>
      <c r="L106" s="259" t="str">
        <f t="shared" si="131"/>
        <v>-</v>
      </c>
      <c r="M106" s="259" t="str">
        <f t="shared" si="131"/>
        <v>-</v>
      </c>
      <c r="N106" s="259" t="str">
        <f t="shared" si="131"/>
        <v>-</v>
      </c>
      <c r="O106" s="259" t="str">
        <f t="shared" si="131"/>
        <v>-</v>
      </c>
      <c r="P106" s="259" t="str">
        <f t="shared" si="131"/>
        <v>-</v>
      </c>
      <c r="Q106" s="259" t="str">
        <f t="shared" si="131"/>
        <v>-</v>
      </c>
      <c r="R106" s="259" t="str">
        <f t="shared" si="131"/>
        <v>-</v>
      </c>
      <c r="S106" s="259">
        <f t="shared" si="134"/>
        <v>-402</v>
      </c>
      <c r="T106" s="259">
        <f t="shared" si="132"/>
        <v>-767</v>
      </c>
      <c r="U106" s="259">
        <f t="shared" si="132"/>
        <v>-1133</v>
      </c>
      <c r="V106" s="259">
        <f t="shared" si="132"/>
        <v>-1498</v>
      </c>
      <c r="W106" s="259">
        <f t="shared" si="132"/>
        <v>-1863</v>
      </c>
      <c r="X106" s="259">
        <f t="shared" si="132"/>
        <v>-2228</v>
      </c>
      <c r="Y106" s="259">
        <f t="shared" si="132"/>
        <v>-2594</v>
      </c>
      <c r="Z106" s="259">
        <f t="shared" si="132"/>
        <v>-2959</v>
      </c>
      <c r="AA106" s="267">
        <f>(VLOOKUP(A106,Hshldprojections2014!$A$2:$AW$319,40, FALSE)-VLOOKUP(A106,Hshldprojections2014!$A$2:$AW$319,30, FALSE))/10</f>
        <v>288.2</v>
      </c>
      <c r="AB106" s="267">
        <f>(VLOOKUP(A106,Hshldprojections2014!$A$2:$AW$319,41, FALSE)-VLOOKUP(A106,Hshldprojections2014!$A$2:$AW$319,31, FALSE))/10</f>
        <v>282.39999999999998</v>
      </c>
      <c r="AC106" s="267">
        <f>(VLOOKUP(A106,Hshldprojections2014!$A$2:$AW$319,42, FALSE)-VLOOKUP(A106,Hshldprojections2014!$A$2:$AW$319,32, FALSE))/10</f>
        <v>276.10000000000002</v>
      </c>
      <c r="AD106" s="267">
        <f>IF(IndividualLATest!$J$7=2014,(VLOOKUP($A106,Hshldprojections2014!$A$2:$AY$326,43,FALSE)-VLOOKUP($A106,Hshldprojections2014!$A$2:$AY$326,33,FALSE))/10,IF(IndividualLATest!$J$7=2016,(VLOOKUP($A106,Hshldprojections2016!$A$1:$AQ$322,33,FALSE)-VLOOKUP($A106,Hshldprojections2016!$A$1:$AQ$322,23,FALSE))/10,(VLOOKUP($A106,Hshldprojections2018!$A$1:$AQ$327,33,FALSE)-VLOOKUP($A106,Hshldprojections2018!$A$1:$AQ$327,23,FALSE))/10))</f>
        <v>330</v>
      </c>
      <c r="AE106" s="267">
        <f>IF(IndividualLATest!$J$7=2014,(VLOOKUP($A106,Hshldprojections2014!$A$2:$AY$326,44,FALSE)-VLOOKUP($A106,Hshldprojections2014!$A$2:$AY$326,34,FALSE))/10,IF(IndividualLATest!$J$7=2016,(VLOOKUP($A106,Hshldprojections2016!$A$1:$AQ$322,34,FALSE)-VLOOKUP($A106,Hshldprojections2016!$A$1:$AQ$322,24,FALSE))/10,(VLOOKUP($A106,Hshldprojections2018!$A$1:$AQ$327,34,FALSE)-VLOOKUP($A106,Hshldprojections2018!$A$1:$AQ$327,24,FALSE))/10))</f>
        <v>322.39999999999998</v>
      </c>
      <c r="AF106" s="267">
        <f>IF(IndividualLATest!$J$7=2014,(VLOOKUP($A106,Hshldprojections2014!$A$2:$AY$326,45,FALSE)-VLOOKUP($A106,Hshldprojections2014!$A$2:$AY$326,35,FALSE))/10,IF(IndividualLATest!$J$7=2016,(VLOOKUP($A106,Hshldprojections2016!$A$1:$AQ$322,35,FALSE)-VLOOKUP($A106,Hshldprojections2016!$A$1:$AQ$322,25,FALSE))/10,(VLOOKUP($A106,Hshldprojections2018!$A$1:$AQ$327,35,FALSE)-VLOOKUP($A106,Hshldprojections2018!$A$1:$AQ$327,25,FALSE))/10))</f>
        <v>313.2</v>
      </c>
      <c r="AG106" s="267">
        <f>IF(IndividualLATest!$J$7=2014,(VLOOKUP($A106,Hshldprojections2014!$A$2:$AY$326,46,FALSE)-VLOOKUP($A106,Hshldprojections2014!$A$2:$AY$326,36,FALSE))/10,IF(IndividualLATest!$J$7=2016,(VLOOKUP($A106,Hshldprojections2016!$A$1:$AQ$322,36,FALSE)-VLOOKUP($A106,Hshldprojections2016!$A$1:$AQ$322,26,FALSE))/10,(VLOOKUP($A106,Hshldprojections2018!$A$1:$AQ$327,36,FALSE)-VLOOKUP($A106,Hshldprojections2018!$A$1:$AQ$327,26,FALSE))/10))</f>
        <v>303.10000000000002</v>
      </c>
      <c r="AH106" s="267">
        <f>IF(IndividualLATest!$J$7=2014,(VLOOKUP($A106,Hshldprojections2014!$A$2:$AY$326,47,FALSE)-VLOOKUP($A106,Hshldprojections2014!$A$2:$AY$326,37,FALSE))/10,IF(IndividualLATest!$J$7=2016,(VLOOKUP($A106,Hshldprojections2016!$A$1:$AQ$322,37,FALSE)-VLOOKUP($A106,Hshldprojections2016!$A$1:$AQ$322,27,FALSE))/10,(VLOOKUP($A106,Hshldprojections2018!$A$1:$AQ$327,37,FALSE)-VLOOKUP($A106,Hshldprojections2018!$A$1:$AQ$327,27,FALSE))/10))</f>
        <v>296.60000000000002</v>
      </c>
      <c r="AI106" s="268">
        <f>VLOOKUP($A106,AffordabilityRatio!$A$2:$I$321,5,FALSE)</f>
        <v>8.73</v>
      </c>
      <c r="AJ106" s="268">
        <f>VLOOKUP($A106,AffordabilityRatio!$A$2:$I$321,6,FALSE)</f>
        <v>8.93</v>
      </c>
      <c r="AK106" s="268">
        <f>VLOOKUP($A106,AffordabilityRatio!$A$2:$I$321,7,FALSE)</f>
        <v>9.41</v>
      </c>
      <c r="AL106" s="268">
        <f>IF((VLOOKUP($A106,AffordabilityRatio!$A$2:$I$321,8,FALSE))="",AK106,VLOOKUP($A106,AffordabilityRatio!$A$2:$I$321,8,FALSE))</f>
        <v>9.2799999999999994</v>
      </c>
      <c r="AM106" s="268">
        <f>IF((VLOOKUP($A106,AffordabilityRatio!$A$2:$I$321,9,FALSE))="",AL106,VLOOKUP($A106,AffordabilityRatio!$A$2:$I$321,9,FALSE))</f>
        <v>10.62</v>
      </c>
      <c r="AN106" s="268">
        <f>IF((VLOOKUP($A106,AffordabilityRatio!$A$2:$I$321,9,FALSE))="",AM106,VLOOKUP($A106,AffordabilityRatio!$A$2:$I$321,9,FALSE))</f>
        <v>10.62</v>
      </c>
      <c r="AO106" s="268">
        <f>IF((VLOOKUP($A106,AffordabilityRatio!$A$2:$I$321,9,FALSE))="",AN106,VLOOKUP($A106,AffordabilityRatio!$A$2:$I$321,9,FALSE))</f>
        <v>10.62</v>
      </c>
      <c r="AP106" s="268">
        <f>IF((VLOOKUP($A106,AffordabilityRatio!$A$2:$I$321,9,FALSE))="",AO106,VLOOKUP($A106,AffordabilityRatio!$A$2:$I$321,9,FALSE))</f>
        <v>10.62</v>
      </c>
      <c r="AQ106" s="267">
        <f t="shared" si="86"/>
        <v>373</v>
      </c>
      <c r="AR106" s="267">
        <f t="shared" si="87"/>
        <v>369</v>
      </c>
      <c r="AS106" s="267">
        <f t="shared" si="88"/>
        <v>369</v>
      </c>
      <c r="AT106" s="267">
        <f t="shared" si="89"/>
        <v>439</v>
      </c>
      <c r="AU106" s="267">
        <f t="shared" si="90"/>
        <v>456</v>
      </c>
      <c r="AV106" s="267">
        <f t="shared" si="91"/>
        <v>443</v>
      </c>
      <c r="AW106" s="267">
        <f t="shared" si="92"/>
        <v>429</v>
      </c>
      <c r="AX106" s="267">
        <f t="shared" si="93"/>
        <v>419</v>
      </c>
      <c r="AY106" s="267">
        <f t="shared" si="94"/>
        <v>373</v>
      </c>
      <c r="AZ106" s="267">
        <f t="shared" si="95"/>
        <v>369</v>
      </c>
      <c r="BA106" s="267">
        <f t="shared" si="96"/>
        <v>369</v>
      </c>
      <c r="BB106" s="267">
        <f t="shared" si="97"/>
        <v>439</v>
      </c>
      <c r="BC106" s="267">
        <f t="shared" si="98"/>
        <v>456</v>
      </c>
      <c r="BD106" s="267">
        <f t="shared" si="99"/>
        <v>443</v>
      </c>
      <c r="BE106" s="267">
        <f t="shared" si="100"/>
        <v>429</v>
      </c>
      <c r="BF106" s="267">
        <f t="shared" si="101"/>
        <v>419</v>
      </c>
      <c r="BG106" s="269">
        <f>AY106*VLOOKUP($B106,'Major Cities &amp; Towns'!$A$28:$B$345,2,FALSE)</f>
        <v>373</v>
      </c>
      <c r="BH106" s="269">
        <f>AZ106*VLOOKUP($B106,'Major Cities &amp; Towns'!$A$28:$B$345,2,FALSE)</f>
        <v>369</v>
      </c>
      <c r="BI106" s="269">
        <f>BA106*VLOOKUP($B106,'Major Cities &amp; Towns'!$A$28:$B$345,2,FALSE)</f>
        <v>369</v>
      </c>
      <c r="BJ106" s="269">
        <f>BB106*VLOOKUP($B106,'Major Cities &amp; Towns'!$A$28:$B$345,2,FALSE)</f>
        <v>439</v>
      </c>
      <c r="BK106" s="269">
        <f>BC106*VLOOKUP($B106,'Major Cities &amp; Towns'!$A$28:$B$345,2,FALSE)</f>
        <v>456</v>
      </c>
      <c r="BL106" s="269">
        <f>BD106*VLOOKUP($B106,'Major Cities &amp; Towns'!$A$28:$B$345,2,FALSE)</f>
        <v>443</v>
      </c>
      <c r="BM106" s="269">
        <f>BE106*VLOOKUP($B106,'Major Cities &amp; Towns'!$A$28:$B$345,2,FALSE)</f>
        <v>429</v>
      </c>
      <c r="BN106" s="269">
        <f>BF106*VLOOKUP($B106,'Major Cities &amp; Towns'!$A$28:$B$345,2,FALSE)</f>
        <v>419</v>
      </c>
      <c r="BO106" s="270">
        <f t="shared" si="102"/>
        <v>373</v>
      </c>
      <c r="BP106" s="270">
        <f t="shared" si="103"/>
        <v>369</v>
      </c>
      <c r="BQ106" s="270">
        <f t="shared" si="104"/>
        <v>369</v>
      </c>
      <c r="BR106" s="270">
        <f t="shared" si="105"/>
        <v>439</v>
      </c>
      <c r="BS106" s="270">
        <f t="shared" si="106"/>
        <v>456</v>
      </c>
      <c r="BT106" s="270">
        <f t="shared" si="107"/>
        <v>443</v>
      </c>
      <c r="BU106" s="270">
        <f t="shared" si="108"/>
        <v>429</v>
      </c>
      <c r="BV106" s="270">
        <f t="shared" si="109"/>
        <v>419</v>
      </c>
      <c r="BW106" s="39">
        <f>VLOOKUP($A106,NetAdditions!$A$2:$H$336,6,FALSE)</f>
        <v>270</v>
      </c>
      <c r="BX106" s="39">
        <f>VLOOKUP($A106,NetAdditions!$A$2:$H$336,7,FALSE)</f>
        <v>336</v>
      </c>
      <c r="BY106" s="39">
        <f>IF((VLOOKUP($C106,NetAdditions!$A$2:$H$336,8,FALSE))="",(AVERAGE(VLOOKUP($C106,NetAdditions!$A$2:$H$336,5,FALSE),VLOOKUP($C106,NetAdditions!$A$2:$H$336,6,FALSE),VLOOKUP($C106,NetAdditions!$A$2:$H$336,7,FALSE))),VLOOKUP($C106,NetAdditions!$A$2:$H$336,8,FALSE))</f>
        <v>358</v>
      </c>
      <c r="BZ106" s="39">
        <f t="shared" si="110"/>
        <v>321.33333333333331</v>
      </c>
      <c r="CA106" s="39">
        <f t="shared" si="111"/>
        <v>338.4444444444444</v>
      </c>
      <c r="CB106" s="39">
        <f t="shared" si="112"/>
        <v>339.25925925925918</v>
      </c>
      <c r="CC106" s="39">
        <f t="shared" si="113"/>
        <v>333.0123456790123</v>
      </c>
      <c r="CD106" s="39">
        <f t="shared" si="114"/>
        <v>336.90534979423865</v>
      </c>
      <c r="CE106" s="276">
        <f t="shared" si="71"/>
        <v>1111</v>
      </c>
      <c r="CF106" s="276">
        <f t="shared" si="72"/>
        <v>1177</v>
      </c>
      <c r="CG106" s="276">
        <f t="shared" si="73"/>
        <v>1264</v>
      </c>
      <c r="CH106" s="276">
        <f t="shared" si="74"/>
        <v>1338</v>
      </c>
      <c r="CI106" s="276">
        <f t="shared" si="75"/>
        <v>1328</v>
      </c>
      <c r="CJ106" s="276">
        <f t="shared" si="76"/>
        <v>1291</v>
      </c>
      <c r="CK106" s="276">
        <f t="shared" si="115"/>
        <v>956.69444444444446</v>
      </c>
      <c r="CL106" s="276">
        <f t="shared" si="116"/>
        <v>1013.5277777777778</v>
      </c>
      <c r="CM106" s="276">
        <f t="shared" si="117"/>
        <v>1158.6666666666665</v>
      </c>
      <c r="CN106" s="276">
        <f t="shared" si="118"/>
        <v>1338</v>
      </c>
      <c r="CO106" s="276">
        <f t="shared" si="119"/>
        <v>1328</v>
      </c>
      <c r="CP106" s="276">
        <f t="shared" si="120"/>
        <v>1291</v>
      </c>
      <c r="CQ106" s="39">
        <f t="shared" si="77"/>
        <v>964</v>
      </c>
      <c r="CR106" s="39">
        <f t="shared" si="78"/>
        <v>1015.3333333333333</v>
      </c>
      <c r="CS106" s="277">
        <f t="shared" si="79"/>
        <v>1017.7777777777776</v>
      </c>
      <c r="CT106" s="39">
        <f t="shared" si="80"/>
        <v>999.03703703703695</v>
      </c>
      <c r="CU106" s="39">
        <f t="shared" si="81"/>
        <v>1010.7160493827159</v>
      </c>
      <c r="CV106" s="39">
        <f t="shared" si="121"/>
        <v>1009.1769547325101</v>
      </c>
      <c r="CW106" s="297">
        <f t="shared" si="82"/>
        <v>1.0076362474957172</v>
      </c>
      <c r="CX106" s="279" t="str">
        <f t="shared" si="122"/>
        <v>Pass</v>
      </c>
      <c r="CY106" s="278">
        <f t="shared" si="83"/>
        <v>1.0017814564091319</v>
      </c>
      <c r="CZ106" s="279" t="str">
        <f t="shared" si="123"/>
        <v>Pass</v>
      </c>
      <c r="DA106" s="278">
        <f t="shared" si="84"/>
        <v>0.87840429612581505</v>
      </c>
      <c r="DB106" s="292" t="str">
        <f t="shared" si="124"/>
        <v>Action Plan</v>
      </c>
      <c r="DC106" s="299">
        <f t="shared" si="125"/>
        <v>0.74666445219509492</v>
      </c>
      <c r="DD106" s="293" t="str">
        <f t="shared" si="126"/>
        <v>Presumption</v>
      </c>
      <c r="DE106" s="299">
        <f t="shared" si="127"/>
        <v>0.76108136248698488</v>
      </c>
      <c r="DF106" s="293" t="str">
        <f t="shared" si="128"/>
        <v>Buffer and Action Plan</v>
      </c>
      <c r="DG106" s="299">
        <f t="shared" si="129"/>
        <v>0.78170174650078239</v>
      </c>
      <c r="DH106" s="293" t="str">
        <f t="shared" si="130"/>
        <v>Buffer and Action Plan</v>
      </c>
    </row>
    <row r="107" spans="1:112" ht="15" thickTop="1" thickBot="1">
      <c r="A107" s="38" t="s">
        <v>324</v>
      </c>
      <c r="B107" s="38" t="s">
        <v>325</v>
      </c>
      <c r="C107" s="38" t="s">
        <v>324</v>
      </c>
      <c r="D107" s="38" t="s">
        <v>116</v>
      </c>
      <c r="E107" s="38" t="str">
        <f>VLOOKUP(C107,PoliticalControl!A:K,11,FALSE)</f>
        <v>CON</v>
      </c>
      <c r="F107" s="38" t="str">
        <f>VLOOKUP(C107,UrbanRuralClassification!A:N,13,FALSE)</f>
        <v>Urban with City and Town</v>
      </c>
      <c r="G107" s="38" t="str">
        <f>VLOOKUP(C107,UrbanRuralClassification!A:N,14,FALSE)</f>
        <v>Predominantly Urban</v>
      </c>
      <c r="H107" s="258">
        <f>IF(ISBLANK((VLOOKUP($A107,'local-plan-data'!$C$1:$AD$566,27,FALSE)))=TRUE,"",VLOOKUP($A107,'local-plan-data'!$C$1:$AD$566,27,FALSE))</f>
        <v>43395</v>
      </c>
      <c r="I107" s="259">
        <f>VLOOKUP($A107,'local-plan-data'!$C$1:$AD$566,28,FALSE)</f>
        <v>415</v>
      </c>
      <c r="J107" s="260">
        <f t="shared" si="85"/>
        <v>415</v>
      </c>
      <c r="K107" s="259">
        <f t="shared" si="133"/>
        <v>415</v>
      </c>
      <c r="L107" s="259">
        <f t="shared" si="131"/>
        <v>415</v>
      </c>
      <c r="M107" s="259">
        <f t="shared" si="131"/>
        <v>415</v>
      </c>
      <c r="N107" s="259">
        <f t="shared" si="131"/>
        <v>415</v>
      </c>
      <c r="O107" s="259">
        <f t="shared" si="131"/>
        <v>415</v>
      </c>
      <c r="P107" s="259">
        <f t="shared" si="131"/>
        <v>415</v>
      </c>
      <c r="Q107" s="259" t="str">
        <f t="shared" si="131"/>
        <v>-</v>
      </c>
      <c r="R107" s="259" t="str">
        <f t="shared" si="131"/>
        <v>-</v>
      </c>
      <c r="S107" s="259">
        <f t="shared" si="134"/>
        <v>2030</v>
      </c>
      <c r="T107" s="259">
        <f t="shared" si="132"/>
        <v>1665</v>
      </c>
      <c r="U107" s="259">
        <f t="shared" si="132"/>
        <v>1299</v>
      </c>
      <c r="V107" s="259">
        <f t="shared" si="132"/>
        <v>934</v>
      </c>
      <c r="W107" s="259">
        <f t="shared" si="132"/>
        <v>569</v>
      </c>
      <c r="X107" s="259">
        <f t="shared" si="132"/>
        <v>204</v>
      </c>
      <c r="Y107" s="259">
        <f t="shared" si="132"/>
        <v>-162</v>
      </c>
      <c r="Z107" s="259">
        <f t="shared" si="132"/>
        <v>-527</v>
      </c>
      <c r="AA107" s="267">
        <f>(VLOOKUP(A107,Hshldprojections2014!$A$2:$AW$319,40, FALSE)-VLOOKUP(A107,Hshldprojections2014!$A$2:$AW$319,30, FALSE))/10</f>
        <v>258.5</v>
      </c>
      <c r="AB107" s="267">
        <f>(VLOOKUP(A107,Hshldprojections2014!$A$2:$AW$319,41, FALSE)-VLOOKUP(A107,Hshldprojections2014!$A$2:$AW$319,31, FALSE))/10</f>
        <v>253.3</v>
      </c>
      <c r="AC107" s="267">
        <f>(VLOOKUP(A107,Hshldprojections2014!$A$2:$AW$319,42, FALSE)-VLOOKUP(A107,Hshldprojections2014!$A$2:$AW$319,32, FALSE))/10</f>
        <v>249.9</v>
      </c>
      <c r="AD107" s="267">
        <f>IF(IndividualLATest!$J$7=2014,(VLOOKUP($A107,Hshldprojections2014!$A$2:$AY$326,43,FALSE)-VLOOKUP($A107,Hshldprojections2014!$A$2:$AY$326,33,FALSE))/10,IF(IndividualLATest!$J$7=2016,(VLOOKUP($A107,Hshldprojections2016!$A$1:$AQ$322,33,FALSE)-VLOOKUP($A107,Hshldprojections2016!$A$1:$AQ$322,23,FALSE))/10,(VLOOKUP($A107,Hshldprojections2018!$A$1:$AQ$327,33,FALSE)-VLOOKUP($A107,Hshldprojections2018!$A$1:$AQ$327,23,FALSE))/10))</f>
        <v>412.2</v>
      </c>
      <c r="AE107" s="267">
        <f>IF(IndividualLATest!$J$7=2014,(VLOOKUP($A107,Hshldprojections2014!$A$2:$AY$326,44,FALSE)-VLOOKUP($A107,Hshldprojections2014!$A$2:$AY$326,34,FALSE))/10,IF(IndividualLATest!$J$7=2016,(VLOOKUP($A107,Hshldprojections2016!$A$1:$AQ$322,34,FALSE)-VLOOKUP($A107,Hshldprojections2016!$A$1:$AQ$322,24,FALSE))/10,(VLOOKUP($A107,Hshldprojections2018!$A$1:$AQ$327,34,FALSE)-VLOOKUP($A107,Hshldprojections2018!$A$1:$AQ$327,24,FALSE))/10))</f>
        <v>398</v>
      </c>
      <c r="AF107" s="267">
        <f>IF(IndividualLATest!$J$7=2014,(VLOOKUP($A107,Hshldprojections2014!$A$2:$AY$326,45,FALSE)-VLOOKUP($A107,Hshldprojections2014!$A$2:$AY$326,35,FALSE))/10,IF(IndividualLATest!$J$7=2016,(VLOOKUP($A107,Hshldprojections2016!$A$1:$AQ$322,35,FALSE)-VLOOKUP($A107,Hshldprojections2016!$A$1:$AQ$322,25,FALSE))/10,(VLOOKUP($A107,Hshldprojections2018!$A$1:$AQ$327,35,FALSE)-VLOOKUP($A107,Hshldprojections2018!$A$1:$AQ$327,25,FALSE))/10))</f>
        <v>383.7</v>
      </c>
      <c r="AG107" s="267">
        <f>IF(IndividualLATest!$J$7=2014,(VLOOKUP($A107,Hshldprojections2014!$A$2:$AY$326,46,FALSE)-VLOOKUP($A107,Hshldprojections2014!$A$2:$AY$326,36,FALSE))/10,IF(IndividualLATest!$J$7=2016,(VLOOKUP($A107,Hshldprojections2016!$A$1:$AQ$322,36,FALSE)-VLOOKUP($A107,Hshldprojections2016!$A$1:$AQ$322,26,FALSE))/10,(VLOOKUP($A107,Hshldprojections2018!$A$1:$AQ$327,36,FALSE)-VLOOKUP($A107,Hshldprojections2018!$A$1:$AQ$327,26,FALSE))/10))</f>
        <v>370</v>
      </c>
      <c r="AH107" s="267">
        <f>IF(IndividualLATest!$J$7=2014,(VLOOKUP($A107,Hshldprojections2014!$A$2:$AY$326,47,FALSE)-VLOOKUP($A107,Hshldprojections2014!$A$2:$AY$326,37,FALSE))/10,IF(IndividualLATest!$J$7=2016,(VLOOKUP($A107,Hshldprojections2016!$A$1:$AQ$322,37,FALSE)-VLOOKUP($A107,Hshldprojections2016!$A$1:$AQ$322,27,FALSE))/10,(VLOOKUP($A107,Hshldprojections2018!$A$1:$AQ$327,37,FALSE)-VLOOKUP($A107,Hshldprojections2018!$A$1:$AQ$327,27,FALSE))/10))</f>
        <v>359.1</v>
      </c>
      <c r="AI107" s="268">
        <f>VLOOKUP($A107,AffordabilityRatio!$A$2:$I$321,5,FALSE)</f>
        <v>5.87</v>
      </c>
      <c r="AJ107" s="268">
        <f>VLOOKUP($A107,AffordabilityRatio!$A$2:$I$321,6,FALSE)</f>
        <v>5.4</v>
      </c>
      <c r="AK107" s="268">
        <f>VLOOKUP($A107,AffordabilityRatio!$A$2:$I$321,7,FALSE)</f>
        <v>5.45</v>
      </c>
      <c r="AL107" s="268">
        <f>IF((VLOOKUP($A107,AffordabilityRatio!$A$2:$I$321,8,FALSE))="",AK107,VLOOKUP($A107,AffordabilityRatio!$A$2:$I$321,8,FALSE))</f>
        <v>6.1</v>
      </c>
      <c r="AM107" s="268">
        <f>IF((VLOOKUP($A107,AffordabilityRatio!$A$2:$I$321,9,FALSE))="",AL107,VLOOKUP($A107,AffordabilityRatio!$A$2:$I$321,9,FALSE))</f>
        <v>6.75</v>
      </c>
      <c r="AN107" s="268">
        <f>IF((VLOOKUP($A107,AffordabilityRatio!$A$2:$I$321,9,FALSE))="",AM107,VLOOKUP($A107,AffordabilityRatio!$A$2:$I$321,9,FALSE))</f>
        <v>6.75</v>
      </c>
      <c r="AO107" s="268">
        <f>IF((VLOOKUP($A107,AffordabilityRatio!$A$2:$I$321,9,FALSE))="",AN107,VLOOKUP($A107,AffordabilityRatio!$A$2:$I$321,9,FALSE))</f>
        <v>6.75</v>
      </c>
      <c r="AP107" s="268">
        <f>IF((VLOOKUP($A107,AffordabilityRatio!$A$2:$I$321,9,FALSE))="",AO107,VLOOKUP($A107,AffordabilityRatio!$A$2:$I$321,9,FALSE))</f>
        <v>6.75</v>
      </c>
      <c r="AQ107" s="267">
        <f t="shared" si="86"/>
        <v>289</v>
      </c>
      <c r="AR107" s="267">
        <f t="shared" si="87"/>
        <v>275</v>
      </c>
      <c r="AS107" s="267">
        <f t="shared" si="88"/>
        <v>273</v>
      </c>
      <c r="AT107" s="267">
        <f t="shared" si="89"/>
        <v>466</v>
      </c>
      <c r="AU107" s="267">
        <f t="shared" si="90"/>
        <v>466</v>
      </c>
      <c r="AV107" s="267">
        <f t="shared" si="91"/>
        <v>450</v>
      </c>
      <c r="AW107" s="267">
        <f t="shared" si="92"/>
        <v>434</v>
      </c>
      <c r="AX107" s="267">
        <f t="shared" si="93"/>
        <v>421</v>
      </c>
      <c r="AY107" s="267">
        <f t="shared" si="94"/>
        <v>289</v>
      </c>
      <c r="AZ107" s="267">
        <f t="shared" si="95"/>
        <v>275</v>
      </c>
      <c r="BA107" s="267">
        <f t="shared" si="96"/>
        <v>273</v>
      </c>
      <c r="BB107" s="267">
        <f t="shared" si="97"/>
        <v>466</v>
      </c>
      <c r="BC107" s="267">
        <f t="shared" si="98"/>
        <v>466</v>
      </c>
      <c r="BD107" s="267">
        <f t="shared" si="99"/>
        <v>450</v>
      </c>
      <c r="BE107" s="267">
        <f t="shared" si="100"/>
        <v>434</v>
      </c>
      <c r="BF107" s="267">
        <f t="shared" si="101"/>
        <v>421</v>
      </c>
      <c r="BG107" s="269">
        <f>AY107*VLOOKUP($B107,'Major Cities &amp; Towns'!$A$28:$B$345,2,FALSE)</f>
        <v>289</v>
      </c>
      <c r="BH107" s="269">
        <f>AZ107*VLOOKUP($B107,'Major Cities &amp; Towns'!$A$28:$B$345,2,FALSE)</f>
        <v>275</v>
      </c>
      <c r="BI107" s="269">
        <f>BA107*VLOOKUP($B107,'Major Cities &amp; Towns'!$A$28:$B$345,2,FALSE)</f>
        <v>273</v>
      </c>
      <c r="BJ107" s="269">
        <f>BB107*VLOOKUP($B107,'Major Cities &amp; Towns'!$A$28:$B$345,2,FALSE)</f>
        <v>466</v>
      </c>
      <c r="BK107" s="269">
        <f>BC107*VLOOKUP($B107,'Major Cities &amp; Towns'!$A$28:$B$345,2,FALSE)</f>
        <v>466</v>
      </c>
      <c r="BL107" s="269">
        <f>BD107*VLOOKUP($B107,'Major Cities &amp; Towns'!$A$28:$B$345,2,FALSE)</f>
        <v>450</v>
      </c>
      <c r="BM107" s="269">
        <f>BE107*VLOOKUP($B107,'Major Cities &amp; Towns'!$A$28:$B$345,2,FALSE)</f>
        <v>434</v>
      </c>
      <c r="BN107" s="269">
        <f>BF107*VLOOKUP($B107,'Major Cities &amp; Towns'!$A$28:$B$345,2,FALSE)</f>
        <v>421</v>
      </c>
      <c r="BO107" s="270">
        <f t="shared" si="102"/>
        <v>289</v>
      </c>
      <c r="BP107" s="270">
        <f t="shared" si="103"/>
        <v>275</v>
      </c>
      <c r="BQ107" s="270">
        <f t="shared" si="104"/>
        <v>273</v>
      </c>
      <c r="BR107" s="270">
        <f t="shared" si="105"/>
        <v>415</v>
      </c>
      <c r="BS107" s="270">
        <f t="shared" si="106"/>
        <v>415</v>
      </c>
      <c r="BT107" s="270">
        <f t="shared" si="107"/>
        <v>430.43835616438355</v>
      </c>
      <c r="BU107" s="270">
        <f t="shared" si="108"/>
        <v>434</v>
      </c>
      <c r="BV107" s="270">
        <f t="shared" si="109"/>
        <v>421</v>
      </c>
      <c r="BW107" s="39">
        <f>VLOOKUP($A107,NetAdditions!$A$2:$H$336,6,FALSE)</f>
        <v>490</v>
      </c>
      <c r="BX107" s="39">
        <f>VLOOKUP($A107,NetAdditions!$A$2:$H$336,7,FALSE)</f>
        <v>634</v>
      </c>
      <c r="BY107" s="39">
        <f>IF((VLOOKUP($C107,NetAdditions!$A$2:$H$336,8,FALSE))="",(AVERAGE(VLOOKUP($C107,NetAdditions!$A$2:$H$336,5,FALSE),VLOOKUP($C107,NetAdditions!$A$2:$H$336,6,FALSE),VLOOKUP($C107,NetAdditions!$A$2:$H$336,7,FALSE))),VLOOKUP($C107,NetAdditions!$A$2:$H$336,8,FALSE))</f>
        <v>292</v>
      </c>
      <c r="BZ107" s="39">
        <f t="shared" si="110"/>
        <v>472</v>
      </c>
      <c r="CA107" s="39">
        <f t="shared" si="111"/>
        <v>466</v>
      </c>
      <c r="CB107" s="39">
        <f t="shared" si="112"/>
        <v>410</v>
      </c>
      <c r="CC107" s="39">
        <f t="shared" si="113"/>
        <v>449.33333333333331</v>
      </c>
      <c r="CD107" s="39">
        <f t="shared" si="114"/>
        <v>441.77777777777777</v>
      </c>
      <c r="CE107" s="276">
        <f t="shared" si="71"/>
        <v>837</v>
      </c>
      <c r="CF107" s="276">
        <f t="shared" si="72"/>
        <v>963</v>
      </c>
      <c r="CG107" s="276">
        <f t="shared" si="73"/>
        <v>1103</v>
      </c>
      <c r="CH107" s="276">
        <f t="shared" si="74"/>
        <v>1260.4383561643835</v>
      </c>
      <c r="CI107" s="276">
        <f t="shared" si="75"/>
        <v>1279.4383561643835</v>
      </c>
      <c r="CJ107" s="276">
        <f t="shared" si="76"/>
        <v>1285.4383561643835</v>
      </c>
      <c r="CK107" s="276">
        <f t="shared" si="115"/>
        <v>720.75</v>
      </c>
      <c r="CL107" s="276">
        <f t="shared" si="116"/>
        <v>829.25</v>
      </c>
      <c r="CM107" s="276">
        <f t="shared" si="117"/>
        <v>1011.0833333333333</v>
      </c>
      <c r="CN107" s="276">
        <f t="shared" si="118"/>
        <v>1260.4383561643835</v>
      </c>
      <c r="CO107" s="276">
        <f t="shared" si="119"/>
        <v>1279.4383561643835</v>
      </c>
      <c r="CP107" s="276">
        <f t="shared" si="120"/>
        <v>1285.4383561643835</v>
      </c>
      <c r="CQ107" s="39">
        <f t="shared" si="77"/>
        <v>1416</v>
      </c>
      <c r="CR107" s="39">
        <f t="shared" si="78"/>
        <v>1398</v>
      </c>
      <c r="CS107" s="277">
        <f t="shared" si="79"/>
        <v>1230</v>
      </c>
      <c r="CT107" s="39">
        <f t="shared" si="80"/>
        <v>1348</v>
      </c>
      <c r="CU107" s="39">
        <f t="shared" si="81"/>
        <v>1325.3333333333333</v>
      </c>
      <c r="CV107" s="39">
        <f t="shared" si="121"/>
        <v>1301.1111111111111</v>
      </c>
      <c r="CW107" s="297">
        <f t="shared" si="82"/>
        <v>1.9646201873048907</v>
      </c>
      <c r="CX107" s="279" t="str">
        <f t="shared" si="122"/>
        <v>Pass</v>
      </c>
      <c r="CY107" s="278">
        <f t="shared" si="83"/>
        <v>1.6858607175158276</v>
      </c>
      <c r="CZ107" s="279" t="str">
        <f t="shared" si="123"/>
        <v>Pass</v>
      </c>
      <c r="DA107" s="278">
        <f t="shared" si="84"/>
        <v>1.2165169372784967</v>
      </c>
      <c r="DB107" s="292" t="str">
        <f t="shared" si="124"/>
        <v>Pass</v>
      </c>
      <c r="DC107" s="299">
        <f t="shared" si="125"/>
        <v>1.0694691996696084</v>
      </c>
      <c r="DD107" s="293" t="str">
        <f t="shared" si="126"/>
        <v>Pass</v>
      </c>
      <c r="DE107" s="299">
        <f t="shared" si="127"/>
        <v>1.0358711906265947</v>
      </c>
      <c r="DF107" s="293" t="str">
        <f t="shared" si="128"/>
        <v>Pass</v>
      </c>
      <c r="DG107" s="299">
        <f t="shared" si="129"/>
        <v>1.0121925371773512</v>
      </c>
      <c r="DH107" s="293" t="str">
        <f t="shared" si="130"/>
        <v>Pass</v>
      </c>
    </row>
    <row r="108" spans="1:112" ht="15" thickTop="1" thickBot="1">
      <c r="A108" s="38" t="s">
        <v>326</v>
      </c>
      <c r="B108" s="38" t="s">
        <v>327</v>
      </c>
      <c r="C108" s="38" t="s">
        <v>326</v>
      </c>
      <c r="D108" s="38" t="s">
        <v>259</v>
      </c>
      <c r="E108" s="38" t="str">
        <f>VLOOKUP(C108,PoliticalControl!A:K,11,FALSE)</f>
        <v>LAB</v>
      </c>
      <c r="F108" s="38" t="str">
        <f>VLOOKUP(C108,UrbanRuralClassification!A:N,13,FALSE)</f>
        <v>Urban with Major Conurbation</v>
      </c>
      <c r="G108" s="38" t="str">
        <f>VLOOKUP(C108,UrbanRuralClassification!A:N,14,FALSE)</f>
        <v>Predominantly Urban</v>
      </c>
      <c r="H108" s="258">
        <f>IF(ISBLANK((VLOOKUP($A108,'local-plan-data'!$C$1:$AD$566,27,FALSE)))=TRUE,"",VLOOKUP($A108,'local-plan-data'!$C$1:$AD$566,27,FALSE))</f>
        <v>42089</v>
      </c>
      <c r="I108" s="259">
        <f>VLOOKUP($A108,'local-plan-data'!$C$1:$AD$566,28,FALSE)</f>
        <v>425</v>
      </c>
      <c r="J108" s="260">
        <f t="shared" si="85"/>
        <v>425</v>
      </c>
      <c r="K108" s="259">
        <f t="shared" si="133"/>
        <v>425</v>
      </c>
      <c r="L108" s="259">
        <f t="shared" si="131"/>
        <v>425</v>
      </c>
      <c r="M108" s="259" t="str">
        <f t="shared" si="131"/>
        <v>-</v>
      </c>
      <c r="N108" s="259" t="str">
        <f t="shared" si="131"/>
        <v>-</v>
      </c>
      <c r="O108" s="259" t="str">
        <f t="shared" si="131"/>
        <v>-</v>
      </c>
      <c r="P108" s="259" t="str">
        <f t="shared" si="131"/>
        <v>-</v>
      </c>
      <c r="Q108" s="259" t="str">
        <f t="shared" si="131"/>
        <v>-</v>
      </c>
      <c r="R108" s="259" t="str">
        <f t="shared" si="131"/>
        <v>-</v>
      </c>
      <c r="S108" s="259">
        <f t="shared" si="134"/>
        <v>725</v>
      </c>
      <c r="T108" s="259">
        <f t="shared" si="132"/>
        <v>360</v>
      </c>
      <c r="U108" s="259">
        <f t="shared" si="132"/>
        <v>-6</v>
      </c>
      <c r="V108" s="259">
        <f t="shared" si="132"/>
        <v>-371</v>
      </c>
      <c r="W108" s="259">
        <f t="shared" si="132"/>
        <v>-736</v>
      </c>
      <c r="X108" s="259">
        <f t="shared" si="132"/>
        <v>-1101</v>
      </c>
      <c r="Y108" s="259">
        <f t="shared" si="132"/>
        <v>-1467</v>
      </c>
      <c r="Z108" s="259">
        <f t="shared" si="132"/>
        <v>-1832</v>
      </c>
      <c r="AA108" s="267">
        <f>(VLOOKUP(A108,Hshldprojections2014!$A$2:$AW$319,40, FALSE)-VLOOKUP(A108,Hshldprojections2014!$A$2:$AW$319,30, FALSE))/10</f>
        <v>422.8</v>
      </c>
      <c r="AB108" s="267">
        <f>(VLOOKUP(A108,Hshldprojections2014!$A$2:$AW$319,41, FALSE)-VLOOKUP(A108,Hshldprojections2014!$A$2:$AW$319,31, FALSE))/10</f>
        <v>415</v>
      </c>
      <c r="AC108" s="267">
        <f>(VLOOKUP(A108,Hshldprojections2014!$A$2:$AW$319,42, FALSE)-VLOOKUP(A108,Hshldprojections2014!$A$2:$AW$319,32, FALSE))/10</f>
        <v>409.3</v>
      </c>
      <c r="AD108" s="267">
        <f>IF(IndividualLATest!$J$7=2014,(VLOOKUP($A108,Hshldprojections2014!$A$2:$AY$326,43,FALSE)-VLOOKUP($A108,Hshldprojections2014!$A$2:$AY$326,33,FALSE))/10,IF(IndividualLATest!$J$7=2016,(VLOOKUP($A108,Hshldprojections2016!$A$1:$AQ$322,33,FALSE)-VLOOKUP($A108,Hshldprojections2016!$A$1:$AQ$322,23,FALSE))/10,(VLOOKUP($A108,Hshldprojections2018!$A$1:$AQ$327,33,FALSE)-VLOOKUP($A108,Hshldprojections2018!$A$1:$AQ$327,23,FALSE))/10))</f>
        <v>180.8</v>
      </c>
      <c r="AE108" s="267">
        <f>IF(IndividualLATest!$J$7=2014,(VLOOKUP($A108,Hshldprojections2014!$A$2:$AY$326,44,FALSE)-VLOOKUP($A108,Hshldprojections2014!$A$2:$AY$326,34,FALSE))/10,IF(IndividualLATest!$J$7=2016,(VLOOKUP($A108,Hshldprojections2016!$A$1:$AQ$322,34,FALSE)-VLOOKUP($A108,Hshldprojections2016!$A$1:$AQ$322,24,FALSE))/10,(VLOOKUP($A108,Hshldprojections2018!$A$1:$AQ$327,34,FALSE)-VLOOKUP($A108,Hshldprojections2018!$A$1:$AQ$327,24,FALSE))/10))</f>
        <v>182</v>
      </c>
      <c r="AF108" s="267">
        <f>IF(IndividualLATest!$J$7=2014,(VLOOKUP($A108,Hshldprojections2014!$A$2:$AY$326,45,FALSE)-VLOOKUP($A108,Hshldprojections2014!$A$2:$AY$326,35,FALSE))/10,IF(IndividualLATest!$J$7=2016,(VLOOKUP($A108,Hshldprojections2016!$A$1:$AQ$322,35,FALSE)-VLOOKUP($A108,Hshldprojections2016!$A$1:$AQ$322,25,FALSE))/10,(VLOOKUP($A108,Hshldprojections2018!$A$1:$AQ$327,35,FALSE)-VLOOKUP($A108,Hshldprojections2018!$A$1:$AQ$327,25,FALSE))/10))</f>
        <v>188</v>
      </c>
      <c r="AG108" s="267">
        <f>IF(IndividualLATest!$J$7=2014,(VLOOKUP($A108,Hshldprojections2014!$A$2:$AY$326,46,FALSE)-VLOOKUP($A108,Hshldprojections2014!$A$2:$AY$326,36,FALSE))/10,IF(IndividualLATest!$J$7=2016,(VLOOKUP($A108,Hshldprojections2016!$A$1:$AQ$322,36,FALSE)-VLOOKUP($A108,Hshldprojections2016!$A$1:$AQ$322,26,FALSE))/10,(VLOOKUP($A108,Hshldprojections2018!$A$1:$AQ$327,36,FALSE)-VLOOKUP($A108,Hshldprojections2018!$A$1:$AQ$327,26,FALSE))/10))</f>
        <v>193.6</v>
      </c>
      <c r="AH108" s="267">
        <f>IF(IndividualLATest!$J$7=2014,(VLOOKUP($A108,Hshldprojections2014!$A$2:$AY$326,47,FALSE)-VLOOKUP($A108,Hshldprojections2014!$A$2:$AY$326,37,FALSE))/10,IF(IndividualLATest!$J$7=2016,(VLOOKUP($A108,Hshldprojections2016!$A$1:$AQ$322,37,FALSE)-VLOOKUP($A108,Hshldprojections2016!$A$1:$AQ$322,27,FALSE))/10,(VLOOKUP($A108,Hshldprojections2018!$A$1:$AQ$327,37,FALSE)-VLOOKUP($A108,Hshldprojections2018!$A$1:$AQ$327,27,FALSE))/10))</f>
        <v>200.7</v>
      </c>
      <c r="AI108" s="268">
        <f>VLOOKUP($A108,AffordabilityRatio!$A$2:$I$321,5,FALSE)</f>
        <v>5.25</v>
      </c>
      <c r="AJ108" s="268">
        <f>VLOOKUP($A108,AffordabilityRatio!$A$2:$I$321,6,FALSE)</f>
        <v>5.32</v>
      </c>
      <c r="AK108" s="268">
        <f>VLOOKUP($A108,AffordabilityRatio!$A$2:$I$321,7,FALSE)</f>
        <v>5.35</v>
      </c>
      <c r="AL108" s="268">
        <f>IF((VLOOKUP($A108,AffordabilityRatio!$A$2:$I$321,8,FALSE))="",AK108,VLOOKUP($A108,AffordabilityRatio!$A$2:$I$321,8,FALSE))</f>
        <v>5.47</v>
      </c>
      <c r="AM108" s="268">
        <f>IF((VLOOKUP($A108,AffordabilityRatio!$A$2:$I$321,9,FALSE))="",AL108,VLOOKUP($A108,AffordabilityRatio!$A$2:$I$321,9,FALSE))</f>
        <v>5.69</v>
      </c>
      <c r="AN108" s="268">
        <f>IF((VLOOKUP($A108,AffordabilityRatio!$A$2:$I$321,9,FALSE))="",AM108,VLOOKUP($A108,AffordabilityRatio!$A$2:$I$321,9,FALSE))</f>
        <v>5.69</v>
      </c>
      <c r="AO108" s="268">
        <f>IF((VLOOKUP($A108,AffordabilityRatio!$A$2:$I$321,9,FALSE))="",AN108,VLOOKUP($A108,AffordabilityRatio!$A$2:$I$321,9,FALSE))</f>
        <v>5.69</v>
      </c>
      <c r="AP108" s="268">
        <f>IF((VLOOKUP($A108,AffordabilityRatio!$A$2:$I$321,9,FALSE))="",AO108,VLOOKUP($A108,AffordabilityRatio!$A$2:$I$321,9,FALSE))</f>
        <v>5.69</v>
      </c>
      <c r="AQ108" s="267">
        <f t="shared" si="86"/>
        <v>456</v>
      </c>
      <c r="AR108" s="267">
        <f t="shared" si="87"/>
        <v>449</v>
      </c>
      <c r="AS108" s="267">
        <f t="shared" si="88"/>
        <v>444</v>
      </c>
      <c r="AT108" s="267">
        <f t="shared" si="89"/>
        <v>197</v>
      </c>
      <c r="AU108" s="267">
        <f t="shared" si="90"/>
        <v>201</v>
      </c>
      <c r="AV108" s="267">
        <f t="shared" si="91"/>
        <v>208</v>
      </c>
      <c r="AW108" s="267">
        <f t="shared" si="92"/>
        <v>214</v>
      </c>
      <c r="AX108" s="267">
        <f t="shared" si="93"/>
        <v>222</v>
      </c>
      <c r="AY108" s="267">
        <f t="shared" si="94"/>
        <v>456</v>
      </c>
      <c r="AZ108" s="267">
        <f t="shared" si="95"/>
        <v>449</v>
      </c>
      <c r="BA108" s="267">
        <f t="shared" si="96"/>
        <v>444</v>
      </c>
      <c r="BB108" s="267">
        <f t="shared" si="97"/>
        <v>197</v>
      </c>
      <c r="BC108" s="267">
        <f t="shared" si="98"/>
        <v>201</v>
      </c>
      <c r="BD108" s="267">
        <f t="shared" si="99"/>
        <v>208</v>
      </c>
      <c r="BE108" s="267">
        <f t="shared" si="100"/>
        <v>214</v>
      </c>
      <c r="BF108" s="267">
        <f t="shared" si="101"/>
        <v>222</v>
      </c>
      <c r="BG108" s="269">
        <f>AY108*VLOOKUP($B108,'Major Cities &amp; Towns'!$A$28:$B$345,2,FALSE)</f>
        <v>456</v>
      </c>
      <c r="BH108" s="269">
        <f>AZ108*VLOOKUP($B108,'Major Cities &amp; Towns'!$A$28:$B$345,2,FALSE)</f>
        <v>449</v>
      </c>
      <c r="BI108" s="269">
        <f>BA108*VLOOKUP($B108,'Major Cities &amp; Towns'!$A$28:$B$345,2,FALSE)</f>
        <v>444</v>
      </c>
      <c r="BJ108" s="269">
        <f>BB108*VLOOKUP($B108,'Major Cities &amp; Towns'!$A$28:$B$345,2,FALSE)</f>
        <v>197</v>
      </c>
      <c r="BK108" s="269">
        <f>BC108*VLOOKUP($B108,'Major Cities &amp; Towns'!$A$28:$B$345,2,FALSE)</f>
        <v>201</v>
      </c>
      <c r="BL108" s="269">
        <f>BD108*VLOOKUP($B108,'Major Cities &amp; Towns'!$A$28:$B$345,2,FALSE)</f>
        <v>208</v>
      </c>
      <c r="BM108" s="269">
        <f>BE108*VLOOKUP($B108,'Major Cities &amp; Towns'!$A$28:$B$345,2,FALSE)</f>
        <v>214</v>
      </c>
      <c r="BN108" s="269">
        <f>BF108*VLOOKUP($B108,'Major Cities &amp; Towns'!$A$28:$B$345,2,FALSE)</f>
        <v>222</v>
      </c>
      <c r="BO108" s="270">
        <f t="shared" si="102"/>
        <v>425</v>
      </c>
      <c r="BP108" s="270">
        <f t="shared" si="103"/>
        <v>425.32876712328766</v>
      </c>
      <c r="BQ108" s="270">
        <f t="shared" si="104"/>
        <v>444</v>
      </c>
      <c r="BR108" s="270">
        <f t="shared" si="105"/>
        <v>197</v>
      </c>
      <c r="BS108" s="270">
        <f t="shared" si="106"/>
        <v>201</v>
      </c>
      <c r="BT108" s="270">
        <f t="shared" si="107"/>
        <v>208</v>
      </c>
      <c r="BU108" s="270">
        <f t="shared" si="108"/>
        <v>214</v>
      </c>
      <c r="BV108" s="270">
        <f t="shared" si="109"/>
        <v>222</v>
      </c>
      <c r="BW108" s="39">
        <f>VLOOKUP($A108,NetAdditions!$A$2:$H$336,6,FALSE)</f>
        <v>394</v>
      </c>
      <c r="BX108" s="39">
        <f>VLOOKUP($A108,NetAdditions!$A$2:$H$336,7,FALSE)</f>
        <v>301</v>
      </c>
      <c r="BY108" s="39">
        <f>IF((VLOOKUP($C108,NetAdditions!$A$2:$H$336,8,FALSE))="",(AVERAGE(VLOOKUP($C108,NetAdditions!$A$2:$H$336,5,FALSE),VLOOKUP($C108,NetAdditions!$A$2:$H$336,6,FALSE),VLOOKUP($C108,NetAdditions!$A$2:$H$336,7,FALSE))),VLOOKUP($C108,NetAdditions!$A$2:$H$336,8,FALSE))</f>
        <v>347</v>
      </c>
      <c r="BZ108" s="39">
        <f t="shared" si="110"/>
        <v>347.33333333333331</v>
      </c>
      <c r="CA108" s="39">
        <f t="shared" si="111"/>
        <v>331.77777777777777</v>
      </c>
      <c r="CB108" s="39">
        <f t="shared" si="112"/>
        <v>342.03703703703701</v>
      </c>
      <c r="CC108" s="39">
        <f t="shared" si="113"/>
        <v>340.38271604938268</v>
      </c>
      <c r="CD108" s="39">
        <f t="shared" si="114"/>
        <v>338.06584362139915</v>
      </c>
      <c r="CE108" s="276">
        <f t="shared" si="71"/>
        <v>1294.3287671232877</v>
      </c>
      <c r="CF108" s="276">
        <f t="shared" si="72"/>
        <v>1066.3287671232877</v>
      </c>
      <c r="CG108" s="276">
        <f t="shared" si="73"/>
        <v>842</v>
      </c>
      <c r="CH108" s="276">
        <f t="shared" si="74"/>
        <v>606</v>
      </c>
      <c r="CI108" s="276">
        <f t="shared" si="75"/>
        <v>623</v>
      </c>
      <c r="CJ108" s="276">
        <f t="shared" si="76"/>
        <v>644</v>
      </c>
      <c r="CK108" s="276">
        <f t="shared" si="115"/>
        <v>1114.5608828006089</v>
      </c>
      <c r="CL108" s="276">
        <f t="shared" si="116"/>
        <v>918.22754946727559</v>
      </c>
      <c r="CM108" s="276">
        <f t="shared" si="117"/>
        <v>771.83333333333326</v>
      </c>
      <c r="CN108" s="276">
        <f t="shared" si="118"/>
        <v>606</v>
      </c>
      <c r="CO108" s="276">
        <f t="shared" si="119"/>
        <v>623</v>
      </c>
      <c r="CP108" s="276">
        <f t="shared" si="120"/>
        <v>644</v>
      </c>
      <c r="CQ108" s="39">
        <f t="shared" si="77"/>
        <v>1042</v>
      </c>
      <c r="CR108" s="39">
        <f t="shared" si="78"/>
        <v>995.33333333333326</v>
      </c>
      <c r="CS108" s="277">
        <f t="shared" si="79"/>
        <v>1026.1111111111111</v>
      </c>
      <c r="CT108" s="39">
        <f t="shared" si="80"/>
        <v>1021.148148148148</v>
      </c>
      <c r="CU108" s="39">
        <f t="shared" si="81"/>
        <v>1014.1975308641975</v>
      </c>
      <c r="CV108" s="39">
        <f t="shared" si="121"/>
        <v>1020.4855967078188</v>
      </c>
      <c r="CW108" s="297">
        <f t="shared" si="82"/>
        <v>0.93489733587430257</v>
      </c>
      <c r="CX108" s="279" t="str">
        <f t="shared" si="122"/>
        <v>Action Plan</v>
      </c>
      <c r="CY108" s="278">
        <f t="shared" si="83"/>
        <v>1.0839724139302853</v>
      </c>
      <c r="CZ108" s="279" t="str">
        <f t="shared" si="123"/>
        <v>Pass</v>
      </c>
      <c r="DA108" s="278">
        <f t="shared" si="84"/>
        <v>1.3294464838407831</v>
      </c>
      <c r="DB108" s="292" t="str">
        <f t="shared" si="124"/>
        <v>Pass</v>
      </c>
      <c r="DC108" s="299">
        <f t="shared" si="125"/>
        <v>1.6850629507395183</v>
      </c>
      <c r="DD108" s="293" t="str">
        <f t="shared" si="126"/>
        <v>Pass</v>
      </c>
      <c r="DE108" s="299">
        <f t="shared" si="127"/>
        <v>1.6279254106969461</v>
      </c>
      <c r="DF108" s="293" t="str">
        <f t="shared" si="128"/>
        <v>Pass</v>
      </c>
      <c r="DG108" s="299">
        <f t="shared" si="129"/>
        <v>1.5846049638320168</v>
      </c>
      <c r="DH108" s="293" t="str">
        <f t="shared" si="130"/>
        <v>Pass</v>
      </c>
    </row>
    <row r="109" spans="1:112" ht="15" thickTop="1" thickBot="1">
      <c r="A109" s="38" t="s">
        <v>328</v>
      </c>
      <c r="B109" s="38" t="s">
        <v>329</v>
      </c>
      <c r="C109" s="38" t="s">
        <v>328</v>
      </c>
      <c r="D109" s="38" t="s">
        <v>119</v>
      </c>
      <c r="E109" s="38" t="str">
        <f>VLOOKUP(C109,PoliticalControl!A:K,11,FALSE)</f>
        <v>LAB</v>
      </c>
      <c r="F109" s="38" t="str">
        <f>VLOOKUP(C109,UrbanRuralClassification!A:N,13,FALSE)</f>
        <v>Urban with Minor Conurbation</v>
      </c>
      <c r="G109" s="38" t="str">
        <f>VLOOKUP(C109,UrbanRuralClassification!A:N,14,FALSE)</f>
        <v>Predominantly Urban</v>
      </c>
      <c r="H109" s="258">
        <f>IF(ISBLANK((VLOOKUP($A109,'local-plan-data'!$C$1:$AD$566,27,FALSE)))=TRUE,"",VLOOKUP($A109,'local-plan-data'!$C$1:$AD$566,27,FALSE))</f>
        <v>41899</v>
      </c>
      <c r="I109" s="259">
        <f>VLOOKUP($A109,'local-plan-data'!$C$1:$AD$566,28,FALSE)</f>
        <v>426.47058823529414</v>
      </c>
      <c r="J109" s="260">
        <f t="shared" si="85"/>
        <v>426.47058823529414</v>
      </c>
      <c r="K109" s="259">
        <f t="shared" si="133"/>
        <v>426.47058823529414</v>
      </c>
      <c r="L109" s="259">
        <f t="shared" si="131"/>
        <v>426.47058823529414</v>
      </c>
      <c r="M109" s="259" t="str">
        <f t="shared" si="131"/>
        <v>-</v>
      </c>
      <c r="N109" s="259" t="str">
        <f t="shared" si="131"/>
        <v>-</v>
      </c>
      <c r="O109" s="259" t="str">
        <f t="shared" si="131"/>
        <v>-</v>
      </c>
      <c r="P109" s="259" t="str">
        <f t="shared" si="131"/>
        <v>-</v>
      </c>
      <c r="Q109" s="259" t="str">
        <f t="shared" si="131"/>
        <v>-</v>
      </c>
      <c r="R109" s="259" t="str">
        <f t="shared" si="131"/>
        <v>-</v>
      </c>
      <c r="S109" s="259">
        <f t="shared" si="134"/>
        <v>534</v>
      </c>
      <c r="T109" s="259">
        <f t="shared" si="132"/>
        <v>169</v>
      </c>
      <c r="U109" s="259">
        <f t="shared" si="132"/>
        <v>-197</v>
      </c>
      <c r="V109" s="259">
        <f t="shared" si="132"/>
        <v>-562</v>
      </c>
      <c r="W109" s="259">
        <f t="shared" si="132"/>
        <v>-927</v>
      </c>
      <c r="X109" s="259">
        <f t="shared" si="132"/>
        <v>-1292</v>
      </c>
      <c r="Y109" s="259">
        <f t="shared" si="132"/>
        <v>-1658</v>
      </c>
      <c r="Z109" s="259">
        <f t="shared" si="132"/>
        <v>-2023</v>
      </c>
      <c r="AA109" s="267">
        <f>(VLOOKUP(A109,Hshldprojections2014!$A$2:$AW$319,40, FALSE)-VLOOKUP(A109,Hshldprojections2014!$A$2:$AW$319,30, FALSE))/10</f>
        <v>407.4</v>
      </c>
      <c r="AB109" s="267">
        <f>(VLOOKUP(A109,Hshldprojections2014!$A$2:$AW$319,41, FALSE)-VLOOKUP(A109,Hshldprojections2014!$A$2:$AW$319,31, FALSE))/10</f>
        <v>402.3</v>
      </c>
      <c r="AC109" s="267">
        <f>(VLOOKUP(A109,Hshldprojections2014!$A$2:$AW$319,42, FALSE)-VLOOKUP(A109,Hshldprojections2014!$A$2:$AW$319,32, FALSE))/10</f>
        <v>401.2</v>
      </c>
      <c r="AD109" s="267">
        <f>IF(IndividualLATest!$J$7=2014,(VLOOKUP($A109,Hshldprojections2014!$A$2:$AY$326,43,FALSE)-VLOOKUP($A109,Hshldprojections2014!$A$2:$AY$326,33,FALSE))/10,IF(IndividualLATest!$J$7=2016,(VLOOKUP($A109,Hshldprojections2016!$A$1:$AQ$322,33,FALSE)-VLOOKUP($A109,Hshldprojections2016!$A$1:$AQ$322,23,FALSE))/10,(VLOOKUP($A109,Hshldprojections2018!$A$1:$AQ$327,33,FALSE)-VLOOKUP($A109,Hshldprojections2018!$A$1:$AQ$327,23,FALSE))/10))</f>
        <v>352.2</v>
      </c>
      <c r="AE109" s="267">
        <f>IF(IndividualLATest!$J$7=2014,(VLOOKUP($A109,Hshldprojections2014!$A$2:$AY$326,44,FALSE)-VLOOKUP($A109,Hshldprojections2014!$A$2:$AY$326,34,FALSE))/10,IF(IndividualLATest!$J$7=2016,(VLOOKUP($A109,Hshldprojections2016!$A$1:$AQ$322,34,FALSE)-VLOOKUP($A109,Hshldprojections2016!$A$1:$AQ$322,24,FALSE))/10,(VLOOKUP($A109,Hshldprojections2018!$A$1:$AQ$327,34,FALSE)-VLOOKUP($A109,Hshldprojections2018!$A$1:$AQ$327,24,FALSE))/10))</f>
        <v>348</v>
      </c>
      <c r="AF109" s="267">
        <f>IF(IndividualLATest!$J$7=2014,(VLOOKUP($A109,Hshldprojections2014!$A$2:$AY$326,45,FALSE)-VLOOKUP($A109,Hshldprojections2014!$A$2:$AY$326,35,FALSE))/10,IF(IndividualLATest!$J$7=2016,(VLOOKUP($A109,Hshldprojections2016!$A$1:$AQ$322,35,FALSE)-VLOOKUP($A109,Hshldprojections2016!$A$1:$AQ$322,25,FALSE))/10,(VLOOKUP($A109,Hshldprojections2018!$A$1:$AQ$327,35,FALSE)-VLOOKUP($A109,Hshldprojections2018!$A$1:$AQ$327,25,FALSE))/10))</f>
        <v>342.3</v>
      </c>
      <c r="AG109" s="267">
        <f>IF(IndividualLATest!$J$7=2014,(VLOOKUP($A109,Hshldprojections2014!$A$2:$AY$326,46,FALSE)-VLOOKUP($A109,Hshldprojections2014!$A$2:$AY$326,36,FALSE))/10,IF(IndividualLATest!$J$7=2016,(VLOOKUP($A109,Hshldprojections2016!$A$1:$AQ$322,36,FALSE)-VLOOKUP($A109,Hshldprojections2016!$A$1:$AQ$322,26,FALSE))/10,(VLOOKUP($A109,Hshldprojections2018!$A$1:$AQ$327,36,FALSE)-VLOOKUP($A109,Hshldprojections2018!$A$1:$AQ$327,26,FALSE))/10))</f>
        <v>336.6</v>
      </c>
      <c r="AH109" s="267">
        <f>IF(IndividualLATest!$J$7=2014,(VLOOKUP($A109,Hshldprojections2014!$A$2:$AY$326,47,FALSE)-VLOOKUP($A109,Hshldprojections2014!$A$2:$AY$326,37,FALSE))/10,IF(IndividualLATest!$J$7=2016,(VLOOKUP($A109,Hshldprojections2016!$A$1:$AQ$322,37,FALSE)-VLOOKUP($A109,Hshldprojections2016!$A$1:$AQ$322,27,FALSE))/10,(VLOOKUP($A109,Hshldprojections2018!$A$1:$AQ$327,37,FALSE)-VLOOKUP($A109,Hshldprojections2018!$A$1:$AQ$327,27,FALSE))/10))</f>
        <v>336.8</v>
      </c>
      <c r="AI109" s="268">
        <f>VLOOKUP($A109,AffordabilityRatio!$A$2:$I$321,5,FALSE)</f>
        <v>5.41</v>
      </c>
      <c r="AJ109" s="268">
        <f>VLOOKUP($A109,AffordabilityRatio!$A$2:$I$321,6,FALSE)</f>
        <v>5.29</v>
      </c>
      <c r="AK109" s="268">
        <f>VLOOKUP($A109,AffordabilityRatio!$A$2:$I$321,7,FALSE)</f>
        <v>6.26</v>
      </c>
      <c r="AL109" s="268">
        <f>IF((VLOOKUP($A109,AffordabilityRatio!$A$2:$I$321,8,FALSE))="",AK109,VLOOKUP($A109,AffordabilityRatio!$A$2:$I$321,8,FALSE))</f>
        <v>6.65</v>
      </c>
      <c r="AM109" s="268">
        <f>IF((VLOOKUP($A109,AffordabilityRatio!$A$2:$I$321,9,FALSE))="",AL109,VLOOKUP($A109,AffordabilityRatio!$A$2:$I$321,9,FALSE))</f>
        <v>8.09</v>
      </c>
      <c r="AN109" s="268">
        <f>IF((VLOOKUP($A109,AffordabilityRatio!$A$2:$I$321,9,FALSE))="",AM109,VLOOKUP($A109,AffordabilityRatio!$A$2:$I$321,9,FALSE))</f>
        <v>8.09</v>
      </c>
      <c r="AO109" s="268">
        <f>IF((VLOOKUP($A109,AffordabilityRatio!$A$2:$I$321,9,FALSE))="",AN109,VLOOKUP($A109,AffordabilityRatio!$A$2:$I$321,9,FALSE))</f>
        <v>8.09</v>
      </c>
      <c r="AP109" s="268">
        <f>IF((VLOOKUP($A109,AffordabilityRatio!$A$2:$I$321,9,FALSE))="",AO109,VLOOKUP($A109,AffordabilityRatio!$A$2:$I$321,9,FALSE))</f>
        <v>8.09</v>
      </c>
      <c r="AQ109" s="267">
        <f t="shared" si="86"/>
        <v>443</v>
      </c>
      <c r="AR109" s="267">
        <f t="shared" si="87"/>
        <v>435</v>
      </c>
      <c r="AS109" s="267">
        <f t="shared" si="88"/>
        <v>458</v>
      </c>
      <c r="AT109" s="267">
        <f t="shared" si="89"/>
        <v>411</v>
      </c>
      <c r="AU109" s="267">
        <f t="shared" si="90"/>
        <v>437</v>
      </c>
      <c r="AV109" s="267">
        <f t="shared" si="91"/>
        <v>430</v>
      </c>
      <c r="AW109" s="267">
        <f t="shared" si="92"/>
        <v>423</v>
      </c>
      <c r="AX109" s="267">
        <f t="shared" si="93"/>
        <v>423</v>
      </c>
      <c r="AY109" s="267">
        <f t="shared" si="94"/>
        <v>443</v>
      </c>
      <c r="AZ109" s="267">
        <f t="shared" si="95"/>
        <v>435</v>
      </c>
      <c r="BA109" s="267">
        <f t="shared" si="96"/>
        <v>458</v>
      </c>
      <c r="BB109" s="267">
        <f t="shared" si="97"/>
        <v>411</v>
      </c>
      <c r="BC109" s="267">
        <f t="shared" si="98"/>
        <v>437</v>
      </c>
      <c r="BD109" s="267">
        <f t="shared" si="99"/>
        <v>430</v>
      </c>
      <c r="BE109" s="267">
        <f t="shared" si="100"/>
        <v>423</v>
      </c>
      <c r="BF109" s="267">
        <f t="shared" si="101"/>
        <v>423</v>
      </c>
      <c r="BG109" s="269">
        <f>AY109*VLOOKUP($B109,'Major Cities &amp; Towns'!$A$28:$B$345,2,FALSE)</f>
        <v>443</v>
      </c>
      <c r="BH109" s="269">
        <f>AZ109*VLOOKUP($B109,'Major Cities &amp; Towns'!$A$28:$B$345,2,FALSE)</f>
        <v>435</v>
      </c>
      <c r="BI109" s="269">
        <f>BA109*VLOOKUP($B109,'Major Cities &amp; Towns'!$A$28:$B$345,2,FALSE)</f>
        <v>458</v>
      </c>
      <c r="BJ109" s="269">
        <f>BB109*VLOOKUP($B109,'Major Cities &amp; Towns'!$A$28:$B$345,2,FALSE)</f>
        <v>411</v>
      </c>
      <c r="BK109" s="269">
        <f>BC109*VLOOKUP($B109,'Major Cities &amp; Towns'!$A$28:$B$345,2,FALSE)</f>
        <v>437</v>
      </c>
      <c r="BL109" s="269">
        <f>BD109*VLOOKUP($B109,'Major Cities &amp; Towns'!$A$28:$B$345,2,FALSE)</f>
        <v>430</v>
      </c>
      <c r="BM109" s="269">
        <f>BE109*VLOOKUP($B109,'Major Cities &amp; Towns'!$A$28:$B$345,2,FALSE)</f>
        <v>423</v>
      </c>
      <c r="BN109" s="269">
        <f>BF109*VLOOKUP($B109,'Major Cities &amp; Towns'!$A$28:$B$345,2,FALSE)</f>
        <v>423</v>
      </c>
      <c r="BO109" s="270">
        <f t="shared" si="102"/>
        <v>426.47058823529414</v>
      </c>
      <c r="BP109" s="270">
        <f t="shared" si="103"/>
        <v>431.05076551168418</v>
      </c>
      <c r="BQ109" s="270">
        <f t="shared" si="104"/>
        <v>458</v>
      </c>
      <c r="BR109" s="270">
        <f t="shared" si="105"/>
        <v>411</v>
      </c>
      <c r="BS109" s="270">
        <f t="shared" si="106"/>
        <v>437</v>
      </c>
      <c r="BT109" s="270">
        <f t="shared" si="107"/>
        <v>430</v>
      </c>
      <c r="BU109" s="270">
        <f t="shared" si="108"/>
        <v>423</v>
      </c>
      <c r="BV109" s="270">
        <f t="shared" si="109"/>
        <v>423</v>
      </c>
      <c r="BW109" s="39">
        <f>VLOOKUP($A109,NetAdditions!$A$2:$H$336,6,FALSE)</f>
        <v>286</v>
      </c>
      <c r="BX109" s="39">
        <f>VLOOKUP($A109,NetAdditions!$A$2:$H$336,7,FALSE)</f>
        <v>360</v>
      </c>
      <c r="BY109" s="39">
        <f>IF((VLOOKUP($C109,NetAdditions!$A$2:$H$336,8,FALSE))="",(AVERAGE(VLOOKUP($C109,NetAdditions!$A$2:$H$336,5,FALSE),VLOOKUP($C109,NetAdditions!$A$2:$H$336,6,FALSE),VLOOKUP($C109,NetAdditions!$A$2:$H$336,7,FALSE))),VLOOKUP($C109,NetAdditions!$A$2:$H$336,8,FALSE))</f>
        <v>310</v>
      </c>
      <c r="BZ109" s="39">
        <f t="shared" si="110"/>
        <v>318.66666666666669</v>
      </c>
      <c r="CA109" s="39">
        <f t="shared" si="111"/>
        <v>329.5555555555556</v>
      </c>
      <c r="CB109" s="39">
        <f t="shared" si="112"/>
        <v>319.40740740740745</v>
      </c>
      <c r="CC109" s="39">
        <f t="shared" si="113"/>
        <v>322.54320987654324</v>
      </c>
      <c r="CD109" s="39">
        <f t="shared" si="114"/>
        <v>323.83539094650206</v>
      </c>
      <c r="CE109" s="276">
        <f t="shared" si="71"/>
        <v>1315.5213537469783</v>
      </c>
      <c r="CF109" s="276">
        <f t="shared" si="72"/>
        <v>1300.0507655116842</v>
      </c>
      <c r="CG109" s="276">
        <f t="shared" si="73"/>
        <v>1306</v>
      </c>
      <c r="CH109" s="276">
        <f t="shared" si="74"/>
        <v>1278</v>
      </c>
      <c r="CI109" s="276">
        <f t="shared" si="75"/>
        <v>1290</v>
      </c>
      <c r="CJ109" s="276">
        <f t="shared" si="76"/>
        <v>1276</v>
      </c>
      <c r="CK109" s="276">
        <f t="shared" si="115"/>
        <v>1132.8100546154535</v>
      </c>
      <c r="CL109" s="276">
        <f t="shared" si="116"/>
        <v>1119.4881591906169</v>
      </c>
      <c r="CM109" s="276">
        <f t="shared" si="117"/>
        <v>1197.1666666666665</v>
      </c>
      <c r="CN109" s="276">
        <f t="shared" si="118"/>
        <v>1278</v>
      </c>
      <c r="CO109" s="276">
        <f t="shared" si="119"/>
        <v>1290</v>
      </c>
      <c r="CP109" s="276">
        <f t="shared" si="120"/>
        <v>1276</v>
      </c>
      <c r="CQ109" s="39">
        <f t="shared" si="77"/>
        <v>956</v>
      </c>
      <c r="CR109" s="39">
        <f t="shared" si="78"/>
        <v>988.66666666666674</v>
      </c>
      <c r="CS109" s="277">
        <f t="shared" si="79"/>
        <v>958.2222222222224</v>
      </c>
      <c r="CT109" s="39">
        <f t="shared" si="80"/>
        <v>967.62962962962979</v>
      </c>
      <c r="CU109" s="39">
        <f t="shared" si="81"/>
        <v>971.50617283950623</v>
      </c>
      <c r="CV109" s="39">
        <f t="shared" si="121"/>
        <v>965.78600823045281</v>
      </c>
      <c r="CW109" s="297">
        <f t="shared" si="82"/>
        <v>0.84391906313413334</v>
      </c>
      <c r="CX109" s="279" t="str">
        <f t="shared" si="122"/>
        <v>Buffer and Action Plan</v>
      </c>
      <c r="CY109" s="278">
        <f t="shared" si="83"/>
        <v>0.88314169162938416</v>
      </c>
      <c r="CZ109" s="279" t="str">
        <f t="shared" si="123"/>
        <v>Action Plan</v>
      </c>
      <c r="DA109" s="278">
        <f t="shared" si="84"/>
        <v>0.8004083716181728</v>
      </c>
      <c r="DB109" s="292" t="str">
        <f t="shared" si="124"/>
        <v>Buffer and Action Plan</v>
      </c>
      <c r="DC109" s="299">
        <f t="shared" si="125"/>
        <v>0.75714368515620489</v>
      </c>
      <c r="DD109" s="293" t="str">
        <f t="shared" si="126"/>
        <v>Buffer and Action Plan</v>
      </c>
      <c r="DE109" s="299">
        <f t="shared" si="127"/>
        <v>0.75310556034070253</v>
      </c>
      <c r="DF109" s="293" t="str">
        <f t="shared" si="128"/>
        <v>Buffer and Action Plan</v>
      </c>
      <c r="DG109" s="299">
        <f t="shared" si="129"/>
        <v>0.75688558638750225</v>
      </c>
      <c r="DH109" s="293" t="str">
        <f t="shared" si="130"/>
        <v>Buffer and Action Plan</v>
      </c>
    </row>
    <row r="110" spans="1:112" ht="15" thickTop="1" thickBot="1">
      <c r="A110" s="38" t="s">
        <v>330</v>
      </c>
      <c r="B110" s="38" t="s">
        <v>331</v>
      </c>
      <c r="C110" s="38" t="s">
        <v>330</v>
      </c>
      <c r="D110" s="38" t="s">
        <v>147</v>
      </c>
      <c r="E110" s="38" t="str">
        <f>VLOOKUP(C110,PoliticalControl!A:K,11,FALSE)</f>
        <v>CON</v>
      </c>
      <c r="F110" s="38" t="str">
        <f>VLOOKUP(C110,UrbanRuralClassification!A:N,13,FALSE)</f>
        <v>Urban with City and Town</v>
      </c>
      <c r="G110" s="38" t="str">
        <f>VLOOKUP(C110,UrbanRuralClassification!A:N,14,FALSE)</f>
        <v>Predominantly Urban</v>
      </c>
      <c r="H110" s="258">
        <f>IF(ISBLANK((VLOOKUP($A110,'local-plan-data'!$C$1:$AD$566,27,FALSE)))=TRUE,"",VLOOKUP($A110,'local-plan-data'!$C$1:$AD$566,27,FALSE))</f>
        <v>43080</v>
      </c>
      <c r="I110" s="259">
        <f>VLOOKUP($A110,'local-plan-data'!$C$1:$AD$566,28,FALSE)</f>
        <v>717.95</v>
      </c>
      <c r="J110" s="260">
        <f t="shared" si="85"/>
        <v>717.95</v>
      </c>
      <c r="K110" s="259">
        <f t="shared" si="133"/>
        <v>717.95</v>
      </c>
      <c r="L110" s="259">
        <f t="shared" si="131"/>
        <v>717.95</v>
      </c>
      <c r="M110" s="259">
        <f t="shared" si="131"/>
        <v>717.95</v>
      </c>
      <c r="N110" s="259">
        <f t="shared" si="131"/>
        <v>717.95</v>
      </c>
      <c r="O110" s="259">
        <f t="shared" si="131"/>
        <v>717.95</v>
      </c>
      <c r="P110" s="259" t="str">
        <f t="shared" si="131"/>
        <v>-</v>
      </c>
      <c r="Q110" s="259" t="str">
        <f t="shared" si="131"/>
        <v>-</v>
      </c>
      <c r="R110" s="259" t="str">
        <f t="shared" si="131"/>
        <v>-</v>
      </c>
      <c r="S110" s="259">
        <f t="shared" si="134"/>
        <v>1715</v>
      </c>
      <c r="T110" s="259">
        <f t="shared" si="132"/>
        <v>1350</v>
      </c>
      <c r="U110" s="259">
        <f t="shared" si="132"/>
        <v>984</v>
      </c>
      <c r="V110" s="259">
        <f t="shared" si="132"/>
        <v>619</v>
      </c>
      <c r="W110" s="259">
        <f t="shared" si="132"/>
        <v>254</v>
      </c>
      <c r="X110" s="259">
        <f t="shared" si="132"/>
        <v>-111</v>
      </c>
      <c r="Y110" s="259">
        <f t="shared" si="132"/>
        <v>-477</v>
      </c>
      <c r="Z110" s="259">
        <f t="shared" si="132"/>
        <v>-842</v>
      </c>
      <c r="AA110" s="267">
        <f>(VLOOKUP(A110,Hshldprojections2014!$A$2:$AW$319,40, FALSE)-VLOOKUP(A110,Hshldprojections2014!$A$2:$AW$319,30, FALSE))/10</f>
        <v>570</v>
      </c>
      <c r="AB110" s="267">
        <f>(VLOOKUP(A110,Hshldprojections2014!$A$2:$AW$319,41, FALSE)-VLOOKUP(A110,Hshldprojections2014!$A$2:$AW$319,31, FALSE))/10</f>
        <v>562.1</v>
      </c>
      <c r="AC110" s="267">
        <f>(VLOOKUP(A110,Hshldprojections2014!$A$2:$AW$319,42, FALSE)-VLOOKUP(A110,Hshldprojections2014!$A$2:$AW$319,32, FALSE))/10</f>
        <v>558.4</v>
      </c>
      <c r="AD110" s="267">
        <f>IF(IndividualLATest!$J$7=2014,(VLOOKUP($A110,Hshldprojections2014!$A$2:$AY$326,43,FALSE)-VLOOKUP($A110,Hshldprojections2014!$A$2:$AY$326,33,FALSE))/10,IF(IndividualLATest!$J$7=2016,(VLOOKUP($A110,Hshldprojections2016!$A$1:$AQ$322,33,FALSE)-VLOOKUP($A110,Hshldprojections2016!$A$1:$AQ$322,23,FALSE))/10,(VLOOKUP($A110,Hshldprojections2018!$A$1:$AQ$327,33,FALSE)-VLOOKUP($A110,Hshldprojections2018!$A$1:$AQ$327,23,FALSE))/10))</f>
        <v>382.3</v>
      </c>
      <c r="AE110" s="267">
        <f>IF(IndividualLATest!$J$7=2014,(VLOOKUP($A110,Hshldprojections2014!$A$2:$AY$326,44,FALSE)-VLOOKUP($A110,Hshldprojections2014!$A$2:$AY$326,34,FALSE))/10,IF(IndividualLATest!$J$7=2016,(VLOOKUP($A110,Hshldprojections2016!$A$1:$AQ$322,34,FALSE)-VLOOKUP($A110,Hshldprojections2016!$A$1:$AQ$322,24,FALSE))/10,(VLOOKUP($A110,Hshldprojections2018!$A$1:$AQ$327,34,FALSE)-VLOOKUP($A110,Hshldprojections2018!$A$1:$AQ$327,24,FALSE))/10))</f>
        <v>382.4</v>
      </c>
      <c r="AF110" s="267">
        <f>IF(IndividualLATest!$J$7=2014,(VLOOKUP($A110,Hshldprojections2014!$A$2:$AY$326,45,FALSE)-VLOOKUP($A110,Hshldprojections2014!$A$2:$AY$326,35,FALSE))/10,IF(IndividualLATest!$J$7=2016,(VLOOKUP($A110,Hshldprojections2016!$A$1:$AQ$322,35,FALSE)-VLOOKUP($A110,Hshldprojections2016!$A$1:$AQ$322,25,FALSE))/10,(VLOOKUP($A110,Hshldprojections2018!$A$1:$AQ$327,35,FALSE)-VLOOKUP($A110,Hshldprojections2018!$A$1:$AQ$327,25,FALSE))/10))</f>
        <v>383.1</v>
      </c>
      <c r="AG110" s="267">
        <f>IF(IndividualLATest!$J$7=2014,(VLOOKUP($A110,Hshldprojections2014!$A$2:$AY$326,46,FALSE)-VLOOKUP($A110,Hshldprojections2014!$A$2:$AY$326,36,FALSE))/10,IF(IndividualLATest!$J$7=2016,(VLOOKUP($A110,Hshldprojections2016!$A$1:$AQ$322,36,FALSE)-VLOOKUP($A110,Hshldprojections2016!$A$1:$AQ$322,26,FALSE))/10,(VLOOKUP($A110,Hshldprojections2018!$A$1:$AQ$327,36,FALSE)-VLOOKUP($A110,Hshldprojections2018!$A$1:$AQ$327,26,FALSE))/10))</f>
        <v>379.7</v>
      </c>
      <c r="AH110" s="267">
        <f>IF(IndividualLATest!$J$7=2014,(VLOOKUP($A110,Hshldprojections2014!$A$2:$AY$326,47,FALSE)-VLOOKUP($A110,Hshldprojections2014!$A$2:$AY$326,37,FALSE))/10,IF(IndividualLATest!$J$7=2016,(VLOOKUP($A110,Hshldprojections2016!$A$1:$AQ$322,37,FALSE)-VLOOKUP($A110,Hshldprojections2016!$A$1:$AQ$322,27,FALSE))/10,(VLOOKUP($A110,Hshldprojections2018!$A$1:$AQ$327,37,FALSE)-VLOOKUP($A110,Hshldprojections2018!$A$1:$AQ$327,27,FALSE))/10))</f>
        <v>379.9</v>
      </c>
      <c r="AI110" s="268">
        <f>VLOOKUP($A110,AffordabilityRatio!$A$2:$I$321,5,FALSE)</f>
        <v>6.26</v>
      </c>
      <c r="AJ110" s="268">
        <f>VLOOKUP($A110,AffordabilityRatio!$A$2:$I$321,6,FALSE)</f>
        <v>6.67</v>
      </c>
      <c r="AK110" s="268">
        <f>VLOOKUP($A110,AffordabilityRatio!$A$2:$I$321,7,FALSE)</f>
        <v>6.86</v>
      </c>
      <c r="AL110" s="268">
        <f>IF((VLOOKUP($A110,AffordabilityRatio!$A$2:$I$321,8,FALSE))="",AK110,VLOOKUP($A110,AffordabilityRatio!$A$2:$I$321,8,FALSE))</f>
        <v>7.02</v>
      </c>
      <c r="AM110" s="268">
        <f>IF((VLOOKUP($A110,AffordabilityRatio!$A$2:$I$321,9,FALSE))="",AL110,VLOOKUP($A110,AffordabilityRatio!$A$2:$I$321,9,FALSE))</f>
        <v>7.34</v>
      </c>
      <c r="AN110" s="268">
        <f>IF((VLOOKUP($A110,AffordabilityRatio!$A$2:$I$321,9,FALSE))="",AM110,VLOOKUP($A110,AffordabilityRatio!$A$2:$I$321,9,FALSE))</f>
        <v>7.34</v>
      </c>
      <c r="AO110" s="268">
        <f>IF((VLOOKUP($A110,AffordabilityRatio!$A$2:$I$321,9,FALSE))="",AN110,VLOOKUP($A110,AffordabilityRatio!$A$2:$I$321,9,FALSE))</f>
        <v>7.34</v>
      </c>
      <c r="AP110" s="268">
        <f>IF((VLOOKUP($A110,AffordabilityRatio!$A$2:$I$321,9,FALSE))="",AO110,VLOOKUP($A110,AffordabilityRatio!$A$2:$I$321,9,FALSE))</f>
        <v>7.34</v>
      </c>
      <c r="AQ110" s="267">
        <f t="shared" si="86"/>
        <v>651</v>
      </c>
      <c r="AR110" s="267">
        <f t="shared" si="87"/>
        <v>656</v>
      </c>
      <c r="AS110" s="267">
        <f t="shared" si="88"/>
        <v>658</v>
      </c>
      <c r="AT110" s="267">
        <f t="shared" si="89"/>
        <v>454</v>
      </c>
      <c r="AU110" s="267">
        <f t="shared" si="90"/>
        <v>462</v>
      </c>
      <c r="AV110" s="267">
        <f t="shared" si="91"/>
        <v>463</v>
      </c>
      <c r="AW110" s="267">
        <f t="shared" si="92"/>
        <v>459</v>
      </c>
      <c r="AX110" s="267">
        <f t="shared" si="93"/>
        <v>459</v>
      </c>
      <c r="AY110" s="267">
        <f t="shared" si="94"/>
        <v>651</v>
      </c>
      <c r="AZ110" s="267">
        <f t="shared" si="95"/>
        <v>656</v>
      </c>
      <c r="BA110" s="267">
        <f t="shared" si="96"/>
        <v>658</v>
      </c>
      <c r="BB110" s="267">
        <f t="shared" si="97"/>
        <v>454</v>
      </c>
      <c r="BC110" s="267">
        <f t="shared" si="98"/>
        <v>462</v>
      </c>
      <c r="BD110" s="267">
        <f t="shared" si="99"/>
        <v>463</v>
      </c>
      <c r="BE110" s="267">
        <f t="shared" si="100"/>
        <v>459</v>
      </c>
      <c r="BF110" s="267">
        <f t="shared" si="101"/>
        <v>459</v>
      </c>
      <c r="BG110" s="269">
        <f>AY110*VLOOKUP($B110,'Major Cities &amp; Towns'!$A$28:$B$345,2,FALSE)</f>
        <v>651</v>
      </c>
      <c r="BH110" s="269">
        <f>AZ110*VLOOKUP($B110,'Major Cities &amp; Towns'!$A$28:$B$345,2,FALSE)</f>
        <v>656</v>
      </c>
      <c r="BI110" s="269">
        <f>BA110*VLOOKUP($B110,'Major Cities &amp; Towns'!$A$28:$B$345,2,FALSE)</f>
        <v>658</v>
      </c>
      <c r="BJ110" s="269">
        <f>BB110*VLOOKUP($B110,'Major Cities &amp; Towns'!$A$28:$B$345,2,FALSE)</f>
        <v>454</v>
      </c>
      <c r="BK110" s="269">
        <f>BC110*VLOOKUP($B110,'Major Cities &amp; Towns'!$A$28:$B$345,2,FALSE)</f>
        <v>462</v>
      </c>
      <c r="BL110" s="269">
        <f>BD110*VLOOKUP($B110,'Major Cities &amp; Towns'!$A$28:$B$345,2,FALSE)</f>
        <v>463</v>
      </c>
      <c r="BM110" s="269">
        <f>BE110*VLOOKUP($B110,'Major Cities &amp; Towns'!$A$28:$B$345,2,FALSE)</f>
        <v>459</v>
      </c>
      <c r="BN110" s="269">
        <f>BF110*VLOOKUP($B110,'Major Cities &amp; Towns'!$A$28:$B$345,2,FALSE)</f>
        <v>459</v>
      </c>
      <c r="BO110" s="270">
        <f t="shared" si="102"/>
        <v>651</v>
      </c>
      <c r="BP110" s="270">
        <f t="shared" si="103"/>
        <v>656</v>
      </c>
      <c r="BQ110" s="270">
        <f t="shared" si="104"/>
        <v>658</v>
      </c>
      <c r="BR110" s="270">
        <f t="shared" si="105"/>
        <v>454</v>
      </c>
      <c r="BS110" s="270">
        <f t="shared" si="106"/>
        <v>462.00000000000006</v>
      </c>
      <c r="BT110" s="270">
        <f t="shared" si="107"/>
        <v>463</v>
      </c>
      <c r="BU110" s="270">
        <f t="shared" si="108"/>
        <v>459</v>
      </c>
      <c r="BV110" s="270">
        <f t="shared" si="109"/>
        <v>459</v>
      </c>
      <c r="BW110" s="39">
        <f>VLOOKUP($A110,NetAdditions!$A$2:$H$336,6,FALSE)</f>
        <v>544</v>
      </c>
      <c r="BX110" s="39">
        <f>VLOOKUP($A110,NetAdditions!$A$2:$H$336,7,FALSE)</f>
        <v>467</v>
      </c>
      <c r="BY110" s="39">
        <f>IF((VLOOKUP($C110,NetAdditions!$A$2:$H$336,8,FALSE))="",(AVERAGE(VLOOKUP($C110,NetAdditions!$A$2:$H$336,5,FALSE),VLOOKUP($C110,NetAdditions!$A$2:$H$336,6,FALSE),VLOOKUP($C110,NetAdditions!$A$2:$H$336,7,FALSE))),VLOOKUP($C110,NetAdditions!$A$2:$H$336,8,FALSE))</f>
        <v>610</v>
      </c>
      <c r="BZ110" s="39">
        <f t="shared" si="110"/>
        <v>540.33333333333337</v>
      </c>
      <c r="CA110" s="39">
        <f t="shared" si="111"/>
        <v>539.1111111111112</v>
      </c>
      <c r="CB110" s="39">
        <f t="shared" si="112"/>
        <v>563.14814814814827</v>
      </c>
      <c r="CC110" s="39">
        <f t="shared" si="113"/>
        <v>547.53086419753095</v>
      </c>
      <c r="CD110" s="39">
        <f t="shared" si="114"/>
        <v>549.93004115226347</v>
      </c>
      <c r="CE110" s="276">
        <f t="shared" si="71"/>
        <v>1965</v>
      </c>
      <c r="CF110" s="276">
        <f t="shared" si="72"/>
        <v>1768</v>
      </c>
      <c r="CG110" s="276">
        <f t="shared" si="73"/>
        <v>1574</v>
      </c>
      <c r="CH110" s="276">
        <f t="shared" si="74"/>
        <v>1379</v>
      </c>
      <c r="CI110" s="276">
        <f t="shared" si="75"/>
        <v>1384</v>
      </c>
      <c r="CJ110" s="276">
        <f t="shared" si="76"/>
        <v>1381</v>
      </c>
      <c r="CK110" s="276">
        <f t="shared" si="115"/>
        <v>1692.0833333333335</v>
      </c>
      <c r="CL110" s="276">
        <f t="shared" si="116"/>
        <v>1522.4444444444446</v>
      </c>
      <c r="CM110" s="276">
        <f t="shared" si="117"/>
        <v>1442.8333333333333</v>
      </c>
      <c r="CN110" s="276">
        <f t="shared" si="118"/>
        <v>1379</v>
      </c>
      <c r="CO110" s="276">
        <f t="shared" si="119"/>
        <v>1384</v>
      </c>
      <c r="CP110" s="276">
        <f t="shared" si="120"/>
        <v>1381</v>
      </c>
      <c r="CQ110" s="39">
        <f t="shared" si="77"/>
        <v>1621</v>
      </c>
      <c r="CR110" s="39">
        <f t="shared" si="78"/>
        <v>1617.3333333333335</v>
      </c>
      <c r="CS110" s="277">
        <f t="shared" si="79"/>
        <v>1689.4444444444448</v>
      </c>
      <c r="CT110" s="39">
        <f t="shared" si="80"/>
        <v>1642.5925925925928</v>
      </c>
      <c r="CU110" s="39">
        <f t="shared" si="81"/>
        <v>1649.7901234567905</v>
      </c>
      <c r="CV110" s="39">
        <f t="shared" si="121"/>
        <v>1660.6090534979426</v>
      </c>
      <c r="CW110" s="297">
        <f t="shared" si="82"/>
        <v>0.9579906426988426</v>
      </c>
      <c r="CX110" s="279" t="str">
        <f t="shared" si="122"/>
        <v>Pass</v>
      </c>
      <c r="CY110" s="278">
        <f t="shared" si="83"/>
        <v>1.0623266676397607</v>
      </c>
      <c r="CZ110" s="279" t="str">
        <f t="shared" si="123"/>
        <v>Pass</v>
      </c>
      <c r="DA110" s="278">
        <f t="shared" si="84"/>
        <v>1.1709214123445384</v>
      </c>
      <c r="DB110" s="292" t="str">
        <f t="shared" si="124"/>
        <v>Pass</v>
      </c>
      <c r="DC110" s="299">
        <f t="shared" si="125"/>
        <v>1.1911476378481456</v>
      </c>
      <c r="DD110" s="293" t="str">
        <f t="shared" si="126"/>
        <v>Pass</v>
      </c>
      <c r="DE110" s="299">
        <f t="shared" si="127"/>
        <v>1.1920448868907445</v>
      </c>
      <c r="DF110" s="293" t="str">
        <f t="shared" si="128"/>
        <v>Pass</v>
      </c>
      <c r="DG110" s="299">
        <f t="shared" si="129"/>
        <v>1.202468539824723</v>
      </c>
      <c r="DH110" s="293" t="str">
        <f t="shared" si="130"/>
        <v>Pass</v>
      </c>
    </row>
    <row r="111" spans="1:112" ht="15" thickTop="1" thickBot="1">
      <c r="A111" s="38" t="s">
        <v>332</v>
      </c>
      <c r="B111" s="38" t="s">
        <v>333</v>
      </c>
      <c r="C111" s="38" t="s">
        <v>332</v>
      </c>
      <c r="D111" s="38" t="s">
        <v>113</v>
      </c>
      <c r="E111" s="38" t="str">
        <f>VLOOKUP(C111,PoliticalControl!A:K,11,FALSE)</f>
        <v>CON</v>
      </c>
      <c r="F111" s="38" t="str">
        <f>VLOOKUP(C111,UrbanRuralClassification!A:N,13,FALSE)</f>
        <v>Urban with City and Town</v>
      </c>
      <c r="G111" s="38" t="str">
        <f>VLOOKUP(C111,UrbanRuralClassification!A:N,14,FALSE)</f>
        <v>Predominantly Urban</v>
      </c>
      <c r="H111" s="258">
        <f>IF(ISBLANK((VLOOKUP($A111,'local-plan-data'!$C$1:$AD$566,27,FALSE)))=TRUE,"",VLOOKUP($A111,'local-plan-data'!$C$1:$AD$566,27,FALSE))</f>
        <v>42278</v>
      </c>
      <c r="I111" s="259">
        <f>VLOOKUP($A111,'local-plan-data'!$C$1:$AD$566,28,FALSE)</f>
        <v>170</v>
      </c>
      <c r="J111" s="260">
        <f t="shared" si="85"/>
        <v>170</v>
      </c>
      <c r="K111" s="259">
        <f t="shared" si="133"/>
        <v>170</v>
      </c>
      <c r="L111" s="259">
        <f t="shared" si="131"/>
        <v>170</v>
      </c>
      <c r="M111" s="259">
        <f t="shared" si="131"/>
        <v>170</v>
      </c>
      <c r="N111" s="259" t="str">
        <f t="shared" si="131"/>
        <v>-</v>
      </c>
      <c r="O111" s="259" t="str">
        <f t="shared" si="131"/>
        <v>-</v>
      </c>
      <c r="P111" s="259" t="str">
        <f t="shared" si="131"/>
        <v>-</v>
      </c>
      <c r="Q111" s="259" t="str">
        <f t="shared" si="131"/>
        <v>-</v>
      </c>
      <c r="R111" s="259" t="str">
        <f t="shared" si="131"/>
        <v>-</v>
      </c>
      <c r="S111" s="259">
        <f t="shared" si="134"/>
        <v>914</v>
      </c>
      <c r="T111" s="259">
        <f t="shared" si="132"/>
        <v>549</v>
      </c>
      <c r="U111" s="259">
        <f t="shared" si="132"/>
        <v>183</v>
      </c>
      <c r="V111" s="259">
        <f t="shared" si="132"/>
        <v>-182</v>
      </c>
      <c r="W111" s="259">
        <f t="shared" si="132"/>
        <v>-547</v>
      </c>
      <c r="X111" s="259">
        <f t="shared" si="132"/>
        <v>-912</v>
      </c>
      <c r="Y111" s="259">
        <f t="shared" si="132"/>
        <v>-1278</v>
      </c>
      <c r="Z111" s="259">
        <f t="shared" si="132"/>
        <v>-1643</v>
      </c>
      <c r="AA111" s="267">
        <f>(VLOOKUP(A111,Hshldprojections2014!$A$2:$AW$319,40, FALSE)-VLOOKUP(A111,Hshldprojections2014!$A$2:$AW$319,30, FALSE))/10</f>
        <v>279.3</v>
      </c>
      <c r="AB111" s="267">
        <f>(VLOOKUP(A111,Hshldprojections2014!$A$2:$AW$319,41, FALSE)-VLOOKUP(A111,Hshldprojections2014!$A$2:$AW$319,31, FALSE))/10</f>
        <v>280.8</v>
      </c>
      <c r="AC111" s="267">
        <f>(VLOOKUP(A111,Hshldprojections2014!$A$2:$AW$319,42, FALSE)-VLOOKUP(A111,Hshldprojections2014!$A$2:$AW$319,32, FALSE))/10</f>
        <v>282.10000000000002</v>
      </c>
      <c r="AD111" s="267">
        <f>IF(IndividualLATest!$J$7=2014,(VLOOKUP($A111,Hshldprojections2014!$A$2:$AY$326,43,FALSE)-VLOOKUP($A111,Hshldprojections2014!$A$2:$AY$326,33,FALSE))/10,IF(IndividualLATest!$J$7=2016,(VLOOKUP($A111,Hshldprojections2016!$A$1:$AQ$322,33,FALSE)-VLOOKUP($A111,Hshldprojections2016!$A$1:$AQ$322,23,FALSE))/10,(VLOOKUP($A111,Hshldprojections2018!$A$1:$AQ$327,33,FALSE)-VLOOKUP($A111,Hshldprojections2018!$A$1:$AQ$327,23,FALSE))/10))</f>
        <v>103.1</v>
      </c>
      <c r="AE111" s="267">
        <f>IF(IndividualLATest!$J$7=2014,(VLOOKUP($A111,Hshldprojections2014!$A$2:$AY$326,44,FALSE)-VLOOKUP($A111,Hshldprojections2014!$A$2:$AY$326,34,FALSE))/10,IF(IndividualLATest!$J$7=2016,(VLOOKUP($A111,Hshldprojections2016!$A$1:$AQ$322,34,FALSE)-VLOOKUP($A111,Hshldprojections2016!$A$1:$AQ$322,24,FALSE))/10,(VLOOKUP($A111,Hshldprojections2018!$A$1:$AQ$327,34,FALSE)-VLOOKUP($A111,Hshldprojections2018!$A$1:$AQ$327,24,FALSE))/10))</f>
        <v>102.6</v>
      </c>
      <c r="AF111" s="267">
        <f>IF(IndividualLATest!$J$7=2014,(VLOOKUP($A111,Hshldprojections2014!$A$2:$AY$326,45,FALSE)-VLOOKUP($A111,Hshldprojections2014!$A$2:$AY$326,35,FALSE))/10,IF(IndividualLATest!$J$7=2016,(VLOOKUP($A111,Hshldprojections2016!$A$1:$AQ$322,35,FALSE)-VLOOKUP($A111,Hshldprojections2016!$A$1:$AQ$322,25,FALSE))/10,(VLOOKUP($A111,Hshldprojections2018!$A$1:$AQ$327,35,FALSE)-VLOOKUP($A111,Hshldprojections2018!$A$1:$AQ$327,25,FALSE))/10))</f>
        <v>102.9</v>
      </c>
      <c r="AG111" s="267">
        <f>IF(IndividualLATest!$J$7=2014,(VLOOKUP($A111,Hshldprojections2014!$A$2:$AY$326,46,FALSE)-VLOOKUP($A111,Hshldprojections2014!$A$2:$AY$326,36,FALSE))/10,IF(IndividualLATest!$J$7=2016,(VLOOKUP($A111,Hshldprojections2016!$A$1:$AQ$322,36,FALSE)-VLOOKUP($A111,Hshldprojections2016!$A$1:$AQ$322,26,FALSE))/10,(VLOOKUP($A111,Hshldprojections2018!$A$1:$AQ$327,36,FALSE)-VLOOKUP($A111,Hshldprojections2018!$A$1:$AQ$327,26,FALSE))/10))</f>
        <v>100.4</v>
      </c>
      <c r="AH111" s="267">
        <f>IF(IndividualLATest!$J$7=2014,(VLOOKUP($A111,Hshldprojections2014!$A$2:$AY$326,47,FALSE)-VLOOKUP($A111,Hshldprojections2014!$A$2:$AY$326,37,FALSE))/10,IF(IndividualLATest!$J$7=2016,(VLOOKUP($A111,Hshldprojections2016!$A$1:$AQ$322,37,FALSE)-VLOOKUP($A111,Hshldprojections2016!$A$1:$AQ$322,27,FALSE))/10,(VLOOKUP($A111,Hshldprojections2018!$A$1:$AQ$327,37,FALSE)-VLOOKUP($A111,Hshldprojections2018!$A$1:$AQ$327,27,FALSE))/10))</f>
        <v>98.6</v>
      </c>
      <c r="AI111" s="268">
        <f>VLOOKUP($A111,AffordabilityRatio!$A$2:$I$321,5,FALSE)</f>
        <v>7.86</v>
      </c>
      <c r="AJ111" s="268">
        <f>VLOOKUP($A111,AffordabilityRatio!$A$2:$I$321,6,FALSE)</f>
        <v>7.43</v>
      </c>
      <c r="AK111" s="268">
        <f>VLOOKUP($A111,AffordabilityRatio!$A$2:$I$321,7,FALSE)</f>
        <v>7.67</v>
      </c>
      <c r="AL111" s="268">
        <f>IF((VLOOKUP($A111,AffordabilityRatio!$A$2:$I$321,8,FALSE))="",AK111,VLOOKUP($A111,AffordabilityRatio!$A$2:$I$321,8,FALSE))</f>
        <v>6.79</v>
      </c>
      <c r="AM111" s="268">
        <f>IF((VLOOKUP($A111,AffordabilityRatio!$A$2:$I$321,9,FALSE))="",AL111,VLOOKUP($A111,AffordabilityRatio!$A$2:$I$321,9,FALSE))</f>
        <v>6.68</v>
      </c>
      <c r="AN111" s="268">
        <f>IF((VLOOKUP($A111,AffordabilityRatio!$A$2:$I$321,9,FALSE))="",AM111,VLOOKUP($A111,AffordabilityRatio!$A$2:$I$321,9,FALSE))</f>
        <v>6.68</v>
      </c>
      <c r="AO111" s="268">
        <f>IF((VLOOKUP($A111,AffordabilityRatio!$A$2:$I$321,9,FALSE))="",AN111,VLOOKUP($A111,AffordabilityRatio!$A$2:$I$321,9,FALSE))</f>
        <v>6.68</v>
      </c>
      <c r="AP111" s="268">
        <f>IF((VLOOKUP($A111,AffordabilityRatio!$A$2:$I$321,9,FALSE))="",AO111,VLOOKUP($A111,AffordabilityRatio!$A$2:$I$321,9,FALSE))</f>
        <v>6.68</v>
      </c>
      <c r="AQ111" s="267">
        <f t="shared" si="86"/>
        <v>347</v>
      </c>
      <c r="AR111" s="267">
        <f t="shared" si="87"/>
        <v>341</v>
      </c>
      <c r="AS111" s="267">
        <f t="shared" si="88"/>
        <v>347</v>
      </c>
      <c r="AT111" s="267">
        <f t="shared" si="89"/>
        <v>121</v>
      </c>
      <c r="AU111" s="267">
        <f t="shared" si="90"/>
        <v>120</v>
      </c>
      <c r="AV111" s="267">
        <f t="shared" si="91"/>
        <v>120</v>
      </c>
      <c r="AW111" s="267">
        <f t="shared" si="92"/>
        <v>117</v>
      </c>
      <c r="AX111" s="267">
        <f t="shared" si="93"/>
        <v>115</v>
      </c>
      <c r="AY111" s="267">
        <f t="shared" si="94"/>
        <v>238</v>
      </c>
      <c r="AZ111" s="267">
        <f t="shared" si="95"/>
        <v>238</v>
      </c>
      <c r="BA111" s="267">
        <f t="shared" si="96"/>
        <v>238</v>
      </c>
      <c r="BB111" s="267">
        <f t="shared" si="97"/>
        <v>121</v>
      </c>
      <c r="BC111" s="267">
        <f t="shared" si="98"/>
        <v>120</v>
      </c>
      <c r="BD111" s="267">
        <f t="shared" si="99"/>
        <v>120</v>
      </c>
      <c r="BE111" s="267">
        <f t="shared" si="100"/>
        <v>117</v>
      </c>
      <c r="BF111" s="267">
        <f t="shared" si="101"/>
        <v>115</v>
      </c>
      <c r="BG111" s="269">
        <f>AY111*VLOOKUP($B111,'Major Cities &amp; Towns'!$A$28:$B$345,2,FALSE)</f>
        <v>238</v>
      </c>
      <c r="BH111" s="269">
        <f>AZ111*VLOOKUP($B111,'Major Cities &amp; Towns'!$A$28:$B$345,2,FALSE)</f>
        <v>238</v>
      </c>
      <c r="BI111" s="269">
        <f>BA111*VLOOKUP($B111,'Major Cities &amp; Towns'!$A$28:$B$345,2,FALSE)</f>
        <v>238</v>
      </c>
      <c r="BJ111" s="269">
        <f>BB111*VLOOKUP($B111,'Major Cities &amp; Towns'!$A$28:$B$345,2,FALSE)</f>
        <v>121</v>
      </c>
      <c r="BK111" s="269">
        <f>BC111*VLOOKUP($B111,'Major Cities &amp; Towns'!$A$28:$B$345,2,FALSE)</f>
        <v>120</v>
      </c>
      <c r="BL111" s="269">
        <f>BD111*VLOOKUP($B111,'Major Cities &amp; Towns'!$A$28:$B$345,2,FALSE)</f>
        <v>120</v>
      </c>
      <c r="BM111" s="269">
        <f>BE111*VLOOKUP($B111,'Major Cities &amp; Towns'!$A$28:$B$345,2,FALSE)</f>
        <v>117</v>
      </c>
      <c r="BN111" s="269">
        <f>BF111*VLOOKUP($B111,'Major Cities &amp; Towns'!$A$28:$B$345,2,FALSE)</f>
        <v>115</v>
      </c>
      <c r="BO111" s="270">
        <f t="shared" si="102"/>
        <v>170</v>
      </c>
      <c r="BP111" s="270">
        <f t="shared" si="103"/>
        <v>170</v>
      </c>
      <c r="BQ111" s="270">
        <f t="shared" si="104"/>
        <v>258.25753424657535</v>
      </c>
      <c r="BR111" s="270">
        <f t="shared" si="105"/>
        <v>121</v>
      </c>
      <c r="BS111" s="270">
        <f t="shared" si="106"/>
        <v>120</v>
      </c>
      <c r="BT111" s="270">
        <f t="shared" si="107"/>
        <v>120</v>
      </c>
      <c r="BU111" s="270">
        <f t="shared" si="108"/>
        <v>117</v>
      </c>
      <c r="BV111" s="270">
        <f t="shared" si="109"/>
        <v>115</v>
      </c>
      <c r="BW111" s="39">
        <f>VLOOKUP($A111,NetAdditions!$A$2:$H$336,6,FALSE)</f>
        <v>55</v>
      </c>
      <c r="BX111" s="39">
        <f>VLOOKUP($A111,NetAdditions!$A$2:$H$336,7,FALSE)</f>
        <v>135</v>
      </c>
      <c r="BY111" s="39">
        <f>IF((VLOOKUP($C111,NetAdditions!$A$2:$H$336,8,FALSE))="",(AVERAGE(VLOOKUP($C111,NetAdditions!$A$2:$H$336,5,FALSE),VLOOKUP($C111,NetAdditions!$A$2:$H$336,6,FALSE),VLOOKUP($C111,NetAdditions!$A$2:$H$336,7,FALSE))),VLOOKUP($C111,NetAdditions!$A$2:$H$336,8,FALSE))</f>
        <v>278</v>
      </c>
      <c r="BZ111" s="39">
        <f t="shared" si="110"/>
        <v>156</v>
      </c>
      <c r="CA111" s="39">
        <f t="shared" si="111"/>
        <v>189.66666666666666</v>
      </c>
      <c r="CB111" s="39">
        <f t="shared" si="112"/>
        <v>207.88888888888889</v>
      </c>
      <c r="CC111" s="39">
        <f t="shared" si="113"/>
        <v>184.5185185185185</v>
      </c>
      <c r="CD111" s="39">
        <f t="shared" si="114"/>
        <v>194.02469135802468</v>
      </c>
      <c r="CE111" s="276">
        <f t="shared" si="71"/>
        <v>598.25753424657535</v>
      </c>
      <c r="CF111" s="276">
        <f t="shared" si="72"/>
        <v>549.25753424657535</v>
      </c>
      <c r="CG111" s="276">
        <f t="shared" si="73"/>
        <v>499.25753424657535</v>
      </c>
      <c r="CH111" s="276">
        <f t="shared" si="74"/>
        <v>361</v>
      </c>
      <c r="CI111" s="276">
        <f t="shared" si="75"/>
        <v>357</v>
      </c>
      <c r="CJ111" s="276">
        <f t="shared" si="76"/>
        <v>352</v>
      </c>
      <c r="CK111" s="276">
        <f t="shared" si="115"/>
        <v>515.16621004566218</v>
      </c>
      <c r="CL111" s="276">
        <f t="shared" si="116"/>
        <v>472.97176560121767</v>
      </c>
      <c r="CM111" s="276">
        <f t="shared" si="117"/>
        <v>457.65273972602739</v>
      </c>
      <c r="CN111" s="276">
        <f t="shared" si="118"/>
        <v>361</v>
      </c>
      <c r="CO111" s="276">
        <f t="shared" si="119"/>
        <v>357</v>
      </c>
      <c r="CP111" s="276">
        <f t="shared" si="120"/>
        <v>352</v>
      </c>
      <c r="CQ111" s="39">
        <f t="shared" si="77"/>
        <v>468</v>
      </c>
      <c r="CR111" s="39">
        <f t="shared" si="78"/>
        <v>569</v>
      </c>
      <c r="CS111" s="277">
        <f t="shared" si="79"/>
        <v>623.66666666666663</v>
      </c>
      <c r="CT111" s="39">
        <f t="shared" si="80"/>
        <v>553.55555555555554</v>
      </c>
      <c r="CU111" s="39">
        <f t="shared" si="81"/>
        <v>582.07407407407402</v>
      </c>
      <c r="CV111" s="39">
        <f t="shared" si="121"/>
        <v>586.4320987654321</v>
      </c>
      <c r="CW111" s="297">
        <f t="shared" si="82"/>
        <v>0.90844467450324129</v>
      </c>
      <c r="CX111" s="279" t="str">
        <f t="shared" si="122"/>
        <v>Action Plan</v>
      </c>
      <c r="CY111" s="278">
        <f t="shared" si="83"/>
        <v>1.2030316424421574</v>
      </c>
      <c r="CZ111" s="279" t="str">
        <f t="shared" si="123"/>
        <v>Pass</v>
      </c>
      <c r="DA111" s="278">
        <f t="shared" si="84"/>
        <v>1.3627508644218387</v>
      </c>
      <c r="DB111" s="292" t="str">
        <f t="shared" si="124"/>
        <v>Pass</v>
      </c>
      <c r="DC111" s="299">
        <f t="shared" si="125"/>
        <v>1.533394890735611</v>
      </c>
      <c r="DD111" s="293" t="str">
        <f t="shared" si="126"/>
        <v>Pass</v>
      </c>
      <c r="DE111" s="299">
        <f t="shared" si="127"/>
        <v>1.6304595912439048</v>
      </c>
      <c r="DF111" s="293" t="str">
        <f t="shared" si="128"/>
        <v>Pass</v>
      </c>
      <c r="DG111" s="299">
        <f t="shared" si="129"/>
        <v>1.6660002805836138</v>
      </c>
      <c r="DH111" s="293" t="str">
        <f t="shared" si="130"/>
        <v>Pass</v>
      </c>
    </row>
    <row r="112" spans="1:112" ht="15" thickTop="1" thickBot="1">
      <c r="A112" s="38" t="s">
        <v>334</v>
      </c>
      <c r="B112" s="38" t="s">
        <v>335</v>
      </c>
      <c r="C112" s="38" t="s">
        <v>334</v>
      </c>
      <c r="D112" s="38" t="s">
        <v>113</v>
      </c>
      <c r="E112" s="38" t="str">
        <f>VLOOKUP(C112,PoliticalControl!A:K,11,FALSE)</f>
        <v>NOC</v>
      </c>
      <c r="F112" s="38" t="str">
        <f>VLOOKUP(C112,UrbanRuralClassification!A:N,13,FALSE)</f>
        <v>Urban with Major Conurbation</v>
      </c>
      <c r="G112" s="38" t="str">
        <f>VLOOKUP(C112,UrbanRuralClassification!A:N,14,FALSE)</f>
        <v>Predominantly Urban</v>
      </c>
      <c r="H112" s="258">
        <f>IF(ISBLANK((VLOOKUP($A112,'local-plan-data'!$C$1:$AD$566,27,FALSE)))=TRUE,"",VLOOKUP($A112,'local-plan-data'!$C$1:$AD$566,27,FALSE))</f>
        <v>41912</v>
      </c>
      <c r="I112" s="259">
        <f>VLOOKUP($A112,'local-plan-data'!$C$1:$AD$566,28,FALSE)</f>
        <v>362.94117647058823</v>
      </c>
      <c r="J112" s="260">
        <f t="shared" si="85"/>
        <v>362.94117647058823</v>
      </c>
      <c r="K112" s="259">
        <f t="shared" si="133"/>
        <v>362.94117647058823</v>
      </c>
      <c r="L112" s="259">
        <f t="shared" si="131"/>
        <v>362.94117647058823</v>
      </c>
      <c r="M112" s="259" t="str">
        <f t="shared" si="131"/>
        <v>-</v>
      </c>
      <c r="N112" s="259" t="str">
        <f t="shared" si="131"/>
        <v>-</v>
      </c>
      <c r="O112" s="259" t="str">
        <f t="shared" si="131"/>
        <v>-</v>
      </c>
      <c r="P112" s="259" t="str">
        <f t="shared" si="131"/>
        <v>-</v>
      </c>
      <c r="Q112" s="259" t="str">
        <f t="shared" si="131"/>
        <v>-</v>
      </c>
      <c r="R112" s="259" t="str">
        <f t="shared" si="131"/>
        <v>-</v>
      </c>
      <c r="S112" s="259">
        <f t="shared" si="134"/>
        <v>547</v>
      </c>
      <c r="T112" s="259">
        <f t="shared" si="132"/>
        <v>182</v>
      </c>
      <c r="U112" s="259">
        <f t="shared" si="132"/>
        <v>-184</v>
      </c>
      <c r="V112" s="259">
        <f t="shared" si="132"/>
        <v>-549</v>
      </c>
      <c r="W112" s="259">
        <f t="shared" si="132"/>
        <v>-914</v>
      </c>
      <c r="X112" s="259">
        <f t="shared" si="132"/>
        <v>-1279</v>
      </c>
      <c r="Y112" s="259">
        <f t="shared" si="132"/>
        <v>-1645</v>
      </c>
      <c r="Z112" s="259">
        <f t="shared" si="132"/>
        <v>-2010</v>
      </c>
      <c r="AA112" s="267">
        <f>(VLOOKUP(A112,Hshldprojections2014!$A$2:$AW$319,40, FALSE)-VLOOKUP(A112,Hshldprojections2014!$A$2:$AW$319,30, FALSE))/10</f>
        <v>513.6</v>
      </c>
      <c r="AB112" s="267">
        <f>(VLOOKUP(A112,Hshldprojections2014!$A$2:$AW$319,41, FALSE)-VLOOKUP(A112,Hshldprojections2014!$A$2:$AW$319,31, FALSE))/10</f>
        <v>510.7</v>
      </c>
      <c r="AC112" s="267">
        <f>(VLOOKUP(A112,Hshldprojections2014!$A$2:$AW$319,42, FALSE)-VLOOKUP(A112,Hshldprojections2014!$A$2:$AW$319,32, FALSE))/10</f>
        <v>508.4</v>
      </c>
      <c r="AD112" s="267">
        <f>IF(IndividualLATest!$J$7=2014,(VLOOKUP($A112,Hshldprojections2014!$A$2:$AY$326,43,FALSE)-VLOOKUP($A112,Hshldprojections2014!$A$2:$AY$326,33,FALSE))/10,IF(IndividualLATest!$J$7=2016,(VLOOKUP($A112,Hshldprojections2016!$A$1:$AQ$322,33,FALSE)-VLOOKUP($A112,Hshldprojections2016!$A$1:$AQ$322,23,FALSE))/10,(VLOOKUP($A112,Hshldprojections2018!$A$1:$AQ$327,33,FALSE)-VLOOKUP($A112,Hshldprojections2018!$A$1:$AQ$327,23,FALSE))/10))</f>
        <v>148.4</v>
      </c>
      <c r="AE112" s="267">
        <f>IF(IndividualLATest!$J$7=2014,(VLOOKUP($A112,Hshldprojections2014!$A$2:$AY$326,44,FALSE)-VLOOKUP($A112,Hshldprojections2014!$A$2:$AY$326,34,FALSE))/10,IF(IndividualLATest!$J$7=2016,(VLOOKUP($A112,Hshldprojections2016!$A$1:$AQ$322,34,FALSE)-VLOOKUP($A112,Hshldprojections2016!$A$1:$AQ$322,24,FALSE))/10,(VLOOKUP($A112,Hshldprojections2018!$A$1:$AQ$327,34,FALSE)-VLOOKUP($A112,Hshldprojections2018!$A$1:$AQ$327,24,FALSE))/10))</f>
        <v>152.19999999999999</v>
      </c>
      <c r="AF112" s="267">
        <f>IF(IndividualLATest!$J$7=2014,(VLOOKUP($A112,Hshldprojections2014!$A$2:$AY$326,45,FALSE)-VLOOKUP($A112,Hshldprojections2014!$A$2:$AY$326,35,FALSE))/10,IF(IndividualLATest!$J$7=2016,(VLOOKUP($A112,Hshldprojections2016!$A$1:$AQ$322,35,FALSE)-VLOOKUP($A112,Hshldprojections2016!$A$1:$AQ$322,25,FALSE))/10,(VLOOKUP($A112,Hshldprojections2018!$A$1:$AQ$327,35,FALSE)-VLOOKUP($A112,Hshldprojections2018!$A$1:$AQ$327,25,FALSE))/10))</f>
        <v>156.80000000000001</v>
      </c>
      <c r="AG112" s="267">
        <f>IF(IndividualLATest!$J$7=2014,(VLOOKUP($A112,Hshldprojections2014!$A$2:$AY$326,46,FALSE)-VLOOKUP($A112,Hshldprojections2014!$A$2:$AY$326,36,FALSE))/10,IF(IndividualLATest!$J$7=2016,(VLOOKUP($A112,Hshldprojections2016!$A$1:$AQ$322,36,FALSE)-VLOOKUP($A112,Hshldprojections2016!$A$1:$AQ$322,26,FALSE))/10,(VLOOKUP($A112,Hshldprojections2018!$A$1:$AQ$327,36,FALSE)-VLOOKUP($A112,Hshldprojections2018!$A$1:$AQ$327,26,FALSE))/10))</f>
        <v>161.69999999999999</v>
      </c>
      <c r="AH112" s="267">
        <f>IF(IndividualLATest!$J$7=2014,(VLOOKUP($A112,Hshldprojections2014!$A$2:$AY$326,47,FALSE)-VLOOKUP($A112,Hshldprojections2014!$A$2:$AY$326,37,FALSE))/10,IF(IndividualLATest!$J$7=2016,(VLOOKUP($A112,Hshldprojections2016!$A$1:$AQ$322,37,FALSE)-VLOOKUP($A112,Hshldprojections2016!$A$1:$AQ$322,27,FALSE))/10,(VLOOKUP($A112,Hshldprojections2018!$A$1:$AQ$327,37,FALSE)-VLOOKUP($A112,Hshldprojections2018!$A$1:$AQ$327,27,FALSE))/10))</f>
        <v>167</v>
      </c>
      <c r="AI112" s="268">
        <f>VLOOKUP($A112,AffordabilityRatio!$A$2:$I$321,5,FALSE)</f>
        <v>9.41</v>
      </c>
      <c r="AJ112" s="268">
        <f>VLOOKUP($A112,AffordabilityRatio!$A$2:$I$321,6,FALSE)</f>
        <v>9.83</v>
      </c>
      <c r="AK112" s="268">
        <f>VLOOKUP($A112,AffordabilityRatio!$A$2:$I$321,7,FALSE)</f>
        <v>8.65</v>
      </c>
      <c r="AL112" s="268">
        <f>IF((VLOOKUP($A112,AffordabilityRatio!$A$2:$I$321,8,FALSE))="",AK112,VLOOKUP($A112,AffordabilityRatio!$A$2:$I$321,8,FALSE))</f>
        <v>8.65</v>
      </c>
      <c r="AM112" s="268">
        <f>IF((VLOOKUP($A112,AffordabilityRatio!$A$2:$I$321,9,FALSE))="",AL112,VLOOKUP($A112,AffordabilityRatio!$A$2:$I$321,9,FALSE))</f>
        <v>10.9</v>
      </c>
      <c r="AN112" s="268">
        <f>IF((VLOOKUP($A112,AffordabilityRatio!$A$2:$I$321,9,FALSE))="",AM112,VLOOKUP($A112,AffordabilityRatio!$A$2:$I$321,9,FALSE))</f>
        <v>10.9</v>
      </c>
      <c r="AO112" s="268">
        <f>IF((VLOOKUP($A112,AffordabilityRatio!$A$2:$I$321,9,FALSE))="",AN112,VLOOKUP($A112,AffordabilityRatio!$A$2:$I$321,9,FALSE))</f>
        <v>10.9</v>
      </c>
      <c r="AP112" s="268">
        <f>IF((VLOOKUP($A112,AffordabilityRatio!$A$2:$I$321,9,FALSE))="",AO112,VLOOKUP($A112,AffordabilityRatio!$A$2:$I$321,9,FALSE))</f>
        <v>10.9</v>
      </c>
      <c r="AQ112" s="267">
        <f t="shared" si="86"/>
        <v>687</v>
      </c>
      <c r="AR112" s="267">
        <f t="shared" si="87"/>
        <v>697</v>
      </c>
      <c r="AS112" s="267">
        <f t="shared" si="88"/>
        <v>656</v>
      </c>
      <c r="AT112" s="267">
        <f t="shared" si="89"/>
        <v>192</v>
      </c>
      <c r="AU112" s="267">
        <f t="shared" si="90"/>
        <v>218</v>
      </c>
      <c r="AV112" s="267">
        <f t="shared" si="91"/>
        <v>224</v>
      </c>
      <c r="AW112" s="267">
        <f t="shared" si="92"/>
        <v>231</v>
      </c>
      <c r="AX112" s="267">
        <f t="shared" si="93"/>
        <v>239</v>
      </c>
      <c r="AY112" s="267">
        <f t="shared" si="94"/>
        <v>508.11764705882354</v>
      </c>
      <c r="AZ112" s="267">
        <f t="shared" si="95"/>
        <v>508.11764705882354</v>
      </c>
      <c r="BA112" s="267">
        <f t="shared" si="96"/>
        <v>656</v>
      </c>
      <c r="BB112" s="267">
        <f t="shared" si="97"/>
        <v>192</v>
      </c>
      <c r="BC112" s="267">
        <f t="shared" si="98"/>
        <v>218</v>
      </c>
      <c r="BD112" s="267">
        <f t="shared" si="99"/>
        <v>224</v>
      </c>
      <c r="BE112" s="267">
        <f t="shared" si="100"/>
        <v>231</v>
      </c>
      <c r="BF112" s="267">
        <f t="shared" si="101"/>
        <v>239</v>
      </c>
      <c r="BG112" s="269">
        <f>AY112*VLOOKUP($B112,'Major Cities &amp; Towns'!$A$28:$B$345,2,FALSE)</f>
        <v>508.11764705882354</v>
      </c>
      <c r="BH112" s="269">
        <f>AZ112*VLOOKUP($B112,'Major Cities &amp; Towns'!$A$28:$B$345,2,FALSE)</f>
        <v>508.11764705882354</v>
      </c>
      <c r="BI112" s="269">
        <f>BA112*VLOOKUP($B112,'Major Cities &amp; Towns'!$A$28:$B$345,2,FALSE)</f>
        <v>656</v>
      </c>
      <c r="BJ112" s="269">
        <f>BB112*VLOOKUP($B112,'Major Cities &amp; Towns'!$A$28:$B$345,2,FALSE)</f>
        <v>192</v>
      </c>
      <c r="BK112" s="269">
        <f>BC112*VLOOKUP($B112,'Major Cities &amp; Towns'!$A$28:$B$345,2,FALSE)</f>
        <v>218</v>
      </c>
      <c r="BL112" s="269">
        <f>BD112*VLOOKUP($B112,'Major Cities &amp; Towns'!$A$28:$B$345,2,FALSE)</f>
        <v>224</v>
      </c>
      <c r="BM112" s="269">
        <f>BE112*VLOOKUP($B112,'Major Cities &amp; Towns'!$A$28:$B$345,2,FALSE)</f>
        <v>231</v>
      </c>
      <c r="BN112" s="269">
        <f>BF112*VLOOKUP($B112,'Major Cities &amp; Towns'!$A$28:$B$345,2,FALSE)</f>
        <v>239</v>
      </c>
      <c r="BO112" s="270">
        <f t="shared" si="102"/>
        <v>362.94117647058823</v>
      </c>
      <c r="BP112" s="270">
        <f t="shared" si="103"/>
        <v>530.4282030620468</v>
      </c>
      <c r="BQ112" s="270">
        <f t="shared" si="104"/>
        <v>656</v>
      </c>
      <c r="BR112" s="270">
        <f t="shared" si="105"/>
        <v>192</v>
      </c>
      <c r="BS112" s="270">
        <f t="shared" si="106"/>
        <v>218</v>
      </c>
      <c r="BT112" s="270">
        <f t="shared" si="107"/>
        <v>224</v>
      </c>
      <c r="BU112" s="270">
        <f t="shared" si="108"/>
        <v>231</v>
      </c>
      <c r="BV112" s="270">
        <f t="shared" si="109"/>
        <v>239</v>
      </c>
      <c r="BW112" s="39">
        <f>VLOOKUP($A112,NetAdditions!$A$2:$H$336,6,FALSE)</f>
        <v>292</v>
      </c>
      <c r="BX112" s="39">
        <f>VLOOKUP($A112,NetAdditions!$A$2:$H$336,7,FALSE)</f>
        <v>164</v>
      </c>
      <c r="BY112" s="39">
        <f>IF((VLOOKUP($C112,NetAdditions!$A$2:$H$336,8,FALSE))="",(AVERAGE(VLOOKUP($C112,NetAdditions!$A$2:$H$336,5,FALSE),VLOOKUP($C112,NetAdditions!$A$2:$H$336,6,FALSE),VLOOKUP($C112,NetAdditions!$A$2:$H$336,7,FALSE))),VLOOKUP($C112,NetAdditions!$A$2:$H$336,8,FALSE))</f>
        <v>240</v>
      </c>
      <c r="BZ112" s="39">
        <f t="shared" si="110"/>
        <v>232</v>
      </c>
      <c r="CA112" s="39">
        <f t="shared" si="111"/>
        <v>212</v>
      </c>
      <c r="CB112" s="39">
        <f t="shared" si="112"/>
        <v>228</v>
      </c>
      <c r="CC112" s="39">
        <f t="shared" si="113"/>
        <v>224</v>
      </c>
      <c r="CD112" s="39">
        <f t="shared" si="114"/>
        <v>221.33333333333334</v>
      </c>
      <c r="CE112" s="276">
        <f t="shared" si="71"/>
        <v>1549.3693795326351</v>
      </c>
      <c r="CF112" s="276">
        <f t="shared" si="72"/>
        <v>1378.4282030620468</v>
      </c>
      <c r="CG112" s="276">
        <f t="shared" si="73"/>
        <v>1066</v>
      </c>
      <c r="CH112" s="276">
        <f t="shared" si="74"/>
        <v>634</v>
      </c>
      <c r="CI112" s="276">
        <f t="shared" si="75"/>
        <v>673</v>
      </c>
      <c r="CJ112" s="276">
        <f t="shared" si="76"/>
        <v>694</v>
      </c>
      <c r="CK112" s="276">
        <f t="shared" si="115"/>
        <v>1334.1791879308803</v>
      </c>
      <c r="CL112" s="276">
        <f t="shared" si="116"/>
        <v>1186.9798415256514</v>
      </c>
      <c r="CM112" s="276">
        <f t="shared" si="117"/>
        <v>977.16666666666663</v>
      </c>
      <c r="CN112" s="276">
        <f t="shared" si="118"/>
        <v>634</v>
      </c>
      <c r="CO112" s="276">
        <f t="shared" si="119"/>
        <v>673</v>
      </c>
      <c r="CP112" s="276">
        <f t="shared" si="120"/>
        <v>694</v>
      </c>
      <c r="CQ112" s="39">
        <f t="shared" si="77"/>
        <v>696</v>
      </c>
      <c r="CR112" s="39">
        <f t="shared" si="78"/>
        <v>636</v>
      </c>
      <c r="CS112" s="277">
        <f t="shared" si="79"/>
        <v>684</v>
      </c>
      <c r="CT112" s="39">
        <f t="shared" si="80"/>
        <v>672</v>
      </c>
      <c r="CU112" s="39">
        <f t="shared" si="81"/>
        <v>664</v>
      </c>
      <c r="CV112" s="39">
        <f t="shared" si="121"/>
        <v>673.33333333333337</v>
      </c>
      <c r="CW112" s="297">
        <f t="shared" si="82"/>
        <v>0.52166905787175089</v>
      </c>
      <c r="CX112" s="279" t="str">
        <f t="shared" si="122"/>
        <v>Buffer and Action Plan</v>
      </c>
      <c r="CY112" s="278">
        <f t="shared" si="83"/>
        <v>0.53581364885062843</v>
      </c>
      <c r="CZ112" s="279" t="str">
        <f t="shared" si="123"/>
        <v>Buffer and Action Plan</v>
      </c>
      <c r="DA112" s="278">
        <f t="shared" si="84"/>
        <v>0.69998294388538296</v>
      </c>
      <c r="DB112" s="292" t="str">
        <f t="shared" si="124"/>
        <v>Presumption</v>
      </c>
      <c r="DC112" s="299">
        <f t="shared" si="125"/>
        <v>1.0599369085173502</v>
      </c>
      <c r="DD112" s="293" t="str">
        <f t="shared" si="126"/>
        <v>Pass</v>
      </c>
      <c r="DE112" s="299">
        <f t="shared" si="127"/>
        <v>0.98662704309063898</v>
      </c>
      <c r="DF112" s="293" t="str">
        <f t="shared" si="128"/>
        <v>Pass</v>
      </c>
      <c r="DG112" s="299">
        <f t="shared" si="129"/>
        <v>0.97022094140249771</v>
      </c>
      <c r="DH112" s="293" t="str">
        <f t="shared" si="130"/>
        <v>Pass</v>
      </c>
    </row>
    <row r="113" spans="1:112" ht="15" thickTop="1" thickBot="1">
      <c r="A113" s="38" t="s">
        <v>336</v>
      </c>
      <c r="B113" s="38" t="s">
        <v>337</v>
      </c>
      <c r="C113" s="38" t="s">
        <v>336</v>
      </c>
      <c r="D113" s="38" t="s">
        <v>128</v>
      </c>
      <c r="E113" s="38" t="str">
        <f>VLOOKUP(C113,PoliticalControl!A:K,11,FALSE)</f>
        <v>CON</v>
      </c>
      <c r="F113" s="38" t="str">
        <f>VLOOKUP(C113,UrbanRuralClassification!A:N,13,FALSE)</f>
        <v>Urban with Significant Rural (rural including hub towns 26-49%)</v>
      </c>
      <c r="G113" s="38" t="str">
        <f>VLOOKUP(C113,UrbanRuralClassification!A:N,14,FALSE)</f>
        <v>Urban with Significant Rural</v>
      </c>
      <c r="H113" s="258">
        <f>IF(ISBLANK((VLOOKUP($A113,'local-plan-data'!$C$1:$AD$566,27,FALSE)))=TRUE,"",VLOOKUP($A113,'local-plan-data'!$C$1:$AD$566,27,FALSE))</f>
        <v>42359</v>
      </c>
      <c r="I113" s="259">
        <f>VLOOKUP($A113,'local-plan-data'!$C$1:$AD$566,28,FALSE)</f>
        <v>420</v>
      </c>
      <c r="J113" s="260">
        <f t="shared" si="85"/>
        <v>420</v>
      </c>
      <c r="K113" s="259">
        <f t="shared" si="133"/>
        <v>420</v>
      </c>
      <c r="L113" s="259">
        <f t="shared" si="131"/>
        <v>420</v>
      </c>
      <c r="M113" s="259">
        <f t="shared" si="131"/>
        <v>420</v>
      </c>
      <c r="N113" s="259" t="str">
        <f t="shared" si="131"/>
        <v>-</v>
      </c>
      <c r="O113" s="259" t="str">
        <f t="shared" si="131"/>
        <v>-</v>
      </c>
      <c r="P113" s="259" t="str">
        <f t="shared" si="131"/>
        <v>-</v>
      </c>
      <c r="Q113" s="259" t="str">
        <f t="shared" si="131"/>
        <v>-</v>
      </c>
      <c r="R113" s="259" t="str">
        <f t="shared" si="131"/>
        <v>-</v>
      </c>
      <c r="S113" s="259">
        <f t="shared" si="134"/>
        <v>995</v>
      </c>
      <c r="T113" s="259">
        <f t="shared" si="132"/>
        <v>630</v>
      </c>
      <c r="U113" s="259">
        <f t="shared" si="132"/>
        <v>264</v>
      </c>
      <c r="V113" s="259">
        <f t="shared" si="132"/>
        <v>-101</v>
      </c>
      <c r="W113" s="259">
        <f t="shared" si="132"/>
        <v>-466</v>
      </c>
      <c r="X113" s="259">
        <f t="shared" si="132"/>
        <v>-831</v>
      </c>
      <c r="Y113" s="259">
        <f t="shared" si="132"/>
        <v>-1197</v>
      </c>
      <c r="Z113" s="259">
        <f t="shared" si="132"/>
        <v>-1562</v>
      </c>
      <c r="AA113" s="267">
        <f>(VLOOKUP(A113,Hshldprojections2014!$A$2:$AW$319,40, FALSE)-VLOOKUP(A113,Hshldprojections2014!$A$2:$AW$319,30, FALSE))/10</f>
        <v>316.60000000000002</v>
      </c>
      <c r="AB113" s="267">
        <f>(VLOOKUP(A113,Hshldprojections2014!$A$2:$AW$319,41, FALSE)-VLOOKUP(A113,Hshldprojections2014!$A$2:$AW$319,31, FALSE))/10</f>
        <v>313.60000000000002</v>
      </c>
      <c r="AC113" s="267">
        <f>(VLOOKUP(A113,Hshldprojections2014!$A$2:$AW$319,42, FALSE)-VLOOKUP(A113,Hshldprojections2014!$A$2:$AW$319,32, FALSE))/10</f>
        <v>312</v>
      </c>
      <c r="AD113" s="267">
        <f>IF(IndividualLATest!$J$7=2014,(VLOOKUP($A113,Hshldprojections2014!$A$2:$AY$326,43,FALSE)-VLOOKUP($A113,Hshldprojections2014!$A$2:$AY$326,33,FALSE))/10,IF(IndividualLATest!$J$7=2016,(VLOOKUP($A113,Hshldprojections2016!$A$1:$AQ$322,33,FALSE)-VLOOKUP($A113,Hshldprojections2016!$A$1:$AQ$322,23,FALSE))/10,(VLOOKUP($A113,Hshldprojections2018!$A$1:$AQ$327,33,FALSE)-VLOOKUP($A113,Hshldprojections2018!$A$1:$AQ$327,23,FALSE))/10))</f>
        <v>266.7</v>
      </c>
      <c r="AE113" s="267">
        <f>IF(IndividualLATest!$J$7=2014,(VLOOKUP($A113,Hshldprojections2014!$A$2:$AY$326,44,FALSE)-VLOOKUP($A113,Hshldprojections2014!$A$2:$AY$326,34,FALSE))/10,IF(IndividualLATest!$J$7=2016,(VLOOKUP($A113,Hshldprojections2016!$A$1:$AQ$322,34,FALSE)-VLOOKUP($A113,Hshldprojections2016!$A$1:$AQ$322,24,FALSE))/10,(VLOOKUP($A113,Hshldprojections2018!$A$1:$AQ$327,34,FALSE)-VLOOKUP($A113,Hshldprojections2018!$A$1:$AQ$327,24,FALSE))/10))</f>
        <v>264.60000000000002</v>
      </c>
      <c r="AF113" s="267">
        <f>IF(IndividualLATest!$J$7=2014,(VLOOKUP($A113,Hshldprojections2014!$A$2:$AY$326,45,FALSE)-VLOOKUP($A113,Hshldprojections2014!$A$2:$AY$326,35,FALSE))/10,IF(IndividualLATest!$J$7=2016,(VLOOKUP($A113,Hshldprojections2016!$A$1:$AQ$322,35,FALSE)-VLOOKUP($A113,Hshldprojections2016!$A$1:$AQ$322,25,FALSE))/10,(VLOOKUP($A113,Hshldprojections2018!$A$1:$AQ$327,35,FALSE)-VLOOKUP($A113,Hshldprojections2018!$A$1:$AQ$327,25,FALSE))/10))</f>
        <v>265.60000000000002</v>
      </c>
      <c r="AG113" s="267">
        <f>IF(IndividualLATest!$J$7=2014,(VLOOKUP($A113,Hshldprojections2014!$A$2:$AY$326,46,FALSE)-VLOOKUP($A113,Hshldprojections2014!$A$2:$AY$326,36,FALSE))/10,IF(IndividualLATest!$J$7=2016,(VLOOKUP($A113,Hshldprojections2016!$A$1:$AQ$322,36,FALSE)-VLOOKUP($A113,Hshldprojections2016!$A$1:$AQ$322,26,FALSE))/10,(VLOOKUP($A113,Hshldprojections2018!$A$1:$AQ$327,36,FALSE)-VLOOKUP($A113,Hshldprojections2018!$A$1:$AQ$327,26,FALSE))/10))</f>
        <v>264.60000000000002</v>
      </c>
      <c r="AH113" s="267">
        <f>IF(IndividualLATest!$J$7=2014,(VLOOKUP($A113,Hshldprojections2014!$A$2:$AY$326,47,FALSE)-VLOOKUP($A113,Hshldprojections2014!$A$2:$AY$326,37,FALSE))/10,IF(IndividualLATest!$J$7=2016,(VLOOKUP($A113,Hshldprojections2016!$A$1:$AQ$322,37,FALSE)-VLOOKUP($A113,Hshldprojections2016!$A$1:$AQ$322,27,FALSE))/10,(VLOOKUP($A113,Hshldprojections2018!$A$1:$AQ$327,37,FALSE)-VLOOKUP($A113,Hshldprojections2018!$A$1:$AQ$327,27,FALSE))/10))</f>
        <v>265.7</v>
      </c>
      <c r="AI113" s="268">
        <f>VLOOKUP($A113,AffordabilityRatio!$A$2:$I$321,5,FALSE)</f>
        <v>6.43</v>
      </c>
      <c r="AJ113" s="268">
        <f>VLOOKUP($A113,AffordabilityRatio!$A$2:$I$321,6,FALSE)</f>
        <v>6.38</v>
      </c>
      <c r="AK113" s="268">
        <f>VLOOKUP($A113,AffordabilityRatio!$A$2:$I$321,7,FALSE)</f>
        <v>6.33</v>
      </c>
      <c r="AL113" s="268">
        <f>IF((VLOOKUP($A113,AffordabilityRatio!$A$2:$I$321,8,FALSE))="",AK113,VLOOKUP($A113,AffordabilityRatio!$A$2:$I$321,8,FALSE))</f>
        <v>6.34</v>
      </c>
      <c r="AM113" s="268">
        <f>IF((VLOOKUP($A113,AffordabilityRatio!$A$2:$I$321,9,FALSE))="",AL113,VLOOKUP($A113,AffordabilityRatio!$A$2:$I$321,9,FALSE))</f>
        <v>6.74</v>
      </c>
      <c r="AN113" s="268">
        <f>IF((VLOOKUP($A113,AffordabilityRatio!$A$2:$I$321,9,FALSE))="",AM113,VLOOKUP($A113,AffordabilityRatio!$A$2:$I$321,9,FALSE))</f>
        <v>6.74</v>
      </c>
      <c r="AO113" s="268">
        <f>IF((VLOOKUP($A113,AffordabilityRatio!$A$2:$I$321,9,FALSE))="",AN113,VLOOKUP($A113,AffordabilityRatio!$A$2:$I$321,9,FALSE))</f>
        <v>6.74</v>
      </c>
      <c r="AP113" s="268">
        <f>IF((VLOOKUP($A113,AffordabilityRatio!$A$2:$I$321,9,FALSE))="",AO113,VLOOKUP($A113,AffordabilityRatio!$A$2:$I$321,9,FALSE))</f>
        <v>6.74</v>
      </c>
      <c r="AQ113" s="267">
        <f t="shared" si="86"/>
        <v>365</v>
      </c>
      <c r="AR113" s="267">
        <f t="shared" si="87"/>
        <v>360</v>
      </c>
      <c r="AS113" s="267">
        <f t="shared" si="88"/>
        <v>357</v>
      </c>
      <c r="AT113" s="267">
        <f t="shared" si="89"/>
        <v>306</v>
      </c>
      <c r="AU113" s="267">
        <f t="shared" si="90"/>
        <v>310</v>
      </c>
      <c r="AV113" s="267">
        <f t="shared" si="91"/>
        <v>311</v>
      </c>
      <c r="AW113" s="267">
        <f t="shared" si="92"/>
        <v>310</v>
      </c>
      <c r="AX113" s="267">
        <f t="shared" si="93"/>
        <v>311</v>
      </c>
      <c r="AY113" s="267">
        <f t="shared" si="94"/>
        <v>365</v>
      </c>
      <c r="AZ113" s="267">
        <f t="shared" si="95"/>
        <v>360</v>
      </c>
      <c r="BA113" s="267">
        <f t="shared" si="96"/>
        <v>357</v>
      </c>
      <c r="BB113" s="267">
        <f t="shared" si="97"/>
        <v>306</v>
      </c>
      <c r="BC113" s="267">
        <f t="shared" si="98"/>
        <v>310</v>
      </c>
      <c r="BD113" s="267">
        <f t="shared" si="99"/>
        <v>311</v>
      </c>
      <c r="BE113" s="267">
        <f t="shared" si="100"/>
        <v>310</v>
      </c>
      <c r="BF113" s="267">
        <f t="shared" si="101"/>
        <v>311</v>
      </c>
      <c r="BG113" s="269">
        <f>AY113*VLOOKUP($B113,'Major Cities &amp; Towns'!$A$28:$B$345,2,FALSE)</f>
        <v>365</v>
      </c>
      <c r="BH113" s="269">
        <f>AZ113*VLOOKUP($B113,'Major Cities &amp; Towns'!$A$28:$B$345,2,FALSE)</f>
        <v>360</v>
      </c>
      <c r="BI113" s="269">
        <f>BA113*VLOOKUP($B113,'Major Cities &amp; Towns'!$A$28:$B$345,2,FALSE)</f>
        <v>357</v>
      </c>
      <c r="BJ113" s="269">
        <f>BB113*VLOOKUP($B113,'Major Cities &amp; Towns'!$A$28:$B$345,2,FALSE)</f>
        <v>306</v>
      </c>
      <c r="BK113" s="269">
        <f>BC113*VLOOKUP($B113,'Major Cities &amp; Towns'!$A$28:$B$345,2,FALSE)</f>
        <v>310</v>
      </c>
      <c r="BL113" s="269">
        <f>BD113*VLOOKUP($B113,'Major Cities &amp; Towns'!$A$28:$B$345,2,FALSE)</f>
        <v>311</v>
      </c>
      <c r="BM113" s="269">
        <f>BE113*VLOOKUP($B113,'Major Cities &amp; Towns'!$A$28:$B$345,2,FALSE)</f>
        <v>310</v>
      </c>
      <c r="BN113" s="269">
        <f>BF113*VLOOKUP($B113,'Major Cities &amp; Towns'!$A$28:$B$345,2,FALSE)</f>
        <v>311</v>
      </c>
      <c r="BO113" s="270">
        <f t="shared" si="102"/>
        <v>365</v>
      </c>
      <c r="BP113" s="270">
        <f t="shared" si="103"/>
        <v>360</v>
      </c>
      <c r="BQ113" s="270">
        <f t="shared" si="104"/>
        <v>357</v>
      </c>
      <c r="BR113" s="270">
        <f t="shared" si="105"/>
        <v>306</v>
      </c>
      <c r="BS113" s="270">
        <f t="shared" si="106"/>
        <v>310</v>
      </c>
      <c r="BT113" s="270">
        <f t="shared" si="107"/>
        <v>311</v>
      </c>
      <c r="BU113" s="270">
        <f t="shared" si="108"/>
        <v>310</v>
      </c>
      <c r="BV113" s="270">
        <f t="shared" si="109"/>
        <v>311</v>
      </c>
      <c r="BW113" s="39">
        <f>VLOOKUP($A113,NetAdditions!$A$2:$H$336,6,FALSE)</f>
        <v>328</v>
      </c>
      <c r="BX113" s="39">
        <f>VLOOKUP($A113,NetAdditions!$A$2:$H$336,7,FALSE)</f>
        <v>382</v>
      </c>
      <c r="BY113" s="39">
        <f>IF((VLOOKUP($C113,NetAdditions!$A$2:$H$336,8,FALSE))="",(AVERAGE(VLOOKUP($C113,NetAdditions!$A$2:$H$336,5,FALSE),VLOOKUP($C113,NetAdditions!$A$2:$H$336,6,FALSE),VLOOKUP($C113,NetAdditions!$A$2:$H$336,7,FALSE))),VLOOKUP($C113,NetAdditions!$A$2:$H$336,8,FALSE))</f>
        <v>436</v>
      </c>
      <c r="BZ113" s="39">
        <f t="shared" si="110"/>
        <v>382</v>
      </c>
      <c r="CA113" s="39">
        <f t="shared" si="111"/>
        <v>400</v>
      </c>
      <c r="CB113" s="39">
        <f t="shared" si="112"/>
        <v>406</v>
      </c>
      <c r="CC113" s="39">
        <f t="shared" si="113"/>
        <v>396</v>
      </c>
      <c r="CD113" s="39">
        <f t="shared" si="114"/>
        <v>400.66666666666669</v>
      </c>
      <c r="CE113" s="276">
        <f t="shared" si="71"/>
        <v>1082</v>
      </c>
      <c r="CF113" s="276">
        <f t="shared" si="72"/>
        <v>1023</v>
      </c>
      <c r="CG113" s="276">
        <f t="shared" si="73"/>
        <v>973</v>
      </c>
      <c r="CH113" s="276">
        <f t="shared" si="74"/>
        <v>927</v>
      </c>
      <c r="CI113" s="276">
        <f t="shared" si="75"/>
        <v>931</v>
      </c>
      <c r="CJ113" s="276">
        <f t="shared" si="76"/>
        <v>932</v>
      </c>
      <c r="CK113" s="276">
        <f t="shared" si="115"/>
        <v>931.72222222222229</v>
      </c>
      <c r="CL113" s="276">
        <f t="shared" si="116"/>
        <v>880.91666666666674</v>
      </c>
      <c r="CM113" s="276">
        <f t="shared" si="117"/>
        <v>891.91666666666663</v>
      </c>
      <c r="CN113" s="276">
        <f t="shared" si="118"/>
        <v>927</v>
      </c>
      <c r="CO113" s="276">
        <f t="shared" si="119"/>
        <v>931</v>
      </c>
      <c r="CP113" s="276">
        <f t="shared" si="120"/>
        <v>932</v>
      </c>
      <c r="CQ113" s="39">
        <f t="shared" si="77"/>
        <v>1146</v>
      </c>
      <c r="CR113" s="39">
        <f t="shared" si="78"/>
        <v>1200</v>
      </c>
      <c r="CS113" s="277">
        <f t="shared" si="79"/>
        <v>1218</v>
      </c>
      <c r="CT113" s="39">
        <f t="shared" si="80"/>
        <v>1188</v>
      </c>
      <c r="CU113" s="39">
        <f t="shared" si="81"/>
        <v>1202</v>
      </c>
      <c r="CV113" s="39">
        <f t="shared" si="121"/>
        <v>1202.6666666666667</v>
      </c>
      <c r="CW113" s="297">
        <f t="shared" si="82"/>
        <v>1.2299803231769124</v>
      </c>
      <c r="CX113" s="279" t="str">
        <f t="shared" si="122"/>
        <v>Pass</v>
      </c>
      <c r="CY113" s="278">
        <f t="shared" si="83"/>
        <v>1.3622173871913725</v>
      </c>
      <c r="CZ113" s="279" t="str">
        <f t="shared" si="123"/>
        <v>Pass</v>
      </c>
      <c r="DA113" s="278">
        <f t="shared" si="84"/>
        <v>1.3655984303466318</v>
      </c>
      <c r="DB113" s="292" t="str">
        <f t="shared" si="124"/>
        <v>Pass</v>
      </c>
      <c r="DC113" s="299">
        <f t="shared" si="125"/>
        <v>1.2815533980582525</v>
      </c>
      <c r="DD113" s="293" t="str">
        <f t="shared" si="126"/>
        <v>Pass</v>
      </c>
      <c r="DE113" s="299">
        <f t="shared" si="127"/>
        <v>1.2910848549946294</v>
      </c>
      <c r="DF113" s="293" t="str">
        <f t="shared" si="128"/>
        <v>Pass</v>
      </c>
      <c r="DG113" s="299">
        <f t="shared" si="129"/>
        <v>1.2904148783977112</v>
      </c>
      <c r="DH113" s="293" t="str">
        <f t="shared" si="130"/>
        <v>Pass</v>
      </c>
    </row>
    <row r="114" spans="1:112" customFormat="1" ht="15.5" thickTop="1" thickBot="1">
      <c r="A114" s="3" t="s">
        <v>338</v>
      </c>
      <c r="B114" s="3" t="s">
        <v>339</v>
      </c>
      <c r="C114" s="3" t="s">
        <v>338</v>
      </c>
      <c r="D114" s="3" t="s">
        <v>131</v>
      </c>
      <c r="E114" s="3" t="str">
        <f>VLOOKUP(C114,PoliticalControl!A:K,11,FALSE)</f>
        <v>LAB</v>
      </c>
      <c r="F114" s="3" t="str">
        <f>VLOOKUP(C114,UrbanRuralClassification!A:N,13,FALSE)</f>
        <v>Urban with Major Conurbation</v>
      </c>
      <c r="G114" s="3" t="str">
        <f>VLOOKUP(C114,UrbanRuralClassification!A:N,14,FALSE)</f>
        <v>Predominantly Urban</v>
      </c>
      <c r="H114" s="262">
        <f>IF(ISBLANK((VLOOKUP($A114,'local-plan-data'!$C$1:$AD$566,27,FALSE)))=TRUE,"",VLOOKUP($A114,'local-plan-data'!$C$1:$AD$566,27,FALSE))</f>
        <v>41850</v>
      </c>
      <c r="I114" s="263">
        <f>VLOOKUP($A114,'local-plan-data'!$C$1:$AD$566,28,FALSE)</f>
        <v>2595</v>
      </c>
      <c r="J114" s="264">
        <f t="shared" si="85"/>
        <v>2595</v>
      </c>
      <c r="K114" s="259">
        <f t="shared" si="133"/>
        <v>2595</v>
      </c>
      <c r="L114" s="259">
        <f t="shared" si="131"/>
        <v>2595</v>
      </c>
      <c r="M114" s="259" t="str">
        <f t="shared" si="131"/>
        <v>-</v>
      </c>
      <c r="N114" s="259" t="str">
        <f t="shared" si="131"/>
        <v>-</v>
      </c>
      <c r="O114" s="259" t="str">
        <f t="shared" si="131"/>
        <v>-</v>
      </c>
      <c r="P114" s="259" t="str">
        <f t="shared" si="131"/>
        <v>-</v>
      </c>
      <c r="Q114" s="259" t="str">
        <f t="shared" si="131"/>
        <v>-</v>
      </c>
      <c r="R114" s="259" t="str">
        <f t="shared" si="131"/>
        <v>-</v>
      </c>
      <c r="S114" s="259">
        <f t="shared" si="134"/>
        <v>485</v>
      </c>
      <c r="T114" s="259">
        <f t="shared" si="132"/>
        <v>120</v>
      </c>
      <c r="U114" s="259">
        <f t="shared" si="132"/>
        <v>-246</v>
      </c>
      <c r="V114" s="259">
        <f t="shared" si="132"/>
        <v>-611</v>
      </c>
      <c r="W114" s="259">
        <f t="shared" si="132"/>
        <v>-976</v>
      </c>
      <c r="X114" s="259">
        <f t="shared" si="132"/>
        <v>-1341</v>
      </c>
      <c r="Y114" s="259">
        <f t="shared" si="132"/>
        <v>-1707</v>
      </c>
      <c r="Z114" s="259">
        <f t="shared" si="132"/>
        <v>-2072</v>
      </c>
      <c r="AA114" s="267">
        <f>(VLOOKUP(A114,Hshldprojections2014!$A$2:$AW$319,40, FALSE)-VLOOKUP(A114,Hshldprojections2014!$A$2:$AW$319,30, FALSE))/10</f>
        <v>2084.9</v>
      </c>
      <c r="AB114" s="267">
        <f>(VLOOKUP(A114,Hshldprojections2014!$A$2:$AW$319,41, FALSE)-VLOOKUP(A114,Hshldprojections2014!$A$2:$AW$319,31, FALSE))/10</f>
        <v>2052.6999999999998</v>
      </c>
      <c r="AC114" s="267">
        <f>(VLOOKUP(A114,Hshldprojections2014!$A$2:$AW$319,42, FALSE)-VLOOKUP(A114,Hshldprojections2014!$A$2:$AW$319,32, FALSE))/10</f>
        <v>2022.4</v>
      </c>
      <c r="AD114" s="267">
        <f>IF(IndividualLATest!$J$7=2014,(VLOOKUP($A114,Hshldprojections2014!$A$2:$AY$326,43,FALSE)-VLOOKUP($A114,Hshldprojections2014!$A$2:$AY$326,33,FALSE))/10,IF(IndividualLATest!$J$7=2016,(VLOOKUP($A114,Hshldprojections2016!$A$1:$AQ$322,33,FALSE)-VLOOKUP($A114,Hshldprojections2016!$A$1:$AQ$322,23,FALSE))/10,(VLOOKUP($A114,Hshldprojections2018!$A$1:$AQ$327,33,FALSE)-VLOOKUP($A114,Hshldprojections2018!$A$1:$AQ$327,23,FALSE))/10))</f>
        <v>1345.4</v>
      </c>
      <c r="AE114" s="267">
        <f>IF(IndividualLATest!$J$7=2014,(VLOOKUP($A114,Hshldprojections2014!$A$2:$AY$326,44,FALSE)-VLOOKUP($A114,Hshldprojections2014!$A$2:$AY$326,34,FALSE))/10,IF(IndividualLATest!$J$7=2016,(VLOOKUP($A114,Hshldprojections2016!$A$1:$AQ$322,34,FALSE)-VLOOKUP($A114,Hshldprojections2016!$A$1:$AQ$322,24,FALSE))/10,(VLOOKUP($A114,Hshldprojections2018!$A$1:$AQ$327,34,FALSE)-VLOOKUP($A114,Hshldprojections2018!$A$1:$AQ$327,24,FALSE))/10))</f>
        <v>1299.9000000000001</v>
      </c>
      <c r="AF114" s="267">
        <f>IF(IndividualLATest!$J$7=2014,(VLOOKUP($A114,Hshldprojections2014!$A$2:$AY$326,45,FALSE)-VLOOKUP($A114,Hshldprojections2014!$A$2:$AY$326,35,FALSE))/10,IF(IndividualLATest!$J$7=2016,(VLOOKUP($A114,Hshldprojections2016!$A$1:$AQ$322,35,FALSE)-VLOOKUP($A114,Hshldprojections2016!$A$1:$AQ$322,25,FALSE))/10,(VLOOKUP($A114,Hshldprojections2018!$A$1:$AQ$327,35,FALSE)-VLOOKUP($A114,Hshldprojections2018!$A$1:$AQ$327,25,FALSE))/10))</f>
        <v>1258.9000000000001</v>
      </c>
      <c r="AG114" s="267">
        <f>IF(IndividualLATest!$J$7=2014,(VLOOKUP($A114,Hshldprojections2014!$A$2:$AY$326,46,FALSE)-VLOOKUP($A114,Hshldprojections2014!$A$2:$AY$326,36,FALSE))/10,IF(IndividualLATest!$J$7=2016,(VLOOKUP($A114,Hshldprojections2016!$A$1:$AQ$322,36,FALSE)-VLOOKUP($A114,Hshldprojections2016!$A$1:$AQ$322,26,FALSE))/10,(VLOOKUP($A114,Hshldprojections2018!$A$1:$AQ$327,36,FALSE)-VLOOKUP($A114,Hshldprojections2018!$A$1:$AQ$327,26,FALSE))/10))</f>
        <v>1221.5</v>
      </c>
      <c r="AH114" s="267">
        <f>IF(IndividualLATest!$J$7=2014,(VLOOKUP($A114,Hshldprojections2014!$A$2:$AY$326,47,FALSE)-VLOOKUP($A114,Hshldprojections2014!$A$2:$AY$326,37,FALSE))/10,IF(IndividualLATest!$J$7=2016,(VLOOKUP($A114,Hshldprojections2016!$A$1:$AQ$322,37,FALSE)-VLOOKUP($A114,Hshldprojections2016!$A$1:$AQ$322,27,FALSE))/10,(VLOOKUP($A114,Hshldprojections2018!$A$1:$AQ$327,37,FALSE)-VLOOKUP($A114,Hshldprojections2018!$A$1:$AQ$327,27,FALSE))/10))</f>
        <v>1187.5</v>
      </c>
      <c r="AI114" s="268">
        <f>VLOOKUP($A114,AffordabilityRatio!$A$2:$I$321,5,FALSE)</f>
        <v>12.87</v>
      </c>
      <c r="AJ114" s="268">
        <f>VLOOKUP($A114,AffordabilityRatio!$A$2:$I$321,6,FALSE)</f>
        <v>12.97</v>
      </c>
      <c r="AK114" s="268">
        <f>VLOOKUP($A114,AffordabilityRatio!$A$2:$I$321,7,FALSE)</f>
        <v>13.78</v>
      </c>
      <c r="AL114" s="268">
        <f>IF((VLOOKUP($A114,AffordabilityRatio!$A$2:$I$321,8,FALSE))="",AK114,VLOOKUP($A114,AffordabilityRatio!$A$2:$I$321,8,FALSE))</f>
        <v>12.99</v>
      </c>
      <c r="AM114" s="268">
        <f>IF((VLOOKUP($A114,AffordabilityRatio!$A$2:$I$321,9,FALSE))="",AL114,VLOOKUP($A114,AffordabilityRatio!$A$2:$I$321,9,FALSE))</f>
        <v>13.35</v>
      </c>
      <c r="AN114" s="268">
        <f>IF((VLOOKUP($A114,AffordabilityRatio!$A$2:$I$321,9,FALSE))="",AM114,VLOOKUP($A114,AffordabilityRatio!$A$2:$I$321,9,FALSE))</f>
        <v>13.35</v>
      </c>
      <c r="AO114" s="268">
        <f>IF((VLOOKUP($A114,AffordabilityRatio!$A$2:$I$321,9,FALSE))="",AN114,VLOOKUP($A114,AffordabilityRatio!$A$2:$I$321,9,FALSE))</f>
        <v>13.35</v>
      </c>
      <c r="AP114" s="268">
        <f>IF((VLOOKUP($A114,AffordabilityRatio!$A$2:$I$321,9,FALSE))="",AO114,VLOOKUP($A114,AffordabilityRatio!$A$2:$I$321,9,FALSE))</f>
        <v>13.35</v>
      </c>
      <c r="AQ114" s="267">
        <f t="shared" si="86"/>
        <v>3241</v>
      </c>
      <c r="AR114" s="267">
        <f t="shared" si="87"/>
        <v>3203</v>
      </c>
      <c r="AS114" s="267">
        <f t="shared" si="88"/>
        <v>3259</v>
      </c>
      <c r="AT114" s="267">
        <f t="shared" si="89"/>
        <v>2101</v>
      </c>
      <c r="AU114" s="267">
        <f t="shared" si="90"/>
        <v>2060</v>
      </c>
      <c r="AV114" s="267">
        <f t="shared" si="91"/>
        <v>1995</v>
      </c>
      <c r="AW114" s="267">
        <f t="shared" si="92"/>
        <v>1935</v>
      </c>
      <c r="AX114" s="267">
        <f t="shared" si="93"/>
        <v>1881</v>
      </c>
      <c r="AY114" s="267">
        <f t="shared" si="94"/>
        <v>3241</v>
      </c>
      <c r="AZ114" s="267">
        <f t="shared" si="95"/>
        <v>3203</v>
      </c>
      <c r="BA114" s="267">
        <f t="shared" si="96"/>
        <v>3259</v>
      </c>
      <c r="BB114" s="267">
        <f t="shared" si="97"/>
        <v>2101</v>
      </c>
      <c r="BC114" s="267">
        <f t="shared" si="98"/>
        <v>2060</v>
      </c>
      <c r="BD114" s="267">
        <f t="shared" si="99"/>
        <v>1995</v>
      </c>
      <c r="BE114" s="267">
        <f t="shared" si="100"/>
        <v>1935</v>
      </c>
      <c r="BF114" s="267">
        <f t="shared" si="101"/>
        <v>1881</v>
      </c>
      <c r="BG114" s="269">
        <f>AY114*VLOOKUP($B114,'Major Cities &amp; Towns'!$A$28:$B$345,2,FALSE)</f>
        <v>4375.3500000000004</v>
      </c>
      <c r="BH114" s="269">
        <f>AZ114*VLOOKUP($B114,'Major Cities &amp; Towns'!$A$28:$B$345,2,FALSE)</f>
        <v>4324.05</v>
      </c>
      <c r="BI114" s="269">
        <f>BA114*VLOOKUP($B114,'Major Cities &amp; Towns'!$A$28:$B$345,2,FALSE)</f>
        <v>4399.6500000000005</v>
      </c>
      <c r="BJ114" s="269">
        <f>BB114*VLOOKUP($B114,'Major Cities &amp; Towns'!$A$28:$B$345,2,FALSE)</f>
        <v>2836.3500000000004</v>
      </c>
      <c r="BK114" s="269">
        <f>BC114*VLOOKUP($B114,'Major Cities &amp; Towns'!$A$28:$B$345,2,FALSE)</f>
        <v>2781</v>
      </c>
      <c r="BL114" s="269">
        <f>BD114*VLOOKUP($B114,'Major Cities &amp; Towns'!$A$28:$B$345,2,FALSE)</f>
        <v>2693.25</v>
      </c>
      <c r="BM114" s="269">
        <f>BE114*VLOOKUP($B114,'Major Cities &amp; Towns'!$A$28:$B$345,2,FALSE)</f>
        <v>2612.25</v>
      </c>
      <c r="BN114" s="269">
        <f>BF114*VLOOKUP($B114,'Major Cities &amp; Towns'!$A$28:$B$345,2,FALSE)</f>
        <v>2539.3500000000004</v>
      </c>
      <c r="BO114" s="270">
        <f t="shared" si="102"/>
        <v>2595</v>
      </c>
      <c r="BP114" s="270">
        <f t="shared" si="103"/>
        <v>3003.1095890410961</v>
      </c>
      <c r="BQ114" s="270">
        <f t="shared" si="104"/>
        <v>3259</v>
      </c>
      <c r="BR114" s="270">
        <f t="shared" si="105"/>
        <v>2101</v>
      </c>
      <c r="BS114" s="270">
        <f t="shared" si="106"/>
        <v>2060</v>
      </c>
      <c r="BT114" s="270">
        <f t="shared" si="107"/>
        <v>1995</v>
      </c>
      <c r="BU114" s="270">
        <f t="shared" si="108"/>
        <v>1935</v>
      </c>
      <c r="BV114" s="270">
        <f t="shared" si="109"/>
        <v>1881</v>
      </c>
      <c r="BW114" s="39">
        <f>VLOOKUP($A114,NetAdditions!$A$2:$H$336,6,FALSE)</f>
        <v>1514</v>
      </c>
      <c r="BX114" s="39">
        <f>VLOOKUP($A114,NetAdditions!$A$2:$H$336,7,FALSE)</f>
        <v>3052</v>
      </c>
      <c r="BY114" s="39">
        <f>IF((VLOOKUP($C114,NetAdditions!$A$2:$H$336,8,FALSE))="",(AVERAGE(VLOOKUP($C114,NetAdditions!$A$2:$H$336,5,FALSE),VLOOKUP($C114,NetAdditions!$A$2:$H$336,6,FALSE),VLOOKUP($C114,NetAdditions!$A$2:$H$336,7,FALSE))),VLOOKUP($C114,NetAdditions!$A$2:$H$336,8,FALSE))</f>
        <v>1042</v>
      </c>
      <c r="BZ114" s="39">
        <f t="shared" si="110"/>
        <v>1869.3333333333333</v>
      </c>
      <c r="CA114" s="39">
        <f t="shared" si="111"/>
        <v>1987.7777777777776</v>
      </c>
      <c r="CB114" s="39">
        <f t="shared" si="112"/>
        <v>1633.0370370370367</v>
      </c>
      <c r="CC114" s="39">
        <f t="shared" si="113"/>
        <v>1830.0493827160492</v>
      </c>
      <c r="CD114" s="39">
        <f t="shared" si="114"/>
        <v>1816.9547325102878</v>
      </c>
      <c r="CE114" s="276">
        <f t="shared" si="71"/>
        <v>8857.1095890410961</v>
      </c>
      <c r="CF114" s="276">
        <f t="shared" si="72"/>
        <v>8363.1095890410961</v>
      </c>
      <c r="CG114" s="276">
        <f t="shared" si="73"/>
        <v>7420</v>
      </c>
      <c r="CH114" s="276">
        <f t="shared" si="74"/>
        <v>6156</v>
      </c>
      <c r="CI114" s="276">
        <f t="shared" si="75"/>
        <v>5990</v>
      </c>
      <c r="CJ114" s="276">
        <f t="shared" si="76"/>
        <v>5811</v>
      </c>
      <c r="CK114" s="276">
        <f t="shared" si="115"/>
        <v>7626.9554794520554</v>
      </c>
      <c r="CL114" s="276">
        <f t="shared" si="116"/>
        <v>7201.5665905631668</v>
      </c>
      <c r="CM114" s="276">
        <f t="shared" si="117"/>
        <v>6801.6666666666661</v>
      </c>
      <c r="CN114" s="276">
        <f t="shared" si="118"/>
        <v>6156</v>
      </c>
      <c r="CO114" s="276">
        <f t="shared" si="119"/>
        <v>5990</v>
      </c>
      <c r="CP114" s="276">
        <f t="shared" si="120"/>
        <v>5811</v>
      </c>
      <c r="CQ114" s="39">
        <f t="shared" si="77"/>
        <v>5608</v>
      </c>
      <c r="CR114" s="39">
        <f t="shared" si="78"/>
        <v>5963.333333333333</v>
      </c>
      <c r="CS114" s="277">
        <f t="shared" si="79"/>
        <v>4899.1111111111104</v>
      </c>
      <c r="CT114" s="39">
        <f t="shared" si="80"/>
        <v>5490.1481481481478</v>
      </c>
      <c r="CU114" s="39">
        <f t="shared" si="81"/>
        <v>5450.8641975308637</v>
      </c>
      <c r="CV114" s="39">
        <f t="shared" si="121"/>
        <v>5280.041152263374</v>
      </c>
      <c r="CW114" s="297">
        <f t="shared" si="82"/>
        <v>0.73528684087754714</v>
      </c>
      <c r="CX114" s="279" t="str">
        <f t="shared" si="122"/>
        <v>Buffer and Action Plan</v>
      </c>
      <c r="CY114" s="278">
        <f t="shared" si="83"/>
        <v>0.82806056964711017</v>
      </c>
      <c r="CZ114" s="279" t="str">
        <f t="shared" si="123"/>
        <v>Buffer and Action Plan</v>
      </c>
      <c r="DA114" s="278">
        <f t="shared" si="84"/>
        <v>0.72028097688475046</v>
      </c>
      <c r="DB114" s="292" t="str">
        <f t="shared" si="124"/>
        <v>Presumption</v>
      </c>
      <c r="DC114" s="299">
        <f t="shared" si="125"/>
        <v>0.8918369311481722</v>
      </c>
      <c r="DD114" s="293" t="str">
        <f t="shared" si="126"/>
        <v>Action Plan</v>
      </c>
      <c r="DE114" s="299">
        <f t="shared" si="127"/>
        <v>0.90999402296007748</v>
      </c>
      <c r="DF114" s="293" t="str">
        <f t="shared" si="128"/>
        <v>Action Plan</v>
      </c>
      <c r="DG114" s="299">
        <f t="shared" si="129"/>
        <v>0.90862866154936739</v>
      </c>
      <c r="DH114" s="293" t="str">
        <f t="shared" si="130"/>
        <v>Action Plan</v>
      </c>
    </row>
    <row r="115" spans="1:112" ht="15" thickTop="1" thickBot="1">
      <c r="A115" s="38" t="s">
        <v>340</v>
      </c>
      <c r="B115" s="38" t="s">
        <v>341</v>
      </c>
      <c r="C115" s="38" t="s">
        <v>340</v>
      </c>
      <c r="D115" s="38" t="s">
        <v>113</v>
      </c>
      <c r="E115" s="38" t="str">
        <f>VLOOKUP(C115,PoliticalControl!A:K,11,FALSE)</f>
        <v>NOC</v>
      </c>
      <c r="F115" s="38" t="str">
        <f>VLOOKUP(C115,UrbanRuralClassification!A:N,13,FALSE)</f>
        <v>Urban with City and Town</v>
      </c>
      <c r="G115" s="38" t="str">
        <f>VLOOKUP(C115,UrbanRuralClassification!A:N,14,FALSE)</f>
        <v>Predominantly Urban</v>
      </c>
      <c r="H115" s="258">
        <f>IF(ISBLANK((VLOOKUP($A115,'local-plan-data'!$C$1:$AD$566,27,FALSE)))=TRUE,"",VLOOKUP($A115,'local-plan-data'!$C$1:$AD$566,27,FALSE))</f>
        <v>43580</v>
      </c>
      <c r="I115" s="259">
        <f>VLOOKUP($A115,'local-plan-data'!$C$1:$AD$566,28,FALSE)</f>
        <v>562</v>
      </c>
      <c r="J115" s="260">
        <f t="shared" si="85"/>
        <v>562</v>
      </c>
      <c r="K115" s="259">
        <f t="shared" si="133"/>
        <v>562</v>
      </c>
      <c r="L115" s="259">
        <f t="shared" si="131"/>
        <v>562</v>
      </c>
      <c r="M115" s="259">
        <f t="shared" si="131"/>
        <v>562</v>
      </c>
      <c r="N115" s="259">
        <f t="shared" si="131"/>
        <v>562</v>
      </c>
      <c r="O115" s="259">
        <f t="shared" si="131"/>
        <v>562</v>
      </c>
      <c r="P115" s="259">
        <f t="shared" si="131"/>
        <v>562</v>
      </c>
      <c r="Q115" s="259">
        <f t="shared" si="131"/>
        <v>562</v>
      </c>
      <c r="R115" s="259" t="str">
        <f t="shared" si="131"/>
        <v>-</v>
      </c>
      <c r="S115" s="259">
        <f t="shared" si="134"/>
        <v>2216</v>
      </c>
      <c r="T115" s="259">
        <f t="shared" si="132"/>
        <v>1851</v>
      </c>
      <c r="U115" s="259">
        <f t="shared" si="132"/>
        <v>1485</v>
      </c>
      <c r="V115" s="259">
        <f t="shared" si="132"/>
        <v>1120</v>
      </c>
      <c r="W115" s="259">
        <f t="shared" si="132"/>
        <v>755</v>
      </c>
      <c r="X115" s="259">
        <f t="shared" si="132"/>
        <v>390</v>
      </c>
      <c r="Y115" s="259">
        <f t="shared" si="132"/>
        <v>24</v>
      </c>
      <c r="Z115" s="259">
        <f t="shared" si="132"/>
        <v>-341</v>
      </c>
      <c r="AA115" s="267">
        <f>(VLOOKUP(A115,Hshldprojections2014!$A$2:$AW$319,40, FALSE)-VLOOKUP(A115,Hshldprojections2014!$A$2:$AW$319,30, FALSE))/10</f>
        <v>536.79999999999995</v>
      </c>
      <c r="AB115" s="267">
        <f>(VLOOKUP(A115,Hshldprojections2014!$A$2:$AW$319,41, FALSE)-VLOOKUP(A115,Hshldprojections2014!$A$2:$AW$319,31, FALSE))/10</f>
        <v>526.20000000000005</v>
      </c>
      <c r="AC115" s="267">
        <f>(VLOOKUP(A115,Hshldprojections2014!$A$2:$AW$319,42, FALSE)-VLOOKUP(A115,Hshldprojections2014!$A$2:$AW$319,32, FALSE))/10</f>
        <v>518</v>
      </c>
      <c r="AD115" s="267">
        <f>IF(IndividualLATest!$J$7=2014,(VLOOKUP($A115,Hshldprojections2014!$A$2:$AY$326,43,FALSE)-VLOOKUP($A115,Hshldprojections2014!$A$2:$AY$326,33,FALSE))/10,IF(IndividualLATest!$J$7=2016,(VLOOKUP($A115,Hshldprojections2016!$A$1:$AQ$322,33,FALSE)-VLOOKUP($A115,Hshldprojections2016!$A$1:$AQ$322,23,FALSE))/10,(VLOOKUP($A115,Hshldprojections2018!$A$1:$AQ$327,33,FALSE)-VLOOKUP($A115,Hshldprojections2018!$A$1:$AQ$327,23,FALSE))/10))</f>
        <v>98.7</v>
      </c>
      <c r="AE115" s="267">
        <f>IF(IndividualLATest!$J$7=2014,(VLOOKUP($A115,Hshldprojections2014!$A$2:$AY$326,44,FALSE)-VLOOKUP($A115,Hshldprojections2014!$A$2:$AY$326,34,FALSE))/10,IF(IndividualLATest!$J$7=2016,(VLOOKUP($A115,Hshldprojections2016!$A$1:$AQ$322,34,FALSE)-VLOOKUP($A115,Hshldprojections2016!$A$1:$AQ$322,24,FALSE))/10,(VLOOKUP($A115,Hshldprojections2018!$A$1:$AQ$327,34,FALSE)-VLOOKUP($A115,Hshldprojections2018!$A$1:$AQ$327,24,FALSE))/10))</f>
        <v>102.9</v>
      </c>
      <c r="AF115" s="267">
        <f>IF(IndividualLATest!$J$7=2014,(VLOOKUP($A115,Hshldprojections2014!$A$2:$AY$326,45,FALSE)-VLOOKUP($A115,Hshldprojections2014!$A$2:$AY$326,35,FALSE))/10,IF(IndividualLATest!$J$7=2016,(VLOOKUP($A115,Hshldprojections2016!$A$1:$AQ$322,35,FALSE)-VLOOKUP($A115,Hshldprojections2016!$A$1:$AQ$322,25,FALSE))/10,(VLOOKUP($A115,Hshldprojections2018!$A$1:$AQ$327,35,FALSE)-VLOOKUP($A115,Hshldprojections2018!$A$1:$AQ$327,25,FALSE))/10))</f>
        <v>105.5</v>
      </c>
      <c r="AG115" s="267">
        <f>IF(IndividualLATest!$J$7=2014,(VLOOKUP($A115,Hshldprojections2014!$A$2:$AY$326,46,FALSE)-VLOOKUP($A115,Hshldprojections2014!$A$2:$AY$326,36,FALSE))/10,IF(IndividualLATest!$J$7=2016,(VLOOKUP($A115,Hshldprojections2016!$A$1:$AQ$322,36,FALSE)-VLOOKUP($A115,Hshldprojections2016!$A$1:$AQ$322,26,FALSE))/10,(VLOOKUP($A115,Hshldprojections2018!$A$1:$AQ$327,36,FALSE)-VLOOKUP($A115,Hshldprojections2018!$A$1:$AQ$327,26,FALSE))/10))</f>
        <v>105.3</v>
      </c>
      <c r="AH115" s="267">
        <f>IF(IndividualLATest!$J$7=2014,(VLOOKUP($A115,Hshldprojections2014!$A$2:$AY$326,47,FALSE)-VLOOKUP($A115,Hshldprojections2014!$A$2:$AY$326,37,FALSE))/10,IF(IndividualLATest!$J$7=2016,(VLOOKUP($A115,Hshldprojections2016!$A$1:$AQ$322,37,FALSE)-VLOOKUP($A115,Hshldprojections2016!$A$1:$AQ$322,27,FALSE))/10,(VLOOKUP($A115,Hshldprojections2018!$A$1:$AQ$327,37,FALSE)-VLOOKUP($A115,Hshldprojections2018!$A$1:$AQ$327,27,FALSE))/10))</f>
        <v>106.3</v>
      </c>
      <c r="AI115" s="268">
        <f>VLOOKUP($A115,AffordabilityRatio!$A$2:$I$321,5,FALSE)</f>
        <v>12.6</v>
      </c>
      <c r="AJ115" s="268">
        <f>VLOOKUP($A115,AffordabilityRatio!$A$2:$I$321,6,FALSE)</f>
        <v>12.54</v>
      </c>
      <c r="AK115" s="268">
        <f>VLOOKUP($A115,AffordabilityRatio!$A$2:$I$321,7,FALSE)</f>
        <v>12.28</v>
      </c>
      <c r="AL115" s="268">
        <f>IF((VLOOKUP($A115,AffordabilityRatio!$A$2:$I$321,8,FALSE))="",AK115,VLOOKUP($A115,AffordabilityRatio!$A$2:$I$321,8,FALSE))</f>
        <v>12.5</v>
      </c>
      <c r="AM115" s="268">
        <f>IF((VLOOKUP($A115,AffordabilityRatio!$A$2:$I$321,9,FALSE))="",AL115,VLOOKUP($A115,AffordabilityRatio!$A$2:$I$321,9,FALSE))</f>
        <v>13.2</v>
      </c>
      <c r="AN115" s="268">
        <f>IF((VLOOKUP($A115,AffordabilityRatio!$A$2:$I$321,9,FALSE))="",AM115,VLOOKUP($A115,AffordabilityRatio!$A$2:$I$321,9,FALSE))</f>
        <v>13.2</v>
      </c>
      <c r="AO115" s="268">
        <f>IF((VLOOKUP($A115,AffordabilityRatio!$A$2:$I$321,9,FALSE))="",AN115,VLOOKUP($A115,AffordabilityRatio!$A$2:$I$321,9,FALSE))</f>
        <v>13.2</v>
      </c>
      <c r="AP115" s="268">
        <f>IF((VLOOKUP($A115,AffordabilityRatio!$A$2:$I$321,9,FALSE))="",AO115,VLOOKUP($A115,AffordabilityRatio!$A$2:$I$321,9,FALSE))</f>
        <v>13.2</v>
      </c>
      <c r="AQ115" s="267">
        <f t="shared" si="86"/>
        <v>825</v>
      </c>
      <c r="AR115" s="267">
        <f t="shared" si="87"/>
        <v>807</v>
      </c>
      <c r="AS115" s="267">
        <f t="shared" si="88"/>
        <v>786</v>
      </c>
      <c r="AT115" s="267">
        <f t="shared" si="89"/>
        <v>151</v>
      </c>
      <c r="AU115" s="267">
        <f t="shared" si="90"/>
        <v>162</v>
      </c>
      <c r="AV115" s="267">
        <f t="shared" si="91"/>
        <v>166</v>
      </c>
      <c r="AW115" s="267">
        <f t="shared" si="92"/>
        <v>166</v>
      </c>
      <c r="AX115" s="267">
        <f t="shared" si="93"/>
        <v>167</v>
      </c>
      <c r="AY115" s="267">
        <f t="shared" si="94"/>
        <v>786.8</v>
      </c>
      <c r="AZ115" s="267">
        <f t="shared" si="95"/>
        <v>786.8</v>
      </c>
      <c r="BA115" s="267">
        <f t="shared" si="96"/>
        <v>786</v>
      </c>
      <c r="BB115" s="267">
        <f t="shared" si="97"/>
        <v>151</v>
      </c>
      <c r="BC115" s="267">
        <f t="shared" si="98"/>
        <v>162</v>
      </c>
      <c r="BD115" s="267">
        <f t="shared" si="99"/>
        <v>166</v>
      </c>
      <c r="BE115" s="267">
        <f t="shared" si="100"/>
        <v>166</v>
      </c>
      <c r="BF115" s="267">
        <f t="shared" si="101"/>
        <v>167</v>
      </c>
      <c r="BG115" s="269">
        <f>AY115*VLOOKUP($B115,'Major Cities &amp; Towns'!$A$28:$B$345,2,FALSE)</f>
        <v>786.8</v>
      </c>
      <c r="BH115" s="269">
        <f>AZ115*VLOOKUP($B115,'Major Cities &amp; Towns'!$A$28:$B$345,2,FALSE)</f>
        <v>786.8</v>
      </c>
      <c r="BI115" s="269">
        <f>BA115*VLOOKUP($B115,'Major Cities &amp; Towns'!$A$28:$B$345,2,FALSE)</f>
        <v>786</v>
      </c>
      <c r="BJ115" s="269">
        <f>BB115*VLOOKUP($B115,'Major Cities &amp; Towns'!$A$28:$B$345,2,FALSE)</f>
        <v>151</v>
      </c>
      <c r="BK115" s="269">
        <f>BC115*VLOOKUP($B115,'Major Cities &amp; Towns'!$A$28:$B$345,2,FALSE)</f>
        <v>162</v>
      </c>
      <c r="BL115" s="269">
        <f>BD115*VLOOKUP($B115,'Major Cities &amp; Towns'!$A$28:$B$345,2,FALSE)</f>
        <v>166</v>
      </c>
      <c r="BM115" s="269">
        <f>BE115*VLOOKUP($B115,'Major Cities &amp; Towns'!$A$28:$B$345,2,FALSE)</f>
        <v>166</v>
      </c>
      <c r="BN115" s="269">
        <f>BF115*VLOOKUP($B115,'Major Cities &amp; Towns'!$A$28:$B$345,2,FALSE)</f>
        <v>167</v>
      </c>
      <c r="BO115" s="270">
        <f t="shared" si="102"/>
        <v>562</v>
      </c>
      <c r="BP115" s="270">
        <f t="shared" si="103"/>
        <v>562</v>
      </c>
      <c r="BQ115" s="270">
        <f t="shared" si="104"/>
        <v>562</v>
      </c>
      <c r="BR115" s="270">
        <f t="shared" si="105"/>
        <v>151</v>
      </c>
      <c r="BS115" s="270">
        <f t="shared" si="106"/>
        <v>162</v>
      </c>
      <c r="BT115" s="270">
        <f t="shared" si="107"/>
        <v>166</v>
      </c>
      <c r="BU115" s="270">
        <f t="shared" si="108"/>
        <v>166</v>
      </c>
      <c r="BV115" s="270">
        <f t="shared" si="109"/>
        <v>167</v>
      </c>
      <c r="BW115" s="39">
        <f>VLOOKUP($A115,NetAdditions!$A$2:$H$336,6,FALSE)</f>
        <v>352</v>
      </c>
      <c r="BX115" s="39">
        <f>VLOOKUP($A115,NetAdditions!$A$2:$H$336,7,FALSE)</f>
        <v>352</v>
      </c>
      <c r="BY115" s="39">
        <f>IF((VLOOKUP($C115,NetAdditions!$A$2:$H$336,8,FALSE))="",(AVERAGE(VLOOKUP($C115,NetAdditions!$A$2:$H$336,5,FALSE),VLOOKUP($C115,NetAdditions!$A$2:$H$336,6,FALSE),VLOOKUP($C115,NetAdditions!$A$2:$H$336,7,FALSE))),VLOOKUP($C115,NetAdditions!$A$2:$H$336,8,FALSE))</f>
        <v>863</v>
      </c>
      <c r="BZ115" s="39">
        <f t="shared" si="110"/>
        <v>522.33333333333337</v>
      </c>
      <c r="CA115" s="39">
        <f t="shared" si="111"/>
        <v>579.1111111111112</v>
      </c>
      <c r="CB115" s="39">
        <f t="shared" si="112"/>
        <v>654.81481481481489</v>
      </c>
      <c r="CC115" s="39">
        <f t="shared" si="113"/>
        <v>585.41975308641986</v>
      </c>
      <c r="CD115" s="39">
        <f t="shared" si="114"/>
        <v>606.44855967078195</v>
      </c>
      <c r="CE115" s="276">
        <f t="shared" si="71"/>
        <v>1686</v>
      </c>
      <c r="CF115" s="276">
        <f t="shared" si="72"/>
        <v>1275</v>
      </c>
      <c r="CG115" s="276">
        <f t="shared" si="73"/>
        <v>875</v>
      </c>
      <c r="CH115" s="276">
        <f t="shared" si="74"/>
        <v>479</v>
      </c>
      <c r="CI115" s="276">
        <f t="shared" si="75"/>
        <v>494</v>
      </c>
      <c r="CJ115" s="276">
        <f t="shared" si="76"/>
        <v>499</v>
      </c>
      <c r="CK115" s="276">
        <f t="shared" si="115"/>
        <v>1451.8333333333335</v>
      </c>
      <c r="CL115" s="276">
        <f t="shared" si="116"/>
        <v>1097.9166666666667</v>
      </c>
      <c r="CM115" s="276">
        <f t="shared" si="117"/>
        <v>802.08333333333326</v>
      </c>
      <c r="CN115" s="276">
        <f t="shared" si="118"/>
        <v>479</v>
      </c>
      <c r="CO115" s="276">
        <f t="shared" si="119"/>
        <v>494</v>
      </c>
      <c r="CP115" s="276">
        <f t="shared" si="120"/>
        <v>499</v>
      </c>
      <c r="CQ115" s="39">
        <f t="shared" si="77"/>
        <v>1567</v>
      </c>
      <c r="CR115" s="39">
        <f t="shared" si="78"/>
        <v>1737.3333333333335</v>
      </c>
      <c r="CS115" s="277">
        <f t="shared" si="79"/>
        <v>1964.4444444444448</v>
      </c>
      <c r="CT115" s="39">
        <f t="shared" si="80"/>
        <v>1756.2592592592596</v>
      </c>
      <c r="CU115" s="39">
        <f t="shared" si="81"/>
        <v>1819.345679012346</v>
      </c>
      <c r="CV115" s="39">
        <f t="shared" si="121"/>
        <v>1846.6831275720165</v>
      </c>
      <c r="CW115" s="297">
        <f t="shared" si="82"/>
        <v>1.0793249913901961</v>
      </c>
      <c r="CX115" s="279" t="str">
        <f t="shared" si="122"/>
        <v>Pass</v>
      </c>
      <c r="CY115" s="278">
        <f t="shared" si="83"/>
        <v>1.5823908918406073</v>
      </c>
      <c r="CZ115" s="279" t="str">
        <f t="shared" si="123"/>
        <v>Pass</v>
      </c>
      <c r="DA115" s="278">
        <f t="shared" si="84"/>
        <v>2.4491774891774898</v>
      </c>
      <c r="DB115" s="292" t="str">
        <f t="shared" si="124"/>
        <v>Pass</v>
      </c>
      <c r="DC115" s="299">
        <f t="shared" si="125"/>
        <v>3.6665120235057613</v>
      </c>
      <c r="DD115" s="293" t="str">
        <f t="shared" si="126"/>
        <v>Pass</v>
      </c>
      <c r="DE115" s="299">
        <f t="shared" si="127"/>
        <v>3.6828859899035344</v>
      </c>
      <c r="DF115" s="293" t="str">
        <f t="shared" si="128"/>
        <v>Pass</v>
      </c>
      <c r="DG115" s="299">
        <f t="shared" si="129"/>
        <v>3.7007677907254841</v>
      </c>
      <c r="DH115" s="293" t="str">
        <f t="shared" si="130"/>
        <v>Pass</v>
      </c>
    </row>
    <row r="116" spans="1:112" customFormat="1" ht="15.5" thickTop="1" thickBot="1">
      <c r="A116" s="3" t="s">
        <v>342</v>
      </c>
      <c r="B116" s="3" t="s">
        <v>343</v>
      </c>
      <c r="C116" s="3" t="s">
        <v>342</v>
      </c>
      <c r="D116" s="3" t="s">
        <v>131</v>
      </c>
      <c r="E116" s="3" t="str">
        <f>VLOOKUP(C116,PoliticalControl!A:K,11,FALSE)</f>
        <v>LAB</v>
      </c>
      <c r="F116" s="3" t="str">
        <f>VLOOKUP(C116,UrbanRuralClassification!A:N,13,FALSE)</f>
        <v>Urban with Major Conurbation</v>
      </c>
      <c r="G116" s="3" t="str">
        <f>VLOOKUP(C116,UrbanRuralClassification!A:N,14,FALSE)</f>
        <v>Predominantly Urban</v>
      </c>
      <c r="H116" s="262">
        <f>IF(ISBLANK((VLOOKUP($A116,'local-plan-data'!$C$1:$AD$566,27,FALSE)))=TRUE,"",VLOOKUP($A116,'local-plan-data'!$C$1:$AD$566,27,FALSE))</f>
        <v>44034</v>
      </c>
      <c r="I116" s="263">
        <f>VLOOKUP($A116,'local-plan-data'!$C$1:$AD$566,28,FALSE)</f>
        <v>1330</v>
      </c>
      <c r="J116" s="264">
        <f t="shared" si="85"/>
        <v>1330</v>
      </c>
      <c r="K116" s="259">
        <f t="shared" si="133"/>
        <v>1330</v>
      </c>
      <c r="L116" s="259">
        <f t="shared" si="131"/>
        <v>1330</v>
      </c>
      <c r="M116" s="259">
        <f t="shared" si="131"/>
        <v>1330</v>
      </c>
      <c r="N116" s="259">
        <f t="shared" si="131"/>
        <v>1330</v>
      </c>
      <c r="O116" s="259">
        <f t="shared" si="131"/>
        <v>1330</v>
      </c>
      <c r="P116" s="259">
        <f t="shared" si="131"/>
        <v>1330</v>
      </c>
      <c r="Q116" s="259">
        <f t="shared" si="131"/>
        <v>1330</v>
      </c>
      <c r="R116" s="259">
        <f t="shared" si="131"/>
        <v>1330</v>
      </c>
      <c r="S116" s="259">
        <f t="shared" si="134"/>
        <v>2669</v>
      </c>
      <c r="T116" s="259">
        <f t="shared" si="132"/>
        <v>2304</v>
      </c>
      <c r="U116" s="259">
        <f t="shared" si="132"/>
        <v>1938</v>
      </c>
      <c r="V116" s="259">
        <f t="shared" si="132"/>
        <v>1573</v>
      </c>
      <c r="W116" s="259">
        <f t="shared" si="132"/>
        <v>1208</v>
      </c>
      <c r="X116" s="259">
        <f t="shared" si="132"/>
        <v>843</v>
      </c>
      <c r="Y116" s="259">
        <f t="shared" si="132"/>
        <v>477</v>
      </c>
      <c r="Z116" s="259">
        <f t="shared" si="132"/>
        <v>112</v>
      </c>
      <c r="AA116" s="267">
        <f>(VLOOKUP(A116,Hshldprojections2014!$A$2:$AW$319,40, FALSE)-VLOOKUP(A116,Hshldprojections2014!$A$2:$AW$319,30, FALSE))/10</f>
        <v>2239.1</v>
      </c>
      <c r="AB116" s="267">
        <f>(VLOOKUP(A116,Hshldprojections2014!$A$2:$AW$319,41, FALSE)-VLOOKUP(A116,Hshldprojections2014!$A$2:$AW$319,31, FALSE))/10</f>
        <v>2195.5</v>
      </c>
      <c r="AC116" s="267">
        <f>(VLOOKUP(A116,Hshldprojections2014!$A$2:$AW$319,42, FALSE)-VLOOKUP(A116,Hshldprojections2014!$A$2:$AW$319,32, FALSE))/10</f>
        <v>2146</v>
      </c>
      <c r="AD116" s="267">
        <f>IF(IndividualLATest!$J$7=2014,(VLOOKUP($A116,Hshldprojections2014!$A$2:$AY$326,43,FALSE)-VLOOKUP($A116,Hshldprojections2014!$A$2:$AY$326,33,FALSE))/10,IF(IndividualLATest!$J$7=2016,(VLOOKUP($A116,Hshldprojections2016!$A$1:$AQ$322,33,FALSE)-VLOOKUP($A116,Hshldprojections2016!$A$1:$AQ$322,23,FALSE))/10,(VLOOKUP($A116,Hshldprojections2018!$A$1:$AQ$327,33,FALSE)-VLOOKUP($A116,Hshldprojections2018!$A$1:$AQ$327,23,FALSE))/10))</f>
        <v>1277.3</v>
      </c>
      <c r="AE116" s="267">
        <f>IF(IndividualLATest!$J$7=2014,(VLOOKUP($A116,Hshldprojections2014!$A$2:$AY$326,44,FALSE)-VLOOKUP($A116,Hshldprojections2014!$A$2:$AY$326,34,FALSE))/10,IF(IndividualLATest!$J$7=2016,(VLOOKUP($A116,Hshldprojections2016!$A$1:$AQ$322,34,FALSE)-VLOOKUP($A116,Hshldprojections2016!$A$1:$AQ$322,24,FALSE))/10,(VLOOKUP($A116,Hshldprojections2018!$A$1:$AQ$327,34,FALSE)-VLOOKUP($A116,Hshldprojections2018!$A$1:$AQ$327,24,FALSE))/10))</f>
        <v>1233.5</v>
      </c>
      <c r="AF116" s="267">
        <f>IF(IndividualLATest!$J$7=2014,(VLOOKUP($A116,Hshldprojections2014!$A$2:$AY$326,45,FALSE)-VLOOKUP($A116,Hshldprojections2014!$A$2:$AY$326,35,FALSE))/10,IF(IndividualLATest!$J$7=2016,(VLOOKUP($A116,Hshldprojections2016!$A$1:$AQ$322,35,FALSE)-VLOOKUP($A116,Hshldprojections2016!$A$1:$AQ$322,25,FALSE))/10,(VLOOKUP($A116,Hshldprojections2018!$A$1:$AQ$327,35,FALSE)-VLOOKUP($A116,Hshldprojections2018!$A$1:$AQ$327,25,FALSE))/10))</f>
        <v>1199.4000000000001</v>
      </c>
      <c r="AG116" s="267">
        <f>IF(IndividualLATest!$J$7=2014,(VLOOKUP($A116,Hshldprojections2014!$A$2:$AY$326,46,FALSE)-VLOOKUP($A116,Hshldprojections2014!$A$2:$AY$326,36,FALSE))/10,IF(IndividualLATest!$J$7=2016,(VLOOKUP($A116,Hshldprojections2016!$A$1:$AQ$322,36,FALSE)-VLOOKUP($A116,Hshldprojections2016!$A$1:$AQ$322,26,FALSE))/10,(VLOOKUP($A116,Hshldprojections2018!$A$1:$AQ$327,36,FALSE)-VLOOKUP($A116,Hshldprojections2018!$A$1:$AQ$327,26,FALSE))/10))</f>
        <v>1176.3</v>
      </c>
      <c r="AH116" s="267">
        <f>IF(IndividualLATest!$J$7=2014,(VLOOKUP($A116,Hshldprojections2014!$A$2:$AY$326,47,FALSE)-VLOOKUP($A116,Hshldprojections2014!$A$2:$AY$326,37,FALSE))/10,IF(IndividualLATest!$J$7=2016,(VLOOKUP($A116,Hshldprojections2016!$A$1:$AQ$322,37,FALSE)-VLOOKUP($A116,Hshldprojections2016!$A$1:$AQ$322,27,FALSE))/10,(VLOOKUP($A116,Hshldprojections2018!$A$1:$AQ$327,37,FALSE)-VLOOKUP($A116,Hshldprojections2018!$A$1:$AQ$327,27,FALSE))/10))</f>
        <v>1158.9000000000001</v>
      </c>
      <c r="AI116" s="268">
        <f>VLOOKUP($A116,AffordabilityRatio!$A$2:$I$321,5,FALSE)</f>
        <v>15.77</v>
      </c>
      <c r="AJ116" s="268">
        <f>VLOOKUP($A116,AffordabilityRatio!$A$2:$I$321,6,FALSE)</f>
        <v>15.59</v>
      </c>
      <c r="AK116" s="268">
        <f>VLOOKUP($A116,AffordabilityRatio!$A$2:$I$321,7,FALSE)</f>
        <v>16.420000000000002</v>
      </c>
      <c r="AL116" s="268">
        <f>IF((VLOOKUP($A116,AffordabilityRatio!$A$2:$I$321,8,FALSE))="",AK116,VLOOKUP($A116,AffordabilityRatio!$A$2:$I$321,8,FALSE))</f>
        <v>17.28</v>
      </c>
      <c r="AM116" s="268">
        <f>IF((VLOOKUP($A116,AffordabilityRatio!$A$2:$I$321,9,FALSE))="",AL116,VLOOKUP($A116,AffordabilityRatio!$A$2:$I$321,9,FALSE))</f>
        <v>14.92</v>
      </c>
      <c r="AN116" s="268">
        <f>IF((VLOOKUP($A116,AffordabilityRatio!$A$2:$I$321,9,FALSE))="",AM116,VLOOKUP($A116,AffordabilityRatio!$A$2:$I$321,9,FALSE))</f>
        <v>14.92</v>
      </c>
      <c r="AO116" s="268">
        <f>IF((VLOOKUP($A116,AffordabilityRatio!$A$2:$I$321,9,FALSE))="",AN116,VLOOKUP($A116,AffordabilityRatio!$A$2:$I$321,9,FALSE))</f>
        <v>14.92</v>
      </c>
      <c r="AP116" s="268">
        <f>IF((VLOOKUP($A116,AffordabilityRatio!$A$2:$I$321,9,FALSE))="",AO116,VLOOKUP($A116,AffordabilityRatio!$A$2:$I$321,9,FALSE))</f>
        <v>14.92</v>
      </c>
      <c r="AQ116" s="267">
        <f t="shared" si="86"/>
        <v>3886</v>
      </c>
      <c r="AR116" s="267">
        <f t="shared" si="87"/>
        <v>3786</v>
      </c>
      <c r="AS116" s="267">
        <f t="shared" si="88"/>
        <v>3812</v>
      </c>
      <c r="AT116" s="267">
        <f t="shared" si="89"/>
        <v>2337</v>
      </c>
      <c r="AU116" s="267">
        <f t="shared" si="90"/>
        <v>2075</v>
      </c>
      <c r="AV116" s="267">
        <f t="shared" si="91"/>
        <v>2018</v>
      </c>
      <c r="AW116" s="267">
        <f t="shared" si="92"/>
        <v>1979</v>
      </c>
      <c r="AX116" s="267">
        <f t="shared" si="93"/>
        <v>1950</v>
      </c>
      <c r="AY116" s="267">
        <f t="shared" si="94"/>
        <v>1862</v>
      </c>
      <c r="AZ116" s="267">
        <f t="shared" si="95"/>
        <v>1862</v>
      </c>
      <c r="BA116" s="267">
        <f t="shared" si="96"/>
        <v>1862</v>
      </c>
      <c r="BB116" s="267">
        <f t="shared" si="97"/>
        <v>1862</v>
      </c>
      <c r="BC116" s="267">
        <f t="shared" si="98"/>
        <v>1862</v>
      </c>
      <c r="BD116" s="267">
        <f t="shared" si="99"/>
        <v>1862</v>
      </c>
      <c r="BE116" s="267">
        <f t="shared" si="100"/>
        <v>1862</v>
      </c>
      <c r="BF116" s="267">
        <f t="shared" si="101"/>
        <v>1862</v>
      </c>
      <c r="BG116" s="269">
        <f>AY116*VLOOKUP($B116,'Major Cities &amp; Towns'!$A$28:$B$345,2,FALSE)</f>
        <v>2513.7000000000003</v>
      </c>
      <c r="BH116" s="269">
        <f>AZ116*VLOOKUP($B116,'Major Cities &amp; Towns'!$A$28:$B$345,2,FALSE)</f>
        <v>2513.7000000000003</v>
      </c>
      <c r="BI116" s="269">
        <f>BA116*VLOOKUP($B116,'Major Cities &amp; Towns'!$A$28:$B$345,2,FALSE)</f>
        <v>2513.7000000000003</v>
      </c>
      <c r="BJ116" s="269">
        <f>BB116*VLOOKUP($B116,'Major Cities &amp; Towns'!$A$28:$B$345,2,FALSE)</f>
        <v>2513.7000000000003</v>
      </c>
      <c r="BK116" s="269">
        <f>BC116*VLOOKUP($B116,'Major Cities &amp; Towns'!$A$28:$B$345,2,FALSE)</f>
        <v>2513.7000000000003</v>
      </c>
      <c r="BL116" s="269">
        <f>BD116*VLOOKUP($B116,'Major Cities &amp; Towns'!$A$28:$B$345,2,FALSE)</f>
        <v>2513.7000000000003</v>
      </c>
      <c r="BM116" s="269">
        <f>BE116*VLOOKUP($B116,'Major Cities &amp; Towns'!$A$28:$B$345,2,FALSE)</f>
        <v>2513.7000000000003</v>
      </c>
      <c r="BN116" s="269">
        <f>BF116*VLOOKUP($B116,'Major Cities &amp; Towns'!$A$28:$B$345,2,FALSE)</f>
        <v>2513.7000000000003</v>
      </c>
      <c r="BO116" s="270">
        <f t="shared" si="102"/>
        <v>1330</v>
      </c>
      <c r="BP116" s="270">
        <f t="shared" si="103"/>
        <v>1330</v>
      </c>
      <c r="BQ116" s="270">
        <f t="shared" si="104"/>
        <v>1330</v>
      </c>
      <c r="BR116" s="270">
        <f t="shared" si="105"/>
        <v>1330</v>
      </c>
      <c r="BS116" s="270">
        <f t="shared" si="106"/>
        <v>1330</v>
      </c>
      <c r="BT116" s="270">
        <f t="shared" si="107"/>
        <v>1330</v>
      </c>
      <c r="BU116" s="270">
        <f t="shared" si="108"/>
        <v>1330</v>
      </c>
      <c r="BV116" s="270">
        <f t="shared" si="109"/>
        <v>1759.7534246575344</v>
      </c>
      <c r="BW116" s="39">
        <f>VLOOKUP($A116,NetAdditions!$A$2:$H$336,6,FALSE)</f>
        <v>1522</v>
      </c>
      <c r="BX116" s="39">
        <f>VLOOKUP($A116,NetAdditions!$A$2:$H$336,7,FALSE)</f>
        <v>646</v>
      </c>
      <c r="BY116" s="39">
        <f>IF((VLOOKUP($C116,NetAdditions!$A$2:$H$336,8,FALSE))="",(AVERAGE(VLOOKUP($C116,NetAdditions!$A$2:$H$336,5,FALSE),VLOOKUP($C116,NetAdditions!$A$2:$H$336,6,FALSE),VLOOKUP($C116,NetAdditions!$A$2:$H$336,7,FALSE))),VLOOKUP($C116,NetAdditions!$A$2:$H$336,8,FALSE))</f>
        <v>969</v>
      </c>
      <c r="BZ116" s="39">
        <f t="shared" si="110"/>
        <v>1045.6666666666667</v>
      </c>
      <c r="CA116" s="39">
        <f t="shared" si="111"/>
        <v>886.88888888888903</v>
      </c>
      <c r="CB116" s="39">
        <f t="shared" si="112"/>
        <v>967.18518518518522</v>
      </c>
      <c r="CC116" s="39">
        <f t="shared" si="113"/>
        <v>966.58024691358025</v>
      </c>
      <c r="CD116" s="39">
        <f t="shared" si="114"/>
        <v>940.2181069958848</v>
      </c>
      <c r="CE116" s="276">
        <f t="shared" si="71"/>
        <v>3990</v>
      </c>
      <c r="CF116" s="276">
        <f t="shared" si="72"/>
        <v>3990</v>
      </c>
      <c r="CG116" s="276">
        <f t="shared" si="73"/>
        <v>3990</v>
      </c>
      <c r="CH116" s="276">
        <f t="shared" si="74"/>
        <v>3990</v>
      </c>
      <c r="CI116" s="276">
        <f t="shared" si="75"/>
        <v>3990</v>
      </c>
      <c r="CJ116" s="276">
        <f t="shared" si="76"/>
        <v>4419.7534246575342</v>
      </c>
      <c r="CK116" s="276">
        <f t="shared" si="115"/>
        <v>3435.8333333333335</v>
      </c>
      <c r="CL116" s="276">
        <f t="shared" si="116"/>
        <v>3435.8333333333335</v>
      </c>
      <c r="CM116" s="276">
        <f t="shared" si="117"/>
        <v>3657.5</v>
      </c>
      <c r="CN116" s="276">
        <f t="shared" si="118"/>
        <v>3990</v>
      </c>
      <c r="CO116" s="276">
        <f t="shared" si="119"/>
        <v>3990</v>
      </c>
      <c r="CP116" s="276">
        <f t="shared" si="120"/>
        <v>4419.7534246575342</v>
      </c>
      <c r="CQ116" s="39">
        <f t="shared" si="77"/>
        <v>3137</v>
      </c>
      <c r="CR116" s="39">
        <f t="shared" si="78"/>
        <v>2660.666666666667</v>
      </c>
      <c r="CS116" s="277">
        <f t="shared" si="79"/>
        <v>2901.5555555555557</v>
      </c>
      <c r="CT116" s="39">
        <f t="shared" si="80"/>
        <v>2899.7407407407409</v>
      </c>
      <c r="CU116" s="39">
        <f t="shared" si="81"/>
        <v>2820.6543209876545</v>
      </c>
      <c r="CV116" s="39">
        <f t="shared" si="121"/>
        <v>2873.98353909465</v>
      </c>
      <c r="CW116" s="297">
        <f t="shared" si="82"/>
        <v>0.91302449672568509</v>
      </c>
      <c r="CX116" s="279" t="str">
        <f t="shared" si="122"/>
        <v>Action Plan</v>
      </c>
      <c r="CY116" s="278">
        <f t="shared" si="83"/>
        <v>0.77438758185787049</v>
      </c>
      <c r="CZ116" s="279" t="str">
        <f t="shared" si="123"/>
        <v>Buffer and Action Plan</v>
      </c>
      <c r="DA116" s="278">
        <f t="shared" si="84"/>
        <v>0.79331662489557231</v>
      </c>
      <c r="DB116" s="292" t="str">
        <f t="shared" si="124"/>
        <v>Buffer and Action Plan</v>
      </c>
      <c r="DC116" s="299">
        <f t="shared" si="125"/>
        <v>0.72675206534855663</v>
      </c>
      <c r="DD116" s="293" t="str">
        <f t="shared" si="126"/>
        <v>Presumption</v>
      </c>
      <c r="DE116" s="299">
        <f t="shared" si="127"/>
        <v>0.70693090751570287</v>
      </c>
      <c r="DF116" s="293" t="str">
        <f t="shared" si="128"/>
        <v>Presumption</v>
      </c>
      <c r="DG116" s="299">
        <f t="shared" si="129"/>
        <v>0.6502587956741821</v>
      </c>
      <c r="DH116" s="293" t="str">
        <f t="shared" si="130"/>
        <v>Presumption</v>
      </c>
    </row>
    <row r="117" spans="1:112" ht="15" thickTop="1" thickBot="1">
      <c r="A117" s="38" t="s">
        <v>344</v>
      </c>
      <c r="B117" s="38" t="s">
        <v>345</v>
      </c>
      <c r="C117" s="38" t="s">
        <v>344</v>
      </c>
      <c r="D117" s="38" t="s">
        <v>116</v>
      </c>
      <c r="E117" s="38" t="str">
        <f>VLOOKUP(C117,PoliticalControl!A:K,11,FALSE)</f>
        <v>LAB</v>
      </c>
      <c r="F117" s="38" t="str">
        <f>VLOOKUP(C117,UrbanRuralClassification!A:N,13,FALSE)</f>
        <v>Urban with City and Town</v>
      </c>
      <c r="G117" s="38" t="str">
        <f>VLOOKUP(C117,UrbanRuralClassification!A:N,14,FALSE)</f>
        <v>Predominantly Urban</v>
      </c>
      <c r="H117" s="258">
        <f>IF(ISBLANK((VLOOKUP($A117,'local-plan-data'!$C$1:$AD$566,27,FALSE)))=TRUE,"",VLOOKUP($A117,'local-plan-data'!$C$1:$AD$566,27,FALSE))</f>
        <v>41381</v>
      </c>
      <c r="I117" s="259">
        <f>VLOOKUP($A117,'local-plan-data'!$C$1:$AD$566,28,FALSE)</f>
        <v>551.66666666666663</v>
      </c>
      <c r="J117" s="260">
        <f t="shared" si="85"/>
        <v>551.66666666666663</v>
      </c>
      <c r="K117" s="259">
        <f t="shared" si="133"/>
        <v>551.66666666666663</v>
      </c>
      <c r="L117" s="259" t="str">
        <f t="shared" si="131"/>
        <v>-</v>
      </c>
      <c r="M117" s="259" t="str">
        <f t="shared" si="131"/>
        <v>-</v>
      </c>
      <c r="N117" s="259" t="str">
        <f t="shared" si="131"/>
        <v>-</v>
      </c>
      <c r="O117" s="259" t="str">
        <f t="shared" si="131"/>
        <v>-</v>
      </c>
      <c r="P117" s="259" t="str">
        <f t="shared" si="131"/>
        <v>-</v>
      </c>
      <c r="Q117" s="259" t="str">
        <f t="shared" si="131"/>
        <v>-</v>
      </c>
      <c r="R117" s="259" t="str">
        <f t="shared" si="131"/>
        <v>-</v>
      </c>
      <c r="S117" s="259">
        <f t="shared" si="134"/>
        <v>16</v>
      </c>
      <c r="T117" s="259">
        <f t="shared" si="132"/>
        <v>-349</v>
      </c>
      <c r="U117" s="259">
        <f t="shared" si="132"/>
        <v>-715</v>
      </c>
      <c r="V117" s="259">
        <f t="shared" si="132"/>
        <v>-1080</v>
      </c>
      <c r="W117" s="259">
        <f t="shared" si="132"/>
        <v>-1445</v>
      </c>
      <c r="X117" s="259">
        <f t="shared" si="132"/>
        <v>-1810</v>
      </c>
      <c r="Y117" s="259">
        <f t="shared" si="132"/>
        <v>-2176</v>
      </c>
      <c r="Z117" s="259">
        <f t="shared" si="132"/>
        <v>-2541</v>
      </c>
      <c r="AA117" s="267">
        <f>(VLOOKUP(A117,Hshldprojections2014!$A$2:$AW$319,40, FALSE)-VLOOKUP(A117,Hshldprojections2014!$A$2:$AW$319,30, FALSE))/10</f>
        <v>252.2</v>
      </c>
      <c r="AB117" s="267">
        <f>(VLOOKUP(A117,Hshldprojections2014!$A$2:$AW$319,41, FALSE)-VLOOKUP(A117,Hshldprojections2014!$A$2:$AW$319,31, FALSE))/10</f>
        <v>241.2</v>
      </c>
      <c r="AC117" s="267">
        <f>(VLOOKUP(A117,Hshldprojections2014!$A$2:$AW$319,42, FALSE)-VLOOKUP(A117,Hshldprojections2014!$A$2:$AW$319,32, FALSE))/10</f>
        <v>233.9</v>
      </c>
      <c r="AD117" s="267">
        <f>IF(IndividualLATest!$J$7=2014,(VLOOKUP($A117,Hshldprojections2014!$A$2:$AY$326,43,FALSE)-VLOOKUP($A117,Hshldprojections2014!$A$2:$AY$326,33,FALSE))/10,IF(IndividualLATest!$J$7=2016,(VLOOKUP($A117,Hshldprojections2016!$A$1:$AQ$322,33,FALSE)-VLOOKUP($A117,Hshldprojections2016!$A$1:$AQ$322,23,FALSE))/10,(VLOOKUP($A117,Hshldprojections2018!$A$1:$AQ$327,33,FALSE)-VLOOKUP($A117,Hshldprojections2018!$A$1:$AQ$327,23,FALSE))/10))</f>
        <v>344.1</v>
      </c>
      <c r="AE117" s="267">
        <f>IF(IndividualLATest!$J$7=2014,(VLOOKUP($A117,Hshldprojections2014!$A$2:$AY$326,44,FALSE)-VLOOKUP($A117,Hshldprojections2014!$A$2:$AY$326,34,FALSE))/10,IF(IndividualLATest!$J$7=2016,(VLOOKUP($A117,Hshldprojections2016!$A$1:$AQ$322,34,FALSE)-VLOOKUP($A117,Hshldprojections2016!$A$1:$AQ$322,24,FALSE))/10,(VLOOKUP($A117,Hshldprojections2018!$A$1:$AQ$327,34,FALSE)-VLOOKUP($A117,Hshldprojections2018!$A$1:$AQ$327,24,FALSE))/10))</f>
        <v>335.4</v>
      </c>
      <c r="AF117" s="267">
        <f>IF(IndividualLATest!$J$7=2014,(VLOOKUP($A117,Hshldprojections2014!$A$2:$AY$326,45,FALSE)-VLOOKUP($A117,Hshldprojections2014!$A$2:$AY$326,35,FALSE))/10,IF(IndividualLATest!$J$7=2016,(VLOOKUP($A117,Hshldprojections2016!$A$1:$AQ$322,35,FALSE)-VLOOKUP($A117,Hshldprojections2016!$A$1:$AQ$322,25,FALSE))/10,(VLOOKUP($A117,Hshldprojections2018!$A$1:$AQ$327,35,FALSE)-VLOOKUP($A117,Hshldprojections2018!$A$1:$AQ$327,25,FALSE))/10))</f>
        <v>328.9</v>
      </c>
      <c r="AG117" s="267">
        <f>IF(IndividualLATest!$J$7=2014,(VLOOKUP($A117,Hshldprojections2014!$A$2:$AY$326,46,FALSE)-VLOOKUP($A117,Hshldprojections2014!$A$2:$AY$326,36,FALSE))/10,IF(IndividualLATest!$J$7=2016,(VLOOKUP($A117,Hshldprojections2016!$A$1:$AQ$322,36,FALSE)-VLOOKUP($A117,Hshldprojections2016!$A$1:$AQ$322,26,FALSE))/10,(VLOOKUP($A117,Hshldprojections2018!$A$1:$AQ$327,36,FALSE)-VLOOKUP($A117,Hshldprojections2018!$A$1:$AQ$327,26,FALSE))/10))</f>
        <v>320.10000000000002</v>
      </c>
      <c r="AH117" s="267">
        <f>IF(IndividualLATest!$J$7=2014,(VLOOKUP($A117,Hshldprojections2014!$A$2:$AY$326,47,FALSE)-VLOOKUP($A117,Hshldprojections2014!$A$2:$AY$326,37,FALSE))/10,IF(IndividualLATest!$J$7=2016,(VLOOKUP($A117,Hshldprojections2016!$A$1:$AQ$322,37,FALSE)-VLOOKUP($A117,Hshldprojections2016!$A$1:$AQ$322,27,FALSE))/10,(VLOOKUP($A117,Hshldprojections2018!$A$1:$AQ$327,37,FALSE)-VLOOKUP($A117,Hshldprojections2018!$A$1:$AQ$327,27,FALSE))/10))</f>
        <v>315.10000000000002</v>
      </c>
      <c r="AI117" s="268">
        <f>VLOOKUP($A117,AffordabilityRatio!$A$2:$I$321,5,FALSE)</f>
        <v>4.76</v>
      </c>
      <c r="AJ117" s="268">
        <f>VLOOKUP($A117,AffordabilityRatio!$A$2:$I$321,6,FALSE)</f>
        <v>4.79</v>
      </c>
      <c r="AK117" s="268">
        <f>VLOOKUP($A117,AffordabilityRatio!$A$2:$I$321,7,FALSE)</f>
        <v>4.92</v>
      </c>
      <c r="AL117" s="268">
        <f>IF((VLOOKUP($A117,AffordabilityRatio!$A$2:$I$321,8,FALSE))="",AK117,VLOOKUP($A117,AffordabilityRatio!$A$2:$I$321,8,FALSE))</f>
        <v>4.87</v>
      </c>
      <c r="AM117" s="268">
        <f>IF((VLOOKUP($A117,AffordabilityRatio!$A$2:$I$321,9,FALSE))="",AL117,VLOOKUP($A117,AffordabilityRatio!$A$2:$I$321,9,FALSE))</f>
        <v>5.47</v>
      </c>
      <c r="AN117" s="268">
        <f>IF((VLOOKUP($A117,AffordabilityRatio!$A$2:$I$321,9,FALSE))="",AM117,VLOOKUP($A117,AffordabilityRatio!$A$2:$I$321,9,FALSE))</f>
        <v>5.47</v>
      </c>
      <c r="AO117" s="268">
        <f>IF((VLOOKUP($A117,AffordabilityRatio!$A$2:$I$321,9,FALSE))="",AN117,VLOOKUP($A117,AffordabilityRatio!$A$2:$I$321,9,FALSE))</f>
        <v>5.47</v>
      </c>
      <c r="AP117" s="268">
        <f>IF((VLOOKUP($A117,AffordabilityRatio!$A$2:$I$321,9,FALSE))="",AO117,VLOOKUP($A117,AffordabilityRatio!$A$2:$I$321,9,FALSE))</f>
        <v>5.47</v>
      </c>
      <c r="AQ117" s="267">
        <f t="shared" si="86"/>
        <v>264</v>
      </c>
      <c r="AR117" s="267">
        <f t="shared" si="87"/>
        <v>253</v>
      </c>
      <c r="AS117" s="267">
        <f t="shared" si="88"/>
        <v>247</v>
      </c>
      <c r="AT117" s="267">
        <f t="shared" si="89"/>
        <v>363</v>
      </c>
      <c r="AU117" s="267">
        <f t="shared" si="90"/>
        <v>366</v>
      </c>
      <c r="AV117" s="267">
        <f t="shared" si="91"/>
        <v>359</v>
      </c>
      <c r="AW117" s="267">
        <f t="shared" si="92"/>
        <v>350</v>
      </c>
      <c r="AX117" s="267">
        <f t="shared" si="93"/>
        <v>344</v>
      </c>
      <c r="AY117" s="267">
        <f t="shared" si="94"/>
        <v>264</v>
      </c>
      <c r="AZ117" s="267">
        <f t="shared" si="95"/>
        <v>253</v>
      </c>
      <c r="BA117" s="267">
        <f t="shared" si="96"/>
        <v>247</v>
      </c>
      <c r="BB117" s="267">
        <f t="shared" si="97"/>
        <v>363</v>
      </c>
      <c r="BC117" s="267">
        <f t="shared" si="98"/>
        <v>366</v>
      </c>
      <c r="BD117" s="267">
        <f t="shared" si="99"/>
        <v>359</v>
      </c>
      <c r="BE117" s="267">
        <f t="shared" si="100"/>
        <v>350</v>
      </c>
      <c r="BF117" s="267">
        <f t="shared" si="101"/>
        <v>344</v>
      </c>
      <c r="BG117" s="269">
        <f>AY117*VLOOKUP($B117,'Major Cities &amp; Towns'!$A$28:$B$345,2,FALSE)</f>
        <v>264</v>
      </c>
      <c r="BH117" s="269">
        <f>AZ117*VLOOKUP($B117,'Major Cities &amp; Towns'!$A$28:$B$345,2,FALSE)</f>
        <v>253</v>
      </c>
      <c r="BI117" s="269">
        <f>BA117*VLOOKUP($B117,'Major Cities &amp; Towns'!$A$28:$B$345,2,FALSE)</f>
        <v>247</v>
      </c>
      <c r="BJ117" s="269">
        <f>BB117*VLOOKUP($B117,'Major Cities &amp; Towns'!$A$28:$B$345,2,FALSE)</f>
        <v>363</v>
      </c>
      <c r="BK117" s="269">
        <f>BC117*VLOOKUP($B117,'Major Cities &amp; Towns'!$A$28:$B$345,2,FALSE)</f>
        <v>366</v>
      </c>
      <c r="BL117" s="269">
        <f>BD117*VLOOKUP($B117,'Major Cities &amp; Towns'!$A$28:$B$345,2,FALSE)</f>
        <v>359</v>
      </c>
      <c r="BM117" s="269">
        <f>BE117*VLOOKUP($B117,'Major Cities &amp; Towns'!$A$28:$B$345,2,FALSE)</f>
        <v>350</v>
      </c>
      <c r="BN117" s="269">
        <f>BF117*VLOOKUP($B117,'Major Cities &amp; Towns'!$A$28:$B$345,2,FALSE)</f>
        <v>344</v>
      </c>
      <c r="BO117" s="270">
        <f t="shared" si="102"/>
        <v>264</v>
      </c>
      <c r="BP117" s="270">
        <f t="shared" si="103"/>
        <v>253</v>
      </c>
      <c r="BQ117" s="270">
        <f t="shared" si="104"/>
        <v>247</v>
      </c>
      <c r="BR117" s="270">
        <f t="shared" si="105"/>
        <v>363</v>
      </c>
      <c r="BS117" s="270">
        <f t="shared" si="106"/>
        <v>366</v>
      </c>
      <c r="BT117" s="270">
        <f t="shared" si="107"/>
        <v>359</v>
      </c>
      <c r="BU117" s="270">
        <f t="shared" si="108"/>
        <v>350</v>
      </c>
      <c r="BV117" s="270">
        <f t="shared" si="109"/>
        <v>344</v>
      </c>
      <c r="BW117" s="39">
        <f>VLOOKUP($A117,NetAdditions!$A$2:$H$336,6,FALSE)</f>
        <v>597</v>
      </c>
      <c r="BX117" s="39">
        <f>VLOOKUP($A117,NetAdditions!$A$2:$H$336,7,FALSE)</f>
        <v>601</v>
      </c>
      <c r="BY117" s="39">
        <f>IF((VLOOKUP($C117,NetAdditions!$A$2:$H$336,8,FALSE))="",(AVERAGE(VLOOKUP($C117,NetAdditions!$A$2:$H$336,5,FALSE),VLOOKUP($C117,NetAdditions!$A$2:$H$336,6,FALSE),VLOOKUP($C117,NetAdditions!$A$2:$H$336,7,FALSE))),VLOOKUP($C117,NetAdditions!$A$2:$H$336,8,FALSE))</f>
        <v>97</v>
      </c>
      <c r="BZ117" s="39">
        <f t="shared" si="110"/>
        <v>431.66666666666669</v>
      </c>
      <c r="CA117" s="39">
        <f t="shared" si="111"/>
        <v>376.5555555555556</v>
      </c>
      <c r="CB117" s="39">
        <f t="shared" si="112"/>
        <v>301.74074074074082</v>
      </c>
      <c r="CC117" s="39">
        <f t="shared" si="113"/>
        <v>369.9876543209877</v>
      </c>
      <c r="CD117" s="39">
        <f t="shared" si="114"/>
        <v>349.42798353909467</v>
      </c>
      <c r="CE117" s="276">
        <f t="shared" si="71"/>
        <v>764</v>
      </c>
      <c r="CF117" s="276">
        <f t="shared" si="72"/>
        <v>863</v>
      </c>
      <c r="CG117" s="276">
        <f t="shared" si="73"/>
        <v>976</v>
      </c>
      <c r="CH117" s="276">
        <f t="shared" si="74"/>
        <v>1088</v>
      </c>
      <c r="CI117" s="276">
        <f t="shared" si="75"/>
        <v>1075</v>
      </c>
      <c r="CJ117" s="276">
        <f t="shared" si="76"/>
        <v>1053</v>
      </c>
      <c r="CK117" s="276">
        <f t="shared" si="115"/>
        <v>657.88888888888891</v>
      </c>
      <c r="CL117" s="276">
        <f t="shared" si="116"/>
        <v>743.13888888888891</v>
      </c>
      <c r="CM117" s="276">
        <f t="shared" si="117"/>
        <v>894.66666666666663</v>
      </c>
      <c r="CN117" s="276">
        <f t="shared" si="118"/>
        <v>1088</v>
      </c>
      <c r="CO117" s="276">
        <f t="shared" si="119"/>
        <v>1075</v>
      </c>
      <c r="CP117" s="276">
        <f t="shared" si="120"/>
        <v>1053</v>
      </c>
      <c r="CQ117" s="39">
        <f t="shared" si="77"/>
        <v>1295</v>
      </c>
      <c r="CR117" s="39">
        <f t="shared" si="78"/>
        <v>1129.6666666666667</v>
      </c>
      <c r="CS117" s="277">
        <f t="shared" si="79"/>
        <v>905.2222222222224</v>
      </c>
      <c r="CT117" s="39">
        <f t="shared" si="80"/>
        <v>1109.962962962963</v>
      </c>
      <c r="CU117" s="39">
        <f t="shared" si="81"/>
        <v>1048.2839506172841</v>
      </c>
      <c r="CV117" s="39">
        <f t="shared" si="121"/>
        <v>1021.1563786008232</v>
      </c>
      <c r="CW117" s="297">
        <f t="shared" si="82"/>
        <v>1.9684174970444182</v>
      </c>
      <c r="CX117" s="279" t="str">
        <f t="shared" si="122"/>
        <v>Pass</v>
      </c>
      <c r="CY117" s="278">
        <f t="shared" si="83"/>
        <v>1.5201285837102381</v>
      </c>
      <c r="CZ117" s="279" t="str">
        <f t="shared" si="123"/>
        <v>Pass</v>
      </c>
      <c r="DA117" s="278">
        <f t="shared" si="84"/>
        <v>1.011798310978639</v>
      </c>
      <c r="DB117" s="292" t="str">
        <f t="shared" si="124"/>
        <v>Pass</v>
      </c>
      <c r="DC117" s="299">
        <f t="shared" si="125"/>
        <v>1.0201865468409588</v>
      </c>
      <c r="DD117" s="293" t="str">
        <f t="shared" si="126"/>
        <v>Pass</v>
      </c>
      <c r="DE117" s="299">
        <f t="shared" si="127"/>
        <v>0.97514786103933404</v>
      </c>
      <c r="DF117" s="293" t="str">
        <f t="shared" si="128"/>
        <v>Pass</v>
      </c>
      <c r="DG117" s="299">
        <f t="shared" si="129"/>
        <v>0.96975914397039242</v>
      </c>
      <c r="DH117" s="293" t="str">
        <f t="shared" si="130"/>
        <v>Pass</v>
      </c>
    </row>
    <row r="118" spans="1:112" ht="15" thickTop="1" thickBot="1">
      <c r="A118" s="38" t="s">
        <v>346</v>
      </c>
      <c r="B118" s="38" t="s">
        <v>347</v>
      </c>
      <c r="C118" s="38" t="s">
        <v>346</v>
      </c>
      <c r="D118" s="38" t="s">
        <v>136</v>
      </c>
      <c r="E118" s="38" t="str">
        <f>VLOOKUP(C118,PoliticalControl!A:K,11,FALSE)</f>
        <v>CON</v>
      </c>
      <c r="F118" s="38" t="str">
        <f>VLOOKUP(C118,UrbanRuralClassification!A:N,13,FALSE)</f>
        <v xml:space="preserve">Mainly Rural (rural including hub towns &gt;=80%) </v>
      </c>
      <c r="G118" s="38" t="str">
        <f>VLOOKUP(C118,UrbanRuralClassification!A:N,14,FALSE)</f>
        <v>Predominantly Rural</v>
      </c>
      <c r="H118" s="258">
        <f>IF(ISBLANK((VLOOKUP($A118,'local-plan-data'!$C$1:$AD$566,27,FALSE)))=TRUE,"",VLOOKUP($A118,'local-plan-data'!$C$1:$AD$566,27,FALSE))</f>
        <v>39175</v>
      </c>
      <c r="I118" s="259">
        <f>VLOOKUP($A118,'local-plan-data'!$C$1:$AD$566,28,FALSE)</f>
        <v>293.52941176470586</v>
      </c>
      <c r="J118" s="260">
        <f t="shared" si="85"/>
        <v>293.52941176470586</v>
      </c>
      <c r="K118" s="259" t="str">
        <f t="shared" si="133"/>
        <v>-</v>
      </c>
      <c r="L118" s="259" t="str">
        <f t="shared" si="131"/>
        <v>-</v>
      </c>
      <c r="M118" s="259" t="str">
        <f t="shared" si="131"/>
        <v>-</v>
      </c>
      <c r="N118" s="259" t="str">
        <f t="shared" si="131"/>
        <v>-</v>
      </c>
      <c r="O118" s="259" t="str">
        <f t="shared" si="131"/>
        <v>-</v>
      </c>
      <c r="P118" s="259" t="str">
        <f t="shared" si="131"/>
        <v>-</v>
      </c>
      <c r="Q118" s="259" t="str">
        <f t="shared" si="131"/>
        <v>-</v>
      </c>
      <c r="R118" s="259" t="str">
        <f t="shared" si="131"/>
        <v>-</v>
      </c>
      <c r="S118" s="259">
        <f t="shared" si="134"/>
        <v>-2189</v>
      </c>
      <c r="T118" s="259">
        <f t="shared" si="132"/>
        <v>-2554</v>
      </c>
      <c r="U118" s="259">
        <f t="shared" si="132"/>
        <v>-2920</v>
      </c>
      <c r="V118" s="259">
        <f t="shared" si="132"/>
        <v>-3285</v>
      </c>
      <c r="W118" s="259">
        <f t="shared" si="132"/>
        <v>-3650</v>
      </c>
      <c r="X118" s="259">
        <f t="shared" si="132"/>
        <v>-4015</v>
      </c>
      <c r="Y118" s="259">
        <f t="shared" si="132"/>
        <v>-4381</v>
      </c>
      <c r="Z118" s="259">
        <f t="shared" si="132"/>
        <v>-4746</v>
      </c>
      <c r="AA118" s="267">
        <f>(VLOOKUP(A118,Hshldprojections2014!$A$2:$AW$319,40, FALSE)-VLOOKUP(A118,Hshldprojections2014!$A$2:$AW$319,30, FALSE))/10</f>
        <v>164.6</v>
      </c>
      <c r="AB118" s="267">
        <f>(VLOOKUP(A118,Hshldprojections2014!$A$2:$AW$319,41, FALSE)-VLOOKUP(A118,Hshldprojections2014!$A$2:$AW$319,31, FALSE))/10</f>
        <v>156.30000000000001</v>
      </c>
      <c r="AC118" s="267">
        <f>(VLOOKUP(A118,Hshldprojections2014!$A$2:$AW$319,42, FALSE)-VLOOKUP(A118,Hshldprojections2014!$A$2:$AW$319,32, FALSE))/10</f>
        <v>149.4</v>
      </c>
      <c r="AD118" s="267">
        <f>IF(IndividualLATest!$J$7=2014,(VLOOKUP($A118,Hshldprojections2014!$A$2:$AY$326,43,FALSE)-VLOOKUP($A118,Hshldprojections2014!$A$2:$AY$326,33,FALSE))/10,IF(IndividualLATest!$J$7=2016,(VLOOKUP($A118,Hshldprojections2016!$A$1:$AQ$322,33,FALSE)-VLOOKUP($A118,Hshldprojections2016!$A$1:$AQ$322,23,FALSE))/10,(VLOOKUP($A118,Hshldprojections2018!$A$1:$AQ$327,33,FALSE)-VLOOKUP($A118,Hshldprojections2018!$A$1:$AQ$327,23,FALSE))/10))</f>
        <v>189.4</v>
      </c>
      <c r="AE118" s="267">
        <f>IF(IndividualLATest!$J$7=2014,(VLOOKUP($A118,Hshldprojections2014!$A$2:$AY$326,44,FALSE)-VLOOKUP($A118,Hshldprojections2014!$A$2:$AY$326,34,FALSE))/10,IF(IndividualLATest!$J$7=2016,(VLOOKUP($A118,Hshldprojections2016!$A$1:$AQ$322,34,FALSE)-VLOOKUP($A118,Hshldprojections2016!$A$1:$AQ$322,24,FALSE))/10,(VLOOKUP($A118,Hshldprojections2018!$A$1:$AQ$327,34,FALSE)-VLOOKUP($A118,Hshldprojections2018!$A$1:$AQ$327,24,FALSE))/10))</f>
        <v>179.6</v>
      </c>
      <c r="AF118" s="267">
        <f>IF(IndividualLATest!$J$7=2014,(VLOOKUP($A118,Hshldprojections2014!$A$2:$AY$326,45,FALSE)-VLOOKUP($A118,Hshldprojections2014!$A$2:$AY$326,35,FALSE))/10,IF(IndividualLATest!$J$7=2016,(VLOOKUP($A118,Hshldprojections2016!$A$1:$AQ$322,35,FALSE)-VLOOKUP($A118,Hshldprojections2016!$A$1:$AQ$322,25,FALSE))/10,(VLOOKUP($A118,Hshldprojections2018!$A$1:$AQ$327,35,FALSE)-VLOOKUP($A118,Hshldprojections2018!$A$1:$AQ$327,25,FALSE))/10))</f>
        <v>172.6</v>
      </c>
      <c r="AG118" s="267">
        <f>IF(IndividualLATest!$J$7=2014,(VLOOKUP($A118,Hshldprojections2014!$A$2:$AY$326,46,FALSE)-VLOOKUP($A118,Hshldprojections2014!$A$2:$AY$326,36,FALSE))/10,IF(IndividualLATest!$J$7=2016,(VLOOKUP($A118,Hshldprojections2016!$A$1:$AQ$322,36,FALSE)-VLOOKUP($A118,Hshldprojections2016!$A$1:$AQ$322,26,FALSE))/10,(VLOOKUP($A118,Hshldprojections2018!$A$1:$AQ$327,36,FALSE)-VLOOKUP($A118,Hshldprojections2018!$A$1:$AQ$327,26,FALSE))/10))</f>
        <v>166.2</v>
      </c>
      <c r="AH118" s="267">
        <f>IF(IndividualLATest!$J$7=2014,(VLOOKUP($A118,Hshldprojections2014!$A$2:$AY$326,47,FALSE)-VLOOKUP($A118,Hshldprojections2014!$A$2:$AY$326,37,FALSE))/10,IF(IndividualLATest!$J$7=2016,(VLOOKUP($A118,Hshldprojections2016!$A$1:$AQ$322,37,FALSE)-VLOOKUP($A118,Hshldprojections2016!$A$1:$AQ$322,27,FALSE))/10,(VLOOKUP($A118,Hshldprojections2018!$A$1:$AQ$327,37,FALSE)-VLOOKUP($A118,Hshldprojections2018!$A$1:$AQ$327,27,FALSE))/10))</f>
        <v>161.6</v>
      </c>
      <c r="AI118" s="268">
        <f>VLOOKUP($A118,AffordabilityRatio!$A$2:$I$321,5,FALSE)</f>
        <v>9.59</v>
      </c>
      <c r="AJ118" s="268">
        <f>VLOOKUP($A118,AffordabilityRatio!$A$2:$I$321,6,FALSE)</f>
        <v>9.06</v>
      </c>
      <c r="AK118" s="268">
        <f>VLOOKUP($A118,AffordabilityRatio!$A$2:$I$321,7,FALSE)</f>
        <v>8.9600000000000009</v>
      </c>
      <c r="AL118" s="268">
        <f>IF((VLOOKUP($A118,AffordabilityRatio!$A$2:$I$321,8,FALSE))="",AK118,VLOOKUP($A118,AffordabilityRatio!$A$2:$I$321,8,FALSE))</f>
        <v>9</v>
      </c>
      <c r="AM118" s="268">
        <f>IF((VLOOKUP($A118,AffordabilityRatio!$A$2:$I$321,9,FALSE))="",AL118,VLOOKUP($A118,AffordabilityRatio!$A$2:$I$321,9,FALSE))</f>
        <v>9.7200000000000006</v>
      </c>
      <c r="AN118" s="268">
        <f>IF((VLOOKUP($A118,AffordabilityRatio!$A$2:$I$321,9,FALSE))="",AM118,VLOOKUP($A118,AffordabilityRatio!$A$2:$I$321,9,FALSE))</f>
        <v>9.7200000000000006</v>
      </c>
      <c r="AO118" s="268">
        <f>IF((VLOOKUP($A118,AffordabilityRatio!$A$2:$I$321,9,FALSE))="",AN118,VLOOKUP($A118,AffordabilityRatio!$A$2:$I$321,9,FALSE))</f>
        <v>9.7200000000000006</v>
      </c>
      <c r="AP118" s="268">
        <f>IF((VLOOKUP($A118,AffordabilityRatio!$A$2:$I$321,9,FALSE))="",AO118,VLOOKUP($A118,AffordabilityRatio!$A$2:$I$321,9,FALSE))</f>
        <v>9.7200000000000006</v>
      </c>
      <c r="AQ118" s="267">
        <f t="shared" si="86"/>
        <v>222</v>
      </c>
      <c r="AR118" s="267">
        <f t="shared" si="87"/>
        <v>206</v>
      </c>
      <c r="AS118" s="267">
        <f t="shared" si="88"/>
        <v>196</v>
      </c>
      <c r="AT118" s="267">
        <f t="shared" si="89"/>
        <v>249</v>
      </c>
      <c r="AU118" s="267">
        <f t="shared" si="90"/>
        <v>244</v>
      </c>
      <c r="AV118" s="267">
        <f t="shared" si="91"/>
        <v>234</v>
      </c>
      <c r="AW118" s="267">
        <f t="shared" si="92"/>
        <v>226</v>
      </c>
      <c r="AX118" s="267">
        <f t="shared" si="93"/>
        <v>219</v>
      </c>
      <c r="AY118" s="267">
        <f t="shared" si="94"/>
        <v>222</v>
      </c>
      <c r="AZ118" s="267">
        <f t="shared" si="95"/>
        <v>206</v>
      </c>
      <c r="BA118" s="267">
        <f t="shared" si="96"/>
        <v>196</v>
      </c>
      <c r="BB118" s="267">
        <f t="shared" si="97"/>
        <v>249</v>
      </c>
      <c r="BC118" s="267">
        <f t="shared" si="98"/>
        <v>244</v>
      </c>
      <c r="BD118" s="267">
        <f t="shared" si="99"/>
        <v>234</v>
      </c>
      <c r="BE118" s="267">
        <f t="shared" si="100"/>
        <v>226</v>
      </c>
      <c r="BF118" s="267">
        <f t="shared" si="101"/>
        <v>219</v>
      </c>
      <c r="BG118" s="269">
        <f>AY118*VLOOKUP($B118,'Major Cities &amp; Towns'!$A$28:$B$345,2,FALSE)</f>
        <v>222</v>
      </c>
      <c r="BH118" s="269">
        <f>AZ118*VLOOKUP($B118,'Major Cities &amp; Towns'!$A$28:$B$345,2,FALSE)</f>
        <v>206</v>
      </c>
      <c r="BI118" s="269">
        <f>BA118*VLOOKUP($B118,'Major Cities &amp; Towns'!$A$28:$B$345,2,FALSE)</f>
        <v>196</v>
      </c>
      <c r="BJ118" s="269">
        <f>BB118*VLOOKUP($B118,'Major Cities &amp; Towns'!$A$28:$B$345,2,FALSE)</f>
        <v>249</v>
      </c>
      <c r="BK118" s="269">
        <f>BC118*VLOOKUP($B118,'Major Cities &amp; Towns'!$A$28:$B$345,2,FALSE)</f>
        <v>244</v>
      </c>
      <c r="BL118" s="269">
        <f>BD118*VLOOKUP($B118,'Major Cities &amp; Towns'!$A$28:$B$345,2,FALSE)</f>
        <v>234</v>
      </c>
      <c r="BM118" s="269">
        <f>BE118*VLOOKUP($B118,'Major Cities &amp; Towns'!$A$28:$B$345,2,FALSE)</f>
        <v>226</v>
      </c>
      <c r="BN118" s="269">
        <f>BF118*VLOOKUP($B118,'Major Cities &amp; Towns'!$A$28:$B$345,2,FALSE)</f>
        <v>219</v>
      </c>
      <c r="BO118" s="270">
        <f t="shared" si="102"/>
        <v>222</v>
      </c>
      <c r="BP118" s="270">
        <f t="shared" si="103"/>
        <v>206</v>
      </c>
      <c r="BQ118" s="270">
        <f t="shared" si="104"/>
        <v>196</v>
      </c>
      <c r="BR118" s="270">
        <f t="shared" si="105"/>
        <v>249</v>
      </c>
      <c r="BS118" s="270">
        <f t="shared" si="106"/>
        <v>244</v>
      </c>
      <c r="BT118" s="270">
        <f t="shared" si="107"/>
        <v>234</v>
      </c>
      <c r="BU118" s="270">
        <f t="shared" si="108"/>
        <v>226</v>
      </c>
      <c r="BV118" s="270">
        <f t="shared" si="109"/>
        <v>219</v>
      </c>
      <c r="BW118" s="39">
        <f>VLOOKUP($A118,NetAdditions!$A$2:$H$336,6,FALSE)</f>
        <v>473</v>
      </c>
      <c r="BX118" s="39">
        <f>VLOOKUP($A118,NetAdditions!$A$2:$H$336,7,FALSE)</f>
        <v>658</v>
      </c>
      <c r="BY118" s="39">
        <f>IF((VLOOKUP($C118,NetAdditions!$A$2:$H$336,8,FALSE))="",(AVERAGE(VLOOKUP($C118,NetAdditions!$A$2:$H$336,5,FALSE),VLOOKUP($C118,NetAdditions!$A$2:$H$336,6,FALSE),VLOOKUP($C118,NetAdditions!$A$2:$H$336,7,FALSE))),VLOOKUP($C118,NetAdditions!$A$2:$H$336,8,FALSE))</f>
        <v>594</v>
      </c>
      <c r="BZ118" s="39">
        <f t="shared" si="110"/>
        <v>575</v>
      </c>
      <c r="CA118" s="39">
        <f t="shared" si="111"/>
        <v>609</v>
      </c>
      <c r="CB118" s="39">
        <f t="shared" si="112"/>
        <v>592.66666666666663</v>
      </c>
      <c r="CC118" s="39">
        <f t="shared" si="113"/>
        <v>592.22222222222217</v>
      </c>
      <c r="CD118" s="39">
        <f t="shared" si="114"/>
        <v>597.96296296296293</v>
      </c>
      <c r="CE118" s="276">
        <f t="shared" si="71"/>
        <v>624</v>
      </c>
      <c r="CF118" s="276">
        <f t="shared" si="72"/>
        <v>651</v>
      </c>
      <c r="CG118" s="276">
        <f t="shared" si="73"/>
        <v>689</v>
      </c>
      <c r="CH118" s="276">
        <f t="shared" si="74"/>
        <v>727</v>
      </c>
      <c r="CI118" s="276">
        <f t="shared" si="75"/>
        <v>704</v>
      </c>
      <c r="CJ118" s="276">
        <f t="shared" si="76"/>
        <v>679</v>
      </c>
      <c r="CK118" s="276">
        <f t="shared" si="115"/>
        <v>537.33333333333337</v>
      </c>
      <c r="CL118" s="276">
        <f t="shared" si="116"/>
        <v>560.58333333333337</v>
      </c>
      <c r="CM118" s="276">
        <f t="shared" si="117"/>
        <v>631.58333333333326</v>
      </c>
      <c r="CN118" s="276">
        <f t="shared" si="118"/>
        <v>727</v>
      </c>
      <c r="CO118" s="276">
        <f t="shared" si="119"/>
        <v>704</v>
      </c>
      <c r="CP118" s="276">
        <f t="shared" si="120"/>
        <v>679</v>
      </c>
      <c r="CQ118" s="39">
        <f t="shared" si="77"/>
        <v>1725</v>
      </c>
      <c r="CR118" s="39">
        <f t="shared" si="78"/>
        <v>1827</v>
      </c>
      <c r="CS118" s="277">
        <f t="shared" si="79"/>
        <v>1778</v>
      </c>
      <c r="CT118" s="39">
        <f t="shared" si="80"/>
        <v>1776.6666666666665</v>
      </c>
      <c r="CU118" s="39">
        <f t="shared" si="81"/>
        <v>1793.8888888888887</v>
      </c>
      <c r="CV118" s="39">
        <f t="shared" si="121"/>
        <v>1782.8518518518517</v>
      </c>
      <c r="CW118" s="297">
        <f t="shared" si="82"/>
        <v>3.2102977667493793</v>
      </c>
      <c r="CX118" s="279" t="str">
        <f t="shared" si="122"/>
        <v>Pass</v>
      </c>
      <c r="CY118" s="278">
        <f t="shared" si="83"/>
        <v>3.2591050988553589</v>
      </c>
      <c r="CZ118" s="279" t="str">
        <f t="shared" si="123"/>
        <v>Pass</v>
      </c>
      <c r="DA118" s="278">
        <f t="shared" si="84"/>
        <v>2.8151471170339097</v>
      </c>
      <c r="DB118" s="292" t="str">
        <f t="shared" si="124"/>
        <v>Pass</v>
      </c>
      <c r="DC118" s="299">
        <f t="shared" si="125"/>
        <v>2.4438331040806966</v>
      </c>
      <c r="DD118" s="293" t="str">
        <f t="shared" si="126"/>
        <v>Pass</v>
      </c>
      <c r="DE118" s="299">
        <f t="shared" si="127"/>
        <v>2.5481376262626259</v>
      </c>
      <c r="DF118" s="293" t="str">
        <f t="shared" si="128"/>
        <v>Pass</v>
      </c>
      <c r="DG118" s="299">
        <f t="shared" si="129"/>
        <v>2.6257022854960996</v>
      </c>
      <c r="DH118" s="293" t="str">
        <f t="shared" si="130"/>
        <v>Pass</v>
      </c>
    </row>
    <row r="119" spans="1:112" customFormat="1" ht="15.5" thickTop="1" thickBot="1">
      <c r="A119" s="3" t="s">
        <v>348</v>
      </c>
      <c r="B119" s="3" t="s">
        <v>349</v>
      </c>
      <c r="C119" s="3" t="s">
        <v>348</v>
      </c>
      <c r="D119" s="3" t="s">
        <v>131</v>
      </c>
      <c r="E119" s="3" t="str">
        <f>VLOOKUP(C119,PoliticalControl!A:K,11,FALSE)</f>
        <v>LAB</v>
      </c>
      <c r="F119" s="3" t="str">
        <f>VLOOKUP(C119,UrbanRuralClassification!A:N,13,FALSE)</f>
        <v>Urban with Major Conurbation</v>
      </c>
      <c r="G119" s="3" t="str">
        <f>VLOOKUP(C119,UrbanRuralClassification!A:N,14,FALSE)</f>
        <v>Predominantly Urban</v>
      </c>
      <c r="H119" s="262">
        <f>IF(ISBLANK((VLOOKUP($A119,'local-plan-data'!$C$1:$AD$566,27,FALSE)))=TRUE,"",VLOOKUP($A119,'local-plan-data'!$C$1:$AD$566,27,FALSE))</f>
        <v>43159</v>
      </c>
      <c r="I119" s="263">
        <f>VLOOKUP($A119,'local-plan-data'!$C$1:$AD$566,28,FALSE)</f>
        <v>1031</v>
      </c>
      <c r="J119" s="264">
        <f t="shared" si="85"/>
        <v>1031</v>
      </c>
      <c r="K119" s="259">
        <f t="shared" si="133"/>
        <v>1031</v>
      </c>
      <c r="L119" s="259">
        <f t="shared" si="131"/>
        <v>1031</v>
      </c>
      <c r="M119" s="259">
        <f t="shared" si="131"/>
        <v>1031</v>
      </c>
      <c r="N119" s="259">
        <f t="shared" ref="L119:R155" si="135">IF(AND(ISNUMBER($H119),ISNUMBER($J119)),IF(($H119-N$1&gt;0),$J119,IF(DATEDIF($H119,N$1,"y")&lt;5,$J119,"-")),"-")</f>
        <v>1031</v>
      </c>
      <c r="O119" s="259">
        <f t="shared" si="135"/>
        <v>1031</v>
      </c>
      <c r="P119" s="259" t="str">
        <f t="shared" si="135"/>
        <v>-</v>
      </c>
      <c r="Q119" s="259" t="str">
        <f t="shared" si="135"/>
        <v>-</v>
      </c>
      <c r="R119" s="259" t="str">
        <f t="shared" si="135"/>
        <v>-</v>
      </c>
      <c r="S119" s="259">
        <f t="shared" si="134"/>
        <v>1794</v>
      </c>
      <c r="T119" s="259">
        <f t="shared" si="132"/>
        <v>1429</v>
      </c>
      <c r="U119" s="259">
        <f t="shared" si="132"/>
        <v>1063</v>
      </c>
      <c r="V119" s="259">
        <f t="shared" ref="T119:Z155" si="136">IFERROR((EDATE($H119,60))-V$1,"-")</f>
        <v>698</v>
      </c>
      <c r="W119" s="259">
        <f t="shared" si="136"/>
        <v>333</v>
      </c>
      <c r="X119" s="259">
        <f t="shared" si="136"/>
        <v>-32</v>
      </c>
      <c r="Y119" s="259">
        <f t="shared" si="136"/>
        <v>-398</v>
      </c>
      <c r="Z119" s="259">
        <f t="shared" si="136"/>
        <v>-763</v>
      </c>
      <c r="AA119" s="267">
        <f>(VLOOKUP(A119,Hshldprojections2014!$A$2:$AW$319,40, FALSE)-VLOOKUP(A119,Hshldprojections2014!$A$2:$AW$319,30, FALSE))/10</f>
        <v>670.5</v>
      </c>
      <c r="AB119" s="267">
        <f>(VLOOKUP(A119,Hshldprojections2014!$A$2:$AW$319,41, FALSE)-VLOOKUP(A119,Hshldprojections2014!$A$2:$AW$319,31, FALSE))/10</f>
        <v>660.6</v>
      </c>
      <c r="AC119" s="267">
        <f>(VLOOKUP(A119,Hshldprojections2014!$A$2:$AW$319,42, FALSE)-VLOOKUP(A119,Hshldprojections2014!$A$2:$AW$319,32, FALSE))/10</f>
        <v>653.4</v>
      </c>
      <c r="AD119" s="267">
        <f>IF(IndividualLATest!$J$7=2014,(VLOOKUP($A119,Hshldprojections2014!$A$2:$AY$326,43,FALSE)-VLOOKUP($A119,Hshldprojections2014!$A$2:$AY$326,33,FALSE))/10,IF(IndividualLATest!$J$7=2016,(VLOOKUP($A119,Hshldprojections2016!$A$1:$AQ$322,33,FALSE)-VLOOKUP($A119,Hshldprojections2016!$A$1:$AQ$322,23,FALSE))/10,(VLOOKUP($A119,Hshldprojections2018!$A$1:$AQ$327,33,FALSE)-VLOOKUP($A119,Hshldprojections2018!$A$1:$AQ$327,23,FALSE))/10))</f>
        <v>587.9</v>
      </c>
      <c r="AE119" s="267">
        <f>IF(IndividualLATest!$J$7=2014,(VLOOKUP($A119,Hshldprojections2014!$A$2:$AY$326,44,FALSE)-VLOOKUP($A119,Hshldprojections2014!$A$2:$AY$326,34,FALSE))/10,IF(IndividualLATest!$J$7=2016,(VLOOKUP($A119,Hshldprojections2016!$A$1:$AQ$322,34,FALSE)-VLOOKUP($A119,Hshldprojections2016!$A$1:$AQ$322,24,FALSE))/10,(VLOOKUP($A119,Hshldprojections2018!$A$1:$AQ$327,34,FALSE)-VLOOKUP($A119,Hshldprojections2018!$A$1:$AQ$327,24,FALSE))/10))</f>
        <v>576.1</v>
      </c>
      <c r="AF119" s="267">
        <f>IF(IndividualLATest!$J$7=2014,(VLOOKUP($A119,Hshldprojections2014!$A$2:$AY$326,45,FALSE)-VLOOKUP($A119,Hshldprojections2014!$A$2:$AY$326,35,FALSE))/10,IF(IndividualLATest!$J$7=2016,(VLOOKUP($A119,Hshldprojections2016!$A$1:$AQ$322,35,FALSE)-VLOOKUP($A119,Hshldprojections2016!$A$1:$AQ$322,25,FALSE))/10,(VLOOKUP($A119,Hshldprojections2018!$A$1:$AQ$327,35,FALSE)-VLOOKUP($A119,Hshldprojections2018!$A$1:$AQ$327,25,FALSE))/10))</f>
        <v>571.29999999999995</v>
      </c>
      <c r="AG119" s="267">
        <f>IF(IndividualLATest!$J$7=2014,(VLOOKUP($A119,Hshldprojections2014!$A$2:$AY$326,46,FALSE)-VLOOKUP($A119,Hshldprojections2014!$A$2:$AY$326,36,FALSE))/10,IF(IndividualLATest!$J$7=2016,(VLOOKUP($A119,Hshldprojections2016!$A$1:$AQ$322,36,FALSE)-VLOOKUP($A119,Hshldprojections2016!$A$1:$AQ$322,26,FALSE))/10,(VLOOKUP($A119,Hshldprojections2018!$A$1:$AQ$327,36,FALSE)-VLOOKUP($A119,Hshldprojections2018!$A$1:$AQ$327,26,FALSE))/10))</f>
        <v>568.20000000000005</v>
      </c>
      <c r="AH119" s="267">
        <f>IF(IndividualLATest!$J$7=2014,(VLOOKUP($A119,Hshldprojections2014!$A$2:$AY$326,47,FALSE)-VLOOKUP($A119,Hshldprojections2014!$A$2:$AY$326,37,FALSE))/10,IF(IndividualLATest!$J$7=2016,(VLOOKUP($A119,Hshldprojections2016!$A$1:$AQ$322,37,FALSE)-VLOOKUP($A119,Hshldprojections2016!$A$1:$AQ$322,27,FALSE))/10,(VLOOKUP($A119,Hshldprojections2018!$A$1:$AQ$327,37,FALSE)-VLOOKUP($A119,Hshldprojections2018!$A$1:$AQ$327,27,FALSE))/10))</f>
        <v>565.70000000000005</v>
      </c>
      <c r="AI119" s="268">
        <f>VLOOKUP($A119,AffordabilityRatio!$A$2:$I$321,5,FALSE)</f>
        <v>20.69</v>
      </c>
      <c r="AJ119" s="268">
        <f>VLOOKUP($A119,AffordabilityRatio!$A$2:$I$321,6,FALSE)</f>
        <v>19.28</v>
      </c>
      <c r="AK119" s="268">
        <f>VLOOKUP($A119,AffordabilityRatio!$A$2:$I$321,7,FALSE)</f>
        <v>19.12</v>
      </c>
      <c r="AL119" s="268">
        <f>IF((VLOOKUP($A119,AffordabilityRatio!$A$2:$I$321,8,FALSE))="",AK119,VLOOKUP($A119,AffordabilityRatio!$A$2:$I$321,8,FALSE))</f>
        <v>18.420000000000002</v>
      </c>
      <c r="AM119" s="268">
        <f>IF((VLOOKUP($A119,AffordabilityRatio!$A$2:$I$321,9,FALSE))="",AL119,VLOOKUP($A119,AffordabilityRatio!$A$2:$I$321,9,FALSE))</f>
        <v>19.32</v>
      </c>
      <c r="AN119" s="268">
        <f>IF((VLOOKUP($A119,AffordabilityRatio!$A$2:$I$321,9,FALSE))="",AM119,VLOOKUP($A119,AffordabilityRatio!$A$2:$I$321,9,FALSE))</f>
        <v>19.32</v>
      </c>
      <c r="AO119" s="268">
        <f>IF((VLOOKUP($A119,AffordabilityRatio!$A$2:$I$321,9,FALSE))="",AN119,VLOOKUP($A119,AffordabilityRatio!$A$2:$I$321,9,FALSE))</f>
        <v>19.32</v>
      </c>
      <c r="AP119" s="268">
        <f>IF((VLOOKUP($A119,AffordabilityRatio!$A$2:$I$321,9,FALSE))="",AO119,VLOOKUP($A119,AffordabilityRatio!$A$2:$I$321,9,FALSE))</f>
        <v>19.32</v>
      </c>
      <c r="AQ119" s="267">
        <f t="shared" si="86"/>
        <v>1370</v>
      </c>
      <c r="AR119" s="267">
        <f t="shared" si="87"/>
        <v>1291</v>
      </c>
      <c r="AS119" s="267">
        <f t="shared" si="88"/>
        <v>1271</v>
      </c>
      <c r="AT119" s="267">
        <f t="shared" si="89"/>
        <v>1118</v>
      </c>
      <c r="AU119" s="267">
        <f t="shared" si="90"/>
        <v>1128</v>
      </c>
      <c r="AV119" s="267">
        <f t="shared" si="91"/>
        <v>1118</v>
      </c>
      <c r="AW119" s="267">
        <f t="shared" si="92"/>
        <v>1112</v>
      </c>
      <c r="AX119" s="267">
        <f t="shared" si="93"/>
        <v>1107</v>
      </c>
      <c r="AY119" s="267">
        <f t="shared" si="94"/>
        <v>1370</v>
      </c>
      <c r="AZ119" s="267">
        <f t="shared" si="95"/>
        <v>1291</v>
      </c>
      <c r="BA119" s="267">
        <f t="shared" si="96"/>
        <v>1271</v>
      </c>
      <c r="BB119" s="267">
        <f t="shared" si="97"/>
        <v>1118</v>
      </c>
      <c r="BC119" s="267">
        <f t="shared" si="98"/>
        <v>1128</v>
      </c>
      <c r="BD119" s="267">
        <f t="shared" si="99"/>
        <v>1118</v>
      </c>
      <c r="BE119" s="267">
        <f t="shared" si="100"/>
        <v>1112</v>
      </c>
      <c r="BF119" s="267">
        <f t="shared" si="101"/>
        <v>1107</v>
      </c>
      <c r="BG119" s="269">
        <f>AY119*VLOOKUP($B119,'Major Cities &amp; Towns'!$A$28:$B$345,2,FALSE)</f>
        <v>1849.5000000000002</v>
      </c>
      <c r="BH119" s="269">
        <f>AZ119*VLOOKUP($B119,'Major Cities &amp; Towns'!$A$28:$B$345,2,FALSE)</f>
        <v>1742.8500000000001</v>
      </c>
      <c r="BI119" s="269">
        <f>BA119*VLOOKUP($B119,'Major Cities &amp; Towns'!$A$28:$B$345,2,FALSE)</f>
        <v>1715.8500000000001</v>
      </c>
      <c r="BJ119" s="269">
        <f>BB119*VLOOKUP($B119,'Major Cities &amp; Towns'!$A$28:$B$345,2,FALSE)</f>
        <v>1509.3000000000002</v>
      </c>
      <c r="BK119" s="269">
        <f>BC119*VLOOKUP($B119,'Major Cities &amp; Towns'!$A$28:$B$345,2,FALSE)</f>
        <v>1522.8000000000002</v>
      </c>
      <c r="BL119" s="269">
        <f>BD119*VLOOKUP($B119,'Major Cities &amp; Towns'!$A$28:$B$345,2,FALSE)</f>
        <v>1509.3000000000002</v>
      </c>
      <c r="BM119" s="269">
        <f>BE119*VLOOKUP($B119,'Major Cities &amp; Towns'!$A$28:$B$345,2,FALSE)</f>
        <v>1501.2</v>
      </c>
      <c r="BN119" s="269">
        <f>BF119*VLOOKUP($B119,'Major Cities &amp; Towns'!$A$28:$B$345,2,FALSE)</f>
        <v>1494.45</v>
      </c>
      <c r="BO119" s="270">
        <f t="shared" si="102"/>
        <v>1031</v>
      </c>
      <c r="BP119" s="270">
        <f t="shared" si="103"/>
        <v>1031</v>
      </c>
      <c r="BQ119" s="270">
        <f t="shared" si="104"/>
        <v>1031</v>
      </c>
      <c r="BR119" s="270">
        <f t="shared" si="105"/>
        <v>1031</v>
      </c>
      <c r="BS119" s="270">
        <f t="shared" si="106"/>
        <v>1039.504109589041</v>
      </c>
      <c r="BT119" s="270">
        <f t="shared" si="107"/>
        <v>1118</v>
      </c>
      <c r="BU119" s="270">
        <f t="shared" si="108"/>
        <v>1112</v>
      </c>
      <c r="BV119" s="270">
        <f t="shared" si="109"/>
        <v>1107</v>
      </c>
      <c r="BW119" s="39">
        <f>VLOOKUP($A119,NetAdditions!$A$2:$H$336,6,FALSE)</f>
        <v>1046</v>
      </c>
      <c r="BX119" s="39">
        <f>VLOOKUP($A119,NetAdditions!$A$2:$H$336,7,FALSE)</f>
        <v>1149</v>
      </c>
      <c r="BY119" s="39">
        <f>IF((VLOOKUP($C119,NetAdditions!$A$2:$H$336,8,FALSE))="",(AVERAGE(VLOOKUP($C119,NetAdditions!$A$2:$H$336,5,FALSE),VLOOKUP($C119,NetAdditions!$A$2:$H$336,6,FALSE),VLOOKUP($C119,NetAdditions!$A$2:$H$336,7,FALSE))),VLOOKUP($C119,NetAdditions!$A$2:$H$336,8,FALSE))</f>
        <v>1421</v>
      </c>
      <c r="BZ119" s="39">
        <f t="shared" si="110"/>
        <v>1205.3333333333333</v>
      </c>
      <c r="CA119" s="39">
        <f t="shared" si="111"/>
        <v>1258.4444444444443</v>
      </c>
      <c r="CB119" s="39">
        <f t="shared" si="112"/>
        <v>1294.9259259259259</v>
      </c>
      <c r="CC119" s="39">
        <f t="shared" si="113"/>
        <v>1252.9012345679012</v>
      </c>
      <c r="CD119" s="39">
        <f t="shared" si="114"/>
        <v>1268.7572016460906</v>
      </c>
      <c r="CE119" s="276">
        <f t="shared" si="71"/>
        <v>3093</v>
      </c>
      <c r="CF119" s="276">
        <f t="shared" si="72"/>
        <v>3093</v>
      </c>
      <c r="CG119" s="276">
        <f t="shared" si="73"/>
        <v>3101.504109589041</v>
      </c>
      <c r="CH119" s="276">
        <f t="shared" si="74"/>
        <v>3188.504109589041</v>
      </c>
      <c r="CI119" s="276">
        <f t="shared" si="75"/>
        <v>3269.504109589041</v>
      </c>
      <c r="CJ119" s="276">
        <f t="shared" si="76"/>
        <v>3337</v>
      </c>
      <c r="CK119" s="276">
        <f t="shared" si="115"/>
        <v>2663.416666666667</v>
      </c>
      <c r="CL119" s="276">
        <f t="shared" si="116"/>
        <v>2663.416666666667</v>
      </c>
      <c r="CM119" s="276">
        <f t="shared" si="117"/>
        <v>2843.0454337899541</v>
      </c>
      <c r="CN119" s="276">
        <f t="shared" si="118"/>
        <v>3188.504109589041</v>
      </c>
      <c r="CO119" s="276">
        <f t="shared" si="119"/>
        <v>3269.504109589041</v>
      </c>
      <c r="CP119" s="276">
        <f t="shared" si="120"/>
        <v>3337</v>
      </c>
      <c r="CQ119" s="39">
        <f t="shared" si="77"/>
        <v>3616</v>
      </c>
      <c r="CR119" s="39">
        <f t="shared" si="78"/>
        <v>3775.333333333333</v>
      </c>
      <c r="CS119" s="277">
        <f t="shared" si="79"/>
        <v>3884.7777777777774</v>
      </c>
      <c r="CT119" s="39">
        <f t="shared" si="80"/>
        <v>3758.7037037037035</v>
      </c>
      <c r="CU119" s="39">
        <f t="shared" si="81"/>
        <v>3806.2716049382716</v>
      </c>
      <c r="CV119" s="39">
        <f t="shared" si="121"/>
        <v>3816.5843621399181</v>
      </c>
      <c r="CW119" s="297">
        <f t="shared" si="82"/>
        <v>1.357654641594443</v>
      </c>
      <c r="CX119" s="279" t="str">
        <f t="shared" si="122"/>
        <v>Pass</v>
      </c>
      <c r="CY119" s="278">
        <f t="shared" si="83"/>
        <v>1.4174775507649946</v>
      </c>
      <c r="CZ119" s="279" t="str">
        <f t="shared" si="123"/>
        <v>Pass</v>
      </c>
      <c r="DA119" s="278">
        <f t="shared" si="84"/>
        <v>1.3664142442490377</v>
      </c>
      <c r="DB119" s="292" t="str">
        <f t="shared" si="124"/>
        <v>Pass</v>
      </c>
      <c r="DC119" s="299">
        <f t="shared" si="125"/>
        <v>1.1788298131402297</v>
      </c>
      <c r="DD119" s="293" t="str">
        <f t="shared" si="126"/>
        <v>Pass</v>
      </c>
      <c r="DE119" s="299">
        <f t="shared" si="127"/>
        <v>1.1641739778747975</v>
      </c>
      <c r="DF119" s="293" t="str">
        <f t="shared" si="128"/>
        <v>Pass</v>
      </c>
      <c r="DG119" s="299">
        <f t="shared" si="129"/>
        <v>1.1437172197003052</v>
      </c>
      <c r="DH119" s="293" t="str">
        <f t="shared" si="130"/>
        <v>Pass</v>
      </c>
    </row>
    <row r="120" spans="1:112" ht="15" thickTop="1" thickBot="1">
      <c r="A120" s="38" t="s">
        <v>350</v>
      </c>
      <c r="B120" s="38" t="s">
        <v>351</v>
      </c>
      <c r="C120" s="38" t="s">
        <v>350</v>
      </c>
      <c r="D120" s="38" t="s">
        <v>119</v>
      </c>
      <c r="E120" s="38" t="str">
        <f>VLOOKUP(C120,PoliticalControl!A:K,11,FALSE)</f>
        <v>CON</v>
      </c>
      <c r="F120" s="38" t="str">
        <f>VLOOKUP(C120,UrbanRuralClassification!A:N,13,FALSE)</f>
        <v xml:space="preserve">Mainly Rural (rural including hub towns &gt;=80%) </v>
      </c>
      <c r="G120" s="38" t="str">
        <f>VLOOKUP(C120,UrbanRuralClassification!A:N,14,FALSE)</f>
        <v>Predominantly Rural</v>
      </c>
      <c r="H120" s="258">
        <f>IF(ISBLANK((VLOOKUP($A120,'local-plan-data'!$C$1:$AD$566,27,FALSE)))=TRUE,"",VLOOKUP($A120,'local-plan-data'!$C$1:$AD$566,27,FALSE))</f>
        <v>43585</v>
      </c>
      <c r="I120" s="259">
        <f>VLOOKUP($A120,'local-plan-data'!$C$1:$AD$566,28,FALSE)</f>
        <v>557</v>
      </c>
      <c r="J120" s="260">
        <f t="shared" si="85"/>
        <v>557</v>
      </c>
      <c r="K120" s="259">
        <f t="shared" si="133"/>
        <v>557</v>
      </c>
      <c r="L120" s="259">
        <f t="shared" si="135"/>
        <v>557</v>
      </c>
      <c r="M120" s="259">
        <f t="shared" si="135"/>
        <v>557</v>
      </c>
      <c r="N120" s="259">
        <f t="shared" si="135"/>
        <v>557</v>
      </c>
      <c r="O120" s="259">
        <f t="shared" si="135"/>
        <v>557</v>
      </c>
      <c r="P120" s="259">
        <f t="shared" si="135"/>
        <v>557</v>
      </c>
      <c r="Q120" s="259">
        <f t="shared" si="135"/>
        <v>557</v>
      </c>
      <c r="R120" s="259" t="str">
        <f t="shared" si="135"/>
        <v>-</v>
      </c>
      <c r="S120" s="259">
        <f t="shared" si="134"/>
        <v>2221</v>
      </c>
      <c r="T120" s="259">
        <f t="shared" si="136"/>
        <v>1856</v>
      </c>
      <c r="U120" s="259">
        <f t="shared" si="136"/>
        <v>1490</v>
      </c>
      <c r="V120" s="259">
        <f t="shared" si="136"/>
        <v>1125</v>
      </c>
      <c r="W120" s="259">
        <f t="shared" si="136"/>
        <v>760</v>
      </c>
      <c r="X120" s="259">
        <f t="shared" si="136"/>
        <v>395</v>
      </c>
      <c r="Y120" s="259">
        <f t="shared" si="136"/>
        <v>29</v>
      </c>
      <c r="Z120" s="259">
        <f t="shared" si="136"/>
        <v>-336</v>
      </c>
      <c r="AA120" s="267">
        <f>(VLOOKUP(A120,Hshldprojections2014!$A$2:$AW$319,40, FALSE)-VLOOKUP(A120,Hshldprojections2014!$A$2:$AW$319,30, FALSE))/10</f>
        <v>400.4</v>
      </c>
      <c r="AB120" s="267">
        <f>(VLOOKUP(A120,Hshldprojections2014!$A$2:$AW$319,41, FALSE)-VLOOKUP(A120,Hshldprojections2014!$A$2:$AW$319,31, FALSE))/10</f>
        <v>393.4</v>
      </c>
      <c r="AC120" s="267">
        <f>(VLOOKUP(A120,Hshldprojections2014!$A$2:$AW$319,42, FALSE)-VLOOKUP(A120,Hshldprojections2014!$A$2:$AW$319,32, FALSE))/10</f>
        <v>385.7</v>
      </c>
      <c r="AD120" s="267">
        <f>IF(IndividualLATest!$J$7=2014,(VLOOKUP($A120,Hshldprojections2014!$A$2:$AY$326,43,FALSE)-VLOOKUP($A120,Hshldprojections2014!$A$2:$AY$326,33,FALSE))/10,IF(IndividualLATest!$J$7=2016,(VLOOKUP($A120,Hshldprojections2016!$A$1:$AQ$322,33,FALSE)-VLOOKUP($A120,Hshldprojections2016!$A$1:$AQ$322,23,FALSE))/10,(VLOOKUP($A120,Hshldprojections2018!$A$1:$AQ$327,33,FALSE)-VLOOKUP($A120,Hshldprojections2018!$A$1:$AQ$327,23,FALSE))/10))</f>
        <v>506.6</v>
      </c>
      <c r="AE120" s="267">
        <f>IF(IndividualLATest!$J$7=2014,(VLOOKUP($A120,Hshldprojections2014!$A$2:$AY$326,44,FALSE)-VLOOKUP($A120,Hshldprojections2014!$A$2:$AY$326,34,FALSE))/10,IF(IndividualLATest!$J$7=2016,(VLOOKUP($A120,Hshldprojections2016!$A$1:$AQ$322,34,FALSE)-VLOOKUP($A120,Hshldprojections2016!$A$1:$AQ$322,24,FALSE))/10,(VLOOKUP($A120,Hshldprojections2018!$A$1:$AQ$327,34,FALSE)-VLOOKUP($A120,Hshldprojections2018!$A$1:$AQ$327,24,FALSE))/10))</f>
        <v>495.2</v>
      </c>
      <c r="AF120" s="267">
        <f>IF(IndividualLATest!$J$7=2014,(VLOOKUP($A120,Hshldprojections2014!$A$2:$AY$326,45,FALSE)-VLOOKUP($A120,Hshldprojections2014!$A$2:$AY$326,35,FALSE))/10,IF(IndividualLATest!$J$7=2016,(VLOOKUP($A120,Hshldprojections2016!$A$1:$AQ$322,35,FALSE)-VLOOKUP($A120,Hshldprojections2016!$A$1:$AQ$322,25,FALSE))/10,(VLOOKUP($A120,Hshldprojections2018!$A$1:$AQ$327,35,FALSE)-VLOOKUP($A120,Hshldprojections2018!$A$1:$AQ$327,25,FALSE))/10))</f>
        <v>484.5</v>
      </c>
      <c r="AG120" s="267">
        <f>IF(IndividualLATest!$J$7=2014,(VLOOKUP($A120,Hshldprojections2014!$A$2:$AY$326,46,FALSE)-VLOOKUP($A120,Hshldprojections2014!$A$2:$AY$326,36,FALSE))/10,IF(IndividualLATest!$J$7=2016,(VLOOKUP($A120,Hshldprojections2016!$A$1:$AQ$322,36,FALSE)-VLOOKUP($A120,Hshldprojections2016!$A$1:$AQ$322,26,FALSE))/10,(VLOOKUP($A120,Hshldprojections2018!$A$1:$AQ$327,36,FALSE)-VLOOKUP($A120,Hshldprojections2018!$A$1:$AQ$327,26,FALSE))/10))</f>
        <v>474.6</v>
      </c>
      <c r="AH120" s="267">
        <f>IF(IndividualLATest!$J$7=2014,(VLOOKUP($A120,Hshldprojections2014!$A$2:$AY$326,47,FALSE)-VLOOKUP($A120,Hshldprojections2014!$A$2:$AY$326,37,FALSE))/10,IF(IndividualLATest!$J$7=2016,(VLOOKUP($A120,Hshldprojections2016!$A$1:$AQ$322,37,FALSE)-VLOOKUP($A120,Hshldprojections2016!$A$1:$AQ$322,27,FALSE))/10,(VLOOKUP($A120,Hshldprojections2018!$A$1:$AQ$327,37,FALSE)-VLOOKUP($A120,Hshldprojections2018!$A$1:$AQ$327,27,FALSE))/10))</f>
        <v>466.2</v>
      </c>
      <c r="AI120" s="268">
        <f>VLOOKUP($A120,AffordabilityRatio!$A$2:$I$321,5,FALSE)</f>
        <v>9.66</v>
      </c>
      <c r="AJ120" s="268">
        <f>VLOOKUP($A120,AffordabilityRatio!$A$2:$I$321,6,FALSE)</f>
        <v>10.14</v>
      </c>
      <c r="AK120" s="268">
        <f>VLOOKUP($A120,AffordabilityRatio!$A$2:$I$321,7,FALSE)</f>
        <v>10.88</v>
      </c>
      <c r="AL120" s="268">
        <f>IF((VLOOKUP($A120,AffordabilityRatio!$A$2:$I$321,8,FALSE))="",AK120,VLOOKUP($A120,AffordabilityRatio!$A$2:$I$321,8,FALSE))</f>
        <v>9.83</v>
      </c>
      <c r="AM120" s="268">
        <f>IF((VLOOKUP($A120,AffordabilityRatio!$A$2:$I$321,9,FALSE))="",AL120,VLOOKUP($A120,AffordabilityRatio!$A$2:$I$321,9,FALSE))</f>
        <v>10.69</v>
      </c>
      <c r="AN120" s="268">
        <f>IF((VLOOKUP($A120,AffordabilityRatio!$A$2:$I$321,9,FALSE))="",AM120,VLOOKUP($A120,AffordabilityRatio!$A$2:$I$321,9,FALSE))</f>
        <v>10.69</v>
      </c>
      <c r="AO120" s="268">
        <f>IF((VLOOKUP($A120,AffordabilityRatio!$A$2:$I$321,9,FALSE))="",AN120,VLOOKUP($A120,AffordabilityRatio!$A$2:$I$321,9,FALSE))</f>
        <v>10.69</v>
      </c>
      <c r="AP120" s="268">
        <f>IF((VLOOKUP($A120,AffordabilityRatio!$A$2:$I$321,9,FALSE))="",AO120,VLOOKUP($A120,AffordabilityRatio!$A$2:$I$321,9,FALSE))</f>
        <v>10.69</v>
      </c>
      <c r="AQ120" s="267">
        <f t="shared" si="86"/>
        <v>542</v>
      </c>
      <c r="AR120" s="267">
        <f t="shared" si="87"/>
        <v>544</v>
      </c>
      <c r="AS120" s="267">
        <f t="shared" si="88"/>
        <v>552</v>
      </c>
      <c r="AT120" s="267">
        <f t="shared" si="89"/>
        <v>691</v>
      </c>
      <c r="AU120" s="267">
        <f t="shared" si="90"/>
        <v>702</v>
      </c>
      <c r="AV120" s="267">
        <f t="shared" si="91"/>
        <v>687</v>
      </c>
      <c r="AW120" s="267">
        <f t="shared" si="92"/>
        <v>673</v>
      </c>
      <c r="AX120" s="267">
        <f t="shared" si="93"/>
        <v>661</v>
      </c>
      <c r="AY120" s="267">
        <f t="shared" si="94"/>
        <v>542</v>
      </c>
      <c r="AZ120" s="267">
        <f t="shared" si="95"/>
        <v>544</v>
      </c>
      <c r="BA120" s="267">
        <f t="shared" si="96"/>
        <v>552</v>
      </c>
      <c r="BB120" s="267">
        <f t="shared" si="97"/>
        <v>691</v>
      </c>
      <c r="BC120" s="267">
        <f t="shared" si="98"/>
        <v>702</v>
      </c>
      <c r="BD120" s="267">
        <f t="shared" si="99"/>
        <v>687</v>
      </c>
      <c r="BE120" s="267">
        <f t="shared" si="100"/>
        <v>673</v>
      </c>
      <c r="BF120" s="267">
        <f t="shared" si="101"/>
        <v>661</v>
      </c>
      <c r="BG120" s="269">
        <f>AY120*VLOOKUP($B120,'Major Cities &amp; Towns'!$A$28:$B$345,2,FALSE)</f>
        <v>542</v>
      </c>
      <c r="BH120" s="269">
        <f>AZ120*VLOOKUP($B120,'Major Cities &amp; Towns'!$A$28:$B$345,2,FALSE)</f>
        <v>544</v>
      </c>
      <c r="BI120" s="269">
        <f>BA120*VLOOKUP($B120,'Major Cities &amp; Towns'!$A$28:$B$345,2,FALSE)</f>
        <v>552</v>
      </c>
      <c r="BJ120" s="269">
        <f>BB120*VLOOKUP($B120,'Major Cities &amp; Towns'!$A$28:$B$345,2,FALSE)</f>
        <v>691</v>
      </c>
      <c r="BK120" s="269">
        <f>BC120*VLOOKUP($B120,'Major Cities &amp; Towns'!$A$28:$B$345,2,FALSE)</f>
        <v>702</v>
      </c>
      <c r="BL120" s="269">
        <f>BD120*VLOOKUP($B120,'Major Cities &amp; Towns'!$A$28:$B$345,2,FALSE)</f>
        <v>687</v>
      </c>
      <c r="BM120" s="269">
        <f>BE120*VLOOKUP($B120,'Major Cities &amp; Towns'!$A$28:$B$345,2,FALSE)</f>
        <v>673</v>
      </c>
      <c r="BN120" s="269">
        <f>BF120*VLOOKUP($B120,'Major Cities &amp; Towns'!$A$28:$B$345,2,FALSE)</f>
        <v>661</v>
      </c>
      <c r="BO120" s="270">
        <f t="shared" si="102"/>
        <v>542</v>
      </c>
      <c r="BP120" s="270">
        <f t="shared" si="103"/>
        <v>544</v>
      </c>
      <c r="BQ120" s="270">
        <f t="shared" si="104"/>
        <v>552</v>
      </c>
      <c r="BR120" s="270">
        <f t="shared" si="105"/>
        <v>557</v>
      </c>
      <c r="BS120" s="270">
        <f t="shared" si="106"/>
        <v>557</v>
      </c>
      <c r="BT120" s="270">
        <f t="shared" si="107"/>
        <v>557</v>
      </c>
      <c r="BU120" s="270">
        <f t="shared" si="108"/>
        <v>663.7835616438357</v>
      </c>
      <c r="BV120" s="270">
        <f t="shared" si="109"/>
        <v>661</v>
      </c>
      <c r="BW120" s="39">
        <f>VLOOKUP($A120,NetAdditions!$A$2:$H$336,6,FALSE)</f>
        <v>729</v>
      </c>
      <c r="BX120" s="39">
        <f>VLOOKUP($A120,NetAdditions!$A$2:$H$336,7,FALSE)</f>
        <v>906</v>
      </c>
      <c r="BY120" s="39">
        <f>IF((VLOOKUP($C120,NetAdditions!$A$2:$H$336,8,FALSE))="",(AVERAGE(VLOOKUP($C120,NetAdditions!$A$2:$H$336,5,FALSE),VLOOKUP($C120,NetAdditions!$A$2:$H$336,6,FALSE),VLOOKUP($C120,NetAdditions!$A$2:$H$336,7,FALSE))),VLOOKUP($C120,NetAdditions!$A$2:$H$336,8,FALSE))</f>
        <v>974</v>
      </c>
      <c r="BZ120" s="39">
        <f t="shared" si="110"/>
        <v>869.66666666666663</v>
      </c>
      <c r="CA120" s="39">
        <f t="shared" si="111"/>
        <v>916.55555555555554</v>
      </c>
      <c r="CB120" s="39">
        <f t="shared" si="112"/>
        <v>920.07407407407402</v>
      </c>
      <c r="CC120" s="39">
        <f t="shared" si="113"/>
        <v>902.09876543209873</v>
      </c>
      <c r="CD120" s="39">
        <f t="shared" si="114"/>
        <v>912.90946502057614</v>
      </c>
      <c r="CE120" s="276">
        <f t="shared" si="71"/>
        <v>1638</v>
      </c>
      <c r="CF120" s="276">
        <f t="shared" si="72"/>
        <v>1653</v>
      </c>
      <c r="CG120" s="276">
        <f t="shared" si="73"/>
        <v>1666</v>
      </c>
      <c r="CH120" s="276">
        <f t="shared" si="74"/>
        <v>1671</v>
      </c>
      <c r="CI120" s="276">
        <f t="shared" si="75"/>
        <v>1777.7835616438356</v>
      </c>
      <c r="CJ120" s="276">
        <f t="shared" si="76"/>
        <v>1881.7835616438356</v>
      </c>
      <c r="CK120" s="276">
        <f t="shared" si="115"/>
        <v>1410.5</v>
      </c>
      <c r="CL120" s="276">
        <f t="shared" si="116"/>
        <v>1423.4166666666667</v>
      </c>
      <c r="CM120" s="276">
        <f t="shared" si="117"/>
        <v>1527.1666666666665</v>
      </c>
      <c r="CN120" s="276">
        <f t="shared" si="118"/>
        <v>1671</v>
      </c>
      <c r="CO120" s="276">
        <f t="shared" si="119"/>
        <v>1777.7835616438356</v>
      </c>
      <c r="CP120" s="276">
        <f t="shared" si="120"/>
        <v>1881.7835616438356</v>
      </c>
      <c r="CQ120" s="39">
        <f t="shared" si="77"/>
        <v>2609</v>
      </c>
      <c r="CR120" s="39">
        <f t="shared" si="78"/>
        <v>2749.6666666666665</v>
      </c>
      <c r="CS120" s="277">
        <f t="shared" si="79"/>
        <v>2760.2222222222222</v>
      </c>
      <c r="CT120" s="39">
        <f t="shared" si="80"/>
        <v>2706.2962962962961</v>
      </c>
      <c r="CU120" s="39">
        <f t="shared" si="81"/>
        <v>2738.7283950617284</v>
      </c>
      <c r="CV120" s="39">
        <f t="shared" si="121"/>
        <v>2735.0823045267489</v>
      </c>
      <c r="CW120" s="297">
        <f t="shared" si="82"/>
        <v>1.8496986884083659</v>
      </c>
      <c r="CX120" s="279" t="str">
        <f t="shared" si="122"/>
        <v>Pass</v>
      </c>
      <c r="CY120" s="278">
        <f t="shared" si="83"/>
        <v>1.9317370177390081</v>
      </c>
      <c r="CZ120" s="279" t="str">
        <f t="shared" si="123"/>
        <v>Pass</v>
      </c>
      <c r="DA120" s="278">
        <f t="shared" si="84"/>
        <v>1.8074138746407655</v>
      </c>
      <c r="DB120" s="292" t="str">
        <f t="shared" si="124"/>
        <v>Pass</v>
      </c>
      <c r="DC120" s="299">
        <f t="shared" si="125"/>
        <v>1.6195669038278253</v>
      </c>
      <c r="DD120" s="293" t="str">
        <f t="shared" si="126"/>
        <v>Pass</v>
      </c>
      <c r="DE120" s="299">
        <f t="shared" si="127"/>
        <v>1.5405297102248774</v>
      </c>
      <c r="DF120" s="293" t="str">
        <f t="shared" si="128"/>
        <v>Pass</v>
      </c>
      <c r="DG120" s="299">
        <f t="shared" si="129"/>
        <v>1.4534521186578506</v>
      </c>
      <c r="DH120" s="293" t="str">
        <f t="shared" si="130"/>
        <v>Pass</v>
      </c>
    </row>
    <row r="121" spans="1:112" customFormat="1" ht="15.5" thickTop="1" thickBot="1">
      <c r="A121" s="3" t="s">
        <v>352</v>
      </c>
      <c r="B121" s="3" t="s">
        <v>353</v>
      </c>
      <c r="C121" s="3" t="s">
        <v>352</v>
      </c>
      <c r="D121" s="3" t="s">
        <v>131</v>
      </c>
      <c r="E121" s="3" t="str">
        <f>VLOOKUP(C121,PoliticalControl!A:K,11,FALSE)</f>
        <v>LAB</v>
      </c>
      <c r="F121" s="3" t="str">
        <f>VLOOKUP(C121,UrbanRuralClassification!A:N,13,FALSE)</f>
        <v>Urban with Major Conurbation</v>
      </c>
      <c r="G121" s="3" t="str">
        <f>VLOOKUP(C121,UrbanRuralClassification!A:N,14,FALSE)</f>
        <v>Predominantly Urban</v>
      </c>
      <c r="H121" s="262">
        <f>IF(ISBLANK((VLOOKUP($A121,'local-plan-data'!$C$1:$AD$566,27,FALSE)))=TRUE,"",VLOOKUP($A121,'local-plan-data'!$C$1:$AD$566,27,FALSE))</f>
        <v>42940</v>
      </c>
      <c r="I121" s="263">
        <f>VLOOKUP($A121,'local-plan-data'!$C$1:$AD$566,28,FALSE)</f>
        <v>1320.1333333333334</v>
      </c>
      <c r="J121" s="264">
        <f t="shared" si="85"/>
        <v>1320.1333333333334</v>
      </c>
      <c r="K121" s="259">
        <f t="shared" si="133"/>
        <v>1320.1333333333334</v>
      </c>
      <c r="L121" s="259">
        <f t="shared" si="135"/>
        <v>1320.1333333333334</v>
      </c>
      <c r="M121" s="259">
        <f t="shared" si="135"/>
        <v>1320.1333333333334</v>
      </c>
      <c r="N121" s="259">
        <f t="shared" si="135"/>
        <v>1320.1333333333334</v>
      </c>
      <c r="O121" s="259">
        <f t="shared" si="135"/>
        <v>1320.1333333333334</v>
      </c>
      <c r="P121" s="259" t="str">
        <f t="shared" si="135"/>
        <v>-</v>
      </c>
      <c r="Q121" s="259" t="str">
        <f t="shared" si="135"/>
        <v>-</v>
      </c>
      <c r="R121" s="259" t="str">
        <f t="shared" si="135"/>
        <v>-</v>
      </c>
      <c r="S121" s="259">
        <f t="shared" si="134"/>
        <v>1575</v>
      </c>
      <c r="T121" s="259">
        <f t="shared" si="136"/>
        <v>1210</v>
      </c>
      <c r="U121" s="259">
        <f t="shared" si="136"/>
        <v>844</v>
      </c>
      <c r="V121" s="259">
        <f t="shared" si="136"/>
        <v>479</v>
      </c>
      <c r="W121" s="259">
        <f t="shared" si="136"/>
        <v>114</v>
      </c>
      <c r="X121" s="259">
        <f t="shared" si="136"/>
        <v>-251</v>
      </c>
      <c r="Y121" s="259">
        <f t="shared" si="136"/>
        <v>-617</v>
      </c>
      <c r="Z121" s="259">
        <f t="shared" si="136"/>
        <v>-982</v>
      </c>
      <c r="AA121" s="267">
        <f>(VLOOKUP(A121,Hshldprojections2014!$A$2:$AW$319,40, FALSE)-VLOOKUP(A121,Hshldprojections2014!$A$2:$AW$319,30, FALSE))/10</f>
        <v>2006.8</v>
      </c>
      <c r="AB121" s="267">
        <f>(VLOOKUP(A121,Hshldprojections2014!$A$2:$AW$319,41, FALSE)-VLOOKUP(A121,Hshldprojections2014!$A$2:$AW$319,31, FALSE))/10</f>
        <v>1974.6</v>
      </c>
      <c r="AC121" s="267">
        <f>(VLOOKUP(A121,Hshldprojections2014!$A$2:$AW$319,42, FALSE)-VLOOKUP(A121,Hshldprojections2014!$A$2:$AW$319,32, FALSE))/10</f>
        <v>1944.7</v>
      </c>
      <c r="AD121" s="267">
        <f>IF(IndividualLATest!$J$7=2014,(VLOOKUP($A121,Hshldprojections2014!$A$2:$AY$326,43,FALSE)-VLOOKUP($A121,Hshldprojections2014!$A$2:$AY$326,33,FALSE))/10,IF(IndividualLATest!$J$7=2016,(VLOOKUP($A121,Hshldprojections2016!$A$1:$AQ$322,33,FALSE)-VLOOKUP($A121,Hshldprojections2016!$A$1:$AQ$322,23,FALSE))/10,(VLOOKUP($A121,Hshldprojections2018!$A$1:$AQ$327,33,FALSE)-VLOOKUP($A121,Hshldprojections2018!$A$1:$AQ$327,23,FALSE))/10))</f>
        <v>752.9</v>
      </c>
      <c r="AE121" s="267">
        <f>IF(IndividualLATest!$J$7=2014,(VLOOKUP($A121,Hshldprojections2014!$A$2:$AY$326,44,FALSE)-VLOOKUP($A121,Hshldprojections2014!$A$2:$AY$326,34,FALSE))/10,IF(IndividualLATest!$J$7=2016,(VLOOKUP($A121,Hshldprojections2016!$A$1:$AQ$322,34,FALSE)-VLOOKUP($A121,Hshldprojections2016!$A$1:$AQ$322,24,FALSE))/10,(VLOOKUP($A121,Hshldprojections2018!$A$1:$AQ$327,34,FALSE)-VLOOKUP($A121,Hshldprojections2018!$A$1:$AQ$327,24,FALSE))/10))</f>
        <v>728.6</v>
      </c>
      <c r="AF121" s="267">
        <f>IF(IndividualLATest!$J$7=2014,(VLOOKUP($A121,Hshldprojections2014!$A$2:$AY$326,45,FALSE)-VLOOKUP($A121,Hshldprojections2014!$A$2:$AY$326,35,FALSE))/10,IF(IndividualLATest!$J$7=2016,(VLOOKUP($A121,Hshldprojections2016!$A$1:$AQ$322,35,FALSE)-VLOOKUP($A121,Hshldprojections2016!$A$1:$AQ$322,25,FALSE))/10,(VLOOKUP($A121,Hshldprojections2018!$A$1:$AQ$327,35,FALSE)-VLOOKUP($A121,Hshldprojections2018!$A$1:$AQ$327,25,FALSE))/10))</f>
        <v>711.2</v>
      </c>
      <c r="AG121" s="267">
        <f>IF(IndividualLATest!$J$7=2014,(VLOOKUP($A121,Hshldprojections2014!$A$2:$AY$326,46,FALSE)-VLOOKUP($A121,Hshldprojections2014!$A$2:$AY$326,36,FALSE))/10,IF(IndividualLATest!$J$7=2016,(VLOOKUP($A121,Hshldprojections2016!$A$1:$AQ$322,36,FALSE)-VLOOKUP($A121,Hshldprojections2016!$A$1:$AQ$322,26,FALSE))/10,(VLOOKUP($A121,Hshldprojections2018!$A$1:$AQ$327,36,FALSE)-VLOOKUP($A121,Hshldprojections2018!$A$1:$AQ$327,26,FALSE))/10))</f>
        <v>697.9</v>
      </c>
      <c r="AH121" s="267">
        <f>IF(IndividualLATest!$J$7=2014,(VLOOKUP($A121,Hshldprojections2014!$A$2:$AY$326,47,FALSE)-VLOOKUP($A121,Hshldprojections2014!$A$2:$AY$326,37,FALSE))/10,IF(IndividualLATest!$J$7=2016,(VLOOKUP($A121,Hshldprojections2016!$A$1:$AQ$322,37,FALSE)-VLOOKUP($A121,Hshldprojections2016!$A$1:$AQ$322,27,FALSE))/10,(VLOOKUP($A121,Hshldprojections2018!$A$1:$AQ$327,37,FALSE)-VLOOKUP($A121,Hshldprojections2018!$A$1:$AQ$327,27,FALSE))/10))</f>
        <v>690.5</v>
      </c>
      <c r="AI121" s="268">
        <f>VLOOKUP($A121,AffordabilityRatio!$A$2:$I$321,5,FALSE)</f>
        <v>16.86</v>
      </c>
      <c r="AJ121" s="268">
        <f>VLOOKUP($A121,AffordabilityRatio!$A$2:$I$321,6,FALSE)</f>
        <v>17.48</v>
      </c>
      <c r="AK121" s="268">
        <f>VLOOKUP($A121,AffordabilityRatio!$A$2:$I$321,7,FALSE)</f>
        <v>16.88</v>
      </c>
      <c r="AL121" s="268">
        <f>IF((VLOOKUP($A121,AffordabilityRatio!$A$2:$I$321,8,FALSE))="",AK121,VLOOKUP($A121,AffordabilityRatio!$A$2:$I$321,8,FALSE))</f>
        <v>15.17</v>
      </c>
      <c r="AM121" s="268">
        <f>IF((VLOOKUP($A121,AffordabilityRatio!$A$2:$I$321,9,FALSE))="",AL121,VLOOKUP($A121,AffordabilityRatio!$A$2:$I$321,9,FALSE))</f>
        <v>17.260000000000002</v>
      </c>
      <c r="AN121" s="268">
        <f>IF((VLOOKUP($A121,AffordabilityRatio!$A$2:$I$321,9,FALSE))="",AM121,VLOOKUP($A121,AffordabilityRatio!$A$2:$I$321,9,FALSE))</f>
        <v>17.260000000000002</v>
      </c>
      <c r="AO121" s="268">
        <f>IF((VLOOKUP($A121,AffordabilityRatio!$A$2:$I$321,9,FALSE))="",AN121,VLOOKUP($A121,AffordabilityRatio!$A$2:$I$321,9,FALSE))</f>
        <v>17.260000000000002</v>
      </c>
      <c r="AP121" s="268">
        <f>IF((VLOOKUP($A121,AffordabilityRatio!$A$2:$I$321,9,FALSE))="",AO121,VLOOKUP($A121,AffordabilityRatio!$A$2:$I$321,9,FALSE))</f>
        <v>17.260000000000002</v>
      </c>
      <c r="AQ121" s="267">
        <f t="shared" si="86"/>
        <v>3620</v>
      </c>
      <c r="AR121" s="267">
        <f t="shared" si="87"/>
        <v>3638</v>
      </c>
      <c r="AS121" s="267">
        <f t="shared" si="88"/>
        <v>3510</v>
      </c>
      <c r="AT121" s="267">
        <f t="shared" si="89"/>
        <v>1279</v>
      </c>
      <c r="AU121" s="267">
        <f t="shared" si="90"/>
        <v>1332</v>
      </c>
      <c r="AV121" s="267">
        <f t="shared" si="91"/>
        <v>1301</v>
      </c>
      <c r="AW121" s="267">
        <f t="shared" si="92"/>
        <v>1276</v>
      </c>
      <c r="AX121" s="267">
        <f t="shared" si="93"/>
        <v>1263</v>
      </c>
      <c r="AY121" s="267">
        <f t="shared" si="94"/>
        <v>1848.186666666667</v>
      </c>
      <c r="AZ121" s="267">
        <f t="shared" si="95"/>
        <v>1848.186666666667</v>
      </c>
      <c r="BA121" s="267">
        <f t="shared" si="96"/>
        <v>1848.186666666667</v>
      </c>
      <c r="BB121" s="267">
        <f t="shared" si="97"/>
        <v>1279</v>
      </c>
      <c r="BC121" s="267">
        <f t="shared" si="98"/>
        <v>1332</v>
      </c>
      <c r="BD121" s="267">
        <f t="shared" si="99"/>
        <v>1301</v>
      </c>
      <c r="BE121" s="267">
        <f t="shared" si="100"/>
        <v>1276</v>
      </c>
      <c r="BF121" s="267">
        <f t="shared" si="101"/>
        <v>1263</v>
      </c>
      <c r="BG121" s="269">
        <f>AY121*VLOOKUP($B121,'Major Cities &amp; Towns'!$A$28:$B$345,2,FALSE)</f>
        <v>2495.0520000000006</v>
      </c>
      <c r="BH121" s="269">
        <f>AZ121*VLOOKUP($B121,'Major Cities &amp; Towns'!$A$28:$B$345,2,FALSE)</f>
        <v>2495.0520000000006</v>
      </c>
      <c r="BI121" s="269">
        <f>BA121*VLOOKUP($B121,'Major Cities &amp; Towns'!$A$28:$B$345,2,FALSE)</f>
        <v>2495.0520000000006</v>
      </c>
      <c r="BJ121" s="269">
        <f>BB121*VLOOKUP($B121,'Major Cities &amp; Towns'!$A$28:$B$345,2,FALSE)</f>
        <v>1726.65</v>
      </c>
      <c r="BK121" s="269">
        <f>BC121*VLOOKUP($B121,'Major Cities &amp; Towns'!$A$28:$B$345,2,FALSE)</f>
        <v>1798.2</v>
      </c>
      <c r="BL121" s="269">
        <f>BD121*VLOOKUP($B121,'Major Cities &amp; Towns'!$A$28:$B$345,2,FALSE)</f>
        <v>1756.3500000000001</v>
      </c>
      <c r="BM121" s="269">
        <f>BE121*VLOOKUP($B121,'Major Cities &amp; Towns'!$A$28:$B$345,2,FALSE)</f>
        <v>1722.6000000000001</v>
      </c>
      <c r="BN121" s="269">
        <f>BF121*VLOOKUP($B121,'Major Cities &amp; Towns'!$A$28:$B$345,2,FALSE)</f>
        <v>1705.0500000000002</v>
      </c>
      <c r="BO121" s="270">
        <f t="shared" si="102"/>
        <v>1320.1333333333334</v>
      </c>
      <c r="BP121" s="270">
        <f t="shared" si="103"/>
        <v>1320.1333333333334</v>
      </c>
      <c r="BQ121" s="270">
        <f t="shared" si="104"/>
        <v>1320.1333333333334</v>
      </c>
      <c r="BR121" s="270">
        <f t="shared" si="105"/>
        <v>1279</v>
      </c>
      <c r="BS121" s="270">
        <f t="shared" si="106"/>
        <v>1328.293698630137</v>
      </c>
      <c r="BT121" s="270">
        <f t="shared" si="107"/>
        <v>1301</v>
      </c>
      <c r="BU121" s="270">
        <f t="shared" si="108"/>
        <v>1276</v>
      </c>
      <c r="BV121" s="270">
        <f t="shared" si="109"/>
        <v>1263</v>
      </c>
      <c r="BW121" s="39">
        <f>VLOOKUP($A121,NetAdditions!$A$2:$H$336,6,FALSE)</f>
        <v>568</v>
      </c>
      <c r="BX121" s="39">
        <f>VLOOKUP($A121,NetAdditions!$A$2:$H$336,7,FALSE)</f>
        <v>865</v>
      </c>
      <c r="BY121" s="39">
        <f>IF((VLOOKUP($C121,NetAdditions!$A$2:$H$336,8,FALSE))="",(AVERAGE(VLOOKUP($C121,NetAdditions!$A$2:$H$336,5,FALSE),VLOOKUP($C121,NetAdditions!$A$2:$H$336,6,FALSE),VLOOKUP($C121,NetAdditions!$A$2:$H$336,7,FALSE))),VLOOKUP($C121,NetAdditions!$A$2:$H$336,8,FALSE))</f>
        <v>1432</v>
      </c>
      <c r="BZ121" s="39">
        <f t="shared" si="110"/>
        <v>955</v>
      </c>
      <c r="CA121" s="39">
        <f t="shared" si="111"/>
        <v>1084</v>
      </c>
      <c r="CB121" s="39">
        <f t="shared" si="112"/>
        <v>1157</v>
      </c>
      <c r="CC121" s="39">
        <f t="shared" si="113"/>
        <v>1065.3333333333333</v>
      </c>
      <c r="CD121" s="39">
        <f t="shared" si="114"/>
        <v>1102.1111111111111</v>
      </c>
      <c r="CE121" s="276">
        <f t="shared" si="71"/>
        <v>3960.4000000000005</v>
      </c>
      <c r="CF121" s="276">
        <f t="shared" si="72"/>
        <v>3919.2666666666669</v>
      </c>
      <c r="CG121" s="276">
        <f t="shared" si="73"/>
        <v>3927.4270319634702</v>
      </c>
      <c r="CH121" s="276">
        <f t="shared" si="74"/>
        <v>3908.293698630137</v>
      </c>
      <c r="CI121" s="276">
        <f t="shared" si="75"/>
        <v>3905.293698630137</v>
      </c>
      <c r="CJ121" s="276">
        <f t="shared" si="76"/>
        <v>3840</v>
      </c>
      <c r="CK121" s="276">
        <f t="shared" si="115"/>
        <v>3410.3444444444449</v>
      </c>
      <c r="CL121" s="276">
        <f t="shared" si="116"/>
        <v>3374.9240740740743</v>
      </c>
      <c r="CM121" s="276">
        <f t="shared" si="117"/>
        <v>3600.1414459665143</v>
      </c>
      <c r="CN121" s="276">
        <f t="shared" si="118"/>
        <v>3908.293698630137</v>
      </c>
      <c r="CO121" s="276">
        <f t="shared" si="119"/>
        <v>3905.293698630137</v>
      </c>
      <c r="CP121" s="276">
        <f t="shared" si="120"/>
        <v>3840</v>
      </c>
      <c r="CQ121" s="39">
        <f t="shared" si="77"/>
        <v>2865</v>
      </c>
      <c r="CR121" s="39">
        <f t="shared" si="78"/>
        <v>3252</v>
      </c>
      <c r="CS121" s="277">
        <f t="shared" si="79"/>
        <v>3471</v>
      </c>
      <c r="CT121" s="39">
        <f t="shared" si="80"/>
        <v>3196</v>
      </c>
      <c r="CU121" s="39">
        <f t="shared" si="81"/>
        <v>3306.333333333333</v>
      </c>
      <c r="CV121" s="39">
        <f t="shared" si="121"/>
        <v>3324.4444444444443</v>
      </c>
      <c r="CW121" s="297">
        <f t="shared" si="82"/>
        <v>0.84009109539277549</v>
      </c>
      <c r="CX121" s="279" t="str">
        <f t="shared" si="122"/>
        <v>Buffer and Action Plan</v>
      </c>
      <c r="CY121" s="278">
        <f t="shared" si="83"/>
        <v>0.96357723273884344</v>
      </c>
      <c r="CZ121" s="279" t="str">
        <f t="shared" si="123"/>
        <v>Pass</v>
      </c>
      <c r="DA121" s="278">
        <f t="shared" si="84"/>
        <v>0.96412878552002446</v>
      </c>
      <c r="DB121" s="292" t="str">
        <f t="shared" si="124"/>
        <v>Pass</v>
      </c>
      <c r="DC121" s="299">
        <f t="shared" si="125"/>
        <v>0.81774816491406543</v>
      </c>
      <c r="DD121" s="293" t="str">
        <f t="shared" si="126"/>
        <v>Buffer and Action Plan</v>
      </c>
      <c r="DE121" s="299">
        <f t="shared" si="127"/>
        <v>0.8466285991481507</v>
      </c>
      <c r="DF121" s="293" t="str">
        <f t="shared" si="128"/>
        <v>Buffer and Action Plan</v>
      </c>
      <c r="DG121" s="299">
        <f t="shared" si="129"/>
        <v>0.8657407407407407</v>
      </c>
      <c r="DH121" s="293" t="str">
        <f t="shared" si="130"/>
        <v>Action Plan</v>
      </c>
    </row>
    <row r="122" spans="1:112" ht="15" thickTop="1" thickBot="1">
      <c r="A122" s="38" t="s">
        <v>354</v>
      </c>
      <c r="B122" s="38" t="s">
        <v>355</v>
      </c>
      <c r="C122" s="38" t="s">
        <v>354</v>
      </c>
      <c r="D122" s="38" t="s">
        <v>128</v>
      </c>
      <c r="E122" s="38" t="str">
        <f>VLOOKUP(C122,PoliticalControl!A:K,11,FALSE)</f>
        <v>CON</v>
      </c>
      <c r="F122" s="38" t="str">
        <f>VLOOKUP(C122,UrbanRuralClassification!A:N,13,FALSE)</f>
        <v>Urban with City and Town</v>
      </c>
      <c r="G122" s="38" t="str">
        <f>VLOOKUP(C122,UrbanRuralClassification!A:N,14,FALSE)</f>
        <v>Predominantly Urban</v>
      </c>
      <c r="H122" s="258">
        <f>IF(ISBLANK((VLOOKUP($A122,'local-plan-data'!$C$1:$AD$566,27,FALSE)))=TRUE,"",VLOOKUP($A122,'local-plan-data'!$C$1:$AD$566,27,FALSE))</f>
        <v>44175</v>
      </c>
      <c r="I122" s="259">
        <f>VLOOKUP($A122,'local-plan-data'!$C$1:$AD$566,28,FALSE)</f>
        <v>418.18181818181819</v>
      </c>
      <c r="J122" s="260">
        <f t="shared" si="85"/>
        <v>418.18181818181819</v>
      </c>
      <c r="K122" s="259">
        <f t="shared" si="133"/>
        <v>418.18181818181819</v>
      </c>
      <c r="L122" s="259">
        <f t="shared" si="135"/>
        <v>418.18181818181819</v>
      </c>
      <c r="M122" s="259">
        <f t="shared" si="135"/>
        <v>418.18181818181819</v>
      </c>
      <c r="N122" s="259">
        <f t="shared" si="135"/>
        <v>418.18181818181819</v>
      </c>
      <c r="O122" s="259">
        <f t="shared" si="135"/>
        <v>418.18181818181819</v>
      </c>
      <c r="P122" s="259">
        <f t="shared" si="135"/>
        <v>418.18181818181819</v>
      </c>
      <c r="Q122" s="259">
        <f t="shared" si="135"/>
        <v>418.18181818181819</v>
      </c>
      <c r="R122" s="259">
        <f t="shared" si="135"/>
        <v>418.18181818181819</v>
      </c>
      <c r="S122" s="259">
        <f t="shared" si="134"/>
        <v>2810</v>
      </c>
      <c r="T122" s="259">
        <f t="shared" si="136"/>
        <v>2445</v>
      </c>
      <c r="U122" s="259">
        <f t="shared" si="136"/>
        <v>2079</v>
      </c>
      <c r="V122" s="259">
        <f t="shared" si="136"/>
        <v>1714</v>
      </c>
      <c r="W122" s="259">
        <f t="shared" si="136"/>
        <v>1349</v>
      </c>
      <c r="X122" s="259">
        <f t="shared" si="136"/>
        <v>984</v>
      </c>
      <c r="Y122" s="259">
        <f t="shared" si="136"/>
        <v>618</v>
      </c>
      <c r="Z122" s="259">
        <f t="shared" si="136"/>
        <v>253</v>
      </c>
      <c r="AA122" s="267">
        <f>(VLOOKUP(A122,Hshldprojections2014!$A$2:$AW$319,40, FALSE)-VLOOKUP(A122,Hshldprojections2014!$A$2:$AW$319,30, FALSE))/10</f>
        <v>355.3</v>
      </c>
      <c r="AB122" s="267">
        <f>(VLOOKUP(A122,Hshldprojections2014!$A$2:$AW$319,41, FALSE)-VLOOKUP(A122,Hshldprojections2014!$A$2:$AW$319,31, FALSE))/10</f>
        <v>354.6</v>
      </c>
      <c r="AC122" s="267">
        <f>(VLOOKUP(A122,Hshldprojections2014!$A$2:$AW$319,42, FALSE)-VLOOKUP(A122,Hshldprojections2014!$A$2:$AW$319,32, FALSE))/10</f>
        <v>357.6</v>
      </c>
      <c r="AD122" s="267">
        <f>IF(IndividualLATest!$J$7=2014,(VLOOKUP($A122,Hshldprojections2014!$A$2:$AY$326,43,FALSE)-VLOOKUP($A122,Hshldprojections2014!$A$2:$AY$326,33,FALSE))/10,IF(IndividualLATest!$J$7=2016,(VLOOKUP($A122,Hshldprojections2016!$A$1:$AQ$322,33,FALSE)-VLOOKUP($A122,Hshldprojections2016!$A$1:$AQ$322,23,FALSE))/10,(VLOOKUP($A122,Hshldprojections2018!$A$1:$AQ$327,33,FALSE)-VLOOKUP($A122,Hshldprojections2018!$A$1:$AQ$327,23,FALSE))/10))</f>
        <v>147.1</v>
      </c>
      <c r="AE122" s="267">
        <f>IF(IndividualLATest!$J$7=2014,(VLOOKUP($A122,Hshldprojections2014!$A$2:$AY$326,44,FALSE)-VLOOKUP($A122,Hshldprojections2014!$A$2:$AY$326,34,FALSE))/10,IF(IndividualLATest!$J$7=2016,(VLOOKUP($A122,Hshldprojections2016!$A$1:$AQ$322,34,FALSE)-VLOOKUP($A122,Hshldprojections2016!$A$1:$AQ$322,24,FALSE))/10,(VLOOKUP($A122,Hshldprojections2018!$A$1:$AQ$327,34,FALSE)-VLOOKUP($A122,Hshldprojections2018!$A$1:$AQ$327,24,FALSE))/10))</f>
        <v>151.19999999999999</v>
      </c>
      <c r="AF122" s="267">
        <f>IF(IndividualLATest!$J$7=2014,(VLOOKUP($A122,Hshldprojections2014!$A$2:$AY$326,45,FALSE)-VLOOKUP($A122,Hshldprojections2014!$A$2:$AY$326,35,FALSE))/10,IF(IndividualLATest!$J$7=2016,(VLOOKUP($A122,Hshldprojections2016!$A$1:$AQ$322,35,FALSE)-VLOOKUP($A122,Hshldprojections2016!$A$1:$AQ$322,25,FALSE))/10,(VLOOKUP($A122,Hshldprojections2018!$A$1:$AQ$327,35,FALSE)-VLOOKUP($A122,Hshldprojections2018!$A$1:$AQ$327,25,FALSE))/10))</f>
        <v>155.80000000000001</v>
      </c>
      <c r="AG122" s="267">
        <f>IF(IndividualLATest!$J$7=2014,(VLOOKUP($A122,Hshldprojections2014!$A$2:$AY$326,46,FALSE)-VLOOKUP($A122,Hshldprojections2014!$A$2:$AY$326,36,FALSE))/10,IF(IndividualLATest!$J$7=2016,(VLOOKUP($A122,Hshldprojections2016!$A$1:$AQ$322,36,FALSE)-VLOOKUP($A122,Hshldprojections2016!$A$1:$AQ$322,26,FALSE))/10,(VLOOKUP($A122,Hshldprojections2018!$A$1:$AQ$327,36,FALSE)-VLOOKUP($A122,Hshldprojections2018!$A$1:$AQ$327,26,FALSE))/10))</f>
        <v>156.5</v>
      </c>
      <c r="AH122" s="267">
        <f>IF(IndividualLATest!$J$7=2014,(VLOOKUP($A122,Hshldprojections2014!$A$2:$AY$326,47,FALSE)-VLOOKUP($A122,Hshldprojections2014!$A$2:$AY$326,37,FALSE))/10,IF(IndividualLATest!$J$7=2016,(VLOOKUP($A122,Hshldprojections2016!$A$1:$AQ$322,37,FALSE)-VLOOKUP($A122,Hshldprojections2016!$A$1:$AQ$322,27,FALSE))/10,(VLOOKUP($A122,Hshldprojections2018!$A$1:$AQ$327,37,FALSE)-VLOOKUP($A122,Hshldprojections2018!$A$1:$AQ$327,27,FALSE))/10))</f>
        <v>160.4</v>
      </c>
      <c r="AI122" s="268">
        <f>VLOOKUP($A122,AffordabilityRatio!$A$2:$I$321,5,FALSE)</f>
        <v>9.26</v>
      </c>
      <c r="AJ122" s="268">
        <f>VLOOKUP($A122,AffordabilityRatio!$A$2:$I$321,6,FALSE)</f>
        <v>9.5</v>
      </c>
      <c r="AK122" s="268">
        <f>VLOOKUP($A122,AffordabilityRatio!$A$2:$I$321,7,FALSE)</f>
        <v>9.18</v>
      </c>
      <c r="AL122" s="268">
        <f>IF((VLOOKUP($A122,AffordabilityRatio!$A$2:$I$321,8,FALSE))="",AK122,VLOOKUP($A122,AffordabilityRatio!$A$2:$I$321,8,FALSE))</f>
        <v>9.25</v>
      </c>
      <c r="AM122" s="268">
        <f>IF((VLOOKUP($A122,AffordabilityRatio!$A$2:$I$321,9,FALSE))="",AL122,VLOOKUP($A122,AffordabilityRatio!$A$2:$I$321,9,FALSE))</f>
        <v>11.03</v>
      </c>
      <c r="AN122" s="268">
        <f>IF((VLOOKUP($A122,AffordabilityRatio!$A$2:$I$321,9,FALSE))="",AM122,VLOOKUP($A122,AffordabilityRatio!$A$2:$I$321,9,FALSE))</f>
        <v>11.03</v>
      </c>
      <c r="AO122" s="268">
        <f>IF((VLOOKUP($A122,AffordabilityRatio!$A$2:$I$321,9,FALSE))="",AN122,VLOOKUP($A122,AffordabilityRatio!$A$2:$I$321,9,FALSE))</f>
        <v>11.03</v>
      </c>
      <c r="AP122" s="268">
        <f>IF((VLOOKUP($A122,AffordabilityRatio!$A$2:$I$321,9,FALSE))="",AO122,VLOOKUP($A122,AffordabilityRatio!$A$2:$I$321,9,FALSE))</f>
        <v>11.03</v>
      </c>
      <c r="AQ122" s="267">
        <f t="shared" si="86"/>
        <v>472</v>
      </c>
      <c r="AR122" s="267">
        <f t="shared" si="87"/>
        <v>476</v>
      </c>
      <c r="AS122" s="267">
        <f t="shared" si="88"/>
        <v>473</v>
      </c>
      <c r="AT122" s="267">
        <f t="shared" si="89"/>
        <v>195</v>
      </c>
      <c r="AU122" s="267">
        <f t="shared" si="90"/>
        <v>218</v>
      </c>
      <c r="AV122" s="267">
        <f t="shared" si="91"/>
        <v>224</v>
      </c>
      <c r="AW122" s="267">
        <f t="shared" si="92"/>
        <v>225</v>
      </c>
      <c r="AX122" s="267">
        <f t="shared" si="93"/>
        <v>231</v>
      </c>
      <c r="AY122" s="267">
        <f t="shared" si="94"/>
        <v>472</v>
      </c>
      <c r="AZ122" s="267">
        <f t="shared" si="95"/>
        <v>476</v>
      </c>
      <c r="BA122" s="267">
        <f t="shared" si="96"/>
        <v>473</v>
      </c>
      <c r="BB122" s="267">
        <f t="shared" si="97"/>
        <v>195</v>
      </c>
      <c r="BC122" s="267">
        <f t="shared" si="98"/>
        <v>218</v>
      </c>
      <c r="BD122" s="267">
        <f t="shared" si="99"/>
        <v>224</v>
      </c>
      <c r="BE122" s="267">
        <f t="shared" si="100"/>
        <v>225</v>
      </c>
      <c r="BF122" s="267">
        <f t="shared" si="101"/>
        <v>231</v>
      </c>
      <c r="BG122" s="269">
        <f>AY122*VLOOKUP($B122,'Major Cities &amp; Towns'!$A$28:$B$345,2,FALSE)</f>
        <v>472</v>
      </c>
      <c r="BH122" s="269">
        <f>AZ122*VLOOKUP($B122,'Major Cities &amp; Towns'!$A$28:$B$345,2,FALSE)</f>
        <v>476</v>
      </c>
      <c r="BI122" s="269">
        <f>BA122*VLOOKUP($B122,'Major Cities &amp; Towns'!$A$28:$B$345,2,FALSE)</f>
        <v>473</v>
      </c>
      <c r="BJ122" s="269">
        <f>BB122*VLOOKUP($B122,'Major Cities &amp; Towns'!$A$28:$B$345,2,FALSE)</f>
        <v>195</v>
      </c>
      <c r="BK122" s="269">
        <f>BC122*VLOOKUP($B122,'Major Cities &amp; Towns'!$A$28:$B$345,2,FALSE)</f>
        <v>218</v>
      </c>
      <c r="BL122" s="269">
        <f>BD122*VLOOKUP($B122,'Major Cities &amp; Towns'!$A$28:$B$345,2,FALSE)</f>
        <v>224</v>
      </c>
      <c r="BM122" s="269">
        <f>BE122*VLOOKUP($B122,'Major Cities &amp; Towns'!$A$28:$B$345,2,FALSE)</f>
        <v>225</v>
      </c>
      <c r="BN122" s="269">
        <f>BF122*VLOOKUP($B122,'Major Cities &amp; Towns'!$A$28:$B$345,2,FALSE)</f>
        <v>231</v>
      </c>
      <c r="BO122" s="270">
        <f t="shared" si="102"/>
        <v>418.18181818181819</v>
      </c>
      <c r="BP122" s="270">
        <f t="shared" si="103"/>
        <v>418.18181818181819</v>
      </c>
      <c r="BQ122" s="270">
        <f t="shared" si="104"/>
        <v>418.18181818181819</v>
      </c>
      <c r="BR122" s="270">
        <f t="shared" si="105"/>
        <v>195</v>
      </c>
      <c r="BS122" s="270">
        <f t="shared" si="106"/>
        <v>218</v>
      </c>
      <c r="BT122" s="270">
        <f t="shared" si="107"/>
        <v>224</v>
      </c>
      <c r="BU122" s="270">
        <f t="shared" si="108"/>
        <v>225</v>
      </c>
      <c r="BV122" s="270">
        <f t="shared" si="109"/>
        <v>231.00000000000003</v>
      </c>
      <c r="BW122" s="39">
        <f>VLOOKUP($A122,NetAdditions!$A$2:$H$336,6,FALSE)</f>
        <v>676</v>
      </c>
      <c r="BX122" s="39">
        <f>VLOOKUP($A122,NetAdditions!$A$2:$H$336,7,FALSE)</f>
        <v>725</v>
      </c>
      <c r="BY122" s="39">
        <f>IF((VLOOKUP($C122,NetAdditions!$A$2:$H$336,8,FALSE))="",(AVERAGE(VLOOKUP($C122,NetAdditions!$A$2:$H$336,5,FALSE),VLOOKUP($C122,NetAdditions!$A$2:$H$336,6,FALSE),VLOOKUP($C122,NetAdditions!$A$2:$H$336,7,FALSE))),VLOOKUP($C122,NetAdditions!$A$2:$H$336,8,FALSE))</f>
        <v>535</v>
      </c>
      <c r="BZ122" s="39">
        <f t="shared" si="110"/>
        <v>645.33333333333337</v>
      </c>
      <c r="CA122" s="39">
        <f t="shared" si="111"/>
        <v>635.1111111111112</v>
      </c>
      <c r="CB122" s="39">
        <f t="shared" si="112"/>
        <v>605.14814814814827</v>
      </c>
      <c r="CC122" s="39">
        <f t="shared" si="113"/>
        <v>628.53086419753095</v>
      </c>
      <c r="CD122" s="39">
        <f t="shared" si="114"/>
        <v>622.93004115226347</v>
      </c>
      <c r="CE122" s="276">
        <f t="shared" si="71"/>
        <v>1254.5454545454545</v>
      </c>
      <c r="CF122" s="276">
        <f t="shared" si="72"/>
        <v>1031.3636363636365</v>
      </c>
      <c r="CG122" s="276">
        <f t="shared" si="73"/>
        <v>831.18181818181824</v>
      </c>
      <c r="CH122" s="276">
        <f t="shared" si="74"/>
        <v>637</v>
      </c>
      <c r="CI122" s="276">
        <f t="shared" si="75"/>
        <v>667</v>
      </c>
      <c r="CJ122" s="276">
        <f t="shared" si="76"/>
        <v>680</v>
      </c>
      <c r="CK122" s="276">
        <f t="shared" si="115"/>
        <v>1080.3030303030303</v>
      </c>
      <c r="CL122" s="276">
        <f t="shared" si="116"/>
        <v>888.11868686868706</v>
      </c>
      <c r="CM122" s="276">
        <f t="shared" si="117"/>
        <v>761.91666666666674</v>
      </c>
      <c r="CN122" s="276">
        <f t="shared" si="118"/>
        <v>637</v>
      </c>
      <c r="CO122" s="276">
        <f t="shared" si="119"/>
        <v>667</v>
      </c>
      <c r="CP122" s="276">
        <f t="shared" si="120"/>
        <v>680</v>
      </c>
      <c r="CQ122" s="39">
        <f t="shared" si="77"/>
        <v>1936</v>
      </c>
      <c r="CR122" s="39">
        <f t="shared" si="78"/>
        <v>1905.3333333333335</v>
      </c>
      <c r="CS122" s="277">
        <f t="shared" si="79"/>
        <v>1815.4444444444448</v>
      </c>
      <c r="CT122" s="39">
        <f t="shared" si="80"/>
        <v>1885.5925925925928</v>
      </c>
      <c r="CU122" s="39">
        <f t="shared" si="81"/>
        <v>1868.7901234567905</v>
      </c>
      <c r="CV122" s="39">
        <f t="shared" si="121"/>
        <v>1856.6090534979426</v>
      </c>
      <c r="CW122" s="297">
        <f t="shared" si="82"/>
        <v>1.7920897615708276</v>
      </c>
      <c r="CX122" s="279" t="str">
        <f t="shared" si="122"/>
        <v>Pass</v>
      </c>
      <c r="CY122" s="278">
        <f t="shared" si="83"/>
        <v>2.1453589047327939</v>
      </c>
      <c r="CZ122" s="279" t="str">
        <f t="shared" si="123"/>
        <v>Pass</v>
      </c>
      <c r="DA122" s="278">
        <f t="shared" si="84"/>
        <v>2.3827336031207849</v>
      </c>
      <c r="DB122" s="292" t="str">
        <f t="shared" si="124"/>
        <v>Pass</v>
      </c>
      <c r="DC122" s="299">
        <f t="shared" si="125"/>
        <v>2.9601139601139606</v>
      </c>
      <c r="DD122" s="293" t="str">
        <f t="shared" si="126"/>
        <v>Pass</v>
      </c>
      <c r="DE122" s="299">
        <f t="shared" si="127"/>
        <v>2.8017842930386663</v>
      </c>
      <c r="DF122" s="293" t="str">
        <f t="shared" si="128"/>
        <v>Pass</v>
      </c>
      <c r="DG122" s="299">
        <f t="shared" si="129"/>
        <v>2.7303074316146216</v>
      </c>
      <c r="DH122" s="293" t="str">
        <f t="shared" si="130"/>
        <v>Pass</v>
      </c>
    </row>
    <row r="123" spans="1:112" ht="15" thickTop="1" thickBot="1">
      <c r="A123" s="38" t="s">
        <v>356</v>
      </c>
      <c r="B123" s="38" t="s">
        <v>357</v>
      </c>
      <c r="C123" s="38" t="s">
        <v>356</v>
      </c>
      <c r="D123" s="38" t="s">
        <v>136</v>
      </c>
      <c r="E123" s="38" t="str">
        <f>VLOOKUP(C123,PoliticalControl!A:K,11,FALSE)</f>
        <v>CON</v>
      </c>
      <c r="F123" s="38" t="str">
        <f>VLOOKUP(C123,UrbanRuralClassification!A:N,13,FALSE)</f>
        <v>Urban with Significant Rural (rural including hub towns 26-49%)</v>
      </c>
      <c r="G123" s="38" t="str">
        <f>VLOOKUP(C123,UrbanRuralClassification!A:N,14,FALSE)</f>
        <v>Urban with Significant Rural</v>
      </c>
      <c r="H123" s="258">
        <f>IF(ISBLANK((VLOOKUP($A123,'local-plan-data'!$C$1:$AD$566,27,FALSE)))=TRUE,"",VLOOKUP($A123,'local-plan-data'!$C$1:$AD$566,27,FALSE))</f>
        <v>43894</v>
      </c>
      <c r="I123" s="259">
        <f>VLOOKUP($A123,'local-plan-data'!$C$1:$AD$566,28,FALSE)</f>
        <v>637</v>
      </c>
      <c r="J123" s="260">
        <f t="shared" si="85"/>
        <v>637</v>
      </c>
      <c r="K123" s="259">
        <f t="shared" si="133"/>
        <v>637</v>
      </c>
      <c r="L123" s="259">
        <f t="shared" si="135"/>
        <v>637</v>
      </c>
      <c r="M123" s="259">
        <f t="shared" si="135"/>
        <v>637</v>
      </c>
      <c r="N123" s="259">
        <f t="shared" si="135"/>
        <v>637</v>
      </c>
      <c r="O123" s="259">
        <f t="shared" si="135"/>
        <v>637</v>
      </c>
      <c r="P123" s="259">
        <f t="shared" si="135"/>
        <v>637</v>
      </c>
      <c r="Q123" s="259">
        <f t="shared" si="135"/>
        <v>637</v>
      </c>
      <c r="R123" s="259" t="str">
        <f t="shared" si="135"/>
        <v>-</v>
      </c>
      <c r="S123" s="259">
        <f t="shared" si="134"/>
        <v>2529</v>
      </c>
      <c r="T123" s="259">
        <f t="shared" si="136"/>
        <v>2164</v>
      </c>
      <c r="U123" s="259">
        <f t="shared" si="136"/>
        <v>1798</v>
      </c>
      <c r="V123" s="259">
        <f t="shared" si="136"/>
        <v>1433</v>
      </c>
      <c r="W123" s="259">
        <f t="shared" si="136"/>
        <v>1068</v>
      </c>
      <c r="X123" s="259">
        <f t="shared" si="136"/>
        <v>703</v>
      </c>
      <c r="Y123" s="259">
        <f t="shared" si="136"/>
        <v>337</v>
      </c>
      <c r="Z123" s="259">
        <f t="shared" si="136"/>
        <v>-28</v>
      </c>
      <c r="AA123" s="267">
        <f>(VLOOKUP(A123,Hshldprojections2014!$A$2:$AW$319,40, FALSE)-VLOOKUP(A123,Hshldprojections2014!$A$2:$AW$319,30, FALSE))/10</f>
        <v>279</v>
      </c>
      <c r="AB123" s="267">
        <f>(VLOOKUP(A123,Hshldprojections2014!$A$2:$AW$319,41, FALSE)-VLOOKUP(A123,Hshldprojections2014!$A$2:$AW$319,31, FALSE))/10</f>
        <v>280</v>
      </c>
      <c r="AC123" s="267">
        <f>(VLOOKUP(A123,Hshldprojections2014!$A$2:$AW$319,42, FALSE)-VLOOKUP(A123,Hshldprojections2014!$A$2:$AW$319,32, FALSE))/10</f>
        <v>277</v>
      </c>
      <c r="AD123" s="267">
        <f>IF(IndividualLATest!$J$7=2014,(VLOOKUP($A123,Hshldprojections2014!$A$2:$AY$326,43,FALSE)-VLOOKUP($A123,Hshldprojections2014!$A$2:$AY$326,33,FALSE))/10,IF(IndividualLATest!$J$7=2016,(VLOOKUP($A123,Hshldprojections2016!$A$1:$AQ$322,33,FALSE)-VLOOKUP($A123,Hshldprojections2016!$A$1:$AQ$322,23,FALSE))/10,(VLOOKUP($A123,Hshldprojections2018!$A$1:$AQ$327,33,FALSE)-VLOOKUP($A123,Hshldprojections2018!$A$1:$AQ$327,23,FALSE))/10))</f>
        <v>275.7</v>
      </c>
      <c r="AE123" s="267">
        <f>IF(IndividualLATest!$J$7=2014,(VLOOKUP($A123,Hshldprojections2014!$A$2:$AY$326,44,FALSE)-VLOOKUP($A123,Hshldprojections2014!$A$2:$AY$326,34,FALSE))/10,IF(IndividualLATest!$J$7=2016,(VLOOKUP($A123,Hshldprojections2016!$A$1:$AQ$322,34,FALSE)-VLOOKUP($A123,Hshldprojections2016!$A$1:$AQ$322,24,FALSE))/10,(VLOOKUP($A123,Hshldprojections2018!$A$1:$AQ$327,34,FALSE)-VLOOKUP($A123,Hshldprojections2018!$A$1:$AQ$327,24,FALSE))/10))</f>
        <v>262.8</v>
      </c>
      <c r="AF123" s="267">
        <f>IF(IndividualLATest!$J$7=2014,(VLOOKUP($A123,Hshldprojections2014!$A$2:$AY$326,45,FALSE)-VLOOKUP($A123,Hshldprojections2014!$A$2:$AY$326,35,FALSE))/10,IF(IndividualLATest!$J$7=2016,(VLOOKUP($A123,Hshldprojections2016!$A$1:$AQ$322,35,FALSE)-VLOOKUP($A123,Hshldprojections2016!$A$1:$AQ$322,25,FALSE))/10,(VLOOKUP($A123,Hshldprojections2018!$A$1:$AQ$327,35,FALSE)-VLOOKUP($A123,Hshldprojections2018!$A$1:$AQ$327,25,FALSE))/10))</f>
        <v>255.1</v>
      </c>
      <c r="AG123" s="267">
        <f>IF(IndividualLATest!$J$7=2014,(VLOOKUP($A123,Hshldprojections2014!$A$2:$AY$326,46,FALSE)-VLOOKUP($A123,Hshldprojections2014!$A$2:$AY$326,36,FALSE))/10,IF(IndividualLATest!$J$7=2016,(VLOOKUP($A123,Hshldprojections2016!$A$1:$AQ$322,36,FALSE)-VLOOKUP($A123,Hshldprojections2016!$A$1:$AQ$322,26,FALSE))/10,(VLOOKUP($A123,Hshldprojections2018!$A$1:$AQ$327,36,FALSE)-VLOOKUP($A123,Hshldprojections2018!$A$1:$AQ$327,26,FALSE))/10))</f>
        <v>254.6</v>
      </c>
      <c r="AH123" s="267">
        <f>IF(IndividualLATest!$J$7=2014,(VLOOKUP($A123,Hshldprojections2014!$A$2:$AY$326,47,FALSE)-VLOOKUP($A123,Hshldprojections2014!$A$2:$AY$326,37,FALSE))/10,IF(IndividualLATest!$J$7=2016,(VLOOKUP($A123,Hshldprojections2016!$A$1:$AQ$322,37,FALSE)-VLOOKUP($A123,Hshldprojections2016!$A$1:$AQ$322,27,FALSE))/10,(VLOOKUP($A123,Hshldprojections2018!$A$1:$AQ$327,37,FALSE)-VLOOKUP($A123,Hshldprojections2018!$A$1:$AQ$327,27,FALSE))/10))</f>
        <v>251.5</v>
      </c>
      <c r="AI123" s="268">
        <f>VLOOKUP($A123,AffordabilityRatio!$A$2:$I$321,5,FALSE)</f>
        <v>10.29</v>
      </c>
      <c r="AJ123" s="268">
        <f>VLOOKUP($A123,AffordabilityRatio!$A$2:$I$321,6,FALSE)</f>
        <v>10.220000000000001</v>
      </c>
      <c r="AK123" s="268">
        <f>VLOOKUP($A123,AffordabilityRatio!$A$2:$I$321,7,FALSE)</f>
        <v>9.07</v>
      </c>
      <c r="AL123" s="268">
        <f>IF((VLOOKUP($A123,AffordabilityRatio!$A$2:$I$321,8,FALSE))="",AK123,VLOOKUP($A123,AffordabilityRatio!$A$2:$I$321,8,FALSE))</f>
        <v>10.41</v>
      </c>
      <c r="AM123" s="268">
        <f>IF((VLOOKUP($A123,AffordabilityRatio!$A$2:$I$321,9,FALSE))="",AL123,VLOOKUP($A123,AffordabilityRatio!$A$2:$I$321,9,FALSE))</f>
        <v>10.89</v>
      </c>
      <c r="AN123" s="268">
        <f>IF((VLOOKUP($A123,AffordabilityRatio!$A$2:$I$321,9,FALSE))="",AM123,VLOOKUP($A123,AffordabilityRatio!$A$2:$I$321,9,FALSE))</f>
        <v>10.89</v>
      </c>
      <c r="AO123" s="268">
        <f>IF((VLOOKUP($A123,AffordabilityRatio!$A$2:$I$321,9,FALSE))="",AN123,VLOOKUP($A123,AffordabilityRatio!$A$2:$I$321,9,FALSE))</f>
        <v>10.89</v>
      </c>
      <c r="AP123" s="268">
        <f>IF((VLOOKUP($A123,AffordabilityRatio!$A$2:$I$321,9,FALSE))="",AO123,VLOOKUP($A123,AffordabilityRatio!$A$2:$I$321,9,FALSE))</f>
        <v>10.89</v>
      </c>
      <c r="AQ123" s="267">
        <f t="shared" si="86"/>
        <v>389</v>
      </c>
      <c r="AR123" s="267">
        <f t="shared" si="87"/>
        <v>389</v>
      </c>
      <c r="AS123" s="267">
        <f t="shared" si="88"/>
        <v>365</v>
      </c>
      <c r="AT123" s="267">
        <f t="shared" si="89"/>
        <v>386</v>
      </c>
      <c r="AU123" s="267">
        <f t="shared" si="90"/>
        <v>376</v>
      </c>
      <c r="AV123" s="267">
        <f t="shared" si="91"/>
        <v>365</v>
      </c>
      <c r="AW123" s="267">
        <f t="shared" si="92"/>
        <v>364</v>
      </c>
      <c r="AX123" s="267">
        <f t="shared" si="93"/>
        <v>360</v>
      </c>
      <c r="AY123" s="267">
        <f t="shared" si="94"/>
        <v>389</v>
      </c>
      <c r="AZ123" s="267">
        <f t="shared" si="95"/>
        <v>389</v>
      </c>
      <c r="BA123" s="267">
        <f t="shared" si="96"/>
        <v>365</v>
      </c>
      <c r="BB123" s="267">
        <f t="shared" si="97"/>
        <v>386</v>
      </c>
      <c r="BC123" s="267">
        <f t="shared" si="98"/>
        <v>376</v>
      </c>
      <c r="BD123" s="267">
        <f t="shared" si="99"/>
        <v>365</v>
      </c>
      <c r="BE123" s="267">
        <f t="shared" si="100"/>
        <v>364</v>
      </c>
      <c r="BF123" s="267">
        <f t="shared" si="101"/>
        <v>360</v>
      </c>
      <c r="BG123" s="269">
        <f>AY123*VLOOKUP($B123,'Major Cities &amp; Towns'!$A$28:$B$345,2,FALSE)</f>
        <v>389</v>
      </c>
      <c r="BH123" s="269">
        <f>AZ123*VLOOKUP($B123,'Major Cities &amp; Towns'!$A$28:$B$345,2,FALSE)</f>
        <v>389</v>
      </c>
      <c r="BI123" s="269">
        <f>BA123*VLOOKUP($B123,'Major Cities &amp; Towns'!$A$28:$B$345,2,FALSE)</f>
        <v>365</v>
      </c>
      <c r="BJ123" s="269">
        <f>BB123*VLOOKUP($B123,'Major Cities &amp; Towns'!$A$28:$B$345,2,FALSE)</f>
        <v>386</v>
      </c>
      <c r="BK123" s="269">
        <f>BC123*VLOOKUP($B123,'Major Cities &amp; Towns'!$A$28:$B$345,2,FALSE)</f>
        <v>376</v>
      </c>
      <c r="BL123" s="269">
        <f>BD123*VLOOKUP($B123,'Major Cities &amp; Towns'!$A$28:$B$345,2,FALSE)</f>
        <v>365</v>
      </c>
      <c r="BM123" s="269">
        <f>BE123*VLOOKUP($B123,'Major Cities &amp; Towns'!$A$28:$B$345,2,FALSE)</f>
        <v>364</v>
      </c>
      <c r="BN123" s="269">
        <f>BF123*VLOOKUP($B123,'Major Cities &amp; Towns'!$A$28:$B$345,2,FALSE)</f>
        <v>360</v>
      </c>
      <c r="BO123" s="270">
        <f t="shared" si="102"/>
        <v>389</v>
      </c>
      <c r="BP123" s="270">
        <f t="shared" si="103"/>
        <v>389</v>
      </c>
      <c r="BQ123" s="270">
        <f t="shared" si="104"/>
        <v>365</v>
      </c>
      <c r="BR123" s="270">
        <f t="shared" si="105"/>
        <v>386</v>
      </c>
      <c r="BS123" s="270">
        <f t="shared" si="106"/>
        <v>376</v>
      </c>
      <c r="BT123" s="270">
        <f t="shared" si="107"/>
        <v>365</v>
      </c>
      <c r="BU123" s="270">
        <f t="shared" si="108"/>
        <v>364</v>
      </c>
      <c r="BV123" s="270">
        <f t="shared" si="109"/>
        <v>360</v>
      </c>
      <c r="BW123" s="39">
        <f>VLOOKUP($A123,NetAdditions!$A$2:$H$336,6,FALSE)</f>
        <v>682</v>
      </c>
      <c r="BX123" s="39">
        <f>VLOOKUP($A123,NetAdditions!$A$2:$H$336,7,FALSE)</f>
        <v>975</v>
      </c>
      <c r="BY123" s="39">
        <f>IF((VLOOKUP($C123,NetAdditions!$A$2:$H$336,8,FALSE))="",(AVERAGE(VLOOKUP($C123,NetAdditions!$A$2:$H$336,5,FALSE),VLOOKUP($C123,NetAdditions!$A$2:$H$336,6,FALSE),VLOOKUP($C123,NetAdditions!$A$2:$H$336,7,FALSE))),VLOOKUP($C123,NetAdditions!$A$2:$H$336,8,FALSE))</f>
        <v>879</v>
      </c>
      <c r="BZ123" s="39">
        <f t="shared" si="110"/>
        <v>845.33333333333337</v>
      </c>
      <c r="CA123" s="39">
        <f t="shared" si="111"/>
        <v>899.77777777777783</v>
      </c>
      <c r="CB123" s="39">
        <f t="shared" si="112"/>
        <v>874.70370370370381</v>
      </c>
      <c r="CC123" s="39">
        <f t="shared" si="113"/>
        <v>873.27160493827171</v>
      </c>
      <c r="CD123" s="39">
        <f t="shared" si="114"/>
        <v>882.58436213991774</v>
      </c>
      <c r="CE123" s="276">
        <f t="shared" si="71"/>
        <v>1143</v>
      </c>
      <c r="CF123" s="276">
        <f t="shared" si="72"/>
        <v>1140</v>
      </c>
      <c r="CG123" s="276">
        <f t="shared" si="73"/>
        <v>1127</v>
      </c>
      <c r="CH123" s="276">
        <f t="shared" si="74"/>
        <v>1127</v>
      </c>
      <c r="CI123" s="276">
        <f t="shared" si="75"/>
        <v>1105</v>
      </c>
      <c r="CJ123" s="276">
        <f t="shared" si="76"/>
        <v>1089</v>
      </c>
      <c r="CK123" s="276">
        <f t="shared" si="115"/>
        <v>984.25</v>
      </c>
      <c r="CL123" s="276">
        <f t="shared" si="116"/>
        <v>981.66666666666674</v>
      </c>
      <c r="CM123" s="276">
        <f t="shared" si="117"/>
        <v>1033.0833333333333</v>
      </c>
      <c r="CN123" s="276">
        <f t="shared" si="118"/>
        <v>1127</v>
      </c>
      <c r="CO123" s="276">
        <f t="shared" si="119"/>
        <v>1105</v>
      </c>
      <c r="CP123" s="276">
        <f t="shared" si="120"/>
        <v>1089</v>
      </c>
      <c r="CQ123" s="39">
        <f t="shared" si="77"/>
        <v>2536</v>
      </c>
      <c r="CR123" s="39">
        <f t="shared" si="78"/>
        <v>2699.3333333333335</v>
      </c>
      <c r="CS123" s="277">
        <f t="shared" si="79"/>
        <v>2624.1111111111113</v>
      </c>
      <c r="CT123" s="39">
        <f t="shared" si="80"/>
        <v>2619.8148148148152</v>
      </c>
      <c r="CU123" s="39">
        <f t="shared" si="81"/>
        <v>2647.7530864197533</v>
      </c>
      <c r="CV123" s="39">
        <f t="shared" si="121"/>
        <v>2630.5596707818931</v>
      </c>
      <c r="CW123" s="297">
        <f t="shared" si="82"/>
        <v>2.5765811531623064</v>
      </c>
      <c r="CX123" s="279" t="str">
        <f t="shared" si="122"/>
        <v>Pass</v>
      </c>
      <c r="CY123" s="278">
        <f t="shared" si="83"/>
        <v>2.7497453310696094</v>
      </c>
      <c r="CZ123" s="279" t="str">
        <f t="shared" si="123"/>
        <v>Pass</v>
      </c>
      <c r="DA123" s="278">
        <f t="shared" si="84"/>
        <v>2.5400769003253481</v>
      </c>
      <c r="DB123" s="292" t="str">
        <f t="shared" si="124"/>
        <v>Pass</v>
      </c>
      <c r="DC123" s="299">
        <f t="shared" si="125"/>
        <v>2.3245916724177595</v>
      </c>
      <c r="DD123" s="293" t="str">
        <f t="shared" si="126"/>
        <v>Pass</v>
      </c>
      <c r="DE123" s="299">
        <f t="shared" si="127"/>
        <v>2.3961566392938942</v>
      </c>
      <c r="DF123" s="293" t="str">
        <f t="shared" si="128"/>
        <v>Pass</v>
      </c>
      <c r="DG123" s="299">
        <f t="shared" si="129"/>
        <v>2.4155736187161554</v>
      </c>
      <c r="DH123" s="293" t="str">
        <f t="shared" si="130"/>
        <v>Pass</v>
      </c>
    </row>
    <row r="124" spans="1:112" customFormat="1" ht="15.5" thickTop="1" thickBot="1">
      <c r="A124" s="3" t="s">
        <v>358</v>
      </c>
      <c r="B124" s="3" t="s">
        <v>359</v>
      </c>
      <c r="C124" s="3" t="s">
        <v>358</v>
      </c>
      <c r="D124" s="3" t="s">
        <v>131</v>
      </c>
      <c r="E124" s="3" t="str">
        <f>VLOOKUP(C124,PoliticalControl!A:K,11,FALSE)</f>
        <v>LAB</v>
      </c>
      <c r="F124" s="3" t="str">
        <f>VLOOKUP(C124,UrbanRuralClassification!A:N,13,FALSE)</f>
        <v>Urban with Major Conurbation</v>
      </c>
      <c r="G124" s="3" t="str">
        <f>VLOOKUP(C124,UrbanRuralClassification!A:N,14,FALSE)</f>
        <v>Predominantly Urban</v>
      </c>
      <c r="H124" s="262">
        <f>IF(ISBLANK((VLOOKUP($A124,'local-plan-data'!$C$1:$AD$566,27,FALSE)))=TRUE,"",VLOOKUP($A124,'local-plan-data'!$C$1:$AD$566,27,FALSE))</f>
        <v>40955</v>
      </c>
      <c r="I124" s="263">
        <f>VLOOKUP($A124,'local-plan-data'!$C$1:$AD$566,28,FALSE)</f>
        <v>355.88235294117646</v>
      </c>
      <c r="J124" s="264">
        <f t="shared" si="85"/>
        <v>355.88235294117646</v>
      </c>
      <c r="K124" s="259" t="str">
        <f t="shared" si="133"/>
        <v>-</v>
      </c>
      <c r="L124" s="259" t="str">
        <f t="shared" si="135"/>
        <v>-</v>
      </c>
      <c r="M124" s="259" t="str">
        <f t="shared" si="135"/>
        <v>-</v>
      </c>
      <c r="N124" s="259" t="str">
        <f t="shared" si="135"/>
        <v>-</v>
      </c>
      <c r="O124" s="259" t="str">
        <f t="shared" si="135"/>
        <v>-</v>
      </c>
      <c r="P124" s="259" t="str">
        <f t="shared" si="135"/>
        <v>-</v>
      </c>
      <c r="Q124" s="259" t="str">
        <f t="shared" si="135"/>
        <v>-</v>
      </c>
      <c r="R124" s="259" t="str">
        <f t="shared" si="135"/>
        <v>-</v>
      </c>
      <c r="S124" s="259">
        <f t="shared" si="134"/>
        <v>-409</v>
      </c>
      <c r="T124" s="259">
        <f t="shared" si="136"/>
        <v>-774</v>
      </c>
      <c r="U124" s="259">
        <f t="shared" si="136"/>
        <v>-1140</v>
      </c>
      <c r="V124" s="259">
        <f t="shared" si="136"/>
        <v>-1505</v>
      </c>
      <c r="W124" s="259">
        <f t="shared" si="136"/>
        <v>-1870</v>
      </c>
      <c r="X124" s="259">
        <f t="shared" si="136"/>
        <v>-2235</v>
      </c>
      <c r="Y124" s="259">
        <f t="shared" si="136"/>
        <v>-2601</v>
      </c>
      <c r="Z124" s="259">
        <f t="shared" si="136"/>
        <v>-2966</v>
      </c>
      <c r="AA124" s="267">
        <f>(VLOOKUP(A124,Hshldprojections2014!$A$2:$AW$319,40, FALSE)-VLOOKUP(A124,Hshldprojections2014!$A$2:$AW$319,30, FALSE))/10</f>
        <v>1372.9</v>
      </c>
      <c r="AB124" s="267">
        <f>(VLOOKUP(A124,Hshldprojections2014!$A$2:$AW$319,41, FALSE)-VLOOKUP(A124,Hshldprojections2014!$A$2:$AW$319,31, FALSE))/10</f>
        <v>1357.6</v>
      </c>
      <c r="AC124" s="267">
        <f>(VLOOKUP(A124,Hshldprojections2014!$A$2:$AW$319,42, FALSE)-VLOOKUP(A124,Hshldprojections2014!$A$2:$AW$319,32, FALSE))/10</f>
        <v>1342.8</v>
      </c>
      <c r="AD124" s="267">
        <f>IF(IndividualLATest!$J$7=2014,(VLOOKUP($A124,Hshldprojections2014!$A$2:$AY$326,43,FALSE)-VLOOKUP($A124,Hshldprojections2014!$A$2:$AY$326,33,FALSE))/10,IF(IndividualLATest!$J$7=2016,(VLOOKUP($A124,Hshldprojections2016!$A$1:$AQ$322,33,FALSE)-VLOOKUP($A124,Hshldprojections2016!$A$1:$AQ$322,23,FALSE))/10,(VLOOKUP($A124,Hshldprojections2018!$A$1:$AQ$327,33,FALSE)-VLOOKUP($A124,Hshldprojections2018!$A$1:$AQ$327,23,FALSE))/10))</f>
        <v>418.2</v>
      </c>
      <c r="AE124" s="267">
        <f>IF(IndividualLATest!$J$7=2014,(VLOOKUP($A124,Hshldprojections2014!$A$2:$AY$326,44,FALSE)-VLOOKUP($A124,Hshldprojections2014!$A$2:$AY$326,34,FALSE))/10,IF(IndividualLATest!$J$7=2016,(VLOOKUP($A124,Hshldprojections2016!$A$1:$AQ$322,34,FALSE)-VLOOKUP($A124,Hshldprojections2016!$A$1:$AQ$322,24,FALSE))/10,(VLOOKUP($A124,Hshldprojections2018!$A$1:$AQ$327,34,FALSE)-VLOOKUP($A124,Hshldprojections2018!$A$1:$AQ$327,24,FALSE))/10))</f>
        <v>404.7</v>
      </c>
      <c r="AF124" s="267">
        <f>IF(IndividualLATest!$J$7=2014,(VLOOKUP($A124,Hshldprojections2014!$A$2:$AY$326,45,FALSE)-VLOOKUP($A124,Hshldprojections2014!$A$2:$AY$326,35,FALSE))/10,IF(IndividualLATest!$J$7=2016,(VLOOKUP($A124,Hshldprojections2016!$A$1:$AQ$322,35,FALSE)-VLOOKUP($A124,Hshldprojections2016!$A$1:$AQ$322,25,FALSE))/10,(VLOOKUP($A124,Hshldprojections2018!$A$1:$AQ$327,35,FALSE)-VLOOKUP($A124,Hshldprojections2018!$A$1:$AQ$327,25,FALSE))/10))</f>
        <v>394</v>
      </c>
      <c r="AG124" s="267">
        <f>IF(IndividualLATest!$J$7=2014,(VLOOKUP($A124,Hshldprojections2014!$A$2:$AY$326,46,FALSE)-VLOOKUP($A124,Hshldprojections2014!$A$2:$AY$326,36,FALSE))/10,IF(IndividualLATest!$J$7=2016,(VLOOKUP($A124,Hshldprojections2016!$A$1:$AQ$322,36,FALSE)-VLOOKUP($A124,Hshldprojections2016!$A$1:$AQ$322,26,FALSE))/10,(VLOOKUP($A124,Hshldprojections2018!$A$1:$AQ$327,36,FALSE)-VLOOKUP($A124,Hshldprojections2018!$A$1:$AQ$327,26,FALSE))/10))</f>
        <v>384.7</v>
      </c>
      <c r="AH124" s="267">
        <f>IF(IndividualLATest!$J$7=2014,(VLOOKUP($A124,Hshldprojections2014!$A$2:$AY$326,47,FALSE)-VLOOKUP($A124,Hshldprojections2014!$A$2:$AY$326,37,FALSE))/10,IF(IndividualLATest!$J$7=2016,(VLOOKUP($A124,Hshldprojections2016!$A$1:$AQ$322,37,FALSE)-VLOOKUP($A124,Hshldprojections2016!$A$1:$AQ$322,27,FALSE))/10,(VLOOKUP($A124,Hshldprojections2018!$A$1:$AQ$327,37,FALSE)-VLOOKUP($A124,Hshldprojections2018!$A$1:$AQ$327,27,FALSE))/10))</f>
        <v>382.7</v>
      </c>
      <c r="AI124" s="268">
        <f>VLOOKUP($A124,AffordabilityRatio!$A$2:$I$321,5,FALSE)</f>
        <v>16</v>
      </c>
      <c r="AJ124" s="268">
        <f>VLOOKUP($A124,AffordabilityRatio!$A$2:$I$321,6,FALSE)</f>
        <v>15.56</v>
      </c>
      <c r="AK124" s="268">
        <f>VLOOKUP($A124,AffordabilityRatio!$A$2:$I$321,7,FALSE)</f>
        <v>14.02</v>
      </c>
      <c r="AL124" s="268">
        <f>IF((VLOOKUP($A124,AffordabilityRatio!$A$2:$I$321,8,FALSE))="",AK124,VLOOKUP($A124,AffordabilityRatio!$A$2:$I$321,8,FALSE))</f>
        <v>15.89</v>
      </c>
      <c r="AM124" s="268">
        <f>IF((VLOOKUP($A124,AffordabilityRatio!$A$2:$I$321,9,FALSE))="",AL124,VLOOKUP($A124,AffordabilityRatio!$A$2:$I$321,9,FALSE))</f>
        <v>16.149999999999999</v>
      </c>
      <c r="AN124" s="268">
        <f>IF((VLOOKUP($A124,AffordabilityRatio!$A$2:$I$321,9,FALSE))="",AM124,VLOOKUP($A124,AffordabilityRatio!$A$2:$I$321,9,FALSE))</f>
        <v>16.149999999999999</v>
      </c>
      <c r="AO124" s="268">
        <f>IF((VLOOKUP($A124,AffordabilityRatio!$A$2:$I$321,9,FALSE))="",AN124,VLOOKUP($A124,AffordabilityRatio!$A$2:$I$321,9,FALSE))</f>
        <v>16.149999999999999</v>
      </c>
      <c r="AP124" s="268">
        <f>IF((VLOOKUP($A124,AffordabilityRatio!$A$2:$I$321,9,FALSE))="",AO124,VLOOKUP($A124,AffordabilityRatio!$A$2:$I$321,9,FALSE))</f>
        <v>16.149999999999999</v>
      </c>
      <c r="AQ124" s="267">
        <f t="shared" si="86"/>
        <v>2403</v>
      </c>
      <c r="AR124" s="267">
        <f t="shared" si="87"/>
        <v>2338</v>
      </c>
      <c r="AS124" s="267">
        <f t="shared" si="88"/>
        <v>2184</v>
      </c>
      <c r="AT124" s="267">
        <f t="shared" si="89"/>
        <v>729</v>
      </c>
      <c r="AU124" s="267">
        <f t="shared" si="90"/>
        <v>712</v>
      </c>
      <c r="AV124" s="267">
        <f t="shared" si="91"/>
        <v>693</v>
      </c>
      <c r="AW124" s="267">
        <f t="shared" si="92"/>
        <v>677</v>
      </c>
      <c r="AX124" s="267">
        <f t="shared" si="93"/>
        <v>673</v>
      </c>
      <c r="AY124" s="267">
        <f t="shared" si="94"/>
        <v>1922.0600000000002</v>
      </c>
      <c r="AZ124" s="267">
        <f t="shared" si="95"/>
        <v>1900.6399999999999</v>
      </c>
      <c r="BA124" s="267">
        <f t="shared" si="96"/>
        <v>1879.92</v>
      </c>
      <c r="BB124" s="267">
        <f t="shared" si="97"/>
        <v>585.48</v>
      </c>
      <c r="BC124" s="267">
        <f t="shared" si="98"/>
        <v>566.57999999999993</v>
      </c>
      <c r="BD124" s="267">
        <f t="shared" si="99"/>
        <v>551.6</v>
      </c>
      <c r="BE124" s="267">
        <f t="shared" si="100"/>
        <v>538.57999999999993</v>
      </c>
      <c r="BF124" s="267">
        <f t="shared" si="101"/>
        <v>535.78</v>
      </c>
      <c r="BG124" s="269">
        <f>AY124*VLOOKUP($B124,'Major Cities &amp; Towns'!$A$28:$B$345,2,FALSE)</f>
        <v>2594.7810000000004</v>
      </c>
      <c r="BH124" s="269">
        <f>AZ124*VLOOKUP($B124,'Major Cities &amp; Towns'!$A$28:$B$345,2,FALSE)</f>
        <v>2565.864</v>
      </c>
      <c r="BI124" s="269">
        <f>BA124*VLOOKUP($B124,'Major Cities &amp; Towns'!$A$28:$B$345,2,FALSE)</f>
        <v>2537.8920000000003</v>
      </c>
      <c r="BJ124" s="269">
        <f>BB124*VLOOKUP($B124,'Major Cities &amp; Towns'!$A$28:$B$345,2,FALSE)</f>
        <v>790.39800000000002</v>
      </c>
      <c r="BK124" s="269">
        <f>BC124*VLOOKUP($B124,'Major Cities &amp; Towns'!$A$28:$B$345,2,FALSE)</f>
        <v>764.88299999999992</v>
      </c>
      <c r="BL124" s="269">
        <f>BD124*VLOOKUP($B124,'Major Cities &amp; Towns'!$A$28:$B$345,2,FALSE)</f>
        <v>744.66000000000008</v>
      </c>
      <c r="BM124" s="269">
        <f>BE124*VLOOKUP($B124,'Major Cities &amp; Towns'!$A$28:$B$345,2,FALSE)</f>
        <v>727.08299999999997</v>
      </c>
      <c r="BN124" s="269">
        <f>BF124*VLOOKUP($B124,'Major Cities &amp; Towns'!$A$28:$B$345,2,FALSE)</f>
        <v>723.303</v>
      </c>
      <c r="BO124" s="270">
        <f t="shared" si="102"/>
        <v>2403</v>
      </c>
      <c r="BP124" s="270">
        <f t="shared" si="103"/>
        <v>2338</v>
      </c>
      <c r="BQ124" s="270">
        <f t="shared" si="104"/>
        <v>2184</v>
      </c>
      <c r="BR124" s="270">
        <f t="shared" si="105"/>
        <v>729</v>
      </c>
      <c r="BS124" s="270">
        <f t="shared" si="106"/>
        <v>712</v>
      </c>
      <c r="BT124" s="270">
        <f t="shared" si="107"/>
        <v>693</v>
      </c>
      <c r="BU124" s="270">
        <f t="shared" si="108"/>
        <v>677</v>
      </c>
      <c r="BV124" s="270">
        <f t="shared" si="109"/>
        <v>673</v>
      </c>
      <c r="BW124" s="39">
        <f>VLOOKUP($A124,NetAdditions!$A$2:$H$336,6,FALSE)</f>
        <v>1229</v>
      </c>
      <c r="BX124" s="39">
        <f>VLOOKUP($A124,NetAdditions!$A$2:$H$336,7,FALSE)</f>
        <v>1200</v>
      </c>
      <c r="BY124" s="39">
        <f>IF((VLOOKUP($C124,NetAdditions!$A$2:$H$336,8,FALSE))="",(AVERAGE(VLOOKUP($C124,NetAdditions!$A$2:$H$336,5,FALSE),VLOOKUP($C124,NetAdditions!$A$2:$H$336,6,FALSE),VLOOKUP($C124,NetAdditions!$A$2:$H$336,7,FALSE))),VLOOKUP($C124,NetAdditions!$A$2:$H$336,8,FALSE))</f>
        <v>775</v>
      </c>
      <c r="BZ124" s="39">
        <f t="shared" si="110"/>
        <v>1068</v>
      </c>
      <c r="CA124" s="39">
        <f t="shared" si="111"/>
        <v>1014.3333333333334</v>
      </c>
      <c r="CB124" s="39">
        <f t="shared" si="112"/>
        <v>952.44444444444446</v>
      </c>
      <c r="CC124" s="39">
        <f t="shared" si="113"/>
        <v>1011.5925925925926</v>
      </c>
      <c r="CD124" s="39">
        <f t="shared" si="114"/>
        <v>992.79012345679018</v>
      </c>
      <c r="CE124" s="276">
        <f t="shared" si="71"/>
        <v>6925</v>
      </c>
      <c r="CF124" s="276">
        <f t="shared" si="72"/>
        <v>5251</v>
      </c>
      <c r="CG124" s="276">
        <f t="shared" si="73"/>
        <v>3625</v>
      </c>
      <c r="CH124" s="276">
        <f t="shared" si="74"/>
        <v>2134</v>
      </c>
      <c r="CI124" s="276">
        <f t="shared" si="75"/>
        <v>2082</v>
      </c>
      <c r="CJ124" s="276">
        <f t="shared" si="76"/>
        <v>2043</v>
      </c>
      <c r="CK124" s="276">
        <f t="shared" si="115"/>
        <v>5963.1944444444443</v>
      </c>
      <c r="CL124" s="276">
        <f t="shared" si="116"/>
        <v>4521.6944444444443</v>
      </c>
      <c r="CM124" s="276">
        <f t="shared" si="117"/>
        <v>3322.9166666666665</v>
      </c>
      <c r="CN124" s="276">
        <f t="shared" si="118"/>
        <v>2134</v>
      </c>
      <c r="CO124" s="276">
        <f t="shared" si="119"/>
        <v>2082</v>
      </c>
      <c r="CP124" s="276">
        <f t="shared" si="120"/>
        <v>2043</v>
      </c>
      <c r="CQ124" s="39">
        <f t="shared" si="77"/>
        <v>3204</v>
      </c>
      <c r="CR124" s="39">
        <f t="shared" si="78"/>
        <v>3043</v>
      </c>
      <c r="CS124" s="277">
        <f t="shared" si="79"/>
        <v>2857.3333333333335</v>
      </c>
      <c r="CT124" s="39">
        <f t="shared" si="80"/>
        <v>3034.7777777777778</v>
      </c>
      <c r="CU124" s="39">
        <f t="shared" si="81"/>
        <v>2978.3703703703704</v>
      </c>
      <c r="CV124" s="39">
        <f t="shared" si="121"/>
        <v>2956.8271604938273</v>
      </c>
      <c r="CW124" s="297">
        <f t="shared" si="82"/>
        <v>0.53729591242575991</v>
      </c>
      <c r="CX124" s="279" t="str">
        <f t="shared" si="122"/>
        <v>Buffer and Action Plan</v>
      </c>
      <c r="CY124" s="278">
        <f t="shared" si="83"/>
        <v>0.67297780453492728</v>
      </c>
      <c r="CZ124" s="279" t="str">
        <f t="shared" si="123"/>
        <v>Buffer and Action Plan</v>
      </c>
      <c r="DA124" s="278">
        <f t="shared" si="84"/>
        <v>0.85988714733542326</v>
      </c>
      <c r="DB124" s="292" t="str">
        <f t="shared" si="124"/>
        <v>Action Plan</v>
      </c>
      <c r="DC124" s="299">
        <f t="shared" si="125"/>
        <v>1.4221076746849943</v>
      </c>
      <c r="DD124" s="293" t="str">
        <f t="shared" si="126"/>
        <v>Pass</v>
      </c>
      <c r="DE124" s="299">
        <f t="shared" si="127"/>
        <v>1.4305333191020031</v>
      </c>
      <c r="DF124" s="293" t="str">
        <f t="shared" si="128"/>
        <v>Pass</v>
      </c>
      <c r="DG124" s="299">
        <f t="shared" si="129"/>
        <v>1.4472967011717217</v>
      </c>
      <c r="DH124" s="293" t="str">
        <f t="shared" si="130"/>
        <v>Pass</v>
      </c>
    </row>
    <row r="125" spans="1:112" ht="15" thickTop="1" thickBot="1">
      <c r="A125" s="38" t="s">
        <v>360</v>
      </c>
      <c r="B125" s="38" t="s">
        <v>361</v>
      </c>
      <c r="C125" s="38" t="s">
        <v>360</v>
      </c>
      <c r="D125" s="38" t="s">
        <v>113</v>
      </c>
      <c r="E125" s="38" t="str">
        <f>VLOOKUP(C125,PoliticalControl!A:K,11,FALSE)</f>
        <v>NOC</v>
      </c>
      <c r="F125" s="38" t="str">
        <f>VLOOKUP(C125,UrbanRuralClassification!A:N,13,FALSE)</f>
        <v>Urban with Significant Rural (rural including hub towns 26-49%)</v>
      </c>
      <c r="G125" s="38" t="str">
        <f>VLOOKUP(C125,UrbanRuralClassification!A:N,14,FALSE)</f>
        <v>Urban with Significant Rural</v>
      </c>
      <c r="H125" s="258">
        <f>IF(ISBLANK((VLOOKUP($A125,'local-plan-data'!$C$1:$AD$566,27,FALSE)))=TRUE,"",VLOOKUP($A125,'local-plan-data'!$C$1:$AD$566,27,FALSE))</f>
        <v>43951</v>
      </c>
      <c r="I125" s="259">
        <f>VLOOKUP($A125,'local-plan-data'!$C$1:$AD$566,28,FALSE)</f>
        <v>423</v>
      </c>
      <c r="J125" s="260">
        <f t="shared" si="85"/>
        <v>423</v>
      </c>
      <c r="K125" s="259">
        <f t="shared" si="133"/>
        <v>423</v>
      </c>
      <c r="L125" s="259">
        <f t="shared" si="135"/>
        <v>423</v>
      </c>
      <c r="M125" s="259">
        <f t="shared" si="135"/>
        <v>423</v>
      </c>
      <c r="N125" s="259">
        <f t="shared" si="135"/>
        <v>423</v>
      </c>
      <c r="O125" s="259">
        <f t="shared" si="135"/>
        <v>423</v>
      </c>
      <c r="P125" s="259">
        <f t="shared" si="135"/>
        <v>423</v>
      </c>
      <c r="Q125" s="259">
        <f t="shared" si="135"/>
        <v>423</v>
      </c>
      <c r="R125" s="259">
        <f t="shared" si="135"/>
        <v>423</v>
      </c>
      <c r="S125" s="259">
        <f t="shared" si="134"/>
        <v>2586</v>
      </c>
      <c r="T125" s="259">
        <f t="shared" si="136"/>
        <v>2221</v>
      </c>
      <c r="U125" s="259">
        <f t="shared" si="136"/>
        <v>1855</v>
      </c>
      <c r="V125" s="259">
        <f t="shared" si="136"/>
        <v>1490</v>
      </c>
      <c r="W125" s="259">
        <f t="shared" si="136"/>
        <v>1125</v>
      </c>
      <c r="X125" s="259">
        <f t="shared" si="136"/>
        <v>760</v>
      </c>
      <c r="Y125" s="259">
        <f t="shared" si="136"/>
        <v>394</v>
      </c>
      <c r="Z125" s="259">
        <f t="shared" si="136"/>
        <v>29</v>
      </c>
      <c r="AA125" s="267">
        <f>(VLOOKUP(A125,Hshldprojections2014!$A$2:$AW$319,40, FALSE)-VLOOKUP(A125,Hshldprojections2014!$A$2:$AW$319,30, FALSE))/10</f>
        <v>206.6</v>
      </c>
      <c r="AB125" s="267">
        <f>(VLOOKUP(A125,Hshldprojections2014!$A$2:$AW$319,41, FALSE)-VLOOKUP(A125,Hshldprojections2014!$A$2:$AW$319,31, FALSE))/10</f>
        <v>204.7</v>
      </c>
      <c r="AC125" s="267">
        <f>(VLOOKUP(A125,Hshldprojections2014!$A$2:$AW$319,42, FALSE)-VLOOKUP(A125,Hshldprojections2014!$A$2:$AW$319,32, FALSE))/10</f>
        <v>202.4</v>
      </c>
      <c r="AD125" s="267">
        <f>IF(IndividualLATest!$J$7=2014,(VLOOKUP($A125,Hshldprojections2014!$A$2:$AY$326,43,FALSE)-VLOOKUP($A125,Hshldprojections2014!$A$2:$AY$326,33,FALSE))/10,IF(IndividualLATest!$J$7=2016,(VLOOKUP($A125,Hshldprojections2016!$A$1:$AQ$322,33,FALSE)-VLOOKUP($A125,Hshldprojections2016!$A$1:$AQ$322,23,FALSE))/10,(VLOOKUP($A125,Hshldprojections2018!$A$1:$AQ$327,33,FALSE)-VLOOKUP($A125,Hshldprojections2018!$A$1:$AQ$327,23,FALSE))/10))</f>
        <v>229.1</v>
      </c>
      <c r="AE125" s="267">
        <f>IF(IndividualLATest!$J$7=2014,(VLOOKUP($A125,Hshldprojections2014!$A$2:$AY$326,44,FALSE)-VLOOKUP($A125,Hshldprojections2014!$A$2:$AY$326,34,FALSE))/10,IF(IndividualLATest!$J$7=2016,(VLOOKUP($A125,Hshldprojections2016!$A$1:$AQ$322,34,FALSE)-VLOOKUP($A125,Hshldprojections2016!$A$1:$AQ$322,24,FALSE))/10,(VLOOKUP($A125,Hshldprojections2018!$A$1:$AQ$327,34,FALSE)-VLOOKUP($A125,Hshldprojections2018!$A$1:$AQ$327,24,FALSE))/10))</f>
        <v>213.3</v>
      </c>
      <c r="AF125" s="267">
        <f>IF(IndividualLATest!$J$7=2014,(VLOOKUP($A125,Hshldprojections2014!$A$2:$AY$326,45,FALSE)-VLOOKUP($A125,Hshldprojections2014!$A$2:$AY$326,35,FALSE))/10,IF(IndividualLATest!$J$7=2016,(VLOOKUP($A125,Hshldprojections2016!$A$1:$AQ$322,35,FALSE)-VLOOKUP($A125,Hshldprojections2016!$A$1:$AQ$322,25,FALSE))/10,(VLOOKUP($A125,Hshldprojections2018!$A$1:$AQ$327,35,FALSE)-VLOOKUP($A125,Hshldprojections2018!$A$1:$AQ$327,25,FALSE))/10))</f>
        <v>200.4</v>
      </c>
      <c r="AG125" s="267">
        <f>IF(IndividualLATest!$J$7=2014,(VLOOKUP($A125,Hshldprojections2014!$A$2:$AY$326,46,FALSE)-VLOOKUP($A125,Hshldprojections2014!$A$2:$AY$326,36,FALSE))/10,IF(IndividualLATest!$J$7=2016,(VLOOKUP($A125,Hshldprojections2016!$A$1:$AQ$322,36,FALSE)-VLOOKUP($A125,Hshldprojections2016!$A$1:$AQ$322,26,FALSE))/10,(VLOOKUP($A125,Hshldprojections2018!$A$1:$AQ$327,36,FALSE)-VLOOKUP($A125,Hshldprojections2018!$A$1:$AQ$327,26,FALSE))/10))</f>
        <v>189.7</v>
      </c>
      <c r="AH125" s="267">
        <f>IF(IndividualLATest!$J$7=2014,(VLOOKUP($A125,Hshldprojections2014!$A$2:$AY$326,47,FALSE)-VLOOKUP($A125,Hshldprojections2014!$A$2:$AY$326,37,FALSE))/10,IF(IndividualLATest!$J$7=2016,(VLOOKUP($A125,Hshldprojections2016!$A$1:$AQ$322,37,FALSE)-VLOOKUP($A125,Hshldprojections2016!$A$1:$AQ$322,27,FALSE))/10,(VLOOKUP($A125,Hshldprojections2018!$A$1:$AQ$327,37,FALSE)-VLOOKUP($A125,Hshldprojections2018!$A$1:$AQ$327,27,FALSE))/10))</f>
        <v>181</v>
      </c>
      <c r="AI125" s="268">
        <f>VLOOKUP($A125,AffordabilityRatio!$A$2:$I$321,5,FALSE)</f>
        <v>11.83</v>
      </c>
      <c r="AJ125" s="268">
        <f>VLOOKUP($A125,AffordabilityRatio!$A$2:$I$321,6,FALSE)</f>
        <v>12.28</v>
      </c>
      <c r="AK125" s="268">
        <f>VLOOKUP($A125,AffordabilityRatio!$A$2:$I$321,7,FALSE)</f>
        <v>10.67</v>
      </c>
      <c r="AL125" s="268">
        <f>IF((VLOOKUP($A125,AffordabilityRatio!$A$2:$I$321,8,FALSE))="",AK125,VLOOKUP($A125,AffordabilityRatio!$A$2:$I$321,8,FALSE))</f>
        <v>10.84</v>
      </c>
      <c r="AM125" s="268">
        <f>IF((VLOOKUP($A125,AffordabilityRatio!$A$2:$I$321,9,FALSE))="",AL125,VLOOKUP($A125,AffordabilityRatio!$A$2:$I$321,9,FALSE))</f>
        <v>11.45</v>
      </c>
      <c r="AN125" s="268">
        <f>IF((VLOOKUP($A125,AffordabilityRatio!$A$2:$I$321,9,FALSE))="",AM125,VLOOKUP($A125,AffordabilityRatio!$A$2:$I$321,9,FALSE))</f>
        <v>11.45</v>
      </c>
      <c r="AO125" s="268">
        <f>IF((VLOOKUP($A125,AffordabilityRatio!$A$2:$I$321,9,FALSE))="",AN125,VLOOKUP($A125,AffordabilityRatio!$A$2:$I$321,9,FALSE))</f>
        <v>11.45</v>
      </c>
      <c r="AP125" s="268">
        <f>IF((VLOOKUP($A125,AffordabilityRatio!$A$2:$I$321,9,FALSE))="",AO125,VLOOKUP($A125,AffordabilityRatio!$A$2:$I$321,9,FALSE))</f>
        <v>11.45</v>
      </c>
      <c r="AQ125" s="267">
        <f t="shared" si="86"/>
        <v>308</v>
      </c>
      <c r="AR125" s="267">
        <f t="shared" si="87"/>
        <v>311</v>
      </c>
      <c r="AS125" s="267">
        <f t="shared" si="88"/>
        <v>287</v>
      </c>
      <c r="AT125" s="267">
        <f t="shared" si="89"/>
        <v>327</v>
      </c>
      <c r="AU125" s="267">
        <f t="shared" si="90"/>
        <v>313</v>
      </c>
      <c r="AV125" s="267">
        <f t="shared" si="91"/>
        <v>294</v>
      </c>
      <c r="AW125" s="267">
        <f t="shared" si="92"/>
        <v>278</v>
      </c>
      <c r="AX125" s="267">
        <f t="shared" si="93"/>
        <v>265</v>
      </c>
      <c r="AY125" s="267">
        <f t="shared" si="94"/>
        <v>308</v>
      </c>
      <c r="AZ125" s="267">
        <f t="shared" si="95"/>
        <v>311</v>
      </c>
      <c r="BA125" s="267">
        <f t="shared" si="96"/>
        <v>287</v>
      </c>
      <c r="BB125" s="267">
        <f t="shared" si="97"/>
        <v>327</v>
      </c>
      <c r="BC125" s="267">
        <f t="shared" si="98"/>
        <v>313</v>
      </c>
      <c r="BD125" s="267">
        <f t="shared" si="99"/>
        <v>294</v>
      </c>
      <c r="BE125" s="267">
        <f t="shared" si="100"/>
        <v>278</v>
      </c>
      <c r="BF125" s="267">
        <f t="shared" si="101"/>
        <v>265</v>
      </c>
      <c r="BG125" s="269">
        <f>AY125*VLOOKUP($B125,'Major Cities &amp; Towns'!$A$28:$B$345,2,FALSE)</f>
        <v>308</v>
      </c>
      <c r="BH125" s="269">
        <f>AZ125*VLOOKUP($B125,'Major Cities &amp; Towns'!$A$28:$B$345,2,FALSE)</f>
        <v>311</v>
      </c>
      <c r="BI125" s="269">
        <f>BA125*VLOOKUP($B125,'Major Cities &amp; Towns'!$A$28:$B$345,2,FALSE)</f>
        <v>287</v>
      </c>
      <c r="BJ125" s="269">
        <f>BB125*VLOOKUP($B125,'Major Cities &amp; Towns'!$A$28:$B$345,2,FALSE)</f>
        <v>327</v>
      </c>
      <c r="BK125" s="269">
        <f>BC125*VLOOKUP($B125,'Major Cities &amp; Towns'!$A$28:$B$345,2,FALSE)</f>
        <v>313</v>
      </c>
      <c r="BL125" s="269">
        <f>BD125*VLOOKUP($B125,'Major Cities &amp; Towns'!$A$28:$B$345,2,FALSE)</f>
        <v>294</v>
      </c>
      <c r="BM125" s="269">
        <f>BE125*VLOOKUP($B125,'Major Cities &amp; Towns'!$A$28:$B$345,2,FALSE)</f>
        <v>278</v>
      </c>
      <c r="BN125" s="269">
        <f>BF125*VLOOKUP($B125,'Major Cities &amp; Towns'!$A$28:$B$345,2,FALSE)</f>
        <v>265</v>
      </c>
      <c r="BO125" s="270">
        <f t="shared" si="102"/>
        <v>308</v>
      </c>
      <c r="BP125" s="270">
        <f t="shared" si="103"/>
        <v>311</v>
      </c>
      <c r="BQ125" s="270">
        <f t="shared" si="104"/>
        <v>287</v>
      </c>
      <c r="BR125" s="270">
        <f t="shared" si="105"/>
        <v>327</v>
      </c>
      <c r="BS125" s="270">
        <f t="shared" si="106"/>
        <v>313</v>
      </c>
      <c r="BT125" s="270">
        <f t="shared" si="107"/>
        <v>294</v>
      </c>
      <c r="BU125" s="270">
        <f t="shared" si="108"/>
        <v>278</v>
      </c>
      <c r="BV125" s="270">
        <f t="shared" si="109"/>
        <v>265</v>
      </c>
      <c r="BW125" s="39">
        <f>VLOOKUP($A125,NetAdditions!$A$2:$H$336,6,FALSE)</f>
        <v>608</v>
      </c>
      <c r="BX125" s="39">
        <f>VLOOKUP($A125,NetAdditions!$A$2:$H$336,7,FALSE)</f>
        <v>607</v>
      </c>
      <c r="BY125" s="39">
        <f>IF((VLOOKUP($C125,NetAdditions!$A$2:$H$336,8,FALSE))="",(AVERAGE(VLOOKUP($C125,NetAdditions!$A$2:$H$336,5,FALSE),VLOOKUP($C125,NetAdditions!$A$2:$H$336,6,FALSE),VLOOKUP($C125,NetAdditions!$A$2:$H$336,7,FALSE))),VLOOKUP($C125,NetAdditions!$A$2:$H$336,8,FALSE))</f>
        <v>581</v>
      </c>
      <c r="BZ125" s="39">
        <f t="shared" si="110"/>
        <v>598.66666666666663</v>
      </c>
      <c r="CA125" s="39">
        <f t="shared" si="111"/>
        <v>595.55555555555554</v>
      </c>
      <c r="CB125" s="39">
        <f t="shared" si="112"/>
        <v>591.74074074074076</v>
      </c>
      <c r="CC125" s="39">
        <f t="shared" si="113"/>
        <v>595.32098765432102</v>
      </c>
      <c r="CD125" s="39">
        <f t="shared" si="114"/>
        <v>594.20576131687244</v>
      </c>
      <c r="CE125" s="276">
        <f t="shared" si="71"/>
        <v>906</v>
      </c>
      <c r="CF125" s="276">
        <f t="shared" si="72"/>
        <v>925</v>
      </c>
      <c r="CG125" s="276">
        <f t="shared" si="73"/>
        <v>927</v>
      </c>
      <c r="CH125" s="276">
        <f t="shared" si="74"/>
        <v>934</v>
      </c>
      <c r="CI125" s="276">
        <f t="shared" si="75"/>
        <v>885</v>
      </c>
      <c r="CJ125" s="276">
        <f t="shared" si="76"/>
        <v>837</v>
      </c>
      <c r="CK125" s="276">
        <f t="shared" si="115"/>
        <v>780.16666666666674</v>
      </c>
      <c r="CL125" s="276">
        <f t="shared" si="116"/>
        <v>796.52777777777783</v>
      </c>
      <c r="CM125" s="276">
        <f t="shared" si="117"/>
        <v>849.75</v>
      </c>
      <c r="CN125" s="276">
        <f t="shared" si="118"/>
        <v>934</v>
      </c>
      <c r="CO125" s="276">
        <f t="shared" si="119"/>
        <v>885</v>
      </c>
      <c r="CP125" s="276">
        <f t="shared" si="120"/>
        <v>837</v>
      </c>
      <c r="CQ125" s="39">
        <f t="shared" si="77"/>
        <v>1796</v>
      </c>
      <c r="CR125" s="39">
        <f t="shared" si="78"/>
        <v>1786.6666666666665</v>
      </c>
      <c r="CS125" s="277">
        <f t="shared" si="79"/>
        <v>1775.2222222222222</v>
      </c>
      <c r="CT125" s="39">
        <f t="shared" si="80"/>
        <v>1785.962962962963</v>
      </c>
      <c r="CU125" s="39">
        <f t="shared" si="81"/>
        <v>1782.6172839506173</v>
      </c>
      <c r="CV125" s="39">
        <f t="shared" si="121"/>
        <v>1781.2674897119343</v>
      </c>
      <c r="CW125" s="297">
        <f t="shared" si="82"/>
        <v>2.3020722067934201</v>
      </c>
      <c r="CX125" s="279" t="str">
        <f t="shared" si="122"/>
        <v>Pass</v>
      </c>
      <c r="CY125" s="278">
        <f t="shared" si="83"/>
        <v>2.2430688753269394</v>
      </c>
      <c r="CZ125" s="279" t="str">
        <f t="shared" si="123"/>
        <v>Pass</v>
      </c>
      <c r="DA125" s="278">
        <f t="shared" si="84"/>
        <v>2.0891111764898174</v>
      </c>
      <c r="DB125" s="292" t="str">
        <f t="shared" si="124"/>
        <v>Pass</v>
      </c>
      <c r="DC125" s="299">
        <f t="shared" si="125"/>
        <v>1.9121659132365771</v>
      </c>
      <c r="DD125" s="293" t="str">
        <f t="shared" si="126"/>
        <v>Pass</v>
      </c>
      <c r="DE125" s="299">
        <f t="shared" si="127"/>
        <v>2.0142568180232963</v>
      </c>
      <c r="DF125" s="293" t="str">
        <f t="shared" si="128"/>
        <v>Pass</v>
      </c>
      <c r="DG125" s="299">
        <f t="shared" si="129"/>
        <v>2.1281570964300291</v>
      </c>
      <c r="DH125" s="293" t="str">
        <f t="shared" si="130"/>
        <v>Pass</v>
      </c>
    </row>
    <row r="126" spans="1:112" ht="15" thickTop="1" thickBot="1">
      <c r="A126" s="38" t="s">
        <v>362</v>
      </c>
      <c r="B126" s="38" t="s">
        <v>363</v>
      </c>
      <c r="C126" s="38" t="s">
        <v>362</v>
      </c>
      <c r="D126" s="38" t="s">
        <v>259</v>
      </c>
      <c r="E126" s="38" t="str">
        <f>VLOOKUP(C126,PoliticalControl!A:K,11,FALSE)</f>
        <v>NOC</v>
      </c>
      <c r="F126" s="38" t="str">
        <f>VLOOKUP(C126,UrbanRuralClassification!A:N,13,FALSE)</f>
        <v>Urban with City and Town</v>
      </c>
      <c r="G126" s="38" t="str">
        <f>VLOOKUP(C126,UrbanRuralClassification!A:N,14,FALSE)</f>
        <v>Predominantly Urban</v>
      </c>
      <c r="H126" s="258">
        <f>IF(ISBLANK((VLOOKUP($A126,'local-plan-data'!$C$1:$AD$566,27,FALSE)))=TRUE,"",VLOOKUP($A126,'local-plan-data'!$C$1:$AD$566,27,FALSE))</f>
        <v>43242</v>
      </c>
      <c r="I126" s="259">
        <f>VLOOKUP($A126,'local-plan-data'!$C$1:$AD$566,28,FALSE)</f>
        <v>410</v>
      </c>
      <c r="J126" s="260">
        <f t="shared" si="85"/>
        <v>410</v>
      </c>
      <c r="K126" s="259">
        <f t="shared" si="133"/>
        <v>410</v>
      </c>
      <c r="L126" s="259">
        <f t="shared" si="135"/>
        <v>410</v>
      </c>
      <c r="M126" s="259">
        <f t="shared" si="135"/>
        <v>410</v>
      </c>
      <c r="N126" s="259">
        <f t="shared" si="135"/>
        <v>410</v>
      </c>
      <c r="O126" s="259">
        <f t="shared" si="135"/>
        <v>410</v>
      </c>
      <c r="P126" s="259">
        <f t="shared" si="135"/>
        <v>410</v>
      </c>
      <c r="Q126" s="259" t="str">
        <f t="shared" si="135"/>
        <v>-</v>
      </c>
      <c r="R126" s="259" t="str">
        <f t="shared" si="135"/>
        <v>-</v>
      </c>
      <c r="S126" s="259">
        <f t="shared" si="134"/>
        <v>1877</v>
      </c>
      <c r="T126" s="259">
        <f t="shared" si="136"/>
        <v>1512</v>
      </c>
      <c r="U126" s="259">
        <f t="shared" si="136"/>
        <v>1146</v>
      </c>
      <c r="V126" s="259">
        <f t="shared" si="136"/>
        <v>781</v>
      </c>
      <c r="W126" s="259">
        <f t="shared" si="136"/>
        <v>416</v>
      </c>
      <c r="X126" s="259">
        <f t="shared" si="136"/>
        <v>51</v>
      </c>
      <c r="Y126" s="259">
        <f t="shared" si="136"/>
        <v>-315</v>
      </c>
      <c r="Z126" s="259">
        <f t="shared" si="136"/>
        <v>-680</v>
      </c>
      <c r="AA126" s="267">
        <f>(VLOOKUP(A126,Hshldprojections2014!$A$2:$AW$319,40, FALSE)-VLOOKUP(A126,Hshldprojections2014!$A$2:$AW$319,30, FALSE))/10</f>
        <v>186.7</v>
      </c>
      <c r="AB126" s="267">
        <f>(VLOOKUP(A126,Hshldprojections2014!$A$2:$AW$319,41, FALSE)-VLOOKUP(A126,Hshldprojections2014!$A$2:$AW$319,31, FALSE))/10</f>
        <v>179</v>
      </c>
      <c r="AC126" s="267">
        <f>(VLOOKUP(A126,Hshldprojections2014!$A$2:$AW$319,42, FALSE)-VLOOKUP(A126,Hshldprojections2014!$A$2:$AW$319,32, FALSE))/10</f>
        <v>169.8</v>
      </c>
      <c r="AD126" s="267">
        <f>IF(IndividualLATest!$J$7=2014,(VLOOKUP($A126,Hshldprojections2014!$A$2:$AY$326,43,FALSE)-VLOOKUP($A126,Hshldprojections2014!$A$2:$AY$326,33,FALSE))/10,IF(IndividualLATest!$J$7=2016,(VLOOKUP($A126,Hshldprojections2016!$A$1:$AQ$322,33,FALSE)-VLOOKUP($A126,Hshldprojections2016!$A$1:$AQ$322,23,FALSE))/10,(VLOOKUP($A126,Hshldprojections2018!$A$1:$AQ$327,33,FALSE)-VLOOKUP($A126,Hshldprojections2018!$A$1:$AQ$327,23,FALSE))/10))</f>
        <v>128.4</v>
      </c>
      <c r="AE126" s="267">
        <f>IF(IndividualLATest!$J$7=2014,(VLOOKUP($A126,Hshldprojections2014!$A$2:$AY$326,44,FALSE)-VLOOKUP($A126,Hshldprojections2014!$A$2:$AY$326,34,FALSE))/10,IF(IndividualLATest!$J$7=2016,(VLOOKUP($A126,Hshldprojections2016!$A$1:$AQ$322,34,FALSE)-VLOOKUP($A126,Hshldprojections2016!$A$1:$AQ$322,24,FALSE))/10,(VLOOKUP($A126,Hshldprojections2018!$A$1:$AQ$327,34,FALSE)-VLOOKUP($A126,Hshldprojections2018!$A$1:$AQ$327,24,FALSE))/10))</f>
        <v>129.30000000000001</v>
      </c>
      <c r="AF126" s="267">
        <f>IF(IndividualLATest!$J$7=2014,(VLOOKUP($A126,Hshldprojections2014!$A$2:$AY$326,45,FALSE)-VLOOKUP($A126,Hshldprojections2014!$A$2:$AY$326,35,FALSE))/10,IF(IndividualLATest!$J$7=2016,(VLOOKUP($A126,Hshldprojections2016!$A$1:$AQ$322,35,FALSE)-VLOOKUP($A126,Hshldprojections2016!$A$1:$AQ$322,25,FALSE))/10,(VLOOKUP($A126,Hshldprojections2018!$A$1:$AQ$327,35,FALSE)-VLOOKUP($A126,Hshldprojections2018!$A$1:$AQ$327,25,FALSE))/10))</f>
        <v>132.80000000000001</v>
      </c>
      <c r="AG126" s="267">
        <f>IF(IndividualLATest!$J$7=2014,(VLOOKUP($A126,Hshldprojections2014!$A$2:$AY$326,46,FALSE)-VLOOKUP($A126,Hshldprojections2014!$A$2:$AY$326,36,FALSE))/10,IF(IndividualLATest!$J$7=2016,(VLOOKUP($A126,Hshldprojections2016!$A$1:$AQ$322,36,FALSE)-VLOOKUP($A126,Hshldprojections2016!$A$1:$AQ$322,26,FALSE))/10,(VLOOKUP($A126,Hshldprojections2018!$A$1:$AQ$327,36,FALSE)-VLOOKUP($A126,Hshldprojections2018!$A$1:$AQ$327,26,FALSE))/10))</f>
        <v>135.69999999999999</v>
      </c>
      <c r="AH126" s="267">
        <f>IF(IndividualLATest!$J$7=2014,(VLOOKUP($A126,Hshldprojections2014!$A$2:$AY$326,47,FALSE)-VLOOKUP($A126,Hshldprojections2014!$A$2:$AY$326,37,FALSE))/10,IF(IndividualLATest!$J$7=2016,(VLOOKUP($A126,Hshldprojections2016!$A$1:$AQ$322,37,FALSE)-VLOOKUP($A126,Hshldprojections2016!$A$1:$AQ$322,27,FALSE))/10,(VLOOKUP($A126,Hshldprojections2018!$A$1:$AQ$327,37,FALSE)-VLOOKUP($A126,Hshldprojections2018!$A$1:$AQ$327,27,FALSE))/10))</f>
        <v>137.69999999999999</v>
      </c>
      <c r="AI126" s="268">
        <f>VLOOKUP($A126,AffordabilityRatio!$A$2:$I$321,5,FALSE)</f>
        <v>4.8</v>
      </c>
      <c r="AJ126" s="268">
        <f>VLOOKUP($A126,AffordabilityRatio!$A$2:$I$321,6,FALSE)</f>
        <v>4.82</v>
      </c>
      <c r="AK126" s="268">
        <f>VLOOKUP($A126,AffordabilityRatio!$A$2:$I$321,7,FALSE)</f>
        <v>5</v>
      </c>
      <c r="AL126" s="268">
        <f>IF((VLOOKUP($A126,AffordabilityRatio!$A$2:$I$321,8,FALSE))="",AK126,VLOOKUP($A126,AffordabilityRatio!$A$2:$I$321,8,FALSE))</f>
        <v>4.63</v>
      </c>
      <c r="AM126" s="268">
        <f>IF((VLOOKUP($A126,AffordabilityRatio!$A$2:$I$321,9,FALSE))="",AL126,VLOOKUP($A126,AffordabilityRatio!$A$2:$I$321,9,FALSE))</f>
        <v>4.58</v>
      </c>
      <c r="AN126" s="268">
        <f>IF((VLOOKUP($A126,AffordabilityRatio!$A$2:$I$321,9,FALSE))="",AM126,VLOOKUP($A126,AffordabilityRatio!$A$2:$I$321,9,FALSE))</f>
        <v>4.58</v>
      </c>
      <c r="AO126" s="268">
        <f>IF((VLOOKUP($A126,AffordabilityRatio!$A$2:$I$321,9,FALSE))="",AN126,VLOOKUP($A126,AffordabilityRatio!$A$2:$I$321,9,FALSE))</f>
        <v>4.58</v>
      </c>
      <c r="AP126" s="268">
        <f>IF((VLOOKUP($A126,AffordabilityRatio!$A$2:$I$321,9,FALSE))="",AO126,VLOOKUP($A126,AffordabilityRatio!$A$2:$I$321,9,FALSE))</f>
        <v>4.58</v>
      </c>
      <c r="AQ126" s="267">
        <f t="shared" si="86"/>
        <v>196</v>
      </c>
      <c r="AR126" s="267">
        <f t="shared" si="87"/>
        <v>188</v>
      </c>
      <c r="AS126" s="267">
        <f t="shared" si="88"/>
        <v>180</v>
      </c>
      <c r="AT126" s="267">
        <f t="shared" si="89"/>
        <v>133</v>
      </c>
      <c r="AU126" s="267">
        <f t="shared" si="90"/>
        <v>134</v>
      </c>
      <c r="AV126" s="267">
        <f t="shared" si="91"/>
        <v>138</v>
      </c>
      <c r="AW126" s="267">
        <f t="shared" si="92"/>
        <v>141</v>
      </c>
      <c r="AX126" s="267">
        <f t="shared" si="93"/>
        <v>143</v>
      </c>
      <c r="AY126" s="267">
        <f t="shared" si="94"/>
        <v>196</v>
      </c>
      <c r="AZ126" s="267">
        <f t="shared" si="95"/>
        <v>188</v>
      </c>
      <c r="BA126" s="267">
        <f t="shared" si="96"/>
        <v>180</v>
      </c>
      <c r="BB126" s="267">
        <f t="shared" si="97"/>
        <v>133</v>
      </c>
      <c r="BC126" s="267">
        <f t="shared" si="98"/>
        <v>134</v>
      </c>
      <c r="BD126" s="267">
        <f t="shared" si="99"/>
        <v>138</v>
      </c>
      <c r="BE126" s="267">
        <f t="shared" si="100"/>
        <v>141</v>
      </c>
      <c r="BF126" s="267">
        <f t="shared" si="101"/>
        <v>143</v>
      </c>
      <c r="BG126" s="269">
        <f>AY126*VLOOKUP($B126,'Major Cities &amp; Towns'!$A$28:$B$345,2,FALSE)</f>
        <v>196</v>
      </c>
      <c r="BH126" s="269">
        <f>AZ126*VLOOKUP($B126,'Major Cities &amp; Towns'!$A$28:$B$345,2,FALSE)</f>
        <v>188</v>
      </c>
      <c r="BI126" s="269">
        <f>BA126*VLOOKUP($B126,'Major Cities &amp; Towns'!$A$28:$B$345,2,FALSE)</f>
        <v>180</v>
      </c>
      <c r="BJ126" s="269">
        <f>BB126*VLOOKUP($B126,'Major Cities &amp; Towns'!$A$28:$B$345,2,FALSE)</f>
        <v>133</v>
      </c>
      <c r="BK126" s="269">
        <f>BC126*VLOOKUP($B126,'Major Cities &amp; Towns'!$A$28:$B$345,2,FALSE)</f>
        <v>134</v>
      </c>
      <c r="BL126" s="269">
        <f>BD126*VLOOKUP($B126,'Major Cities &amp; Towns'!$A$28:$B$345,2,FALSE)</f>
        <v>138</v>
      </c>
      <c r="BM126" s="269">
        <f>BE126*VLOOKUP($B126,'Major Cities &amp; Towns'!$A$28:$B$345,2,FALSE)</f>
        <v>141</v>
      </c>
      <c r="BN126" s="269">
        <f>BF126*VLOOKUP($B126,'Major Cities &amp; Towns'!$A$28:$B$345,2,FALSE)</f>
        <v>143</v>
      </c>
      <c r="BO126" s="270">
        <f t="shared" si="102"/>
        <v>196</v>
      </c>
      <c r="BP126" s="270">
        <f t="shared" si="103"/>
        <v>188</v>
      </c>
      <c r="BQ126" s="270">
        <f t="shared" si="104"/>
        <v>180</v>
      </c>
      <c r="BR126" s="270">
        <f t="shared" si="105"/>
        <v>133</v>
      </c>
      <c r="BS126" s="270">
        <f t="shared" si="106"/>
        <v>134</v>
      </c>
      <c r="BT126" s="270">
        <f t="shared" si="107"/>
        <v>138</v>
      </c>
      <c r="BU126" s="270">
        <f t="shared" si="108"/>
        <v>141</v>
      </c>
      <c r="BV126" s="270">
        <f t="shared" si="109"/>
        <v>143</v>
      </c>
      <c r="BW126" s="39">
        <f>VLOOKUP($A126,NetAdditions!$A$2:$H$336,6,FALSE)</f>
        <v>371</v>
      </c>
      <c r="BX126" s="39">
        <f>VLOOKUP($A126,NetAdditions!$A$2:$H$336,7,FALSE)</f>
        <v>255</v>
      </c>
      <c r="BY126" s="39">
        <f>IF((VLOOKUP($C126,NetAdditions!$A$2:$H$336,8,FALSE))="",(AVERAGE(VLOOKUP($C126,NetAdditions!$A$2:$H$336,5,FALSE),VLOOKUP($C126,NetAdditions!$A$2:$H$336,6,FALSE),VLOOKUP($C126,NetAdditions!$A$2:$H$336,7,FALSE))),VLOOKUP($C126,NetAdditions!$A$2:$H$336,8,FALSE))</f>
        <v>161</v>
      </c>
      <c r="BZ126" s="39">
        <f t="shared" si="110"/>
        <v>262.33333333333331</v>
      </c>
      <c r="CA126" s="39">
        <f t="shared" si="111"/>
        <v>226.11111111111109</v>
      </c>
      <c r="CB126" s="39">
        <f t="shared" si="112"/>
        <v>216.48148148148144</v>
      </c>
      <c r="CC126" s="39">
        <f t="shared" si="113"/>
        <v>234.97530864197529</v>
      </c>
      <c r="CD126" s="39">
        <f t="shared" si="114"/>
        <v>225.85596707818925</v>
      </c>
      <c r="CE126" s="276">
        <f t="shared" si="71"/>
        <v>564</v>
      </c>
      <c r="CF126" s="276">
        <f t="shared" si="72"/>
        <v>501</v>
      </c>
      <c r="CG126" s="276">
        <f t="shared" si="73"/>
        <v>447</v>
      </c>
      <c r="CH126" s="276">
        <f t="shared" si="74"/>
        <v>405</v>
      </c>
      <c r="CI126" s="276">
        <f t="shared" si="75"/>
        <v>413</v>
      </c>
      <c r="CJ126" s="276">
        <f t="shared" si="76"/>
        <v>422</v>
      </c>
      <c r="CK126" s="276">
        <f t="shared" si="115"/>
        <v>485.66666666666669</v>
      </c>
      <c r="CL126" s="276">
        <f t="shared" si="116"/>
        <v>431.41666666666669</v>
      </c>
      <c r="CM126" s="276">
        <f t="shared" si="117"/>
        <v>409.75</v>
      </c>
      <c r="CN126" s="276">
        <f t="shared" si="118"/>
        <v>405</v>
      </c>
      <c r="CO126" s="276">
        <f t="shared" si="119"/>
        <v>413</v>
      </c>
      <c r="CP126" s="276">
        <f t="shared" si="120"/>
        <v>422</v>
      </c>
      <c r="CQ126" s="39">
        <f t="shared" si="77"/>
        <v>787</v>
      </c>
      <c r="CR126" s="39">
        <f t="shared" si="78"/>
        <v>678.33333333333326</v>
      </c>
      <c r="CS126" s="277">
        <f t="shared" si="79"/>
        <v>649.44444444444434</v>
      </c>
      <c r="CT126" s="39">
        <f t="shared" si="80"/>
        <v>704.92592592592587</v>
      </c>
      <c r="CU126" s="39">
        <f t="shared" si="81"/>
        <v>677.56790123456778</v>
      </c>
      <c r="CV126" s="39">
        <f t="shared" si="121"/>
        <v>677.31275720164592</v>
      </c>
      <c r="CW126" s="297">
        <f t="shared" si="82"/>
        <v>1.6204529855868222</v>
      </c>
      <c r="CX126" s="279" t="str">
        <f t="shared" si="122"/>
        <v>Pass</v>
      </c>
      <c r="CY126" s="278">
        <f t="shared" si="83"/>
        <v>1.5723391925825765</v>
      </c>
      <c r="CZ126" s="279" t="str">
        <f t="shared" si="123"/>
        <v>Pass</v>
      </c>
      <c r="DA126" s="278">
        <f t="shared" si="84"/>
        <v>1.5849772896752761</v>
      </c>
      <c r="DB126" s="292" t="str">
        <f t="shared" si="124"/>
        <v>Pass</v>
      </c>
      <c r="DC126" s="299">
        <f t="shared" si="125"/>
        <v>1.7405578417924095</v>
      </c>
      <c r="DD126" s="293" t="str">
        <f t="shared" si="126"/>
        <v>Pass</v>
      </c>
      <c r="DE126" s="299">
        <f t="shared" si="127"/>
        <v>1.6406002451200188</v>
      </c>
      <c r="DF126" s="293" t="str">
        <f t="shared" si="128"/>
        <v>Pass</v>
      </c>
      <c r="DG126" s="299">
        <f t="shared" si="129"/>
        <v>1.6050065336531893</v>
      </c>
      <c r="DH126" s="293" t="str">
        <f t="shared" si="130"/>
        <v>Pass</v>
      </c>
    </row>
    <row r="127" spans="1:112" ht="15" thickTop="1" thickBot="1">
      <c r="A127" s="38" t="s">
        <v>364</v>
      </c>
      <c r="B127" s="38" t="s">
        <v>365</v>
      </c>
      <c r="C127" s="38" t="s">
        <v>364</v>
      </c>
      <c r="D127" s="38" t="s">
        <v>113</v>
      </c>
      <c r="E127" s="38" t="str">
        <f>VLOOKUP(C127,PoliticalControl!A:K,11,FALSE)</f>
        <v>LAB</v>
      </c>
      <c r="F127" s="38" t="str">
        <f>VLOOKUP(C127,UrbanRuralClassification!A:N,13,FALSE)</f>
        <v>Urban with City and Town</v>
      </c>
      <c r="G127" s="38" t="str">
        <f>VLOOKUP(C127,UrbanRuralClassification!A:N,14,FALSE)</f>
        <v>Predominantly Urban</v>
      </c>
      <c r="H127" s="258">
        <f>IF(ISBLANK((VLOOKUP($A127,'local-plan-data'!$C$1:$AD$566,27,FALSE)))=TRUE,"",VLOOKUP($A127,'local-plan-data'!$C$1:$AD$566,27,FALSE))</f>
        <v>41689</v>
      </c>
      <c r="I127" s="259">
        <f>VLOOKUP($A127,'local-plan-data'!$C$1:$AD$566,28,FALSE)</f>
        <v>200</v>
      </c>
      <c r="J127" s="260">
        <f t="shared" si="85"/>
        <v>200</v>
      </c>
      <c r="K127" s="259">
        <f t="shared" si="133"/>
        <v>200</v>
      </c>
      <c r="L127" s="259" t="str">
        <f t="shared" si="135"/>
        <v>-</v>
      </c>
      <c r="M127" s="259" t="str">
        <f t="shared" si="135"/>
        <v>-</v>
      </c>
      <c r="N127" s="259" t="str">
        <f t="shared" si="135"/>
        <v>-</v>
      </c>
      <c r="O127" s="259" t="str">
        <f t="shared" si="135"/>
        <v>-</v>
      </c>
      <c r="P127" s="259" t="str">
        <f t="shared" si="135"/>
        <v>-</v>
      </c>
      <c r="Q127" s="259" t="str">
        <f t="shared" si="135"/>
        <v>-</v>
      </c>
      <c r="R127" s="259" t="str">
        <f t="shared" si="135"/>
        <v>-</v>
      </c>
      <c r="S127" s="259">
        <f t="shared" si="134"/>
        <v>324</v>
      </c>
      <c r="T127" s="259">
        <f t="shared" si="136"/>
        <v>-41</v>
      </c>
      <c r="U127" s="259">
        <f t="shared" si="136"/>
        <v>-407</v>
      </c>
      <c r="V127" s="259">
        <f t="shared" si="136"/>
        <v>-772</v>
      </c>
      <c r="W127" s="259">
        <f t="shared" si="136"/>
        <v>-1137</v>
      </c>
      <c r="X127" s="259">
        <f t="shared" si="136"/>
        <v>-1502</v>
      </c>
      <c r="Y127" s="259">
        <f t="shared" si="136"/>
        <v>-1868</v>
      </c>
      <c r="Z127" s="259">
        <f t="shared" si="136"/>
        <v>-2233</v>
      </c>
      <c r="AA127" s="267">
        <f>(VLOOKUP(A127,Hshldprojections2014!$A$2:$AW$319,40, FALSE)-VLOOKUP(A127,Hshldprojections2014!$A$2:$AW$319,30, FALSE))/10</f>
        <v>325.5</v>
      </c>
      <c r="AB127" s="267">
        <f>(VLOOKUP(A127,Hshldprojections2014!$A$2:$AW$319,41, FALSE)-VLOOKUP(A127,Hshldprojections2014!$A$2:$AW$319,31, FALSE))/10</f>
        <v>330.5</v>
      </c>
      <c r="AC127" s="267">
        <f>(VLOOKUP(A127,Hshldprojections2014!$A$2:$AW$319,42, FALSE)-VLOOKUP(A127,Hshldprojections2014!$A$2:$AW$319,32, FALSE))/10</f>
        <v>336</v>
      </c>
      <c r="AD127" s="267">
        <f>IF(IndividualLATest!$J$7=2014,(VLOOKUP($A127,Hshldprojections2014!$A$2:$AY$326,43,FALSE)-VLOOKUP($A127,Hshldprojections2014!$A$2:$AY$326,33,FALSE))/10,IF(IndividualLATest!$J$7=2016,(VLOOKUP($A127,Hshldprojections2016!$A$1:$AQ$322,33,FALSE)-VLOOKUP($A127,Hshldprojections2016!$A$1:$AQ$322,23,FALSE))/10,(VLOOKUP($A127,Hshldprojections2018!$A$1:$AQ$327,33,FALSE)-VLOOKUP($A127,Hshldprojections2018!$A$1:$AQ$327,23,FALSE))/10))</f>
        <v>193.6</v>
      </c>
      <c r="AE127" s="267">
        <f>IF(IndividualLATest!$J$7=2014,(VLOOKUP($A127,Hshldprojections2014!$A$2:$AY$326,44,FALSE)-VLOOKUP($A127,Hshldprojections2014!$A$2:$AY$326,34,FALSE))/10,IF(IndividualLATest!$J$7=2016,(VLOOKUP($A127,Hshldprojections2016!$A$1:$AQ$322,34,FALSE)-VLOOKUP($A127,Hshldprojections2016!$A$1:$AQ$322,24,FALSE))/10,(VLOOKUP($A127,Hshldprojections2018!$A$1:$AQ$327,34,FALSE)-VLOOKUP($A127,Hshldprojections2018!$A$1:$AQ$327,24,FALSE))/10))</f>
        <v>193.3</v>
      </c>
      <c r="AF127" s="267">
        <f>IF(IndividualLATest!$J$7=2014,(VLOOKUP($A127,Hshldprojections2014!$A$2:$AY$326,45,FALSE)-VLOOKUP($A127,Hshldprojections2014!$A$2:$AY$326,35,FALSE))/10,IF(IndividualLATest!$J$7=2016,(VLOOKUP($A127,Hshldprojections2016!$A$1:$AQ$322,35,FALSE)-VLOOKUP($A127,Hshldprojections2016!$A$1:$AQ$322,25,FALSE))/10,(VLOOKUP($A127,Hshldprojections2018!$A$1:$AQ$327,35,FALSE)-VLOOKUP($A127,Hshldprojections2018!$A$1:$AQ$327,25,FALSE))/10))</f>
        <v>195.7</v>
      </c>
      <c r="AG127" s="267">
        <f>IF(IndividualLATest!$J$7=2014,(VLOOKUP($A127,Hshldprojections2014!$A$2:$AY$326,46,FALSE)-VLOOKUP($A127,Hshldprojections2014!$A$2:$AY$326,36,FALSE))/10,IF(IndividualLATest!$J$7=2016,(VLOOKUP($A127,Hshldprojections2016!$A$1:$AQ$322,36,FALSE)-VLOOKUP($A127,Hshldprojections2016!$A$1:$AQ$322,26,FALSE))/10,(VLOOKUP($A127,Hshldprojections2018!$A$1:$AQ$327,36,FALSE)-VLOOKUP($A127,Hshldprojections2018!$A$1:$AQ$327,26,FALSE))/10))</f>
        <v>197.8</v>
      </c>
      <c r="AH127" s="267">
        <f>IF(IndividualLATest!$J$7=2014,(VLOOKUP($A127,Hshldprojections2014!$A$2:$AY$326,47,FALSE)-VLOOKUP($A127,Hshldprojections2014!$A$2:$AY$326,37,FALSE))/10,IF(IndividualLATest!$J$7=2016,(VLOOKUP($A127,Hshldprojections2016!$A$1:$AQ$322,37,FALSE)-VLOOKUP($A127,Hshldprojections2016!$A$1:$AQ$322,27,FALSE))/10,(VLOOKUP($A127,Hshldprojections2018!$A$1:$AQ$327,37,FALSE)-VLOOKUP($A127,Hshldprojections2018!$A$1:$AQ$327,27,FALSE))/10))</f>
        <v>199.8</v>
      </c>
      <c r="AI127" s="268">
        <f>VLOOKUP($A127,AffordabilityRatio!$A$2:$I$321,5,FALSE)</f>
        <v>8.2899999999999991</v>
      </c>
      <c r="AJ127" s="268">
        <f>VLOOKUP($A127,AffordabilityRatio!$A$2:$I$321,6,FALSE)</f>
        <v>8.81</v>
      </c>
      <c r="AK127" s="268">
        <f>VLOOKUP($A127,AffordabilityRatio!$A$2:$I$321,7,FALSE)</f>
        <v>9.36</v>
      </c>
      <c r="AL127" s="268">
        <f>IF((VLOOKUP($A127,AffordabilityRatio!$A$2:$I$321,8,FALSE))="",AK127,VLOOKUP($A127,AffordabilityRatio!$A$2:$I$321,8,FALSE))</f>
        <v>9.2200000000000006</v>
      </c>
      <c r="AM127" s="268">
        <f>IF((VLOOKUP($A127,AffordabilityRatio!$A$2:$I$321,9,FALSE))="",AL127,VLOOKUP($A127,AffordabilityRatio!$A$2:$I$321,9,FALSE))</f>
        <v>10.78</v>
      </c>
      <c r="AN127" s="268">
        <f>IF((VLOOKUP($A127,AffordabilityRatio!$A$2:$I$321,9,FALSE))="",AM127,VLOOKUP($A127,AffordabilityRatio!$A$2:$I$321,9,FALSE))</f>
        <v>10.78</v>
      </c>
      <c r="AO127" s="268">
        <f>IF((VLOOKUP($A127,AffordabilityRatio!$A$2:$I$321,9,FALSE))="",AN127,VLOOKUP($A127,AffordabilityRatio!$A$2:$I$321,9,FALSE))</f>
        <v>10.78</v>
      </c>
      <c r="AP127" s="268">
        <f>IF((VLOOKUP($A127,AffordabilityRatio!$A$2:$I$321,9,FALSE))="",AO127,VLOOKUP($A127,AffordabilityRatio!$A$2:$I$321,9,FALSE))</f>
        <v>10.78</v>
      </c>
      <c r="AQ127" s="267">
        <f t="shared" si="86"/>
        <v>413</v>
      </c>
      <c r="AR127" s="267">
        <f t="shared" si="87"/>
        <v>430</v>
      </c>
      <c r="AS127" s="267">
        <f t="shared" si="88"/>
        <v>449</v>
      </c>
      <c r="AT127" s="267">
        <f t="shared" si="89"/>
        <v>257</v>
      </c>
      <c r="AU127" s="267">
        <f t="shared" si="90"/>
        <v>275</v>
      </c>
      <c r="AV127" s="267">
        <f t="shared" si="91"/>
        <v>279</v>
      </c>
      <c r="AW127" s="267">
        <f t="shared" si="92"/>
        <v>282</v>
      </c>
      <c r="AX127" s="267">
        <f t="shared" si="93"/>
        <v>284</v>
      </c>
      <c r="AY127" s="267">
        <f t="shared" si="94"/>
        <v>280</v>
      </c>
      <c r="AZ127" s="267">
        <f t="shared" si="95"/>
        <v>430</v>
      </c>
      <c r="BA127" s="267">
        <f t="shared" si="96"/>
        <v>449</v>
      </c>
      <c r="BB127" s="267">
        <f t="shared" si="97"/>
        <v>257</v>
      </c>
      <c r="BC127" s="267">
        <f t="shared" si="98"/>
        <v>275</v>
      </c>
      <c r="BD127" s="267">
        <f t="shared" si="99"/>
        <v>279</v>
      </c>
      <c r="BE127" s="267">
        <f t="shared" si="100"/>
        <v>280</v>
      </c>
      <c r="BF127" s="267">
        <f t="shared" si="101"/>
        <v>280</v>
      </c>
      <c r="BG127" s="269">
        <f>AY127*VLOOKUP($B127,'Major Cities &amp; Towns'!$A$28:$B$345,2,FALSE)</f>
        <v>280</v>
      </c>
      <c r="BH127" s="269">
        <f>AZ127*VLOOKUP($B127,'Major Cities &amp; Towns'!$A$28:$B$345,2,FALSE)</f>
        <v>430</v>
      </c>
      <c r="BI127" s="269">
        <f>BA127*VLOOKUP($B127,'Major Cities &amp; Towns'!$A$28:$B$345,2,FALSE)</f>
        <v>449</v>
      </c>
      <c r="BJ127" s="269">
        <f>BB127*VLOOKUP($B127,'Major Cities &amp; Towns'!$A$28:$B$345,2,FALSE)</f>
        <v>257</v>
      </c>
      <c r="BK127" s="269">
        <f>BC127*VLOOKUP($B127,'Major Cities &amp; Towns'!$A$28:$B$345,2,FALSE)</f>
        <v>275</v>
      </c>
      <c r="BL127" s="269">
        <f>BD127*VLOOKUP($B127,'Major Cities &amp; Towns'!$A$28:$B$345,2,FALSE)</f>
        <v>279</v>
      </c>
      <c r="BM127" s="269">
        <f>BE127*VLOOKUP($B127,'Major Cities &amp; Towns'!$A$28:$B$345,2,FALSE)</f>
        <v>280</v>
      </c>
      <c r="BN127" s="269">
        <f>BF127*VLOOKUP($B127,'Major Cities &amp; Towns'!$A$28:$B$345,2,FALSE)</f>
        <v>280</v>
      </c>
      <c r="BO127" s="270">
        <f t="shared" si="102"/>
        <v>223.92602739726027</v>
      </c>
      <c r="BP127" s="270">
        <f t="shared" si="103"/>
        <v>430</v>
      </c>
      <c r="BQ127" s="270">
        <f t="shared" si="104"/>
        <v>449</v>
      </c>
      <c r="BR127" s="270">
        <f t="shared" si="105"/>
        <v>257</v>
      </c>
      <c r="BS127" s="270">
        <f t="shared" si="106"/>
        <v>275</v>
      </c>
      <c r="BT127" s="270">
        <f t="shared" si="107"/>
        <v>279</v>
      </c>
      <c r="BU127" s="270">
        <f t="shared" si="108"/>
        <v>282</v>
      </c>
      <c r="BV127" s="270">
        <f t="shared" si="109"/>
        <v>284</v>
      </c>
      <c r="BW127" s="39">
        <f>VLOOKUP($A127,NetAdditions!$A$2:$H$336,6,FALSE)</f>
        <v>184</v>
      </c>
      <c r="BX127" s="39">
        <f>VLOOKUP($A127,NetAdditions!$A$2:$H$336,7,FALSE)</f>
        <v>119</v>
      </c>
      <c r="BY127" s="39">
        <f>IF((VLOOKUP($C127,NetAdditions!$A$2:$H$336,8,FALSE))="",(AVERAGE(VLOOKUP($C127,NetAdditions!$A$2:$H$336,5,FALSE),VLOOKUP($C127,NetAdditions!$A$2:$H$336,6,FALSE),VLOOKUP($C127,NetAdditions!$A$2:$H$336,7,FALSE))),VLOOKUP($C127,NetAdditions!$A$2:$H$336,8,FALSE))</f>
        <v>111</v>
      </c>
      <c r="BZ127" s="39">
        <f t="shared" si="110"/>
        <v>138</v>
      </c>
      <c r="CA127" s="39">
        <f t="shared" si="111"/>
        <v>122.66666666666667</v>
      </c>
      <c r="CB127" s="39">
        <f t="shared" si="112"/>
        <v>123.8888888888889</v>
      </c>
      <c r="CC127" s="39">
        <f t="shared" si="113"/>
        <v>128.18518518518519</v>
      </c>
      <c r="CD127" s="39">
        <f t="shared" si="114"/>
        <v>124.91358024691358</v>
      </c>
      <c r="CE127" s="276">
        <f t="shared" si="71"/>
        <v>1102.9260273972602</v>
      </c>
      <c r="CF127" s="276">
        <f t="shared" si="72"/>
        <v>1136</v>
      </c>
      <c r="CG127" s="276">
        <f t="shared" si="73"/>
        <v>981</v>
      </c>
      <c r="CH127" s="276">
        <f t="shared" si="74"/>
        <v>811</v>
      </c>
      <c r="CI127" s="276">
        <f t="shared" si="75"/>
        <v>836</v>
      </c>
      <c r="CJ127" s="276">
        <f t="shared" si="76"/>
        <v>845</v>
      </c>
      <c r="CK127" s="276">
        <f t="shared" si="115"/>
        <v>949.74185692541857</v>
      </c>
      <c r="CL127" s="276">
        <f t="shared" si="116"/>
        <v>978.22222222222229</v>
      </c>
      <c r="CM127" s="276">
        <f t="shared" si="117"/>
        <v>899.25</v>
      </c>
      <c r="CN127" s="276">
        <f t="shared" si="118"/>
        <v>811</v>
      </c>
      <c r="CO127" s="276">
        <f t="shared" si="119"/>
        <v>836</v>
      </c>
      <c r="CP127" s="276">
        <f t="shared" si="120"/>
        <v>845</v>
      </c>
      <c r="CQ127" s="39">
        <f t="shared" si="77"/>
        <v>414</v>
      </c>
      <c r="CR127" s="39">
        <f t="shared" si="78"/>
        <v>368</v>
      </c>
      <c r="CS127" s="277">
        <f t="shared" si="79"/>
        <v>371.66666666666669</v>
      </c>
      <c r="CT127" s="39">
        <f t="shared" si="80"/>
        <v>384.5555555555556</v>
      </c>
      <c r="CU127" s="39">
        <f t="shared" si="81"/>
        <v>374.74074074074076</v>
      </c>
      <c r="CV127" s="39">
        <f t="shared" si="121"/>
        <v>376.98765432098764</v>
      </c>
      <c r="CW127" s="297">
        <f t="shared" si="82"/>
        <v>0.43590792274885559</v>
      </c>
      <c r="CX127" s="279" t="str">
        <f t="shared" si="122"/>
        <v>Buffer and Action Plan</v>
      </c>
      <c r="CY127" s="278">
        <f t="shared" si="83"/>
        <v>0.37619263970922306</v>
      </c>
      <c r="CZ127" s="279" t="str">
        <f t="shared" si="123"/>
        <v>Presumption</v>
      </c>
      <c r="DA127" s="278">
        <f t="shared" si="84"/>
        <v>0.41330738578445003</v>
      </c>
      <c r="DB127" s="292" t="str">
        <f t="shared" si="124"/>
        <v>Presumption</v>
      </c>
      <c r="DC127" s="299">
        <f t="shared" si="125"/>
        <v>0.474174544458145</v>
      </c>
      <c r="DD127" s="293" t="str">
        <f t="shared" si="126"/>
        <v>Presumption</v>
      </c>
      <c r="DE127" s="299">
        <f t="shared" si="127"/>
        <v>0.44825447457026407</v>
      </c>
      <c r="DF127" s="293" t="str">
        <f t="shared" si="128"/>
        <v>Presumption</v>
      </c>
      <c r="DG127" s="299">
        <f t="shared" si="129"/>
        <v>0.44613923588282561</v>
      </c>
      <c r="DH127" s="293" t="str">
        <f t="shared" si="130"/>
        <v>Presumption</v>
      </c>
    </row>
    <row r="128" spans="1:112" ht="15" thickTop="1" thickBot="1">
      <c r="A128" s="38" t="s">
        <v>366</v>
      </c>
      <c r="B128" s="38" t="s">
        <v>367</v>
      </c>
      <c r="C128" s="38" t="s">
        <v>366</v>
      </c>
      <c r="D128" s="38" t="s">
        <v>113</v>
      </c>
      <c r="E128" s="38" t="str">
        <f>VLOOKUP(C128,PoliticalControl!A:K,11,FALSE)</f>
        <v>CON</v>
      </c>
      <c r="F128" s="38" t="str">
        <f>VLOOKUP(C128,UrbanRuralClassification!A:N,13,FALSE)</f>
        <v>Urban with City and Town</v>
      </c>
      <c r="G128" s="38" t="str">
        <f>VLOOKUP(C128,UrbanRuralClassification!A:N,14,FALSE)</f>
        <v>Predominantly Urban</v>
      </c>
      <c r="H128" s="258">
        <f>IF(ISBLANK((VLOOKUP($A128,'local-plan-data'!$C$1:$AD$566,27,FALSE)))=TRUE,"",VLOOKUP($A128,'local-plan-data'!$C$1:$AD$566,27,FALSE))</f>
        <v>40603</v>
      </c>
      <c r="I128" s="259">
        <f>VLOOKUP($A128,'local-plan-data'!$C$1:$AD$566,28,FALSE)</f>
        <v>315</v>
      </c>
      <c r="J128" s="260">
        <f t="shared" si="85"/>
        <v>315</v>
      </c>
      <c r="K128" s="259" t="str">
        <f t="shared" si="133"/>
        <v>-</v>
      </c>
      <c r="L128" s="259" t="str">
        <f t="shared" si="135"/>
        <v>-</v>
      </c>
      <c r="M128" s="259" t="str">
        <f t="shared" si="135"/>
        <v>-</v>
      </c>
      <c r="N128" s="259" t="str">
        <f t="shared" si="135"/>
        <v>-</v>
      </c>
      <c r="O128" s="259" t="str">
        <f t="shared" si="135"/>
        <v>-</v>
      </c>
      <c r="P128" s="259" t="str">
        <f t="shared" si="135"/>
        <v>-</v>
      </c>
      <c r="Q128" s="259" t="str">
        <f t="shared" si="135"/>
        <v>-</v>
      </c>
      <c r="R128" s="259" t="str">
        <f t="shared" si="135"/>
        <v>-</v>
      </c>
      <c r="S128" s="259">
        <f t="shared" si="134"/>
        <v>-761</v>
      </c>
      <c r="T128" s="259">
        <f t="shared" si="136"/>
        <v>-1126</v>
      </c>
      <c r="U128" s="259">
        <f t="shared" si="136"/>
        <v>-1492</v>
      </c>
      <c r="V128" s="259">
        <f t="shared" si="136"/>
        <v>-1857</v>
      </c>
      <c r="W128" s="259">
        <f t="shared" si="136"/>
        <v>-2222</v>
      </c>
      <c r="X128" s="259">
        <f t="shared" si="136"/>
        <v>-2587</v>
      </c>
      <c r="Y128" s="259">
        <f t="shared" si="136"/>
        <v>-2953</v>
      </c>
      <c r="Z128" s="259">
        <f t="shared" si="136"/>
        <v>-3318</v>
      </c>
      <c r="AA128" s="267">
        <f>(VLOOKUP(A128,Hshldprojections2014!$A$2:$AW$319,40, FALSE)-VLOOKUP(A128,Hshldprojections2014!$A$2:$AW$319,30, FALSE))/10</f>
        <v>360.6</v>
      </c>
      <c r="AB128" s="267">
        <f>(VLOOKUP(A128,Hshldprojections2014!$A$2:$AW$319,41, FALSE)-VLOOKUP(A128,Hshldprojections2014!$A$2:$AW$319,31, FALSE))/10</f>
        <v>362.7</v>
      </c>
      <c r="AC128" s="267">
        <f>(VLOOKUP(A128,Hshldprojections2014!$A$2:$AW$319,42, FALSE)-VLOOKUP(A128,Hshldprojections2014!$A$2:$AW$319,32, FALSE))/10</f>
        <v>367.2</v>
      </c>
      <c r="AD128" s="267">
        <f>IF(IndividualLATest!$J$7=2014,(VLOOKUP($A128,Hshldprojections2014!$A$2:$AY$326,43,FALSE)-VLOOKUP($A128,Hshldprojections2014!$A$2:$AY$326,33,FALSE))/10,IF(IndividualLATest!$J$7=2016,(VLOOKUP($A128,Hshldprojections2016!$A$1:$AQ$322,33,FALSE)-VLOOKUP($A128,Hshldprojections2016!$A$1:$AQ$322,23,FALSE))/10,(VLOOKUP($A128,Hshldprojections2018!$A$1:$AQ$327,33,FALSE)-VLOOKUP($A128,Hshldprojections2018!$A$1:$AQ$327,23,FALSE))/10))</f>
        <v>468.1</v>
      </c>
      <c r="AE128" s="267">
        <f>IF(IndividualLATest!$J$7=2014,(VLOOKUP($A128,Hshldprojections2014!$A$2:$AY$326,44,FALSE)-VLOOKUP($A128,Hshldprojections2014!$A$2:$AY$326,34,FALSE))/10,IF(IndividualLATest!$J$7=2016,(VLOOKUP($A128,Hshldprojections2016!$A$1:$AQ$322,34,FALSE)-VLOOKUP($A128,Hshldprojections2016!$A$1:$AQ$322,24,FALSE))/10,(VLOOKUP($A128,Hshldprojections2018!$A$1:$AQ$327,34,FALSE)-VLOOKUP($A128,Hshldprojections2018!$A$1:$AQ$327,24,FALSE))/10))</f>
        <v>459.4</v>
      </c>
      <c r="AF128" s="267">
        <f>IF(IndividualLATest!$J$7=2014,(VLOOKUP($A128,Hshldprojections2014!$A$2:$AY$326,45,FALSE)-VLOOKUP($A128,Hshldprojections2014!$A$2:$AY$326,35,FALSE))/10,IF(IndividualLATest!$J$7=2016,(VLOOKUP($A128,Hshldprojections2016!$A$1:$AQ$322,35,FALSE)-VLOOKUP($A128,Hshldprojections2016!$A$1:$AQ$322,25,FALSE))/10,(VLOOKUP($A128,Hshldprojections2018!$A$1:$AQ$327,35,FALSE)-VLOOKUP($A128,Hshldprojections2018!$A$1:$AQ$327,25,FALSE))/10))</f>
        <v>452.5</v>
      </c>
      <c r="AG128" s="267">
        <f>IF(IndividualLATest!$J$7=2014,(VLOOKUP($A128,Hshldprojections2014!$A$2:$AY$326,46,FALSE)-VLOOKUP($A128,Hshldprojections2014!$A$2:$AY$326,36,FALSE))/10,IF(IndividualLATest!$J$7=2016,(VLOOKUP($A128,Hshldprojections2016!$A$1:$AQ$322,36,FALSE)-VLOOKUP($A128,Hshldprojections2016!$A$1:$AQ$322,26,FALSE))/10,(VLOOKUP($A128,Hshldprojections2018!$A$1:$AQ$327,36,FALSE)-VLOOKUP($A128,Hshldprojections2018!$A$1:$AQ$327,26,FALSE))/10))</f>
        <v>445.8</v>
      </c>
      <c r="AH128" s="267">
        <f>IF(IndividualLATest!$J$7=2014,(VLOOKUP($A128,Hshldprojections2014!$A$2:$AY$326,47,FALSE)-VLOOKUP($A128,Hshldprojections2014!$A$2:$AY$326,37,FALSE))/10,IF(IndividualLATest!$J$7=2016,(VLOOKUP($A128,Hshldprojections2016!$A$1:$AQ$322,37,FALSE)-VLOOKUP($A128,Hshldprojections2016!$A$1:$AQ$322,27,FALSE))/10,(VLOOKUP($A128,Hshldprojections2018!$A$1:$AQ$327,37,FALSE)-VLOOKUP($A128,Hshldprojections2018!$A$1:$AQ$327,27,FALSE))/10))</f>
        <v>440.5</v>
      </c>
      <c r="AI128" s="268">
        <f>VLOOKUP($A128,AffordabilityRatio!$A$2:$I$321,5,FALSE)</f>
        <v>9.25</v>
      </c>
      <c r="AJ128" s="268">
        <f>VLOOKUP($A128,AffordabilityRatio!$A$2:$I$321,6,FALSE)</f>
        <v>9.49</v>
      </c>
      <c r="AK128" s="268">
        <f>VLOOKUP($A128,AffordabilityRatio!$A$2:$I$321,7,FALSE)</f>
        <v>9.9499999999999993</v>
      </c>
      <c r="AL128" s="268">
        <f>IF((VLOOKUP($A128,AffordabilityRatio!$A$2:$I$321,8,FALSE))="",AK128,VLOOKUP($A128,AffordabilityRatio!$A$2:$I$321,8,FALSE))</f>
        <v>9.8800000000000008</v>
      </c>
      <c r="AM128" s="268">
        <f>IF((VLOOKUP($A128,AffordabilityRatio!$A$2:$I$321,9,FALSE))="",AL128,VLOOKUP($A128,AffordabilityRatio!$A$2:$I$321,9,FALSE))</f>
        <v>10.17</v>
      </c>
      <c r="AN128" s="268">
        <f>IF((VLOOKUP($A128,AffordabilityRatio!$A$2:$I$321,9,FALSE))="",AM128,VLOOKUP($A128,AffordabilityRatio!$A$2:$I$321,9,FALSE))</f>
        <v>10.17</v>
      </c>
      <c r="AO128" s="268">
        <f>IF((VLOOKUP($A128,AffordabilityRatio!$A$2:$I$321,9,FALSE))="",AN128,VLOOKUP($A128,AffordabilityRatio!$A$2:$I$321,9,FALSE))</f>
        <v>10.17</v>
      </c>
      <c r="AP128" s="268">
        <f>IF((VLOOKUP($A128,AffordabilityRatio!$A$2:$I$321,9,FALSE))="",AO128,VLOOKUP($A128,AffordabilityRatio!$A$2:$I$321,9,FALSE))</f>
        <v>10.17</v>
      </c>
      <c r="AQ128" s="267">
        <f t="shared" si="86"/>
        <v>479</v>
      </c>
      <c r="AR128" s="267">
        <f t="shared" si="87"/>
        <v>487</v>
      </c>
      <c r="AS128" s="267">
        <f t="shared" si="88"/>
        <v>504</v>
      </c>
      <c r="AT128" s="267">
        <f t="shared" si="89"/>
        <v>640</v>
      </c>
      <c r="AU128" s="267">
        <f t="shared" si="90"/>
        <v>637</v>
      </c>
      <c r="AV128" s="267">
        <f t="shared" si="91"/>
        <v>627</v>
      </c>
      <c r="AW128" s="267">
        <f t="shared" si="92"/>
        <v>618</v>
      </c>
      <c r="AX128" s="267">
        <f t="shared" si="93"/>
        <v>610</v>
      </c>
      <c r="AY128" s="267">
        <f t="shared" si="94"/>
        <v>479</v>
      </c>
      <c r="AZ128" s="267">
        <f t="shared" si="95"/>
        <v>487</v>
      </c>
      <c r="BA128" s="267">
        <f t="shared" si="96"/>
        <v>504</v>
      </c>
      <c r="BB128" s="267">
        <f t="shared" si="97"/>
        <v>640</v>
      </c>
      <c r="BC128" s="267">
        <f t="shared" si="98"/>
        <v>637</v>
      </c>
      <c r="BD128" s="267">
        <f t="shared" si="99"/>
        <v>627</v>
      </c>
      <c r="BE128" s="267">
        <f t="shared" si="100"/>
        <v>618</v>
      </c>
      <c r="BF128" s="267">
        <f t="shared" si="101"/>
        <v>610</v>
      </c>
      <c r="BG128" s="269">
        <f>AY128*VLOOKUP($B128,'Major Cities &amp; Towns'!$A$28:$B$345,2,FALSE)</f>
        <v>479</v>
      </c>
      <c r="BH128" s="269">
        <f>AZ128*VLOOKUP($B128,'Major Cities &amp; Towns'!$A$28:$B$345,2,FALSE)</f>
        <v>487</v>
      </c>
      <c r="BI128" s="269">
        <f>BA128*VLOOKUP($B128,'Major Cities &amp; Towns'!$A$28:$B$345,2,FALSE)</f>
        <v>504</v>
      </c>
      <c r="BJ128" s="269">
        <f>BB128*VLOOKUP($B128,'Major Cities &amp; Towns'!$A$28:$B$345,2,FALSE)</f>
        <v>640</v>
      </c>
      <c r="BK128" s="269">
        <f>BC128*VLOOKUP($B128,'Major Cities &amp; Towns'!$A$28:$B$345,2,FALSE)</f>
        <v>637</v>
      </c>
      <c r="BL128" s="269">
        <f>BD128*VLOOKUP($B128,'Major Cities &amp; Towns'!$A$28:$B$345,2,FALSE)</f>
        <v>627</v>
      </c>
      <c r="BM128" s="269">
        <f>BE128*VLOOKUP($B128,'Major Cities &amp; Towns'!$A$28:$B$345,2,FALSE)</f>
        <v>618</v>
      </c>
      <c r="BN128" s="269">
        <f>BF128*VLOOKUP($B128,'Major Cities &amp; Towns'!$A$28:$B$345,2,FALSE)</f>
        <v>610</v>
      </c>
      <c r="BO128" s="270">
        <f t="shared" si="102"/>
        <v>479</v>
      </c>
      <c r="BP128" s="270">
        <f t="shared" si="103"/>
        <v>487</v>
      </c>
      <c r="BQ128" s="270">
        <f t="shared" si="104"/>
        <v>504</v>
      </c>
      <c r="BR128" s="270">
        <f t="shared" si="105"/>
        <v>640</v>
      </c>
      <c r="BS128" s="270">
        <f t="shared" si="106"/>
        <v>637</v>
      </c>
      <c r="BT128" s="270">
        <f t="shared" si="107"/>
        <v>627</v>
      </c>
      <c r="BU128" s="270">
        <f t="shared" si="108"/>
        <v>618</v>
      </c>
      <c r="BV128" s="270">
        <f t="shared" si="109"/>
        <v>610</v>
      </c>
      <c r="BW128" s="39">
        <f>VLOOKUP($A128,NetAdditions!$A$2:$H$336,6,FALSE)</f>
        <v>267</v>
      </c>
      <c r="BX128" s="39">
        <f>VLOOKUP($A128,NetAdditions!$A$2:$H$336,7,FALSE)</f>
        <v>366</v>
      </c>
      <c r="BY128" s="39">
        <f>IF((VLOOKUP($C128,NetAdditions!$A$2:$H$336,8,FALSE))="",(AVERAGE(VLOOKUP($C128,NetAdditions!$A$2:$H$336,5,FALSE),VLOOKUP($C128,NetAdditions!$A$2:$H$336,6,FALSE),VLOOKUP($C128,NetAdditions!$A$2:$H$336,7,FALSE))),VLOOKUP($C128,NetAdditions!$A$2:$H$336,8,FALSE))</f>
        <v>294</v>
      </c>
      <c r="BZ128" s="39">
        <f t="shared" si="110"/>
        <v>309</v>
      </c>
      <c r="CA128" s="39">
        <f t="shared" si="111"/>
        <v>323</v>
      </c>
      <c r="CB128" s="39">
        <f t="shared" si="112"/>
        <v>308.66666666666669</v>
      </c>
      <c r="CC128" s="39">
        <f t="shared" si="113"/>
        <v>313.5555555555556</v>
      </c>
      <c r="CD128" s="39">
        <f t="shared" si="114"/>
        <v>315.07407407407413</v>
      </c>
      <c r="CE128" s="276">
        <f t="shared" si="71"/>
        <v>1470</v>
      </c>
      <c r="CF128" s="276">
        <f t="shared" si="72"/>
        <v>1631</v>
      </c>
      <c r="CG128" s="276">
        <f t="shared" si="73"/>
        <v>1781</v>
      </c>
      <c r="CH128" s="276">
        <f t="shared" si="74"/>
        <v>1904</v>
      </c>
      <c r="CI128" s="276">
        <f t="shared" si="75"/>
        <v>1882</v>
      </c>
      <c r="CJ128" s="276">
        <f t="shared" si="76"/>
        <v>1855</v>
      </c>
      <c r="CK128" s="276">
        <f t="shared" si="115"/>
        <v>1265.8333333333335</v>
      </c>
      <c r="CL128" s="276">
        <f t="shared" si="116"/>
        <v>1404.4722222222224</v>
      </c>
      <c r="CM128" s="276">
        <f t="shared" si="117"/>
        <v>1632.5833333333333</v>
      </c>
      <c r="CN128" s="276">
        <f t="shared" si="118"/>
        <v>1904</v>
      </c>
      <c r="CO128" s="276">
        <f t="shared" si="119"/>
        <v>1882</v>
      </c>
      <c r="CP128" s="276">
        <f t="shared" si="120"/>
        <v>1855</v>
      </c>
      <c r="CQ128" s="39">
        <f t="shared" si="77"/>
        <v>927</v>
      </c>
      <c r="CR128" s="39">
        <f t="shared" si="78"/>
        <v>969</v>
      </c>
      <c r="CS128" s="277">
        <f t="shared" si="79"/>
        <v>926</v>
      </c>
      <c r="CT128" s="39">
        <f t="shared" si="80"/>
        <v>940.66666666666674</v>
      </c>
      <c r="CU128" s="39">
        <f t="shared" si="81"/>
        <v>945.2222222222224</v>
      </c>
      <c r="CV128" s="39">
        <f t="shared" si="121"/>
        <v>937.29629629629642</v>
      </c>
      <c r="CW128" s="297">
        <f t="shared" si="82"/>
        <v>0.73232389730085579</v>
      </c>
      <c r="CX128" s="279" t="str">
        <f t="shared" si="122"/>
        <v>Buffer and Action Plan</v>
      </c>
      <c r="CY128" s="278">
        <f t="shared" si="83"/>
        <v>0.68993888570241879</v>
      </c>
      <c r="CZ128" s="279" t="str">
        <f t="shared" si="123"/>
        <v>Buffer and Action Plan</v>
      </c>
      <c r="DA128" s="278">
        <f t="shared" si="84"/>
        <v>0.56719922413353074</v>
      </c>
      <c r="DB128" s="292" t="str">
        <f t="shared" si="124"/>
        <v>Presumption</v>
      </c>
      <c r="DC128" s="299">
        <f t="shared" si="125"/>
        <v>0.49404761904761907</v>
      </c>
      <c r="DD128" s="293" t="str">
        <f t="shared" si="126"/>
        <v>Presumption</v>
      </c>
      <c r="DE128" s="299">
        <f t="shared" si="127"/>
        <v>0.50224347620734455</v>
      </c>
      <c r="DF128" s="293" t="str">
        <f t="shared" si="128"/>
        <v>Presumption</v>
      </c>
      <c r="DG128" s="299">
        <f t="shared" si="129"/>
        <v>0.50528102226215443</v>
      </c>
      <c r="DH128" s="293" t="str">
        <f t="shared" si="130"/>
        <v>Presumption</v>
      </c>
    </row>
    <row r="129" spans="1:112" customFormat="1" ht="15.5" thickTop="1" thickBot="1">
      <c r="A129" s="3" t="s">
        <v>368</v>
      </c>
      <c r="B129" s="3" t="s">
        <v>369</v>
      </c>
      <c r="C129" s="3" t="s">
        <v>368</v>
      </c>
      <c r="D129" s="3" t="s">
        <v>131</v>
      </c>
      <c r="E129" s="3" t="str">
        <f>VLOOKUP(C129,PoliticalControl!A:K,11,FALSE)</f>
        <v>NOC</v>
      </c>
      <c r="F129" s="3" t="str">
        <f>VLOOKUP(C129,UrbanRuralClassification!A:N,13,FALSE)</f>
        <v>Urban with Major Conurbation</v>
      </c>
      <c r="G129" s="3" t="str">
        <f>VLOOKUP(C129,UrbanRuralClassification!A:N,14,FALSE)</f>
        <v>Predominantly Urban</v>
      </c>
      <c r="H129" s="262">
        <f>IF(ISBLANK((VLOOKUP($A129,'local-plan-data'!$C$1:$AD$566,27,FALSE)))=TRUE,"",VLOOKUP($A129,'local-plan-data'!$C$1:$AD$566,27,FALSE))</f>
        <v>44517</v>
      </c>
      <c r="I129" s="263">
        <f>VLOOKUP($A129,'local-plan-data'!$C$1:$AD$566,28,FALSE)</f>
        <v>1262</v>
      </c>
      <c r="J129" s="264">
        <f t="shared" si="85"/>
        <v>1262</v>
      </c>
      <c r="K129" s="259">
        <f t="shared" si="133"/>
        <v>1262</v>
      </c>
      <c r="L129" s="259">
        <f t="shared" si="135"/>
        <v>1262</v>
      </c>
      <c r="M129" s="259">
        <f t="shared" si="135"/>
        <v>1262</v>
      </c>
      <c r="N129" s="259">
        <f t="shared" si="135"/>
        <v>1262</v>
      </c>
      <c r="O129" s="259">
        <f t="shared" si="135"/>
        <v>1262</v>
      </c>
      <c r="P129" s="259">
        <f t="shared" si="135"/>
        <v>1262</v>
      </c>
      <c r="Q129" s="259">
        <f t="shared" si="135"/>
        <v>1262</v>
      </c>
      <c r="R129" s="259">
        <f t="shared" si="135"/>
        <v>1262</v>
      </c>
      <c r="S129" s="259">
        <f t="shared" si="134"/>
        <v>3152</v>
      </c>
      <c r="T129" s="259">
        <f t="shared" si="136"/>
        <v>2787</v>
      </c>
      <c r="U129" s="259">
        <f t="shared" si="136"/>
        <v>2421</v>
      </c>
      <c r="V129" s="259">
        <f t="shared" si="136"/>
        <v>2056</v>
      </c>
      <c r="W129" s="259">
        <f t="shared" si="136"/>
        <v>1691</v>
      </c>
      <c r="X129" s="259">
        <f t="shared" si="136"/>
        <v>1326</v>
      </c>
      <c r="Y129" s="259">
        <f t="shared" si="136"/>
        <v>960</v>
      </c>
      <c r="Z129" s="259">
        <f t="shared" si="136"/>
        <v>595</v>
      </c>
      <c r="AA129" s="267">
        <f>(VLOOKUP(A129,Hshldprojections2014!$A$2:$AW$319,40, FALSE)-VLOOKUP(A129,Hshldprojections2014!$A$2:$AW$319,30, FALSE))/10</f>
        <v>1341.9</v>
      </c>
      <c r="AB129" s="267">
        <f>(VLOOKUP(A129,Hshldprojections2014!$A$2:$AW$319,41, FALSE)-VLOOKUP(A129,Hshldprojections2014!$A$2:$AW$319,31, FALSE))/10</f>
        <v>1355.6</v>
      </c>
      <c r="AC129" s="267">
        <f>(VLOOKUP(A129,Hshldprojections2014!$A$2:$AW$319,42, FALSE)-VLOOKUP(A129,Hshldprojections2014!$A$2:$AW$319,32, FALSE))/10</f>
        <v>1364.6</v>
      </c>
      <c r="AD129" s="267">
        <f>IF(IndividualLATest!$J$7=2014,(VLOOKUP($A129,Hshldprojections2014!$A$2:$AY$326,43,FALSE)-VLOOKUP($A129,Hshldprojections2014!$A$2:$AY$326,33,FALSE))/10,IF(IndividualLATest!$J$7=2016,(VLOOKUP($A129,Hshldprojections2016!$A$1:$AQ$322,33,FALSE)-VLOOKUP($A129,Hshldprojections2016!$A$1:$AQ$322,23,FALSE))/10,(VLOOKUP($A129,Hshldprojections2018!$A$1:$AQ$327,33,FALSE)-VLOOKUP($A129,Hshldprojections2018!$A$1:$AQ$327,23,FALSE))/10))</f>
        <v>789.8</v>
      </c>
      <c r="AE129" s="267">
        <f>IF(IndividualLATest!$J$7=2014,(VLOOKUP($A129,Hshldprojections2014!$A$2:$AY$326,44,FALSE)-VLOOKUP($A129,Hshldprojections2014!$A$2:$AY$326,34,FALSE))/10,IF(IndividualLATest!$J$7=2016,(VLOOKUP($A129,Hshldprojections2016!$A$1:$AQ$322,34,FALSE)-VLOOKUP($A129,Hshldprojections2016!$A$1:$AQ$322,24,FALSE))/10,(VLOOKUP($A129,Hshldprojections2018!$A$1:$AQ$327,34,FALSE)-VLOOKUP($A129,Hshldprojections2018!$A$1:$AQ$327,24,FALSE))/10))</f>
        <v>790.1</v>
      </c>
      <c r="AF129" s="267">
        <f>IF(IndividualLATest!$J$7=2014,(VLOOKUP($A129,Hshldprojections2014!$A$2:$AY$326,45,FALSE)-VLOOKUP($A129,Hshldprojections2014!$A$2:$AY$326,35,FALSE))/10,IF(IndividualLATest!$J$7=2016,(VLOOKUP($A129,Hshldprojections2016!$A$1:$AQ$322,35,FALSE)-VLOOKUP($A129,Hshldprojections2016!$A$1:$AQ$322,25,FALSE))/10,(VLOOKUP($A129,Hshldprojections2018!$A$1:$AQ$327,35,FALSE)-VLOOKUP($A129,Hshldprojections2018!$A$1:$AQ$327,25,FALSE))/10))</f>
        <v>794.1</v>
      </c>
      <c r="AG129" s="267">
        <f>IF(IndividualLATest!$J$7=2014,(VLOOKUP($A129,Hshldprojections2014!$A$2:$AY$326,46,FALSE)-VLOOKUP($A129,Hshldprojections2014!$A$2:$AY$326,36,FALSE))/10,IF(IndividualLATest!$J$7=2016,(VLOOKUP($A129,Hshldprojections2016!$A$1:$AQ$322,36,FALSE)-VLOOKUP($A129,Hshldprojections2016!$A$1:$AQ$322,26,FALSE))/10,(VLOOKUP($A129,Hshldprojections2018!$A$1:$AQ$327,36,FALSE)-VLOOKUP($A129,Hshldprojections2018!$A$1:$AQ$327,26,FALSE))/10))</f>
        <v>796.4</v>
      </c>
      <c r="AH129" s="267">
        <f>IF(IndividualLATest!$J$7=2014,(VLOOKUP($A129,Hshldprojections2014!$A$2:$AY$326,47,FALSE)-VLOOKUP($A129,Hshldprojections2014!$A$2:$AY$326,37,FALSE))/10,IF(IndividualLATest!$J$7=2016,(VLOOKUP($A129,Hshldprojections2016!$A$1:$AQ$322,37,FALSE)-VLOOKUP($A129,Hshldprojections2016!$A$1:$AQ$322,27,FALSE))/10,(VLOOKUP($A129,Hshldprojections2018!$A$1:$AQ$327,37,FALSE)-VLOOKUP($A129,Hshldprojections2018!$A$1:$AQ$327,27,FALSE))/10))</f>
        <v>797.9</v>
      </c>
      <c r="AI129" s="268">
        <f>VLOOKUP($A129,AffordabilityRatio!$A$2:$I$321,5,FALSE)</f>
        <v>12.01</v>
      </c>
      <c r="AJ129" s="268">
        <f>VLOOKUP($A129,AffordabilityRatio!$A$2:$I$321,6,FALSE)</f>
        <v>11.93</v>
      </c>
      <c r="AK129" s="268">
        <f>VLOOKUP($A129,AffordabilityRatio!$A$2:$I$321,7,FALSE)</f>
        <v>11.33</v>
      </c>
      <c r="AL129" s="268">
        <f>IF((VLOOKUP($A129,AffordabilityRatio!$A$2:$I$321,8,FALSE))="",AK129,VLOOKUP($A129,AffordabilityRatio!$A$2:$I$321,8,FALSE))</f>
        <v>11.05</v>
      </c>
      <c r="AM129" s="268">
        <f>IF((VLOOKUP($A129,AffordabilityRatio!$A$2:$I$321,9,FALSE))="",AL129,VLOOKUP($A129,AffordabilityRatio!$A$2:$I$321,9,FALSE))</f>
        <v>12.52</v>
      </c>
      <c r="AN129" s="268">
        <f>IF((VLOOKUP($A129,AffordabilityRatio!$A$2:$I$321,9,FALSE))="",AM129,VLOOKUP($A129,AffordabilityRatio!$A$2:$I$321,9,FALSE))</f>
        <v>12.52</v>
      </c>
      <c r="AO129" s="268">
        <f>IF((VLOOKUP($A129,AffordabilityRatio!$A$2:$I$321,9,FALSE))="",AN129,VLOOKUP($A129,AffordabilityRatio!$A$2:$I$321,9,FALSE))</f>
        <v>12.52</v>
      </c>
      <c r="AP129" s="268">
        <f>IF((VLOOKUP($A129,AffordabilityRatio!$A$2:$I$321,9,FALSE))="",AO129,VLOOKUP($A129,AffordabilityRatio!$A$2:$I$321,9,FALSE))</f>
        <v>12.52</v>
      </c>
      <c r="AQ129" s="267">
        <f t="shared" si="86"/>
        <v>2014</v>
      </c>
      <c r="AR129" s="267">
        <f t="shared" si="87"/>
        <v>2027</v>
      </c>
      <c r="AS129" s="267">
        <f t="shared" si="88"/>
        <v>1990</v>
      </c>
      <c r="AT129" s="267">
        <f t="shared" si="89"/>
        <v>1138</v>
      </c>
      <c r="AU129" s="267">
        <f t="shared" si="90"/>
        <v>1211</v>
      </c>
      <c r="AV129" s="267">
        <f t="shared" si="91"/>
        <v>1217</v>
      </c>
      <c r="AW129" s="267">
        <f t="shared" si="92"/>
        <v>1220</v>
      </c>
      <c r="AX129" s="267">
        <f t="shared" si="93"/>
        <v>1223</v>
      </c>
      <c r="AY129" s="267">
        <f t="shared" si="94"/>
        <v>1766.8</v>
      </c>
      <c r="AZ129" s="267">
        <f t="shared" si="95"/>
        <v>1766.8</v>
      </c>
      <c r="BA129" s="267">
        <f t="shared" si="96"/>
        <v>1766.8</v>
      </c>
      <c r="BB129" s="267">
        <f t="shared" si="97"/>
        <v>1138</v>
      </c>
      <c r="BC129" s="267">
        <f t="shared" si="98"/>
        <v>1211</v>
      </c>
      <c r="BD129" s="267">
        <f t="shared" si="99"/>
        <v>1217</v>
      </c>
      <c r="BE129" s="267">
        <f t="shared" si="100"/>
        <v>1220</v>
      </c>
      <c r="BF129" s="267">
        <f t="shared" si="101"/>
        <v>1223</v>
      </c>
      <c r="BG129" s="269">
        <f>AY129*VLOOKUP($B129,'Major Cities &amp; Towns'!$A$28:$B$345,2,FALSE)</f>
        <v>2385.1800000000003</v>
      </c>
      <c r="BH129" s="269">
        <f>AZ129*VLOOKUP($B129,'Major Cities &amp; Towns'!$A$28:$B$345,2,FALSE)</f>
        <v>2385.1800000000003</v>
      </c>
      <c r="BI129" s="269">
        <f>BA129*VLOOKUP($B129,'Major Cities &amp; Towns'!$A$28:$B$345,2,FALSE)</f>
        <v>2385.1800000000003</v>
      </c>
      <c r="BJ129" s="269">
        <f>BB129*VLOOKUP($B129,'Major Cities &amp; Towns'!$A$28:$B$345,2,FALSE)</f>
        <v>1536.3000000000002</v>
      </c>
      <c r="BK129" s="269">
        <f>BC129*VLOOKUP($B129,'Major Cities &amp; Towns'!$A$28:$B$345,2,FALSE)</f>
        <v>1634.8500000000001</v>
      </c>
      <c r="BL129" s="269">
        <f>BD129*VLOOKUP($B129,'Major Cities &amp; Towns'!$A$28:$B$345,2,FALSE)</f>
        <v>1642.95</v>
      </c>
      <c r="BM129" s="269">
        <f>BE129*VLOOKUP($B129,'Major Cities &amp; Towns'!$A$28:$B$345,2,FALSE)</f>
        <v>1647</v>
      </c>
      <c r="BN129" s="269">
        <f>BF129*VLOOKUP($B129,'Major Cities &amp; Towns'!$A$28:$B$345,2,FALSE)</f>
        <v>1651.0500000000002</v>
      </c>
      <c r="BO129" s="270">
        <f t="shared" si="102"/>
        <v>1262</v>
      </c>
      <c r="BP129" s="270">
        <f t="shared" si="103"/>
        <v>1262</v>
      </c>
      <c r="BQ129" s="270">
        <f t="shared" si="104"/>
        <v>1262</v>
      </c>
      <c r="BR129" s="270">
        <f t="shared" si="105"/>
        <v>1138</v>
      </c>
      <c r="BS129" s="270">
        <f t="shared" si="106"/>
        <v>1211</v>
      </c>
      <c r="BT129" s="270">
        <f t="shared" si="107"/>
        <v>1217</v>
      </c>
      <c r="BU129" s="270">
        <f t="shared" si="108"/>
        <v>1220</v>
      </c>
      <c r="BV129" s="270">
        <f t="shared" si="109"/>
        <v>1223</v>
      </c>
      <c r="BW129" s="39">
        <f>VLOOKUP($A129,NetAdditions!$A$2:$H$336,6,FALSE)</f>
        <v>466</v>
      </c>
      <c r="BX129" s="39">
        <f>VLOOKUP($A129,NetAdditions!$A$2:$H$336,7,FALSE)</f>
        <v>508</v>
      </c>
      <c r="BY129" s="39">
        <f>IF((VLOOKUP($C129,NetAdditions!$A$2:$H$336,8,FALSE))="",(AVERAGE(VLOOKUP($C129,NetAdditions!$A$2:$H$336,5,FALSE),VLOOKUP($C129,NetAdditions!$A$2:$H$336,6,FALSE),VLOOKUP($C129,NetAdditions!$A$2:$H$336,7,FALSE))),VLOOKUP($C129,NetAdditions!$A$2:$H$336,8,FALSE))</f>
        <v>486</v>
      </c>
      <c r="BZ129" s="39">
        <f t="shared" si="110"/>
        <v>486.66666666666669</v>
      </c>
      <c r="CA129" s="39">
        <f t="shared" si="111"/>
        <v>493.5555555555556</v>
      </c>
      <c r="CB129" s="39">
        <f t="shared" si="112"/>
        <v>488.74074074074082</v>
      </c>
      <c r="CC129" s="39">
        <f t="shared" si="113"/>
        <v>489.65432098765433</v>
      </c>
      <c r="CD129" s="39">
        <f t="shared" si="114"/>
        <v>490.65020576131695</v>
      </c>
      <c r="CE129" s="276">
        <f t="shared" si="71"/>
        <v>3786</v>
      </c>
      <c r="CF129" s="276">
        <f t="shared" si="72"/>
        <v>3662</v>
      </c>
      <c r="CG129" s="276">
        <f t="shared" si="73"/>
        <v>3611</v>
      </c>
      <c r="CH129" s="276">
        <f t="shared" si="74"/>
        <v>3566</v>
      </c>
      <c r="CI129" s="276">
        <f t="shared" si="75"/>
        <v>3648</v>
      </c>
      <c r="CJ129" s="276">
        <f t="shared" si="76"/>
        <v>3660</v>
      </c>
      <c r="CK129" s="276">
        <f t="shared" si="115"/>
        <v>3260.166666666667</v>
      </c>
      <c r="CL129" s="276">
        <f t="shared" si="116"/>
        <v>3153.3888888888891</v>
      </c>
      <c r="CM129" s="276">
        <f t="shared" si="117"/>
        <v>3310.083333333333</v>
      </c>
      <c r="CN129" s="276">
        <f t="shared" si="118"/>
        <v>3566</v>
      </c>
      <c r="CO129" s="276">
        <f t="shared" si="119"/>
        <v>3648</v>
      </c>
      <c r="CP129" s="276">
        <f t="shared" si="120"/>
        <v>3660</v>
      </c>
      <c r="CQ129" s="39">
        <f t="shared" si="77"/>
        <v>1460</v>
      </c>
      <c r="CR129" s="39">
        <f t="shared" si="78"/>
        <v>1480.6666666666667</v>
      </c>
      <c r="CS129" s="277">
        <f t="shared" si="79"/>
        <v>1466.2222222222224</v>
      </c>
      <c r="CT129" s="39">
        <f t="shared" si="80"/>
        <v>1468.962962962963</v>
      </c>
      <c r="CU129" s="39">
        <f t="shared" si="81"/>
        <v>1471.9506172839508</v>
      </c>
      <c r="CV129" s="39">
        <f t="shared" si="121"/>
        <v>1469.0452674897122</v>
      </c>
      <c r="CW129" s="297">
        <f t="shared" si="82"/>
        <v>0.44782986554879606</v>
      </c>
      <c r="CX129" s="279" t="str">
        <f t="shared" si="122"/>
        <v>Buffer and Action Plan</v>
      </c>
      <c r="CY129" s="278">
        <f t="shared" si="83"/>
        <v>0.46954775285847677</v>
      </c>
      <c r="CZ129" s="279" t="str">
        <f t="shared" si="123"/>
        <v>Buffer and Action Plan</v>
      </c>
      <c r="DA129" s="278">
        <f t="shared" si="84"/>
        <v>0.44295628676686566</v>
      </c>
      <c r="DB129" s="292" t="str">
        <f t="shared" si="124"/>
        <v>Presumption</v>
      </c>
      <c r="DC129" s="299">
        <f t="shared" si="125"/>
        <v>0.41193577200307435</v>
      </c>
      <c r="DD129" s="293" t="str">
        <f t="shared" si="126"/>
        <v>Presumption</v>
      </c>
      <c r="DE129" s="299">
        <f t="shared" si="127"/>
        <v>0.40349523500108303</v>
      </c>
      <c r="DF129" s="293" t="str">
        <f t="shared" si="128"/>
        <v>Presumption</v>
      </c>
      <c r="DG129" s="299">
        <f t="shared" si="129"/>
        <v>0.40137848838516726</v>
      </c>
      <c r="DH129" s="293" t="str">
        <f t="shared" si="130"/>
        <v>Presumption</v>
      </c>
    </row>
    <row r="130" spans="1:112" ht="15" thickTop="1" thickBot="1">
      <c r="A130" s="38" t="s">
        <v>370</v>
      </c>
      <c r="B130" s="38" t="s">
        <v>371</v>
      </c>
      <c r="C130" s="38" t="s">
        <v>370</v>
      </c>
      <c r="D130" s="38" t="s">
        <v>154</v>
      </c>
      <c r="E130" s="38" t="str">
        <f>VLOOKUP(C130,PoliticalControl!A:K,11,FALSE)</f>
        <v>NOC</v>
      </c>
      <c r="F130" s="38" t="str">
        <f>VLOOKUP(C130,UrbanRuralClassification!A:N,13,FALSE)</f>
        <v xml:space="preserve">Largely Rural (rural including hub towns 50-79%) </v>
      </c>
      <c r="G130" s="38" t="str">
        <f>VLOOKUP(C130,UrbanRuralClassification!A:N,14,FALSE)</f>
        <v>Predominantly Rural</v>
      </c>
      <c r="H130" s="258">
        <f>IF(ISBLANK((VLOOKUP($A130,'local-plan-data'!$C$1:$AD$566,27,FALSE)))=TRUE,"",VLOOKUP($A130,'local-plan-data'!$C$1:$AD$566,27,FALSE))</f>
        <v>42293</v>
      </c>
      <c r="I130" s="259">
        <f>VLOOKUP($A130,'local-plan-data'!$C$1:$AD$566,28,FALSE)</f>
        <v>825</v>
      </c>
      <c r="J130" s="260">
        <f t="shared" si="85"/>
        <v>825</v>
      </c>
      <c r="K130" s="259">
        <f t="shared" si="133"/>
        <v>825</v>
      </c>
      <c r="L130" s="259">
        <f t="shared" si="135"/>
        <v>825</v>
      </c>
      <c r="M130" s="259">
        <f t="shared" si="135"/>
        <v>825</v>
      </c>
      <c r="N130" s="259" t="str">
        <f t="shared" si="135"/>
        <v>-</v>
      </c>
      <c r="O130" s="259" t="str">
        <f t="shared" si="135"/>
        <v>-</v>
      </c>
      <c r="P130" s="259" t="str">
        <f t="shared" si="135"/>
        <v>-</v>
      </c>
      <c r="Q130" s="259" t="str">
        <f t="shared" si="135"/>
        <v>-</v>
      </c>
      <c r="R130" s="259" t="str">
        <f t="shared" si="135"/>
        <v>-</v>
      </c>
      <c r="S130" s="259">
        <f t="shared" si="134"/>
        <v>929</v>
      </c>
      <c r="T130" s="259">
        <f t="shared" si="136"/>
        <v>564</v>
      </c>
      <c r="U130" s="259">
        <f t="shared" si="136"/>
        <v>198</v>
      </c>
      <c r="V130" s="259">
        <f t="shared" si="136"/>
        <v>-167</v>
      </c>
      <c r="W130" s="259">
        <f t="shared" si="136"/>
        <v>-532</v>
      </c>
      <c r="X130" s="259">
        <f t="shared" si="136"/>
        <v>-897</v>
      </c>
      <c r="Y130" s="259">
        <f t="shared" si="136"/>
        <v>-1263</v>
      </c>
      <c r="Z130" s="259">
        <f t="shared" si="136"/>
        <v>-1628</v>
      </c>
      <c r="AA130" s="267">
        <f>(VLOOKUP(A130,Hshldprojections2014!$A$2:$AW$319,40, FALSE)-VLOOKUP(A130,Hshldprojections2014!$A$2:$AW$319,30, FALSE))/10</f>
        <v>664.7</v>
      </c>
      <c r="AB130" s="267">
        <f>(VLOOKUP(A130,Hshldprojections2014!$A$2:$AW$319,41, FALSE)-VLOOKUP(A130,Hshldprojections2014!$A$2:$AW$319,31, FALSE))/10</f>
        <v>649.5</v>
      </c>
      <c r="AC130" s="267">
        <f>(VLOOKUP(A130,Hshldprojections2014!$A$2:$AW$319,42, FALSE)-VLOOKUP(A130,Hshldprojections2014!$A$2:$AW$319,32, FALSE))/10</f>
        <v>635.5</v>
      </c>
      <c r="AD130" s="267">
        <f>IF(IndividualLATest!$J$7=2014,(VLOOKUP($A130,Hshldprojections2014!$A$2:$AY$326,43,FALSE)-VLOOKUP($A130,Hshldprojections2014!$A$2:$AY$326,33,FALSE))/10,IF(IndividualLATest!$J$7=2016,(VLOOKUP($A130,Hshldprojections2016!$A$1:$AQ$322,33,FALSE)-VLOOKUP($A130,Hshldprojections2016!$A$1:$AQ$322,23,FALSE))/10,(VLOOKUP($A130,Hshldprojections2018!$A$1:$AQ$327,33,FALSE)-VLOOKUP($A130,Hshldprojections2018!$A$1:$AQ$327,23,FALSE))/10))</f>
        <v>782.1</v>
      </c>
      <c r="AE130" s="267">
        <f>IF(IndividualLATest!$J$7=2014,(VLOOKUP($A130,Hshldprojections2014!$A$2:$AY$326,44,FALSE)-VLOOKUP($A130,Hshldprojections2014!$A$2:$AY$326,34,FALSE))/10,IF(IndividualLATest!$J$7=2016,(VLOOKUP($A130,Hshldprojections2016!$A$1:$AQ$322,34,FALSE)-VLOOKUP($A130,Hshldprojections2016!$A$1:$AQ$322,24,FALSE))/10,(VLOOKUP($A130,Hshldprojections2018!$A$1:$AQ$327,34,FALSE)-VLOOKUP($A130,Hshldprojections2018!$A$1:$AQ$327,24,FALSE))/10))</f>
        <v>763.6</v>
      </c>
      <c r="AF130" s="267">
        <f>IF(IndividualLATest!$J$7=2014,(VLOOKUP($A130,Hshldprojections2014!$A$2:$AY$326,45,FALSE)-VLOOKUP($A130,Hshldprojections2014!$A$2:$AY$326,35,FALSE))/10,IF(IndividualLATest!$J$7=2016,(VLOOKUP($A130,Hshldprojections2016!$A$1:$AQ$322,35,FALSE)-VLOOKUP($A130,Hshldprojections2016!$A$1:$AQ$322,25,FALSE))/10,(VLOOKUP($A130,Hshldprojections2018!$A$1:$AQ$327,35,FALSE)-VLOOKUP($A130,Hshldprojections2018!$A$1:$AQ$327,25,FALSE))/10))</f>
        <v>749</v>
      </c>
      <c r="AG130" s="267">
        <f>IF(IndividualLATest!$J$7=2014,(VLOOKUP($A130,Hshldprojections2014!$A$2:$AY$326,46,FALSE)-VLOOKUP($A130,Hshldprojections2014!$A$2:$AY$326,36,FALSE))/10,IF(IndividualLATest!$J$7=2016,(VLOOKUP($A130,Hshldprojections2016!$A$1:$AQ$322,36,FALSE)-VLOOKUP($A130,Hshldprojections2016!$A$1:$AQ$322,26,FALSE))/10,(VLOOKUP($A130,Hshldprojections2018!$A$1:$AQ$327,36,FALSE)-VLOOKUP($A130,Hshldprojections2018!$A$1:$AQ$327,26,FALSE))/10))</f>
        <v>730.1</v>
      </c>
      <c r="AH130" s="267">
        <f>IF(IndividualLATest!$J$7=2014,(VLOOKUP($A130,Hshldprojections2014!$A$2:$AY$326,47,FALSE)-VLOOKUP($A130,Hshldprojections2014!$A$2:$AY$326,37,FALSE))/10,IF(IndividualLATest!$J$7=2016,(VLOOKUP($A130,Hshldprojections2016!$A$1:$AQ$322,37,FALSE)-VLOOKUP($A130,Hshldprojections2016!$A$1:$AQ$322,27,FALSE))/10,(VLOOKUP($A130,Hshldprojections2018!$A$1:$AQ$327,37,FALSE)-VLOOKUP($A130,Hshldprojections2018!$A$1:$AQ$327,27,FALSE))/10))</f>
        <v>716.6</v>
      </c>
      <c r="AI130" s="268">
        <f>VLOOKUP($A130,AffordabilityRatio!$A$2:$I$321,5,FALSE)</f>
        <v>9.5</v>
      </c>
      <c r="AJ130" s="268">
        <f>VLOOKUP($A130,AffordabilityRatio!$A$2:$I$321,6,FALSE)</f>
        <v>9.81</v>
      </c>
      <c r="AK130" s="268">
        <f>VLOOKUP($A130,AffordabilityRatio!$A$2:$I$321,7,FALSE)</f>
        <v>9.2899999999999991</v>
      </c>
      <c r="AL130" s="268">
        <f>IF((VLOOKUP($A130,AffordabilityRatio!$A$2:$I$321,8,FALSE))="",AK130,VLOOKUP($A130,AffordabilityRatio!$A$2:$I$321,8,FALSE))</f>
        <v>9.0399999999999991</v>
      </c>
      <c r="AM130" s="268">
        <f>IF((VLOOKUP($A130,AffordabilityRatio!$A$2:$I$321,9,FALSE))="",AL130,VLOOKUP($A130,AffordabilityRatio!$A$2:$I$321,9,FALSE))</f>
        <v>10.27</v>
      </c>
      <c r="AN130" s="268">
        <f>IF((VLOOKUP($A130,AffordabilityRatio!$A$2:$I$321,9,FALSE))="",AM130,VLOOKUP($A130,AffordabilityRatio!$A$2:$I$321,9,FALSE))</f>
        <v>10.27</v>
      </c>
      <c r="AO130" s="268">
        <f>IF((VLOOKUP($A130,AffordabilityRatio!$A$2:$I$321,9,FALSE))="",AN130,VLOOKUP($A130,AffordabilityRatio!$A$2:$I$321,9,FALSE))</f>
        <v>10.27</v>
      </c>
      <c r="AP130" s="268">
        <f>IF((VLOOKUP($A130,AffordabilityRatio!$A$2:$I$321,9,FALSE))="",AO130,VLOOKUP($A130,AffordabilityRatio!$A$2:$I$321,9,FALSE))</f>
        <v>10.27</v>
      </c>
      <c r="AQ130" s="267">
        <f t="shared" si="86"/>
        <v>893</v>
      </c>
      <c r="AR130" s="267">
        <f t="shared" si="87"/>
        <v>885</v>
      </c>
      <c r="AS130" s="267">
        <f t="shared" si="88"/>
        <v>846</v>
      </c>
      <c r="AT130" s="267">
        <f t="shared" si="89"/>
        <v>1028</v>
      </c>
      <c r="AU130" s="267">
        <f t="shared" si="90"/>
        <v>1063</v>
      </c>
      <c r="AV130" s="267">
        <f t="shared" si="91"/>
        <v>1043</v>
      </c>
      <c r="AW130" s="267">
        <f t="shared" si="92"/>
        <v>1016</v>
      </c>
      <c r="AX130" s="267">
        <f t="shared" si="93"/>
        <v>997</v>
      </c>
      <c r="AY130" s="267">
        <f t="shared" si="94"/>
        <v>893</v>
      </c>
      <c r="AZ130" s="267">
        <f t="shared" si="95"/>
        <v>885</v>
      </c>
      <c r="BA130" s="267">
        <f t="shared" si="96"/>
        <v>846</v>
      </c>
      <c r="BB130" s="267">
        <f t="shared" si="97"/>
        <v>1028</v>
      </c>
      <c r="BC130" s="267">
        <f t="shared" si="98"/>
        <v>1063</v>
      </c>
      <c r="BD130" s="267">
        <f t="shared" si="99"/>
        <v>1043</v>
      </c>
      <c r="BE130" s="267">
        <f t="shared" si="100"/>
        <v>1016</v>
      </c>
      <c r="BF130" s="267">
        <f t="shared" si="101"/>
        <v>997</v>
      </c>
      <c r="BG130" s="269">
        <f>AY130*VLOOKUP($B130,'Major Cities &amp; Towns'!$A$28:$B$345,2,FALSE)</f>
        <v>893</v>
      </c>
      <c r="BH130" s="269">
        <f>AZ130*VLOOKUP($B130,'Major Cities &amp; Towns'!$A$28:$B$345,2,FALSE)</f>
        <v>885</v>
      </c>
      <c r="BI130" s="269">
        <f>BA130*VLOOKUP($B130,'Major Cities &amp; Towns'!$A$28:$B$345,2,FALSE)</f>
        <v>846</v>
      </c>
      <c r="BJ130" s="269">
        <f>BB130*VLOOKUP($B130,'Major Cities &amp; Towns'!$A$28:$B$345,2,FALSE)</f>
        <v>1028</v>
      </c>
      <c r="BK130" s="269">
        <f>BC130*VLOOKUP($B130,'Major Cities &amp; Towns'!$A$28:$B$345,2,FALSE)</f>
        <v>1063</v>
      </c>
      <c r="BL130" s="269">
        <f>BD130*VLOOKUP($B130,'Major Cities &amp; Towns'!$A$28:$B$345,2,FALSE)</f>
        <v>1043</v>
      </c>
      <c r="BM130" s="269">
        <f>BE130*VLOOKUP($B130,'Major Cities &amp; Towns'!$A$28:$B$345,2,FALSE)</f>
        <v>1016</v>
      </c>
      <c r="BN130" s="269">
        <f>BF130*VLOOKUP($B130,'Major Cities &amp; Towns'!$A$28:$B$345,2,FALSE)</f>
        <v>997</v>
      </c>
      <c r="BO130" s="270">
        <f t="shared" si="102"/>
        <v>825</v>
      </c>
      <c r="BP130" s="270">
        <f t="shared" si="103"/>
        <v>825</v>
      </c>
      <c r="BQ130" s="270">
        <f t="shared" si="104"/>
        <v>834.60821917808221</v>
      </c>
      <c r="BR130" s="270">
        <f t="shared" si="105"/>
        <v>1028</v>
      </c>
      <c r="BS130" s="270">
        <f t="shared" si="106"/>
        <v>1063</v>
      </c>
      <c r="BT130" s="270">
        <f t="shared" si="107"/>
        <v>1043</v>
      </c>
      <c r="BU130" s="270">
        <f t="shared" si="108"/>
        <v>1016</v>
      </c>
      <c r="BV130" s="270">
        <f t="shared" si="109"/>
        <v>997</v>
      </c>
      <c r="BW130" s="39">
        <f>VLOOKUP($A130,NetAdditions!$A$2:$H$336,6,FALSE)</f>
        <v>668</v>
      </c>
      <c r="BX130" s="39">
        <f>VLOOKUP($A130,NetAdditions!$A$2:$H$336,7,FALSE)</f>
        <v>907</v>
      </c>
      <c r="BY130" s="39">
        <f>IF((VLOOKUP($C130,NetAdditions!$A$2:$H$336,8,FALSE))="",(AVERAGE(VLOOKUP($C130,NetAdditions!$A$2:$H$336,5,FALSE),VLOOKUP($C130,NetAdditions!$A$2:$H$336,6,FALSE),VLOOKUP($C130,NetAdditions!$A$2:$H$336,7,FALSE))),VLOOKUP($C130,NetAdditions!$A$2:$H$336,8,FALSE))</f>
        <v>645</v>
      </c>
      <c r="BZ130" s="39">
        <f t="shared" si="110"/>
        <v>740</v>
      </c>
      <c r="CA130" s="39">
        <f t="shared" si="111"/>
        <v>764</v>
      </c>
      <c r="CB130" s="39">
        <f t="shared" si="112"/>
        <v>716.33333333333337</v>
      </c>
      <c r="CC130" s="39">
        <f t="shared" si="113"/>
        <v>740.1111111111112</v>
      </c>
      <c r="CD130" s="39">
        <f t="shared" si="114"/>
        <v>740.14814814814827</v>
      </c>
      <c r="CE130" s="276">
        <f t="shared" si="71"/>
        <v>2484.6082191780824</v>
      </c>
      <c r="CF130" s="276">
        <f t="shared" si="72"/>
        <v>2687.6082191780824</v>
      </c>
      <c r="CG130" s="276">
        <f t="shared" si="73"/>
        <v>2925.6082191780824</v>
      </c>
      <c r="CH130" s="276">
        <f t="shared" si="74"/>
        <v>3134</v>
      </c>
      <c r="CI130" s="276">
        <f t="shared" si="75"/>
        <v>3122</v>
      </c>
      <c r="CJ130" s="276">
        <f t="shared" si="76"/>
        <v>3056</v>
      </c>
      <c r="CK130" s="276">
        <f t="shared" si="115"/>
        <v>2139.5237442922376</v>
      </c>
      <c r="CL130" s="276">
        <f t="shared" si="116"/>
        <v>2314.3292998477932</v>
      </c>
      <c r="CM130" s="276">
        <f t="shared" si="117"/>
        <v>2681.8075342465754</v>
      </c>
      <c r="CN130" s="276">
        <f t="shared" si="118"/>
        <v>3134</v>
      </c>
      <c r="CO130" s="276">
        <f t="shared" si="119"/>
        <v>3122</v>
      </c>
      <c r="CP130" s="276">
        <f t="shared" si="120"/>
        <v>3056</v>
      </c>
      <c r="CQ130" s="39">
        <f t="shared" si="77"/>
        <v>2220</v>
      </c>
      <c r="CR130" s="39">
        <f t="shared" si="78"/>
        <v>2292</v>
      </c>
      <c r="CS130" s="277">
        <f t="shared" si="79"/>
        <v>2149</v>
      </c>
      <c r="CT130" s="39">
        <f t="shared" si="80"/>
        <v>2220.3333333333335</v>
      </c>
      <c r="CU130" s="39">
        <f t="shared" si="81"/>
        <v>2220.4444444444448</v>
      </c>
      <c r="CV130" s="39">
        <f t="shared" si="121"/>
        <v>2196.5925925925931</v>
      </c>
      <c r="CW130" s="297">
        <f t="shared" si="82"/>
        <v>1.0376140979610322</v>
      </c>
      <c r="CX130" s="279" t="str">
        <f t="shared" si="122"/>
        <v>Pass</v>
      </c>
      <c r="CY130" s="278">
        <f t="shared" si="83"/>
        <v>0.99035171881146655</v>
      </c>
      <c r="CZ130" s="279" t="str">
        <f t="shared" si="123"/>
        <v>Pass</v>
      </c>
      <c r="DA130" s="278">
        <f t="shared" si="84"/>
        <v>0.80132521538453283</v>
      </c>
      <c r="DB130" s="292" t="str">
        <f t="shared" si="124"/>
        <v>Buffer and Action Plan</v>
      </c>
      <c r="DC130" s="299">
        <f t="shared" si="125"/>
        <v>0.70846628376941079</v>
      </c>
      <c r="DD130" s="293" t="str">
        <f t="shared" si="126"/>
        <v>Presumption</v>
      </c>
      <c r="DE130" s="299">
        <f t="shared" si="127"/>
        <v>0.71122499822051399</v>
      </c>
      <c r="DF130" s="293" t="str">
        <f t="shared" si="128"/>
        <v>Presumption</v>
      </c>
      <c r="DG130" s="299">
        <f t="shared" si="129"/>
        <v>0.71878029862323067</v>
      </c>
      <c r="DH130" s="293" t="str">
        <f t="shared" si="130"/>
        <v>Presumption</v>
      </c>
    </row>
    <row r="131" spans="1:112" ht="15" thickTop="1" thickBot="1">
      <c r="A131" s="38" t="s">
        <v>372</v>
      </c>
      <c r="B131" s="38" t="s">
        <v>373</v>
      </c>
      <c r="C131" s="38" t="s">
        <v>372</v>
      </c>
      <c r="D131" s="38" t="s">
        <v>128</v>
      </c>
      <c r="E131" s="38" t="str">
        <f>VLOOKUP(C131,PoliticalControl!A:K,11,FALSE)</f>
        <v>CON</v>
      </c>
      <c r="F131" s="38" t="str">
        <f>VLOOKUP(C131,UrbanRuralClassification!A:N,13,FALSE)</f>
        <v>Urban with Major Conurbation</v>
      </c>
      <c r="G131" s="38" t="str">
        <f>VLOOKUP(C131,UrbanRuralClassification!A:N,14,FALSE)</f>
        <v>Predominantly Urban</v>
      </c>
      <c r="H131" s="258">
        <f>IF(ISBLANK((VLOOKUP($A131,'local-plan-data'!$C$1:$AD$566,27,FALSE)))=TRUE,"",VLOOKUP($A131,'local-plan-data'!$C$1:$AD$566,27,FALSE))</f>
        <v>41290</v>
      </c>
      <c r="I131" s="259">
        <f>VLOOKUP($A131,'local-plan-data'!$C$1:$AD$566,28,FALSE)</f>
        <v>266</v>
      </c>
      <c r="J131" s="260">
        <f t="shared" si="85"/>
        <v>266</v>
      </c>
      <c r="K131" s="259" t="str">
        <f t="shared" si="133"/>
        <v>-</v>
      </c>
      <c r="L131" s="259" t="str">
        <f t="shared" si="135"/>
        <v>-</v>
      </c>
      <c r="M131" s="259" t="str">
        <f t="shared" si="135"/>
        <v>-</v>
      </c>
      <c r="N131" s="259" t="str">
        <f t="shared" si="135"/>
        <v>-</v>
      </c>
      <c r="O131" s="259" t="str">
        <f t="shared" si="135"/>
        <v>-</v>
      </c>
      <c r="P131" s="259" t="str">
        <f t="shared" si="135"/>
        <v>-</v>
      </c>
      <c r="Q131" s="259" t="str">
        <f t="shared" si="135"/>
        <v>-</v>
      </c>
      <c r="R131" s="259" t="str">
        <f t="shared" si="135"/>
        <v>-</v>
      </c>
      <c r="S131" s="259">
        <f t="shared" si="134"/>
        <v>-75</v>
      </c>
      <c r="T131" s="259">
        <f t="shared" si="136"/>
        <v>-440</v>
      </c>
      <c r="U131" s="259">
        <f t="shared" si="136"/>
        <v>-806</v>
      </c>
      <c r="V131" s="259">
        <f t="shared" si="136"/>
        <v>-1171</v>
      </c>
      <c r="W131" s="259">
        <f t="shared" si="136"/>
        <v>-1536</v>
      </c>
      <c r="X131" s="259">
        <f t="shared" si="136"/>
        <v>-1901</v>
      </c>
      <c r="Y131" s="259">
        <f t="shared" si="136"/>
        <v>-2267</v>
      </c>
      <c r="Z131" s="259">
        <f t="shared" si="136"/>
        <v>-2632</v>
      </c>
      <c r="AA131" s="267">
        <f>(VLOOKUP(A131,Hshldprojections2014!$A$2:$AW$319,40, FALSE)-VLOOKUP(A131,Hshldprojections2014!$A$2:$AW$319,30, FALSE))/10</f>
        <v>510</v>
      </c>
      <c r="AB131" s="267">
        <f>(VLOOKUP(A131,Hshldprojections2014!$A$2:$AW$319,41, FALSE)-VLOOKUP(A131,Hshldprojections2014!$A$2:$AW$319,31, FALSE))/10</f>
        <v>510.1</v>
      </c>
      <c r="AC131" s="267">
        <f>(VLOOKUP(A131,Hshldprojections2014!$A$2:$AW$319,42, FALSE)-VLOOKUP(A131,Hshldprojections2014!$A$2:$AW$319,32, FALSE))/10</f>
        <v>511.7</v>
      </c>
      <c r="AD131" s="267">
        <f>IF(IndividualLATest!$J$7=2014,(VLOOKUP($A131,Hshldprojections2014!$A$2:$AY$326,43,FALSE)-VLOOKUP($A131,Hshldprojections2014!$A$2:$AY$326,33,FALSE))/10,IF(IndividualLATest!$J$7=2016,(VLOOKUP($A131,Hshldprojections2016!$A$1:$AQ$322,33,FALSE)-VLOOKUP($A131,Hshldprojections2016!$A$1:$AQ$322,23,FALSE))/10,(VLOOKUP($A131,Hshldprojections2018!$A$1:$AQ$327,33,FALSE)-VLOOKUP($A131,Hshldprojections2018!$A$1:$AQ$327,23,FALSE))/10))</f>
        <v>206.2</v>
      </c>
      <c r="AE131" s="267">
        <f>IF(IndividualLATest!$J$7=2014,(VLOOKUP($A131,Hshldprojections2014!$A$2:$AY$326,44,FALSE)-VLOOKUP($A131,Hshldprojections2014!$A$2:$AY$326,34,FALSE))/10,IF(IndividualLATest!$J$7=2016,(VLOOKUP($A131,Hshldprojections2016!$A$1:$AQ$322,34,FALSE)-VLOOKUP($A131,Hshldprojections2016!$A$1:$AQ$322,24,FALSE))/10,(VLOOKUP($A131,Hshldprojections2018!$A$1:$AQ$327,34,FALSE)-VLOOKUP($A131,Hshldprojections2018!$A$1:$AQ$327,24,FALSE))/10))</f>
        <v>205.6</v>
      </c>
      <c r="AF131" s="267">
        <f>IF(IndividualLATest!$J$7=2014,(VLOOKUP($A131,Hshldprojections2014!$A$2:$AY$326,45,FALSE)-VLOOKUP($A131,Hshldprojections2014!$A$2:$AY$326,35,FALSE))/10,IF(IndividualLATest!$J$7=2016,(VLOOKUP($A131,Hshldprojections2016!$A$1:$AQ$322,35,FALSE)-VLOOKUP($A131,Hshldprojections2016!$A$1:$AQ$322,25,FALSE))/10,(VLOOKUP($A131,Hshldprojections2018!$A$1:$AQ$327,35,FALSE)-VLOOKUP($A131,Hshldprojections2018!$A$1:$AQ$327,25,FALSE))/10))</f>
        <v>203.3</v>
      </c>
      <c r="AG131" s="267">
        <f>IF(IndividualLATest!$J$7=2014,(VLOOKUP($A131,Hshldprojections2014!$A$2:$AY$326,46,FALSE)-VLOOKUP($A131,Hshldprojections2014!$A$2:$AY$326,36,FALSE))/10,IF(IndividualLATest!$J$7=2016,(VLOOKUP($A131,Hshldprojections2016!$A$1:$AQ$322,36,FALSE)-VLOOKUP($A131,Hshldprojections2016!$A$1:$AQ$322,26,FALSE))/10,(VLOOKUP($A131,Hshldprojections2018!$A$1:$AQ$327,36,FALSE)-VLOOKUP($A131,Hshldprojections2018!$A$1:$AQ$327,26,FALSE))/10))</f>
        <v>201.9</v>
      </c>
      <c r="AH131" s="267">
        <f>IF(IndividualLATest!$J$7=2014,(VLOOKUP($A131,Hshldprojections2014!$A$2:$AY$326,47,FALSE)-VLOOKUP($A131,Hshldprojections2014!$A$2:$AY$326,37,FALSE))/10,IF(IndividualLATest!$J$7=2016,(VLOOKUP($A131,Hshldprojections2016!$A$1:$AQ$322,37,FALSE)-VLOOKUP($A131,Hshldprojections2016!$A$1:$AQ$322,27,FALSE))/10,(VLOOKUP($A131,Hshldprojections2018!$A$1:$AQ$327,37,FALSE)-VLOOKUP($A131,Hshldprojections2018!$A$1:$AQ$327,27,FALSE))/10))</f>
        <v>202.4</v>
      </c>
      <c r="AI131" s="268">
        <f>VLOOKUP($A131,AffordabilityRatio!$A$2:$I$321,5,FALSE)</f>
        <v>14.21</v>
      </c>
      <c r="AJ131" s="268">
        <f>VLOOKUP($A131,AffordabilityRatio!$A$2:$I$321,6,FALSE)</f>
        <v>14.26</v>
      </c>
      <c r="AK131" s="268">
        <f>VLOOKUP($A131,AffordabilityRatio!$A$2:$I$321,7,FALSE)</f>
        <v>13.9</v>
      </c>
      <c r="AL131" s="268">
        <f>IF((VLOOKUP($A131,AffordabilityRatio!$A$2:$I$321,8,FALSE))="",AK131,VLOOKUP($A131,AffordabilityRatio!$A$2:$I$321,8,FALSE))</f>
        <v>14.9</v>
      </c>
      <c r="AM131" s="268">
        <f>IF((VLOOKUP($A131,AffordabilityRatio!$A$2:$I$321,9,FALSE))="",AL131,VLOOKUP($A131,AffordabilityRatio!$A$2:$I$321,9,FALSE))</f>
        <v>15.51</v>
      </c>
      <c r="AN131" s="268">
        <f>IF((VLOOKUP($A131,AffordabilityRatio!$A$2:$I$321,9,FALSE))="",AM131,VLOOKUP($A131,AffordabilityRatio!$A$2:$I$321,9,FALSE))</f>
        <v>15.51</v>
      </c>
      <c r="AO131" s="268">
        <f>IF((VLOOKUP($A131,AffordabilityRatio!$A$2:$I$321,9,FALSE))="",AN131,VLOOKUP($A131,AffordabilityRatio!$A$2:$I$321,9,FALSE))</f>
        <v>15.51</v>
      </c>
      <c r="AP131" s="268">
        <f>IF((VLOOKUP($A131,AffordabilityRatio!$A$2:$I$321,9,FALSE))="",AO131,VLOOKUP($A131,AffordabilityRatio!$A$2:$I$321,9,FALSE))</f>
        <v>15.51</v>
      </c>
      <c r="AQ131" s="267">
        <f t="shared" si="86"/>
        <v>835</v>
      </c>
      <c r="AR131" s="267">
        <f t="shared" si="87"/>
        <v>837</v>
      </c>
      <c r="AS131" s="267">
        <f t="shared" si="88"/>
        <v>828</v>
      </c>
      <c r="AT131" s="267">
        <f t="shared" si="89"/>
        <v>347</v>
      </c>
      <c r="AU131" s="267">
        <f t="shared" si="90"/>
        <v>354</v>
      </c>
      <c r="AV131" s="267">
        <f t="shared" si="91"/>
        <v>350</v>
      </c>
      <c r="AW131" s="267">
        <f t="shared" si="92"/>
        <v>347</v>
      </c>
      <c r="AX131" s="267">
        <f t="shared" si="93"/>
        <v>348</v>
      </c>
      <c r="AY131" s="267">
        <f t="shared" si="94"/>
        <v>714</v>
      </c>
      <c r="AZ131" s="267">
        <f t="shared" si="95"/>
        <v>714.1400000000001</v>
      </c>
      <c r="BA131" s="267">
        <f t="shared" si="96"/>
        <v>716.38</v>
      </c>
      <c r="BB131" s="267">
        <f t="shared" si="97"/>
        <v>347</v>
      </c>
      <c r="BC131" s="267">
        <f t="shared" si="98"/>
        <v>354</v>
      </c>
      <c r="BD131" s="267">
        <f t="shared" si="99"/>
        <v>350</v>
      </c>
      <c r="BE131" s="267">
        <f t="shared" si="100"/>
        <v>347</v>
      </c>
      <c r="BF131" s="267">
        <f t="shared" si="101"/>
        <v>348</v>
      </c>
      <c r="BG131" s="269">
        <f>AY131*VLOOKUP($B131,'Major Cities &amp; Towns'!$A$28:$B$345,2,FALSE)</f>
        <v>714</v>
      </c>
      <c r="BH131" s="269">
        <f>AZ131*VLOOKUP($B131,'Major Cities &amp; Towns'!$A$28:$B$345,2,FALSE)</f>
        <v>714.1400000000001</v>
      </c>
      <c r="BI131" s="269">
        <f>BA131*VLOOKUP($B131,'Major Cities &amp; Towns'!$A$28:$B$345,2,FALSE)</f>
        <v>716.38</v>
      </c>
      <c r="BJ131" s="269">
        <f>BB131*VLOOKUP($B131,'Major Cities &amp; Towns'!$A$28:$B$345,2,FALSE)</f>
        <v>347</v>
      </c>
      <c r="BK131" s="269">
        <f>BC131*VLOOKUP($B131,'Major Cities &amp; Towns'!$A$28:$B$345,2,FALSE)</f>
        <v>354</v>
      </c>
      <c r="BL131" s="269">
        <f>BD131*VLOOKUP($B131,'Major Cities &amp; Towns'!$A$28:$B$345,2,FALSE)</f>
        <v>350</v>
      </c>
      <c r="BM131" s="269">
        <f>BE131*VLOOKUP($B131,'Major Cities &amp; Towns'!$A$28:$B$345,2,FALSE)</f>
        <v>347</v>
      </c>
      <c r="BN131" s="269">
        <f>BF131*VLOOKUP($B131,'Major Cities &amp; Towns'!$A$28:$B$345,2,FALSE)</f>
        <v>348</v>
      </c>
      <c r="BO131" s="270">
        <f t="shared" si="102"/>
        <v>835</v>
      </c>
      <c r="BP131" s="270">
        <f t="shared" si="103"/>
        <v>837</v>
      </c>
      <c r="BQ131" s="270">
        <f t="shared" si="104"/>
        <v>828</v>
      </c>
      <c r="BR131" s="270">
        <f t="shared" si="105"/>
        <v>347</v>
      </c>
      <c r="BS131" s="270">
        <f t="shared" si="106"/>
        <v>354</v>
      </c>
      <c r="BT131" s="270">
        <f t="shared" si="107"/>
        <v>350</v>
      </c>
      <c r="BU131" s="270">
        <f t="shared" si="108"/>
        <v>347</v>
      </c>
      <c r="BV131" s="270">
        <f t="shared" si="109"/>
        <v>348</v>
      </c>
      <c r="BW131" s="39">
        <f>VLOOKUP($A131,NetAdditions!$A$2:$H$336,6,FALSE)</f>
        <v>630</v>
      </c>
      <c r="BX131" s="39">
        <f>VLOOKUP($A131,NetAdditions!$A$2:$H$336,7,FALSE)</f>
        <v>515</v>
      </c>
      <c r="BY131" s="39">
        <f>IF((VLOOKUP($C131,NetAdditions!$A$2:$H$336,8,FALSE))="",(AVERAGE(VLOOKUP($C131,NetAdditions!$A$2:$H$336,5,FALSE),VLOOKUP($C131,NetAdditions!$A$2:$H$336,6,FALSE),VLOOKUP($C131,NetAdditions!$A$2:$H$336,7,FALSE))),VLOOKUP($C131,NetAdditions!$A$2:$H$336,8,FALSE))</f>
        <v>456</v>
      </c>
      <c r="BZ131" s="39">
        <f t="shared" si="110"/>
        <v>533.66666666666663</v>
      </c>
      <c r="CA131" s="39">
        <f t="shared" si="111"/>
        <v>501.55555555555549</v>
      </c>
      <c r="CB131" s="39">
        <f t="shared" si="112"/>
        <v>497.07407407407408</v>
      </c>
      <c r="CC131" s="39">
        <f t="shared" si="113"/>
        <v>510.76543209876542</v>
      </c>
      <c r="CD131" s="39">
        <f t="shared" si="114"/>
        <v>503.13168724279831</v>
      </c>
      <c r="CE131" s="276">
        <f t="shared" si="71"/>
        <v>2500</v>
      </c>
      <c r="CF131" s="276">
        <f t="shared" si="72"/>
        <v>2012</v>
      </c>
      <c r="CG131" s="276">
        <f t="shared" si="73"/>
        <v>1529</v>
      </c>
      <c r="CH131" s="276">
        <f t="shared" si="74"/>
        <v>1051</v>
      </c>
      <c r="CI131" s="276">
        <f t="shared" si="75"/>
        <v>1051</v>
      </c>
      <c r="CJ131" s="276">
        <f t="shared" si="76"/>
        <v>1045</v>
      </c>
      <c r="CK131" s="276">
        <f t="shared" si="115"/>
        <v>2152.7777777777778</v>
      </c>
      <c r="CL131" s="276">
        <f t="shared" si="116"/>
        <v>1732.5555555555557</v>
      </c>
      <c r="CM131" s="276">
        <f t="shared" si="117"/>
        <v>1401.5833333333333</v>
      </c>
      <c r="CN131" s="276">
        <f t="shared" si="118"/>
        <v>1051</v>
      </c>
      <c r="CO131" s="276">
        <f t="shared" si="119"/>
        <v>1051</v>
      </c>
      <c r="CP131" s="276">
        <f t="shared" si="120"/>
        <v>1045</v>
      </c>
      <c r="CQ131" s="39">
        <f t="shared" si="77"/>
        <v>1601</v>
      </c>
      <c r="CR131" s="39">
        <f t="shared" si="78"/>
        <v>1504.6666666666665</v>
      </c>
      <c r="CS131" s="277">
        <f t="shared" si="79"/>
        <v>1491.2222222222222</v>
      </c>
      <c r="CT131" s="39">
        <f t="shared" si="80"/>
        <v>1532.2962962962963</v>
      </c>
      <c r="CU131" s="39">
        <f t="shared" si="81"/>
        <v>1509.3950617283949</v>
      </c>
      <c r="CV131" s="39">
        <f t="shared" si="121"/>
        <v>1510.9711934156378</v>
      </c>
      <c r="CW131" s="297">
        <f t="shared" si="82"/>
        <v>0.74369032258064516</v>
      </c>
      <c r="CX131" s="279" t="str">
        <f t="shared" si="122"/>
        <v>Buffer and Action Plan</v>
      </c>
      <c r="CY131" s="278">
        <f t="shared" si="83"/>
        <v>0.86846661963701643</v>
      </c>
      <c r="CZ131" s="279" t="str">
        <f t="shared" si="123"/>
        <v>Action Plan</v>
      </c>
      <c r="DA131" s="278">
        <f t="shared" si="84"/>
        <v>1.0639554472124779</v>
      </c>
      <c r="DB131" s="292" t="str">
        <f t="shared" si="124"/>
        <v>Pass</v>
      </c>
      <c r="DC131" s="299">
        <f t="shared" si="125"/>
        <v>1.4579412904817282</v>
      </c>
      <c r="DD131" s="293" t="str">
        <f t="shared" si="126"/>
        <v>Pass</v>
      </c>
      <c r="DE131" s="299">
        <f t="shared" si="127"/>
        <v>1.4361513432239723</v>
      </c>
      <c r="DF131" s="293" t="str">
        <f t="shared" si="128"/>
        <v>Pass</v>
      </c>
      <c r="DG131" s="299">
        <f t="shared" si="129"/>
        <v>1.4459054482446294</v>
      </c>
      <c r="DH131" s="293" t="str">
        <f t="shared" si="130"/>
        <v>Pass</v>
      </c>
    </row>
    <row r="132" spans="1:112" ht="15" thickTop="1" thickBot="1">
      <c r="A132" s="38" t="s">
        <v>374</v>
      </c>
      <c r="B132" s="38" t="s">
        <v>375</v>
      </c>
      <c r="C132" s="38" t="s">
        <v>374</v>
      </c>
      <c r="D132" s="38" t="s">
        <v>119</v>
      </c>
      <c r="E132" s="38" t="str">
        <f>VLOOKUP(C132,PoliticalControl!A:K,11,FALSE)</f>
        <v>LAB</v>
      </c>
      <c r="F132" s="38" t="str">
        <f>VLOOKUP(C132,UrbanRuralClassification!A:N,13,FALSE)</f>
        <v xml:space="preserve">Largely Rural (rural including hub towns 50-79%) </v>
      </c>
      <c r="G132" s="38" t="str">
        <f>VLOOKUP(C132,UrbanRuralClassification!A:N,14,FALSE)</f>
        <v>Predominantly Rural</v>
      </c>
      <c r="H132" s="258">
        <f>IF(ISBLANK((VLOOKUP($A132,'local-plan-data'!$C$1:$AD$566,27,FALSE)))=TRUE,"",VLOOKUP($A132,'local-plan-data'!$C$1:$AD$566,27,FALSE))</f>
        <v>42474</v>
      </c>
      <c r="I132" s="259">
        <f>VLOOKUP($A132,'local-plan-data'!$C$1:$AD$566,28,FALSE)</f>
        <v>344.5</v>
      </c>
      <c r="J132" s="260">
        <f t="shared" si="85"/>
        <v>344.5</v>
      </c>
      <c r="K132" s="259">
        <f t="shared" si="133"/>
        <v>344.5</v>
      </c>
      <c r="L132" s="259">
        <f t="shared" si="135"/>
        <v>344.5</v>
      </c>
      <c r="M132" s="259">
        <f t="shared" si="135"/>
        <v>344.5</v>
      </c>
      <c r="N132" s="259">
        <f t="shared" si="135"/>
        <v>344.5</v>
      </c>
      <c r="O132" s="259" t="str">
        <f t="shared" si="135"/>
        <v>-</v>
      </c>
      <c r="P132" s="259" t="str">
        <f t="shared" si="135"/>
        <v>-</v>
      </c>
      <c r="Q132" s="259" t="str">
        <f t="shared" si="135"/>
        <v>-</v>
      </c>
      <c r="R132" s="259" t="str">
        <f t="shared" si="135"/>
        <v>-</v>
      </c>
      <c r="S132" s="259">
        <f t="shared" si="134"/>
        <v>1109</v>
      </c>
      <c r="T132" s="259">
        <f t="shared" si="136"/>
        <v>744</v>
      </c>
      <c r="U132" s="259">
        <f t="shared" si="136"/>
        <v>378</v>
      </c>
      <c r="V132" s="259">
        <f t="shared" si="136"/>
        <v>13</v>
      </c>
      <c r="W132" s="259">
        <f t="shared" si="136"/>
        <v>-352</v>
      </c>
      <c r="X132" s="259">
        <f t="shared" si="136"/>
        <v>-717</v>
      </c>
      <c r="Y132" s="259">
        <f t="shared" si="136"/>
        <v>-1083</v>
      </c>
      <c r="Z132" s="259">
        <f t="shared" si="136"/>
        <v>-1448</v>
      </c>
      <c r="AA132" s="267">
        <f>(VLOOKUP(A132,Hshldprojections2014!$A$2:$AW$319,40, FALSE)-VLOOKUP(A132,Hshldprojections2014!$A$2:$AW$319,30, FALSE))/10</f>
        <v>226.5</v>
      </c>
      <c r="AB132" s="267">
        <f>(VLOOKUP(A132,Hshldprojections2014!$A$2:$AW$319,41, FALSE)-VLOOKUP(A132,Hshldprojections2014!$A$2:$AW$319,31, FALSE))/10</f>
        <v>221.2</v>
      </c>
      <c r="AC132" s="267">
        <f>(VLOOKUP(A132,Hshldprojections2014!$A$2:$AW$319,42, FALSE)-VLOOKUP(A132,Hshldprojections2014!$A$2:$AW$319,32, FALSE))/10</f>
        <v>216.3</v>
      </c>
      <c r="AD132" s="267">
        <f>IF(IndividualLATest!$J$7=2014,(VLOOKUP($A132,Hshldprojections2014!$A$2:$AY$326,43,FALSE)-VLOOKUP($A132,Hshldprojections2014!$A$2:$AY$326,33,FALSE))/10,IF(IndividualLATest!$J$7=2016,(VLOOKUP($A132,Hshldprojections2016!$A$1:$AQ$322,33,FALSE)-VLOOKUP($A132,Hshldprojections2016!$A$1:$AQ$322,23,FALSE))/10,(VLOOKUP($A132,Hshldprojections2018!$A$1:$AQ$327,33,FALSE)-VLOOKUP($A132,Hshldprojections2018!$A$1:$AQ$327,23,FALSE))/10))</f>
        <v>255.2</v>
      </c>
      <c r="AE132" s="267">
        <f>IF(IndividualLATest!$J$7=2014,(VLOOKUP($A132,Hshldprojections2014!$A$2:$AY$326,44,FALSE)-VLOOKUP($A132,Hshldprojections2014!$A$2:$AY$326,34,FALSE))/10,IF(IndividualLATest!$J$7=2016,(VLOOKUP($A132,Hshldprojections2016!$A$1:$AQ$322,34,FALSE)-VLOOKUP($A132,Hshldprojections2016!$A$1:$AQ$322,24,FALSE))/10,(VLOOKUP($A132,Hshldprojections2018!$A$1:$AQ$327,34,FALSE)-VLOOKUP($A132,Hshldprojections2018!$A$1:$AQ$327,24,FALSE))/10))</f>
        <v>246.8</v>
      </c>
      <c r="AF132" s="267">
        <f>IF(IndividualLATest!$J$7=2014,(VLOOKUP($A132,Hshldprojections2014!$A$2:$AY$326,45,FALSE)-VLOOKUP($A132,Hshldprojections2014!$A$2:$AY$326,35,FALSE))/10,IF(IndividualLATest!$J$7=2016,(VLOOKUP($A132,Hshldprojections2016!$A$1:$AQ$322,35,FALSE)-VLOOKUP($A132,Hshldprojections2016!$A$1:$AQ$322,25,FALSE))/10,(VLOOKUP($A132,Hshldprojections2018!$A$1:$AQ$327,35,FALSE)-VLOOKUP($A132,Hshldprojections2018!$A$1:$AQ$327,25,FALSE))/10))</f>
        <v>238.9</v>
      </c>
      <c r="AG132" s="267">
        <f>IF(IndividualLATest!$J$7=2014,(VLOOKUP($A132,Hshldprojections2014!$A$2:$AY$326,46,FALSE)-VLOOKUP($A132,Hshldprojections2014!$A$2:$AY$326,36,FALSE))/10,IF(IndividualLATest!$J$7=2016,(VLOOKUP($A132,Hshldprojections2016!$A$1:$AQ$322,36,FALSE)-VLOOKUP($A132,Hshldprojections2016!$A$1:$AQ$322,26,FALSE))/10,(VLOOKUP($A132,Hshldprojections2018!$A$1:$AQ$327,36,FALSE)-VLOOKUP($A132,Hshldprojections2018!$A$1:$AQ$327,26,FALSE))/10))</f>
        <v>231.9</v>
      </c>
      <c r="AH132" s="267">
        <f>IF(IndividualLATest!$J$7=2014,(VLOOKUP($A132,Hshldprojections2014!$A$2:$AY$326,47,FALSE)-VLOOKUP($A132,Hshldprojections2014!$A$2:$AY$326,37,FALSE))/10,IF(IndividualLATest!$J$7=2016,(VLOOKUP($A132,Hshldprojections2016!$A$1:$AQ$322,37,FALSE)-VLOOKUP($A132,Hshldprojections2016!$A$1:$AQ$322,27,FALSE))/10,(VLOOKUP($A132,Hshldprojections2018!$A$1:$AQ$327,37,FALSE)-VLOOKUP($A132,Hshldprojections2018!$A$1:$AQ$327,27,FALSE))/10))</f>
        <v>227.9</v>
      </c>
      <c r="AI132" s="268">
        <f>VLOOKUP($A132,AffordabilityRatio!$A$2:$I$321,5,FALSE)</f>
        <v>7.28</v>
      </c>
      <c r="AJ132" s="268">
        <f>VLOOKUP($A132,AffordabilityRatio!$A$2:$I$321,6,FALSE)</f>
        <v>7.76</v>
      </c>
      <c r="AK132" s="268">
        <f>VLOOKUP($A132,AffordabilityRatio!$A$2:$I$321,7,FALSE)</f>
        <v>7.46</v>
      </c>
      <c r="AL132" s="268">
        <f>IF((VLOOKUP($A132,AffordabilityRatio!$A$2:$I$321,8,FALSE))="",AK132,VLOOKUP($A132,AffordabilityRatio!$A$2:$I$321,8,FALSE))</f>
        <v>7.29</v>
      </c>
      <c r="AM132" s="268">
        <f>IF((VLOOKUP($A132,AffordabilityRatio!$A$2:$I$321,9,FALSE))="",AL132,VLOOKUP($A132,AffordabilityRatio!$A$2:$I$321,9,FALSE))</f>
        <v>8.24</v>
      </c>
      <c r="AN132" s="268">
        <f>IF((VLOOKUP($A132,AffordabilityRatio!$A$2:$I$321,9,FALSE))="",AM132,VLOOKUP($A132,AffordabilityRatio!$A$2:$I$321,9,FALSE))</f>
        <v>8.24</v>
      </c>
      <c r="AO132" s="268">
        <f>IF((VLOOKUP($A132,AffordabilityRatio!$A$2:$I$321,9,FALSE))="",AN132,VLOOKUP($A132,AffordabilityRatio!$A$2:$I$321,9,FALSE))</f>
        <v>8.24</v>
      </c>
      <c r="AP132" s="268">
        <f>IF((VLOOKUP($A132,AffordabilityRatio!$A$2:$I$321,9,FALSE))="",AO132,VLOOKUP($A132,AffordabilityRatio!$A$2:$I$321,9,FALSE))</f>
        <v>8.24</v>
      </c>
      <c r="AQ132" s="267">
        <f t="shared" si="86"/>
        <v>273</v>
      </c>
      <c r="AR132" s="267">
        <f t="shared" si="87"/>
        <v>273</v>
      </c>
      <c r="AS132" s="267">
        <f t="shared" si="88"/>
        <v>263</v>
      </c>
      <c r="AT132" s="267">
        <f t="shared" si="89"/>
        <v>308</v>
      </c>
      <c r="AU132" s="267">
        <f t="shared" si="90"/>
        <v>312</v>
      </c>
      <c r="AV132" s="267">
        <f t="shared" si="91"/>
        <v>302</v>
      </c>
      <c r="AW132" s="267">
        <f t="shared" si="92"/>
        <v>293</v>
      </c>
      <c r="AX132" s="267">
        <f t="shared" si="93"/>
        <v>288</v>
      </c>
      <c r="AY132" s="267">
        <f t="shared" si="94"/>
        <v>273</v>
      </c>
      <c r="AZ132" s="267">
        <f t="shared" si="95"/>
        <v>273</v>
      </c>
      <c r="BA132" s="267">
        <f t="shared" si="96"/>
        <v>263</v>
      </c>
      <c r="BB132" s="267">
        <f t="shared" si="97"/>
        <v>308</v>
      </c>
      <c r="BC132" s="267">
        <f t="shared" si="98"/>
        <v>312</v>
      </c>
      <c r="BD132" s="267">
        <f t="shared" si="99"/>
        <v>302</v>
      </c>
      <c r="BE132" s="267">
        <f t="shared" si="100"/>
        <v>293</v>
      </c>
      <c r="BF132" s="267">
        <f t="shared" si="101"/>
        <v>288</v>
      </c>
      <c r="BG132" s="269">
        <f>AY132*VLOOKUP($B132,'Major Cities &amp; Towns'!$A$28:$B$345,2,FALSE)</f>
        <v>273</v>
      </c>
      <c r="BH132" s="269">
        <f>AZ132*VLOOKUP($B132,'Major Cities &amp; Towns'!$A$28:$B$345,2,FALSE)</f>
        <v>273</v>
      </c>
      <c r="BI132" s="269">
        <f>BA132*VLOOKUP($B132,'Major Cities &amp; Towns'!$A$28:$B$345,2,FALSE)</f>
        <v>263</v>
      </c>
      <c r="BJ132" s="269">
        <f>BB132*VLOOKUP($B132,'Major Cities &amp; Towns'!$A$28:$B$345,2,FALSE)</f>
        <v>308</v>
      </c>
      <c r="BK132" s="269">
        <f>BC132*VLOOKUP($B132,'Major Cities &amp; Towns'!$A$28:$B$345,2,FALSE)</f>
        <v>312</v>
      </c>
      <c r="BL132" s="269">
        <f>BD132*VLOOKUP($B132,'Major Cities &amp; Towns'!$A$28:$B$345,2,FALSE)</f>
        <v>302</v>
      </c>
      <c r="BM132" s="269">
        <f>BE132*VLOOKUP($B132,'Major Cities &amp; Towns'!$A$28:$B$345,2,FALSE)</f>
        <v>293</v>
      </c>
      <c r="BN132" s="269">
        <f>BF132*VLOOKUP($B132,'Major Cities &amp; Towns'!$A$28:$B$345,2,FALSE)</f>
        <v>288</v>
      </c>
      <c r="BO132" s="270">
        <f t="shared" si="102"/>
        <v>273</v>
      </c>
      <c r="BP132" s="270">
        <f t="shared" si="103"/>
        <v>273</v>
      </c>
      <c r="BQ132" s="270">
        <f t="shared" si="104"/>
        <v>263</v>
      </c>
      <c r="BR132" s="270">
        <f t="shared" si="105"/>
        <v>308</v>
      </c>
      <c r="BS132" s="270">
        <f t="shared" si="106"/>
        <v>312</v>
      </c>
      <c r="BT132" s="270">
        <f t="shared" si="107"/>
        <v>302</v>
      </c>
      <c r="BU132" s="270">
        <f t="shared" si="108"/>
        <v>293</v>
      </c>
      <c r="BV132" s="270">
        <f t="shared" si="109"/>
        <v>288</v>
      </c>
      <c r="BW132" s="39">
        <f>VLOOKUP($A132,NetAdditions!$A$2:$H$336,6,FALSE)</f>
        <v>386</v>
      </c>
      <c r="BX132" s="39">
        <f>VLOOKUP($A132,NetAdditions!$A$2:$H$336,7,FALSE)</f>
        <v>311</v>
      </c>
      <c r="BY132" s="39">
        <f>IF((VLOOKUP($C132,NetAdditions!$A$2:$H$336,8,FALSE))="",(AVERAGE(VLOOKUP($C132,NetAdditions!$A$2:$H$336,5,FALSE),VLOOKUP($C132,NetAdditions!$A$2:$H$336,6,FALSE),VLOOKUP($C132,NetAdditions!$A$2:$H$336,7,FALSE))),VLOOKUP($C132,NetAdditions!$A$2:$H$336,8,FALSE))</f>
        <v>245</v>
      </c>
      <c r="BZ132" s="39">
        <f t="shared" si="110"/>
        <v>314</v>
      </c>
      <c r="CA132" s="39">
        <f t="shared" si="111"/>
        <v>290</v>
      </c>
      <c r="CB132" s="39">
        <f t="shared" si="112"/>
        <v>283</v>
      </c>
      <c r="CC132" s="39">
        <f t="shared" si="113"/>
        <v>295.66666666666669</v>
      </c>
      <c r="CD132" s="39">
        <f t="shared" si="114"/>
        <v>289.5555555555556</v>
      </c>
      <c r="CE132" s="276">
        <f t="shared" si="71"/>
        <v>809</v>
      </c>
      <c r="CF132" s="276">
        <f t="shared" si="72"/>
        <v>844</v>
      </c>
      <c r="CG132" s="276">
        <f t="shared" si="73"/>
        <v>883</v>
      </c>
      <c r="CH132" s="276">
        <f t="shared" si="74"/>
        <v>922</v>
      </c>
      <c r="CI132" s="276">
        <f t="shared" si="75"/>
        <v>907</v>
      </c>
      <c r="CJ132" s="276">
        <f t="shared" si="76"/>
        <v>883</v>
      </c>
      <c r="CK132" s="276">
        <f t="shared" si="115"/>
        <v>696.63888888888891</v>
      </c>
      <c r="CL132" s="276">
        <f t="shared" si="116"/>
        <v>726.77777777777783</v>
      </c>
      <c r="CM132" s="276">
        <f t="shared" si="117"/>
        <v>809.41666666666663</v>
      </c>
      <c r="CN132" s="276">
        <f t="shared" si="118"/>
        <v>922</v>
      </c>
      <c r="CO132" s="276">
        <f t="shared" si="119"/>
        <v>907</v>
      </c>
      <c r="CP132" s="276">
        <f t="shared" si="120"/>
        <v>883</v>
      </c>
      <c r="CQ132" s="39">
        <f t="shared" si="77"/>
        <v>942</v>
      </c>
      <c r="CR132" s="39">
        <f t="shared" si="78"/>
        <v>870</v>
      </c>
      <c r="CS132" s="277">
        <f t="shared" si="79"/>
        <v>849</v>
      </c>
      <c r="CT132" s="39">
        <f t="shared" si="80"/>
        <v>887</v>
      </c>
      <c r="CU132" s="39">
        <f t="shared" si="81"/>
        <v>868.66666666666674</v>
      </c>
      <c r="CV132" s="39">
        <f t="shared" si="121"/>
        <v>868.2222222222224</v>
      </c>
      <c r="CW132" s="297">
        <f t="shared" si="82"/>
        <v>1.3522070257984768</v>
      </c>
      <c r="CX132" s="279" t="str">
        <f t="shared" si="122"/>
        <v>Pass</v>
      </c>
      <c r="CY132" s="278">
        <f t="shared" si="83"/>
        <v>1.1970646690108546</v>
      </c>
      <c r="CZ132" s="279" t="str">
        <f t="shared" si="123"/>
        <v>Pass</v>
      </c>
      <c r="DA132" s="278">
        <f t="shared" si="84"/>
        <v>1.0489035313497375</v>
      </c>
      <c r="DB132" s="292" t="str">
        <f t="shared" si="124"/>
        <v>Pass</v>
      </c>
      <c r="DC132" s="299">
        <f t="shared" si="125"/>
        <v>0.96203904555314534</v>
      </c>
      <c r="DD132" s="293" t="str">
        <f t="shared" si="126"/>
        <v>Pass</v>
      </c>
      <c r="DE132" s="299">
        <f t="shared" si="127"/>
        <v>0.95773612642410888</v>
      </c>
      <c r="DF132" s="293" t="str">
        <f t="shared" si="128"/>
        <v>Pass</v>
      </c>
      <c r="DG132" s="299">
        <f t="shared" si="129"/>
        <v>0.98326412482697889</v>
      </c>
      <c r="DH132" s="293" t="str">
        <f t="shared" si="130"/>
        <v>Pass</v>
      </c>
    </row>
    <row r="133" spans="1:112" customFormat="1" ht="15.5" thickTop="1" thickBot="1">
      <c r="A133" s="3" t="s">
        <v>376</v>
      </c>
      <c r="B133" s="3" t="s">
        <v>377</v>
      </c>
      <c r="C133" s="3" t="s">
        <v>376</v>
      </c>
      <c r="D133" s="3" t="s">
        <v>131</v>
      </c>
      <c r="E133" s="3" t="str">
        <f>VLOOKUP(C133,PoliticalControl!A:K,11,FALSE)</f>
        <v>CON</v>
      </c>
      <c r="F133" s="3" t="str">
        <f>VLOOKUP(C133,UrbanRuralClassification!A:N,13,FALSE)</f>
        <v>Urban with Major Conurbation</v>
      </c>
      <c r="G133" s="3" t="str">
        <f>VLOOKUP(C133,UrbanRuralClassification!A:N,14,FALSE)</f>
        <v>Predominantly Urban</v>
      </c>
      <c r="H133" s="262">
        <f>IF(ISBLANK((VLOOKUP($A133,'local-plan-data'!$C$1:$AD$566,27,FALSE)))=TRUE,"",VLOOKUP($A133,'local-plan-data'!$C$1:$AD$566,27,FALSE))</f>
        <v>41221</v>
      </c>
      <c r="I133" s="263">
        <f>VLOOKUP($A133,'local-plan-data'!$C$1:$AD$566,28,FALSE)</f>
        <v>425</v>
      </c>
      <c r="J133" s="264">
        <f t="shared" si="85"/>
        <v>425</v>
      </c>
      <c r="K133" s="259" t="str">
        <f t="shared" si="133"/>
        <v>-</v>
      </c>
      <c r="L133" s="259" t="str">
        <f t="shared" si="135"/>
        <v>-</v>
      </c>
      <c r="M133" s="259" t="str">
        <f t="shared" si="135"/>
        <v>-</v>
      </c>
      <c r="N133" s="259" t="str">
        <f t="shared" si="135"/>
        <v>-</v>
      </c>
      <c r="O133" s="259" t="str">
        <f t="shared" si="135"/>
        <v>-</v>
      </c>
      <c r="P133" s="259" t="str">
        <f t="shared" si="135"/>
        <v>-</v>
      </c>
      <c r="Q133" s="259" t="str">
        <f t="shared" si="135"/>
        <v>-</v>
      </c>
      <c r="R133" s="259" t="str">
        <f t="shared" si="135"/>
        <v>-</v>
      </c>
      <c r="S133" s="259">
        <f t="shared" si="134"/>
        <v>-144</v>
      </c>
      <c r="T133" s="259">
        <f t="shared" si="136"/>
        <v>-509</v>
      </c>
      <c r="U133" s="259">
        <f t="shared" si="136"/>
        <v>-875</v>
      </c>
      <c r="V133" s="259">
        <f t="shared" si="136"/>
        <v>-1240</v>
      </c>
      <c r="W133" s="259">
        <f t="shared" si="136"/>
        <v>-1605</v>
      </c>
      <c r="X133" s="259">
        <f t="shared" si="136"/>
        <v>-1970</v>
      </c>
      <c r="Y133" s="259">
        <f t="shared" si="136"/>
        <v>-2336</v>
      </c>
      <c r="Z133" s="259">
        <f t="shared" si="136"/>
        <v>-2701</v>
      </c>
      <c r="AA133" s="267">
        <f>(VLOOKUP(A133,Hshldprojections2014!$A$2:$AW$319,40, FALSE)-VLOOKUP(A133,Hshldprojections2014!$A$2:$AW$319,30, FALSE))/10</f>
        <v>1950.3</v>
      </c>
      <c r="AB133" s="267">
        <f>(VLOOKUP(A133,Hshldprojections2014!$A$2:$AW$319,41, FALSE)-VLOOKUP(A133,Hshldprojections2014!$A$2:$AW$319,31, FALSE))/10</f>
        <v>1940.8</v>
      </c>
      <c r="AC133" s="267">
        <f>(VLOOKUP(A133,Hshldprojections2014!$A$2:$AW$319,42, FALSE)-VLOOKUP(A133,Hshldprojections2014!$A$2:$AW$319,32, FALSE))/10</f>
        <v>1931.8</v>
      </c>
      <c r="AD133" s="267">
        <f>IF(IndividualLATest!$J$7=2014,(VLOOKUP($A133,Hshldprojections2014!$A$2:$AY$326,43,FALSE)-VLOOKUP($A133,Hshldprojections2014!$A$2:$AY$326,33,FALSE))/10,IF(IndividualLATest!$J$7=2016,(VLOOKUP($A133,Hshldprojections2016!$A$1:$AQ$322,33,FALSE)-VLOOKUP($A133,Hshldprojections2016!$A$1:$AQ$322,23,FALSE))/10,(VLOOKUP($A133,Hshldprojections2018!$A$1:$AQ$327,33,FALSE)-VLOOKUP($A133,Hshldprojections2018!$A$1:$AQ$327,23,FALSE))/10))</f>
        <v>790.4</v>
      </c>
      <c r="AE133" s="267">
        <f>IF(IndividualLATest!$J$7=2014,(VLOOKUP($A133,Hshldprojections2014!$A$2:$AY$326,44,FALSE)-VLOOKUP($A133,Hshldprojections2014!$A$2:$AY$326,34,FALSE))/10,IF(IndividualLATest!$J$7=2016,(VLOOKUP($A133,Hshldprojections2016!$A$1:$AQ$322,34,FALSE)-VLOOKUP($A133,Hshldprojections2016!$A$1:$AQ$322,24,FALSE))/10,(VLOOKUP($A133,Hshldprojections2018!$A$1:$AQ$327,34,FALSE)-VLOOKUP($A133,Hshldprojections2018!$A$1:$AQ$327,24,FALSE))/10))</f>
        <v>757.8</v>
      </c>
      <c r="AF133" s="267">
        <f>IF(IndividualLATest!$J$7=2014,(VLOOKUP($A133,Hshldprojections2014!$A$2:$AY$326,45,FALSE)-VLOOKUP($A133,Hshldprojections2014!$A$2:$AY$326,35,FALSE))/10,IF(IndividualLATest!$J$7=2016,(VLOOKUP($A133,Hshldprojections2016!$A$1:$AQ$322,35,FALSE)-VLOOKUP($A133,Hshldprojections2016!$A$1:$AQ$322,25,FALSE))/10,(VLOOKUP($A133,Hshldprojections2018!$A$1:$AQ$327,35,FALSE)-VLOOKUP($A133,Hshldprojections2018!$A$1:$AQ$327,25,FALSE))/10))</f>
        <v>729.9</v>
      </c>
      <c r="AG133" s="267">
        <f>IF(IndividualLATest!$J$7=2014,(VLOOKUP($A133,Hshldprojections2014!$A$2:$AY$326,46,FALSE)-VLOOKUP($A133,Hshldprojections2014!$A$2:$AY$326,36,FALSE))/10,IF(IndividualLATest!$J$7=2016,(VLOOKUP($A133,Hshldprojections2016!$A$1:$AQ$322,36,FALSE)-VLOOKUP($A133,Hshldprojections2016!$A$1:$AQ$322,26,FALSE))/10,(VLOOKUP($A133,Hshldprojections2018!$A$1:$AQ$327,36,FALSE)-VLOOKUP($A133,Hshldprojections2018!$A$1:$AQ$327,26,FALSE))/10))</f>
        <v>706.3</v>
      </c>
      <c r="AH133" s="267">
        <f>IF(IndividualLATest!$J$7=2014,(VLOOKUP($A133,Hshldprojections2014!$A$2:$AY$326,47,FALSE)-VLOOKUP($A133,Hshldprojections2014!$A$2:$AY$326,37,FALSE))/10,IF(IndividualLATest!$J$7=2016,(VLOOKUP($A133,Hshldprojections2016!$A$1:$AQ$322,37,FALSE)-VLOOKUP($A133,Hshldprojections2016!$A$1:$AQ$322,27,FALSE))/10,(VLOOKUP($A133,Hshldprojections2018!$A$1:$AQ$327,37,FALSE)-VLOOKUP($A133,Hshldprojections2018!$A$1:$AQ$327,27,FALSE))/10))</f>
        <v>686.7</v>
      </c>
      <c r="AI133" s="268">
        <f>VLOOKUP($A133,AffordabilityRatio!$A$2:$I$321,5,FALSE)</f>
        <v>12.35</v>
      </c>
      <c r="AJ133" s="268">
        <f>VLOOKUP($A133,AffordabilityRatio!$A$2:$I$321,6,FALSE)</f>
        <v>13.02</v>
      </c>
      <c r="AK133" s="268">
        <f>VLOOKUP($A133,AffordabilityRatio!$A$2:$I$321,7,FALSE)</f>
        <v>11.65</v>
      </c>
      <c r="AL133" s="268">
        <f>IF((VLOOKUP($A133,AffordabilityRatio!$A$2:$I$321,8,FALSE))="",AK133,VLOOKUP($A133,AffordabilityRatio!$A$2:$I$321,8,FALSE))</f>
        <v>11.18</v>
      </c>
      <c r="AM133" s="268">
        <f>IF((VLOOKUP($A133,AffordabilityRatio!$A$2:$I$321,9,FALSE))="",AL133,VLOOKUP($A133,AffordabilityRatio!$A$2:$I$321,9,FALSE))</f>
        <v>13.56</v>
      </c>
      <c r="AN133" s="268">
        <f>IF((VLOOKUP($A133,AffordabilityRatio!$A$2:$I$321,9,FALSE))="",AM133,VLOOKUP($A133,AffordabilityRatio!$A$2:$I$321,9,FALSE))</f>
        <v>13.56</v>
      </c>
      <c r="AO133" s="268">
        <f>IF((VLOOKUP($A133,AffordabilityRatio!$A$2:$I$321,9,FALSE))="",AN133,VLOOKUP($A133,AffordabilityRatio!$A$2:$I$321,9,FALSE))</f>
        <v>13.56</v>
      </c>
      <c r="AP133" s="268">
        <f>IF((VLOOKUP($A133,AffordabilityRatio!$A$2:$I$321,9,FALSE))="",AO133,VLOOKUP($A133,AffordabilityRatio!$A$2:$I$321,9,FALSE))</f>
        <v>13.56</v>
      </c>
      <c r="AQ133" s="267">
        <f t="shared" si="86"/>
        <v>2968</v>
      </c>
      <c r="AR133" s="267">
        <f t="shared" si="87"/>
        <v>3035</v>
      </c>
      <c r="AS133" s="267">
        <f t="shared" si="88"/>
        <v>2855</v>
      </c>
      <c r="AT133" s="267">
        <f t="shared" si="89"/>
        <v>1145</v>
      </c>
      <c r="AU133" s="267">
        <f t="shared" si="90"/>
        <v>1211</v>
      </c>
      <c r="AV133" s="267">
        <f t="shared" si="91"/>
        <v>1166</v>
      </c>
      <c r="AW133" s="267">
        <f t="shared" si="92"/>
        <v>1128</v>
      </c>
      <c r="AX133" s="267">
        <f t="shared" si="93"/>
        <v>1097</v>
      </c>
      <c r="AY133" s="267">
        <f t="shared" si="94"/>
        <v>2730.42</v>
      </c>
      <c r="AZ133" s="267">
        <f t="shared" si="95"/>
        <v>2717.12</v>
      </c>
      <c r="BA133" s="267">
        <f t="shared" si="96"/>
        <v>2704.52</v>
      </c>
      <c r="BB133" s="267">
        <f t="shared" si="97"/>
        <v>1106.56</v>
      </c>
      <c r="BC133" s="267">
        <f t="shared" si="98"/>
        <v>1060.92</v>
      </c>
      <c r="BD133" s="267">
        <f t="shared" si="99"/>
        <v>1021.8599999999999</v>
      </c>
      <c r="BE133" s="267">
        <f t="shared" si="100"/>
        <v>988.81999999999994</v>
      </c>
      <c r="BF133" s="267">
        <f t="shared" si="101"/>
        <v>961.38000000000011</v>
      </c>
      <c r="BG133" s="269">
        <f>AY133*VLOOKUP($B133,'Major Cities &amp; Towns'!$A$28:$B$345,2,FALSE)</f>
        <v>3686.0670000000005</v>
      </c>
      <c r="BH133" s="269">
        <f>AZ133*VLOOKUP($B133,'Major Cities &amp; Towns'!$A$28:$B$345,2,FALSE)</f>
        <v>3668.1120000000001</v>
      </c>
      <c r="BI133" s="269">
        <f>BA133*VLOOKUP($B133,'Major Cities &amp; Towns'!$A$28:$B$345,2,FALSE)</f>
        <v>3651.1020000000003</v>
      </c>
      <c r="BJ133" s="269">
        <f>BB133*VLOOKUP($B133,'Major Cities &amp; Towns'!$A$28:$B$345,2,FALSE)</f>
        <v>1493.856</v>
      </c>
      <c r="BK133" s="269">
        <f>BC133*VLOOKUP($B133,'Major Cities &amp; Towns'!$A$28:$B$345,2,FALSE)</f>
        <v>1432.2420000000002</v>
      </c>
      <c r="BL133" s="269">
        <f>BD133*VLOOKUP($B133,'Major Cities &amp; Towns'!$A$28:$B$345,2,FALSE)</f>
        <v>1379.511</v>
      </c>
      <c r="BM133" s="269">
        <f>BE133*VLOOKUP($B133,'Major Cities &amp; Towns'!$A$28:$B$345,2,FALSE)</f>
        <v>1334.9069999999999</v>
      </c>
      <c r="BN133" s="269">
        <f>BF133*VLOOKUP($B133,'Major Cities &amp; Towns'!$A$28:$B$345,2,FALSE)</f>
        <v>1297.8630000000003</v>
      </c>
      <c r="BO133" s="270">
        <f t="shared" si="102"/>
        <v>2968</v>
      </c>
      <c r="BP133" s="270">
        <f t="shared" si="103"/>
        <v>3035</v>
      </c>
      <c r="BQ133" s="270">
        <f t="shared" si="104"/>
        <v>2855</v>
      </c>
      <c r="BR133" s="270">
        <f t="shared" si="105"/>
        <v>1145</v>
      </c>
      <c r="BS133" s="270">
        <f t="shared" si="106"/>
        <v>1211</v>
      </c>
      <c r="BT133" s="270">
        <f t="shared" si="107"/>
        <v>1166</v>
      </c>
      <c r="BU133" s="270">
        <f t="shared" si="108"/>
        <v>1128</v>
      </c>
      <c r="BV133" s="270">
        <f t="shared" si="109"/>
        <v>1097</v>
      </c>
      <c r="BW133" s="39">
        <f>VLOOKUP($A133,NetAdditions!$A$2:$H$336,6,FALSE)</f>
        <v>957</v>
      </c>
      <c r="BX133" s="39">
        <f>VLOOKUP($A133,NetAdditions!$A$2:$H$336,7,FALSE)</f>
        <v>1646</v>
      </c>
      <c r="BY133" s="39">
        <f>IF((VLOOKUP($C133,NetAdditions!$A$2:$H$336,8,FALSE))="",(AVERAGE(VLOOKUP($C133,NetAdditions!$A$2:$H$336,5,FALSE),VLOOKUP($C133,NetAdditions!$A$2:$H$336,6,FALSE),VLOOKUP($C133,NetAdditions!$A$2:$H$336,7,FALSE))),VLOOKUP($C133,NetAdditions!$A$2:$H$336,8,FALSE))</f>
        <v>718</v>
      </c>
      <c r="BZ133" s="39">
        <f t="shared" si="110"/>
        <v>1107</v>
      </c>
      <c r="CA133" s="39">
        <f t="shared" si="111"/>
        <v>1157</v>
      </c>
      <c r="CB133" s="39">
        <f t="shared" si="112"/>
        <v>994</v>
      </c>
      <c r="CC133" s="39">
        <f t="shared" si="113"/>
        <v>1086</v>
      </c>
      <c r="CD133" s="39">
        <f t="shared" si="114"/>
        <v>1079</v>
      </c>
      <c r="CE133" s="276">
        <f t="shared" ref="CE133:CE196" si="137">SUM(BO133:BQ133)</f>
        <v>8858</v>
      </c>
      <c r="CF133" s="276">
        <f t="shared" ref="CF133:CF196" si="138">SUM(BP133:BR133)</f>
        <v>7035</v>
      </c>
      <c r="CG133" s="276">
        <f t="shared" ref="CG133:CG196" si="139">SUM(BQ133:BS133)</f>
        <v>5211</v>
      </c>
      <c r="CH133" s="276">
        <f t="shared" ref="CH133:CH196" si="140">SUM(BR133:BT133)</f>
        <v>3522</v>
      </c>
      <c r="CI133" s="276">
        <f t="shared" ref="CI133:CI196" si="141">SUM(BS133:BU133)</f>
        <v>3505</v>
      </c>
      <c r="CJ133" s="276">
        <f t="shared" ref="CJ133:CJ196" si="142">SUM(BT133:BV133)</f>
        <v>3391</v>
      </c>
      <c r="CK133" s="276">
        <f t="shared" si="115"/>
        <v>7627.7222222222226</v>
      </c>
      <c r="CL133" s="276">
        <f t="shared" si="116"/>
        <v>6057.916666666667</v>
      </c>
      <c r="CM133" s="276">
        <f t="shared" si="117"/>
        <v>4776.75</v>
      </c>
      <c r="CN133" s="276">
        <f t="shared" si="118"/>
        <v>3522</v>
      </c>
      <c r="CO133" s="276">
        <f t="shared" si="119"/>
        <v>3505</v>
      </c>
      <c r="CP133" s="276">
        <f t="shared" si="120"/>
        <v>3391</v>
      </c>
      <c r="CQ133" s="39">
        <f t="shared" ref="CQ133:CQ196" si="143">SUM(BW133:BY133)</f>
        <v>3321</v>
      </c>
      <c r="CR133" s="39">
        <f t="shared" ref="CR133:CR196" si="144">SUM(BX133:BZ133)</f>
        <v>3471</v>
      </c>
      <c r="CS133" s="277">
        <f t="shared" ref="CS133:CS196" si="145">SUM(BY133:CA133)</f>
        <v>2982</v>
      </c>
      <c r="CT133" s="39">
        <f t="shared" ref="CT133:CT196" si="146">SUM(BZ133:CB133)</f>
        <v>3258</v>
      </c>
      <c r="CU133" s="39">
        <f t="shared" ref="CU133:CU196" si="147">SUM(CA133:CC133)</f>
        <v>3237</v>
      </c>
      <c r="CV133" s="39">
        <f t="shared" si="121"/>
        <v>3159</v>
      </c>
      <c r="CW133" s="297">
        <f t="shared" ref="CW133:CW196" si="148">IFERROR(CQ133/CK133,"-")</f>
        <v>0.43538554541548008</v>
      </c>
      <c r="CX133" s="279" t="str">
        <f t="shared" si="122"/>
        <v>Buffer and Action Plan</v>
      </c>
      <c r="CY133" s="278">
        <f t="shared" ref="CY133:CY196" si="149">IFERROR(CR133/CL133,"-")</f>
        <v>0.57296925510695373</v>
      </c>
      <c r="CZ133" s="279" t="str">
        <f t="shared" si="123"/>
        <v>Buffer and Action Plan</v>
      </c>
      <c r="DA133" s="278">
        <f t="shared" ref="DA133:DA196" si="150">IFERROR(CS133/CM133,"-")</f>
        <v>0.62427382634636519</v>
      </c>
      <c r="DB133" s="292" t="str">
        <f t="shared" si="124"/>
        <v>Presumption</v>
      </c>
      <c r="DC133" s="299">
        <f t="shared" si="125"/>
        <v>0.92504258943781947</v>
      </c>
      <c r="DD133" s="293" t="str">
        <f t="shared" si="126"/>
        <v>Action Plan</v>
      </c>
      <c r="DE133" s="299">
        <f t="shared" si="127"/>
        <v>0.92353780313837375</v>
      </c>
      <c r="DF133" s="293" t="str">
        <f t="shared" si="128"/>
        <v>Action Plan</v>
      </c>
      <c r="DG133" s="299">
        <f t="shared" si="129"/>
        <v>0.93158360365673842</v>
      </c>
      <c r="DH133" s="293" t="str">
        <f t="shared" si="130"/>
        <v>Action Plan</v>
      </c>
    </row>
    <row r="134" spans="1:112" ht="15" thickTop="1" thickBot="1">
      <c r="A134" s="38" t="s">
        <v>378</v>
      </c>
      <c r="B134" s="38" t="s">
        <v>379</v>
      </c>
      <c r="C134" s="38" t="s">
        <v>378</v>
      </c>
      <c r="D134" s="38" t="s">
        <v>119</v>
      </c>
      <c r="E134" s="38" t="str">
        <f>VLOOKUP(C134,PoliticalControl!A:K,11,FALSE)</f>
        <v>LD</v>
      </c>
      <c r="F134" s="38" t="str">
        <f>VLOOKUP(C134,UrbanRuralClassification!A:N,13,FALSE)</f>
        <v xml:space="preserve">Largely Rural (rural including hub towns 50-79%) </v>
      </c>
      <c r="G134" s="38" t="str">
        <f>VLOOKUP(C134,UrbanRuralClassification!A:N,14,FALSE)</f>
        <v>Predominantly Rural</v>
      </c>
      <c r="H134" s="258">
        <f>IF(ISBLANK((VLOOKUP($A134,'local-plan-data'!$C$1:$AD$566,27,FALSE)))=TRUE,"",VLOOKUP($A134,'local-plan-data'!$C$1:$AD$566,27,FALSE))</f>
        <v>40162</v>
      </c>
      <c r="I134" s="259">
        <f>VLOOKUP($A134,'local-plan-data'!$C$1:$AD$566,28,FALSE)</f>
        <v>450</v>
      </c>
      <c r="J134" s="260">
        <f t="shared" ref="J134:J197" si="151">IFERROR(IF(ISNUMBER(I134),I134,VALUE(LEFT(I134,FIND("-",I134)-1))),"-")</f>
        <v>450</v>
      </c>
      <c r="K134" s="259" t="str">
        <f t="shared" si="133"/>
        <v>-</v>
      </c>
      <c r="L134" s="259" t="str">
        <f t="shared" si="135"/>
        <v>-</v>
      </c>
      <c r="M134" s="259" t="str">
        <f t="shared" si="135"/>
        <v>-</v>
      </c>
      <c r="N134" s="259" t="str">
        <f t="shared" si="135"/>
        <v>-</v>
      </c>
      <c r="O134" s="259" t="str">
        <f t="shared" si="135"/>
        <v>-</v>
      </c>
      <c r="P134" s="259" t="str">
        <f t="shared" si="135"/>
        <v>-</v>
      </c>
      <c r="Q134" s="259" t="str">
        <f t="shared" si="135"/>
        <v>-</v>
      </c>
      <c r="R134" s="259" t="str">
        <f t="shared" si="135"/>
        <v>-</v>
      </c>
      <c r="S134" s="259">
        <f t="shared" si="134"/>
        <v>-1203</v>
      </c>
      <c r="T134" s="259">
        <f t="shared" si="136"/>
        <v>-1568</v>
      </c>
      <c r="U134" s="259">
        <f t="shared" si="136"/>
        <v>-1934</v>
      </c>
      <c r="V134" s="259">
        <f t="shared" si="136"/>
        <v>-2299</v>
      </c>
      <c r="W134" s="259">
        <f t="shared" si="136"/>
        <v>-2664</v>
      </c>
      <c r="X134" s="259">
        <f t="shared" si="136"/>
        <v>-3029</v>
      </c>
      <c r="Y134" s="259">
        <f t="shared" si="136"/>
        <v>-3395</v>
      </c>
      <c r="Z134" s="259">
        <f t="shared" si="136"/>
        <v>-3760</v>
      </c>
      <c r="AA134" s="267">
        <f>(VLOOKUP(A134,Hshldprojections2014!$A$2:$AW$319,40, FALSE)-VLOOKUP(A134,Hshldprojections2014!$A$2:$AW$319,30, FALSE))/10</f>
        <v>387</v>
      </c>
      <c r="AB134" s="267">
        <f>(VLOOKUP(A134,Hshldprojections2014!$A$2:$AW$319,41, FALSE)-VLOOKUP(A134,Hshldprojections2014!$A$2:$AW$319,31, FALSE))/10</f>
        <v>382</v>
      </c>
      <c r="AC134" s="267">
        <f>(VLOOKUP(A134,Hshldprojections2014!$A$2:$AW$319,42, FALSE)-VLOOKUP(A134,Hshldprojections2014!$A$2:$AW$319,32, FALSE))/10</f>
        <v>377.7</v>
      </c>
      <c r="AD134" s="267">
        <f>IF(IndividualLATest!$J$7=2014,(VLOOKUP($A134,Hshldprojections2014!$A$2:$AY$326,43,FALSE)-VLOOKUP($A134,Hshldprojections2014!$A$2:$AY$326,33,FALSE))/10,IF(IndividualLATest!$J$7=2016,(VLOOKUP($A134,Hshldprojections2016!$A$1:$AQ$322,33,FALSE)-VLOOKUP($A134,Hshldprojections2016!$A$1:$AQ$322,23,FALSE))/10,(VLOOKUP($A134,Hshldprojections2018!$A$1:$AQ$327,33,FALSE)-VLOOKUP($A134,Hshldprojections2018!$A$1:$AQ$327,23,FALSE))/10))</f>
        <v>605.4</v>
      </c>
      <c r="AE134" s="267">
        <f>IF(IndividualLATest!$J$7=2014,(VLOOKUP($A134,Hshldprojections2014!$A$2:$AY$326,44,FALSE)-VLOOKUP($A134,Hshldprojections2014!$A$2:$AY$326,34,FALSE))/10,IF(IndividualLATest!$J$7=2016,(VLOOKUP($A134,Hshldprojections2016!$A$1:$AQ$322,34,FALSE)-VLOOKUP($A134,Hshldprojections2016!$A$1:$AQ$322,24,FALSE))/10,(VLOOKUP($A134,Hshldprojections2018!$A$1:$AQ$327,34,FALSE)-VLOOKUP($A134,Hshldprojections2018!$A$1:$AQ$327,24,FALSE))/10))</f>
        <v>596.4</v>
      </c>
      <c r="AF134" s="267">
        <f>IF(IndividualLATest!$J$7=2014,(VLOOKUP($A134,Hshldprojections2014!$A$2:$AY$326,45,FALSE)-VLOOKUP($A134,Hshldprojections2014!$A$2:$AY$326,35,FALSE))/10,IF(IndividualLATest!$J$7=2016,(VLOOKUP($A134,Hshldprojections2016!$A$1:$AQ$322,35,FALSE)-VLOOKUP($A134,Hshldprojections2016!$A$1:$AQ$322,25,FALSE))/10,(VLOOKUP($A134,Hshldprojections2018!$A$1:$AQ$327,35,FALSE)-VLOOKUP($A134,Hshldprojections2018!$A$1:$AQ$327,25,FALSE))/10))</f>
        <v>586.9</v>
      </c>
      <c r="AG134" s="267">
        <f>IF(IndividualLATest!$J$7=2014,(VLOOKUP($A134,Hshldprojections2014!$A$2:$AY$326,46,FALSE)-VLOOKUP($A134,Hshldprojections2014!$A$2:$AY$326,36,FALSE))/10,IF(IndividualLATest!$J$7=2016,(VLOOKUP($A134,Hshldprojections2016!$A$1:$AQ$322,36,FALSE)-VLOOKUP($A134,Hshldprojections2016!$A$1:$AQ$322,26,FALSE))/10,(VLOOKUP($A134,Hshldprojections2018!$A$1:$AQ$327,36,FALSE)-VLOOKUP($A134,Hshldprojections2018!$A$1:$AQ$327,26,FALSE))/10))</f>
        <v>573.1</v>
      </c>
      <c r="AH134" s="267">
        <f>IF(IndividualLATest!$J$7=2014,(VLOOKUP($A134,Hshldprojections2014!$A$2:$AY$326,47,FALSE)-VLOOKUP($A134,Hshldprojections2014!$A$2:$AY$326,37,FALSE))/10,IF(IndividualLATest!$J$7=2016,(VLOOKUP($A134,Hshldprojections2016!$A$1:$AQ$322,37,FALSE)-VLOOKUP($A134,Hshldprojections2016!$A$1:$AQ$322,27,FALSE))/10,(VLOOKUP($A134,Hshldprojections2018!$A$1:$AQ$327,37,FALSE)-VLOOKUP($A134,Hshldprojections2018!$A$1:$AQ$327,27,FALSE))/10))</f>
        <v>562.70000000000005</v>
      </c>
      <c r="AI134" s="268">
        <f>VLOOKUP($A134,AffordabilityRatio!$A$2:$I$321,5,FALSE)</f>
        <v>7.26</v>
      </c>
      <c r="AJ134" s="268">
        <f>VLOOKUP($A134,AffordabilityRatio!$A$2:$I$321,6,FALSE)</f>
        <v>7.17</v>
      </c>
      <c r="AK134" s="268">
        <f>VLOOKUP($A134,AffordabilityRatio!$A$2:$I$321,7,FALSE)</f>
        <v>7.3</v>
      </c>
      <c r="AL134" s="268">
        <f>IF((VLOOKUP($A134,AffordabilityRatio!$A$2:$I$321,8,FALSE))="",AK134,VLOOKUP($A134,AffordabilityRatio!$A$2:$I$321,8,FALSE))</f>
        <v>7.21</v>
      </c>
      <c r="AM134" s="268">
        <f>IF((VLOOKUP($A134,AffordabilityRatio!$A$2:$I$321,9,FALSE))="",AL134,VLOOKUP($A134,AffordabilityRatio!$A$2:$I$321,9,FALSE))</f>
        <v>8.3800000000000008</v>
      </c>
      <c r="AN134" s="268">
        <f>IF((VLOOKUP($A134,AffordabilityRatio!$A$2:$I$321,9,FALSE))="",AM134,VLOOKUP($A134,AffordabilityRatio!$A$2:$I$321,9,FALSE))</f>
        <v>8.3800000000000008</v>
      </c>
      <c r="AO134" s="268">
        <f>IF((VLOOKUP($A134,AffordabilityRatio!$A$2:$I$321,9,FALSE))="",AN134,VLOOKUP($A134,AffordabilityRatio!$A$2:$I$321,9,FALSE))</f>
        <v>8.3800000000000008</v>
      </c>
      <c r="AP134" s="268">
        <f>IF((VLOOKUP($A134,AffordabilityRatio!$A$2:$I$321,9,FALSE))="",AO134,VLOOKUP($A134,AffordabilityRatio!$A$2:$I$321,9,FALSE))</f>
        <v>8.3800000000000008</v>
      </c>
      <c r="AQ134" s="267">
        <f t="shared" ref="AQ134:AQ197" si="152">IF(AA134&lt;0,0,IF(AI134&gt;4,ROUND((1+((AI134-4)/4*0.25))*AA134,0),AA134))</f>
        <v>466</v>
      </c>
      <c r="AR134" s="267">
        <f t="shared" ref="AR134:AR197" si="153">IF(AB134&lt;0,0,IF(AJ134&gt;4,ROUND((1+((AJ134-4)/4*0.25))*AB134,0),AB134))</f>
        <v>458</v>
      </c>
      <c r="AS134" s="267">
        <f t="shared" ref="AS134:AS197" si="154">IF(AC134&lt;0,0,IF(AK134&gt;4,ROUND((1+((AK134-4)/4*0.25))*AC134,0),AC134))</f>
        <v>456</v>
      </c>
      <c r="AT134" s="267">
        <f t="shared" ref="AT134:AT197" si="155">IF(AD134&lt;0,0,IF(AL134&gt;4,ROUND((1+((AL134-4)/4*0.25))*AD134,0),AD134))</f>
        <v>727</v>
      </c>
      <c r="AU134" s="267">
        <f t="shared" ref="AU134:AU197" si="156">IF(AE134&lt;0,0,IF(AM134&gt;4,ROUND((1+((AM134-4)/4*0.25))*AE134,0),AE134))</f>
        <v>760</v>
      </c>
      <c r="AV134" s="267">
        <f t="shared" ref="AV134:AV197" si="157">IF(AF134&lt;0,0,IF(AN134&gt;4,ROUND((1+((AN134-4)/4*0.25))*AF134,0),AF134))</f>
        <v>748</v>
      </c>
      <c r="AW134" s="267">
        <f t="shared" ref="AW134:AW197" si="158">IF(AG134&lt;0,0,IF(AO134&gt;4,ROUND((1+((AO134-4)/4*0.25))*AG134,0),AG134))</f>
        <v>730</v>
      </c>
      <c r="AX134" s="267">
        <f t="shared" ref="AX134:AX197" si="159">IF(AH134&lt;0,0,IF(AP134&gt;4,ROUND((1+((AP134-4)/4*0.25))*AH134,0),AH134))</f>
        <v>717</v>
      </c>
      <c r="AY134" s="267">
        <f t="shared" ref="AY134:AY197" si="160">IF(AA134&lt;0,0,IF(K134="-",MIN((MAX(J134, AA134)+((MAX(J134, AA134))*0.4)),AQ134),MIN(K134+(K134*0.4),AQ134)))</f>
        <v>466</v>
      </c>
      <c r="AZ134" s="267">
        <f t="shared" ref="AZ134:AZ197" si="161">IF(AB134&lt;0,0,IF(L134="-",MIN((MAX(J134, AB134)+((MAX(J134, AB134))*0.4)),AR134),MIN(L134+(L134*0.4),AR134)))</f>
        <v>458</v>
      </c>
      <c r="BA134" s="267">
        <f t="shared" ref="BA134:BA197" si="162">IF(AC134&lt;0,0,IF(M134="-",MIN((MAX(J134, AC134)+((MAX(J134, AC134))*0.4)),AS134),MIN(M134+(M134*0.4),AS134)))</f>
        <v>456</v>
      </c>
      <c r="BB134" s="267">
        <f t="shared" ref="BB134:BB197" si="163">IF(AD134&lt;0,0,IF(N134="-",MIN((MAX(J134, AD134)+((MAX(J134, AD134))*0.4)),AT134),MIN(N134+(N134*0.4),AT134)))</f>
        <v>727</v>
      </c>
      <c r="BC134" s="267">
        <f t="shared" ref="BC134:BC197" si="164">IF(AE134&lt;0,0,IF(O134="-",MIN((MAX(J134, AE134)+((MAX(J134, AE134))*0.4)),AU134),MIN(O134+(O134*0.4),AU134)))</f>
        <v>760</v>
      </c>
      <c r="BD134" s="267">
        <f t="shared" ref="BD134:BD197" si="165">IF(AF134&lt;0,0,IF(P134="-",MIN((MAX(J134, AF134)+((MAX(J134, AF134))*0.4)),AV134),MIN(P134+(P134*0.4),AV134)))</f>
        <v>748</v>
      </c>
      <c r="BE134" s="267">
        <f t="shared" ref="BE134:BE197" si="166">IF(AG134&lt;0,0,IF(Q134="-",MIN((MAX(J134, AG134)+((MAX(J134, AG134))*0.4)),AW134),MIN(Q134+(Q134*0.4),AW134)))</f>
        <v>730</v>
      </c>
      <c r="BF134" s="267">
        <f t="shared" ref="BF134:BF197" si="167">IF(AH134&lt;0,0,IF(R134="-",MIN((MAX(J134, AH134)+((MAX(J134, AH134))*0.4)),AX134),MIN(R134+(R134*0.4),AX134)))</f>
        <v>717</v>
      </c>
      <c r="BG134" s="269">
        <f>AY134*VLOOKUP($B134,'Major Cities &amp; Towns'!$A$28:$B$345,2,FALSE)</f>
        <v>466</v>
      </c>
      <c r="BH134" s="269">
        <f>AZ134*VLOOKUP($B134,'Major Cities &amp; Towns'!$A$28:$B$345,2,FALSE)</f>
        <v>458</v>
      </c>
      <c r="BI134" s="269">
        <f>BA134*VLOOKUP($B134,'Major Cities &amp; Towns'!$A$28:$B$345,2,FALSE)</f>
        <v>456</v>
      </c>
      <c r="BJ134" s="269">
        <f>BB134*VLOOKUP($B134,'Major Cities &amp; Towns'!$A$28:$B$345,2,FALSE)</f>
        <v>727</v>
      </c>
      <c r="BK134" s="269">
        <f>BC134*VLOOKUP($B134,'Major Cities &amp; Towns'!$A$28:$B$345,2,FALSE)</f>
        <v>760</v>
      </c>
      <c r="BL134" s="269">
        <f>BD134*VLOOKUP($B134,'Major Cities &amp; Towns'!$A$28:$B$345,2,FALSE)</f>
        <v>748</v>
      </c>
      <c r="BM134" s="269">
        <f>BE134*VLOOKUP($B134,'Major Cities &amp; Towns'!$A$28:$B$345,2,FALSE)</f>
        <v>730</v>
      </c>
      <c r="BN134" s="269">
        <f>BF134*VLOOKUP($B134,'Major Cities &amp; Towns'!$A$28:$B$345,2,FALSE)</f>
        <v>717</v>
      </c>
      <c r="BO134" s="270">
        <f t="shared" ref="BO134:BO197" si="168">IFERROR(IF(AND(S134&lt;365,S134&gt;0),SUM(((S134/365)*(MIN(K134,BG134)))+(((365-S134)/365)*AQ134)),(MIN(K134,AQ134))),AQ134)</f>
        <v>466</v>
      </c>
      <c r="BP134" s="270">
        <f t="shared" ref="BP134:BP197" si="169">IFERROR(IF(AND(T134&lt;365,T134&gt;0),SUM(((T134/365)*(MIN(L134,BH134)))+(((365-T134)/365)*AR134)),(MIN(L134,AR134))),AR134)</f>
        <v>458</v>
      </c>
      <c r="BQ134" s="270">
        <f t="shared" ref="BQ134:BQ197" si="170">IFERROR(IF(AND(U134&lt;365,U134&gt;0),SUM(((U134/365)*(MIN(M134,BI134)))+(((365-U134)/365)*AS134)),(MIN(M134,AS134))),AS134)</f>
        <v>456</v>
      </c>
      <c r="BR134" s="270">
        <f t="shared" ref="BR134:BR197" si="171">IFERROR(IF(AND(V134&lt;365,V134&gt;0),SUM(((V134/365)*(MIN(N134,BJ134)))+(((365-V134)/365)*AT134)),(MIN(N134,AT134))),AT134)</f>
        <v>727</v>
      </c>
      <c r="BS134" s="270">
        <f t="shared" ref="BS134:BS197" si="172">IFERROR(IF(AND(W134&lt;365,W134&gt;0),SUM(((W134/365)*(MIN(O134,BK134)))+(((365-W134)/365)*AU134)),(MIN(O134,AU134))),AU134)</f>
        <v>760</v>
      </c>
      <c r="BT134" s="270">
        <f t="shared" ref="BT134:BT197" si="173">IFERROR(IF(AND(X134&lt;365,X134&gt;0),SUM(((X134/365)*(MIN(P134,BL134)))+(((365-X134)/365)*AV134)),(MIN(P134,AV134))),AV134)</f>
        <v>748</v>
      </c>
      <c r="BU134" s="270">
        <f t="shared" ref="BU134:BU197" si="174">IFERROR(IF(AND(Y134&lt;365,Y134&gt;0),SUM(((Y134/365)*(MIN(Q134,BM134)))+(((365-Y134)/365)*AW134)),(MIN(Q134,AW134))),AW134)</f>
        <v>730</v>
      </c>
      <c r="BV134" s="270">
        <f t="shared" ref="BV134:BV197" si="175">IFERROR(IF(AND(Z134&lt;365,Z134&gt;0),SUM(((Z134/365)*(MIN(R134,BN134)))+(((365-Z134)/365)*AX134)),(MIN(R134,AX134))),AX134)</f>
        <v>717</v>
      </c>
      <c r="BW134" s="39">
        <f>VLOOKUP($A134,NetAdditions!$A$2:$H$336,6,FALSE)</f>
        <v>425</v>
      </c>
      <c r="BX134" s="39">
        <f>VLOOKUP($A134,NetAdditions!$A$2:$H$336,7,FALSE)</f>
        <v>285</v>
      </c>
      <c r="BY134" s="39">
        <f>IF((VLOOKUP($C134,NetAdditions!$A$2:$H$336,8,FALSE))="",(AVERAGE(VLOOKUP($C134,NetAdditions!$A$2:$H$336,5,FALSE),VLOOKUP($C134,NetAdditions!$A$2:$H$336,6,FALSE),VLOOKUP($C134,NetAdditions!$A$2:$H$336,7,FALSE))),VLOOKUP($C134,NetAdditions!$A$2:$H$336,8,FALSE))</f>
        <v>267</v>
      </c>
      <c r="BZ134" s="39">
        <f t="shared" ref="BZ134:BZ197" si="176">AVERAGE(BW134:BY134)</f>
        <v>325.66666666666669</v>
      </c>
      <c r="CA134" s="39">
        <f t="shared" ref="CA134:CA197" si="177">AVERAGE(BX134:BZ134)</f>
        <v>292.5555555555556</v>
      </c>
      <c r="CB134" s="39">
        <f t="shared" ref="CB134:CB197" si="178">AVERAGE(BY134:CA134)</f>
        <v>295.07407407407413</v>
      </c>
      <c r="CC134" s="39">
        <f t="shared" ref="CC134:CC197" si="179">AVERAGE(BZ134:CB134)</f>
        <v>304.43209876543216</v>
      </c>
      <c r="CD134" s="39">
        <f t="shared" ref="CD134:CD197" si="180">AVERAGE(CA134:CC134)</f>
        <v>297.35390946502065</v>
      </c>
      <c r="CE134" s="276">
        <f t="shared" si="137"/>
        <v>1380</v>
      </c>
      <c r="CF134" s="276">
        <f t="shared" si="138"/>
        <v>1641</v>
      </c>
      <c r="CG134" s="276">
        <f t="shared" si="139"/>
        <v>1943</v>
      </c>
      <c r="CH134" s="276">
        <f t="shared" si="140"/>
        <v>2235</v>
      </c>
      <c r="CI134" s="276">
        <f t="shared" si="141"/>
        <v>2238</v>
      </c>
      <c r="CJ134" s="276">
        <f t="shared" si="142"/>
        <v>2195</v>
      </c>
      <c r="CK134" s="276">
        <f t="shared" ref="CK134:CK197" si="181">CE134*((24+7)/36)</f>
        <v>1188.3333333333335</v>
      </c>
      <c r="CL134" s="276">
        <f t="shared" ref="CL134:CL197" si="182">CF134*((24+7)/36)</f>
        <v>1413.0833333333335</v>
      </c>
      <c r="CM134" s="276">
        <f t="shared" ref="CM134:CM197" si="183">CG134*((24+9)/36)</f>
        <v>1781.0833333333333</v>
      </c>
      <c r="CN134" s="276">
        <f t="shared" ref="CN134:CN197" si="184">CH134</f>
        <v>2235</v>
      </c>
      <c r="CO134" s="276">
        <f t="shared" ref="CO134:CO197" si="185">CI134</f>
        <v>2238</v>
      </c>
      <c r="CP134" s="276">
        <f t="shared" ref="CP134:CP197" si="186">CJ134</f>
        <v>2195</v>
      </c>
      <c r="CQ134" s="39">
        <f t="shared" si="143"/>
        <v>977</v>
      </c>
      <c r="CR134" s="39">
        <f t="shared" si="144"/>
        <v>877.66666666666674</v>
      </c>
      <c r="CS134" s="277">
        <f t="shared" si="145"/>
        <v>885.2222222222224</v>
      </c>
      <c r="CT134" s="39">
        <f t="shared" si="146"/>
        <v>913.29629629629642</v>
      </c>
      <c r="CU134" s="39">
        <f t="shared" si="147"/>
        <v>892.06172839506189</v>
      </c>
      <c r="CV134" s="39">
        <f t="shared" ref="CV134:CV197" si="187">SUM(CB134:CD134)</f>
        <v>896.86008230452694</v>
      </c>
      <c r="CW134" s="297">
        <f t="shared" si="148"/>
        <v>0.82215988779803639</v>
      </c>
      <c r="CX134" s="279" t="str">
        <f t="shared" ref="CX134:CX197" si="188">IF(CW134&lt;0.25, "Presumption", IF(CW134&lt;0.85, "Buffer and Action Plan", IF(CW134&lt;0.95, "Action Plan", "Pass")))</f>
        <v>Buffer and Action Plan</v>
      </c>
      <c r="CY134" s="278">
        <f t="shared" si="149"/>
        <v>0.6211004305006782</v>
      </c>
      <c r="CZ134" s="279" t="str">
        <f t="shared" ref="CZ134:CZ197" si="189">IF(CY134&lt;0.45, "Presumption", IF(CY134&lt;0.85, "Buffer and Action Plan", IF(CY134&lt;0.95, "Action Plan", "Pass")))</f>
        <v>Buffer and Action Plan</v>
      </c>
      <c r="DA134" s="278">
        <f t="shared" si="150"/>
        <v>0.49701336577301591</v>
      </c>
      <c r="DB134" s="292" t="str">
        <f t="shared" ref="DB134:DB197" si="190">IF(DA134&lt;0.75, "Presumption", IF(DA134&lt;0.85, "Buffer and Action Plan", IF(DA134&lt;0.95, "Action Plan", "Pass")))</f>
        <v>Presumption</v>
      </c>
      <c r="DC134" s="299">
        <f t="shared" ref="DC134:DC197" si="191">IFERROR(CT134/CN134,"-")</f>
        <v>0.40863368961802971</v>
      </c>
      <c r="DD134" s="293" t="str">
        <f t="shared" ref="DD134:DD197" si="192">IF(DC134&lt;0.75, "Presumption", IF(DC134&lt;0.85, "Buffer and Action Plan", IF(DC134&lt;0.95, "Action Plan", "Pass")))</f>
        <v>Presumption</v>
      </c>
      <c r="DE134" s="299">
        <f t="shared" ref="DE134:DE197" si="193">IFERROR(CU134/CO134,"-")</f>
        <v>0.39859773386731989</v>
      </c>
      <c r="DF134" s="293" t="str">
        <f t="shared" ref="DF134:DF197" si="194">IF(DE134&lt;0.75, "Presumption", IF(DE134&lt;0.85, "Buffer and Action Plan", IF(DE134&lt;0.95, "Action Plan", "Pass")))</f>
        <v>Presumption</v>
      </c>
      <c r="DG134" s="299">
        <f t="shared" ref="DG134:DG197" si="195">IFERROR(CV134/CP134,"-")</f>
        <v>0.40859229262165236</v>
      </c>
      <c r="DH134" s="293" t="str">
        <f t="shared" ref="DH134:DH197" si="196">IF(DG134&lt;0.75, "Presumption", IF(DG134&lt;0.85, "Buffer and Action Plan", IF(DG134&lt;0.95, "Action Plan", "Pass")))</f>
        <v>Presumption</v>
      </c>
    </row>
    <row r="135" spans="1:112" ht="15" thickTop="1" thickBot="1">
      <c r="A135" s="38" t="s">
        <v>380</v>
      </c>
      <c r="B135" s="38" t="s">
        <v>381</v>
      </c>
      <c r="C135" s="38" t="s">
        <v>380</v>
      </c>
      <c r="D135" s="38" t="s">
        <v>113</v>
      </c>
      <c r="E135" s="38" t="str">
        <f>VLOOKUP(C135,PoliticalControl!A:K,11,FALSE)</f>
        <v>CON</v>
      </c>
      <c r="F135" s="38" t="str">
        <f>VLOOKUP(C135,UrbanRuralClassification!A:N,13,FALSE)</f>
        <v xml:space="preserve">Largely Rural (rural including hub towns 50-79%) </v>
      </c>
      <c r="G135" s="38" t="str">
        <f>VLOOKUP(C135,UrbanRuralClassification!A:N,14,FALSE)</f>
        <v>Predominantly Rural</v>
      </c>
      <c r="H135" s="258">
        <f>IF(ISBLANK((VLOOKUP($A135,'local-plan-data'!$C$1:$AD$566,27,FALSE)))=TRUE,"",VLOOKUP($A135,'local-plan-data'!$C$1:$AD$566,27,FALSE))</f>
        <v>42335</v>
      </c>
      <c r="I135" s="259">
        <f>VLOOKUP($A135,'local-plan-data'!$C$1:$AD$566,28,FALSE)</f>
        <v>800</v>
      </c>
      <c r="J135" s="260">
        <f t="shared" si="151"/>
        <v>800</v>
      </c>
      <c r="K135" s="259">
        <f t="shared" si="133"/>
        <v>800</v>
      </c>
      <c r="L135" s="259">
        <f t="shared" si="135"/>
        <v>800</v>
      </c>
      <c r="M135" s="259">
        <f t="shared" si="135"/>
        <v>800</v>
      </c>
      <c r="N135" s="259" t="str">
        <f t="shared" si="135"/>
        <v>-</v>
      </c>
      <c r="O135" s="259" t="str">
        <f t="shared" si="135"/>
        <v>-</v>
      </c>
      <c r="P135" s="259" t="str">
        <f t="shared" si="135"/>
        <v>-</v>
      </c>
      <c r="Q135" s="259" t="str">
        <f t="shared" si="135"/>
        <v>-</v>
      </c>
      <c r="R135" s="259" t="str">
        <f t="shared" si="135"/>
        <v>-</v>
      </c>
      <c r="S135" s="259">
        <f t="shared" si="134"/>
        <v>971</v>
      </c>
      <c r="T135" s="259">
        <f t="shared" si="136"/>
        <v>606</v>
      </c>
      <c r="U135" s="259">
        <f t="shared" si="136"/>
        <v>240</v>
      </c>
      <c r="V135" s="259">
        <f t="shared" si="136"/>
        <v>-125</v>
      </c>
      <c r="W135" s="259">
        <f t="shared" si="136"/>
        <v>-490</v>
      </c>
      <c r="X135" s="259">
        <f t="shared" si="136"/>
        <v>-855</v>
      </c>
      <c r="Y135" s="259">
        <f t="shared" si="136"/>
        <v>-1221</v>
      </c>
      <c r="Z135" s="259">
        <f t="shared" si="136"/>
        <v>-1586</v>
      </c>
      <c r="AA135" s="267">
        <f>(VLOOKUP(A135,Hshldprojections2014!$A$2:$AW$319,40, FALSE)-VLOOKUP(A135,Hshldprojections2014!$A$2:$AW$319,30, FALSE))/10</f>
        <v>603.9</v>
      </c>
      <c r="AB135" s="267">
        <f>(VLOOKUP(A135,Hshldprojections2014!$A$2:$AW$319,41, FALSE)-VLOOKUP(A135,Hshldprojections2014!$A$2:$AW$319,31, FALSE))/10</f>
        <v>597.20000000000005</v>
      </c>
      <c r="AC135" s="267">
        <f>(VLOOKUP(A135,Hshldprojections2014!$A$2:$AW$319,42, FALSE)-VLOOKUP(A135,Hshldprojections2014!$A$2:$AW$319,32, FALSE))/10</f>
        <v>591.6</v>
      </c>
      <c r="AD135" s="267">
        <f>IF(IndividualLATest!$J$7=2014,(VLOOKUP($A135,Hshldprojections2014!$A$2:$AY$326,43,FALSE)-VLOOKUP($A135,Hshldprojections2014!$A$2:$AY$326,33,FALSE))/10,IF(IndividualLATest!$J$7=2016,(VLOOKUP($A135,Hshldprojections2016!$A$1:$AQ$322,33,FALSE)-VLOOKUP($A135,Hshldprojections2016!$A$1:$AQ$322,23,FALSE))/10,(VLOOKUP($A135,Hshldprojections2018!$A$1:$AQ$327,33,FALSE)-VLOOKUP($A135,Hshldprojections2018!$A$1:$AQ$327,23,FALSE))/10))</f>
        <v>750.4</v>
      </c>
      <c r="AE135" s="267">
        <f>IF(IndividualLATest!$J$7=2014,(VLOOKUP($A135,Hshldprojections2014!$A$2:$AY$326,44,FALSE)-VLOOKUP($A135,Hshldprojections2014!$A$2:$AY$326,34,FALSE))/10,IF(IndividualLATest!$J$7=2016,(VLOOKUP($A135,Hshldprojections2016!$A$1:$AQ$322,34,FALSE)-VLOOKUP($A135,Hshldprojections2016!$A$1:$AQ$322,24,FALSE))/10,(VLOOKUP($A135,Hshldprojections2018!$A$1:$AQ$327,34,FALSE)-VLOOKUP($A135,Hshldprojections2018!$A$1:$AQ$327,24,FALSE))/10))</f>
        <v>727.7</v>
      </c>
      <c r="AF135" s="267">
        <f>IF(IndividualLATest!$J$7=2014,(VLOOKUP($A135,Hshldprojections2014!$A$2:$AY$326,45,FALSE)-VLOOKUP($A135,Hshldprojections2014!$A$2:$AY$326,35,FALSE))/10,IF(IndividualLATest!$J$7=2016,(VLOOKUP($A135,Hshldprojections2016!$A$1:$AQ$322,35,FALSE)-VLOOKUP($A135,Hshldprojections2016!$A$1:$AQ$322,25,FALSE))/10,(VLOOKUP($A135,Hshldprojections2018!$A$1:$AQ$327,35,FALSE)-VLOOKUP($A135,Hshldprojections2018!$A$1:$AQ$327,25,FALSE))/10))</f>
        <v>705.4</v>
      </c>
      <c r="AG135" s="267">
        <f>IF(IndividualLATest!$J$7=2014,(VLOOKUP($A135,Hshldprojections2014!$A$2:$AY$326,46,FALSE)-VLOOKUP($A135,Hshldprojections2014!$A$2:$AY$326,36,FALSE))/10,IF(IndividualLATest!$J$7=2016,(VLOOKUP($A135,Hshldprojections2016!$A$1:$AQ$322,36,FALSE)-VLOOKUP($A135,Hshldprojections2016!$A$1:$AQ$322,26,FALSE))/10,(VLOOKUP($A135,Hshldprojections2018!$A$1:$AQ$327,36,FALSE)-VLOOKUP($A135,Hshldprojections2018!$A$1:$AQ$327,26,FALSE))/10))</f>
        <v>686.3</v>
      </c>
      <c r="AH135" s="267">
        <f>IF(IndividualLATest!$J$7=2014,(VLOOKUP($A135,Hshldprojections2014!$A$2:$AY$326,47,FALSE)-VLOOKUP($A135,Hshldprojections2014!$A$2:$AY$326,37,FALSE))/10,IF(IndividualLATest!$J$7=2016,(VLOOKUP($A135,Hshldprojections2016!$A$1:$AQ$322,37,FALSE)-VLOOKUP($A135,Hshldprojections2016!$A$1:$AQ$322,27,FALSE))/10,(VLOOKUP($A135,Hshldprojections2018!$A$1:$AQ$327,37,FALSE)-VLOOKUP($A135,Hshldprojections2018!$A$1:$AQ$327,27,FALSE))/10))</f>
        <v>669.3</v>
      </c>
      <c r="AI135" s="268">
        <f>VLOOKUP($A135,AffordabilityRatio!$A$2:$I$321,5,FALSE)</f>
        <v>13.8</v>
      </c>
      <c r="AJ135" s="268">
        <f>VLOOKUP($A135,AffordabilityRatio!$A$2:$I$321,6,FALSE)</f>
        <v>13.87</v>
      </c>
      <c r="AK135" s="268">
        <f>VLOOKUP($A135,AffordabilityRatio!$A$2:$I$321,7,FALSE)</f>
        <v>12.76</v>
      </c>
      <c r="AL135" s="268">
        <f>IF((VLOOKUP($A135,AffordabilityRatio!$A$2:$I$321,8,FALSE))="",AK135,VLOOKUP($A135,AffordabilityRatio!$A$2:$I$321,8,FALSE))</f>
        <v>12.47</v>
      </c>
      <c r="AM135" s="268">
        <f>IF((VLOOKUP($A135,AffordabilityRatio!$A$2:$I$321,9,FALSE))="",AL135,VLOOKUP($A135,AffordabilityRatio!$A$2:$I$321,9,FALSE))</f>
        <v>13.93</v>
      </c>
      <c r="AN135" s="268">
        <f>IF((VLOOKUP($A135,AffordabilityRatio!$A$2:$I$321,9,FALSE))="",AM135,VLOOKUP($A135,AffordabilityRatio!$A$2:$I$321,9,FALSE))</f>
        <v>13.93</v>
      </c>
      <c r="AO135" s="268">
        <f>IF((VLOOKUP($A135,AffordabilityRatio!$A$2:$I$321,9,FALSE))="",AN135,VLOOKUP($A135,AffordabilityRatio!$A$2:$I$321,9,FALSE))</f>
        <v>13.93</v>
      </c>
      <c r="AP135" s="268">
        <f>IF((VLOOKUP($A135,AffordabilityRatio!$A$2:$I$321,9,FALSE))="",AO135,VLOOKUP($A135,AffordabilityRatio!$A$2:$I$321,9,FALSE))</f>
        <v>13.93</v>
      </c>
      <c r="AQ135" s="267">
        <f t="shared" si="152"/>
        <v>974</v>
      </c>
      <c r="AR135" s="267">
        <f t="shared" si="153"/>
        <v>966</v>
      </c>
      <c r="AS135" s="267">
        <f t="shared" si="154"/>
        <v>916</v>
      </c>
      <c r="AT135" s="267">
        <f t="shared" si="155"/>
        <v>1148</v>
      </c>
      <c r="AU135" s="267">
        <f t="shared" si="156"/>
        <v>1179</v>
      </c>
      <c r="AV135" s="267">
        <f t="shared" si="157"/>
        <v>1143</v>
      </c>
      <c r="AW135" s="267">
        <f t="shared" si="158"/>
        <v>1112</v>
      </c>
      <c r="AX135" s="267">
        <f t="shared" si="159"/>
        <v>1085</v>
      </c>
      <c r="AY135" s="267">
        <f t="shared" si="160"/>
        <v>974</v>
      </c>
      <c r="AZ135" s="267">
        <f t="shared" si="161"/>
        <v>966</v>
      </c>
      <c r="BA135" s="267">
        <f t="shared" si="162"/>
        <v>916</v>
      </c>
      <c r="BB135" s="267">
        <f t="shared" si="163"/>
        <v>1120</v>
      </c>
      <c r="BC135" s="267">
        <f t="shared" si="164"/>
        <v>1120</v>
      </c>
      <c r="BD135" s="267">
        <f t="shared" si="165"/>
        <v>1120</v>
      </c>
      <c r="BE135" s="267">
        <f t="shared" si="166"/>
        <v>1112</v>
      </c>
      <c r="BF135" s="267">
        <f t="shared" si="167"/>
        <v>1085</v>
      </c>
      <c r="BG135" s="269">
        <f>AY135*VLOOKUP($B135,'Major Cities &amp; Towns'!$A$28:$B$345,2,FALSE)</f>
        <v>974</v>
      </c>
      <c r="BH135" s="269">
        <f>AZ135*VLOOKUP($B135,'Major Cities &amp; Towns'!$A$28:$B$345,2,FALSE)</f>
        <v>966</v>
      </c>
      <c r="BI135" s="269">
        <f>BA135*VLOOKUP($B135,'Major Cities &amp; Towns'!$A$28:$B$345,2,FALSE)</f>
        <v>916</v>
      </c>
      <c r="BJ135" s="269">
        <f>BB135*VLOOKUP($B135,'Major Cities &amp; Towns'!$A$28:$B$345,2,FALSE)</f>
        <v>1120</v>
      </c>
      <c r="BK135" s="269">
        <f>BC135*VLOOKUP($B135,'Major Cities &amp; Towns'!$A$28:$B$345,2,FALSE)</f>
        <v>1120</v>
      </c>
      <c r="BL135" s="269">
        <f>BD135*VLOOKUP($B135,'Major Cities &amp; Towns'!$A$28:$B$345,2,FALSE)</f>
        <v>1120</v>
      </c>
      <c r="BM135" s="269">
        <f>BE135*VLOOKUP($B135,'Major Cities &amp; Towns'!$A$28:$B$345,2,FALSE)</f>
        <v>1112</v>
      </c>
      <c r="BN135" s="269">
        <f>BF135*VLOOKUP($B135,'Major Cities &amp; Towns'!$A$28:$B$345,2,FALSE)</f>
        <v>1085</v>
      </c>
      <c r="BO135" s="270">
        <f t="shared" si="168"/>
        <v>800</v>
      </c>
      <c r="BP135" s="270">
        <f t="shared" si="169"/>
        <v>800</v>
      </c>
      <c r="BQ135" s="270">
        <f t="shared" si="170"/>
        <v>839.72602739726017</v>
      </c>
      <c r="BR135" s="270">
        <f t="shared" si="171"/>
        <v>1148</v>
      </c>
      <c r="BS135" s="270">
        <f t="shared" si="172"/>
        <v>1179</v>
      </c>
      <c r="BT135" s="270">
        <f t="shared" si="173"/>
        <v>1143</v>
      </c>
      <c r="BU135" s="270">
        <f t="shared" si="174"/>
        <v>1112</v>
      </c>
      <c r="BV135" s="270">
        <f t="shared" si="175"/>
        <v>1085</v>
      </c>
      <c r="BW135" s="39">
        <f>VLOOKUP($A135,NetAdditions!$A$2:$H$336,6,FALSE)</f>
        <v>1392</v>
      </c>
      <c r="BX135" s="39">
        <f>VLOOKUP($A135,NetAdditions!$A$2:$H$336,7,FALSE)</f>
        <v>955</v>
      </c>
      <c r="BY135" s="39">
        <f>IF((VLOOKUP($C135,NetAdditions!$A$2:$H$336,8,FALSE))="",(AVERAGE(VLOOKUP($C135,NetAdditions!$A$2:$H$336,5,FALSE),VLOOKUP($C135,NetAdditions!$A$2:$H$336,6,FALSE),VLOOKUP($C135,NetAdditions!$A$2:$H$336,7,FALSE))),VLOOKUP($C135,NetAdditions!$A$2:$H$336,8,FALSE))</f>
        <v>771</v>
      </c>
      <c r="BZ135" s="39">
        <f t="shared" si="176"/>
        <v>1039.3333333333333</v>
      </c>
      <c r="CA135" s="39">
        <f t="shared" si="177"/>
        <v>921.77777777777771</v>
      </c>
      <c r="CB135" s="39">
        <f t="shared" si="178"/>
        <v>910.70370370370358</v>
      </c>
      <c r="CC135" s="39">
        <f t="shared" si="179"/>
        <v>957.27160493827148</v>
      </c>
      <c r="CD135" s="39">
        <f t="shared" si="180"/>
        <v>929.917695473251</v>
      </c>
      <c r="CE135" s="276">
        <f t="shared" si="137"/>
        <v>2439.7260273972602</v>
      </c>
      <c r="CF135" s="276">
        <f t="shared" si="138"/>
        <v>2787.7260273972602</v>
      </c>
      <c r="CG135" s="276">
        <f t="shared" si="139"/>
        <v>3166.7260273972602</v>
      </c>
      <c r="CH135" s="276">
        <f t="shared" si="140"/>
        <v>3470</v>
      </c>
      <c r="CI135" s="276">
        <f t="shared" si="141"/>
        <v>3434</v>
      </c>
      <c r="CJ135" s="276">
        <f t="shared" si="142"/>
        <v>3340</v>
      </c>
      <c r="CK135" s="276">
        <f t="shared" si="181"/>
        <v>2100.8751902587519</v>
      </c>
      <c r="CL135" s="276">
        <f t="shared" si="182"/>
        <v>2400.5418569254184</v>
      </c>
      <c r="CM135" s="276">
        <f t="shared" si="183"/>
        <v>2902.8321917808216</v>
      </c>
      <c r="CN135" s="276">
        <f t="shared" si="184"/>
        <v>3470</v>
      </c>
      <c r="CO135" s="276">
        <f t="shared" si="185"/>
        <v>3434</v>
      </c>
      <c r="CP135" s="276">
        <f t="shared" si="186"/>
        <v>3340</v>
      </c>
      <c r="CQ135" s="39">
        <f t="shared" si="143"/>
        <v>3118</v>
      </c>
      <c r="CR135" s="39">
        <f t="shared" si="144"/>
        <v>2765.333333333333</v>
      </c>
      <c r="CS135" s="277">
        <f t="shared" si="145"/>
        <v>2732.1111111111109</v>
      </c>
      <c r="CT135" s="39">
        <f t="shared" si="146"/>
        <v>2871.8148148148143</v>
      </c>
      <c r="CU135" s="39">
        <f t="shared" si="147"/>
        <v>2789.7530864197529</v>
      </c>
      <c r="CV135" s="39">
        <f t="shared" si="187"/>
        <v>2797.8930041152262</v>
      </c>
      <c r="CW135" s="297">
        <f t="shared" si="148"/>
        <v>1.4841433772255528</v>
      </c>
      <c r="CX135" s="279" t="str">
        <f t="shared" si="188"/>
        <v>Pass</v>
      </c>
      <c r="CY135" s="278">
        <f t="shared" si="149"/>
        <v>1.1519621394459394</v>
      </c>
      <c r="CZ135" s="279" t="str">
        <f t="shared" si="189"/>
        <v>Pass</v>
      </c>
      <c r="DA135" s="278">
        <f t="shared" si="150"/>
        <v>0.94118809859106001</v>
      </c>
      <c r="DB135" s="292" t="str">
        <f t="shared" si="190"/>
        <v>Action Plan</v>
      </c>
      <c r="DC135" s="299">
        <f t="shared" si="191"/>
        <v>0.82761233856334704</v>
      </c>
      <c r="DD135" s="293" t="str">
        <f t="shared" si="192"/>
        <v>Buffer and Action Plan</v>
      </c>
      <c r="DE135" s="299">
        <f t="shared" si="193"/>
        <v>0.81239169668600841</v>
      </c>
      <c r="DF135" s="293" t="str">
        <f t="shared" si="194"/>
        <v>Buffer and Action Plan</v>
      </c>
      <c r="DG135" s="299">
        <f t="shared" si="195"/>
        <v>0.83769251620216356</v>
      </c>
      <c r="DH135" s="293" t="str">
        <f t="shared" si="196"/>
        <v>Buffer and Action Plan</v>
      </c>
    </row>
    <row r="136" spans="1:112" customFormat="1" ht="15.5" thickTop="1" thickBot="1">
      <c r="A136" s="3" t="s">
        <v>382</v>
      </c>
      <c r="B136" s="3" t="s">
        <v>383</v>
      </c>
      <c r="C136" s="3" t="s">
        <v>382</v>
      </c>
      <c r="D136" s="3" t="s">
        <v>131</v>
      </c>
      <c r="E136" s="3" t="str">
        <f>VLOOKUP(C136,PoliticalControl!A:K,11,FALSE)</f>
        <v>LAB</v>
      </c>
      <c r="F136" s="3" t="str">
        <f>VLOOKUP(C136,UrbanRuralClassification!A:N,13,FALSE)</f>
        <v>Urban with Major Conurbation</v>
      </c>
      <c r="G136" s="3" t="str">
        <f>VLOOKUP(C136,UrbanRuralClassification!A:N,14,FALSE)</f>
        <v>Predominantly Urban</v>
      </c>
      <c r="H136" s="262">
        <f>IF(ISBLANK((VLOOKUP($A136,'local-plan-data'!$C$1:$AD$566,27,FALSE)))=TRUE,"",VLOOKUP($A136,'local-plan-data'!$C$1:$AD$566,27,FALSE))</f>
        <v>42262</v>
      </c>
      <c r="I136" s="263">
        <f>VLOOKUP($A136,'local-plan-data'!$C$1:$AD$566,28,FALSE)</f>
        <v>822</v>
      </c>
      <c r="J136" s="264">
        <f t="shared" si="151"/>
        <v>822</v>
      </c>
      <c r="K136" s="259">
        <f t="shared" si="133"/>
        <v>822</v>
      </c>
      <c r="L136" s="259">
        <f t="shared" si="135"/>
        <v>822</v>
      </c>
      <c r="M136" s="259">
        <f t="shared" si="135"/>
        <v>822</v>
      </c>
      <c r="N136" s="259" t="str">
        <f t="shared" si="135"/>
        <v>-</v>
      </c>
      <c r="O136" s="259" t="str">
        <f t="shared" si="135"/>
        <v>-</v>
      </c>
      <c r="P136" s="259" t="str">
        <f t="shared" si="135"/>
        <v>-</v>
      </c>
      <c r="Q136" s="259" t="str">
        <f t="shared" si="135"/>
        <v>-</v>
      </c>
      <c r="R136" s="259" t="str">
        <f t="shared" si="135"/>
        <v>-</v>
      </c>
      <c r="S136" s="259">
        <f t="shared" si="134"/>
        <v>898</v>
      </c>
      <c r="T136" s="259">
        <f t="shared" si="136"/>
        <v>533</v>
      </c>
      <c r="U136" s="259">
        <f t="shared" si="136"/>
        <v>167</v>
      </c>
      <c r="V136" s="259">
        <f t="shared" si="136"/>
        <v>-198</v>
      </c>
      <c r="W136" s="259">
        <f t="shared" si="136"/>
        <v>-563</v>
      </c>
      <c r="X136" s="259">
        <f t="shared" si="136"/>
        <v>-928</v>
      </c>
      <c r="Y136" s="259">
        <f t="shared" si="136"/>
        <v>-1294</v>
      </c>
      <c r="Z136" s="259">
        <f t="shared" si="136"/>
        <v>-1659</v>
      </c>
      <c r="AA136" s="267">
        <f>(VLOOKUP(A136,Hshldprojections2014!$A$2:$AW$319,40, FALSE)-VLOOKUP(A136,Hshldprojections2014!$A$2:$AW$319,30, FALSE))/10</f>
        <v>1859.3</v>
      </c>
      <c r="AB136" s="267">
        <f>(VLOOKUP(A136,Hshldprojections2014!$A$2:$AW$319,41, FALSE)-VLOOKUP(A136,Hshldprojections2014!$A$2:$AW$319,31, FALSE))/10</f>
        <v>1823.8</v>
      </c>
      <c r="AC136" s="267">
        <f>(VLOOKUP(A136,Hshldprojections2014!$A$2:$AW$319,42, FALSE)-VLOOKUP(A136,Hshldprojections2014!$A$2:$AW$319,32, FALSE))/10</f>
        <v>1788.9</v>
      </c>
      <c r="AD136" s="267">
        <f>IF(IndividualLATest!$J$7=2014,(VLOOKUP($A136,Hshldprojections2014!$A$2:$AY$326,43,FALSE)-VLOOKUP($A136,Hshldprojections2014!$A$2:$AY$326,33,FALSE))/10,IF(IndividualLATest!$J$7=2016,(VLOOKUP($A136,Hshldprojections2016!$A$1:$AQ$322,33,FALSE)-VLOOKUP($A136,Hshldprojections2016!$A$1:$AQ$322,23,FALSE))/10,(VLOOKUP($A136,Hshldprojections2018!$A$1:$AQ$327,33,FALSE)-VLOOKUP($A136,Hshldprojections2018!$A$1:$AQ$327,23,FALSE))/10))</f>
        <v>583.5</v>
      </c>
      <c r="AE136" s="267">
        <f>IF(IndividualLATest!$J$7=2014,(VLOOKUP($A136,Hshldprojections2014!$A$2:$AY$326,44,FALSE)-VLOOKUP($A136,Hshldprojections2014!$A$2:$AY$326,34,FALSE))/10,IF(IndividualLATest!$J$7=2016,(VLOOKUP($A136,Hshldprojections2016!$A$1:$AQ$322,34,FALSE)-VLOOKUP($A136,Hshldprojections2016!$A$1:$AQ$322,24,FALSE))/10,(VLOOKUP($A136,Hshldprojections2018!$A$1:$AQ$327,34,FALSE)-VLOOKUP($A136,Hshldprojections2018!$A$1:$AQ$327,24,FALSE))/10))</f>
        <v>562</v>
      </c>
      <c r="AF136" s="267">
        <f>IF(IndividualLATest!$J$7=2014,(VLOOKUP($A136,Hshldprojections2014!$A$2:$AY$326,45,FALSE)-VLOOKUP($A136,Hshldprojections2014!$A$2:$AY$326,35,FALSE))/10,IF(IndividualLATest!$J$7=2016,(VLOOKUP($A136,Hshldprojections2016!$A$1:$AQ$322,35,FALSE)-VLOOKUP($A136,Hshldprojections2016!$A$1:$AQ$322,25,FALSE))/10,(VLOOKUP($A136,Hshldprojections2018!$A$1:$AQ$327,35,FALSE)-VLOOKUP($A136,Hshldprojections2018!$A$1:$AQ$327,25,FALSE))/10))</f>
        <v>542.6</v>
      </c>
      <c r="AG136" s="267">
        <f>IF(IndividualLATest!$J$7=2014,(VLOOKUP($A136,Hshldprojections2014!$A$2:$AY$326,46,FALSE)-VLOOKUP($A136,Hshldprojections2014!$A$2:$AY$326,36,FALSE))/10,IF(IndividualLATest!$J$7=2016,(VLOOKUP($A136,Hshldprojections2016!$A$1:$AQ$322,36,FALSE)-VLOOKUP($A136,Hshldprojections2016!$A$1:$AQ$322,26,FALSE))/10,(VLOOKUP($A136,Hshldprojections2018!$A$1:$AQ$327,36,FALSE)-VLOOKUP($A136,Hshldprojections2018!$A$1:$AQ$327,26,FALSE))/10))</f>
        <v>527.5</v>
      </c>
      <c r="AH136" s="267">
        <f>IF(IndividualLATest!$J$7=2014,(VLOOKUP($A136,Hshldprojections2014!$A$2:$AY$326,47,FALSE)-VLOOKUP($A136,Hshldprojections2014!$A$2:$AY$326,37,FALSE))/10,IF(IndividualLATest!$J$7=2016,(VLOOKUP($A136,Hshldprojections2016!$A$1:$AQ$322,37,FALSE)-VLOOKUP($A136,Hshldprojections2016!$A$1:$AQ$322,27,FALSE))/10,(VLOOKUP($A136,Hshldprojections2018!$A$1:$AQ$327,37,FALSE)-VLOOKUP($A136,Hshldprojections2018!$A$1:$AQ$327,27,FALSE))/10))</f>
        <v>513.4</v>
      </c>
      <c r="AI136" s="268">
        <f>VLOOKUP($A136,AffordabilityRatio!$A$2:$I$321,5,FALSE)</f>
        <v>11.14</v>
      </c>
      <c r="AJ136" s="268">
        <f>VLOOKUP($A136,AffordabilityRatio!$A$2:$I$321,6,FALSE)</f>
        <v>11.41</v>
      </c>
      <c r="AK136" s="268">
        <f>VLOOKUP($A136,AffordabilityRatio!$A$2:$I$321,7,FALSE)</f>
        <v>11.18</v>
      </c>
      <c r="AL136" s="268">
        <f>IF((VLOOKUP($A136,AffordabilityRatio!$A$2:$I$321,8,FALSE))="",AK136,VLOOKUP($A136,AffordabilityRatio!$A$2:$I$321,8,FALSE))</f>
        <v>11.47</v>
      </c>
      <c r="AM136" s="268">
        <f>IF((VLOOKUP($A136,AffordabilityRatio!$A$2:$I$321,9,FALSE))="",AL136,VLOOKUP($A136,AffordabilityRatio!$A$2:$I$321,9,FALSE))</f>
        <v>12.13</v>
      </c>
      <c r="AN136" s="268">
        <f>IF((VLOOKUP($A136,AffordabilityRatio!$A$2:$I$321,9,FALSE))="",AM136,VLOOKUP($A136,AffordabilityRatio!$A$2:$I$321,9,FALSE))</f>
        <v>12.13</v>
      </c>
      <c r="AO136" s="268">
        <f>IF((VLOOKUP($A136,AffordabilityRatio!$A$2:$I$321,9,FALSE))="",AN136,VLOOKUP($A136,AffordabilityRatio!$A$2:$I$321,9,FALSE))</f>
        <v>12.13</v>
      </c>
      <c r="AP136" s="268">
        <f>IF((VLOOKUP($A136,AffordabilityRatio!$A$2:$I$321,9,FALSE))="",AO136,VLOOKUP($A136,AffordabilityRatio!$A$2:$I$321,9,FALSE))</f>
        <v>12.13</v>
      </c>
      <c r="AQ136" s="267">
        <f t="shared" si="152"/>
        <v>2689</v>
      </c>
      <c r="AR136" s="267">
        <f t="shared" si="153"/>
        <v>2668</v>
      </c>
      <c r="AS136" s="267">
        <f t="shared" si="154"/>
        <v>2592</v>
      </c>
      <c r="AT136" s="267">
        <f t="shared" si="155"/>
        <v>856</v>
      </c>
      <c r="AU136" s="267">
        <f t="shared" si="156"/>
        <v>848</v>
      </c>
      <c r="AV136" s="267">
        <f t="shared" si="157"/>
        <v>818</v>
      </c>
      <c r="AW136" s="267">
        <f t="shared" si="158"/>
        <v>796</v>
      </c>
      <c r="AX136" s="267">
        <f t="shared" si="159"/>
        <v>774</v>
      </c>
      <c r="AY136" s="267">
        <f t="shared" si="160"/>
        <v>1150.8</v>
      </c>
      <c r="AZ136" s="267">
        <f t="shared" si="161"/>
        <v>1150.8</v>
      </c>
      <c r="BA136" s="267">
        <f t="shared" si="162"/>
        <v>1150.8</v>
      </c>
      <c r="BB136" s="267">
        <f t="shared" si="163"/>
        <v>856</v>
      </c>
      <c r="BC136" s="267">
        <f t="shared" si="164"/>
        <v>848</v>
      </c>
      <c r="BD136" s="267">
        <f t="shared" si="165"/>
        <v>818</v>
      </c>
      <c r="BE136" s="267">
        <f t="shared" si="166"/>
        <v>796</v>
      </c>
      <c r="BF136" s="267">
        <f t="shared" si="167"/>
        <v>774</v>
      </c>
      <c r="BG136" s="269">
        <f>AY136*VLOOKUP($B136,'Major Cities &amp; Towns'!$A$28:$B$345,2,FALSE)</f>
        <v>1553.58</v>
      </c>
      <c r="BH136" s="269">
        <f>AZ136*VLOOKUP($B136,'Major Cities &amp; Towns'!$A$28:$B$345,2,FALSE)</f>
        <v>1553.58</v>
      </c>
      <c r="BI136" s="269">
        <f>BA136*VLOOKUP($B136,'Major Cities &amp; Towns'!$A$28:$B$345,2,FALSE)</f>
        <v>1553.58</v>
      </c>
      <c r="BJ136" s="269">
        <f>BB136*VLOOKUP($B136,'Major Cities &amp; Towns'!$A$28:$B$345,2,FALSE)</f>
        <v>1155.6000000000001</v>
      </c>
      <c r="BK136" s="269">
        <f>BC136*VLOOKUP($B136,'Major Cities &amp; Towns'!$A$28:$B$345,2,FALSE)</f>
        <v>1144.8000000000002</v>
      </c>
      <c r="BL136" s="269">
        <f>BD136*VLOOKUP($B136,'Major Cities &amp; Towns'!$A$28:$B$345,2,FALSE)</f>
        <v>1104.3000000000002</v>
      </c>
      <c r="BM136" s="269">
        <f>BE136*VLOOKUP($B136,'Major Cities &amp; Towns'!$A$28:$B$345,2,FALSE)</f>
        <v>1074.6000000000001</v>
      </c>
      <c r="BN136" s="269">
        <f>BF136*VLOOKUP($B136,'Major Cities &amp; Towns'!$A$28:$B$345,2,FALSE)</f>
        <v>1044.9000000000001</v>
      </c>
      <c r="BO136" s="270">
        <f t="shared" si="168"/>
        <v>822</v>
      </c>
      <c r="BP136" s="270">
        <f t="shared" si="169"/>
        <v>822</v>
      </c>
      <c r="BQ136" s="270">
        <f t="shared" si="170"/>
        <v>1782.1643835616437</v>
      </c>
      <c r="BR136" s="270">
        <f t="shared" si="171"/>
        <v>856</v>
      </c>
      <c r="BS136" s="270">
        <f t="shared" si="172"/>
        <v>848</v>
      </c>
      <c r="BT136" s="270">
        <f t="shared" si="173"/>
        <v>818</v>
      </c>
      <c r="BU136" s="270">
        <f t="shared" si="174"/>
        <v>796</v>
      </c>
      <c r="BV136" s="270">
        <f t="shared" si="175"/>
        <v>774</v>
      </c>
      <c r="BW136" s="39">
        <f>VLOOKUP($A136,NetAdditions!$A$2:$H$336,6,FALSE)</f>
        <v>1264</v>
      </c>
      <c r="BX136" s="39">
        <f>VLOOKUP($A136,NetAdditions!$A$2:$H$336,7,FALSE)</f>
        <v>1545</v>
      </c>
      <c r="BY136" s="39">
        <f>IF((VLOOKUP($C136,NetAdditions!$A$2:$H$336,8,FALSE))="",(AVERAGE(VLOOKUP($C136,NetAdditions!$A$2:$H$336,5,FALSE),VLOOKUP($C136,NetAdditions!$A$2:$H$336,6,FALSE),VLOOKUP($C136,NetAdditions!$A$2:$H$336,7,FALSE))),VLOOKUP($C136,NetAdditions!$A$2:$H$336,8,FALSE))</f>
        <v>1562</v>
      </c>
      <c r="BZ136" s="39">
        <f t="shared" si="176"/>
        <v>1457</v>
      </c>
      <c r="CA136" s="39">
        <f t="shared" si="177"/>
        <v>1521.3333333333333</v>
      </c>
      <c r="CB136" s="39">
        <f t="shared" si="178"/>
        <v>1513.4444444444443</v>
      </c>
      <c r="CC136" s="39">
        <f t="shared" si="179"/>
        <v>1497.2592592592591</v>
      </c>
      <c r="CD136" s="39">
        <f t="shared" si="180"/>
        <v>1510.6790123456788</v>
      </c>
      <c r="CE136" s="276">
        <f t="shared" si="137"/>
        <v>3426.1643835616437</v>
      </c>
      <c r="CF136" s="276">
        <f t="shared" si="138"/>
        <v>3460.1643835616437</v>
      </c>
      <c r="CG136" s="276">
        <f t="shared" si="139"/>
        <v>3486.1643835616437</v>
      </c>
      <c r="CH136" s="276">
        <f t="shared" si="140"/>
        <v>2522</v>
      </c>
      <c r="CI136" s="276">
        <f t="shared" si="141"/>
        <v>2462</v>
      </c>
      <c r="CJ136" s="276">
        <f t="shared" si="142"/>
        <v>2388</v>
      </c>
      <c r="CK136" s="276">
        <f t="shared" si="181"/>
        <v>2950.3082191780823</v>
      </c>
      <c r="CL136" s="276">
        <f t="shared" si="182"/>
        <v>2979.5859969558601</v>
      </c>
      <c r="CM136" s="276">
        <f t="shared" si="183"/>
        <v>3195.6506849315065</v>
      </c>
      <c r="CN136" s="276">
        <f t="shared" si="184"/>
        <v>2522</v>
      </c>
      <c r="CO136" s="276">
        <f t="shared" si="185"/>
        <v>2462</v>
      </c>
      <c r="CP136" s="276">
        <f t="shared" si="186"/>
        <v>2388</v>
      </c>
      <c r="CQ136" s="39">
        <f t="shared" si="143"/>
        <v>4371</v>
      </c>
      <c r="CR136" s="39">
        <f t="shared" si="144"/>
        <v>4564</v>
      </c>
      <c r="CS136" s="277">
        <f t="shared" si="145"/>
        <v>4540.333333333333</v>
      </c>
      <c r="CT136" s="39">
        <f t="shared" si="146"/>
        <v>4491.7777777777774</v>
      </c>
      <c r="CU136" s="39">
        <f t="shared" si="147"/>
        <v>4532.0370370370365</v>
      </c>
      <c r="CV136" s="39">
        <f t="shared" si="187"/>
        <v>4521.382716049382</v>
      </c>
      <c r="CW136" s="297">
        <f t="shared" si="148"/>
        <v>1.4815401223461677</v>
      </c>
      <c r="CX136" s="279" t="str">
        <f t="shared" si="188"/>
        <v>Pass</v>
      </c>
      <c r="CY136" s="278">
        <f t="shared" si="149"/>
        <v>1.531756426786433</v>
      </c>
      <c r="CZ136" s="279" t="str">
        <f t="shared" si="189"/>
        <v>Pass</v>
      </c>
      <c r="DA136" s="278">
        <f t="shared" si="150"/>
        <v>1.4207852424992589</v>
      </c>
      <c r="DB136" s="292" t="str">
        <f t="shared" si="190"/>
        <v>Pass</v>
      </c>
      <c r="DC136" s="299">
        <f t="shared" si="191"/>
        <v>1.7810379769142655</v>
      </c>
      <c r="DD136" s="293" t="str">
        <f t="shared" si="192"/>
        <v>Pass</v>
      </c>
      <c r="DE136" s="299">
        <f t="shared" si="193"/>
        <v>1.8407948972530612</v>
      </c>
      <c r="DF136" s="293" t="str">
        <f t="shared" si="194"/>
        <v>Pass</v>
      </c>
      <c r="DG136" s="299">
        <f t="shared" si="195"/>
        <v>1.8933763467543476</v>
      </c>
      <c r="DH136" s="293" t="str">
        <f t="shared" si="196"/>
        <v>Pass</v>
      </c>
    </row>
    <row r="137" spans="1:112" ht="15" thickTop="1" thickBot="1">
      <c r="A137" s="38" t="s">
        <v>384</v>
      </c>
      <c r="B137" s="38" t="s">
        <v>385</v>
      </c>
      <c r="C137" s="38" t="s">
        <v>384</v>
      </c>
      <c r="D137" s="38" t="s">
        <v>128</v>
      </c>
      <c r="E137" s="38" t="str">
        <f>VLOOKUP(C137,PoliticalControl!A:K,11,FALSE)</f>
        <v>CON</v>
      </c>
      <c r="F137" s="38" t="str">
        <f>VLOOKUP(C137,UrbanRuralClassification!A:N,13,FALSE)</f>
        <v xml:space="preserve">Mainly Rural (rural including hub towns &gt;=80%) </v>
      </c>
      <c r="G137" s="38" t="str">
        <f>VLOOKUP(C137,UrbanRuralClassification!A:N,14,FALSE)</f>
        <v>Predominantly Rural</v>
      </c>
      <c r="H137" s="258">
        <f>IF(ISBLANK((VLOOKUP($A137,'local-plan-data'!$C$1:$AD$566,27,FALSE)))=TRUE,"",VLOOKUP($A137,'local-plan-data'!$C$1:$AD$566,27,FALSE))</f>
        <v>43600</v>
      </c>
      <c r="I137" s="259">
        <f>VLOOKUP($A137,'local-plan-data'!$C$1:$AD$566,28,FALSE)</f>
        <v>804</v>
      </c>
      <c r="J137" s="260">
        <f t="shared" si="151"/>
        <v>804</v>
      </c>
      <c r="K137" s="259">
        <f t="shared" si="133"/>
        <v>804</v>
      </c>
      <c r="L137" s="259">
        <f t="shared" si="135"/>
        <v>804</v>
      </c>
      <c r="M137" s="259">
        <f t="shared" si="135"/>
        <v>804</v>
      </c>
      <c r="N137" s="259">
        <f t="shared" si="135"/>
        <v>804</v>
      </c>
      <c r="O137" s="259">
        <f t="shared" si="135"/>
        <v>804</v>
      </c>
      <c r="P137" s="259">
        <f t="shared" si="135"/>
        <v>804</v>
      </c>
      <c r="Q137" s="259">
        <f t="shared" si="135"/>
        <v>804</v>
      </c>
      <c r="R137" s="259" t="str">
        <f t="shared" si="135"/>
        <v>-</v>
      </c>
      <c r="S137" s="259">
        <f t="shared" si="134"/>
        <v>2236</v>
      </c>
      <c r="T137" s="259">
        <f t="shared" si="136"/>
        <v>1871</v>
      </c>
      <c r="U137" s="259">
        <f t="shared" si="136"/>
        <v>1505</v>
      </c>
      <c r="V137" s="259">
        <f t="shared" si="136"/>
        <v>1140</v>
      </c>
      <c r="W137" s="259">
        <f t="shared" si="136"/>
        <v>775</v>
      </c>
      <c r="X137" s="259">
        <f t="shared" si="136"/>
        <v>410</v>
      </c>
      <c r="Y137" s="259">
        <f t="shared" si="136"/>
        <v>44</v>
      </c>
      <c r="Z137" s="259">
        <f t="shared" si="136"/>
        <v>-321</v>
      </c>
      <c r="AA137" s="267">
        <f>(VLOOKUP(A137,Hshldprojections2014!$A$2:$AW$319,40, FALSE)-VLOOKUP(A137,Hshldprojections2014!$A$2:$AW$319,30, FALSE))/10</f>
        <v>765.3</v>
      </c>
      <c r="AB137" s="267">
        <f>(VLOOKUP(A137,Hshldprojections2014!$A$2:$AW$319,41, FALSE)-VLOOKUP(A137,Hshldprojections2014!$A$2:$AW$319,31, FALSE))/10</f>
        <v>748.1</v>
      </c>
      <c r="AC137" s="267">
        <f>(VLOOKUP(A137,Hshldprojections2014!$A$2:$AW$319,42, FALSE)-VLOOKUP(A137,Hshldprojections2014!$A$2:$AW$319,32, FALSE))/10</f>
        <v>732.7</v>
      </c>
      <c r="AD137" s="267">
        <f>IF(IndividualLATest!$J$7=2014,(VLOOKUP($A137,Hshldprojections2014!$A$2:$AY$326,43,FALSE)-VLOOKUP($A137,Hshldprojections2014!$A$2:$AY$326,33,FALSE))/10,IF(IndividualLATest!$J$7=2016,(VLOOKUP($A137,Hshldprojections2016!$A$1:$AQ$322,33,FALSE)-VLOOKUP($A137,Hshldprojections2016!$A$1:$AQ$322,23,FALSE))/10,(VLOOKUP($A137,Hshldprojections2018!$A$1:$AQ$327,33,FALSE)-VLOOKUP($A137,Hshldprojections2018!$A$1:$AQ$327,23,FALSE))/10))</f>
        <v>488.3</v>
      </c>
      <c r="AE137" s="267">
        <f>IF(IndividualLATest!$J$7=2014,(VLOOKUP($A137,Hshldprojections2014!$A$2:$AY$326,44,FALSE)-VLOOKUP($A137,Hshldprojections2014!$A$2:$AY$326,34,FALSE))/10,IF(IndividualLATest!$J$7=2016,(VLOOKUP($A137,Hshldprojections2016!$A$1:$AQ$322,34,FALSE)-VLOOKUP($A137,Hshldprojections2016!$A$1:$AQ$322,24,FALSE))/10,(VLOOKUP($A137,Hshldprojections2018!$A$1:$AQ$327,34,FALSE)-VLOOKUP($A137,Hshldprojections2018!$A$1:$AQ$327,24,FALSE))/10))</f>
        <v>469</v>
      </c>
      <c r="AF137" s="267">
        <f>IF(IndividualLATest!$J$7=2014,(VLOOKUP($A137,Hshldprojections2014!$A$2:$AY$326,45,FALSE)-VLOOKUP($A137,Hshldprojections2014!$A$2:$AY$326,35,FALSE))/10,IF(IndividualLATest!$J$7=2016,(VLOOKUP($A137,Hshldprojections2016!$A$1:$AQ$322,35,FALSE)-VLOOKUP($A137,Hshldprojections2016!$A$1:$AQ$322,25,FALSE))/10,(VLOOKUP($A137,Hshldprojections2018!$A$1:$AQ$327,35,FALSE)-VLOOKUP($A137,Hshldprojections2018!$A$1:$AQ$327,25,FALSE))/10))</f>
        <v>455.3</v>
      </c>
      <c r="AG137" s="267">
        <f>IF(IndividualLATest!$J$7=2014,(VLOOKUP($A137,Hshldprojections2014!$A$2:$AY$326,46,FALSE)-VLOOKUP($A137,Hshldprojections2014!$A$2:$AY$326,36,FALSE))/10,IF(IndividualLATest!$J$7=2016,(VLOOKUP($A137,Hshldprojections2016!$A$1:$AQ$322,36,FALSE)-VLOOKUP($A137,Hshldprojections2016!$A$1:$AQ$322,26,FALSE))/10,(VLOOKUP($A137,Hshldprojections2018!$A$1:$AQ$327,36,FALSE)-VLOOKUP($A137,Hshldprojections2018!$A$1:$AQ$327,26,FALSE))/10))</f>
        <v>441.7</v>
      </c>
      <c r="AH137" s="267">
        <f>IF(IndividualLATest!$J$7=2014,(VLOOKUP($A137,Hshldprojections2014!$A$2:$AY$326,47,FALSE)-VLOOKUP($A137,Hshldprojections2014!$A$2:$AY$326,37,FALSE))/10,IF(IndividualLATest!$J$7=2016,(VLOOKUP($A137,Hshldprojections2016!$A$1:$AQ$322,37,FALSE)-VLOOKUP($A137,Hshldprojections2016!$A$1:$AQ$322,27,FALSE))/10,(VLOOKUP($A137,Hshldprojections2018!$A$1:$AQ$327,37,FALSE)-VLOOKUP($A137,Hshldprojections2018!$A$1:$AQ$327,27,FALSE))/10))</f>
        <v>432.4</v>
      </c>
      <c r="AI137" s="268">
        <f>VLOOKUP($A137,AffordabilityRatio!$A$2:$I$321,5,FALSE)</f>
        <v>8.82</v>
      </c>
      <c r="AJ137" s="268">
        <f>VLOOKUP($A137,AffordabilityRatio!$A$2:$I$321,6,FALSE)</f>
        <v>9.36</v>
      </c>
      <c r="AK137" s="268">
        <f>VLOOKUP($A137,AffordabilityRatio!$A$2:$I$321,7,FALSE)</f>
        <v>9.3000000000000007</v>
      </c>
      <c r="AL137" s="268">
        <f>IF((VLOOKUP($A137,AffordabilityRatio!$A$2:$I$321,8,FALSE))="",AK137,VLOOKUP($A137,AffordabilityRatio!$A$2:$I$321,8,FALSE))</f>
        <v>9.2899999999999991</v>
      </c>
      <c r="AM137" s="268">
        <f>IF((VLOOKUP($A137,AffordabilityRatio!$A$2:$I$321,9,FALSE))="",AL137,VLOOKUP($A137,AffordabilityRatio!$A$2:$I$321,9,FALSE))</f>
        <v>9.6199999999999992</v>
      </c>
      <c r="AN137" s="268">
        <f>IF((VLOOKUP($A137,AffordabilityRatio!$A$2:$I$321,9,FALSE))="",AM137,VLOOKUP($A137,AffordabilityRatio!$A$2:$I$321,9,FALSE))</f>
        <v>9.6199999999999992</v>
      </c>
      <c r="AO137" s="268">
        <f>IF((VLOOKUP($A137,AffordabilityRatio!$A$2:$I$321,9,FALSE))="",AN137,VLOOKUP($A137,AffordabilityRatio!$A$2:$I$321,9,FALSE))</f>
        <v>9.6199999999999992</v>
      </c>
      <c r="AP137" s="268">
        <f>IF((VLOOKUP($A137,AffordabilityRatio!$A$2:$I$321,9,FALSE))="",AO137,VLOOKUP($A137,AffordabilityRatio!$A$2:$I$321,9,FALSE))</f>
        <v>9.6199999999999992</v>
      </c>
      <c r="AQ137" s="267">
        <f t="shared" si="152"/>
        <v>996</v>
      </c>
      <c r="AR137" s="267">
        <f t="shared" si="153"/>
        <v>999</v>
      </c>
      <c r="AS137" s="267">
        <f t="shared" si="154"/>
        <v>975</v>
      </c>
      <c r="AT137" s="267">
        <f t="shared" si="155"/>
        <v>650</v>
      </c>
      <c r="AU137" s="267">
        <f t="shared" si="156"/>
        <v>634</v>
      </c>
      <c r="AV137" s="267">
        <f t="shared" si="157"/>
        <v>615</v>
      </c>
      <c r="AW137" s="267">
        <f t="shared" si="158"/>
        <v>597</v>
      </c>
      <c r="AX137" s="267">
        <f t="shared" si="159"/>
        <v>584</v>
      </c>
      <c r="AY137" s="267">
        <f t="shared" si="160"/>
        <v>996</v>
      </c>
      <c r="AZ137" s="267">
        <f t="shared" si="161"/>
        <v>999</v>
      </c>
      <c r="BA137" s="267">
        <f t="shared" si="162"/>
        <v>975</v>
      </c>
      <c r="BB137" s="267">
        <f t="shared" si="163"/>
        <v>650</v>
      </c>
      <c r="BC137" s="267">
        <f t="shared" si="164"/>
        <v>634</v>
      </c>
      <c r="BD137" s="267">
        <f t="shared" si="165"/>
        <v>615</v>
      </c>
      <c r="BE137" s="267">
        <f t="shared" si="166"/>
        <v>597</v>
      </c>
      <c r="BF137" s="267">
        <f t="shared" si="167"/>
        <v>584</v>
      </c>
      <c r="BG137" s="269">
        <f>AY137*VLOOKUP($B137,'Major Cities &amp; Towns'!$A$28:$B$345,2,FALSE)</f>
        <v>996</v>
      </c>
      <c r="BH137" s="269">
        <f>AZ137*VLOOKUP($B137,'Major Cities &amp; Towns'!$A$28:$B$345,2,FALSE)</f>
        <v>999</v>
      </c>
      <c r="BI137" s="269">
        <f>BA137*VLOOKUP($B137,'Major Cities &amp; Towns'!$A$28:$B$345,2,FALSE)</f>
        <v>975</v>
      </c>
      <c r="BJ137" s="269">
        <f>BB137*VLOOKUP($B137,'Major Cities &amp; Towns'!$A$28:$B$345,2,FALSE)</f>
        <v>650</v>
      </c>
      <c r="BK137" s="269">
        <f>BC137*VLOOKUP($B137,'Major Cities &amp; Towns'!$A$28:$B$345,2,FALSE)</f>
        <v>634</v>
      </c>
      <c r="BL137" s="269">
        <f>BD137*VLOOKUP($B137,'Major Cities &amp; Towns'!$A$28:$B$345,2,FALSE)</f>
        <v>615</v>
      </c>
      <c r="BM137" s="269">
        <f>BE137*VLOOKUP($B137,'Major Cities &amp; Towns'!$A$28:$B$345,2,FALSE)</f>
        <v>597</v>
      </c>
      <c r="BN137" s="269">
        <f>BF137*VLOOKUP($B137,'Major Cities &amp; Towns'!$A$28:$B$345,2,FALSE)</f>
        <v>584</v>
      </c>
      <c r="BO137" s="270">
        <f t="shared" si="168"/>
        <v>804</v>
      </c>
      <c r="BP137" s="270">
        <f t="shared" si="169"/>
        <v>804</v>
      </c>
      <c r="BQ137" s="270">
        <f t="shared" si="170"/>
        <v>804</v>
      </c>
      <c r="BR137" s="270">
        <f t="shared" si="171"/>
        <v>650</v>
      </c>
      <c r="BS137" s="270">
        <f t="shared" si="172"/>
        <v>634</v>
      </c>
      <c r="BT137" s="270">
        <f t="shared" si="173"/>
        <v>615</v>
      </c>
      <c r="BU137" s="270">
        <f t="shared" si="174"/>
        <v>597</v>
      </c>
      <c r="BV137" s="270">
        <f t="shared" si="175"/>
        <v>584</v>
      </c>
      <c r="BW137" s="39">
        <f>VLOOKUP($A137,NetAdditions!$A$2:$H$336,6,FALSE)</f>
        <v>1040</v>
      </c>
      <c r="BX137" s="39">
        <f>VLOOKUP($A137,NetAdditions!$A$2:$H$336,7,FALSE)</f>
        <v>1010</v>
      </c>
      <c r="BY137" s="39">
        <f>IF((VLOOKUP($C137,NetAdditions!$A$2:$H$336,8,FALSE))="",(AVERAGE(VLOOKUP($C137,NetAdditions!$A$2:$H$336,5,FALSE),VLOOKUP($C137,NetAdditions!$A$2:$H$336,6,FALSE),VLOOKUP($C137,NetAdditions!$A$2:$H$336,7,FALSE))),VLOOKUP($C137,NetAdditions!$A$2:$H$336,8,FALSE))</f>
        <v>1041</v>
      </c>
      <c r="BZ137" s="39">
        <f t="shared" si="176"/>
        <v>1030.3333333333333</v>
      </c>
      <c r="CA137" s="39">
        <f t="shared" si="177"/>
        <v>1027.1111111111111</v>
      </c>
      <c r="CB137" s="39">
        <f t="shared" si="178"/>
        <v>1032.8148148148148</v>
      </c>
      <c r="CC137" s="39">
        <f t="shared" si="179"/>
        <v>1030.0864197530864</v>
      </c>
      <c r="CD137" s="39">
        <f t="shared" si="180"/>
        <v>1030.0041152263375</v>
      </c>
      <c r="CE137" s="276">
        <f t="shared" si="137"/>
        <v>2412</v>
      </c>
      <c r="CF137" s="276">
        <f t="shared" si="138"/>
        <v>2258</v>
      </c>
      <c r="CG137" s="276">
        <f t="shared" si="139"/>
        <v>2088</v>
      </c>
      <c r="CH137" s="276">
        <f t="shared" si="140"/>
        <v>1899</v>
      </c>
      <c r="CI137" s="276">
        <f t="shared" si="141"/>
        <v>1846</v>
      </c>
      <c r="CJ137" s="276">
        <f t="shared" si="142"/>
        <v>1796</v>
      </c>
      <c r="CK137" s="276">
        <f t="shared" si="181"/>
        <v>2077</v>
      </c>
      <c r="CL137" s="276">
        <f t="shared" si="182"/>
        <v>1944.3888888888889</v>
      </c>
      <c r="CM137" s="276">
        <f t="shared" si="183"/>
        <v>1914</v>
      </c>
      <c r="CN137" s="276">
        <f t="shared" si="184"/>
        <v>1899</v>
      </c>
      <c r="CO137" s="276">
        <f t="shared" si="185"/>
        <v>1846</v>
      </c>
      <c r="CP137" s="276">
        <f t="shared" si="186"/>
        <v>1796</v>
      </c>
      <c r="CQ137" s="39">
        <f t="shared" si="143"/>
        <v>3091</v>
      </c>
      <c r="CR137" s="39">
        <f t="shared" si="144"/>
        <v>3081.333333333333</v>
      </c>
      <c r="CS137" s="277">
        <f t="shared" si="145"/>
        <v>3098.4444444444443</v>
      </c>
      <c r="CT137" s="39">
        <f t="shared" si="146"/>
        <v>3090.2592592592591</v>
      </c>
      <c r="CU137" s="39">
        <f t="shared" si="147"/>
        <v>3090.0123456790125</v>
      </c>
      <c r="CV137" s="39">
        <f t="shared" si="187"/>
        <v>3092.9053497942386</v>
      </c>
      <c r="CW137" s="297">
        <f t="shared" si="148"/>
        <v>1.4882041405873856</v>
      </c>
      <c r="CX137" s="279" t="str">
        <f t="shared" si="188"/>
        <v>Pass</v>
      </c>
      <c r="CY137" s="278">
        <f t="shared" si="149"/>
        <v>1.584730992314066</v>
      </c>
      <c r="CZ137" s="279" t="str">
        <f t="shared" si="189"/>
        <v>Pass</v>
      </c>
      <c r="DA137" s="278">
        <f t="shared" si="150"/>
        <v>1.6188319981423429</v>
      </c>
      <c r="DB137" s="292" t="str">
        <f t="shared" si="190"/>
        <v>Pass</v>
      </c>
      <c r="DC137" s="299">
        <f t="shared" si="191"/>
        <v>1.6273087199890781</v>
      </c>
      <c r="DD137" s="293" t="str">
        <f t="shared" si="192"/>
        <v>Pass</v>
      </c>
      <c r="DE137" s="299">
        <f t="shared" si="193"/>
        <v>1.6738961785910142</v>
      </c>
      <c r="DF137" s="293" t="str">
        <f t="shared" si="194"/>
        <v>Pass</v>
      </c>
      <c r="DG137" s="299">
        <f t="shared" si="195"/>
        <v>1.722107655787438</v>
      </c>
      <c r="DH137" s="293" t="str">
        <f t="shared" si="196"/>
        <v>Pass</v>
      </c>
    </row>
    <row r="138" spans="1:112" ht="15" thickTop="1" thickBot="1">
      <c r="A138" s="38" t="s">
        <v>386</v>
      </c>
      <c r="B138" s="38" t="s">
        <v>387</v>
      </c>
      <c r="C138" s="38" t="s">
        <v>386</v>
      </c>
      <c r="D138" s="38" t="s">
        <v>116</v>
      </c>
      <c r="E138" s="38" t="str">
        <f>VLOOKUP(C138,PoliticalControl!A:K,11,FALSE)</f>
        <v>LAB</v>
      </c>
      <c r="F138" s="38" t="str">
        <f>VLOOKUP(C138,UrbanRuralClassification!A:N,13,FALSE)</f>
        <v>Urban with City and Town</v>
      </c>
      <c r="G138" s="38" t="str">
        <f>VLOOKUP(C138,UrbanRuralClassification!A:N,14,FALSE)</f>
        <v>Predominantly Urban</v>
      </c>
      <c r="H138" s="258">
        <f>IF(ISBLANK((VLOOKUP($A138,'local-plan-data'!$C$1:$AD$566,27,FALSE)))=TRUE,"",VLOOKUP($A138,'local-plan-data'!$C$1:$AD$566,27,FALSE))</f>
        <v>40927</v>
      </c>
      <c r="I138" s="259">
        <f>VLOOKUP($A138,'local-plan-data'!$C$1:$AD$566,28,FALSE)</f>
        <v>213.33333333333334</v>
      </c>
      <c r="J138" s="260">
        <f t="shared" si="151"/>
        <v>213.33333333333334</v>
      </c>
      <c r="K138" s="259" t="str">
        <f t="shared" si="133"/>
        <v>-</v>
      </c>
      <c r="L138" s="259" t="str">
        <f t="shared" si="135"/>
        <v>-</v>
      </c>
      <c r="M138" s="259" t="str">
        <f t="shared" si="135"/>
        <v>-</v>
      </c>
      <c r="N138" s="259" t="str">
        <f t="shared" si="135"/>
        <v>-</v>
      </c>
      <c r="O138" s="259" t="str">
        <f t="shared" si="135"/>
        <v>-</v>
      </c>
      <c r="P138" s="259" t="str">
        <f t="shared" si="135"/>
        <v>-</v>
      </c>
      <c r="Q138" s="259" t="str">
        <f t="shared" si="135"/>
        <v>-</v>
      </c>
      <c r="R138" s="259" t="str">
        <f t="shared" si="135"/>
        <v>-</v>
      </c>
      <c r="S138" s="259">
        <f t="shared" si="134"/>
        <v>-437</v>
      </c>
      <c r="T138" s="259">
        <f t="shared" si="136"/>
        <v>-802</v>
      </c>
      <c r="U138" s="259">
        <f t="shared" si="136"/>
        <v>-1168</v>
      </c>
      <c r="V138" s="259">
        <f t="shared" si="136"/>
        <v>-1533</v>
      </c>
      <c r="W138" s="259">
        <f t="shared" si="136"/>
        <v>-1898</v>
      </c>
      <c r="X138" s="259">
        <f t="shared" si="136"/>
        <v>-2263</v>
      </c>
      <c r="Y138" s="259">
        <f t="shared" si="136"/>
        <v>-2629</v>
      </c>
      <c r="Z138" s="259">
        <f t="shared" si="136"/>
        <v>-2994</v>
      </c>
      <c r="AA138" s="267">
        <f>(VLOOKUP(A138,Hshldprojections2014!$A$2:$AW$319,40, FALSE)-VLOOKUP(A138,Hshldprojections2014!$A$2:$AW$319,30, FALSE))/10</f>
        <v>59.9</v>
      </c>
      <c r="AB138" s="267">
        <f>(VLOOKUP(A138,Hshldprojections2014!$A$2:$AW$319,41, FALSE)-VLOOKUP(A138,Hshldprojections2014!$A$2:$AW$319,31, FALSE))/10</f>
        <v>57.2</v>
      </c>
      <c r="AC138" s="267">
        <f>(VLOOKUP(A138,Hshldprojections2014!$A$2:$AW$319,42, FALSE)-VLOOKUP(A138,Hshldprojections2014!$A$2:$AW$319,32, FALSE))/10</f>
        <v>56.3</v>
      </c>
      <c r="AD138" s="267">
        <f>IF(IndividualLATest!$J$7=2014,(VLOOKUP($A138,Hshldprojections2014!$A$2:$AY$326,43,FALSE)-VLOOKUP($A138,Hshldprojections2014!$A$2:$AY$326,33,FALSE))/10,IF(IndividualLATest!$J$7=2016,(VLOOKUP($A138,Hshldprojections2016!$A$1:$AQ$322,33,FALSE)-VLOOKUP($A138,Hshldprojections2016!$A$1:$AQ$322,23,FALSE))/10,(VLOOKUP($A138,Hshldprojections2018!$A$1:$AQ$327,33,FALSE)-VLOOKUP($A138,Hshldprojections2018!$A$1:$AQ$327,23,FALSE))/10))</f>
        <v>107.2</v>
      </c>
      <c r="AE138" s="267">
        <f>IF(IndividualLATest!$J$7=2014,(VLOOKUP($A138,Hshldprojections2014!$A$2:$AY$326,44,FALSE)-VLOOKUP($A138,Hshldprojections2014!$A$2:$AY$326,34,FALSE))/10,IF(IndividualLATest!$J$7=2016,(VLOOKUP($A138,Hshldprojections2016!$A$1:$AQ$322,34,FALSE)-VLOOKUP($A138,Hshldprojections2016!$A$1:$AQ$322,24,FALSE))/10,(VLOOKUP($A138,Hshldprojections2018!$A$1:$AQ$327,34,FALSE)-VLOOKUP($A138,Hshldprojections2018!$A$1:$AQ$327,24,FALSE))/10))</f>
        <v>107.3</v>
      </c>
      <c r="AF138" s="267">
        <f>IF(IndividualLATest!$J$7=2014,(VLOOKUP($A138,Hshldprojections2014!$A$2:$AY$326,45,FALSE)-VLOOKUP($A138,Hshldprojections2014!$A$2:$AY$326,35,FALSE))/10,IF(IndividualLATest!$J$7=2016,(VLOOKUP($A138,Hshldprojections2016!$A$1:$AQ$322,35,FALSE)-VLOOKUP($A138,Hshldprojections2016!$A$1:$AQ$322,25,FALSE))/10,(VLOOKUP($A138,Hshldprojections2018!$A$1:$AQ$327,35,FALSE)-VLOOKUP($A138,Hshldprojections2018!$A$1:$AQ$327,25,FALSE))/10))</f>
        <v>107.3</v>
      </c>
      <c r="AG138" s="267">
        <f>IF(IndividualLATest!$J$7=2014,(VLOOKUP($A138,Hshldprojections2014!$A$2:$AY$326,46,FALSE)-VLOOKUP($A138,Hshldprojections2014!$A$2:$AY$326,36,FALSE))/10,IF(IndividualLATest!$J$7=2016,(VLOOKUP($A138,Hshldprojections2016!$A$1:$AQ$322,36,FALSE)-VLOOKUP($A138,Hshldprojections2016!$A$1:$AQ$322,26,FALSE))/10,(VLOOKUP($A138,Hshldprojections2018!$A$1:$AQ$327,36,FALSE)-VLOOKUP($A138,Hshldprojections2018!$A$1:$AQ$327,26,FALSE))/10))</f>
        <v>106.4</v>
      </c>
      <c r="AH138" s="267">
        <f>IF(IndividualLATest!$J$7=2014,(VLOOKUP($A138,Hshldprojections2014!$A$2:$AY$326,47,FALSE)-VLOOKUP($A138,Hshldprojections2014!$A$2:$AY$326,37,FALSE))/10,IF(IndividualLATest!$J$7=2016,(VLOOKUP($A138,Hshldprojections2016!$A$1:$AQ$322,37,FALSE)-VLOOKUP($A138,Hshldprojections2016!$A$1:$AQ$322,27,FALSE))/10,(VLOOKUP($A138,Hshldprojections2018!$A$1:$AQ$327,37,FALSE)-VLOOKUP($A138,Hshldprojections2018!$A$1:$AQ$327,27,FALSE))/10))</f>
        <v>106.9</v>
      </c>
      <c r="AI138" s="268">
        <f>VLOOKUP($A138,AffordabilityRatio!$A$2:$I$321,5,FALSE)</f>
        <v>4.1399999999999997</v>
      </c>
      <c r="AJ138" s="268">
        <f>VLOOKUP($A138,AffordabilityRatio!$A$2:$I$321,6,FALSE)</f>
        <v>4.2300000000000004</v>
      </c>
      <c r="AK138" s="268">
        <f>VLOOKUP($A138,AffordabilityRatio!$A$2:$I$321,7,FALSE)</f>
        <v>3.74</v>
      </c>
      <c r="AL138" s="268">
        <f>IF((VLOOKUP($A138,AffordabilityRatio!$A$2:$I$321,8,FALSE))="",AK138,VLOOKUP($A138,AffordabilityRatio!$A$2:$I$321,8,FALSE))</f>
        <v>3.68</v>
      </c>
      <c r="AM138" s="268">
        <f>IF((VLOOKUP($A138,AffordabilityRatio!$A$2:$I$321,9,FALSE))="",AL138,VLOOKUP($A138,AffordabilityRatio!$A$2:$I$321,9,FALSE))</f>
        <v>4.26</v>
      </c>
      <c r="AN138" s="268">
        <f>IF((VLOOKUP($A138,AffordabilityRatio!$A$2:$I$321,9,FALSE))="",AM138,VLOOKUP($A138,AffordabilityRatio!$A$2:$I$321,9,FALSE))</f>
        <v>4.26</v>
      </c>
      <c r="AO138" s="268">
        <f>IF((VLOOKUP($A138,AffordabilityRatio!$A$2:$I$321,9,FALSE))="",AN138,VLOOKUP($A138,AffordabilityRatio!$A$2:$I$321,9,FALSE))</f>
        <v>4.26</v>
      </c>
      <c r="AP138" s="268">
        <f>IF((VLOOKUP($A138,AffordabilityRatio!$A$2:$I$321,9,FALSE))="",AO138,VLOOKUP($A138,AffordabilityRatio!$A$2:$I$321,9,FALSE))</f>
        <v>4.26</v>
      </c>
      <c r="AQ138" s="267">
        <f t="shared" si="152"/>
        <v>60</v>
      </c>
      <c r="AR138" s="267">
        <f t="shared" si="153"/>
        <v>58</v>
      </c>
      <c r="AS138" s="267">
        <f t="shared" si="154"/>
        <v>56.3</v>
      </c>
      <c r="AT138" s="267">
        <f t="shared" si="155"/>
        <v>107.2</v>
      </c>
      <c r="AU138" s="267">
        <f t="shared" si="156"/>
        <v>109</v>
      </c>
      <c r="AV138" s="267">
        <f t="shared" si="157"/>
        <v>109</v>
      </c>
      <c r="AW138" s="267">
        <f t="shared" si="158"/>
        <v>108</v>
      </c>
      <c r="AX138" s="267">
        <f t="shared" si="159"/>
        <v>109</v>
      </c>
      <c r="AY138" s="267">
        <f t="shared" si="160"/>
        <v>60</v>
      </c>
      <c r="AZ138" s="267">
        <f t="shared" si="161"/>
        <v>58</v>
      </c>
      <c r="BA138" s="267">
        <f t="shared" si="162"/>
        <v>56.3</v>
      </c>
      <c r="BB138" s="267">
        <f t="shared" si="163"/>
        <v>107.2</v>
      </c>
      <c r="BC138" s="267">
        <f t="shared" si="164"/>
        <v>109</v>
      </c>
      <c r="BD138" s="267">
        <f t="shared" si="165"/>
        <v>109</v>
      </c>
      <c r="BE138" s="267">
        <f t="shared" si="166"/>
        <v>108</v>
      </c>
      <c r="BF138" s="267">
        <f t="shared" si="167"/>
        <v>109</v>
      </c>
      <c r="BG138" s="269">
        <f>AY138*VLOOKUP($B138,'Major Cities &amp; Towns'!$A$28:$B$345,2,FALSE)</f>
        <v>60</v>
      </c>
      <c r="BH138" s="269">
        <f>AZ138*VLOOKUP($B138,'Major Cities &amp; Towns'!$A$28:$B$345,2,FALSE)</f>
        <v>58</v>
      </c>
      <c r="BI138" s="269">
        <f>BA138*VLOOKUP($B138,'Major Cities &amp; Towns'!$A$28:$B$345,2,FALSE)</f>
        <v>56.3</v>
      </c>
      <c r="BJ138" s="269">
        <f>BB138*VLOOKUP($B138,'Major Cities &amp; Towns'!$A$28:$B$345,2,FALSE)</f>
        <v>107.2</v>
      </c>
      <c r="BK138" s="269">
        <f>BC138*VLOOKUP($B138,'Major Cities &amp; Towns'!$A$28:$B$345,2,FALSE)</f>
        <v>109</v>
      </c>
      <c r="BL138" s="269">
        <f>BD138*VLOOKUP($B138,'Major Cities &amp; Towns'!$A$28:$B$345,2,FALSE)</f>
        <v>109</v>
      </c>
      <c r="BM138" s="269">
        <f>BE138*VLOOKUP($B138,'Major Cities &amp; Towns'!$A$28:$B$345,2,FALSE)</f>
        <v>108</v>
      </c>
      <c r="BN138" s="269">
        <f>BF138*VLOOKUP($B138,'Major Cities &amp; Towns'!$A$28:$B$345,2,FALSE)</f>
        <v>109</v>
      </c>
      <c r="BO138" s="270">
        <f t="shared" si="168"/>
        <v>60</v>
      </c>
      <c r="BP138" s="270">
        <f t="shared" si="169"/>
        <v>58</v>
      </c>
      <c r="BQ138" s="270">
        <f t="shared" si="170"/>
        <v>56.3</v>
      </c>
      <c r="BR138" s="270">
        <f t="shared" si="171"/>
        <v>107.2</v>
      </c>
      <c r="BS138" s="270">
        <f t="shared" si="172"/>
        <v>109</v>
      </c>
      <c r="BT138" s="270">
        <f t="shared" si="173"/>
        <v>109</v>
      </c>
      <c r="BU138" s="270">
        <f t="shared" si="174"/>
        <v>108</v>
      </c>
      <c r="BV138" s="270">
        <f t="shared" si="175"/>
        <v>109</v>
      </c>
      <c r="BW138" s="39">
        <f>VLOOKUP($A138,NetAdditions!$A$2:$H$336,6,FALSE)</f>
        <v>155</v>
      </c>
      <c r="BX138" s="39">
        <f>VLOOKUP($A138,NetAdditions!$A$2:$H$336,7,FALSE)</f>
        <v>162</v>
      </c>
      <c r="BY138" s="39">
        <f>IF((VLOOKUP($C138,NetAdditions!$A$2:$H$336,8,FALSE))="",(AVERAGE(VLOOKUP($C138,NetAdditions!$A$2:$H$336,5,FALSE),VLOOKUP($C138,NetAdditions!$A$2:$H$336,6,FALSE),VLOOKUP($C138,NetAdditions!$A$2:$H$336,7,FALSE))),VLOOKUP($C138,NetAdditions!$A$2:$H$336,8,FALSE))</f>
        <v>180</v>
      </c>
      <c r="BZ138" s="39">
        <f t="shared" si="176"/>
        <v>165.66666666666666</v>
      </c>
      <c r="CA138" s="39">
        <f t="shared" si="177"/>
        <v>169.2222222222222</v>
      </c>
      <c r="CB138" s="39">
        <f t="shared" si="178"/>
        <v>171.62962962962959</v>
      </c>
      <c r="CC138" s="39">
        <f t="shared" si="179"/>
        <v>168.83950617283949</v>
      </c>
      <c r="CD138" s="39">
        <f t="shared" si="180"/>
        <v>169.89711934156375</v>
      </c>
      <c r="CE138" s="276">
        <f t="shared" si="137"/>
        <v>174.3</v>
      </c>
      <c r="CF138" s="276">
        <f t="shared" si="138"/>
        <v>221.5</v>
      </c>
      <c r="CG138" s="276">
        <f t="shared" si="139"/>
        <v>272.5</v>
      </c>
      <c r="CH138" s="276">
        <f t="shared" si="140"/>
        <v>325.2</v>
      </c>
      <c r="CI138" s="276">
        <f t="shared" si="141"/>
        <v>326</v>
      </c>
      <c r="CJ138" s="276">
        <f t="shared" si="142"/>
        <v>326</v>
      </c>
      <c r="CK138" s="276">
        <f t="shared" si="181"/>
        <v>150.0916666666667</v>
      </c>
      <c r="CL138" s="276">
        <f t="shared" si="182"/>
        <v>190.73611111111111</v>
      </c>
      <c r="CM138" s="276">
        <f t="shared" si="183"/>
        <v>249.79166666666666</v>
      </c>
      <c r="CN138" s="276">
        <f t="shared" si="184"/>
        <v>325.2</v>
      </c>
      <c r="CO138" s="276">
        <f t="shared" si="185"/>
        <v>326</v>
      </c>
      <c r="CP138" s="276">
        <f t="shared" si="186"/>
        <v>326</v>
      </c>
      <c r="CQ138" s="39">
        <f t="shared" si="143"/>
        <v>497</v>
      </c>
      <c r="CR138" s="39">
        <f t="shared" si="144"/>
        <v>507.66666666666663</v>
      </c>
      <c r="CS138" s="277">
        <f t="shared" si="145"/>
        <v>514.8888888888888</v>
      </c>
      <c r="CT138" s="39">
        <f t="shared" si="146"/>
        <v>506.51851851851848</v>
      </c>
      <c r="CU138" s="39">
        <f t="shared" si="147"/>
        <v>509.69135802469128</v>
      </c>
      <c r="CV138" s="39">
        <f t="shared" si="187"/>
        <v>510.36625514403283</v>
      </c>
      <c r="CW138" s="297">
        <f t="shared" si="148"/>
        <v>3.31130975514963</v>
      </c>
      <c r="CX138" s="279" t="str">
        <f t="shared" si="188"/>
        <v>Pass</v>
      </c>
      <c r="CY138" s="278">
        <f t="shared" si="149"/>
        <v>2.6616180004369037</v>
      </c>
      <c r="CZ138" s="279" t="str">
        <f t="shared" si="189"/>
        <v>Pass</v>
      </c>
      <c r="DA138" s="278">
        <f t="shared" si="150"/>
        <v>2.0612732832916318</v>
      </c>
      <c r="DB138" s="292" t="str">
        <f t="shared" si="190"/>
        <v>Pass</v>
      </c>
      <c r="DC138" s="299">
        <f t="shared" si="191"/>
        <v>1.5575600200446449</v>
      </c>
      <c r="DD138" s="293" t="str">
        <f t="shared" si="192"/>
        <v>Pass</v>
      </c>
      <c r="DE138" s="299">
        <f t="shared" si="193"/>
        <v>1.5634704233886236</v>
      </c>
      <c r="DF138" s="293" t="str">
        <f t="shared" si="194"/>
        <v>Pass</v>
      </c>
      <c r="DG138" s="299">
        <f t="shared" si="195"/>
        <v>1.5655406599510209</v>
      </c>
      <c r="DH138" s="293" t="str">
        <f t="shared" si="196"/>
        <v>Pass</v>
      </c>
    </row>
    <row r="139" spans="1:112" ht="15" thickTop="1" thickBot="1">
      <c r="A139" s="38" t="s">
        <v>388</v>
      </c>
      <c r="B139" s="38" t="s">
        <v>389</v>
      </c>
      <c r="C139" s="38" t="s">
        <v>388</v>
      </c>
      <c r="D139" s="38" t="s">
        <v>128</v>
      </c>
      <c r="E139" s="38" t="str">
        <f>VLOOKUP(C139,PoliticalControl!A:K,11,FALSE)</f>
        <v>LAB</v>
      </c>
      <c r="F139" s="38" t="str">
        <f>VLOOKUP(C139,UrbanRuralClassification!A:N,13,FALSE)</f>
        <v>Urban with City and Town</v>
      </c>
      <c r="G139" s="38" t="str">
        <f>VLOOKUP(C139,UrbanRuralClassification!A:N,14,FALSE)</f>
        <v>Predominantly Urban</v>
      </c>
      <c r="H139" s="258">
        <f>IF(ISBLANK((VLOOKUP($A139,'local-plan-data'!$C$1:$AD$566,27,FALSE)))=TRUE,"",VLOOKUP($A139,'local-plan-data'!$C$1:$AD$566,27,FALSE))</f>
        <v>42788</v>
      </c>
      <c r="I139" s="259">
        <f>VLOOKUP($A139,'local-plan-data'!$C$1:$AD$566,28,FALSE)</f>
        <v>488.85</v>
      </c>
      <c r="J139" s="260">
        <f t="shared" si="151"/>
        <v>488.85</v>
      </c>
      <c r="K139" s="259">
        <f t="shared" si="133"/>
        <v>488.85</v>
      </c>
      <c r="L139" s="259">
        <f t="shared" si="135"/>
        <v>488.85</v>
      </c>
      <c r="M139" s="259">
        <f t="shared" si="135"/>
        <v>488.85</v>
      </c>
      <c r="N139" s="259">
        <f t="shared" si="135"/>
        <v>488.85</v>
      </c>
      <c r="O139" s="259" t="str">
        <f t="shared" si="135"/>
        <v>-</v>
      </c>
      <c r="P139" s="259" t="str">
        <f t="shared" si="135"/>
        <v>-</v>
      </c>
      <c r="Q139" s="259" t="str">
        <f t="shared" si="135"/>
        <v>-</v>
      </c>
      <c r="R139" s="259" t="str">
        <f t="shared" si="135"/>
        <v>-</v>
      </c>
      <c r="S139" s="259">
        <f t="shared" si="134"/>
        <v>1423</v>
      </c>
      <c r="T139" s="259">
        <f t="shared" si="136"/>
        <v>1058</v>
      </c>
      <c r="U139" s="259">
        <f t="shared" si="136"/>
        <v>692</v>
      </c>
      <c r="V139" s="259">
        <f t="shared" si="136"/>
        <v>327</v>
      </c>
      <c r="W139" s="259">
        <f t="shared" si="136"/>
        <v>-38</v>
      </c>
      <c r="X139" s="259">
        <f t="shared" si="136"/>
        <v>-403</v>
      </c>
      <c r="Y139" s="259">
        <f t="shared" si="136"/>
        <v>-769</v>
      </c>
      <c r="Z139" s="259">
        <f t="shared" si="136"/>
        <v>-1134</v>
      </c>
      <c r="AA139" s="267">
        <f>(VLOOKUP(A139,Hshldprojections2014!$A$2:$AW$319,40, FALSE)-VLOOKUP(A139,Hshldprojections2014!$A$2:$AW$319,30, FALSE))/10</f>
        <v>379.3</v>
      </c>
      <c r="AB139" s="267">
        <f>(VLOOKUP(A139,Hshldprojections2014!$A$2:$AW$319,41, FALSE)-VLOOKUP(A139,Hshldprojections2014!$A$2:$AW$319,31, FALSE))/10</f>
        <v>378.2</v>
      </c>
      <c r="AC139" s="267">
        <f>(VLOOKUP(A139,Hshldprojections2014!$A$2:$AW$319,42, FALSE)-VLOOKUP(A139,Hshldprojections2014!$A$2:$AW$319,32, FALSE))/10</f>
        <v>377.9</v>
      </c>
      <c r="AD139" s="267">
        <f>IF(IndividualLATest!$J$7=2014,(VLOOKUP($A139,Hshldprojections2014!$A$2:$AY$326,43,FALSE)-VLOOKUP($A139,Hshldprojections2014!$A$2:$AY$326,33,FALSE))/10,IF(IndividualLATest!$J$7=2016,(VLOOKUP($A139,Hshldprojections2016!$A$1:$AQ$322,33,FALSE)-VLOOKUP($A139,Hshldprojections2016!$A$1:$AQ$322,23,FALSE))/10,(VLOOKUP($A139,Hshldprojections2018!$A$1:$AQ$327,33,FALSE)-VLOOKUP($A139,Hshldprojections2018!$A$1:$AQ$327,23,FALSE))/10))</f>
        <v>73.099999999999994</v>
      </c>
      <c r="AE139" s="267">
        <f>IF(IndividualLATest!$J$7=2014,(VLOOKUP($A139,Hshldprojections2014!$A$2:$AY$326,44,FALSE)-VLOOKUP($A139,Hshldprojections2014!$A$2:$AY$326,34,FALSE))/10,IF(IndividualLATest!$J$7=2016,(VLOOKUP($A139,Hshldprojections2016!$A$1:$AQ$322,34,FALSE)-VLOOKUP($A139,Hshldprojections2016!$A$1:$AQ$322,24,FALSE))/10,(VLOOKUP($A139,Hshldprojections2018!$A$1:$AQ$327,34,FALSE)-VLOOKUP($A139,Hshldprojections2018!$A$1:$AQ$327,24,FALSE))/10))</f>
        <v>82.4</v>
      </c>
      <c r="AF139" s="267">
        <f>IF(IndividualLATest!$J$7=2014,(VLOOKUP($A139,Hshldprojections2014!$A$2:$AY$326,45,FALSE)-VLOOKUP($A139,Hshldprojections2014!$A$2:$AY$326,35,FALSE))/10,IF(IndividualLATest!$J$7=2016,(VLOOKUP($A139,Hshldprojections2016!$A$1:$AQ$322,35,FALSE)-VLOOKUP($A139,Hshldprojections2016!$A$1:$AQ$322,25,FALSE))/10,(VLOOKUP($A139,Hshldprojections2018!$A$1:$AQ$327,35,FALSE)-VLOOKUP($A139,Hshldprojections2018!$A$1:$AQ$327,25,FALSE))/10))</f>
        <v>95</v>
      </c>
      <c r="AG139" s="267">
        <f>IF(IndividualLATest!$J$7=2014,(VLOOKUP($A139,Hshldprojections2014!$A$2:$AY$326,46,FALSE)-VLOOKUP($A139,Hshldprojections2014!$A$2:$AY$326,36,FALSE))/10,IF(IndividualLATest!$J$7=2016,(VLOOKUP($A139,Hshldprojections2016!$A$1:$AQ$322,36,FALSE)-VLOOKUP($A139,Hshldprojections2016!$A$1:$AQ$322,26,FALSE))/10,(VLOOKUP($A139,Hshldprojections2018!$A$1:$AQ$327,36,FALSE)-VLOOKUP($A139,Hshldprojections2018!$A$1:$AQ$327,26,FALSE))/10))</f>
        <v>104.6</v>
      </c>
      <c r="AH139" s="267">
        <f>IF(IndividualLATest!$J$7=2014,(VLOOKUP($A139,Hshldprojections2014!$A$2:$AY$326,47,FALSE)-VLOOKUP($A139,Hshldprojections2014!$A$2:$AY$326,37,FALSE))/10,IF(IndividualLATest!$J$7=2016,(VLOOKUP($A139,Hshldprojections2016!$A$1:$AQ$322,37,FALSE)-VLOOKUP($A139,Hshldprojections2016!$A$1:$AQ$322,27,FALSE))/10,(VLOOKUP($A139,Hshldprojections2018!$A$1:$AQ$327,37,FALSE)-VLOOKUP($A139,Hshldprojections2018!$A$1:$AQ$327,27,FALSE))/10))</f>
        <v>114.5</v>
      </c>
      <c r="AI139" s="268">
        <f>VLOOKUP($A139,AffordabilityRatio!$A$2:$I$321,5,FALSE)</f>
        <v>6.74</v>
      </c>
      <c r="AJ139" s="268">
        <f>VLOOKUP($A139,AffordabilityRatio!$A$2:$I$321,6,FALSE)</f>
        <v>6.82</v>
      </c>
      <c r="AK139" s="268">
        <f>VLOOKUP($A139,AffordabilityRatio!$A$2:$I$321,7,FALSE)</f>
        <v>7.44</v>
      </c>
      <c r="AL139" s="268">
        <f>IF((VLOOKUP($A139,AffordabilityRatio!$A$2:$I$321,8,FALSE))="",AK139,VLOOKUP($A139,AffordabilityRatio!$A$2:$I$321,8,FALSE))</f>
        <v>7.16</v>
      </c>
      <c r="AM139" s="268">
        <f>IF((VLOOKUP($A139,AffordabilityRatio!$A$2:$I$321,9,FALSE))="",AL139,VLOOKUP($A139,AffordabilityRatio!$A$2:$I$321,9,FALSE))</f>
        <v>7.97</v>
      </c>
      <c r="AN139" s="268">
        <f>IF((VLOOKUP($A139,AffordabilityRatio!$A$2:$I$321,9,FALSE))="",AM139,VLOOKUP($A139,AffordabilityRatio!$A$2:$I$321,9,FALSE))</f>
        <v>7.97</v>
      </c>
      <c r="AO139" s="268">
        <f>IF((VLOOKUP($A139,AffordabilityRatio!$A$2:$I$321,9,FALSE))="",AN139,VLOOKUP($A139,AffordabilityRatio!$A$2:$I$321,9,FALSE))</f>
        <v>7.97</v>
      </c>
      <c r="AP139" s="268">
        <f>IF((VLOOKUP($A139,AffordabilityRatio!$A$2:$I$321,9,FALSE))="",AO139,VLOOKUP($A139,AffordabilityRatio!$A$2:$I$321,9,FALSE))</f>
        <v>7.97</v>
      </c>
      <c r="AQ139" s="267">
        <f t="shared" si="152"/>
        <v>444</v>
      </c>
      <c r="AR139" s="267">
        <f t="shared" si="153"/>
        <v>445</v>
      </c>
      <c r="AS139" s="267">
        <f t="shared" si="154"/>
        <v>459</v>
      </c>
      <c r="AT139" s="267">
        <f t="shared" si="155"/>
        <v>88</v>
      </c>
      <c r="AU139" s="267">
        <f t="shared" si="156"/>
        <v>103</v>
      </c>
      <c r="AV139" s="267">
        <f t="shared" si="157"/>
        <v>119</v>
      </c>
      <c r="AW139" s="267">
        <f t="shared" si="158"/>
        <v>131</v>
      </c>
      <c r="AX139" s="267">
        <f t="shared" si="159"/>
        <v>143</v>
      </c>
      <c r="AY139" s="267">
        <f t="shared" si="160"/>
        <v>444</v>
      </c>
      <c r="AZ139" s="267">
        <f t="shared" si="161"/>
        <v>445</v>
      </c>
      <c r="BA139" s="267">
        <f t="shared" si="162"/>
        <v>459</v>
      </c>
      <c r="BB139" s="267">
        <f t="shared" si="163"/>
        <v>88</v>
      </c>
      <c r="BC139" s="267">
        <f t="shared" si="164"/>
        <v>103</v>
      </c>
      <c r="BD139" s="267">
        <f t="shared" si="165"/>
        <v>119</v>
      </c>
      <c r="BE139" s="267">
        <f t="shared" si="166"/>
        <v>131</v>
      </c>
      <c r="BF139" s="267">
        <f t="shared" si="167"/>
        <v>143</v>
      </c>
      <c r="BG139" s="269">
        <f>AY139*VLOOKUP($B139,'Major Cities &amp; Towns'!$A$28:$B$345,2,FALSE)</f>
        <v>444</v>
      </c>
      <c r="BH139" s="269">
        <f>AZ139*VLOOKUP($B139,'Major Cities &amp; Towns'!$A$28:$B$345,2,FALSE)</f>
        <v>445</v>
      </c>
      <c r="BI139" s="269">
        <f>BA139*VLOOKUP($B139,'Major Cities &amp; Towns'!$A$28:$B$345,2,FALSE)</f>
        <v>459</v>
      </c>
      <c r="BJ139" s="269">
        <f>BB139*VLOOKUP($B139,'Major Cities &amp; Towns'!$A$28:$B$345,2,FALSE)</f>
        <v>88</v>
      </c>
      <c r="BK139" s="269">
        <f>BC139*VLOOKUP($B139,'Major Cities &amp; Towns'!$A$28:$B$345,2,FALSE)</f>
        <v>103</v>
      </c>
      <c r="BL139" s="269">
        <f>BD139*VLOOKUP($B139,'Major Cities &amp; Towns'!$A$28:$B$345,2,FALSE)</f>
        <v>119</v>
      </c>
      <c r="BM139" s="269">
        <f>BE139*VLOOKUP($B139,'Major Cities &amp; Towns'!$A$28:$B$345,2,FALSE)</f>
        <v>131</v>
      </c>
      <c r="BN139" s="269">
        <f>BF139*VLOOKUP($B139,'Major Cities &amp; Towns'!$A$28:$B$345,2,FALSE)</f>
        <v>143</v>
      </c>
      <c r="BO139" s="270">
        <f t="shared" si="168"/>
        <v>444</v>
      </c>
      <c r="BP139" s="270">
        <f t="shared" si="169"/>
        <v>445</v>
      </c>
      <c r="BQ139" s="270">
        <f t="shared" si="170"/>
        <v>459</v>
      </c>
      <c r="BR139" s="270">
        <f t="shared" si="171"/>
        <v>88</v>
      </c>
      <c r="BS139" s="270">
        <f t="shared" si="172"/>
        <v>103</v>
      </c>
      <c r="BT139" s="270">
        <f t="shared" si="173"/>
        <v>119</v>
      </c>
      <c r="BU139" s="270">
        <f t="shared" si="174"/>
        <v>131</v>
      </c>
      <c r="BV139" s="270">
        <f t="shared" si="175"/>
        <v>143</v>
      </c>
      <c r="BW139" s="39">
        <f>VLOOKUP($A139,NetAdditions!$A$2:$H$336,6,FALSE)</f>
        <v>223</v>
      </c>
      <c r="BX139" s="39">
        <f>VLOOKUP($A139,NetAdditions!$A$2:$H$336,7,FALSE)</f>
        <v>421</v>
      </c>
      <c r="BY139" s="39">
        <f>IF((VLOOKUP($C139,NetAdditions!$A$2:$H$336,8,FALSE))="",(AVERAGE(VLOOKUP($C139,NetAdditions!$A$2:$H$336,5,FALSE),VLOOKUP($C139,NetAdditions!$A$2:$H$336,6,FALSE),VLOOKUP($C139,NetAdditions!$A$2:$H$336,7,FALSE))),VLOOKUP($C139,NetAdditions!$A$2:$H$336,8,FALSE))</f>
        <v>243</v>
      </c>
      <c r="BZ139" s="39">
        <f t="shared" si="176"/>
        <v>295.66666666666669</v>
      </c>
      <c r="CA139" s="39">
        <f t="shared" si="177"/>
        <v>319.88888888888891</v>
      </c>
      <c r="CB139" s="39">
        <f t="shared" si="178"/>
        <v>286.18518518518522</v>
      </c>
      <c r="CC139" s="39">
        <f t="shared" si="179"/>
        <v>300.58024691358031</v>
      </c>
      <c r="CD139" s="39">
        <f t="shared" si="180"/>
        <v>302.21810699588485</v>
      </c>
      <c r="CE139" s="276">
        <f t="shared" si="137"/>
        <v>1348</v>
      </c>
      <c r="CF139" s="276">
        <f t="shared" si="138"/>
        <v>992</v>
      </c>
      <c r="CG139" s="276">
        <f t="shared" si="139"/>
        <v>650</v>
      </c>
      <c r="CH139" s="276">
        <f t="shared" si="140"/>
        <v>310</v>
      </c>
      <c r="CI139" s="276">
        <f t="shared" si="141"/>
        <v>353</v>
      </c>
      <c r="CJ139" s="276">
        <f t="shared" si="142"/>
        <v>393</v>
      </c>
      <c r="CK139" s="276">
        <f t="shared" si="181"/>
        <v>1160.7777777777778</v>
      </c>
      <c r="CL139" s="276">
        <f t="shared" si="182"/>
        <v>854.22222222222229</v>
      </c>
      <c r="CM139" s="276">
        <f t="shared" si="183"/>
        <v>595.83333333333326</v>
      </c>
      <c r="CN139" s="276">
        <f t="shared" si="184"/>
        <v>310</v>
      </c>
      <c r="CO139" s="276">
        <f t="shared" si="185"/>
        <v>353</v>
      </c>
      <c r="CP139" s="276">
        <f t="shared" si="186"/>
        <v>393</v>
      </c>
      <c r="CQ139" s="39">
        <f t="shared" si="143"/>
        <v>887</v>
      </c>
      <c r="CR139" s="39">
        <f t="shared" si="144"/>
        <v>959.66666666666674</v>
      </c>
      <c r="CS139" s="277">
        <f t="shared" si="145"/>
        <v>858.55555555555566</v>
      </c>
      <c r="CT139" s="39">
        <f t="shared" si="146"/>
        <v>901.74074074074088</v>
      </c>
      <c r="CU139" s="39">
        <f t="shared" si="147"/>
        <v>906.6543209876545</v>
      </c>
      <c r="CV139" s="39">
        <f t="shared" si="187"/>
        <v>888.9835390946505</v>
      </c>
      <c r="CW139" s="297">
        <f t="shared" si="148"/>
        <v>0.76414281611946011</v>
      </c>
      <c r="CX139" s="279" t="str">
        <f t="shared" si="188"/>
        <v>Buffer and Action Plan</v>
      </c>
      <c r="CY139" s="278">
        <f t="shared" si="149"/>
        <v>1.1234391259105099</v>
      </c>
      <c r="CZ139" s="279" t="str">
        <f t="shared" si="189"/>
        <v>Pass</v>
      </c>
      <c r="DA139" s="278">
        <f t="shared" si="150"/>
        <v>1.4409324009324014</v>
      </c>
      <c r="DB139" s="292" t="str">
        <f t="shared" si="190"/>
        <v>Pass</v>
      </c>
      <c r="DC139" s="299">
        <f t="shared" si="191"/>
        <v>2.9088410991636802</v>
      </c>
      <c r="DD139" s="293" t="str">
        <f t="shared" si="192"/>
        <v>Pass</v>
      </c>
      <c r="DE139" s="299">
        <f t="shared" si="193"/>
        <v>2.568425838491939</v>
      </c>
      <c r="DF139" s="293" t="str">
        <f t="shared" si="194"/>
        <v>Pass</v>
      </c>
      <c r="DG139" s="299">
        <f t="shared" si="195"/>
        <v>2.2620446287395688</v>
      </c>
      <c r="DH139" s="293" t="str">
        <f t="shared" si="196"/>
        <v>Pass</v>
      </c>
    </row>
    <row r="140" spans="1:112" ht="15" thickTop="1" thickBot="1">
      <c r="A140" s="38" t="s">
        <v>390</v>
      </c>
      <c r="B140" s="38" t="s">
        <v>391</v>
      </c>
      <c r="C140" s="38" t="s">
        <v>390</v>
      </c>
      <c r="D140" s="38" t="s">
        <v>113</v>
      </c>
      <c r="E140" s="38" t="str">
        <f>VLOOKUP(C140,PoliticalControl!A:K,11,FALSE)</f>
        <v>NOC</v>
      </c>
      <c r="F140" s="38" t="str">
        <f>VLOOKUP(C140,UrbanRuralClassification!A:N,13,FALSE)</f>
        <v xml:space="preserve">Mainly Rural (rural including hub towns &gt;=80%) </v>
      </c>
      <c r="G140" s="38" t="str">
        <f>VLOOKUP(C140,UrbanRuralClassification!A:N,14,FALSE)</f>
        <v>Predominantly Rural</v>
      </c>
      <c r="H140" s="258">
        <f>IF(ISBLANK((VLOOKUP($A140,'local-plan-data'!$C$1:$AD$566,27,FALSE)))=TRUE,"",VLOOKUP($A140,'local-plan-data'!$C$1:$AD$566,27,FALSE))</f>
        <v>40989</v>
      </c>
      <c r="I140" s="259">
        <f>VLOOKUP($A140,'local-plan-data'!$C$1:$AD$566,28,FALSE)</f>
        <v>520</v>
      </c>
      <c r="J140" s="260">
        <f t="shared" si="151"/>
        <v>520</v>
      </c>
      <c r="K140" s="259" t="str">
        <f t="shared" si="133"/>
        <v>-</v>
      </c>
      <c r="L140" s="259" t="str">
        <f t="shared" si="135"/>
        <v>-</v>
      </c>
      <c r="M140" s="259" t="str">
        <f t="shared" si="135"/>
        <v>-</v>
      </c>
      <c r="N140" s="259" t="str">
        <f t="shared" si="135"/>
        <v>-</v>
      </c>
      <c r="O140" s="259" t="str">
        <f t="shared" si="135"/>
        <v>-</v>
      </c>
      <c r="P140" s="259" t="str">
        <f t="shared" si="135"/>
        <v>-</v>
      </c>
      <c r="Q140" s="259" t="str">
        <f t="shared" si="135"/>
        <v>-</v>
      </c>
      <c r="R140" s="259" t="str">
        <f t="shared" si="135"/>
        <v>-</v>
      </c>
      <c r="S140" s="259">
        <f t="shared" si="134"/>
        <v>-376</v>
      </c>
      <c r="T140" s="259">
        <f t="shared" si="136"/>
        <v>-741</v>
      </c>
      <c r="U140" s="259">
        <f t="shared" si="136"/>
        <v>-1107</v>
      </c>
      <c r="V140" s="259">
        <f t="shared" si="136"/>
        <v>-1472</v>
      </c>
      <c r="W140" s="259">
        <f t="shared" si="136"/>
        <v>-1837</v>
      </c>
      <c r="X140" s="259">
        <f t="shared" si="136"/>
        <v>-2202</v>
      </c>
      <c r="Y140" s="259">
        <f t="shared" si="136"/>
        <v>-2568</v>
      </c>
      <c r="Z140" s="259">
        <f t="shared" si="136"/>
        <v>-2933</v>
      </c>
      <c r="AA140" s="267">
        <f>(VLOOKUP(A140,Hshldprojections2014!$A$2:$AW$319,40, FALSE)-VLOOKUP(A140,Hshldprojections2014!$A$2:$AW$319,30, FALSE))/10</f>
        <v>534.79999999999995</v>
      </c>
      <c r="AB140" s="267">
        <f>(VLOOKUP(A140,Hshldprojections2014!$A$2:$AW$319,41, FALSE)-VLOOKUP(A140,Hshldprojections2014!$A$2:$AW$319,31, FALSE))/10</f>
        <v>532.70000000000005</v>
      </c>
      <c r="AC140" s="267">
        <f>(VLOOKUP(A140,Hshldprojections2014!$A$2:$AW$319,42, FALSE)-VLOOKUP(A140,Hshldprojections2014!$A$2:$AW$319,32, FALSE))/10</f>
        <v>535.29999999999995</v>
      </c>
      <c r="AD140" s="267">
        <f>IF(IndividualLATest!$J$7=2014,(VLOOKUP($A140,Hshldprojections2014!$A$2:$AY$326,43,FALSE)-VLOOKUP($A140,Hshldprojections2014!$A$2:$AY$326,33,FALSE))/10,IF(IndividualLATest!$J$7=2016,(VLOOKUP($A140,Hshldprojections2016!$A$1:$AQ$322,33,FALSE)-VLOOKUP($A140,Hshldprojections2016!$A$1:$AQ$322,23,FALSE))/10,(VLOOKUP($A140,Hshldprojections2018!$A$1:$AQ$327,33,FALSE)-VLOOKUP($A140,Hshldprojections2018!$A$1:$AQ$327,23,FALSE))/10))</f>
        <v>604.79999999999995</v>
      </c>
      <c r="AE140" s="267">
        <f>IF(IndividualLATest!$J$7=2014,(VLOOKUP($A140,Hshldprojections2014!$A$2:$AY$326,44,FALSE)-VLOOKUP($A140,Hshldprojections2014!$A$2:$AY$326,34,FALSE))/10,IF(IndividualLATest!$J$7=2016,(VLOOKUP($A140,Hshldprojections2016!$A$1:$AQ$322,34,FALSE)-VLOOKUP($A140,Hshldprojections2016!$A$1:$AQ$322,24,FALSE))/10,(VLOOKUP($A140,Hshldprojections2018!$A$1:$AQ$327,34,FALSE)-VLOOKUP($A140,Hshldprojections2018!$A$1:$AQ$327,24,FALSE))/10))</f>
        <v>587.9</v>
      </c>
      <c r="AF140" s="267">
        <f>IF(IndividualLATest!$J$7=2014,(VLOOKUP($A140,Hshldprojections2014!$A$2:$AY$326,45,FALSE)-VLOOKUP($A140,Hshldprojections2014!$A$2:$AY$326,35,FALSE))/10,IF(IndividualLATest!$J$7=2016,(VLOOKUP($A140,Hshldprojections2016!$A$1:$AQ$322,35,FALSE)-VLOOKUP($A140,Hshldprojections2016!$A$1:$AQ$322,25,FALSE))/10,(VLOOKUP($A140,Hshldprojections2018!$A$1:$AQ$327,35,FALSE)-VLOOKUP($A140,Hshldprojections2018!$A$1:$AQ$327,25,FALSE))/10))</f>
        <v>571.5</v>
      </c>
      <c r="AG140" s="267">
        <f>IF(IndividualLATest!$J$7=2014,(VLOOKUP($A140,Hshldprojections2014!$A$2:$AY$326,46,FALSE)-VLOOKUP($A140,Hshldprojections2014!$A$2:$AY$326,36,FALSE))/10,IF(IndividualLATest!$J$7=2016,(VLOOKUP($A140,Hshldprojections2016!$A$1:$AQ$322,36,FALSE)-VLOOKUP($A140,Hshldprojections2016!$A$1:$AQ$322,26,FALSE))/10,(VLOOKUP($A140,Hshldprojections2018!$A$1:$AQ$327,36,FALSE)-VLOOKUP($A140,Hshldprojections2018!$A$1:$AQ$327,26,FALSE))/10))</f>
        <v>553.6</v>
      </c>
      <c r="AH140" s="267">
        <f>IF(IndividualLATest!$J$7=2014,(VLOOKUP($A140,Hshldprojections2014!$A$2:$AY$326,47,FALSE)-VLOOKUP($A140,Hshldprojections2014!$A$2:$AY$326,37,FALSE))/10,IF(IndividualLATest!$J$7=2016,(VLOOKUP($A140,Hshldprojections2016!$A$1:$AQ$322,37,FALSE)-VLOOKUP($A140,Hshldprojections2016!$A$1:$AQ$322,27,FALSE))/10,(VLOOKUP($A140,Hshldprojections2018!$A$1:$AQ$327,37,FALSE)-VLOOKUP($A140,Hshldprojections2018!$A$1:$AQ$327,27,FALSE))/10))</f>
        <v>541</v>
      </c>
      <c r="AI140" s="268">
        <f>VLOOKUP($A140,AffordabilityRatio!$A$2:$I$321,5,FALSE)</f>
        <v>8.19</v>
      </c>
      <c r="AJ140" s="268">
        <f>VLOOKUP($A140,AffordabilityRatio!$A$2:$I$321,6,FALSE)</f>
        <v>8.23</v>
      </c>
      <c r="AK140" s="268">
        <f>VLOOKUP($A140,AffordabilityRatio!$A$2:$I$321,7,FALSE)</f>
        <v>8.48</v>
      </c>
      <c r="AL140" s="268">
        <f>IF((VLOOKUP($A140,AffordabilityRatio!$A$2:$I$321,8,FALSE))="",AK140,VLOOKUP($A140,AffordabilityRatio!$A$2:$I$321,8,FALSE))</f>
        <v>8.09</v>
      </c>
      <c r="AM140" s="268">
        <f>IF((VLOOKUP($A140,AffordabilityRatio!$A$2:$I$321,9,FALSE))="",AL140,VLOOKUP($A140,AffordabilityRatio!$A$2:$I$321,9,FALSE))</f>
        <v>10</v>
      </c>
      <c r="AN140" s="268">
        <f>IF((VLOOKUP($A140,AffordabilityRatio!$A$2:$I$321,9,FALSE))="",AM140,VLOOKUP($A140,AffordabilityRatio!$A$2:$I$321,9,FALSE))</f>
        <v>10</v>
      </c>
      <c r="AO140" s="268">
        <f>IF((VLOOKUP($A140,AffordabilityRatio!$A$2:$I$321,9,FALSE))="",AN140,VLOOKUP($A140,AffordabilityRatio!$A$2:$I$321,9,FALSE))</f>
        <v>10</v>
      </c>
      <c r="AP140" s="268">
        <f>IF((VLOOKUP($A140,AffordabilityRatio!$A$2:$I$321,9,FALSE))="",AO140,VLOOKUP($A140,AffordabilityRatio!$A$2:$I$321,9,FALSE))</f>
        <v>10</v>
      </c>
      <c r="AQ140" s="267">
        <f t="shared" si="152"/>
        <v>675</v>
      </c>
      <c r="AR140" s="267">
        <f t="shared" si="153"/>
        <v>674</v>
      </c>
      <c r="AS140" s="267">
        <f t="shared" si="154"/>
        <v>685</v>
      </c>
      <c r="AT140" s="267">
        <f t="shared" si="155"/>
        <v>759</v>
      </c>
      <c r="AU140" s="267">
        <f t="shared" si="156"/>
        <v>808</v>
      </c>
      <c r="AV140" s="267">
        <f t="shared" si="157"/>
        <v>786</v>
      </c>
      <c r="AW140" s="267">
        <f t="shared" si="158"/>
        <v>761</v>
      </c>
      <c r="AX140" s="267">
        <f t="shared" si="159"/>
        <v>744</v>
      </c>
      <c r="AY140" s="267">
        <f t="shared" si="160"/>
        <v>675</v>
      </c>
      <c r="AZ140" s="267">
        <f t="shared" si="161"/>
        <v>674</v>
      </c>
      <c r="BA140" s="267">
        <f t="shared" si="162"/>
        <v>685</v>
      </c>
      <c r="BB140" s="267">
        <f t="shared" si="163"/>
        <v>759</v>
      </c>
      <c r="BC140" s="267">
        <f t="shared" si="164"/>
        <v>808</v>
      </c>
      <c r="BD140" s="267">
        <f t="shared" si="165"/>
        <v>786</v>
      </c>
      <c r="BE140" s="267">
        <f t="shared" si="166"/>
        <v>761</v>
      </c>
      <c r="BF140" s="267">
        <f t="shared" si="167"/>
        <v>744</v>
      </c>
      <c r="BG140" s="269">
        <f>AY140*VLOOKUP($B140,'Major Cities &amp; Towns'!$A$28:$B$345,2,FALSE)</f>
        <v>675</v>
      </c>
      <c r="BH140" s="269">
        <f>AZ140*VLOOKUP($B140,'Major Cities &amp; Towns'!$A$28:$B$345,2,FALSE)</f>
        <v>674</v>
      </c>
      <c r="BI140" s="269">
        <f>BA140*VLOOKUP($B140,'Major Cities &amp; Towns'!$A$28:$B$345,2,FALSE)</f>
        <v>685</v>
      </c>
      <c r="BJ140" s="269">
        <f>BB140*VLOOKUP($B140,'Major Cities &amp; Towns'!$A$28:$B$345,2,FALSE)</f>
        <v>759</v>
      </c>
      <c r="BK140" s="269">
        <f>BC140*VLOOKUP($B140,'Major Cities &amp; Towns'!$A$28:$B$345,2,FALSE)</f>
        <v>808</v>
      </c>
      <c r="BL140" s="269">
        <f>BD140*VLOOKUP($B140,'Major Cities &amp; Towns'!$A$28:$B$345,2,FALSE)</f>
        <v>786</v>
      </c>
      <c r="BM140" s="269">
        <f>BE140*VLOOKUP($B140,'Major Cities &amp; Towns'!$A$28:$B$345,2,FALSE)</f>
        <v>761</v>
      </c>
      <c r="BN140" s="269">
        <f>BF140*VLOOKUP($B140,'Major Cities &amp; Towns'!$A$28:$B$345,2,FALSE)</f>
        <v>744</v>
      </c>
      <c r="BO140" s="270">
        <f t="shared" si="168"/>
        <v>675</v>
      </c>
      <c r="BP140" s="270">
        <f t="shared" si="169"/>
        <v>674</v>
      </c>
      <c r="BQ140" s="270">
        <f t="shared" si="170"/>
        <v>685</v>
      </c>
      <c r="BR140" s="270">
        <f t="shared" si="171"/>
        <v>759</v>
      </c>
      <c r="BS140" s="270">
        <f t="shared" si="172"/>
        <v>808</v>
      </c>
      <c r="BT140" s="270">
        <f t="shared" si="173"/>
        <v>786</v>
      </c>
      <c r="BU140" s="270">
        <f t="shared" si="174"/>
        <v>761</v>
      </c>
      <c r="BV140" s="270">
        <f t="shared" si="175"/>
        <v>744</v>
      </c>
      <c r="BW140" s="39">
        <f>VLOOKUP($A140,NetAdditions!$A$2:$H$336,6,FALSE)</f>
        <v>350</v>
      </c>
      <c r="BX140" s="39">
        <f>VLOOKUP($A140,NetAdditions!$A$2:$H$336,7,FALSE)</f>
        <v>253</v>
      </c>
      <c r="BY140" s="39">
        <f>IF((VLOOKUP($C140,NetAdditions!$A$2:$H$336,8,FALSE))="",(AVERAGE(VLOOKUP($C140,NetAdditions!$A$2:$H$336,5,FALSE),VLOOKUP($C140,NetAdditions!$A$2:$H$336,6,FALSE),VLOOKUP($C140,NetAdditions!$A$2:$H$336,7,FALSE))),VLOOKUP($C140,NetAdditions!$A$2:$H$336,8,FALSE))</f>
        <v>445</v>
      </c>
      <c r="BZ140" s="39">
        <f t="shared" si="176"/>
        <v>349.33333333333331</v>
      </c>
      <c r="CA140" s="39">
        <f t="shared" si="177"/>
        <v>349.11111111111109</v>
      </c>
      <c r="CB140" s="39">
        <f t="shared" si="178"/>
        <v>381.1481481481481</v>
      </c>
      <c r="CC140" s="39">
        <f t="shared" si="179"/>
        <v>359.86419753086415</v>
      </c>
      <c r="CD140" s="39">
        <f t="shared" si="180"/>
        <v>363.37448559670776</v>
      </c>
      <c r="CE140" s="276">
        <f t="shared" si="137"/>
        <v>2034</v>
      </c>
      <c r="CF140" s="276">
        <f t="shared" si="138"/>
        <v>2118</v>
      </c>
      <c r="CG140" s="276">
        <f t="shared" si="139"/>
        <v>2252</v>
      </c>
      <c r="CH140" s="276">
        <f t="shared" si="140"/>
        <v>2353</v>
      </c>
      <c r="CI140" s="276">
        <f t="shared" si="141"/>
        <v>2355</v>
      </c>
      <c r="CJ140" s="276">
        <f t="shared" si="142"/>
        <v>2291</v>
      </c>
      <c r="CK140" s="276">
        <f t="shared" si="181"/>
        <v>1751.5</v>
      </c>
      <c r="CL140" s="276">
        <f t="shared" si="182"/>
        <v>1823.8333333333335</v>
      </c>
      <c r="CM140" s="276">
        <f t="shared" si="183"/>
        <v>2064.333333333333</v>
      </c>
      <c r="CN140" s="276">
        <f t="shared" si="184"/>
        <v>2353</v>
      </c>
      <c r="CO140" s="276">
        <f t="shared" si="185"/>
        <v>2355</v>
      </c>
      <c r="CP140" s="276">
        <f t="shared" si="186"/>
        <v>2291</v>
      </c>
      <c r="CQ140" s="39">
        <f t="shared" si="143"/>
        <v>1048</v>
      </c>
      <c r="CR140" s="39">
        <f t="shared" si="144"/>
        <v>1047.3333333333333</v>
      </c>
      <c r="CS140" s="277">
        <f t="shared" si="145"/>
        <v>1143.4444444444443</v>
      </c>
      <c r="CT140" s="39">
        <f t="shared" si="146"/>
        <v>1079.5925925925924</v>
      </c>
      <c r="CU140" s="39">
        <f t="shared" si="147"/>
        <v>1090.1234567901233</v>
      </c>
      <c r="CV140" s="39">
        <f t="shared" si="187"/>
        <v>1104.3868312757199</v>
      </c>
      <c r="CW140" s="297">
        <f t="shared" si="148"/>
        <v>0.59834427633457032</v>
      </c>
      <c r="CX140" s="279" t="str">
        <f t="shared" si="188"/>
        <v>Buffer and Action Plan</v>
      </c>
      <c r="CY140" s="278">
        <f t="shared" si="149"/>
        <v>0.57424837795851225</v>
      </c>
      <c r="CZ140" s="279" t="str">
        <f t="shared" si="189"/>
        <v>Buffer and Action Plan</v>
      </c>
      <c r="DA140" s="278">
        <f t="shared" si="150"/>
        <v>0.55390494644491095</v>
      </c>
      <c r="DB140" s="292" t="str">
        <f t="shared" si="190"/>
        <v>Presumption</v>
      </c>
      <c r="DC140" s="299">
        <f t="shared" si="191"/>
        <v>0.4588153814673151</v>
      </c>
      <c r="DD140" s="293" t="str">
        <f t="shared" si="192"/>
        <v>Presumption</v>
      </c>
      <c r="DE140" s="299">
        <f t="shared" si="193"/>
        <v>0.46289743388115639</v>
      </c>
      <c r="DF140" s="293" t="str">
        <f t="shared" si="194"/>
        <v>Presumption</v>
      </c>
      <c r="DG140" s="299">
        <f t="shared" si="195"/>
        <v>0.48205448768036663</v>
      </c>
      <c r="DH140" s="293" t="str">
        <f t="shared" si="196"/>
        <v>Presumption</v>
      </c>
    </row>
    <row r="141" spans="1:112" ht="15" thickTop="1" thickBot="1">
      <c r="A141" s="38" t="s">
        <v>392</v>
      </c>
      <c r="B141" s="38" t="s">
        <v>393</v>
      </c>
      <c r="C141" s="38" t="s">
        <v>392</v>
      </c>
      <c r="D141" s="38" t="s">
        <v>147</v>
      </c>
      <c r="E141" s="38" t="str">
        <f>VLOOKUP(C141,PoliticalControl!A:K,11,FALSE)</f>
        <v>IND/OTHER</v>
      </c>
      <c r="F141" s="38" t="str">
        <f>VLOOKUP(C141,UrbanRuralClassification!A:N,13,FALSE)</f>
        <v xml:space="preserve">Mainly Rural (rural including hub towns &gt;=80%) </v>
      </c>
      <c r="G141" s="38" t="str">
        <f>VLOOKUP(C141,UrbanRuralClassification!A:N,14,FALSE)</f>
        <v>Predominantly Rural</v>
      </c>
      <c r="H141" s="258">
        <f>IF(ISBLANK((VLOOKUP($A141,'local-plan-data'!$C$1:$AD$566,27,FALSE)))=TRUE,"",VLOOKUP($A141,'local-plan-data'!$C$1:$AD$566,27,FALSE))</f>
        <v>44280</v>
      </c>
      <c r="I141" s="259">
        <f>VLOOKUP($A141,'local-plan-data'!$C$1:$AD$566,28,FALSE)</f>
        <v>7</v>
      </c>
      <c r="J141" s="260">
        <f t="shared" si="151"/>
        <v>7</v>
      </c>
      <c r="K141" s="259">
        <f t="shared" si="133"/>
        <v>7</v>
      </c>
      <c r="L141" s="259">
        <f t="shared" si="135"/>
        <v>7</v>
      </c>
      <c r="M141" s="259">
        <f t="shared" si="135"/>
        <v>7</v>
      </c>
      <c r="N141" s="259">
        <f t="shared" si="135"/>
        <v>7</v>
      </c>
      <c r="O141" s="259">
        <f t="shared" si="135"/>
        <v>7</v>
      </c>
      <c r="P141" s="259">
        <f t="shared" si="135"/>
        <v>7</v>
      </c>
      <c r="Q141" s="259">
        <f t="shared" si="135"/>
        <v>7</v>
      </c>
      <c r="R141" s="259">
        <f t="shared" si="135"/>
        <v>7</v>
      </c>
      <c r="S141" s="259">
        <f t="shared" si="134"/>
        <v>2915</v>
      </c>
      <c r="T141" s="259">
        <f t="shared" si="136"/>
        <v>2550</v>
      </c>
      <c r="U141" s="259">
        <f t="shared" si="136"/>
        <v>2184</v>
      </c>
      <c r="V141" s="259">
        <f t="shared" si="136"/>
        <v>1819</v>
      </c>
      <c r="W141" s="259">
        <f t="shared" si="136"/>
        <v>1454</v>
      </c>
      <c r="X141" s="259">
        <f t="shared" si="136"/>
        <v>1089</v>
      </c>
      <c r="Y141" s="259">
        <f t="shared" si="136"/>
        <v>723</v>
      </c>
      <c r="Z141" s="259">
        <f t="shared" si="136"/>
        <v>358</v>
      </c>
      <c r="AA141" s="267" t="e">
        <f>(VLOOKUP(A141,Hshldprojections2014!$A$2:$AW$319,40, FALSE)-VLOOKUP(A141,Hshldprojections2014!$A$2:$AW$319,30, FALSE))/10</f>
        <v>#VALUE!</v>
      </c>
      <c r="AB141" s="267" t="e">
        <f>(VLOOKUP(A141,Hshldprojections2014!$A$2:$AW$319,41, FALSE)-VLOOKUP(A141,Hshldprojections2014!$A$2:$AW$319,31, FALSE))/10</f>
        <v>#VALUE!</v>
      </c>
      <c r="AC141" s="267" t="e">
        <f>(VLOOKUP(A141,Hshldprojections2014!$A$2:$AW$319,42, FALSE)-VLOOKUP(A141,Hshldprojections2014!$A$2:$AW$319,32, FALSE))/10</f>
        <v>#VALUE!</v>
      </c>
      <c r="AD141" s="267">
        <f>IF(IndividualLATest!$J$7=2014,(VLOOKUP($A141,Hshldprojections2014!$A$2:$AY$326,43,FALSE)-VLOOKUP($A141,Hshldprojections2014!$A$2:$AY$326,33,FALSE))/10,IF(IndividualLATest!$J$7=2016,(VLOOKUP($A141,Hshldprojections2016!$A$1:$AQ$322,33,FALSE)-VLOOKUP($A141,Hshldprojections2016!$A$1:$AQ$322,23,FALSE))/10,(VLOOKUP($A141,Hshldprojections2018!$A$1:$AQ$327,33,FALSE)-VLOOKUP($A141,Hshldprojections2018!$A$1:$AQ$327,23,FALSE))/10))</f>
        <v>-18.899999999999999</v>
      </c>
      <c r="AE141" s="267">
        <f>IF(IndividualLATest!$J$7=2014,(VLOOKUP($A141,Hshldprojections2014!$A$2:$AY$326,44,FALSE)-VLOOKUP($A141,Hshldprojections2014!$A$2:$AY$326,34,FALSE))/10,IF(IndividualLATest!$J$7=2016,(VLOOKUP($A141,Hshldprojections2016!$A$1:$AQ$322,34,FALSE)-VLOOKUP($A141,Hshldprojections2016!$A$1:$AQ$322,24,FALSE))/10,(VLOOKUP($A141,Hshldprojections2018!$A$1:$AQ$327,34,FALSE)-VLOOKUP($A141,Hshldprojections2018!$A$1:$AQ$327,24,FALSE))/10))</f>
        <v>-17.2</v>
      </c>
      <c r="AF141" s="267">
        <f>IF(IndividualLATest!$J$7=2014,(VLOOKUP($A141,Hshldprojections2014!$A$2:$AY$326,45,FALSE)-VLOOKUP($A141,Hshldprojections2014!$A$2:$AY$326,35,FALSE))/10,IF(IndividualLATest!$J$7=2016,(VLOOKUP($A141,Hshldprojections2016!$A$1:$AQ$322,35,FALSE)-VLOOKUP($A141,Hshldprojections2016!$A$1:$AQ$322,25,FALSE))/10,(VLOOKUP($A141,Hshldprojections2018!$A$1:$AQ$327,35,FALSE)-VLOOKUP($A141,Hshldprojections2018!$A$1:$AQ$327,25,FALSE))/10))</f>
        <v>-15.3</v>
      </c>
      <c r="AG141" s="267">
        <f>IF(IndividualLATest!$J$7=2014,(VLOOKUP($A141,Hshldprojections2014!$A$2:$AY$326,46,FALSE)-VLOOKUP($A141,Hshldprojections2014!$A$2:$AY$326,36,FALSE))/10,IF(IndividualLATest!$J$7=2016,(VLOOKUP($A141,Hshldprojections2016!$A$1:$AQ$322,36,FALSE)-VLOOKUP($A141,Hshldprojections2016!$A$1:$AQ$322,26,FALSE))/10,(VLOOKUP($A141,Hshldprojections2018!$A$1:$AQ$327,36,FALSE)-VLOOKUP($A141,Hshldprojections2018!$A$1:$AQ$327,26,FALSE))/10))</f>
        <v>-14.1</v>
      </c>
      <c r="AH141" s="267">
        <f>IF(IndividualLATest!$J$7=2014,(VLOOKUP($A141,Hshldprojections2014!$A$2:$AY$326,47,FALSE)-VLOOKUP($A141,Hshldprojections2014!$A$2:$AY$326,37,FALSE))/10,IF(IndividualLATest!$J$7=2016,(VLOOKUP($A141,Hshldprojections2016!$A$1:$AQ$322,37,FALSE)-VLOOKUP($A141,Hshldprojections2016!$A$1:$AQ$322,27,FALSE))/10,(VLOOKUP($A141,Hshldprojections2018!$A$1:$AQ$327,37,FALSE)-VLOOKUP($A141,Hshldprojections2018!$A$1:$AQ$327,27,FALSE))/10))</f>
        <v>-12.9</v>
      </c>
      <c r="AI141" s="268" t="str">
        <f>VLOOKUP($A141,AffordabilityRatio!$A$2:$I$321,5,FALSE)</f>
        <v>:</v>
      </c>
      <c r="AJ141" s="268" t="str">
        <f>VLOOKUP($A141,AffordabilityRatio!$A$2:$I$321,6,FALSE)</f>
        <v>:</v>
      </c>
      <c r="AK141" s="268">
        <f>VLOOKUP($A141,AffordabilityRatio!$A$2:$I$321,7,FALSE)</f>
        <v>16.96</v>
      </c>
      <c r="AL141" s="268" t="str">
        <f>IF((VLOOKUP($A141,AffordabilityRatio!$A$2:$I$321,8,FALSE))="",AK141,VLOOKUP($A141,AffordabilityRatio!$A$2:$I$321,8,FALSE))</f>
        <v>:</v>
      </c>
      <c r="AM141" s="268" t="str">
        <f>IF((VLOOKUP($A141,AffordabilityRatio!$A$2:$I$321,9,FALSE))="",AL141,VLOOKUP($A141,AffordabilityRatio!$A$2:$I$321,9,FALSE))</f>
        <v>:</v>
      </c>
      <c r="AN141" s="268" t="str">
        <f>IF((VLOOKUP($A141,AffordabilityRatio!$A$2:$I$321,9,FALSE))="",AM141,VLOOKUP($A141,AffordabilityRatio!$A$2:$I$321,9,FALSE))</f>
        <v>:</v>
      </c>
      <c r="AO141" s="268" t="str">
        <f>IF((VLOOKUP($A141,AffordabilityRatio!$A$2:$I$321,9,FALSE))="",AN141,VLOOKUP($A141,AffordabilityRatio!$A$2:$I$321,9,FALSE))</f>
        <v>:</v>
      </c>
      <c r="AP141" s="268" t="str">
        <f>IF((VLOOKUP($A141,AffordabilityRatio!$A$2:$I$321,9,FALSE))="",AO141,VLOOKUP($A141,AffordabilityRatio!$A$2:$I$321,9,FALSE))</f>
        <v>:</v>
      </c>
      <c r="AQ141" s="267" t="e">
        <f t="shared" si="152"/>
        <v>#VALUE!</v>
      </c>
      <c r="AR141" s="267" t="e">
        <f t="shared" si="153"/>
        <v>#VALUE!</v>
      </c>
      <c r="AS141" s="267" t="e">
        <f t="shared" si="154"/>
        <v>#VALUE!</v>
      </c>
      <c r="AT141" s="267">
        <f t="shared" si="155"/>
        <v>0</v>
      </c>
      <c r="AU141" s="267">
        <f t="shared" si="156"/>
        <v>0</v>
      </c>
      <c r="AV141" s="267">
        <f t="shared" si="157"/>
        <v>0</v>
      </c>
      <c r="AW141" s="267">
        <f t="shared" si="158"/>
        <v>0</v>
      </c>
      <c r="AX141" s="267">
        <f t="shared" si="159"/>
        <v>0</v>
      </c>
      <c r="AY141" s="267" t="e">
        <f t="shared" si="160"/>
        <v>#VALUE!</v>
      </c>
      <c r="AZ141" s="267" t="e">
        <f t="shared" si="161"/>
        <v>#VALUE!</v>
      </c>
      <c r="BA141" s="267" t="e">
        <f t="shared" si="162"/>
        <v>#VALUE!</v>
      </c>
      <c r="BB141" s="267">
        <f t="shared" si="163"/>
        <v>0</v>
      </c>
      <c r="BC141" s="267">
        <f t="shared" si="164"/>
        <v>0</v>
      </c>
      <c r="BD141" s="267">
        <f t="shared" si="165"/>
        <v>0</v>
      </c>
      <c r="BE141" s="267">
        <f t="shared" si="166"/>
        <v>0</v>
      </c>
      <c r="BF141" s="267">
        <f t="shared" si="167"/>
        <v>0</v>
      </c>
      <c r="BG141" s="269" t="e">
        <f>AY141*VLOOKUP($B141,'Major Cities &amp; Towns'!$A$28:$B$345,2,FALSE)</f>
        <v>#VALUE!</v>
      </c>
      <c r="BH141" s="269" t="e">
        <f>AZ141*VLOOKUP($B141,'Major Cities &amp; Towns'!$A$28:$B$345,2,FALSE)</f>
        <v>#VALUE!</v>
      </c>
      <c r="BI141" s="269" t="e">
        <f>BA141*VLOOKUP($B141,'Major Cities &amp; Towns'!$A$28:$B$345,2,FALSE)</f>
        <v>#VALUE!</v>
      </c>
      <c r="BJ141" s="269">
        <f>BB141*VLOOKUP($B141,'Major Cities &amp; Towns'!$A$28:$B$345,2,FALSE)</f>
        <v>0</v>
      </c>
      <c r="BK141" s="269">
        <f>BC141*VLOOKUP($B141,'Major Cities &amp; Towns'!$A$28:$B$345,2,FALSE)</f>
        <v>0</v>
      </c>
      <c r="BL141" s="269">
        <f>BD141*VLOOKUP($B141,'Major Cities &amp; Towns'!$A$28:$B$345,2,FALSE)</f>
        <v>0</v>
      </c>
      <c r="BM141" s="269">
        <f>BE141*VLOOKUP($B141,'Major Cities &amp; Towns'!$A$28:$B$345,2,FALSE)</f>
        <v>0</v>
      </c>
      <c r="BN141" s="269">
        <f>BF141*VLOOKUP($B141,'Major Cities &amp; Towns'!$A$28:$B$345,2,FALSE)</f>
        <v>0</v>
      </c>
      <c r="BO141" s="270" t="e">
        <f t="shared" si="168"/>
        <v>#VALUE!</v>
      </c>
      <c r="BP141" s="270" t="e">
        <f t="shared" si="169"/>
        <v>#VALUE!</v>
      </c>
      <c r="BQ141" s="270" t="e">
        <f t="shared" si="170"/>
        <v>#VALUE!</v>
      </c>
      <c r="BR141" s="270">
        <f t="shared" si="171"/>
        <v>0</v>
      </c>
      <c r="BS141" s="270">
        <f t="shared" si="172"/>
        <v>0</v>
      </c>
      <c r="BT141" s="270">
        <f t="shared" si="173"/>
        <v>0</v>
      </c>
      <c r="BU141" s="270">
        <f t="shared" si="174"/>
        <v>0</v>
      </c>
      <c r="BV141" s="270">
        <f t="shared" si="175"/>
        <v>0</v>
      </c>
      <c r="BW141" s="39">
        <f>VLOOKUP($A141,NetAdditions!$A$2:$H$336,6,FALSE)</f>
        <v>0</v>
      </c>
      <c r="BX141" s="39">
        <f>VLOOKUP($A141,NetAdditions!$A$2:$H$336,7,FALSE)</f>
        <v>0</v>
      </c>
      <c r="BY141" s="39">
        <f>IF((VLOOKUP($C141,NetAdditions!$A$2:$H$336,8,FALSE))="",(AVERAGE(VLOOKUP($C141,NetAdditions!$A$2:$H$336,5,FALSE),VLOOKUP($C141,NetAdditions!$A$2:$H$336,6,FALSE),VLOOKUP($C141,NetAdditions!$A$2:$H$336,7,FALSE))),VLOOKUP($C141,NetAdditions!$A$2:$H$336,8,FALSE))</f>
        <v>0</v>
      </c>
      <c r="BZ141" s="39">
        <f t="shared" si="176"/>
        <v>0</v>
      </c>
      <c r="CA141" s="39">
        <f t="shared" si="177"/>
        <v>0</v>
      </c>
      <c r="CB141" s="39">
        <f t="shared" si="178"/>
        <v>0</v>
      </c>
      <c r="CC141" s="39">
        <f t="shared" si="179"/>
        <v>0</v>
      </c>
      <c r="CD141" s="39">
        <f t="shared" si="180"/>
        <v>0</v>
      </c>
      <c r="CE141" s="276" t="e">
        <f t="shared" si="137"/>
        <v>#VALUE!</v>
      </c>
      <c r="CF141" s="276" t="e">
        <f t="shared" si="138"/>
        <v>#VALUE!</v>
      </c>
      <c r="CG141" s="276" t="e">
        <f t="shared" si="139"/>
        <v>#VALUE!</v>
      </c>
      <c r="CH141" s="276">
        <f t="shared" si="140"/>
        <v>0</v>
      </c>
      <c r="CI141" s="276">
        <f t="shared" si="141"/>
        <v>0</v>
      </c>
      <c r="CJ141" s="276">
        <f t="shared" si="142"/>
        <v>0</v>
      </c>
      <c r="CK141" s="276" t="e">
        <f t="shared" si="181"/>
        <v>#VALUE!</v>
      </c>
      <c r="CL141" s="276" t="e">
        <f t="shared" si="182"/>
        <v>#VALUE!</v>
      </c>
      <c r="CM141" s="276" t="e">
        <f t="shared" si="183"/>
        <v>#VALUE!</v>
      </c>
      <c r="CN141" s="276">
        <f t="shared" si="184"/>
        <v>0</v>
      </c>
      <c r="CO141" s="276">
        <f t="shared" si="185"/>
        <v>0</v>
      </c>
      <c r="CP141" s="276">
        <f t="shared" si="186"/>
        <v>0</v>
      </c>
      <c r="CQ141" s="39">
        <f t="shared" si="143"/>
        <v>0</v>
      </c>
      <c r="CR141" s="39">
        <f t="shared" si="144"/>
        <v>0</v>
      </c>
      <c r="CS141" s="277">
        <f t="shared" si="145"/>
        <v>0</v>
      </c>
      <c r="CT141" s="39">
        <f t="shared" si="146"/>
        <v>0</v>
      </c>
      <c r="CU141" s="39">
        <f t="shared" si="147"/>
        <v>0</v>
      </c>
      <c r="CV141" s="39">
        <f t="shared" si="187"/>
        <v>0</v>
      </c>
      <c r="CW141" s="297" t="str">
        <f t="shared" si="148"/>
        <v>-</v>
      </c>
      <c r="CX141" s="279" t="str">
        <f t="shared" si="188"/>
        <v>Pass</v>
      </c>
      <c r="CY141" s="278" t="str">
        <f t="shared" si="149"/>
        <v>-</v>
      </c>
      <c r="CZ141" s="279" t="str">
        <f t="shared" si="189"/>
        <v>Pass</v>
      </c>
      <c r="DA141" s="278" t="str">
        <f t="shared" si="150"/>
        <v>-</v>
      </c>
      <c r="DB141" s="292" t="str">
        <f t="shared" si="190"/>
        <v>Pass</v>
      </c>
      <c r="DC141" s="299" t="str">
        <f t="shared" si="191"/>
        <v>-</v>
      </c>
      <c r="DD141" s="293" t="str">
        <f t="shared" si="192"/>
        <v>Pass</v>
      </c>
      <c r="DE141" s="299" t="str">
        <f t="shared" si="193"/>
        <v>-</v>
      </c>
      <c r="DF141" s="293" t="str">
        <f t="shared" si="194"/>
        <v>Pass</v>
      </c>
      <c r="DG141" s="299" t="str">
        <f t="shared" si="195"/>
        <v>-</v>
      </c>
      <c r="DH141" s="293" t="str">
        <f t="shared" si="196"/>
        <v>Pass</v>
      </c>
    </row>
    <row r="142" spans="1:112" customFormat="1" ht="15.5" thickTop="1" thickBot="1">
      <c r="A142" s="3" t="s">
        <v>394</v>
      </c>
      <c r="B142" s="3" t="s">
        <v>395</v>
      </c>
      <c r="C142" s="3" t="s">
        <v>394</v>
      </c>
      <c r="D142" s="3" t="s">
        <v>131</v>
      </c>
      <c r="E142" s="3" t="str">
        <f>VLOOKUP(C142,PoliticalControl!A:K,11,FALSE)</f>
        <v>LAB</v>
      </c>
      <c r="F142" s="3" t="str">
        <f>VLOOKUP(C142,UrbanRuralClassification!A:N,13,FALSE)</f>
        <v>Urban with Major Conurbation</v>
      </c>
      <c r="G142" s="3" t="str">
        <f>VLOOKUP(C142,UrbanRuralClassification!A:N,14,FALSE)</f>
        <v>Predominantly Urban</v>
      </c>
      <c r="H142" s="262">
        <f>IF(ISBLANK((VLOOKUP($A142,'local-plan-data'!$C$1:$AD$566,27,FALSE)))=TRUE,"",VLOOKUP($A142,'local-plan-data'!$C$1:$AD$566,27,FALSE))</f>
        <v>40591</v>
      </c>
      <c r="I142" s="263">
        <f>VLOOKUP($A142,'local-plan-data'!$C$1:$AD$566,28,FALSE)</f>
        <v>1169</v>
      </c>
      <c r="J142" s="264">
        <f t="shared" si="151"/>
        <v>1169</v>
      </c>
      <c r="K142" s="259" t="str">
        <f t="shared" si="133"/>
        <v>-</v>
      </c>
      <c r="L142" s="259" t="str">
        <f t="shared" si="135"/>
        <v>-</v>
      </c>
      <c r="M142" s="259" t="str">
        <f t="shared" si="135"/>
        <v>-</v>
      </c>
      <c r="N142" s="259" t="str">
        <f t="shared" si="135"/>
        <v>-</v>
      </c>
      <c r="O142" s="259" t="str">
        <f t="shared" si="135"/>
        <v>-</v>
      </c>
      <c r="P142" s="259" t="str">
        <f t="shared" si="135"/>
        <v>-</v>
      </c>
      <c r="Q142" s="259" t="str">
        <f t="shared" si="135"/>
        <v>-</v>
      </c>
      <c r="R142" s="259" t="str">
        <f t="shared" si="135"/>
        <v>-</v>
      </c>
      <c r="S142" s="259">
        <f t="shared" si="134"/>
        <v>-774</v>
      </c>
      <c r="T142" s="259">
        <f t="shared" si="136"/>
        <v>-1139</v>
      </c>
      <c r="U142" s="259">
        <f t="shared" si="136"/>
        <v>-1505</v>
      </c>
      <c r="V142" s="259">
        <f t="shared" si="136"/>
        <v>-1870</v>
      </c>
      <c r="W142" s="259">
        <f t="shared" si="136"/>
        <v>-2235</v>
      </c>
      <c r="X142" s="259">
        <f t="shared" si="136"/>
        <v>-2600</v>
      </c>
      <c r="Y142" s="259">
        <f t="shared" si="136"/>
        <v>-2966</v>
      </c>
      <c r="Z142" s="259">
        <f t="shared" si="136"/>
        <v>-3331</v>
      </c>
      <c r="AA142" s="267">
        <f>(VLOOKUP(A142,Hshldprojections2014!$A$2:$AW$319,40, FALSE)-VLOOKUP(A142,Hshldprojections2014!$A$2:$AW$319,30, FALSE))/10</f>
        <v>1728.8</v>
      </c>
      <c r="AB142" s="267">
        <f>(VLOOKUP(A142,Hshldprojections2014!$A$2:$AW$319,41, FALSE)-VLOOKUP(A142,Hshldprojections2014!$A$2:$AW$319,31, FALSE))/10</f>
        <v>1685</v>
      </c>
      <c r="AC142" s="267">
        <f>(VLOOKUP(A142,Hshldprojections2014!$A$2:$AW$319,42, FALSE)-VLOOKUP(A142,Hshldprojections2014!$A$2:$AW$319,32, FALSE))/10</f>
        <v>1649.2</v>
      </c>
      <c r="AD142" s="267">
        <f>IF(IndividualLATest!$J$7=2014,(VLOOKUP($A142,Hshldprojections2014!$A$2:$AY$326,43,FALSE)-VLOOKUP($A142,Hshldprojections2014!$A$2:$AY$326,33,FALSE))/10,IF(IndividualLATest!$J$7=2016,(VLOOKUP($A142,Hshldprojections2016!$A$1:$AQ$322,33,FALSE)-VLOOKUP($A142,Hshldprojections2016!$A$1:$AQ$322,23,FALSE))/10,(VLOOKUP($A142,Hshldprojections2018!$A$1:$AQ$327,33,FALSE)-VLOOKUP($A142,Hshldprojections2018!$A$1:$AQ$327,23,FALSE))/10))</f>
        <v>746.2</v>
      </c>
      <c r="AE142" s="267">
        <f>IF(IndividualLATest!$J$7=2014,(VLOOKUP($A142,Hshldprojections2014!$A$2:$AY$326,44,FALSE)-VLOOKUP($A142,Hshldprojections2014!$A$2:$AY$326,34,FALSE))/10,IF(IndividualLATest!$J$7=2016,(VLOOKUP($A142,Hshldprojections2016!$A$1:$AQ$322,34,FALSE)-VLOOKUP($A142,Hshldprojections2016!$A$1:$AQ$322,24,FALSE))/10,(VLOOKUP($A142,Hshldprojections2018!$A$1:$AQ$327,34,FALSE)-VLOOKUP($A142,Hshldprojections2018!$A$1:$AQ$327,24,FALSE))/10))</f>
        <v>733.9</v>
      </c>
      <c r="AF142" s="267">
        <f>IF(IndividualLATest!$J$7=2014,(VLOOKUP($A142,Hshldprojections2014!$A$2:$AY$326,45,FALSE)-VLOOKUP($A142,Hshldprojections2014!$A$2:$AY$326,35,FALSE))/10,IF(IndividualLATest!$J$7=2016,(VLOOKUP($A142,Hshldprojections2016!$A$1:$AQ$322,35,FALSE)-VLOOKUP($A142,Hshldprojections2016!$A$1:$AQ$322,25,FALSE))/10,(VLOOKUP($A142,Hshldprojections2018!$A$1:$AQ$327,35,FALSE)-VLOOKUP($A142,Hshldprojections2018!$A$1:$AQ$327,25,FALSE))/10))</f>
        <v>732.9</v>
      </c>
      <c r="AG142" s="267">
        <f>IF(IndividualLATest!$J$7=2014,(VLOOKUP($A142,Hshldprojections2014!$A$2:$AY$326,46,FALSE)-VLOOKUP($A142,Hshldprojections2014!$A$2:$AY$326,36,FALSE))/10,IF(IndividualLATest!$J$7=2016,(VLOOKUP($A142,Hshldprojections2016!$A$1:$AQ$322,36,FALSE)-VLOOKUP($A142,Hshldprojections2016!$A$1:$AQ$322,26,FALSE))/10,(VLOOKUP($A142,Hshldprojections2018!$A$1:$AQ$327,36,FALSE)-VLOOKUP($A142,Hshldprojections2018!$A$1:$AQ$327,26,FALSE))/10))</f>
        <v>733.6</v>
      </c>
      <c r="AH142" s="267">
        <f>IF(IndividualLATest!$J$7=2014,(VLOOKUP($A142,Hshldprojections2014!$A$2:$AY$326,47,FALSE)-VLOOKUP($A142,Hshldprojections2014!$A$2:$AY$326,37,FALSE))/10,IF(IndividualLATest!$J$7=2016,(VLOOKUP($A142,Hshldprojections2016!$A$1:$AQ$322,37,FALSE)-VLOOKUP($A142,Hshldprojections2016!$A$1:$AQ$322,27,FALSE))/10,(VLOOKUP($A142,Hshldprojections2018!$A$1:$AQ$327,37,FALSE)-VLOOKUP($A142,Hshldprojections2018!$A$1:$AQ$327,27,FALSE))/10))</f>
        <v>741.8</v>
      </c>
      <c r="AI142" s="268">
        <f>VLOOKUP($A142,AffordabilityRatio!$A$2:$I$321,5,FALSE)</f>
        <v>15.67</v>
      </c>
      <c r="AJ142" s="268">
        <f>VLOOKUP($A142,AffordabilityRatio!$A$2:$I$321,6,FALSE)</f>
        <v>14.73</v>
      </c>
      <c r="AK142" s="268">
        <f>VLOOKUP($A142,AffordabilityRatio!$A$2:$I$321,7,FALSE)</f>
        <v>14.56</v>
      </c>
      <c r="AL142" s="268">
        <f>IF((VLOOKUP($A142,AffordabilityRatio!$A$2:$I$321,8,FALSE))="",AK142,VLOOKUP($A142,AffordabilityRatio!$A$2:$I$321,8,FALSE))</f>
        <v>15.44</v>
      </c>
      <c r="AM142" s="268">
        <f>IF((VLOOKUP($A142,AffordabilityRatio!$A$2:$I$321,9,FALSE))="",AL142,VLOOKUP($A142,AffordabilityRatio!$A$2:$I$321,9,FALSE))</f>
        <v>14.73</v>
      </c>
      <c r="AN142" s="268">
        <f>IF((VLOOKUP($A142,AffordabilityRatio!$A$2:$I$321,9,FALSE))="",AM142,VLOOKUP($A142,AffordabilityRatio!$A$2:$I$321,9,FALSE))</f>
        <v>14.73</v>
      </c>
      <c r="AO142" s="268">
        <f>IF((VLOOKUP($A142,AffordabilityRatio!$A$2:$I$321,9,FALSE))="",AN142,VLOOKUP($A142,AffordabilityRatio!$A$2:$I$321,9,FALSE))</f>
        <v>14.73</v>
      </c>
      <c r="AP142" s="268">
        <f>IF((VLOOKUP($A142,AffordabilityRatio!$A$2:$I$321,9,FALSE))="",AO142,VLOOKUP($A142,AffordabilityRatio!$A$2:$I$321,9,FALSE))</f>
        <v>14.73</v>
      </c>
      <c r="AQ142" s="267">
        <f t="shared" si="152"/>
        <v>2990</v>
      </c>
      <c r="AR142" s="267">
        <f t="shared" si="153"/>
        <v>2815</v>
      </c>
      <c r="AS142" s="267">
        <f t="shared" si="154"/>
        <v>2738</v>
      </c>
      <c r="AT142" s="267">
        <f t="shared" si="155"/>
        <v>1280</v>
      </c>
      <c r="AU142" s="267">
        <f t="shared" si="156"/>
        <v>1226</v>
      </c>
      <c r="AV142" s="267">
        <f t="shared" si="157"/>
        <v>1224</v>
      </c>
      <c r="AW142" s="267">
        <f t="shared" si="158"/>
        <v>1226</v>
      </c>
      <c r="AX142" s="267">
        <f t="shared" si="159"/>
        <v>1239</v>
      </c>
      <c r="AY142" s="267">
        <f t="shared" si="160"/>
        <v>2420.3199999999997</v>
      </c>
      <c r="AZ142" s="267">
        <f t="shared" si="161"/>
        <v>2359</v>
      </c>
      <c r="BA142" s="267">
        <f t="shared" si="162"/>
        <v>2308.88</v>
      </c>
      <c r="BB142" s="267">
        <f t="shared" si="163"/>
        <v>1280</v>
      </c>
      <c r="BC142" s="267">
        <f t="shared" si="164"/>
        <v>1226</v>
      </c>
      <c r="BD142" s="267">
        <f t="shared" si="165"/>
        <v>1224</v>
      </c>
      <c r="BE142" s="267">
        <f t="shared" si="166"/>
        <v>1226</v>
      </c>
      <c r="BF142" s="267">
        <f t="shared" si="167"/>
        <v>1239</v>
      </c>
      <c r="BG142" s="269">
        <f>AY142*VLOOKUP($B142,'Major Cities &amp; Towns'!$A$28:$B$345,2,FALSE)</f>
        <v>3267.4319999999998</v>
      </c>
      <c r="BH142" s="269">
        <f>AZ142*VLOOKUP($B142,'Major Cities &amp; Towns'!$A$28:$B$345,2,FALSE)</f>
        <v>3184.65</v>
      </c>
      <c r="BI142" s="269">
        <f>BA142*VLOOKUP($B142,'Major Cities &amp; Towns'!$A$28:$B$345,2,FALSE)</f>
        <v>3116.9880000000003</v>
      </c>
      <c r="BJ142" s="269">
        <f>BB142*VLOOKUP($B142,'Major Cities &amp; Towns'!$A$28:$B$345,2,FALSE)</f>
        <v>1728</v>
      </c>
      <c r="BK142" s="269">
        <f>BC142*VLOOKUP($B142,'Major Cities &amp; Towns'!$A$28:$B$345,2,FALSE)</f>
        <v>1655.1000000000001</v>
      </c>
      <c r="BL142" s="269">
        <f>BD142*VLOOKUP($B142,'Major Cities &amp; Towns'!$A$28:$B$345,2,FALSE)</f>
        <v>1652.4</v>
      </c>
      <c r="BM142" s="269">
        <f>BE142*VLOOKUP($B142,'Major Cities &amp; Towns'!$A$28:$B$345,2,FALSE)</f>
        <v>1655.1000000000001</v>
      </c>
      <c r="BN142" s="269">
        <f>BF142*VLOOKUP($B142,'Major Cities &amp; Towns'!$A$28:$B$345,2,FALSE)</f>
        <v>1672.65</v>
      </c>
      <c r="BO142" s="270">
        <f t="shared" si="168"/>
        <v>2990</v>
      </c>
      <c r="BP142" s="270">
        <f t="shared" si="169"/>
        <v>2815</v>
      </c>
      <c r="BQ142" s="270">
        <f t="shared" si="170"/>
        <v>2738</v>
      </c>
      <c r="BR142" s="270">
        <f t="shared" si="171"/>
        <v>1280</v>
      </c>
      <c r="BS142" s="270">
        <f t="shared" si="172"/>
        <v>1226</v>
      </c>
      <c r="BT142" s="270">
        <f t="shared" si="173"/>
        <v>1224</v>
      </c>
      <c r="BU142" s="270">
        <f t="shared" si="174"/>
        <v>1226</v>
      </c>
      <c r="BV142" s="270">
        <f t="shared" si="175"/>
        <v>1239</v>
      </c>
      <c r="BW142" s="39">
        <f>VLOOKUP($A142,NetAdditions!$A$2:$H$336,6,FALSE)</f>
        <v>916</v>
      </c>
      <c r="BX142" s="39">
        <f>VLOOKUP($A142,NetAdditions!$A$2:$H$336,7,FALSE)</f>
        <v>757</v>
      </c>
      <c r="BY142" s="39">
        <f>IF((VLOOKUP($C142,NetAdditions!$A$2:$H$336,8,FALSE))="",(AVERAGE(VLOOKUP($C142,NetAdditions!$A$2:$H$336,5,FALSE),VLOOKUP($C142,NetAdditions!$A$2:$H$336,6,FALSE),VLOOKUP($C142,NetAdditions!$A$2:$H$336,7,FALSE))),VLOOKUP($C142,NetAdditions!$A$2:$H$336,8,FALSE))</f>
        <v>651</v>
      </c>
      <c r="BZ142" s="39">
        <f t="shared" si="176"/>
        <v>774.66666666666663</v>
      </c>
      <c r="CA142" s="39">
        <f t="shared" si="177"/>
        <v>727.55555555555554</v>
      </c>
      <c r="CB142" s="39">
        <f t="shared" si="178"/>
        <v>717.74074074074076</v>
      </c>
      <c r="CC142" s="39">
        <f t="shared" si="179"/>
        <v>739.98765432098764</v>
      </c>
      <c r="CD142" s="39">
        <f t="shared" si="180"/>
        <v>728.42798353909473</v>
      </c>
      <c r="CE142" s="276">
        <f t="shared" si="137"/>
        <v>8543</v>
      </c>
      <c r="CF142" s="276">
        <f t="shared" si="138"/>
        <v>6833</v>
      </c>
      <c r="CG142" s="276">
        <f t="shared" si="139"/>
        <v>5244</v>
      </c>
      <c r="CH142" s="276">
        <f t="shared" si="140"/>
        <v>3730</v>
      </c>
      <c r="CI142" s="276">
        <f t="shared" si="141"/>
        <v>3676</v>
      </c>
      <c r="CJ142" s="276">
        <f t="shared" si="142"/>
        <v>3689</v>
      </c>
      <c r="CK142" s="276">
        <f t="shared" si="181"/>
        <v>7356.4722222222226</v>
      </c>
      <c r="CL142" s="276">
        <f t="shared" si="182"/>
        <v>5883.9722222222226</v>
      </c>
      <c r="CM142" s="276">
        <f t="shared" si="183"/>
        <v>4807</v>
      </c>
      <c r="CN142" s="276">
        <f t="shared" si="184"/>
        <v>3730</v>
      </c>
      <c r="CO142" s="276">
        <f t="shared" si="185"/>
        <v>3676</v>
      </c>
      <c r="CP142" s="276">
        <f t="shared" si="186"/>
        <v>3689</v>
      </c>
      <c r="CQ142" s="39">
        <f t="shared" si="143"/>
        <v>2324</v>
      </c>
      <c r="CR142" s="39">
        <f t="shared" si="144"/>
        <v>2182.6666666666665</v>
      </c>
      <c r="CS142" s="277">
        <f t="shared" si="145"/>
        <v>2153.2222222222222</v>
      </c>
      <c r="CT142" s="39">
        <f t="shared" si="146"/>
        <v>2219.962962962963</v>
      </c>
      <c r="CU142" s="39">
        <f t="shared" si="147"/>
        <v>2185.2839506172841</v>
      </c>
      <c r="CV142" s="39">
        <f t="shared" si="187"/>
        <v>2186.1563786008232</v>
      </c>
      <c r="CW142" s="297">
        <f t="shared" si="148"/>
        <v>0.3159122918971578</v>
      </c>
      <c r="CX142" s="279" t="str">
        <f t="shared" si="188"/>
        <v>Buffer and Action Plan</v>
      </c>
      <c r="CY142" s="278">
        <f t="shared" si="149"/>
        <v>0.37095121870618386</v>
      </c>
      <c r="CZ142" s="279" t="str">
        <f t="shared" si="189"/>
        <v>Presumption</v>
      </c>
      <c r="DA142" s="278">
        <f t="shared" si="150"/>
        <v>0.44793472482259666</v>
      </c>
      <c r="DB142" s="292" t="str">
        <f t="shared" si="190"/>
        <v>Presumption</v>
      </c>
      <c r="DC142" s="299">
        <f t="shared" si="191"/>
        <v>0.59516433323403839</v>
      </c>
      <c r="DD142" s="293" t="str">
        <f t="shared" si="192"/>
        <v>Presumption</v>
      </c>
      <c r="DE142" s="299">
        <f t="shared" si="193"/>
        <v>0.59447332715377699</v>
      </c>
      <c r="DF142" s="293" t="str">
        <f t="shared" si="194"/>
        <v>Presumption</v>
      </c>
      <c r="DG142" s="299">
        <f t="shared" si="195"/>
        <v>0.59261490338867528</v>
      </c>
      <c r="DH142" s="293" t="str">
        <f t="shared" si="196"/>
        <v>Presumption</v>
      </c>
    </row>
    <row r="143" spans="1:112" customFormat="1" ht="15.5" thickTop="1" thickBot="1">
      <c r="A143" s="3" t="s">
        <v>396</v>
      </c>
      <c r="B143" s="3" t="s">
        <v>397</v>
      </c>
      <c r="C143" s="3" t="s">
        <v>396</v>
      </c>
      <c r="D143" s="3" t="s">
        <v>131</v>
      </c>
      <c r="E143" s="3" t="str">
        <f>VLOOKUP(C143,PoliticalControl!A:K,11,FALSE)</f>
        <v>CON</v>
      </c>
      <c r="F143" s="3" t="str">
        <f>VLOOKUP(C143,UrbanRuralClassification!A:N,13,FALSE)</f>
        <v>Urban with Major Conurbation</v>
      </c>
      <c r="G143" s="3" t="str">
        <f>VLOOKUP(C143,UrbanRuralClassification!A:N,14,FALSE)</f>
        <v>Predominantly Urban</v>
      </c>
      <c r="H143" s="262">
        <f>IF(ISBLANK((VLOOKUP($A143,'local-plan-data'!$C$1:$AD$566,27,FALSE)))=TRUE,"",VLOOKUP($A143,'local-plan-data'!$C$1:$AD$566,27,FALSE))</f>
        <v>43719</v>
      </c>
      <c r="I143" s="263">
        <f>VLOOKUP($A143,'local-plan-data'!$C$1:$AD$566,28,FALSE)</f>
        <v>733</v>
      </c>
      <c r="J143" s="264">
        <f t="shared" si="151"/>
        <v>733</v>
      </c>
      <c r="K143" s="259">
        <f t="shared" si="133"/>
        <v>733</v>
      </c>
      <c r="L143" s="259">
        <f t="shared" si="135"/>
        <v>733</v>
      </c>
      <c r="M143" s="259">
        <f t="shared" si="135"/>
        <v>733</v>
      </c>
      <c r="N143" s="259">
        <f t="shared" si="135"/>
        <v>733</v>
      </c>
      <c r="O143" s="259">
        <f t="shared" si="135"/>
        <v>733</v>
      </c>
      <c r="P143" s="259">
        <f t="shared" si="135"/>
        <v>733</v>
      </c>
      <c r="Q143" s="259">
        <f t="shared" si="135"/>
        <v>733</v>
      </c>
      <c r="R143" s="259" t="str">
        <f t="shared" si="135"/>
        <v>-</v>
      </c>
      <c r="S143" s="259">
        <f t="shared" si="134"/>
        <v>2355</v>
      </c>
      <c r="T143" s="259">
        <f t="shared" si="136"/>
        <v>1990</v>
      </c>
      <c r="U143" s="259">
        <f t="shared" si="136"/>
        <v>1624</v>
      </c>
      <c r="V143" s="259">
        <f t="shared" si="136"/>
        <v>1259</v>
      </c>
      <c r="W143" s="259">
        <f t="shared" si="136"/>
        <v>894</v>
      </c>
      <c r="X143" s="259">
        <f t="shared" si="136"/>
        <v>529</v>
      </c>
      <c r="Y143" s="259">
        <f t="shared" si="136"/>
        <v>163</v>
      </c>
      <c r="Z143" s="259">
        <f t="shared" si="136"/>
        <v>-202</v>
      </c>
      <c r="AA143" s="267">
        <f>(VLOOKUP(A143,Hshldprojections2014!$A$2:$AW$319,40, FALSE)-VLOOKUP(A143,Hshldprojections2014!$A$2:$AW$319,30, FALSE))/10</f>
        <v>282.3</v>
      </c>
      <c r="AB143" s="267">
        <f>(VLOOKUP(A143,Hshldprojections2014!$A$2:$AW$319,41, FALSE)-VLOOKUP(A143,Hshldprojections2014!$A$2:$AW$319,31, FALSE))/10</f>
        <v>293.89999999999998</v>
      </c>
      <c r="AC143" s="267">
        <f>(VLOOKUP(A143,Hshldprojections2014!$A$2:$AW$319,42, FALSE)-VLOOKUP(A143,Hshldprojections2014!$A$2:$AW$319,32, FALSE))/10</f>
        <v>309.3</v>
      </c>
      <c r="AD143" s="267">
        <f>IF(IndividualLATest!$J$7=2014,(VLOOKUP($A143,Hshldprojections2014!$A$2:$AY$326,43,FALSE)-VLOOKUP($A143,Hshldprojections2014!$A$2:$AY$326,33,FALSE))/10,IF(IndividualLATest!$J$7=2016,(VLOOKUP($A143,Hshldprojections2016!$A$1:$AQ$322,33,FALSE)-VLOOKUP($A143,Hshldprojections2016!$A$1:$AQ$322,23,FALSE))/10,(VLOOKUP($A143,Hshldprojections2018!$A$1:$AQ$327,33,FALSE)-VLOOKUP($A143,Hshldprojections2018!$A$1:$AQ$327,23,FALSE))/10))</f>
        <v>193.2</v>
      </c>
      <c r="AE143" s="267">
        <f>IF(IndividualLATest!$J$7=2014,(VLOOKUP($A143,Hshldprojections2014!$A$2:$AY$326,44,FALSE)-VLOOKUP($A143,Hshldprojections2014!$A$2:$AY$326,34,FALSE))/10,IF(IndividualLATest!$J$7=2016,(VLOOKUP($A143,Hshldprojections2016!$A$1:$AQ$322,34,FALSE)-VLOOKUP($A143,Hshldprojections2016!$A$1:$AQ$322,24,FALSE))/10,(VLOOKUP($A143,Hshldprojections2018!$A$1:$AQ$327,34,FALSE)-VLOOKUP($A143,Hshldprojections2018!$A$1:$AQ$327,24,FALSE))/10))</f>
        <v>208</v>
      </c>
      <c r="AF143" s="267">
        <f>IF(IndividualLATest!$J$7=2014,(VLOOKUP($A143,Hshldprojections2014!$A$2:$AY$326,45,FALSE)-VLOOKUP($A143,Hshldprojections2014!$A$2:$AY$326,35,FALSE))/10,IF(IndividualLATest!$J$7=2016,(VLOOKUP($A143,Hshldprojections2016!$A$1:$AQ$322,35,FALSE)-VLOOKUP($A143,Hshldprojections2016!$A$1:$AQ$322,25,FALSE))/10,(VLOOKUP($A143,Hshldprojections2018!$A$1:$AQ$327,35,FALSE)-VLOOKUP($A143,Hshldprojections2018!$A$1:$AQ$327,25,FALSE))/10))</f>
        <v>220.7</v>
      </c>
      <c r="AG143" s="267">
        <f>IF(IndividualLATest!$J$7=2014,(VLOOKUP($A143,Hshldprojections2014!$A$2:$AY$326,46,FALSE)-VLOOKUP($A143,Hshldprojections2014!$A$2:$AY$326,36,FALSE))/10,IF(IndividualLATest!$J$7=2016,(VLOOKUP($A143,Hshldprojections2016!$A$1:$AQ$322,36,FALSE)-VLOOKUP($A143,Hshldprojections2016!$A$1:$AQ$322,26,FALSE))/10,(VLOOKUP($A143,Hshldprojections2018!$A$1:$AQ$327,36,FALSE)-VLOOKUP($A143,Hshldprojections2018!$A$1:$AQ$327,26,FALSE))/10))</f>
        <v>233.3</v>
      </c>
      <c r="AH143" s="267">
        <f>IF(IndividualLATest!$J$7=2014,(VLOOKUP($A143,Hshldprojections2014!$A$2:$AY$326,47,FALSE)-VLOOKUP($A143,Hshldprojections2014!$A$2:$AY$326,37,FALSE))/10,IF(IndividualLATest!$J$7=2016,(VLOOKUP($A143,Hshldprojections2016!$A$1:$AQ$322,37,FALSE)-VLOOKUP($A143,Hshldprojections2016!$A$1:$AQ$322,27,FALSE))/10,(VLOOKUP($A143,Hshldprojections2018!$A$1:$AQ$327,37,FALSE)-VLOOKUP($A143,Hshldprojections2018!$A$1:$AQ$327,27,FALSE))/10))</f>
        <v>246.5</v>
      </c>
      <c r="AI143" s="268">
        <f>VLOOKUP($A143,AffordabilityRatio!$A$2:$I$321,5,FALSE)</f>
        <v>41.04</v>
      </c>
      <c r="AJ143" s="268">
        <f>VLOOKUP($A143,AffordabilityRatio!$A$2:$I$321,6,FALSE)</f>
        <v>43.97</v>
      </c>
      <c r="AK143" s="268">
        <f>VLOOKUP($A143,AffordabilityRatio!$A$2:$I$321,7,FALSE)</f>
        <v>39.39</v>
      </c>
      <c r="AL143" s="268">
        <f>IF((VLOOKUP($A143,AffordabilityRatio!$A$2:$I$321,8,FALSE))="",AK143,VLOOKUP($A143,AffordabilityRatio!$A$2:$I$321,8,FALSE))</f>
        <v>35.56</v>
      </c>
      <c r="AM143" s="268">
        <f>IF((VLOOKUP($A143,AffordabilityRatio!$A$2:$I$321,9,FALSE))="",AL143,VLOOKUP($A143,AffordabilityRatio!$A$2:$I$321,9,FALSE))</f>
        <v>36.520000000000003</v>
      </c>
      <c r="AN143" s="268">
        <f>IF((VLOOKUP($A143,AffordabilityRatio!$A$2:$I$321,9,FALSE))="",AM143,VLOOKUP($A143,AffordabilityRatio!$A$2:$I$321,9,FALSE))</f>
        <v>36.520000000000003</v>
      </c>
      <c r="AO143" s="268">
        <f>IF((VLOOKUP($A143,AffordabilityRatio!$A$2:$I$321,9,FALSE))="",AN143,VLOOKUP($A143,AffordabilityRatio!$A$2:$I$321,9,FALSE))</f>
        <v>36.520000000000003</v>
      </c>
      <c r="AP143" s="268">
        <f>IF((VLOOKUP($A143,AffordabilityRatio!$A$2:$I$321,9,FALSE))="",AO143,VLOOKUP($A143,AffordabilityRatio!$A$2:$I$321,9,FALSE))</f>
        <v>36.520000000000003</v>
      </c>
      <c r="AQ143" s="267">
        <f t="shared" si="152"/>
        <v>936</v>
      </c>
      <c r="AR143" s="267">
        <f t="shared" si="153"/>
        <v>1028</v>
      </c>
      <c r="AS143" s="267">
        <f t="shared" si="154"/>
        <v>993</v>
      </c>
      <c r="AT143" s="267">
        <f t="shared" si="155"/>
        <v>574</v>
      </c>
      <c r="AU143" s="267">
        <f t="shared" si="156"/>
        <v>631</v>
      </c>
      <c r="AV143" s="267">
        <f t="shared" si="157"/>
        <v>669</v>
      </c>
      <c r="AW143" s="267">
        <f t="shared" si="158"/>
        <v>707</v>
      </c>
      <c r="AX143" s="267">
        <f t="shared" si="159"/>
        <v>748</v>
      </c>
      <c r="AY143" s="267">
        <f t="shared" si="160"/>
        <v>936</v>
      </c>
      <c r="AZ143" s="267">
        <f t="shared" si="161"/>
        <v>1026.2</v>
      </c>
      <c r="BA143" s="267">
        <f t="shared" si="162"/>
        <v>993</v>
      </c>
      <c r="BB143" s="267">
        <f t="shared" si="163"/>
        <v>574</v>
      </c>
      <c r="BC143" s="267">
        <f t="shared" si="164"/>
        <v>631</v>
      </c>
      <c r="BD143" s="267">
        <f t="shared" si="165"/>
        <v>669</v>
      </c>
      <c r="BE143" s="267">
        <f t="shared" si="166"/>
        <v>707</v>
      </c>
      <c r="BF143" s="267">
        <f t="shared" si="167"/>
        <v>748</v>
      </c>
      <c r="BG143" s="269">
        <f>AY143*VLOOKUP($B143,'Major Cities &amp; Towns'!$A$28:$B$345,2,FALSE)</f>
        <v>1263.6000000000001</v>
      </c>
      <c r="BH143" s="269">
        <f>AZ143*VLOOKUP($B143,'Major Cities &amp; Towns'!$A$28:$B$345,2,FALSE)</f>
        <v>1385.3700000000001</v>
      </c>
      <c r="BI143" s="269">
        <f>BA143*VLOOKUP($B143,'Major Cities &amp; Towns'!$A$28:$B$345,2,FALSE)</f>
        <v>1340.5500000000002</v>
      </c>
      <c r="BJ143" s="269">
        <f>BB143*VLOOKUP($B143,'Major Cities &amp; Towns'!$A$28:$B$345,2,FALSE)</f>
        <v>774.90000000000009</v>
      </c>
      <c r="BK143" s="269">
        <f>BC143*VLOOKUP($B143,'Major Cities &amp; Towns'!$A$28:$B$345,2,FALSE)</f>
        <v>851.85</v>
      </c>
      <c r="BL143" s="269">
        <f>BD143*VLOOKUP($B143,'Major Cities &amp; Towns'!$A$28:$B$345,2,FALSE)</f>
        <v>903.15000000000009</v>
      </c>
      <c r="BM143" s="269">
        <f>BE143*VLOOKUP($B143,'Major Cities &amp; Towns'!$A$28:$B$345,2,FALSE)</f>
        <v>954.45</v>
      </c>
      <c r="BN143" s="269">
        <f>BF143*VLOOKUP($B143,'Major Cities &amp; Towns'!$A$28:$B$345,2,FALSE)</f>
        <v>1009.8000000000001</v>
      </c>
      <c r="BO143" s="270">
        <f t="shared" si="168"/>
        <v>733</v>
      </c>
      <c r="BP143" s="270">
        <f t="shared" si="169"/>
        <v>733</v>
      </c>
      <c r="BQ143" s="270">
        <f t="shared" si="170"/>
        <v>733</v>
      </c>
      <c r="BR143" s="270">
        <f t="shared" si="171"/>
        <v>574</v>
      </c>
      <c r="BS143" s="270">
        <f t="shared" si="172"/>
        <v>631</v>
      </c>
      <c r="BT143" s="270">
        <f t="shared" si="173"/>
        <v>669</v>
      </c>
      <c r="BU143" s="270">
        <f t="shared" si="174"/>
        <v>718.61095890410957</v>
      </c>
      <c r="BV143" s="270">
        <f t="shared" si="175"/>
        <v>748</v>
      </c>
      <c r="BW143" s="39">
        <f>VLOOKUP($A143,NetAdditions!$A$2:$H$336,6,FALSE)</f>
        <v>115</v>
      </c>
      <c r="BX143" s="39">
        <f>VLOOKUP($A143,NetAdditions!$A$2:$H$336,7,FALSE)</f>
        <v>511</v>
      </c>
      <c r="BY143" s="39">
        <f>IF((VLOOKUP($C143,NetAdditions!$A$2:$H$336,8,FALSE))="",(AVERAGE(VLOOKUP($C143,NetAdditions!$A$2:$H$336,5,FALSE),VLOOKUP($C143,NetAdditions!$A$2:$H$336,6,FALSE),VLOOKUP($C143,NetAdditions!$A$2:$H$336,7,FALSE))),VLOOKUP($C143,NetAdditions!$A$2:$H$336,8,FALSE))</f>
        <v>267</v>
      </c>
      <c r="BZ143" s="39">
        <f t="shared" si="176"/>
        <v>297.66666666666669</v>
      </c>
      <c r="CA143" s="39">
        <f t="shared" si="177"/>
        <v>358.5555555555556</v>
      </c>
      <c r="CB143" s="39">
        <f t="shared" si="178"/>
        <v>307.74074074074082</v>
      </c>
      <c r="CC143" s="39">
        <f t="shared" si="179"/>
        <v>321.32098765432102</v>
      </c>
      <c r="CD143" s="39">
        <f t="shared" si="180"/>
        <v>329.2057613168725</v>
      </c>
      <c r="CE143" s="276">
        <f t="shared" si="137"/>
        <v>2199</v>
      </c>
      <c r="CF143" s="276">
        <f t="shared" si="138"/>
        <v>2040</v>
      </c>
      <c r="CG143" s="276">
        <f t="shared" si="139"/>
        <v>1938</v>
      </c>
      <c r="CH143" s="276">
        <f t="shared" si="140"/>
        <v>1874</v>
      </c>
      <c r="CI143" s="276">
        <f t="shared" si="141"/>
        <v>2018.6109589041096</v>
      </c>
      <c r="CJ143" s="276">
        <f t="shared" si="142"/>
        <v>2135.6109589041098</v>
      </c>
      <c r="CK143" s="276">
        <f t="shared" si="181"/>
        <v>1893.5833333333335</v>
      </c>
      <c r="CL143" s="276">
        <f t="shared" si="182"/>
        <v>1756.6666666666667</v>
      </c>
      <c r="CM143" s="276">
        <f t="shared" si="183"/>
        <v>1776.5</v>
      </c>
      <c r="CN143" s="276">
        <f t="shared" si="184"/>
        <v>1874</v>
      </c>
      <c r="CO143" s="276">
        <f t="shared" si="185"/>
        <v>2018.6109589041096</v>
      </c>
      <c r="CP143" s="276">
        <f t="shared" si="186"/>
        <v>2135.6109589041098</v>
      </c>
      <c r="CQ143" s="39">
        <f t="shared" si="143"/>
        <v>893</v>
      </c>
      <c r="CR143" s="39">
        <f t="shared" si="144"/>
        <v>1075.6666666666667</v>
      </c>
      <c r="CS143" s="277">
        <f t="shared" si="145"/>
        <v>923.2222222222224</v>
      </c>
      <c r="CT143" s="39">
        <f t="shared" si="146"/>
        <v>963.96296296296305</v>
      </c>
      <c r="CU143" s="39">
        <f t="shared" si="147"/>
        <v>987.61728395061743</v>
      </c>
      <c r="CV143" s="39">
        <f t="shared" si="187"/>
        <v>958.26748971193433</v>
      </c>
      <c r="CW143" s="297">
        <f t="shared" si="148"/>
        <v>0.47159265941997092</v>
      </c>
      <c r="CX143" s="279" t="str">
        <f t="shared" si="188"/>
        <v>Buffer and Action Plan</v>
      </c>
      <c r="CY143" s="278">
        <f t="shared" si="149"/>
        <v>0.61233396584440225</v>
      </c>
      <c r="CZ143" s="279" t="str">
        <f t="shared" si="189"/>
        <v>Buffer and Action Plan</v>
      </c>
      <c r="DA143" s="278">
        <f t="shared" si="150"/>
        <v>0.51968602432998723</v>
      </c>
      <c r="DB143" s="292" t="str">
        <f t="shared" si="190"/>
        <v>Presumption</v>
      </c>
      <c r="DC143" s="299">
        <f t="shared" si="191"/>
        <v>0.51438792047116488</v>
      </c>
      <c r="DD143" s="293" t="str">
        <f t="shared" si="192"/>
        <v>Presumption</v>
      </c>
      <c r="DE143" s="299">
        <f t="shared" si="193"/>
        <v>0.48925588142392146</v>
      </c>
      <c r="DF143" s="293" t="str">
        <f t="shared" si="194"/>
        <v>Presumption</v>
      </c>
      <c r="DG143" s="299">
        <f t="shared" si="195"/>
        <v>0.44870882766197734</v>
      </c>
      <c r="DH143" s="293" t="str">
        <f t="shared" si="196"/>
        <v>Presumption</v>
      </c>
    </row>
    <row r="144" spans="1:112" ht="15" thickTop="1" thickBot="1">
      <c r="A144" s="38" t="s">
        <v>398</v>
      </c>
      <c r="B144" s="38" t="s">
        <v>399</v>
      </c>
      <c r="C144" s="38" t="s">
        <v>398</v>
      </c>
      <c r="D144" s="38" t="s">
        <v>119</v>
      </c>
      <c r="E144" s="38" t="str">
        <f>VLOOKUP(C144,PoliticalControl!A:K,11,FALSE)</f>
        <v>CON</v>
      </c>
      <c r="F144" s="38" t="str">
        <f>VLOOKUP(C144,UrbanRuralClassification!A:N,13,FALSE)</f>
        <v>Urban with City and Town</v>
      </c>
      <c r="G144" s="38" t="str">
        <f>VLOOKUP(C144,UrbanRuralClassification!A:N,14,FALSE)</f>
        <v>Predominantly Urban</v>
      </c>
      <c r="H144" s="258">
        <f>IF(ISBLANK((VLOOKUP($A144,'local-plan-data'!$C$1:$AD$566,27,FALSE)))=TRUE,"",VLOOKUP($A144,'local-plan-data'!$C$1:$AD$566,27,FALSE))</f>
        <v>42565</v>
      </c>
      <c r="I144" s="259">
        <f>VLOOKUP($A144,'local-plan-data'!$C$1:$AD$566,28,FALSE)</f>
        <v>520</v>
      </c>
      <c r="J144" s="260">
        <f t="shared" si="151"/>
        <v>520</v>
      </c>
      <c r="K144" s="259">
        <f t="shared" si="133"/>
        <v>520</v>
      </c>
      <c r="L144" s="259">
        <f t="shared" si="135"/>
        <v>520</v>
      </c>
      <c r="M144" s="259">
        <f t="shared" si="135"/>
        <v>520</v>
      </c>
      <c r="N144" s="259">
        <f t="shared" si="135"/>
        <v>520</v>
      </c>
      <c r="O144" s="259" t="str">
        <f t="shared" si="135"/>
        <v>-</v>
      </c>
      <c r="P144" s="259" t="str">
        <f t="shared" si="135"/>
        <v>-</v>
      </c>
      <c r="Q144" s="259" t="str">
        <f t="shared" si="135"/>
        <v>-</v>
      </c>
      <c r="R144" s="259" t="str">
        <f t="shared" si="135"/>
        <v>-</v>
      </c>
      <c r="S144" s="259">
        <f t="shared" si="134"/>
        <v>1200</v>
      </c>
      <c r="T144" s="259">
        <f t="shared" si="136"/>
        <v>835</v>
      </c>
      <c r="U144" s="259">
        <f t="shared" si="136"/>
        <v>469</v>
      </c>
      <c r="V144" s="259">
        <f t="shared" si="136"/>
        <v>104</v>
      </c>
      <c r="W144" s="259">
        <f t="shared" si="136"/>
        <v>-261</v>
      </c>
      <c r="X144" s="259">
        <f t="shared" si="136"/>
        <v>-626</v>
      </c>
      <c r="Y144" s="259">
        <f t="shared" si="136"/>
        <v>-992</v>
      </c>
      <c r="Z144" s="259">
        <f t="shared" si="136"/>
        <v>-1357</v>
      </c>
      <c r="AA144" s="267">
        <f>(VLOOKUP(A144,Hshldprojections2014!$A$2:$AW$319,40, FALSE)-VLOOKUP(A144,Hshldprojections2014!$A$2:$AW$319,30, FALSE))/10</f>
        <v>442.8</v>
      </c>
      <c r="AB144" s="267">
        <f>(VLOOKUP(A144,Hshldprojections2014!$A$2:$AW$319,41, FALSE)-VLOOKUP(A144,Hshldprojections2014!$A$2:$AW$319,31, FALSE))/10</f>
        <v>436.9</v>
      </c>
      <c r="AC144" s="267">
        <f>(VLOOKUP(A144,Hshldprojections2014!$A$2:$AW$319,42, FALSE)-VLOOKUP(A144,Hshldprojections2014!$A$2:$AW$319,32, FALSE))/10</f>
        <v>433</v>
      </c>
      <c r="AD144" s="267">
        <f>IF(IndividualLATest!$J$7=2014,(VLOOKUP($A144,Hshldprojections2014!$A$2:$AY$326,43,FALSE)-VLOOKUP($A144,Hshldprojections2014!$A$2:$AY$326,33,FALSE))/10,IF(IndividualLATest!$J$7=2016,(VLOOKUP($A144,Hshldprojections2016!$A$1:$AQ$322,33,FALSE)-VLOOKUP($A144,Hshldprojections2016!$A$1:$AQ$322,23,FALSE))/10,(VLOOKUP($A144,Hshldprojections2018!$A$1:$AQ$327,33,FALSE)-VLOOKUP($A144,Hshldprojections2018!$A$1:$AQ$327,23,FALSE))/10))</f>
        <v>509.1</v>
      </c>
      <c r="AE144" s="267">
        <f>IF(IndividualLATest!$J$7=2014,(VLOOKUP($A144,Hshldprojections2014!$A$2:$AY$326,44,FALSE)-VLOOKUP($A144,Hshldprojections2014!$A$2:$AY$326,34,FALSE))/10,IF(IndividualLATest!$J$7=2016,(VLOOKUP($A144,Hshldprojections2016!$A$1:$AQ$322,34,FALSE)-VLOOKUP($A144,Hshldprojections2016!$A$1:$AQ$322,24,FALSE))/10,(VLOOKUP($A144,Hshldprojections2018!$A$1:$AQ$327,34,FALSE)-VLOOKUP($A144,Hshldprojections2018!$A$1:$AQ$327,24,FALSE))/10))</f>
        <v>498.1</v>
      </c>
      <c r="AF144" s="267">
        <f>IF(IndividualLATest!$J$7=2014,(VLOOKUP($A144,Hshldprojections2014!$A$2:$AY$326,45,FALSE)-VLOOKUP($A144,Hshldprojections2014!$A$2:$AY$326,35,FALSE))/10,IF(IndividualLATest!$J$7=2016,(VLOOKUP($A144,Hshldprojections2016!$A$1:$AQ$322,35,FALSE)-VLOOKUP($A144,Hshldprojections2016!$A$1:$AQ$322,25,FALSE))/10,(VLOOKUP($A144,Hshldprojections2018!$A$1:$AQ$327,35,FALSE)-VLOOKUP($A144,Hshldprojections2018!$A$1:$AQ$327,25,FALSE))/10))</f>
        <v>487.5</v>
      </c>
      <c r="AG144" s="267">
        <f>IF(IndividualLATest!$J$7=2014,(VLOOKUP($A144,Hshldprojections2014!$A$2:$AY$326,46,FALSE)-VLOOKUP($A144,Hshldprojections2014!$A$2:$AY$326,36,FALSE))/10,IF(IndividualLATest!$J$7=2016,(VLOOKUP($A144,Hshldprojections2016!$A$1:$AQ$322,36,FALSE)-VLOOKUP($A144,Hshldprojections2016!$A$1:$AQ$322,26,FALSE))/10,(VLOOKUP($A144,Hshldprojections2018!$A$1:$AQ$327,36,FALSE)-VLOOKUP($A144,Hshldprojections2018!$A$1:$AQ$327,26,FALSE))/10))</f>
        <v>476.3</v>
      </c>
      <c r="AH144" s="267">
        <f>IF(IndividualLATest!$J$7=2014,(VLOOKUP($A144,Hshldprojections2014!$A$2:$AY$326,47,FALSE)-VLOOKUP($A144,Hshldprojections2014!$A$2:$AY$326,37,FALSE))/10,IF(IndividualLATest!$J$7=2016,(VLOOKUP($A144,Hshldprojections2016!$A$1:$AQ$322,37,FALSE)-VLOOKUP($A144,Hshldprojections2016!$A$1:$AQ$322,27,FALSE))/10,(VLOOKUP($A144,Hshldprojections2018!$A$1:$AQ$327,37,FALSE)-VLOOKUP($A144,Hshldprojections2018!$A$1:$AQ$327,27,FALSE))/10))</f>
        <v>467.8</v>
      </c>
      <c r="AI144" s="268">
        <f>VLOOKUP($A144,AffordabilityRatio!$A$2:$I$321,5,FALSE)</f>
        <v>7.02</v>
      </c>
      <c r="AJ144" s="268">
        <f>VLOOKUP($A144,AffordabilityRatio!$A$2:$I$321,6,FALSE)</f>
        <v>7.86</v>
      </c>
      <c r="AK144" s="268">
        <f>VLOOKUP($A144,AffordabilityRatio!$A$2:$I$321,7,FALSE)</f>
        <v>7.49</v>
      </c>
      <c r="AL144" s="268">
        <f>IF((VLOOKUP($A144,AffordabilityRatio!$A$2:$I$321,8,FALSE))="",AK144,VLOOKUP($A144,AffordabilityRatio!$A$2:$I$321,8,FALSE))</f>
        <v>7.14</v>
      </c>
      <c r="AM144" s="268">
        <f>IF((VLOOKUP($A144,AffordabilityRatio!$A$2:$I$321,9,FALSE))="",AL144,VLOOKUP($A144,AffordabilityRatio!$A$2:$I$321,9,FALSE))</f>
        <v>7.14</v>
      </c>
      <c r="AN144" s="268">
        <f>IF((VLOOKUP($A144,AffordabilityRatio!$A$2:$I$321,9,FALSE))="",AM144,VLOOKUP($A144,AffordabilityRatio!$A$2:$I$321,9,FALSE))</f>
        <v>7.14</v>
      </c>
      <c r="AO144" s="268">
        <f>IF((VLOOKUP($A144,AffordabilityRatio!$A$2:$I$321,9,FALSE))="",AN144,VLOOKUP($A144,AffordabilityRatio!$A$2:$I$321,9,FALSE))</f>
        <v>7.14</v>
      </c>
      <c r="AP144" s="268">
        <f>IF((VLOOKUP($A144,AffordabilityRatio!$A$2:$I$321,9,FALSE))="",AO144,VLOOKUP($A144,AffordabilityRatio!$A$2:$I$321,9,FALSE))</f>
        <v>7.14</v>
      </c>
      <c r="AQ144" s="267">
        <f t="shared" si="152"/>
        <v>526</v>
      </c>
      <c r="AR144" s="267">
        <f t="shared" si="153"/>
        <v>542</v>
      </c>
      <c r="AS144" s="267">
        <f t="shared" si="154"/>
        <v>527</v>
      </c>
      <c r="AT144" s="267">
        <f t="shared" si="155"/>
        <v>609</v>
      </c>
      <c r="AU144" s="267">
        <f t="shared" si="156"/>
        <v>596</v>
      </c>
      <c r="AV144" s="267">
        <f t="shared" si="157"/>
        <v>583</v>
      </c>
      <c r="AW144" s="267">
        <f t="shared" si="158"/>
        <v>570</v>
      </c>
      <c r="AX144" s="267">
        <f t="shared" si="159"/>
        <v>560</v>
      </c>
      <c r="AY144" s="267">
        <f t="shared" si="160"/>
        <v>526</v>
      </c>
      <c r="AZ144" s="267">
        <f t="shared" si="161"/>
        <v>542</v>
      </c>
      <c r="BA144" s="267">
        <f t="shared" si="162"/>
        <v>527</v>
      </c>
      <c r="BB144" s="267">
        <f t="shared" si="163"/>
        <v>609</v>
      </c>
      <c r="BC144" s="267">
        <f t="shared" si="164"/>
        <v>596</v>
      </c>
      <c r="BD144" s="267">
        <f t="shared" si="165"/>
        <v>583</v>
      </c>
      <c r="BE144" s="267">
        <f t="shared" si="166"/>
        <v>570</v>
      </c>
      <c r="BF144" s="267">
        <f t="shared" si="167"/>
        <v>560</v>
      </c>
      <c r="BG144" s="269">
        <f>AY144*VLOOKUP($B144,'Major Cities &amp; Towns'!$A$28:$B$345,2,FALSE)</f>
        <v>526</v>
      </c>
      <c r="BH144" s="269">
        <f>AZ144*VLOOKUP($B144,'Major Cities &amp; Towns'!$A$28:$B$345,2,FALSE)</f>
        <v>542</v>
      </c>
      <c r="BI144" s="269">
        <f>BA144*VLOOKUP($B144,'Major Cities &amp; Towns'!$A$28:$B$345,2,FALSE)</f>
        <v>527</v>
      </c>
      <c r="BJ144" s="269">
        <f>BB144*VLOOKUP($B144,'Major Cities &amp; Towns'!$A$28:$B$345,2,FALSE)</f>
        <v>609</v>
      </c>
      <c r="BK144" s="269">
        <f>BC144*VLOOKUP($B144,'Major Cities &amp; Towns'!$A$28:$B$345,2,FALSE)</f>
        <v>596</v>
      </c>
      <c r="BL144" s="269">
        <f>BD144*VLOOKUP($B144,'Major Cities &amp; Towns'!$A$28:$B$345,2,FALSE)</f>
        <v>583</v>
      </c>
      <c r="BM144" s="269">
        <f>BE144*VLOOKUP($B144,'Major Cities &amp; Towns'!$A$28:$B$345,2,FALSE)</f>
        <v>570</v>
      </c>
      <c r="BN144" s="269">
        <f>BF144*VLOOKUP($B144,'Major Cities &amp; Towns'!$A$28:$B$345,2,FALSE)</f>
        <v>560</v>
      </c>
      <c r="BO144" s="270">
        <f t="shared" si="168"/>
        <v>520</v>
      </c>
      <c r="BP144" s="270">
        <f t="shared" si="169"/>
        <v>520</v>
      </c>
      <c r="BQ144" s="270">
        <f t="shared" si="170"/>
        <v>520</v>
      </c>
      <c r="BR144" s="270">
        <f t="shared" si="171"/>
        <v>583.64109589041095</v>
      </c>
      <c r="BS144" s="270">
        <f t="shared" si="172"/>
        <v>596</v>
      </c>
      <c r="BT144" s="270">
        <f t="shared" si="173"/>
        <v>583</v>
      </c>
      <c r="BU144" s="270">
        <f t="shared" si="174"/>
        <v>570</v>
      </c>
      <c r="BV144" s="270">
        <f t="shared" si="175"/>
        <v>560</v>
      </c>
      <c r="BW144" s="39">
        <f>VLOOKUP($A144,NetAdditions!$A$2:$H$336,6,FALSE)</f>
        <v>644</v>
      </c>
      <c r="BX144" s="39">
        <f>VLOOKUP($A144,NetAdditions!$A$2:$H$336,7,FALSE)</f>
        <v>350</v>
      </c>
      <c r="BY144" s="39">
        <f>IF((VLOOKUP($C144,NetAdditions!$A$2:$H$336,8,FALSE))="",(AVERAGE(VLOOKUP($C144,NetAdditions!$A$2:$H$336,5,FALSE),VLOOKUP($C144,NetAdditions!$A$2:$H$336,6,FALSE),VLOOKUP($C144,NetAdditions!$A$2:$H$336,7,FALSE))),VLOOKUP($C144,NetAdditions!$A$2:$H$336,8,FALSE))</f>
        <v>496.33333333333331</v>
      </c>
      <c r="BZ144" s="39">
        <f t="shared" si="176"/>
        <v>496.77777777777777</v>
      </c>
      <c r="CA144" s="39">
        <f t="shared" si="177"/>
        <v>447.7037037037037</v>
      </c>
      <c r="CB144" s="39">
        <f t="shared" si="178"/>
        <v>480.27160493827159</v>
      </c>
      <c r="CC144" s="39">
        <f t="shared" si="179"/>
        <v>474.91769547325106</v>
      </c>
      <c r="CD144" s="39">
        <f t="shared" si="180"/>
        <v>467.63100137174212</v>
      </c>
      <c r="CE144" s="276">
        <f t="shared" si="137"/>
        <v>1560</v>
      </c>
      <c r="CF144" s="276">
        <f t="shared" si="138"/>
        <v>1623.641095890411</v>
      </c>
      <c r="CG144" s="276">
        <f t="shared" si="139"/>
        <v>1699.641095890411</v>
      </c>
      <c r="CH144" s="276">
        <f t="shared" si="140"/>
        <v>1762.641095890411</v>
      </c>
      <c r="CI144" s="276">
        <f t="shared" si="141"/>
        <v>1749</v>
      </c>
      <c r="CJ144" s="276">
        <f t="shared" si="142"/>
        <v>1713</v>
      </c>
      <c r="CK144" s="276">
        <f t="shared" si="181"/>
        <v>1343.3333333333335</v>
      </c>
      <c r="CL144" s="276">
        <f t="shared" si="182"/>
        <v>1398.135388127854</v>
      </c>
      <c r="CM144" s="276">
        <f t="shared" si="183"/>
        <v>1558.0043378995433</v>
      </c>
      <c r="CN144" s="276">
        <f t="shared" si="184"/>
        <v>1762.641095890411</v>
      </c>
      <c r="CO144" s="276">
        <f t="shared" si="185"/>
        <v>1749</v>
      </c>
      <c r="CP144" s="276">
        <f t="shared" si="186"/>
        <v>1713</v>
      </c>
      <c r="CQ144" s="39">
        <f t="shared" si="143"/>
        <v>1490.3333333333333</v>
      </c>
      <c r="CR144" s="39">
        <f t="shared" si="144"/>
        <v>1343.1111111111111</v>
      </c>
      <c r="CS144" s="277">
        <f t="shared" si="145"/>
        <v>1440.8148148148148</v>
      </c>
      <c r="CT144" s="39">
        <f t="shared" si="146"/>
        <v>1424.7530864197531</v>
      </c>
      <c r="CU144" s="39">
        <f t="shared" si="147"/>
        <v>1402.8930041152264</v>
      </c>
      <c r="CV144" s="39">
        <f t="shared" si="187"/>
        <v>1422.8203017832648</v>
      </c>
      <c r="CW144" s="297">
        <f t="shared" si="148"/>
        <v>1.109429280397022</v>
      </c>
      <c r="CX144" s="279" t="str">
        <f t="shared" si="188"/>
        <v>Pass</v>
      </c>
      <c r="CY144" s="278">
        <f t="shared" si="149"/>
        <v>0.9606445287888592</v>
      </c>
      <c r="CZ144" s="279" t="str">
        <f t="shared" si="189"/>
        <v>Pass</v>
      </c>
      <c r="DA144" s="278">
        <f t="shared" si="150"/>
        <v>0.92478228703604248</v>
      </c>
      <c r="DB144" s="292" t="str">
        <f t="shared" si="190"/>
        <v>Action Plan</v>
      </c>
      <c r="DC144" s="299">
        <f t="shared" si="191"/>
        <v>0.80830583704280923</v>
      </c>
      <c r="DD144" s="293" t="str">
        <f t="shared" si="192"/>
        <v>Buffer and Action Plan</v>
      </c>
      <c r="DE144" s="299">
        <f t="shared" si="193"/>
        <v>0.80211149463420606</v>
      </c>
      <c r="DF144" s="293" t="str">
        <f t="shared" si="194"/>
        <v>Buffer and Action Plan</v>
      </c>
      <c r="DG144" s="299">
        <f t="shared" si="195"/>
        <v>0.8306014604689228</v>
      </c>
      <c r="DH144" s="293" t="str">
        <f t="shared" si="196"/>
        <v>Buffer and Action Plan</v>
      </c>
    </row>
    <row r="145" spans="1:112" ht="15" thickTop="1" thickBot="1">
      <c r="A145" s="38" t="s">
        <v>400</v>
      </c>
      <c r="B145" s="38" t="s">
        <v>401</v>
      </c>
      <c r="C145" s="38" t="s">
        <v>400</v>
      </c>
      <c r="D145" s="38" t="s">
        <v>128</v>
      </c>
      <c r="E145" s="38" t="str">
        <f>VLOOKUP(C145,PoliticalControl!A:K,11,FALSE)</f>
        <v>CON</v>
      </c>
      <c r="F145" s="38" t="str">
        <f>VLOOKUP(C145,UrbanRuralClassification!A:N,13,FALSE)</f>
        <v xml:space="preserve">Largely Rural (rural including hub towns 50-79%) </v>
      </c>
      <c r="G145" s="38" t="str">
        <f>VLOOKUP(C145,UrbanRuralClassification!A:N,14,FALSE)</f>
        <v>Predominantly Rural</v>
      </c>
      <c r="H145" s="258">
        <f>IF(ISBLANK((VLOOKUP($A145,'local-plan-data'!$C$1:$AD$566,27,FALSE)))=TRUE,"",VLOOKUP($A145,'local-plan-data'!$C$1:$AD$566,27,FALSE))</f>
        <v>40752</v>
      </c>
      <c r="I145" s="259">
        <f>VLOOKUP($A145,'local-plan-data'!$C$1:$AD$566,28,FALSE)</f>
        <v>660</v>
      </c>
      <c r="J145" s="260">
        <f t="shared" si="151"/>
        <v>660</v>
      </c>
      <c r="K145" s="259" t="str">
        <f t="shared" si="133"/>
        <v>-</v>
      </c>
      <c r="L145" s="259" t="str">
        <f t="shared" si="135"/>
        <v>-</v>
      </c>
      <c r="M145" s="259" t="str">
        <f t="shared" si="135"/>
        <v>-</v>
      </c>
      <c r="N145" s="259" t="str">
        <f t="shared" si="135"/>
        <v>-</v>
      </c>
      <c r="O145" s="259" t="str">
        <f t="shared" si="135"/>
        <v>-</v>
      </c>
      <c r="P145" s="259" t="str">
        <f t="shared" si="135"/>
        <v>-</v>
      </c>
      <c r="Q145" s="259" t="str">
        <f t="shared" si="135"/>
        <v>-</v>
      </c>
      <c r="R145" s="259" t="str">
        <f t="shared" si="135"/>
        <v>-</v>
      </c>
      <c r="S145" s="259">
        <f t="shared" si="134"/>
        <v>-612</v>
      </c>
      <c r="T145" s="259">
        <f t="shared" si="136"/>
        <v>-977</v>
      </c>
      <c r="U145" s="259">
        <f t="shared" si="136"/>
        <v>-1343</v>
      </c>
      <c r="V145" s="259">
        <f t="shared" si="136"/>
        <v>-1708</v>
      </c>
      <c r="W145" s="259">
        <f t="shared" si="136"/>
        <v>-2073</v>
      </c>
      <c r="X145" s="259">
        <f t="shared" si="136"/>
        <v>-2438</v>
      </c>
      <c r="Y145" s="259">
        <f t="shared" si="136"/>
        <v>-2804</v>
      </c>
      <c r="Z145" s="259">
        <f t="shared" si="136"/>
        <v>-3169</v>
      </c>
      <c r="AA145" s="267">
        <f>(VLOOKUP(A145,Hshldprojections2014!$A$2:$AW$319,40, FALSE)-VLOOKUP(A145,Hshldprojections2014!$A$2:$AW$319,30, FALSE))/10</f>
        <v>446.5</v>
      </c>
      <c r="AB145" s="267">
        <f>(VLOOKUP(A145,Hshldprojections2014!$A$2:$AW$319,41, FALSE)-VLOOKUP(A145,Hshldprojections2014!$A$2:$AW$319,31, FALSE))/10</f>
        <v>446.2</v>
      </c>
      <c r="AC145" s="267">
        <f>(VLOOKUP(A145,Hshldprojections2014!$A$2:$AW$319,42, FALSE)-VLOOKUP(A145,Hshldprojections2014!$A$2:$AW$319,32, FALSE))/10</f>
        <v>444.8</v>
      </c>
      <c r="AD145" s="267">
        <f>IF(IndividualLATest!$J$7=2014,(VLOOKUP($A145,Hshldprojections2014!$A$2:$AY$326,43,FALSE)-VLOOKUP($A145,Hshldprojections2014!$A$2:$AY$326,33,FALSE))/10,IF(IndividualLATest!$J$7=2016,(VLOOKUP($A145,Hshldprojections2016!$A$1:$AQ$322,33,FALSE)-VLOOKUP($A145,Hshldprojections2016!$A$1:$AQ$322,23,FALSE))/10,(VLOOKUP($A145,Hshldprojections2018!$A$1:$AQ$327,33,FALSE)-VLOOKUP($A145,Hshldprojections2018!$A$1:$AQ$327,23,FALSE))/10))</f>
        <v>302.39999999999998</v>
      </c>
      <c r="AE145" s="267">
        <f>IF(IndividualLATest!$J$7=2014,(VLOOKUP($A145,Hshldprojections2014!$A$2:$AY$326,44,FALSE)-VLOOKUP($A145,Hshldprojections2014!$A$2:$AY$326,34,FALSE))/10,IF(IndividualLATest!$J$7=2016,(VLOOKUP($A145,Hshldprojections2016!$A$1:$AQ$322,34,FALSE)-VLOOKUP($A145,Hshldprojections2016!$A$1:$AQ$322,24,FALSE))/10,(VLOOKUP($A145,Hshldprojections2018!$A$1:$AQ$327,34,FALSE)-VLOOKUP($A145,Hshldprojections2018!$A$1:$AQ$327,24,FALSE))/10))</f>
        <v>299.5</v>
      </c>
      <c r="AF145" s="267">
        <f>IF(IndividualLATest!$J$7=2014,(VLOOKUP($A145,Hshldprojections2014!$A$2:$AY$326,45,FALSE)-VLOOKUP($A145,Hshldprojections2014!$A$2:$AY$326,35,FALSE))/10,IF(IndividualLATest!$J$7=2016,(VLOOKUP($A145,Hshldprojections2016!$A$1:$AQ$322,35,FALSE)-VLOOKUP($A145,Hshldprojections2016!$A$1:$AQ$322,25,FALSE))/10,(VLOOKUP($A145,Hshldprojections2018!$A$1:$AQ$327,35,FALSE)-VLOOKUP($A145,Hshldprojections2018!$A$1:$AQ$327,25,FALSE))/10))</f>
        <v>298.60000000000002</v>
      </c>
      <c r="AG145" s="267">
        <f>IF(IndividualLATest!$J$7=2014,(VLOOKUP($A145,Hshldprojections2014!$A$2:$AY$326,46,FALSE)-VLOOKUP($A145,Hshldprojections2014!$A$2:$AY$326,36,FALSE))/10,IF(IndividualLATest!$J$7=2016,(VLOOKUP($A145,Hshldprojections2016!$A$1:$AQ$322,36,FALSE)-VLOOKUP($A145,Hshldprojections2016!$A$1:$AQ$322,26,FALSE))/10,(VLOOKUP($A145,Hshldprojections2018!$A$1:$AQ$327,36,FALSE)-VLOOKUP($A145,Hshldprojections2018!$A$1:$AQ$327,26,FALSE))/10))</f>
        <v>297.60000000000002</v>
      </c>
      <c r="AH145" s="267">
        <f>IF(IndividualLATest!$J$7=2014,(VLOOKUP($A145,Hshldprojections2014!$A$2:$AY$326,47,FALSE)-VLOOKUP($A145,Hshldprojections2014!$A$2:$AY$326,37,FALSE))/10,IF(IndividualLATest!$J$7=2016,(VLOOKUP($A145,Hshldprojections2016!$A$1:$AQ$322,37,FALSE)-VLOOKUP($A145,Hshldprojections2016!$A$1:$AQ$322,27,FALSE))/10,(VLOOKUP($A145,Hshldprojections2018!$A$1:$AQ$327,37,FALSE)-VLOOKUP($A145,Hshldprojections2018!$A$1:$AQ$327,27,FALSE))/10))</f>
        <v>298.89999999999998</v>
      </c>
      <c r="AI145" s="268">
        <f>VLOOKUP($A145,AffordabilityRatio!$A$2:$I$321,5,FALSE)</f>
        <v>7.91</v>
      </c>
      <c r="AJ145" s="268">
        <f>VLOOKUP($A145,AffordabilityRatio!$A$2:$I$321,6,FALSE)</f>
        <v>7.88</v>
      </c>
      <c r="AK145" s="268">
        <f>VLOOKUP($A145,AffordabilityRatio!$A$2:$I$321,7,FALSE)</f>
        <v>7.46</v>
      </c>
      <c r="AL145" s="268">
        <f>IF((VLOOKUP($A145,AffordabilityRatio!$A$2:$I$321,8,FALSE))="",AK145,VLOOKUP($A145,AffordabilityRatio!$A$2:$I$321,8,FALSE))</f>
        <v>7.78</v>
      </c>
      <c r="AM145" s="268">
        <f>IF((VLOOKUP($A145,AffordabilityRatio!$A$2:$I$321,9,FALSE))="",AL145,VLOOKUP($A145,AffordabilityRatio!$A$2:$I$321,9,FALSE))</f>
        <v>8.93</v>
      </c>
      <c r="AN145" s="268">
        <f>IF((VLOOKUP($A145,AffordabilityRatio!$A$2:$I$321,9,FALSE))="",AM145,VLOOKUP($A145,AffordabilityRatio!$A$2:$I$321,9,FALSE))</f>
        <v>8.93</v>
      </c>
      <c r="AO145" s="268">
        <f>IF((VLOOKUP($A145,AffordabilityRatio!$A$2:$I$321,9,FALSE))="",AN145,VLOOKUP($A145,AffordabilityRatio!$A$2:$I$321,9,FALSE))</f>
        <v>8.93</v>
      </c>
      <c r="AP145" s="268">
        <f>IF((VLOOKUP($A145,AffordabilityRatio!$A$2:$I$321,9,FALSE))="",AO145,VLOOKUP($A145,AffordabilityRatio!$A$2:$I$321,9,FALSE))</f>
        <v>8.93</v>
      </c>
      <c r="AQ145" s="267">
        <f t="shared" si="152"/>
        <v>556</v>
      </c>
      <c r="AR145" s="267">
        <f t="shared" si="153"/>
        <v>554</v>
      </c>
      <c r="AS145" s="267">
        <f t="shared" si="154"/>
        <v>541</v>
      </c>
      <c r="AT145" s="267">
        <f t="shared" si="155"/>
        <v>374</v>
      </c>
      <c r="AU145" s="267">
        <f t="shared" si="156"/>
        <v>392</v>
      </c>
      <c r="AV145" s="267">
        <f t="shared" si="157"/>
        <v>391</v>
      </c>
      <c r="AW145" s="267">
        <f t="shared" si="158"/>
        <v>389</v>
      </c>
      <c r="AX145" s="267">
        <f t="shared" si="159"/>
        <v>391</v>
      </c>
      <c r="AY145" s="267">
        <f t="shared" si="160"/>
        <v>556</v>
      </c>
      <c r="AZ145" s="267">
        <f t="shared" si="161"/>
        <v>554</v>
      </c>
      <c r="BA145" s="267">
        <f t="shared" si="162"/>
        <v>541</v>
      </c>
      <c r="BB145" s="267">
        <f t="shared" si="163"/>
        <v>374</v>
      </c>
      <c r="BC145" s="267">
        <f t="shared" si="164"/>
        <v>392</v>
      </c>
      <c r="BD145" s="267">
        <f t="shared" si="165"/>
        <v>391</v>
      </c>
      <c r="BE145" s="267">
        <f t="shared" si="166"/>
        <v>389</v>
      </c>
      <c r="BF145" s="267">
        <f t="shared" si="167"/>
        <v>391</v>
      </c>
      <c r="BG145" s="269">
        <f>AY145*VLOOKUP($B145,'Major Cities &amp; Towns'!$A$28:$B$345,2,FALSE)</f>
        <v>556</v>
      </c>
      <c r="BH145" s="269">
        <f>AZ145*VLOOKUP($B145,'Major Cities &amp; Towns'!$A$28:$B$345,2,FALSE)</f>
        <v>554</v>
      </c>
      <c r="BI145" s="269">
        <f>BA145*VLOOKUP($B145,'Major Cities &amp; Towns'!$A$28:$B$345,2,FALSE)</f>
        <v>541</v>
      </c>
      <c r="BJ145" s="269">
        <f>BB145*VLOOKUP($B145,'Major Cities &amp; Towns'!$A$28:$B$345,2,FALSE)</f>
        <v>374</v>
      </c>
      <c r="BK145" s="269">
        <f>BC145*VLOOKUP($B145,'Major Cities &amp; Towns'!$A$28:$B$345,2,FALSE)</f>
        <v>392</v>
      </c>
      <c r="BL145" s="269">
        <f>BD145*VLOOKUP($B145,'Major Cities &amp; Towns'!$A$28:$B$345,2,FALSE)</f>
        <v>391</v>
      </c>
      <c r="BM145" s="269">
        <f>BE145*VLOOKUP($B145,'Major Cities &amp; Towns'!$A$28:$B$345,2,FALSE)</f>
        <v>389</v>
      </c>
      <c r="BN145" s="269">
        <f>BF145*VLOOKUP($B145,'Major Cities &amp; Towns'!$A$28:$B$345,2,FALSE)</f>
        <v>391</v>
      </c>
      <c r="BO145" s="270">
        <f t="shared" si="168"/>
        <v>556</v>
      </c>
      <c r="BP145" s="270">
        <f t="shared" si="169"/>
        <v>554</v>
      </c>
      <c r="BQ145" s="270">
        <f t="shared" si="170"/>
        <v>541</v>
      </c>
      <c r="BR145" s="270">
        <f t="shared" si="171"/>
        <v>374</v>
      </c>
      <c r="BS145" s="270">
        <f t="shared" si="172"/>
        <v>392</v>
      </c>
      <c r="BT145" s="270">
        <f t="shared" si="173"/>
        <v>391</v>
      </c>
      <c r="BU145" s="270">
        <f t="shared" si="174"/>
        <v>389</v>
      </c>
      <c r="BV145" s="270">
        <f t="shared" si="175"/>
        <v>391</v>
      </c>
      <c r="BW145" s="39">
        <f>VLOOKUP($A145,NetAdditions!$A$2:$H$336,6,FALSE)</f>
        <v>432</v>
      </c>
      <c r="BX145" s="39">
        <f>VLOOKUP($A145,NetAdditions!$A$2:$H$336,7,FALSE)</f>
        <v>591</v>
      </c>
      <c r="BY145" s="39">
        <f>IF((VLOOKUP($C145,NetAdditions!$A$2:$H$336,8,FALSE))="",(AVERAGE(VLOOKUP($C145,NetAdditions!$A$2:$H$336,5,FALSE),VLOOKUP($C145,NetAdditions!$A$2:$H$336,6,FALSE),VLOOKUP($C145,NetAdditions!$A$2:$H$336,7,FALSE))),VLOOKUP($C145,NetAdditions!$A$2:$H$336,8,FALSE))</f>
        <v>340</v>
      </c>
      <c r="BZ145" s="39">
        <f t="shared" si="176"/>
        <v>454.33333333333331</v>
      </c>
      <c r="CA145" s="39">
        <f t="shared" si="177"/>
        <v>461.77777777777777</v>
      </c>
      <c r="CB145" s="39">
        <f t="shared" si="178"/>
        <v>418.7037037037037</v>
      </c>
      <c r="CC145" s="39">
        <f t="shared" si="179"/>
        <v>444.93827160493828</v>
      </c>
      <c r="CD145" s="39">
        <f t="shared" si="180"/>
        <v>441.80658436213997</v>
      </c>
      <c r="CE145" s="276">
        <f t="shared" si="137"/>
        <v>1651</v>
      </c>
      <c r="CF145" s="276">
        <f t="shared" si="138"/>
        <v>1469</v>
      </c>
      <c r="CG145" s="276">
        <f t="shared" si="139"/>
        <v>1307</v>
      </c>
      <c r="CH145" s="276">
        <f t="shared" si="140"/>
        <v>1157</v>
      </c>
      <c r="CI145" s="276">
        <f t="shared" si="141"/>
        <v>1172</v>
      </c>
      <c r="CJ145" s="276">
        <f t="shared" si="142"/>
        <v>1171</v>
      </c>
      <c r="CK145" s="276">
        <f t="shared" si="181"/>
        <v>1421.6944444444446</v>
      </c>
      <c r="CL145" s="276">
        <f t="shared" si="182"/>
        <v>1264.9722222222224</v>
      </c>
      <c r="CM145" s="276">
        <f t="shared" si="183"/>
        <v>1198.0833333333333</v>
      </c>
      <c r="CN145" s="276">
        <f t="shared" si="184"/>
        <v>1157</v>
      </c>
      <c r="CO145" s="276">
        <f t="shared" si="185"/>
        <v>1172</v>
      </c>
      <c r="CP145" s="276">
        <f t="shared" si="186"/>
        <v>1171</v>
      </c>
      <c r="CQ145" s="39">
        <f t="shared" si="143"/>
        <v>1363</v>
      </c>
      <c r="CR145" s="39">
        <f t="shared" si="144"/>
        <v>1385.3333333333333</v>
      </c>
      <c r="CS145" s="277">
        <f t="shared" si="145"/>
        <v>1256.1111111111111</v>
      </c>
      <c r="CT145" s="39">
        <f t="shared" si="146"/>
        <v>1334.8148148148148</v>
      </c>
      <c r="CU145" s="39">
        <f t="shared" si="147"/>
        <v>1325.4197530864199</v>
      </c>
      <c r="CV145" s="39">
        <f t="shared" si="187"/>
        <v>1305.4485596707821</v>
      </c>
      <c r="CW145" s="297">
        <f t="shared" si="148"/>
        <v>0.95871514819952708</v>
      </c>
      <c r="CX145" s="279" t="str">
        <f t="shared" si="188"/>
        <v>Pass</v>
      </c>
      <c r="CY145" s="278">
        <f t="shared" si="149"/>
        <v>1.0951492127626867</v>
      </c>
      <c r="CZ145" s="279" t="str">
        <f t="shared" si="189"/>
        <v>Pass</v>
      </c>
      <c r="DA145" s="278">
        <f t="shared" si="150"/>
        <v>1.0484338410887761</v>
      </c>
      <c r="DB145" s="292" t="str">
        <f t="shared" si="190"/>
        <v>Pass</v>
      </c>
      <c r="DC145" s="299">
        <f t="shared" si="191"/>
        <v>1.1536860975063221</v>
      </c>
      <c r="DD145" s="293" t="str">
        <f t="shared" si="192"/>
        <v>Pass</v>
      </c>
      <c r="DE145" s="299">
        <f t="shared" si="193"/>
        <v>1.1309042261829521</v>
      </c>
      <c r="DF145" s="293" t="str">
        <f t="shared" si="194"/>
        <v>Pass</v>
      </c>
      <c r="DG145" s="299">
        <f t="shared" si="195"/>
        <v>1.1148151662431955</v>
      </c>
      <c r="DH145" s="293" t="str">
        <f t="shared" si="196"/>
        <v>Pass</v>
      </c>
    </row>
    <row r="146" spans="1:112" ht="15" thickTop="1" thickBot="1">
      <c r="A146" s="38" t="s">
        <v>402</v>
      </c>
      <c r="B146" s="38" t="s">
        <v>403</v>
      </c>
      <c r="C146" s="38" t="s">
        <v>402</v>
      </c>
      <c r="D146" s="38" t="s">
        <v>136</v>
      </c>
      <c r="E146" s="38" t="str">
        <f>VLOOKUP(C146,PoliticalControl!A:K,11,FALSE)</f>
        <v>LAB</v>
      </c>
      <c r="F146" s="38" t="str">
        <f>VLOOKUP(C146,UrbanRuralClassification!A:N,13,FALSE)</f>
        <v>Urban with City and Town</v>
      </c>
      <c r="G146" s="38" t="str">
        <f>VLOOKUP(C146,UrbanRuralClassification!A:N,14,FALSE)</f>
        <v>Predominantly Urban</v>
      </c>
      <c r="H146" s="258">
        <f>IF(ISBLANK((VLOOKUP($A146,'local-plan-data'!$C$1:$AD$566,27,FALSE)))=TRUE,"",VLOOKUP($A146,'local-plan-data'!$C$1:$AD$566,27,FALSE))</f>
        <v>43062</v>
      </c>
      <c r="I146" s="259">
        <f>VLOOKUP($A146,'local-plan-data'!$C$1:$AD$566,28,FALSE)</f>
        <v>620</v>
      </c>
      <c r="J146" s="260">
        <f t="shared" si="151"/>
        <v>620</v>
      </c>
      <c r="K146" s="259">
        <f t="shared" si="133"/>
        <v>620</v>
      </c>
      <c r="L146" s="259">
        <f t="shared" si="135"/>
        <v>620</v>
      </c>
      <c r="M146" s="259">
        <f t="shared" si="135"/>
        <v>620</v>
      </c>
      <c r="N146" s="259">
        <f t="shared" si="135"/>
        <v>620</v>
      </c>
      <c r="O146" s="259">
        <f t="shared" si="135"/>
        <v>620</v>
      </c>
      <c r="P146" s="259" t="str">
        <f t="shared" si="135"/>
        <v>-</v>
      </c>
      <c r="Q146" s="259" t="str">
        <f t="shared" si="135"/>
        <v>-</v>
      </c>
      <c r="R146" s="259" t="str">
        <f t="shared" si="135"/>
        <v>-</v>
      </c>
      <c r="S146" s="259">
        <f t="shared" si="134"/>
        <v>1697</v>
      </c>
      <c r="T146" s="259">
        <f t="shared" si="136"/>
        <v>1332</v>
      </c>
      <c r="U146" s="259">
        <f t="shared" si="136"/>
        <v>966</v>
      </c>
      <c r="V146" s="259">
        <f t="shared" si="136"/>
        <v>601</v>
      </c>
      <c r="W146" s="259">
        <f t="shared" si="136"/>
        <v>236</v>
      </c>
      <c r="X146" s="259">
        <f t="shared" si="136"/>
        <v>-129</v>
      </c>
      <c r="Y146" s="259">
        <f t="shared" si="136"/>
        <v>-495</v>
      </c>
      <c r="Z146" s="259">
        <f t="shared" si="136"/>
        <v>-860</v>
      </c>
      <c r="AA146" s="267">
        <f>(VLOOKUP(A146,Hshldprojections2014!$A$2:$AW$319,40, FALSE)-VLOOKUP(A146,Hshldprojections2014!$A$2:$AW$319,30, FALSE))/10</f>
        <v>390.4</v>
      </c>
      <c r="AB146" s="267">
        <f>(VLOOKUP(A146,Hshldprojections2014!$A$2:$AW$319,41, FALSE)-VLOOKUP(A146,Hshldprojections2014!$A$2:$AW$319,31, FALSE))/10</f>
        <v>385.7</v>
      </c>
      <c r="AC146" s="267">
        <f>(VLOOKUP(A146,Hshldprojections2014!$A$2:$AW$319,42, FALSE)-VLOOKUP(A146,Hshldprojections2014!$A$2:$AW$319,32, FALSE))/10</f>
        <v>388.4</v>
      </c>
      <c r="AD146" s="267">
        <f>IF(IndividualLATest!$J$7=2014,(VLOOKUP($A146,Hshldprojections2014!$A$2:$AY$326,43,FALSE)-VLOOKUP($A146,Hshldprojections2014!$A$2:$AY$326,33,FALSE))/10,IF(IndividualLATest!$J$7=2016,(VLOOKUP($A146,Hshldprojections2016!$A$1:$AQ$322,33,FALSE)-VLOOKUP($A146,Hshldprojections2016!$A$1:$AQ$322,23,FALSE))/10,(VLOOKUP($A146,Hshldprojections2018!$A$1:$AQ$327,33,FALSE)-VLOOKUP($A146,Hshldprojections2018!$A$1:$AQ$327,23,FALSE))/10))</f>
        <v>130.1</v>
      </c>
      <c r="AE146" s="267">
        <f>IF(IndividualLATest!$J$7=2014,(VLOOKUP($A146,Hshldprojections2014!$A$2:$AY$326,44,FALSE)-VLOOKUP($A146,Hshldprojections2014!$A$2:$AY$326,34,FALSE))/10,IF(IndividualLATest!$J$7=2016,(VLOOKUP($A146,Hshldprojections2016!$A$1:$AQ$322,34,FALSE)-VLOOKUP($A146,Hshldprojections2016!$A$1:$AQ$322,24,FALSE))/10,(VLOOKUP($A146,Hshldprojections2018!$A$1:$AQ$327,34,FALSE)-VLOOKUP($A146,Hshldprojections2018!$A$1:$AQ$327,24,FALSE))/10))</f>
        <v>152.4</v>
      </c>
      <c r="AF146" s="267">
        <f>IF(IndividualLATest!$J$7=2014,(VLOOKUP($A146,Hshldprojections2014!$A$2:$AY$326,45,FALSE)-VLOOKUP($A146,Hshldprojections2014!$A$2:$AY$326,35,FALSE))/10,IF(IndividualLATest!$J$7=2016,(VLOOKUP($A146,Hshldprojections2016!$A$1:$AQ$322,35,FALSE)-VLOOKUP($A146,Hshldprojections2016!$A$1:$AQ$322,25,FALSE))/10,(VLOOKUP($A146,Hshldprojections2018!$A$1:$AQ$327,35,FALSE)-VLOOKUP($A146,Hshldprojections2018!$A$1:$AQ$327,25,FALSE))/10))</f>
        <v>173.2</v>
      </c>
      <c r="AG146" s="267">
        <f>IF(IndividualLATest!$J$7=2014,(VLOOKUP($A146,Hshldprojections2014!$A$2:$AY$326,46,FALSE)-VLOOKUP($A146,Hshldprojections2014!$A$2:$AY$326,36,FALSE))/10,IF(IndividualLATest!$J$7=2016,(VLOOKUP($A146,Hshldprojections2016!$A$1:$AQ$322,36,FALSE)-VLOOKUP($A146,Hshldprojections2016!$A$1:$AQ$322,26,FALSE))/10,(VLOOKUP($A146,Hshldprojections2018!$A$1:$AQ$327,36,FALSE)-VLOOKUP($A146,Hshldprojections2018!$A$1:$AQ$327,26,FALSE))/10))</f>
        <v>185.7</v>
      </c>
      <c r="AH146" s="267">
        <f>IF(IndividualLATest!$J$7=2014,(VLOOKUP($A146,Hshldprojections2014!$A$2:$AY$326,47,FALSE)-VLOOKUP($A146,Hshldprojections2014!$A$2:$AY$326,37,FALSE))/10,IF(IndividualLATest!$J$7=2016,(VLOOKUP($A146,Hshldprojections2016!$A$1:$AQ$322,37,FALSE)-VLOOKUP($A146,Hshldprojections2016!$A$1:$AQ$322,27,FALSE))/10,(VLOOKUP($A146,Hshldprojections2018!$A$1:$AQ$327,37,FALSE)-VLOOKUP($A146,Hshldprojections2018!$A$1:$AQ$327,27,FALSE))/10))</f>
        <v>202.2</v>
      </c>
      <c r="AI146" s="268">
        <f>VLOOKUP($A146,AffordabilityRatio!$A$2:$I$321,5,FALSE)</f>
        <v>4.6100000000000003</v>
      </c>
      <c r="AJ146" s="268">
        <f>VLOOKUP($A146,AffordabilityRatio!$A$2:$I$321,6,FALSE)</f>
        <v>4.34</v>
      </c>
      <c r="AK146" s="268">
        <f>VLOOKUP($A146,AffordabilityRatio!$A$2:$I$321,7,FALSE)</f>
        <v>4.3600000000000003</v>
      </c>
      <c r="AL146" s="268">
        <f>IF((VLOOKUP($A146,AffordabilityRatio!$A$2:$I$321,8,FALSE))="",AK146,VLOOKUP($A146,AffordabilityRatio!$A$2:$I$321,8,FALSE))</f>
        <v>4.29</v>
      </c>
      <c r="AM146" s="268">
        <f>IF((VLOOKUP($A146,AffordabilityRatio!$A$2:$I$321,9,FALSE))="",AL146,VLOOKUP($A146,AffordabilityRatio!$A$2:$I$321,9,FALSE))</f>
        <v>4.3899999999999997</v>
      </c>
      <c r="AN146" s="268">
        <f>IF((VLOOKUP($A146,AffordabilityRatio!$A$2:$I$321,9,FALSE))="",AM146,VLOOKUP($A146,AffordabilityRatio!$A$2:$I$321,9,FALSE))</f>
        <v>4.3899999999999997</v>
      </c>
      <c r="AO146" s="268">
        <f>IF((VLOOKUP($A146,AffordabilityRatio!$A$2:$I$321,9,FALSE))="",AN146,VLOOKUP($A146,AffordabilityRatio!$A$2:$I$321,9,FALSE))</f>
        <v>4.3899999999999997</v>
      </c>
      <c r="AP146" s="268">
        <f>IF((VLOOKUP($A146,AffordabilityRatio!$A$2:$I$321,9,FALSE))="",AO146,VLOOKUP($A146,AffordabilityRatio!$A$2:$I$321,9,FALSE))</f>
        <v>4.3899999999999997</v>
      </c>
      <c r="AQ146" s="267">
        <f t="shared" si="152"/>
        <v>405</v>
      </c>
      <c r="AR146" s="267">
        <f t="shared" si="153"/>
        <v>394</v>
      </c>
      <c r="AS146" s="267">
        <f t="shared" si="154"/>
        <v>397</v>
      </c>
      <c r="AT146" s="267">
        <f t="shared" si="155"/>
        <v>132</v>
      </c>
      <c r="AU146" s="267">
        <f t="shared" si="156"/>
        <v>156</v>
      </c>
      <c r="AV146" s="267">
        <f t="shared" si="157"/>
        <v>177</v>
      </c>
      <c r="AW146" s="267">
        <f t="shared" si="158"/>
        <v>190</v>
      </c>
      <c r="AX146" s="267">
        <f t="shared" si="159"/>
        <v>207</v>
      </c>
      <c r="AY146" s="267">
        <f t="shared" si="160"/>
        <v>405</v>
      </c>
      <c r="AZ146" s="267">
        <f t="shared" si="161"/>
        <v>394</v>
      </c>
      <c r="BA146" s="267">
        <f t="shared" si="162"/>
        <v>397</v>
      </c>
      <c r="BB146" s="267">
        <f t="shared" si="163"/>
        <v>132</v>
      </c>
      <c r="BC146" s="267">
        <f t="shared" si="164"/>
        <v>156</v>
      </c>
      <c r="BD146" s="267">
        <f t="shared" si="165"/>
        <v>177</v>
      </c>
      <c r="BE146" s="267">
        <f t="shared" si="166"/>
        <v>190</v>
      </c>
      <c r="BF146" s="267">
        <f t="shared" si="167"/>
        <v>207</v>
      </c>
      <c r="BG146" s="269">
        <f>AY146*VLOOKUP($B146,'Major Cities &amp; Towns'!$A$28:$B$345,2,FALSE)</f>
        <v>546.75</v>
      </c>
      <c r="BH146" s="269">
        <f>AZ146*VLOOKUP($B146,'Major Cities &amp; Towns'!$A$28:$B$345,2,FALSE)</f>
        <v>531.90000000000009</v>
      </c>
      <c r="BI146" s="269">
        <f>BA146*VLOOKUP($B146,'Major Cities &amp; Towns'!$A$28:$B$345,2,FALSE)</f>
        <v>535.95000000000005</v>
      </c>
      <c r="BJ146" s="269">
        <f>BB146*VLOOKUP($B146,'Major Cities &amp; Towns'!$A$28:$B$345,2,FALSE)</f>
        <v>178.20000000000002</v>
      </c>
      <c r="BK146" s="269">
        <f>BC146*VLOOKUP($B146,'Major Cities &amp; Towns'!$A$28:$B$345,2,FALSE)</f>
        <v>210.60000000000002</v>
      </c>
      <c r="BL146" s="269">
        <f>BD146*VLOOKUP($B146,'Major Cities &amp; Towns'!$A$28:$B$345,2,FALSE)</f>
        <v>238.95000000000002</v>
      </c>
      <c r="BM146" s="269">
        <f>BE146*VLOOKUP($B146,'Major Cities &amp; Towns'!$A$28:$B$345,2,FALSE)</f>
        <v>256.5</v>
      </c>
      <c r="BN146" s="269">
        <f>BF146*VLOOKUP($B146,'Major Cities &amp; Towns'!$A$28:$B$345,2,FALSE)</f>
        <v>279.45000000000005</v>
      </c>
      <c r="BO146" s="270">
        <f t="shared" si="168"/>
        <v>405</v>
      </c>
      <c r="BP146" s="270">
        <f t="shared" si="169"/>
        <v>394</v>
      </c>
      <c r="BQ146" s="270">
        <f t="shared" si="170"/>
        <v>397</v>
      </c>
      <c r="BR146" s="270">
        <f t="shared" si="171"/>
        <v>132</v>
      </c>
      <c r="BS146" s="270">
        <f t="shared" si="172"/>
        <v>191.30301369863017</v>
      </c>
      <c r="BT146" s="270">
        <f t="shared" si="173"/>
        <v>177</v>
      </c>
      <c r="BU146" s="270">
        <f t="shared" si="174"/>
        <v>190</v>
      </c>
      <c r="BV146" s="270">
        <f t="shared" si="175"/>
        <v>207</v>
      </c>
      <c r="BW146" s="39">
        <f>VLOOKUP($A146,NetAdditions!$A$2:$H$336,6,FALSE)</f>
        <v>684</v>
      </c>
      <c r="BX146" s="39">
        <f>VLOOKUP($A146,NetAdditions!$A$2:$H$336,7,FALSE)</f>
        <v>794</v>
      </c>
      <c r="BY146" s="39">
        <f>IF((VLOOKUP($C146,NetAdditions!$A$2:$H$336,8,FALSE))="",(AVERAGE(VLOOKUP($C146,NetAdditions!$A$2:$H$336,5,FALSE),VLOOKUP($C146,NetAdditions!$A$2:$H$336,6,FALSE),VLOOKUP($C146,NetAdditions!$A$2:$H$336,7,FALSE))),VLOOKUP($C146,NetAdditions!$A$2:$H$336,8,FALSE))</f>
        <v>581</v>
      </c>
      <c r="BZ146" s="39">
        <f t="shared" si="176"/>
        <v>686.33333333333337</v>
      </c>
      <c r="CA146" s="39">
        <f t="shared" si="177"/>
        <v>687.1111111111112</v>
      </c>
      <c r="CB146" s="39">
        <f t="shared" si="178"/>
        <v>651.48148148148164</v>
      </c>
      <c r="CC146" s="39">
        <f t="shared" si="179"/>
        <v>674.9753086419754</v>
      </c>
      <c r="CD146" s="39">
        <f t="shared" si="180"/>
        <v>671.18930041152271</v>
      </c>
      <c r="CE146" s="276">
        <f t="shared" si="137"/>
        <v>1196</v>
      </c>
      <c r="CF146" s="276">
        <f t="shared" si="138"/>
        <v>923</v>
      </c>
      <c r="CG146" s="276">
        <f t="shared" si="139"/>
        <v>720.30301369863014</v>
      </c>
      <c r="CH146" s="276">
        <f t="shared" si="140"/>
        <v>500.30301369863014</v>
      </c>
      <c r="CI146" s="276">
        <f t="shared" si="141"/>
        <v>558.30301369863014</v>
      </c>
      <c r="CJ146" s="276">
        <f t="shared" si="142"/>
        <v>574</v>
      </c>
      <c r="CK146" s="276">
        <f t="shared" si="181"/>
        <v>1029.8888888888889</v>
      </c>
      <c r="CL146" s="276">
        <f t="shared" si="182"/>
        <v>794.80555555555566</v>
      </c>
      <c r="CM146" s="276">
        <f t="shared" si="183"/>
        <v>660.27776255707761</v>
      </c>
      <c r="CN146" s="276">
        <f t="shared" si="184"/>
        <v>500.30301369863014</v>
      </c>
      <c r="CO146" s="276">
        <f t="shared" si="185"/>
        <v>558.30301369863014</v>
      </c>
      <c r="CP146" s="276">
        <f t="shared" si="186"/>
        <v>574</v>
      </c>
      <c r="CQ146" s="39">
        <f t="shared" si="143"/>
        <v>2059</v>
      </c>
      <c r="CR146" s="39">
        <f t="shared" si="144"/>
        <v>2061.3333333333335</v>
      </c>
      <c r="CS146" s="277">
        <f t="shared" si="145"/>
        <v>1954.4444444444448</v>
      </c>
      <c r="CT146" s="39">
        <f t="shared" si="146"/>
        <v>2024.9259259259261</v>
      </c>
      <c r="CU146" s="39">
        <f t="shared" si="147"/>
        <v>2013.5679012345681</v>
      </c>
      <c r="CV146" s="39">
        <f t="shared" si="187"/>
        <v>1997.6460905349797</v>
      </c>
      <c r="CW146" s="297">
        <f t="shared" si="148"/>
        <v>1.9992447944762111</v>
      </c>
      <c r="CX146" s="279" t="str">
        <f t="shared" si="188"/>
        <v>Pass</v>
      </c>
      <c r="CY146" s="278">
        <f t="shared" si="149"/>
        <v>2.5935064481179881</v>
      </c>
      <c r="CZ146" s="279" t="str">
        <f t="shared" si="189"/>
        <v>Pass</v>
      </c>
      <c r="DA146" s="278">
        <f t="shared" si="150"/>
        <v>2.9600337241033361</v>
      </c>
      <c r="DB146" s="292" t="str">
        <f t="shared" si="190"/>
        <v>Pass</v>
      </c>
      <c r="DC146" s="299">
        <f t="shared" si="191"/>
        <v>4.0473990171598091</v>
      </c>
      <c r="DD146" s="293" t="str">
        <f t="shared" si="192"/>
        <v>Pass</v>
      </c>
      <c r="DE146" s="299">
        <f t="shared" si="193"/>
        <v>3.6065861222835607</v>
      </c>
      <c r="DF146" s="293" t="str">
        <f t="shared" si="194"/>
        <v>Pass</v>
      </c>
      <c r="DG146" s="299">
        <f t="shared" si="195"/>
        <v>3.4802196699215675</v>
      </c>
      <c r="DH146" s="293" t="str">
        <f t="shared" si="196"/>
        <v>Pass</v>
      </c>
    </row>
    <row r="147" spans="1:112" customFormat="1" ht="15.5" thickTop="1" thickBot="1">
      <c r="A147" s="3" t="s">
        <v>404</v>
      </c>
      <c r="B147" s="3" t="s">
        <v>405</v>
      </c>
      <c r="C147" s="3" t="s">
        <v>404</v>
      </c>
      <c r="D147" s="3" t="s">
        <v>131</v>
      </c>
      <c r="E147" s="3" t="str">
        <f>VLOOKUP(C147,PoliticalControl!A:K,11,FALSE)</f>
        <v>LD</v>
      </c>
      <c r="F147" s="3" t="str">
        <f>VLOOKUP(C147,UrbanRuralClassification!A:N,13,FALSE)</f>
        <v>Urban with Major Conurbation</v>
      </c>
      <c r="G147" s="3" t="str">
        <f>VLOOKUP(C147,UrbanRuralClassification!A:N,14,FALSE)</f>
        <v>Predominantly Urban</v>
      </c>
      <c r="H147" s="262">
        <f>IF(ISBLANK((VLOOKUP($A147,'local-plan-data'!$C$1:$AD$566,27,FALSE)))=TRUE,"",VLOOKUP($A147,'local-plan-data'!$C$1:$AD$566,27,FALSE))</f>
        <v>41016</v>
      </c>
      <c r="I147" s="263">
        <f>VLOOKUP($A147,'local-plan-data'!$C$1:$AD$566,28,FALSE)</f>
        <v>375</v>
      </c>
      <c r="J147" s="264">
        <f t="shared" si="151"/>
        <v>375</v>
      </c>
      <c r="K147" s="259" t="str">
        <f t="shared" ref="K147:K210" si="197">IF(AND(ISNUMBER($H147),ISNUMBER($J147)),IF(($H147-K$1&gt;0),$J147,IF(DATEDIF($H147,K$1,"y")&lt;5,$J147,"-")),"-")</f>
        <v>-</v>
      </c>
      <c r="L147" s="259" t="str">
        <f t="shared" si="135"/>
        <v>-</v>
      </c>
      <c r="M147" s="259" t="str">
        <f t="shared" si="135"/>
        <v>-</v>
      </c>
      <c r="N147" s="259" t="str">
        <f t="shared" si="135"/>
        <v>-</v>
      </c>
      <c r="O147" s="259" t="str">
        <f t="shared" si="135"/>
        <v>-</v>
      </c>
      <c r="P147" s="259" t="str">
        <f t="shared" si="135"/>
        <v>-</v>
      </c>
      <c r="Q147" s="259" t="str">
        <f t="shared" si="135"/>
        <v>-</v>
      </c>
      <c r="R147" s="259" t="str">
        <f t="shared" si="135"/>
        <v>-</v>
      </c>
      <c r="S147" s="259">
        <f t="shared" ref="S147:S210" si="198">IFERROR((EDATE($H147,60))-S$1,"-")</f>
        <v>-349</v>
      </c>
      <c r="T147" s="259">
        <f t="shared" si="136"/>
        <v>-714</v>
      </c>
      <c r="U147" s="259">
        <f t="shared" si="136"/>
        <v>-1080</v>
      </c>
      <c r="V147" s="259">
        <f t="shared" si="136"/>
        <v>-1445</v>
      </c>
      <c r="W147" s="259">
        <f t="shared" si="136"/>
        <v>-1810</v>
      </c>
      <c r="X147" s="259">
        <f t="shared" si="136"/>
        <v>-2175</v>
      </c>
      <c r="Y147" s="259">
        <f t="shared" si="136"/>
        <v>-2541</v>
      </c>
      <c r="Z147" s="259">
        <f t="shared" si="136"/>
        <v>-2906</v>
      </c>
      <c r="AA147" s="267">
        <f>(VLOOKUP(A147,Hshldprojections2014!$A$2:$AW$319,40, FALSE)-VLOOKUP(A147,Hshldprojections2014!$A$2:$AW$319,30, FALSE))/10</f>
        <v>1081.0999999999999</v>
      </c>
      <c r="AB147" s="267">
        <f>(VLOOKUP(A147,Hshldprojections2014!$A$2:$AW$319,41, FALSE)-VLOOKUP(A147,Hshldprojections2014!$A$2:$AW$319,31, FALSE))/10</f>
        <v>1079.9000000000001</v>
      </c>
      <c r="AC147" s="267">
        <f>(VLOOKUP(A147,Hshldprojections2014!$A$2:$AW$319,42, FALSE)-VLOOKUP(A147,Hshldprojections2014!$A$2:$AW$319,32, FALSE))/10</f>
        <v>1078.4000000000001</v>
      </c>
      <c r="AD147" s="267">
        <f>IF(IndividualLATest!$J$7=2014,(VLOOKUP($A147,Hshldprojections2014!$A$2:$AY$326,43,FALSE)-VLOOKUP($A147,Hshldprojections2014!$A$2:$AY$326,33,FALSE))/10,IF(IndividualLATest!$J$7=2016,(VLOOKUP($A147,Hshldprojections2016!$A$1:$AQ$322,33,FALSE)-VLOOKUP($A147,Hshldprojections2016!$A$1:$AQ$322,23,FALSE))/10,(VLOOKUP($A147,Hshldprojections2018!$A$1:$AQ$327,33,FALSE)-VLOOKUP($A147,Hshldprojections2018!$A$1:$AQ$327,23,FALSE))/10))</f>
        <v>501.3</v>
      </c>
      <c r="AE147" s="267">
        <f>IF(IndividualLATest!$J$7=2014,(VLOOKUP($A147,Hshldprojections2014!$A$2:$AY$326,44,FALSE)-VLOOKUP($A147,Hshldprojections2014!$A$2:$AY$326,34,FALSE))/10,IF(IndividualLATest!$J$7=2016,(VLOOKUP($A147,Hshldprojections2016!$A$1:$AQ$322,34,FALSE)-VLOOKUP($A147,Hshldprojections2016!$A$1:$AQ$322,24,FALSE))/10,(VLOOKUP($A147,Hshldprojections2018!$A$1:$AQ$327,34,FALSE)-VLOOKUP($A147,Hshldprojections2018!$A$1:$AQ$327,24,FALSE))/10))</f>
        <v>486.3</v>
      </c>
      <c r="AF147" s="267">
        <f>IF(IndividualLATest!$J$7=2014,(VLOOKUP($A147,Hshldprojections2014!$A$2:$AY$326,45,FALSE)-VLOOKUP($A147,Hshldprojections2014!$A$2:$AY$326,35,FALSE))/10,IF(IndividualLATest!$J$7=2016,(VLOOKUP($A147,Hshldprojections2016!$A$1:$AQ$322,35,FALSE)-VLOOKUP($A147,Hshldprojections2016!$A$1:$AQ$322,25,FALSE))/10,(VLOOKUP($A147,Hshldprojections2018!$A$1:$AQ$327,35,FALSE)-VLOOKUP($A147,Hshldprojections2018!$A$1:$AQ$327,25,FALSE))/10))</f>
        <v>472</v>
      </c>
      <c r="AG147" s="267">
        <f>IF(IndividualLATest!$J$7=2014,(VLOOKUP($A147,Hshldprojections2014!$A$2:$AY$326,46,FALSE)-VLOOKUP($A147,Hshldprojections2014!$A$2:$AY$326,36,FALSE))/10,IF(IndividualLATest!$J$7=2016,(VLOOKUP($A147,Hshldprojections2016!$A$1:$AQ$322,36,FALSE)-VLOOKUP($A147,Hshldprojections2016!$A$1:$AQ$322,26,FALSE))/10,(VLOOKUP($A147,Hshldprojections2018!$A$1:$AQ$327,36,FALSE)-VLOOKUP($A147,Hshldprojections2018!$A$1:$AQ$327,26,FALSE))/10))</f>
        <v>458.9</v>
      </c>
      <c r="AH147" s="267">
        <f>IF(IndividualLATest!$J$7=2014,(VLOOKUP($A147,Hshldprojections2014!$A$2:$AY$326,47,FALSE)-VLOOKUP($A147,Hshldprojections2014!$A$2:$AY$326,37,FALSE))/10,IF(IndividualLATest!$J$7=2016,(VLOOKUP($A147,Hshldprojections2016!$A$1:$AQ$322,37,FALSE)-VLOOKUP($A147,Hshldprojections2016!$A$1:$AQ$322,27,FALSE))/10,(VLOOKUP($A147,Hshldprojections2018!$A$1:$AQ$327,37,FALSE)-VLOOKUP($A147,Hshldprojections2018!$A$1:$AQ$327,27,FALSE))/10))</f>
        <v>446.8</v>
      </c>
      <c r="AI147" s="268">
        <f>VLOOKUP($A147,AffordabilityRatio!$A$2:$I$321,5,FALSE)</f>
        <v>15.49</v>
      </c>
      <c r="AJ147" s="268">
        <f>VLOOKUP($A147,AffordabilityRatio!$A$2:$I$321,6,FALSE)</f>
        <v>15.79</v>
      </c>
      <c r="AK147" s="268">
        <f>VLOOKUP($A147,AffordabilityRatio!$A$2:$I$321,7,FALSE)</f>
        <v>15.19</v>
      </c>
      <c r="AL147" s="268">
        <f>IF((VLOOKUP($A147,AffordabilityRatio!$A$2:$I$321,8,FALSE))="",AK147,VLOOKUP($A147,AffordabilityRatio!$A$2:$I$321,8,FALSE))</f>
        <v>14.04</v>
      </c>
      <c r="AM147" s="268">
        <f>IF((VLOOKUP($A147,AffordabilityRatio!$A$2:$I$321,9,FALSE))="",AL147,VLOOKUP($A147,AffordabilityRatio!$A$2:$I$321,9,FALSE))</f>
        <v>15.22</v>
      </c>
      <c r="AN147" s="268">
        <f>IF((VLOOKUP($A147,AffordabilityRatio!$A$2:$I$321,9,FALSE))="",AM147,VLOOKUP($A147,AffordabilityRatio!$A$2:$I$321,9,FALSE))</f>
        <v>15.22</v>
      </c>
      <c r="AO147" s="268">
        <f>IF((VLOOKUP($A147,AffordabilityRatio!$A$2:$I$321,9,FALSE))="",AN147,VLOOKUP($A147,AffordabilityRatio!$A$2:$I$321,9,FALSE))</f>
        <v>15.22</v>
      </c>
      <c r="AP147" s="268">
        <f>IF((VLOOKUP($A147,AffordabilityRatio!$A$2:$I$321,9,FALSE))="",AO147,VLOOKUP($A147,AffordabilityRatio!$A$2:$I$321,9,FALSE))</f>
        <v>15.22</v>
      </c>
      <c r="AQ147" s="267">
        <f t="shared" si="152"/>
        <v>1857</v>
      </c>
      <c r="AR147" s="267">
        <f t="shared" si="153"/>
        <v>1876</v>
      </c>
      <c r="AS147" s="267">
        <f t="shared" si="154"/>
        <v>1833</v>
      </c>
      <c r="AT147" s="267">
        <f t="shared" si="155"/>
        <v>816</v>
      </c>
      <c r="AU147" s="267">
        <f t="shared" si="156"/>
        <v>827</v>
      </c>
      <c r="AV147" s="267">
        <f t="shared" si="157"/>
        <v>803</v>
      </c>
      <c r="AW147" s="267">
        <f t="shared" si="158"/>
        <v>781</v>
      </c>
      <c r="AX147" s="267">
        <f t="shared" si="159"/>
        <v>760</v>
      </c>
      <c r="AY147" s="267">
        <f t="shared" si="160"/>
        <v>1513.54</v>
      </c>
      <c r="AZ147" s="267">
        <f t="shared" si="161"/>
        <v>1511.8600000000001</v>
      </c>
      <c r="BA147" s="267">
        <f t="shared" si="162"/>
        <v>1509.7600000000002</v>
      </c>
      <c r="BB147" s="267">
        <f t="shared" si="163"/>
        <v>701.82</v>
      </c>
      <c r="BC147" s="267">
        <f t="shared" si="164"/>
        <v>680.82</v>
      </c>
      <c r="BD147" s="267">
        <f t="shared" si="165"/>
        <v>660.8</v>
      </c>
      <c r="BE147" s="267">
        <f t="shared" si="166"/>
        <v>642.46</v>
      </c>
      <c r="BF147" s="267">
        <f t="shared" si="167"/>
        <v>625.52</v>
      </c>
      <c r="BG147" s="269">
        <f>AY147*VLOOKUP($B147,'Major Cities &amp; Towns'!$A$28:$B$345,2,FALSE)</f>
        <v>2043.279</v>
      </c>
      <c r="BH147" s="269">
        <f>AZ147*VLOOKUP($B147,'Major Cities &amp; Towns'!$A$28:$B$345,2,FALSE)</f>
        <v>2041.0110000000002</v>
      </c>
      <c r="BI147" s="269">
        <f>BA147*VLOOKUP($B147,'Major Cities &amp; Towns'!$A$28:$B$345,2,FALSE)</f>
        <v>2038.1760000000004</v>
      </c>
      <c r="BJ147" s="269">
        <f>BB147*VLOOKUP($B147,'Major Cities &amp; Towns'!$A$28:$B$345,2,FALSE)</f>
        <v>947.45700000000011</v>
      </c>
      <c r="BK147" s="269">
        <f>BC147*VLOOKUP($B147,'Major Cities &amp; Towns'!$A$28:$B$345,2,FALSE)</f>
        <v>919.10700000000008</v>
      </c>
      <c r="BL147" s="269">
        <f>BD147*VLOOKUP($B147,'Major Cities &amp; Towns'!$A$28:$B$345,2,FALSE)</f>
        <v>892.08</v>
      </c>
      <c r="BM147" s="269">
        <f>BE147*VLOOKUP($B147,'Major Cities &amp; Towns'!$A$28:$B$345,2,FALSE)</f>
        <v>867.32100000000014</v>
      </c>
      <c r="BN147" s="269">
        <f>BF147*VLOOKUP($B147,'Major Cities &amp; Towns'!$A$28:$B$345,2,FALSE)</f>
        <v>844.452</v>
      </c>
      <c r="BO147" s="270">
        <f t="shared" si="168"/>
        <v>1857</v>
      </c>
      <c r="BP147" s="270">
        <f t="shared" si="169"/>
        <v>1876</v>
      </c>
      <c r="BQ147" s="270">
        <f t="shared" si="170"/>
        <v>1833</v>
      </c>
      <c r="BR147" s="270">
        <f t="shared" si="171"/>
        <v>816</v>
      </c>
      <c r="BS147" s="270">
        <f t="shared" si="172"/>
        <v>827</v>
      </c>
      <c r="BT147" s="270">
        <f t="shared" si="173"/>
        <v>803</v>
      </c>
      <c r="BU147" s="270">
        <f t="shared" si="174"/>
        <v>781</v>
      </c>
      <c r="BV147" s="270">
        <f t="shared" si="175"/>
        <v>760</v>
      </c>
      <c r="BW147" s="39">
        <f>VLOOKUP($A147,NetAdditions!$A$2:$H$336,6,FALSE)</f>
        <v>501</v>
      </c>
      <c r="BX147" s="39">
        <f>VLOOKUP($A147,NetAdditions!$A$2:$H$336,7,FALSE)</f>
        <v>613</v>
      </c>
      <c r="BY147" s="39">
        <f>IF((VLOOKUP($C147,NetAdditions!$A$2:$H$336,8,FALSE))="",(AVERAGE(VLOOKUP($C147,NetAdditions!$A$2:$H$336,5,FALSE),VLOOKUP($C147,NetAdditions!$A$2:$H$336,6,FALSE),VLOOKUP($C147,NetAdditions!$A$2:$H$336,7,FALSE))),VLOOKUP($C147,NetAdditions!$A$2:$H$336,8,FALSE))</f>
        <v>479</v>
      </c>
      <c r="BZ147" s="39">
        <f t="shared" si="176"/>
        <v>531</v>
      </c>
      <c r="CA147" s="39">
        <f t="shared" si="177"/>
        <v>541</v>
      </c>
      <c r="CB147" s="39">
        <f t="shared" si="178"/>
        <v>517</v>
      </c>
      <c r="CC147" s="39">
        <f t="shared" si="179"/>
        <v>529.66666666666663</v>
      </c>
      <c r="CD147" s="39">
        <f t="shared" si="180"/>
        <v>529.22222222222217</v>
      </c>
      <c r="CE147" s="276">
        <f t="shared" si="137"/>
        <v>5566</v>
      </c>
      <c r="CF147" s="276">
        <f t="shared" si="138"/>
        <v>4525</v>
      </c>
      <c r="CG147" s="276">
        <f t="shared" si="139"/>
        <v>3476</v>
      </c>
      <c r="CH147" s="276">
        <f t="shared" si="140"/>
        <v>2446</v>
      </c>
      <c r="CI147" s="276">
        <f t="shared" si="141"/>
        <v>2411</v>
      </c>
      <c r="CJ147" s="276">
        <f t="shared" si="142"/>
        <v>2344</v>
      </c>
      <c r="CK147" s="276">
        <f t="shared" si="181"/>
        <v>4792.9444444444443</v>
      </c>
      <c r="CL147" s="276">
        <f t="shared" si="182"/>
        <v>3896.5277777777778</v>
      </c>
      <c r="CM147" s="276">
        <f t="shared" si="183"/>
        <v>3186.333333333333</v>
      </c>
      <c r="CN147" s="276">
        <f t="shared" si="184"/>
        <v>2446</v>
      </c>
      <c r="CO147" s="276">
        <f t="shared" si="185"/>
        <v>2411</v>
      </c>
      <c r="CP147" s="276">
        <f t="shared" si="186"/>
        <v>2344</v>
      </c>
      <c r="CQ147" s="39">
        <f t="shared" si="143"/>
        <v>1593</v>
      </c>
      <c r="CR147" s="39">
        <f t="shared" si="144"/>
        <v>1623</v>
      </c>
      <c r="CS147" s="277">
        <f t="shared" si="145"/>
        <v>1551</v>
      </c>
      <c r="CT147" s="39">
        <f t="shared" si="146"/>
        <v>1589</v>
      </c>
      <c r="CU147" s="39">
        <f t="shared" si="147"/>
        <v>1587.6666666666665</v>
      </c>
      <c r="CV147" s="39">
        <f t="shared" si="187"/>
        <v>1575.8888888888887</v>
      </c>
      <c r="CW147" s="297">
        <f t="shared" si="148"/>
        <v>0.33236354363474091</v>
      </c>
      <c r="CX147" s="279" t="str">
        <f t="shared" si="188"/>
        <v>Buffer and Action Plan</v>
      </c>
      <c r="CY147" s="278">
        <f t="shared" si="149"/>
        <v>0.4165246836571021</v>
      </c>
      <c r="CZ147" s="279" t="str">
        <f t="shared" si="189"/>
        <v>Presumption</v>
      </c>
      <c r="DA147" s="278">
        <f t="shared" si="150"/>
        <v>0.48676639815880329</v>
      </c>
      <c r="DB147" s="292" t="str">
        <f t="shared" si="190"/>
        <v>Presumption</v>
      </c>
      <c r="DC147" s="299">
        <f t="shared" si="191"/>
        <v>0.64963205233033527</v>
      </c>
      <c r="DD147" s="293" t="str">
        <f t="shared" si="192"/>
        <v>Presumption</v>
      </c>
      <c r="DE147" s="299">
        <f t="shared" si="193"/>
        <v>0.65850960873772979</v>
      </c>
      <c r="DF147" s="293" t="str">
        <f t="shared" si="194"/>
        <v>Presumption</v>
      </c>
      <c r="DG147" s="299">
        <f t="shared" si="195"/>
        <v>0.67230754645430402</v>
      </c>
      <c r="DH147" s="293" t="str">
        <f t="shared" si="196"/>
        <v>Presumption</v>
      </c>
    </row>
    <row r="148" spans="1:112" ht="15" thickTop="1" thickBot="1">
      <c r="A148" s="38" t="s">
        <v>406</v>
      </c>
      <c r="B148" s="38" t="s">
        <v>407</v>
      </c>
      <c r="C148" s="38" t="s">
        <v>406</v>
      </c>
      <c r="D148" s="38" t="s">
        <v>136</v>
      </c>
      <c r="E148" s="38" t="str">
        <f>VLOOKUP(C148,PoliticalControl!A:K,11,FALSE)</f>
        <v>NOC</v>
      </c>
      <c r="F148" s="38" t="str">
        <f>VLOOKUP(C148,UrbanRuralClassification!A:N,13,FALSE)</f>
        <v>Urban with Major Conurbation</v>
      </c>
      <c r="G148" s="38" t="str">
        <f>VLOOKUP(C148,UrbanRuralClassification!A:N,14,FALSE)</f>
        <v>Predominantly Urban</v>
      </c>
      <c r="H148" s="258">
        <f>IF(ISBLANK((VLOOKUP($A148,'local-plan-data'!$C$1:$AD$566,27,FALSE)))=TRUE,"",VLOOKUP($A148,'local-plan-data'!$C$1:$AD$566,27,FALSE))</f>
        <v>43523</v>
      </c>
      <c r="I148" s="259">
        <f>VLOOKUP($A148,'local-plan-data'!$C$1:$AD$566,28,FALSE)</f>
        <v>1730</v>
      </c>
      <c r="J148" s="260">
        <f t="shared" si="151"/>
        <v>1730</v>
      </c>
      <c r="K148" s="259">
        <f t="shared" si="197"/>
        <v>1730</v>
      </c>
      <c r="L148" s="259">
        <f t="shared" si="135"/>
        <v>1730</v>
      </c>
      <c r="M148" s="259">
        <f t="shared" si="135"/>
        <v>1730</v>
      </c>
      <c r="N148" s="259">
        <f t="shared" si="135"/>
        <v>1730</v>
      </c>
      <c r="O148" s="259">
        <f t="shared" si="135"/>
        <v>1730</v>
      </c>
      <c r="P148" s="259">
        <f t="shared" si="135"/>
        <v>1730</v>
      </c>
      <c r="Q148" s="259" t="str">
        <f t="shared" si="135"/>
        <v>-</v>
      </c>
      <c r="R148" s="259" t="str">
        <f t="shared" si="135"/>
        <v>-</v>
      </c>
      <c r="S148" s="259">
        <f t="shared" si="198"/>
        <v>2158</v>
      </c>
      <c r="T148" s="259">
        <f t="shared" si="136"/>
        <v>1793</v>
      </c>
      <c r="U148" s="259">
        <f t="shared" si="136"/>
        <v>1427</v>
      </c>
      <c r="V148" s="259">
        <f t="shared" si="136"/>
        <v>1062</v>
      </c>
      <c r="W148" s="259">
        <f t="shared" si="136"/>
        <v>697</v>
      </c>
      <c r="X148" s="259">
        <f t="shared" si="136"/>
        <v>332</v>
      </c>
      <c r="Y148" s="259">
        <f t="shared" si="136"/>
        <v>-34</v>
      </c>
      <c r="Z148" s="259">
        <f t="shared" si="136"/>
        <v>-399</v>
      </c>
      <c r="AA148" s="267">
        <f>(VLOOKUP(A148,Hshldprojections2014!$A$2:$AW$319,40, FALSE)-VLOOKUP(A148,Hshldprojections2014!$A$2:$AW$319,30, FALSE))/10</f>
        <v>1522.9</v>
      </c>
      <c r="AB148" s="267">
        <f>(VLOOKUP(A148,Hshldprojections2014!$A$2:$AW$319,41, FALSE)-VLOOKUP(A148,Hshldprojections2014!$A$2:$AW$319,31, FALSE))/10</f>
        <v>1510.5</v>
      </c>
      <c r="AC148" s="267">
        <f>(VLOOKUP(A148,Hshldprojections2014!$A$2:$AW$319,42, FALSE)-VLOOKUP(A148,Hshldprojections2014!$A$2:$AW$319,32, FALSE))/10</f>
        <v>1493.4</v>
      </c>
      <c r="AD148" s="267">
        <f>IF(IndividualLATest!$J$7=2014,(VLOOKUP($A148,Hshldprojections2014!$A$2:$AY$326,43,FALSE)-VLOOKUP($A148,Hshldprojections2014!$A$2:$AY$326,33,FALSE))/10,IF(IndividualLATest!$J$7=2016,(VLOOKUP($A148,Hshldprojections2016!$A$1:$AQ$322,33,FALSE)-VLOOKUP($A148,Hshldprojections2016!$A$1:$AQ$322,23,FALSE))/10,(VLOOKUP($A148,Hshldprojections2018!$A$1:$AQ$327,33,FALSE)-VLOOKUP($A148,Hshldprojections2018!$A$1:$AQ$327,23,FALSE))/10))</f>
        <v>904.8</v>
      </c>
      <c r="AE148" s="267">
        <f>IF(IndividualLATest!$J$7=2014,(VLOOKUP($A148,Hshldprojections2014!$A$2:$AY$326,44,FALSE)-VLOOKUP($A148,Hshldprojections2014!$A$2:$AY$326,34,FALSE))/10,IF(IndividualLATest!$J$7=2016,(VLOOKUP($A148,Hshldprojections2016!$A$1:$AQ$322,34,FALSE)-VLOOKUP($A148,Hshldprojections2016!$A$1:$AQ$322,24,FALSE))/10,(VLOOKUP($A148,Hshldprojections2018!$A$1:$AQ$327,34,FALSE)-VLOOKUP($A148,Hshldprojections2018!$A$1:$AQ$327,24,FALSE))/10))</f>
        <v>882.7</v>
      </c>
      <c r="AF148" s="267">
        <f>IF(IndividualLATest!$J$7=2014,(VLOOKUP($A148,Hshldprojections2014!$A$2:$AY$326,45,FALSE)-VLOOKUP($A148,Hshldprojections2014!$A$2:$AY$326,35,FALSE))/10,IF(IndividualLATest!$J$7=2016,(VLOOKUP($A148,Hshldprojections2016!$A$1:$AQ$322,35,FALSE)-VLOOKUP($A148,Hshldprojections2016!$A$1:$AQ$322,25,FALSE))/10,(VLOOKUP($A148,Hshldprojections2018!$A$1:$AQ$327,35,FALSE)-VLOOKUP($A148,Hshldprojections2018!$A$1:$AQ$327,25,FALSE))/10))</f>
        <v>866.2</v>
      </c>
      <c r="AG148" s="267">
        <f>IF(IndividualLATest!$J$7=2014,(VLOOKUP($A148,Hshldprojections2014!$A$2:$AY$326,46,FALSE)-VLOOKUP($A148,Hshldprojections2014!$A$2:$AY$326,36,FALSE))/10,IF(IndividualLATest!$J$7=2016,(VLOOKUP($A148,Hshldprojections2016!$A$1:$AQ$322,36,FALSE)-VLOOKUP($A148,Hshldprojections2016!$A$1:$AQ$322,26,FALSE))/10,(VLOOKUP($A148,Hshldprojections2018!$A$1:$AQ$327,36,FALSE)-VLOOKUP($A148,Hshldprojections2018!$A$1:$AQ$327,26,FALSE))/10))</f>
        <v>852.4</v>
      </c>
      <c r="AH148" s="267">
        <f>IF(IndividualLATest!$J$7=2014,(VLOOKUP($A148,Hshldprojections2014!$A$2:$AY$326,47,FALSE)-VLOOKUP($A148,Hshldprojections2014!$A$2:$AY$326,37,FALSE))/10,IF(IndividualLATest!$J$7=2016,(VLOOKUP($A148,Hshldprojections2016!$A$1:$AQ$322,37,FALSE)-VLOOKUP($A148,Hshldprojections2016!$A$1:$AQ$322,27,FALSE))/10,(VLOOKUP($A148,Hshldprojections2018!$A$1:$AQ$327,37,FALSE)-VLOOKUP($A148,Hshldprojections2018!$A$1:$AQ$327,27,FALSE))/10))</f>
        <v>837.4</v>
      </c>
      <c r="AI148" s="268">
        <f>VLOOKUP($A148,AffordabilityRatio!$A$2:$I$321,5,FALSE)</f>
        <v>5.69</v>
      </c>
      <c r="AJ148" s="268">
        <f>VLOOKUP($A148,AffordabilityRatio!$A$2:$I$321,6,FALSE)</f>
        <v>5.76</v>
      </c>
      <c r="AK148" s="268">
        <f>VLOOKUP($A148,AffordabilityRatio!$A$2:$I$321,7,FALSE)</f>
        <v>5.84</v>
      </c>
      <c r="AL148" s="268">
        <f>IF((VLOOKUP($A148,AffordabilityRatio!$A$2:$I$321,8,FALSE))="",AK148,VLOOKUP($A148,AffordabilityRatio!$A$2:$I$321,8,FALSE))</f>
        <v>5.82</v>
      </c>
      <c r="AM148" s="268">
        <f>IF((VLOOKUP($A148,AffordabilityRatio!$A$2:$I$321,9,FALSE))="",AL148,VLOOKUP($A148,AffordabilityRatio!$A$2:$I$321,9,FALSE))</f>
        <v>6.57</v>
      </c>
      <c r="AN148" s="268">
        <f>IF((VLOOKUP($A148,AffordabilityRatio!$A$2:$I$321,9,FALSE))="",AM148,VLOOKUP($A148,AffordabilityRatio!$A$2:$I$321,9,FALSE))</f>
        <v>6.57</v>
      </c>
      <c r="AO148" s="268">
        <f>IF((VLOOKUP($A148,AffordabilityRatio!$A$2:$I$321,9,FALSE))="",AN148,VLOOKUP($A148,AffordabilityRatio!$A$2:$I$321,9,FALSE))</f>
        <v>6.57</v>
      </c>
      <c r="AP148" s="268">
        <f>IF((VLOOKUP($A148,AffordabilityRatio!$A$2:$I$321,9,FALSE))="",AO148,VLOOKUP($A148,AffordabilityRatio!$A$2:$I$321,9,FALSE))</f>
        <v>6.57</v>
      </c>
      <c r="AQ148" s="267">
        <f t="shared" si="152"/>
        <v>1684</v>
      </c>
      <c r="AR148" s="267">
        <f t="shared" si="153"/>
        <v>1677</v>
      </c>
      <c r="AS148" s="267">
        <f t="shared" si="154"/>
        <v>1665</v>
      </c>
      <c r="AT148" s="267">
        <f t="shared" si="155"/>
        <v>1008</v>
      </c>
      <c r="AU148" s="267">
        <f t="shared" si="156"/>
        <v>1024</v>
      </c>
      <c r="AV148" s="267">
        <f t="shared" si="157"/>
        <v>1005</v>
      </c>
      <c r="AW148" s="267">
        <f t="shared" si="158"/>
        <v>989</v>
      </c>
      <c r="AX148" s="267">
        <f t="shared" si="159"/>
        <v>972</v>
      </c>
      <c r="AY148" s="267">
        <f t="shared" si="160"/>
        <v>1684</v>
      </c>
      <c r="AZ148" s="267">
        <f t="shared" si="161"/>
        <v>1677</v>
      </c>
      <c r="BA148" s="267">
        <f t="shared" si="162"/>
        <v>1665</v>
      </c>
      <c r="BB148" s="267">
        <f t="shared" si="163"/>
        <v>1008</v>
      </c>
      <c r="BC148" s="267">
        <f t="shared" si="164"/>
        <v>1024</v>
      </c>
      <c r="BD148" s="267">
        <f t="shared" si="165"/>
        <v>1005</v>
      </c>
      <c r="BE148" s="267">
        <f t="shared" si="166"/>
        <v>989</v>
      </c>
      <c r="BF148" s="267">
        <f t="shared" si="167"/>
        <v>972</v>
      </c>
      <c r="BG148" s="269">
        <f>AY148*VLOOKUP($B148,'Major Cities &amp; Towns'!$A$28:$B$345,2,FALSE)</f>
        <v>1684</v>
      </c>
      <c r="BH148" s="269">
        <f>AZ148*VLOOKUP($B148,'Major Cities &amp; Towns'!$A$28:$B$345,2,FALSE)</f>
        <v>1677</v>
      </c>
      <c r="BI148" s="269">
        <f>BA148*VLOOKUP($B148,'Major Cities &amp; Towns'!$A$28:$B$345,2,FALSE)</f>
        <v>1665</v>
      </c>
      <c r="BJ148" s="269">
        <f>BB148*VLOOKUP($B148,'Major Cities &amp; Towns'!$A$28:$B$345,2,FALSE)</f>
        <v>1008</v>
      </c>
      <c r="BK148" s="269">
        <f>BC148*VLOOKUP($B148,'Major Cities &amp; Towns'!$A$28:$B$345,2,FALSE)</f>
        <v>1024</v>
      </c>
      <c r="BL148" s="269">
        <f>BD148*VLOOKUP($B148,'Major Cities &amp; Towns'!$A$28:$B$345,2,FALSE)</f>
        <v>1005</v>
      </c>
      <c r="BM148" s="269">
        <f>BE148*VLOOKUP($B148,'Major Cities &amp; Towns'!$A$28:$B$345,2,FALSE)</f>
        <v>989</v>
      </c>
      <c r="BN148" s="269">
        <f>BF148*VLOOKUP($B148,'Major Cities &amp; Towns'!$A$28:$B$345,2,FALSE)</f>
        <v>972</v>
      </c>
      <c r="BO148" s="270">
        <f t="shared" si="168"/>
        <v>1684</v>
      </c>
      <c r="BP148" s="270">
        <f t="shared" si="169"/>
        <v>1677</v>
      </c>
      <c r="BQ148" s="270">
        <f t="shared" si="170"/>
        <v>1665</v>
      </c>
      <c r="BR148" s="270">
        <f t="shared" si="171"/>
        <v>1008</v>
      </c>
      <c r="BS148" s="270">
        <f t="shared" si="172"/>
        <v>1024</v>
      </c>
      <c r="BT148" s="270">
        <f t="shared" si="173"/>
        <v>1005</v>
      </c>
      <c r="BU148" s="270">
        <f t="shared" si="174"/>
        <v>989</v>
      </c>
      <c r="BV148" s="270">
        <f t="shared" si="175"/>
        <v>972</v>
      </c>
      <c r="BW148" s="39">
        <f>VLOOKUP($A148,NetAdditions!$A$2:$H$336,6,FALSE)</f>
        <v>1550</v>
      </c>
      <c r="BX148" s="39">
        <f>VLOOKUP($A148,NetAdditions!$A$2:$H$336,7,FALSE)</f>
        <v>1131</v>
      </c>
      <c r="BY148" s="39">
        <f>IF((VLOOKUP($C148,NetAdditions!$A$2:$H$336,8,FALSE))="",(AVERAGE(VLOOKUP($C148,NetAdditions!$A$2:$H$336,5,FALSE),VLOOKUP($C148,NetAdditions!$A$2:$H$336,6,FALSE),VLOOKUP($C148,NetAdditions!$A$2:$H$336,7,FALSE))),VLOOKUP($C148,NetAdditions!$A$2:$H$336,8,FALSE))</f>
        <v>1021</v>
      </c>
      <c r="BZ148" s="39">
        <f t="shared" si="176"/>
        <v>1234</v>
      </c>
      <c r="CA148" s="39">
        <f t="shared" si="177"/>
        <v>1128.6666666666667</v>
      </c>
      <c r="CB148" s="39">
        <f t="shared" si="178"/>
        <v>1127.8888888888889</v>
      </c>
      <c r="CC148" s="39">
        <f t="shared" si="179"/>
        <v>1163.5185185185185</v>
      </c>
      <c r="CD148" s="39">
        <f t="shared" si="180"/>
        <v>1140.0246913580247</v>
      </c>
      <c r="CE148" s="276">
        <f t="shared" si="137"/>
        <v>5026</v>
      </c>
      <c r="CF148" s="276">
        <f t="shared" si="138"/>
        <v>4350</v>
      </c>
      <c r="CG148" s="276">
        <f t="shared" si="139"/>
        <v>3697</v>
      </c>
      <c r="CH148" s="276">
        <f t="shared" si="140"/>
        <v>3037</v>
      </c>
      <c r="CI148" s="276">
        <f t="shared" si="141"/>
        <v>3018</v>
      </c>
      <c r="CJ148" s="276">
        <f t="shared" si="142"/>
        <v>2966</v>
      </c>
      <c r="CK148" s="276">
        <f t="shared" si="181"/>
        <v>4327.9444444444443</v>
      </c>
      <c r="CL148" s="276">
        <f t="shared" si="182"/>
        <v>3745.8333333333335</v>
      </c>
      <c r="CM148" s="276">
        <f t="shared" si="183"/>
        <v>3388.9166666666665</v>
      </c>
      <c r="CN148" s="276">
        <f t="shared" si="184"/>
        <v>3037</v>
      </c>
      <c r="CO148" s="276">
        <f t="shared" si="185"/>
        <v>3018</v>
      </c>
      <c r="CP148" s="276">
        <f t="shared" si="186"/>
        <v>2966</v>
      </c>
      <c r="CQ148" s="39">
        <f t="shared" si="143"/>
        <v>3702</v>
      </c>
      <c r="CR148" s="39">
        <f t="shared" si="144"/>
        <v>3386</v>
      </c>
      <c r="CS148" s="277">
        <f t="shared" si="145"/>
        <v>3383.666666666667</v>
      </c>
      <c r="CT148" s="39">
        <f t="shared" si="146"/>
        <v>3490.5555555555557</v>
      </c>
      <c r="CU148" s="39">
        <f t="shared" si="147"/>
        <v>3420.0740740740739</v>
      </c>
      <c r="CV148" s="39">
        <f t="shared" si="187"/>
        <v>3431.4320987654319</v>
      </c>
      <c r="CW148" s="297">
        <f t="shared" si="148"/>
        <v>0.85537142343683814</v>
      </c>
      <c r="CX148" s="279" t="str">
        <f t="shared" si="188"/>
        <v>Action Plan</v>
      </c>
      <c r="CY148" s="278">
        <f t="shared" si="149"/>
        <v>0.90393770856507227</v>
      </c>
      <c r="CZ148" s="279" t="str">
        <f t="shared" si="189"/>
        <v>Action Plan</v>
      </c>
      <c r="DA148" s="278">
        <f t="shared" si="150"/>
        <v>0.99845083237022658</v>
      </c>
      <c r="DB148" s="292" t="str">
        <f t="shared" si="190"/>
        <v>Pass</v>
      </c>
      <c r="DC148" s="299">
        <f t="shared" si="191"/>
        <v>1.1493432846742033</v>
      </c>
      <c r="DD148" s="293" t="str">
        <f t="shared" si="192"/>
        <v>Pass</v>
      </c>
      <c r="DE148" s="299">
        <f t="shared" si="193"/>
        <v>1.1332253393220921</v>
      </c>
      <c r="DF148" s="293" t="str">
        <f t="shared" si="194"/>
        <v>Pass</v>
      </c>
      <c r="DG148" s="299">
        <f t="shared" si="195"/>
        <v>1.1569224877833553</v>
      </c>
      <c r="DH148" s="293" t="str">
        <f t="shared" si="196"/>
        <v>Pass</v>
      </c>
    </row>
    <row r="149" spans="1:112" ht="15" thickTop="1" thickBot="1">
      <c r="A149" s="38" t="s">
        <v>408</v>
      </c>
      <c r="B149" s="38" t="s">
        <v>409</v>
      </c>
      <c r="C149" s="38" t="s">
        <v>408</v>
      </c>
      <c r="D149" s="38" t="s">
        <v>116</v>
      </c>
      <c r="E149" s="38" t="str">
        <f>VLOOKUP(C149,PoliticalControl!A:K,11,FALSE)</f>
        <v>LAB</v>
      </c>
      <c r="F149" s="38" t="str">
        <f>VLOOKUP(C149,UrbanRuralClassification!A:N,13,FALSE)</f>
        <v>Urban with Major Conurbation</v>
      </c>
      <c r="G149" s="38" t="str">
        <f>VLOOKUP(C149,UrbanRuralClassification!A:N,14,FALSE)</f>
        <v>Predominantly Urban</v>
      </c>
      <c r="H149" s="258">
        <f>IF(ISBLANK((VLOOKUP($A149,'local-plan-data'!$C$1:$AD$566,27,FALSE)))=TRUE,"",VLOOKUP($A149,'local-plan-data'!$C$1:$AD$566,27,FALSE))</f>
        <v>42375</v>
      </c>
      <c r="I149" s="259">
        <f>VLOOKUP($A149,'local-plan-data'!$C$1:$AD$566,28,FALSE)</f>
        <v>450</v>
      </c>
      <c r="J149" s="260">
        <f t="shared" si="151"/>
        <v>450</v>
      </c>
      <c r="K149" s="259">
        <f t="shared" si="197"/>
        <v>450</v>
      </c>
      <c r="L149" s="259">
        <f t="shared" si="135"/>
        <v>450</v>
      </c>
      <c r="M149" s="259">
        <f t="shared" si="135"/>
        <v>450</v>
      </c>
      <c r="N149" s="259" t="str">
        <f t="shared" si="135"/>
        <v>-</v>
      </c>
      <c r="O149" s="259" t="str">
        <f t="shared" si="135"/>
        <v>-</v>
      </c>
      <c r="P149" s="259" t="str">
        <f t="shared" si="135"/>
        <v>-</v>
      </c>
      <c r="Q149" s="259" t="str">
        <f t="shared" si="135"/>
        <v>-</v>
      </c>
      <c r="R149" s="259" t="str">
        <f t="shared" si="135"/>
        <v>-</v>
      </c>
      <c r="S149" s="259">
        <f t="shared" si="198"/>
        <v>1011</v>
      </c>
      <c r="T149" s="259">
        <f t="shared" si="136"/>
        <v>646</v>
      </c>
      <c r="U149" s="259">
        <f t="shared" si="136"/>
        <v>280</v>
      </c>
      <c r="V149" s="259">
        <f t="shared" si="136"/>
        <v>-85</v>
      </c>
      <c r="W149" s="259">
        <f t="shared" si="136"/>
        <v>-450</v>
      </c>
      <c r="X149" s="259">
        <f t="shared" si="136"/>
        <v>-815</v>
      </c>
      <c r="Y149" s="259">
        <f t="shared" si="136"/>
        <v>-1181</v>
      </c>
      <c r="Z149" s="259">
        <f t="shared" si="136"/>
        <v>-1546</v>
      </c>
      <c r="AA149" s="267">
        <f>(VLOOKUP(A149,Hshldprojections2014!$A$2:$AW$319,40, FALSE)-VLOOKUP(A149,Hshldprojections2014!$A$2:$AW$319,30, FALSE))/10</f>
        <v>257.3</v>
      </c>
      <c r="AB149" s="267">
        <f>(VLOOKUP(A149,Hshldprojections2014!$A$2:$AW$319,41, FALSE)-VLOOKUP(A149,Hshldprojections2014!$A$2:$AW$319,31, FALSE))/10</f>
        <v>249.2</v>
      </c>
      <c r="AC149" s="267">
        <f>(VLOOKUP(A149,Hshldprojections2014!$A$2:$AW$319,42, FALSE)-VLOOKUP(A149,Hshldprojections2014!$A$2:$AW$319,32, FALSE))/10</f>
        <v>244.1</v>
      </c>
      <c r="AD149" s="267">
        <f>IF(IndividualLATest!$J$7=2014,(VLOOKUP($A149,Hshldprojections2014!$A$2:$AY$326,43,FALSE)-VLOOKUP($A149,Hshldprojections2014!$A$2:$AY$326,33,FALSE))/10,IF(IndividualLATest!$J$7=2016,(VLOOKUP($A149,Hshldprojections2016!$A$1:$AQ$322,33,FALSE)-VLOOKUP($A149,Hshldprojections2016!$A$1:$AQ$322,23,FALSE))/10,(VLOOKUP($A149,Hshldprojections2018!$A$1:$AQ$327,33,FALSE)-VLOOKUP($A149,Hshldprojections2018!$A$1:$AQ$327,23,FALSE))/10))</f>
        <v>308.7</v>
      </c>
      <c r="AE149" s="267">
        <f>IF(IndividualLATest!$J$7=2014,(VLOOKUP($A149,Hshldprojections2014!$A$2:$AY$326,44,FALSE)-VLOOKUP($A149,Hshldprojections2014!$A$2:$AY$326,34,FALSE))/10,IF(IndividualLATest!$J$7=2016,(VLOOKUP($A149,Hshldprojections2016!$A$1:$AQ$322,34,FALSE)-VLOOKUP($A149,Hshldprojections2016!$A$1:$AQ$322,24,FALSE))/10,(VLOOKUP($A149,Hshldprojections2018!$A$1:$AQ$327,34,FALSE)-VLOOKUP($A149,Hshldprojections2018!$A$1:$AQ$327,24,FALSE))/10))</f>
        <v>311.8</v>
      </c>
      <c r="AF149" s="267">
        <f>IF(IndividualLATest!$J$7=2014,(VLOOKUP($A149,Hshldprojections2014!$A$2:$AY$326,45,FALSE)-VLOOKUP($A149,Hshldprojections2014!$A$2:$AY$326,35,FALSE))/10,IF(IndividualLATest!$J$7=2016,(VLOOKUP($A149,Hshldprojections2016!$A$1:$AQ$322,35,FALSE)-VLOOKUP($A149,Hshldprojections2016!$A$1:$AQ$322,25,FALSE))/10,(VLOOKUP($A149,Hshldprojections2018!$A$1:$AQ$327,35,FALSE)-VLOOKUP($A149,Hshldprojections2018!$A$1:$AQ$327,25,FALSE))/10))</f>
        <v>317.5</v>
      </c>
      <c r="AG149" s="267">
        <f>IF(IndividualLATest!$J$7=2014,(VLOOKUP($A149,Hshldprojections2014!$A$2:$AY$326,46,FALSE)-VLOOKUP($A149,Hshldprojections2014!$A$2:$AY$326,36,FALSE))/10,IF(IndividualLATest!$J$7=2016,(VLOOKUP($A149,Hshldprojections2016!$A$1:$AQ$322,36,FALSE)-VLOOKUP($A149,Hshldprojections2016!$A$1:$AQ$322,26,FALSE))/10,(VLOOKUP($A149,Hshldprojections2018!$A$1:$AQ$327,36,FALSE)-VLOOKUP($A149,Hshldprojections2018!$A$1:$AQ$327,26,FALSE))/10))</f>
        <v>321.60000000000002</v>
      </c>
      <c r="AH149" s="267">
        <f>IF(IndividualLATest!$J$7=2014,(VLOOKUP($A149,Hshldprojections2014!$A$2:$AY$326,47,FALSE)-VLOOKUP($A149,Hshldprojections2014!$A$2:$AY$326,37,FALSE))/10,IF(IndividualLATest!$J$7=2016,(VLOOKUP($A149,Hshldprojections2016!$A$1:$AQ$322,37,FALSE)-VLOOKUP($A149,Hshldprojections2016!$A$1:$AQ$322,27,FALSE))/10,(VLOOKUP($A149,Hshldprojections2018!$A$1:$AQ$327,37,FALSE)-VLOOKUP($A149,Hshldprojections2018!$A$1:$AQ$327,27,FALSE))/10))</f>
        <v>330.7</v>
      </c>
      <c r="AI149" s="268">
        <f>VLOOKUP($A149,AffordabilityRatio!$A$2:$I$321,5,FALSE)</f>
        <v>4.57</v>
      </c>
      <c r="AJ149" s="268">
        <f>VLOOKUP($A149,AffordabilityRatio!$A$2:$I$321,6,FALSE)</f>
        <v>4.12</v>
      </c>
      <c r="AK149" s="268">
        <f>VLOOKUP($A149,AffordabilityRatio!$A$2:$I$321,7,FALSE)</f>
        <v>5.22</v>
      </c>
      <c r="AL149" s="268">
        <f>IF((VLOOKUP($A149,AffordabilityRatio!$A$2:$I$321,8,FALSE))="",AK149,VLOOKUP($A149,AffordabilityRatio!$A$2:$I$321,8,FALSE))</f>
        <v>4.3099999999999996</v>
      </c>
      <c r="AM149" s="268">
        <f>IF((VLOOKUP($A149,AffordabilityRatio!$A$2:$I$321,9,FALSE))="",AL149,VLOOKUP($A149,AffordabilityRatio!$A$2:$I$321,9,FALSE))</f>
        <v>5.21</v>
      </c>
      <c r="AN149" s="268">
        <f>IF((VLOOKUP($A149,AffordabilityRatio!$A$2:$I$321,9,FALSE))="",AM149,VLOOKUP($A149,AffordabilityRatio!$A$2:$I$321,9,FALSE))</f>
        <v>5.21</v>
      </c>
      <c r="AO149" s="268">
        <f>IF((VLOOKUP($A149,AffordabilityRatio!$A$2:$I$321,9,FALSE))="",AN149,VLOOKUP($A149,AffordabilityRatio!$A$2:$I$321,9,FALSE))</f>
        <v>5.21</v>
      </c>
      <c r="AP149" s="268">
        <f>IF((VLOOKUP($A149,AffordabilityRatio!$A$2:$I$321,9,FALSE))="",AO149,VLOOKUP($A149,AffordabilityRatio!$A$2:$I$321,9,FALSE))</f>
        <v>5.21</v>
      </c>
      <c r="AQ149" s="267">
        <f t="shared" si="152"/>
        <v>266</v>
      </c>
      <c r="AR149" s="267">
        <f t="shared" si="153"/>
        <v>251</v>
      </c>
      <c r="AS149" s="267">
        <f t="shared" si="154"/>
        <v>263</v>
      </c>
      <c r="AT149" s="267">
        <f t="shared" si="155"/>
        <v>315</v>
      </c>
      <c r="AU149" s="267">
        <f t="shared" si="156"/>
        <v>335</v>
      </c>
      <c r="AV149" s="267">
        <f t="shared" si="157"/>
        <v>342</v>
      </c>
      <c r="AW149" s="267">
        <f t="shared" si="158"/>
        <v>346</v>
      </c>
      <c r="AX149" s="267">
        <f t="shared" si="159"/>
        <v>356</v>
      </c>
      <c r="AY149" s="267">
        <f t="shared" si="160"/>
        <v>266</v>
      </c>
      <c r="AZ149" s="267">
        <f t="shared" si="161"/>
        <v>251</v>
      </c>
      <c r="BA149" s="267">
        <f t="shared" si="162"/>
        <v>263</v>
      </c>
      <c r="BB149" s="267">
        <f t="shared" si="163"/>
        <v>315</v>
      </c>
      <c r="BC149" s="267">
        <f t="shared" si="164"/>
        <v>335</v>
      </c>
      <c r="BD149" s="267">
        <f t="shared" si="165"/>
        <v>342</v>
      </c>
      <c r="BE149" s="267">
        <f t="shared" si="166"/>
        <v>346</v>
      </c>
      <c r="BF149" s="267">
        <f t="shared" si="167"/>
        <v>356</v>
      </c>
      <c r="BG149" s="269">
        <f>AY149*VLOOKUP($B149,'Major Cities &amp; Towns'!$A$28:$B$345,2,FALSE)</f>
        <v>266</v>
      </c>
      <c r="BH149" s="269">
        <f>AZ149*VLOOKUP($B149,'Major Cities &amp; Towns'!$A$28:$B$345,2,FALSE)</f>
        <v>251</v>
      </c>
      <c r="BI149" s="269">
        <f>BA149*VLOOKUP($B149,'Major Cities &amp; Towns'!$A$28:$B$345,2,FALSE)</f>
        <v>263</v>
      </c>
      <c r="BJ149" s="269">
        <f>BB149*VLOOKUP($B149,'Major Cities &amp; Towns'!$A$28:$B$345,2,FALSE)</f>
        <v>315</v>
      </c>
      <c r="BK149" s="269">
        <f>BC149*VLOOKUP($B149,'Major Cities &amp; Towns'!$A$28:$B$345,2,FALSE)</f>
        <v>335</v>
      </c>
      <c r="BL149" s="269">
        <f>BD149*VLOOKUP($B149,'Major Cities &amp; Towns'!$A$28:$B$345,2,FALSE)</f>
        <v>342</v>
      </c>
      <c r="BM149" s="269">
        <f>BE149*VLOOKUP($B149,'Major Cities &amp; Towns'!$A$28:$B$345,2,FALSE)</f>
        <v>346</v>
      </c>
      <c r="BN149" s="269">
        <f>BF149*VLOOKUP($B149,'Major Cities &amp; Towns'!$A$28:$B$345,2,FALSE)</f>
        <v>356</v>
      </c>
      <c r="BO149" s="270">
        <f t="shared" si="168"/>
        <v>266</v>
      </c>
      <c r="BP149" s="270">
        <f t="shared" si="169"/>
        <v>251</v>
      </c>
      <c r="BQ149" s="270">
        <f t="shared" si="170"/>
        <v>263</v>
      </c>
      <c r="BR149" s="270">
        <f t="shared" si="171"/>
        <v>315</v>
      </c>
      <c r="BS149" s="270">
        <f t="shared" si="172"/>
        <v>335</v>
      </c>
      <c r="BT149" s="270">
        <f t="shared" si="173"/>
        <v>342</v>
      </c>
      <c r="BU149" s="270">
        <f t="shared" si="174"/>
        <v>346</v>
      </c>
      <c r="BV149" s="270">
        <f t="shared" si="175"/>
        <v>356</v>
      </c>
      <c r="BW149" s="39">
        <f>VLOOKUP($A149,NetAdditions!$A$2:$H$336,6,FALSE)</f>
        <v>840</v>
      </c>
      <c r="BX149" s="39">
        <f>VLOOKUP($A149,NetAdditions!$A$2:$H$336,7,FALSE)</f>
        <v>1097</v>
      </c>
      <c r="BY149" s="39">
        <f>IF((VLOOKUP($C149,NetAdditions!$A$2:$H$336,8,FALSE))="",(AVERAGE(VLOOKUP($C149,NetAdditions!$A$2:$H$336,5,FALSE),VLOOKUP($C149,NetAdditions!$A$2:$H$336,6,FALSE),VLOOKUP($C149,NetAdditions!$A$2:$H$336,7,FALSE))),VLOOKUP($C149,NetAdditions!$A$2:$H$336,8,FALSE))</f>
        <v>810</v>
      </c>
      <c r="BZ149" s="39">
        <f t="shared" si="176"/>
        <v>915.66666666666663</v>
      </c>
      <c r="CA149" s="39">
        <f t="shared" si="177"/>
        <v>940.8888888888888</v>
      </c>
      <c r="CB149" s="39">
        <f t="shared" si="178"/>
        <v>888.85185185185173</v>
      </c>
      <c r="CC149" s="39">
        <f t="shared" si="179"/>
        <v>915.13580246913568</v>
      </c>
      <c r="CD149" s="39">
        <f t="shared" si="180"/>
        <v>914.95884773662544</v>
      </c>
      <c r="CE149" s="276">
        <f t="shared" si="137"/>
        <v>780</v>
      </c>
      <c r="CF149" s="276">
        <f t="shared" si="138"/>
        <v>829</v>
      </c>
      <c r="CG149" s="276">
        <f t="shared" si="139"/>
        <v>913</v>
      </c>
      <c r="CH149" s="276">
        <f t="shared" si="140"/>
        <v>992</v>
      </c>
      <c r="CI149" s="276">
        <f t="shared" si="141"/>
        <v>1023</v>
      </c>
      <c r="CJ149" s="276">
        <f t="shared" si="142"/>
        <v>1044</v>
      </c>
      <c r="CK149" s="276">
        <f t="shared" si="181"/>
        <v>671.66666666666674</v>
      </c>
      <c r="CL149" s="276">
        <f t="shared" si="182"/>
        <v>713.8611111111112</v>
      </c>
      <c r="CM149" s="276">
        <f t="shared" si="183"/>
        <v>836.91666666666663</v>
      </c>
      <c r="CN149" s="276">
        <f t="shared" si="184"/>
        <v>992</v>
      </c>
      <c r="CO149" s="276">
        <f t="shared" si="185"/>
        <v>1023</v>
      </c>
      <c r="CP149" s="276">
        <f t="shared" si="186"/>
        <v>1044</v>
      </c>
      <c r="CQ149" s="39">
        <f t="shared" si="143"/>
        <v>2747</v>
      </c>
      <c r="CR149" s="39">
        <f t="shared" si="144"/>
        <v>2822.6666666666665</v>
      </c>
      <c r="CS149" s="277">
        <f t="shared" si="145"/>
        <v>2666.5555555555552</v>
      </c>
      <c r="CT149" s="39">
        <f t="shared" si="146"/>
        <v>2745.4074074074069</v>
      </c>
      <c r="CU149" s="39">
        <f t="shared" si="147"/>
        <v>2744.8765432098762</v>
      </c>
      <c r="CV149" s="39">
        <f t="shared" si="187"/>
        <v>2718.9465020576131</v>
      </c>
      <c r="CW149" s="297">
        <f t="shared" si="148"/>
        <v>4.0898263027295281</v>
      </c>
      <c r="CX149" s="279" t="str">
        <f t="shared" si="188"/>
        <v>Pass</v>
      </c>
      <c r="CY149" s="278">
        <f t="shared" si="149"/>
        <v>3.9540838164909133</v>
      </c>
      <c r="CZ149" s="279" t="str">
        <f t="shared" si="189"/>
        <v>Pass</v>
      </c>
      <c r="DA149" s="278">
        <f t="shared" si="150"/>
        <v>3.186166152212154</v>
      </c>
      <c r="DB149" s="292" t="str">
        <f t="shared" si="190"/>
        <v>Pass</v>
      </c>
      <c r="DC149" s="299">
        <f t="shared" si="191"/>
        <v>2.7675477897252088</v>
      </c>
      <c r="DD149" s="293" t="str">
        <f t="shared" si="192"/>
        <v>Pass</v>
      </c>
      <c r="DE149" s="299">
        <f t="shared" si="193"/>
        <v>2.6831637763537404</v>
      </c>
      <c r="DF149" s="293" t="str">
        <f t="shared" si="194"/>
        <v>Pass</v>
      </c>
      <c r="DG149" s="299">
        <f t="shared" si="195"/>
        <v>2.6043548870283648</v>
      </c>
      <c r="DH149" s="293" t="str">
        <f t="shared" si="196"/>
        <v>Pass</v>
      </c>
    </row>
    <row r="150" spans="1:112" customFormat="1" ht="15.5" thickTop="1" thickBot="1">
      <c r="A150" s="3" t="s">
        <v>410</v>
      </c>
      <c r="B150" s="3" t="s">
        <v>411</v>
      </c>
      <c r="C150" s="3" t="s">
        <v>410</v>
      </c>
      <c r="D150" s="3" t="s">
        <v>131</v>
      </c>
      <c r="E150" s="3" t="str">
        <f>VLOOKUP(C150,PoliticalControl!A:K,11,FALSE)</f>
        <v>LAB</v>
      </c>
      <c r="F150" s="3" t="str">
        <f>VLOOKUP(C150,UrbanRuralClassification!A:N,13,FALSE)</f>
        <v>Urban with Major Conurbation</v>
      </c>
      <c r="G150" s="3" t="str">
        <f>VLOOKUP(C150,UrbanRuralClassification!A:N,14,FALSE)</f>
        <v>Predominantly Urban</v>
      </c>
      <c r="H150" s="262">
        <f>IF(ISBLANK((VLOOKUP($A150,'local-plan-data'!$C$1:$AD$566,27,FALSE)))=TRUE,"",VLOOKUP($A150,'local-plan-data'!$C$1:$AD$566,27,FALSE))</f>
        <v>44461</v>
      </c>
      <c r="I150" s="263">
        <f>VLOOKUP($A150,'local-plan-data'!$C$1:$AD$566,28,FALSE)</f>
        <v>1227.7333333333333</v>
      </c>
      <c r="J150" s="264">
        <f t="shared" si="151"/>
        <v>1227.7333333333333</v>
      </c>
      <c r="K150" s="259">
        <f t="shared" si="197"/>
        <v>1227.7333333333333</v>
      </c>
      <c r="L150" s="259">
        <f t="shared" si="135"/>
        <v>1227.7333333333333</v>
      </c>
      <c r="M150" s="259">
        <f t="shared" si="135"/>
        <v>1227.7333333333333</v>
      </c>
      <c r="N150" s="259">
        <f t="shared" si="135"/>
        <v>1227.7333333333333</v>
      </c>
      <c r="O150" s="259">
        <f t="shared" si="135"/>
        <v>1227.7333333333333</v>
      </c>
      <c r="P150" s="259">
        <f t="shared" si="135"/>
        <v>1227.7333333333333</v>
      </c>
      <c r="Q150" s="259">
        <f t="shared" si="135"/>
        <v>1227.7333333333333</v>
      </c>
      <c r="R150" s="259">
        <f t="shared" si="135"/>
        <v>1227.7333333333333</v>
      </c>
      <c r="S150" s="259">
        <f t="shared" si="198"/>
        <v>3096</v>
      </c>
      <c r="T150" s="259">
        <f t="shared" si="136"/>
        <v>2731</v>
      </c>
      <c r="U150" s="259">
        <f t="shared" si="136"/>
        <v>2365</v>
      </c>
      <c r="V150" s="259">
        <f t="shared" si="136"/>
        <v>2000</v>
      </c>
      <c r="W150" s="259">
        <f t="shared" si="136"/>
        <v>1635</v>
      </c>
      <c r="X150" s="259">
        <f t="shared" si="136"/>
        <v>1270</v>
      </c>
      <c r="Y150" s="259">
        <f t="shared" si="136"/>
        <v>904</v>
      </c>
      <c r="Z150" s="259">
        <f t="shared" si="136"/>
        <v>539</v>
      </c>
      <c r="AA150" s="267">
        <f>(VLOOKUP(A150,Hshldprojections2014!$A$2:$AW$319,40, FALSE)-VLOOKUP(A150,Hshldprojections2014!$A$2:$AW$319,30, FALSE))/10</f>
        <v>1792.4</v>
      </c>
      <c r="AB150" s="267">
        <f>(VLOOKUP(A150,Hshldprojections2014!$A$2:$AW$319,41, FALSE)-VLOOKUP(A150,Hshldprojections2014!$A$2:$AW$319,31, FALSE))/10</f>
        <v>1754.7</v>
      </c>
      <c r="AC150" s="267">
        <f>(VLOOKUP(A150,Hshldprojections2014!$A$2:$AW$319,42, FALSE)-VLOOKUP(A150,Hshldprojections2014!$A$2:$AW$319,32, FALSE))/10</f>
        <v>1724.6</v>
      </c>
      <c r="AD150" s="267">
        <f>IF(IndividualLATest!$J$7=2014,(VLOOKUP($A150,Hshldprojections2014!$A$2:$AY$326,43,FALSE)-VLOOKUP($A150,Hshldprojections2014!$A$2:$AY$326,33,FALSE))/10,IF(IndividualLATest!$J$7=2016,(VLOOKUP($A150,Hshldprojections2016!$A$1:$AQ$322,33,FALSE)-VLOOKUP($A150,Hshldprojections2016!$A$1:$AQ$322,23,FALSE))/10,(VLOOKUP($A150,Hshldprojections2018!$A$1:$AQ$327,33,FALSE)-VLOOKUP($A150,Hshldprojections2018!$A$1:$AQ$327,23,FALSE))/10))</f>
        <v>721.4</v>
      </c>
      <c r="AE150" s="267">
        <f>IF(IndividualLATest!$J$7=2014,(VLOOKUP($A150,Hshldprojections2014!$A$2:$AY$326,44,FALSE)-VLOOKUP($A150,Hshldprojections2014!$A$2:$AY$326,34,FALSE))/10,IF(IndividualLATest!$J$7=2016,(VLOOKUP($A150,Hshldprojections2016!$A$1:$AQ$322,34,FALSE)-VLOOKUP($A150,Hshldprojections2016!$A$1:$AQ$322,24,FALSE))/10,(VLOOKUP($A150,Hshldprojections2018!$A$1:$AQ$327,34,FALSE)-VLOOKUP($A150,Hshldprojections2018!$A$1:$AQ$327,24,FALSE))/10))</f>
        <v>709.4</v>
      </c>
      <c r="AF150" s="267">
        <f>IF(IndividualLATest!$J$7=2014,(VLOOKUP($A150,Hshldprojections2014!$A$2:$AY$326,45,FALSE)-VLOOKUP($A150,Hshldprojections2014!$A$2:$AY$326,35,FALSE))/10,IF(IndividualLATest!$J$7=2016,(VLOOKUP($A150,Hshldprojections2016!$A$1:$AQ$322,35,FALSE)-VLOOKUP($A150,Hshldprojections2016!$A$1:$AQ$322,25,FALSE))/10,(VLOOKUP($A150,Hshldprojections2018!$A$1:$AQ$327,35,FALSE)-VLOOKUP($A150,Hshldprojections2018!$A$1:$AQ$327,25,FALSE))/10))</f>
        <v>711.3</v>
      </c>
      <c r="AG150" s="267">
        <f>IF(IndividualLATest!$J$7=2014,(VLOOKUP($A150,Hshldprojections2014!$A$2:$AY$326,46,FALSE)-VLOOKUP($A150,Hshldprojections2014!$A$2:$AY$326,36,FALSE))/10,IF(IndividualLATest!$J$7=2016,(VLOOKUP($A150,Hshldprojections2016!$A$1:$AQ$322,36,FALSE)-VLOOKUP($A150,Hshldprojections2016!$A$1:$AQ$322,26,FALSE))/10,(VLOOKUP($A150,Hshldprojections2018!$A$1:$AQ$327,36,FALSE)-VLOOKUP($A150,Hshldprojections2018!$A$1:$AQ$327,26,FALSE))/10))</f>
        <v>727.9</v>
      </c>
      <c r="AH150" s="267">
        <f>IF(IndividualLATest!$J$7=2014,(VLOOKUP($A150,Hshldprojections2014!$A$2:$AY$326,47,FALSE)-VLOOKUP($A150,Hshldprojections2014!$A$2:$AY$326,37,FALSE))/10,IF(IndividualLATest!$J$7=2016,(VLOOKUP($A150,Hshldprojections2016!$A$1:$AQ$322,37,FALSE)-VLOOKUP($A150,Hshldprojections2016!$A$1:$AQ$322,27,FALSE))/10,(VLOOKUP($A150,Hshldprojections2018!$A$1:$AQ$327,37,FALSE)-VLOOKUP($A150,Hshldprojections2018!$A$1:$AQ$327,27,FALSE))/10))</f>
        <v>752.7</v>
      </c>
      <c r="AI150" s="268">
        <f>VLOOKUP($A150,AffordabilityRatio!$A$2:$I$321,5,FALSE)</f>
        <v>14.7</v>
      </c>
      <c r="AJ150" s="268">
        <f>VLOOKUP($A150,AffordabilityRatio!$A$2:$I$321,6,FALSE)</f>
        <v>14.5</v>
      </c>
      <c r="AK150" s="268">
        <f>VLOOKUP($A150,AffordabilityRatio!$A$2:$I$321,7,FALSE)</f>
        <v>14.29</v>
      </c>
      <c r="AL150" s="268">
        <f>IF((VLOOKUP($A150,AffordabilityRatio!$A$2:$I$321,8,FALSE))="",AK150,VLOOKUP($A150,AffordabilityRatio!$A$2:$I$321,8,FALSE))</f>
        <v>14.64</v>
      </c>
      <c r="AM150" s="268">
        <f>IF((VLOOKUP($A150,AffordabilityRatio!$A$2:$I$321,9,FALSE))="",AL150,VLOOKUP($A150,AffordabilityRatio!$A$2:$I$321,9,FALSE))</f>
        <v>15.63</v>
      </c>
      <c r="AN150" s="268">
        <f>IF((VLOOKUP($A150,AffordabilityRatio!$A$2:$I$321,9,FALSE))="",AM150,VLOOKUP($A150,AffordabilityRatio!$A$2:$I$321,9,FALSE))</f>
        <v>15.63</v>
      </c>
      <c r="AO150" s="268">
        <f>IF((VLOOKUP($A150,AffordabilityRatio!$A$2:$I$321,9,FALSE))="",AN150,VLOOKUP($A150,AffordabilityRatio!$A$2:$I$321,9,FALSE))</f>
        <v>15.63</v>
      </c>
      <c r="AP150" s="268">
        <f>IF((VLOOKUP($A150,AffordabilityRatio!$A$2:$I$321,9,FALSE))="",AO150,VLOOKUP($A150,AffordabilityRatio!$A$2:$I$321,9,FALSE))</f>
        <v>15.63</v>
      </c>
      <c r="AQ150" s="267">
        <f t="shared" si="152"/>
        <v>2991</v>
      </c>
      <c r="AR150" s="267">
        <f t="shared" si="153"/>
        <v>2906</v>
      </c>
      <c r="AS150" s="267">
        <f t="shared" si="154"/>
        <v>2834</v>
      </c>
      <c r="AT150" s="267">
        <f t="shared" si="155"/>
        <v>1201</v>
      </c>
      <c r="AU150" s="267">
        <f t="shared" si="156"/>
        <v>1225</v>
      </c>
      <c r="AV150" s="267">
        <f t="shared" si="157"/>
        <v>1228</v>
      </c>
      <c r="AW150" s="267">
        <f t="shared" si="158"/>
        <v>1257</v>
      </c>
      <c r="AX150" s="267">
        <f t="shared" si="159"/>
        <v>1300</v>
      </c>
      <c r="AY150" s="267">
        <f t="shared" si="160"/>
        <v>1718.8266666666668</v>
      </c>
      <c r="AZ150" s="267">
        <f t="shared" si="161"/>
        <v>1718.8266666666668</v>
      </c>
      <c r="BA150" s="267">
        <f t="shared" si="162"/>
        <v>1718.8266666666668</v>
      </c>
      <c r="BB150" s="267">
        <f t="shared" si="163"/>
        <v>1201</v>
      </c>
      <c r="BC150" s="267">
        <f t="shared" si="164"/>
        <v>1225</v>
      </c>
      <c r="BD150" s="267">
        <f t="shared" si="165"/>
        <v>1228</v>
      </c>
      <c r="BE150" s="267">
        <f t="shared" si="166"/>
        <v>1257</v>
      </c>
      <c r="BF150" s="267">
        <f t="shared" si="167"/>
        <v>1300</v>
      </c>
      <c r="BG150" s="269">
        <f>AY150*VLOOKUP($B150,'Major Cities &amp; Towns'!$A$28:$B$345,2,FALSE)</f>
        <v>2320.4160000000002</v>
      </c>
      <c r="BH150" s="269">
        <f>AZ150*VLOOKUP($B150,'Major Cities &amp; Towns'!$A$28:$B$345,2,FALSE)</f>
        <v>2320.4160000000002</v>
      </c>
      <c r="BI150" s="269">
        <f>BA150*VLOOKUP($B150,'Major Cities &amp; Towns'!$A$28:$B$345,2,FALSE)</f>
        <v>2320.4160000000002</v>
      </c>
      <c r="BJ150" s="269">
        <f>BB150*VLOOKUP($B150,'Major Cities &amp; Towns'!$A$28:$B$345,2,FALSE)</f>
        <v>1621.3500000000001</v>
      </c>
      <c r="BK150" s="269">
        <f>BC150*VLOOKUP($B150,'Major Cities &amp; Towns'!$A$28:$B$345,2,FALSE)</f>
        <v>1653.75</v>
      </c>
      <c r="BL150" s="269">
        <f>BD150*VLOOKUP($B150,'Major Cities &amp; Towns'!$A$28:$B$345,2,FALSE)</f>
        <v>1657.8000000000002</v>
      </c>
      <c r="BM150" s="269">
        <f>BE150*VLOOKUP($B150,'Major Cities &amp; Towns'!$A$28:$B$345,2,FALSE)</f>
        <v>1696.95</v>
      </c>
      <c r="BN150" s="269">
        <f>BF150*VLOOKUP($B150,'Major Cities &amp; Towns'!$A$28:$B$345,2,FALSE)</f>
        <v>1755.0000000000002</v>
      </c>
      <c r="BO150" s="270">
        <f t="shared" si="168"/>
        <v>1227.7333333333333</v>
      </c>
      <c r="BP150" s="270">
        <f t="shared" si="169"/>
        <v>1227.7333333333333</v>
      </c>
      <c r="BQ150" s="270">
        <f t="shared" si="170"/>
        <v>1227.7333333333333</v>
      </c>
      <c r="BR150" s="270">
        <f t="shared" si="171"/>
        <v>1201</v>
      </c>
      <c r="BS150" s="270">
        <f t="shared" si="172"/>
        <v>1225</v>
      </c>
      <c r="BT150" s="270">
        <f t="shared" si="173"/>
        <v>1227.7333333333333</v>
      </c>
      <c r="BU150" s="270">
        <f t="shared" si="174"/>
        <v>1227.7333333333333</v>
      </c>
      <c r="BV150" s="270">
        <f t="shared" si="175"/>
        <v>1227.7333333333333</v>
      </c>
      <c r="BW150" s="39">
        <f>VLOOKUP($A150,NetAdditions!$A$2:$H$336,6,FALSE)</f>
        <v>1219</v>
      </c>
      <c r="BX150" s="39">
        <f>VLOOKUP($A150,NetAdditions!$A$2:$H$336,7,FALSE)</f>
        <v>1517</v>
      </c>
      <c r="BY150" s="39">
        <f>IF((VLOOKUP($C150,NetAdditions!$A$2:$H$336,8,FALSE))="",(AVERAGE(VLOOKUP($C150,NetAdditions!$A$2:$H$336,5,FALSE),VLOOKUP($C150,NetAdditions!$A$2:$H$336,6,FALSE),VLOOKUP($C150,NetAdditions!$A$2:$H$336,7,FALSE))),VLOOKUP($C150,NetAdditions!$A$2:$H$336,8,FALSE))</f>
        <v>1198</v>
      </c>
      <c r="BZ150" s="39">
        <f t="shared" si="176"/>
        <v>1311.3333333333333</v>
      </c>
      <c r="CA150" s="39">
        <f t="shared" si="177"/>
        <v>1342.1111111111111</v>
      </c>
      <c r="CB150" s="39">
        <f t="shared" si="178"/>
        <v>1283.8148148148148</v>
      </c>
      <c r="CC150" s="39">
        <f t="shared" si="179"/>
        <v>1312.4197530864196</v>
      </c>
      <c r="CD150" s="39">
        <f t="shared" si="180"/>
        <v>1312.7818930041151</v>
      </c>
      <c r="CE150" s="276">
        <f t="shared" si="137"/>
        <v>3683.2</v>
      </c>
      <c r="CF150" s="276">
        <f t="shared" si="138"/>
        <v>3656.4666666666667</v>
      </c>
      <c r="CG150" s="276">
        <f t="shared" si="139"/>
        <v>3653.7333333333336</v>
      </c>
      <c r="CH150" s="276">
        <f t="shared" si="140"/>
        <v>3653.7333333333336</v>
      </c>
      <c r="CI150" s="276">
        <f t="shared" si="141"/>
        <v>3680.4666666666672</v>
      </c>
      <c r="CJ150" s="276">
        <f t="shared" si="142"/>
        <v>3683.2</v>
      </c>
      <c r="CK150" s="276">
        <f t="shared" si="181"/>
        <v>3171.6444444444446</v>
      </c>
      <c r="CL150" s="276">
        <f t="shared" si="182"/>
        <v>3148.6240740740741</v>
      </c>
      <c r="CM150" s="276">
        <f t="shared" si="183"/>
        <v>3349.2555555555555</v>
      </c>
      <c r="CN150" s="276">
        <f t="shared" si="184"/>
        <v>3653.7333333333336</v>
      </c>
      <c r="CO150" s="276">
        <f t="shared" si="185"/>
        <v>3680.4666666666672</v>
      </c>
      <c r="CP150" s="276">
        <f t="shared" si="186"/>
        <v>3683.2</v>
      </c>
      <c r="CQ150" s="39">
        <f t="shared" si="143"/>
        <v>3934</v>
      </c>
      <c r="CR150" s="39">
        <f t="shared" si="144"/>
        <v>4026.333333333333</v>
      </c>
      <c r="CS150" s="277">
        <f t="shared" si="145"/>
        <v>3851.4444444444443</v>
      </c>
      <c r="CT150" s="39">
        <f t="shared" si="146"/>
        <v>3937.2592592592591</v>
      </c>
      <c r="CU150" s="39">
        <f t="shared" si="147"/>
        <v>3938.3456790123455</v>
      </c>
      <c r="CV150" s="39">
        <f t="shared" si="187"/>
        <v>3909.016460905349</v>
      </c>
      <c r="CW150" s="297">
        <f t="shared" si="148"/>
        <v>1.2403660211316947</v>
      </c>
      <c r="CX150" s="279" t="str">
        <f t="shared" si="188"/>
        <v>Pass</v>
      </c>
      <c r="CY150" s="278">
        <f t="shared" si="149"/>
        <v>1.2787596228099634</v>
      </c>
      <c r="CZ150" s="279" t="str">
        <f t="shared" si="189"/>
        <v>Pass</v>
      </c>
      <c r="DA150" s="278">
        <f t="shared" si="150"/>
        <v>1.1499404511118556</v>
      </c>
      <c r="DB150" s="292" t="str">
        <f t="shared" si="190"/>
        <v>Pass</v>
      </c>
      <c r="DC150" s="299">
        <f t="shared" si="191"/>
        <v>1.0775989652390046</v>
      </c>
      <c r="DD150" s="293" t="str">
        <f t="shared" si="192"/>
        <v>Pass</v>
      </c>
      <c r="DE150" s="299">
        <f t="shared" si="193"/>
        <v>1.070066933272686</v>
      </c>
      <c r="DF150" s="293" t="str">
        <f t="shared" si="194"/>
        <v>Pass</v>
      </c>
      <c r="DG150" s="299">
        <f t="shared" si="195"/>
        <v>1.0613098558061873</v>
      </c>
      <c r="DH150" s="293" t="str">
        <f t="shared" si="196"/>
        <v>Pass</v>
      </c>
    </row>
    <row r="151" spans="1:112" ht="15" thickTop="1" thickBot="1">
      <c r="A151" s="38" t="s">
        <v>412</v>
      </c>
      <c r="B151" s="38" t="s">
        <v>413</v>
      </c>
      <c r="C151" s="38" t="s">
        <v>412</v>
      </c>
      <c r="D151" s="38" t="s">
        <v>116</v>
      </c>
      <c r="E151" s="38" t="str">
        <f>VLOOKUP(C151,PoliticalControl!A:K,11,FALSE)</f>
        <v>NOC</v>
      </c>
      <c r="F151" s="38" t="str">
        <f>VLOOKUP(C151,UrbanRuralClassification!A:N,13,FALSE)</f>
        <v>Urban with Significant Rural (rural including hub towns 26-49%)</v>
      </c>
      <c r="G151" s="38" t="str">
        <f>VLOOKUP(C151,UrbanRuralClassification!A:N,14,FALSE)</f>
        <v>Urban with Significant Rural</v>
      </c>
      <c r="H151" s="258">
        <f>IF(ISBLANK((VLOOKUP($A151,'local-plan-data'!$C$1:$AD$566,27,FALSE)))=TRUE,"",VLOOKUP($A151,'local-plan-data'!$C$1:$AD$566,27,FALSE))</f>
        <v>44042</v>
      </c>
      <c r="I151" s="259">
        <f>VLOOKUP($A151,'local-plan-data'!$C$1:$AD$566,28,FALSE)</f>
        <v>522</v>
      </c>
      <c r="J151" s="260">
        <f t="shared" si="151"/>
        <v>522</v>
      </c>
      <c r="K151" s="259">
        <f t="shared" si="197"/>
        <v>522</v>
      </c>
      <c r="L151" s="259">
        <f t="shared" si="135"/>
        <v>522</v>
      </c>
      <c r="M151" s="259">
        <f t="shared" si="135"/>
        <v>522</v>
      </c>
      <c r="N151" s="259">
        <f t="shared" si="135"/>
        <v>522</v>
      </c>
      <c r="O151" s="259">
        <f t="shared" si="135"/>
        <v>522</v>
      </c>
      <c r="P151" s="259">
        <f t="shared" si="135"/>
        <v>522</v>
      </c>
      <c r="Q151" s="259">
        <f t="shared" si="135"/>
        <v>522</v>
      </c>
      <c r="R151" s="259">
        <f t="shared" si="135"/>
        <v>522</v>
      </c>
      <c r="S151" s="259">
        <f t="shared" si="198"/>
        <v>2677</v>
      </c>
      <c r="T151" s="259">
        <f t="shared" si="136"/>
        <v>2312</v>
      </c>
      <c r="U151" s="259">
        <f t="shared" si="136"/>
        <v>1946</v>
      </c>
      <c r="V151" s="259">
        <f t="shared" si="136"/>
        <v>1581</v>
      </c>
      <c r="W151" s="259">
        <f t="shared" si="136"/>
        <v>1216</v>
      </c>
      <c r="X151" s="259">
        <f t="shared" si="136"/>
        <v>851</v>
      </c>
      <c r="Y151" s="259">
        <f t="shared" si="136"/>
        <v>485</v>
      </c>
      <c r="Z151" s="259">
        <f t="shared" si="136"/>
        <v>120</v>
      </c>
      <c r="AA151" s="267">
        <f>(VLOOKUP(A151,Hshldprojections2014!$A$2:$AW$319,40, FALSE)-VLOOKUP(A151,Hshldprojections2014!$A$2:$AW$319,30, FALSE))/10</f>
        <v>372.1</v>
      </c>
      <c r="AB151" s="267">
        <f>(VLOOKUP(A151,Hshldprojections2014!$A$2:$AW$319,41, FALSE)-VLOOKUP(A151,Hshldprojections2014!$A$2:$AW$319,31, FALSE))/10</f>
        <v>370.8</v>
      </c>
      <c r="AC151" s="267">
        <f>(VLOOKUP(A151,Hshldprojections2014!$A$2:$AW$319,42, FALSE)-VLOOKUP(A151,Hshldprojections2014!$A$2:$AW$319,32, FALSE))/10</f>
        <v>371.6</v>
      </c>
      <c r="AD151" s="267">
        <f>IF(IndividualLATest!$J$7=2014,(VLOOKUP($A151,Hshldprojections2014!$A$2:$AY$326,43,FALSE)-VLOOKUP($A151,Hshldprojections2014!$A$2:$AY$326,33,FALSE))/10,IF(IndividualLATest!$J$7=2016,(VLOOKUP($A151,Hshldprojections2016!$A$1:$AQ$322,33,FALSE)-VLOOKUP($A151,Hshldprojections2016!$A$1:$AQ$322,23,FALSE))/10,(VLOOKUP($A151,Hshldprojections2018!$A$1:$AQ$327,33,FALSE)-VLOOKUP($A151,Hshldprojections2018!$A$1:$AQ$327,23,FALSE))/10))</f>
        <v>346.7</v>
      </c>
      <c r="AE151" s="267">
        <f>IF(IndividualLATest!$J$7=2014,(VLOOKUP($A151,Hshldprojections2014!$A$2:$AY$326,44,FALSE)-VLOOKUP($A151,Hshldprojections2014!$A$2:$AY$326,34,FALSE))/10,IF(IndividualLATest!$J$7=2016,(VLOOKUP($A151,Hshldprojections2016!$A$1:$AQ$322,34,FALSE)-VLOOKUP($A151,Hshldprojections2016!$A$1:$AQ$322,24,FALSE))/10,(VLOOKUP($A151,Hshldprojections2018!$A$1:$AQ$327,34,FALSE)-VLOOKUP($A151,Hshldprojections2018!$A$1:$AQ$327,24,FALSE))/10))</f>
        <v>344.5</v>
      </c>
      <c r="AF151" s="267">
        <f>IF(IndividualLATest!$J$7=2014,(VLOOKUP($A151,Hshldprojections2014!$A$2:$AY$326,45,FALSE)-VLOOKUP($A151,Hshldprojections2014!$A$2:$AY$326,35,FALSE))/10,IF(IndividualLATest!$J$7=2016,(VLOOKUP($A151,Hshldprojections2016!$A$1:$AQ$322,35,FALSE)-VLOOKUP($A151,Hshldprojections2016!$A$1:$AQ$322,25,FALSE))/10,(VLOOKUP($A151,Hshldprojections2018!$A$1:$AQ$327,35,FALSE)-VLOOKUP($A151,Hshldprojections2018!$A$1:$AQ$327,25,FALSE))/10))</f>
        <v>343.6</v>
      </c>
      <c r="AG151" s="267">
        <f>IF(IndividualLATest!$J$7=2014,(VLOOKUP($A151,Hshldprojections2014!$A$2:$AY$326,46,FALSE)-VLOOKUP($A151,Hshldprojections2014!$A$2:$AY$326,36,FALSE))/10,IF(IndividualLATest!$J$7=2016,(VLOOKUP($A151,Hshldprojections2016!$A$1:$AQ$322,36,FALSE)-VLOOKUP($A151,Hshldprojections2016!$A$1:$AQ$322,26,FALSE))/10,(VLOOKUP($A151,Hshldprojections2018!$A$1:$AQ$327,36,FALSE)-VLOOKUP($A151,Hshldprojections2018!$A$1:$AQ$327,26,FALSE))/10))</f>
        <v>338.5</v>
      </c>
      <c r="AH151" s="267">
        <f>IF(IndividualLATest!$J$7=2014,(VLOOKUP($A151,Hshldprojections2014!$A$2:$AY$326,47,FALSE)-VLOOKUP($A151,Hshldprojections2014!$A$2:$AY$326,37,FALSE))/10,IF(IndividualLATest!$J$7=2016,(VLOOKUP($A151,Hshldprojections2016!$A$1:$AQ$322,37,FALSE)-VLOOKUP($A151,Hshldprojections2016!$A$1:$AQ$322,27,FALSE))/10,(VLOOKUP($A151,Hshldprojections2018!$A$1:$AQ$327,37,FALSE)-VLOOKUP($A151,Hshldprojections2018!$A$1:$AQ$327,27,FALSE))/10))</f>
        <v>333.8</v>
      </c>
      <c r="AI151" s="268">
        <f>VLOOKUP($A151,AffordabilityRatio!$A$2:$I$321,5,FALSE)</f>
        <v>5.42</v>
      </c>
      <c r="AJ151" s="268">
        <f>VLOOKUP($A151,AffordabilityRatio!$A$2:$I$321,6,FALSE)</f>
        <v>5.72</v>
      </c>
      <c r="AK151" s="268">
        <f>VLOOKUP($A151,AffordabilityRatio!$A$2:$I$321,7,FALSE)</f>
        <v>5.67</v>
      </c>
      <c r="AL151" s="268">
        <f>IF((VLOOKUP($A151,AffordabilityRatio!$A$2:$I$321,8,FALSE))="",AK151,VLOOKUP($A151,AffordabilityRatio!$A$2:$I$321,8,FALSE))</f>
        <v>5.43</v>
      </c>
      <c r="AM151" s="268">
        <f>IF((VLOOKUP($A151,AffordabilityRatio!$A$2:$I$321,9,FALSE))="",AL151,VLOOKUP($A151,AffordabilityRatio!$A$2:$I$321,9,FALSE))</f>
        <v>6.34</v>
      </c>
      <c r="AN151" s="268">
        <f>IF((VLOOKUP($A151,AffordabilityRatio!$A$2:$I$321,9,FALSE))="",AM151,VLOOKUP($A151,AffordabilityRatio!$A$2:$I$321,9,FALSE))</f>
        <v>6.34</v>
      </c>
      <c r="AO151" s="268">
        <f>IF((VLOOKUP($A151,AffordabilityRatio!$A$2:$I$321,9,FALSE))="",AN151,VLOOKUP($A151,AffordabilityRatio!$A$2:$I$321,9,FALSE))</f>
        <v>6.34</v>
      </c>
      <c r="AP151" s="268">
        <f>IF((VLOOKUP($A151,AffordabilityRatio!$A$2:$I$321,9,FALSE))="",AO151,VLOOKUP($A151,AffordabilityRatio!$A$2:$I$321,9,FALSE))</f>
        <v>6.34</v>
      </c>
      <c r="AQ151" s="267">
        <f t="shared" si="152"/>
        <v>405</v>
      </c>
      <c r="AR151" s="267">
        <f t="shared" si="153"/>
        <v>411</v>
      </c>
      <c r="AS151" s="267">
        <f t="shared" si="154"/>
        <v>410</v>
      </c>
      <c r="AT151" s="267">
        <f t="shared" si="155"/>
        <v>378</v>
      </c>
      <c r="AU151" s="267">
        <f t="shared" si="156"/>
        <v>395</v>
      </c>
      <c r="AV151" s="267">
        <f t="shared" si="157"/>
        <v>394</v>
      </c>
      <c r="AW151" s="267">
        <f t="shared" si="158"/>
        <v>388</v>
      </c>
      <c r="AX151" s="267">
        <f t="shared" si="159"/>
        <v>383</v>
      </c>
      <c r="AY151" s="267">
        <f t="shared" si="160"/>
        <v>405</v>
      </c>
      <c r="AZ151" s="267">
        <f t="shared" si="161"/>
        <v>411</v>
      </c>
      <c r="BA151" s="267">
        <f t="shared" si="162"/>
        <v>410</v>
      </c>
      <c r="BB151" s="267">
        <f t="shared" si="163"/>
        <v>378</v>
      </c>
      <c r="BC151" s="267">
        <f t="shared" si="164"/>
        <v>395</v>
      </c>
      <c r="BD151" s="267">
        <f t="shared" si="165"/>
        <v>394</v>
      </c>
      <c r="BE151" s="267">
        <f t="shared" si="166"/>
        <v>388</v>
      </c>
      <c r="BF151" s="267">
        <f t="shared" si="167"/>
        <v>383</v>
      </c>
      <c r="BG151" s="269">
        <f>AY151*VLOOKUP($B151,'Major Cities &amp; Towns'!$A$28:$B$345,2,FALSE)</f>
        <v>405</v>
      </c>
      <c r="BH151" s="269">
        <f>AZ151*VLOOKUP($B151,'Major Cities &amp; Towns'!$A$28:$B$345,2,FALSE)</f>
        <v>411</v>
      </c>
      <c r="BI151" s="269">
        <f>BA151*VLOOKUP($B151,'Major Cities &amp; Towns'!$A$28:$B$345,2,FALSE)</f>
        <v>410</v>
      </c>
      <c r="BJ151" s="269">
        <f>BB151*VLOOKUP($B151,'Major Cities &amp; Towns'!$A$28:$B$345,2,FALSE)</f>
        <v>378</v>
      </c>
      <c r="BK151" s="269">
        <f>BC151*VLOOKUP($B151,'Major Cities &amp; Towns'!$A$28:$B$345,2,FALSE)</f>
        <v>395</v>
      </c>
      <c r="BL151" s="269">
        <f>BD151*VLOOKUP($B151,'Major Cities &amp; Towns'!$A$28:$B$345,2,FALSE)</f>
        <v>394</v>
      </c>
      <c r="BM151" s="269">
        <f>BE151*VLOOKUP($B151,'Major Cities &amp; Towns'!$A$28:$B$345,2,FALSE)</f>
        <v>388</v>
      </c>
      <c r="BN151" s="269">
        <f>BF151*VLOOKUP($B151,'Major Cities &amp; Towns'!$A$28:$B$345,2,FALSE)</f>
        <v>383</v>
      </c>
      <c r="BO151" s="270">
        <f t="shared" si="168"/>
        <v>405</v>
      </c>
      <c r="BP151" s="270">
        <f t="shared" si="169"/>
        <v>411</v>
      </c>
      <c r="BQ151" s="270">
        <f t="shared" si="170"/>
        <v>410</v>
      </c>
      <c r="BR151" s="270">
        <f t="shared" si="171"/>
        <v>378</v>
      </c>
      <c r="BS151" s="270">
        <f t="shared" si="172"/>
        <v>395</v>
      </c>
      <c r="BT151" s="270">
        <f t="shared" si="173"/>
        <v>394</v>
      </c>
      <c r="BU151" s="270">
        <f t="shared" si="174"/>
        <v>388</v>
      </c>
      <c r="BV151" s="270">
        <f t="shared" si="175"/>
        <v>383</v>
      </c>
      <c r="BW151" s="39">
        <f>VLOOKUP($A151,NetAdditions!$A$2:$H$336,6,FALSE)</f>
        <v>303</v>
      </c>
      <c r="BX151" s="39">
        <f>VLOOKUP($A151,NetAdditions!$A$2:$H$336,7,FALSE)</f>
        <v>701</v>
      </c>
      <c r="BY151" s="39">
        <f>IF((VLOOKUP($C151,NetAdditions!$A$2:$H$336,8,FALSE))="",(AVERAGE(VLOOKUP($C151,NetAdditions!$A$2:$H$336,5,FALSE),VLOOKUP($C151,NetAdditions!$A$2:$H$336,6,FALSE),VLOOKUP($C151,NetAdditions!$A$2:$H$336,7,FALSE))),VLOOKUP($C151,NetAdditions!$A$2:$H$336,8,FALSE))</f>
        <v>430</v>
      </c>
      <c r="BZ151" s="39">
        <f t="shared" si="176"/>
        <v>478</v>
      </c>
      <c r="CA151" s="39">
        <f t="shared" si="177"/>
        <v>536.33333333333337</v>
      </c>
      <c r="CB151" s="39">
        <f t="shared" si="178"/>
        <v>481.44444444444451</v>
      </c>
      <c r="CC151" s="39">
        <f t="shared" si="179"/>
        <v>498.59259259259261</v>
      </c>
      <c r="CD151" s="39">
        <f t="shared" si="180"/>
        <v>505.45679012345681</v>
      </c>
      <c r="CE151" s="276">
        <f t="shared" si="137"/>
        <v>1226</v>
      </c>
      <c r="CF151" s="276">
        <f t="shared" si="138"/>
        <v>1199</v>
      </c>
      <c r="CG151" s="276">
        <f t="shared" si="139"/>
        <v>1183</v>
      </c>
      <c r="CH151" s="276">
        <f t="shared" si="140"/>
        <v>1167</v>
      </c>
      <c r="CI151" s="276">
        <f t="shared" si="141"/>
        <v>1177</v>
      </c>
      <c r="CJ151" s="276">
        <f t="shared" si="142"/>
        <v>1165</v>
      </c>
      <c r="CK151" s="276">
        <f t="shared" si="181"/>
        <v>1055.7222222222222</v>
      </c>
      <c r="CL151" s="276">
        <f t="shared" si="182"/>
        <v>1032.4722222222222</v>
      </c>
      <c r="CM151" s="276">
        <f t="shared" si="183"/>
        <v>1084.4166666666665</v>
      </c>
      <c r="CN151" s="276">
        <f t="shared" si="184"/>
        <v>1167</v>
      </c>
      <c r="CO151" s="276">
        <f t="shared" si="185"/>
        <v>1177</v>
      </c>
      <c r="CP151" s="276">
        <f t="shared" si="186"/>
        <v>1165</v>
      </c>
      <c r="CQ151" s="39">
        <f t="shared" si="143"/>
        <v>1434</v>
      </c>
      <c r="CR151" s="39">
        <f t="shared" si="144"/>
        <v>1609</v>
      </c>
      <c r="CS151" s="277">
        <f t="shared" si="145"/>
        <v>1444.3333333333335</v>
      </c>
      <c r="CT151" s="39">
        <f t="shared" si="146"/>
        <v>1495.7777777777778</v>
      </c>
      <c r="CU151" s="39">
        <f t="shared" si="147"/>
        <v>1516.3703703703704</v>
      </c>
      <c r="CV151" s="39">
        <f t="shared" si="187"/>
        <v>1485.493827160494</v>
      </c>
      <c r="CW151" s="297">
        <f t="shared" si="148"/>
        <v>1.3583118454980794</v>
      </c>
      <c r="CX151" s="279" t="str">
        <f t="shared" si="188"/>
        <v>Pass</v>
      </c>
      <c r="CY151" s="278">
        <f t="shared" si="149"/>
        <v>1.5583954370577633</v>
      </c>
      <c r="CZ151" s="279" t="str">
        <f t="shared" si="189"/>
        <v>Pass</v>
      </c>
      <c r="DA151" s="278">
        <f t="shared" si="150"/>
        <v>1.3318988703604091</v>
      </c>
      <c r="DB151" s="292" t="str">
        <f t="shared" si="190"/>
        <v>Pass</v>
      </c>
      <c r="DC151" s="299">
        <f t="shared" si="191"/>
        <v>1.2817290298010093</v>
      </c>
      <c r="DD151" s="293" t="str">
        <f t="shared" si="192"/>
        <v>Pass</v>
      </c>
      <c r="DE151" s="299">
        <f t="shared" si="193"/>
        <v>1.2883350640359987</v>
      </c>
      <c r="DF151" s="293" t="str">
        <f t="shared" si="194"/>
        <v>Pass</v>
      </c>
      <c r="DG151" s="299">
        <f t="shared" si="195"/>
        <v>1.2751019975626559</v>
      </c>
      <c r="DH151" s="293" t="str">
        <f t="shared" si="196"/>
        <v>Pass</v>
      </c>
    </row>
    <row r="152" spans="1:112" ht="15" thickTop="1" thickBot="1">
      <c r="A152" s="38" t="s">
        <v>414</v>
      </c>
      <c r="B152" s="38" t="s">
        <v>415</v>
      </c>
      <c r="C152" s="38" t="s">
        <v>414</v>
      </c>
      <c r="D152" s="38" t="s">
        <v>136</v>
      </c>
      <c r="E152" s="38" t="str">
        <f>VLOOKUP(C152,PoliticalControl!A:K,11,FALSE)</f>
        <v>LAB</v>
      </c>
      <c r="F152" s="38" t="str">
        <f>VLOOKUP(C152,UrbanRuralClassification!A:N,13,FALSE)</f>
        <v>Urban with Major Conurbation</v>
      </c>
      <c r="G152" s="38" t="str">
        <f>VLOOKUP(C152,UrbanRuralClassification!A:N,14,FALSE)</f>
        <v>Predominantly Urban</v>
      </c>
      <c r="H152" s="258">
        <f>IF(ISBLANK((VLOOKUP($A152,'local-plan-data'!$C$1:$AD$566,27,FALSE)))=TRUE,"",VLOOKUP($A152,'local-plan-data'!$C$1:$AD$566,27,FALSE))</f>
        <v>41955</v>
      </c>
      <c r="I152" s="259">
        <f>VLOOKUP($A152,'local-plan-data'!$C$1:$AD$566,28,FALSE)</f>
        <v>4375</v>
      </c>
      <c r="J152" s="260">
        <f t="shared" si="151"/>
        <v>4375</v>
      </c>
      <c r="K152" s="259">
        <f t="shared" si="197"/>
        <v>4375</v>
      </c>
      <c r="L152" s="259">
        <f t="shared" si="135"/>
        <v>4375</v>
      </c>
      <c r="M152" s="259" t="str">
        <f t="shared" si="135"/>
        <v>-</v>
      </c>
      <c r="N152" s="259" t="str">
        <f t="shared" si="135"/>
        <v>-</v>
      </c>
      <c r="O152" s="259" t="str">
        <f t="shared" si="135"/>
        <v>-</v>
      </c>
      <c r="P152" s="259" t="str">
        <f t="shared" si="135"/>
        <v>-</v>
      </c>
      <c r="Q152" s="259" t="str">
        <f t="shared" si="135"/>
        <v>-</v>
      </c>
      <c r="R152" s="259" t="str">
        <f t="shared" si="135"/>
        <v>-</v>
      </c>
      <c r="S152" s="259">
        <f t="shared" si="198"/>
        <v>590</v>
      </c>
      <c r="T152" s="259">
        <f t="shared" si="136"/>
        <v>225</v>
      </c>
      <c r="U152" s="259">
        <f t="shared" si="136"/>
        <v>-141</v>
      </c>
      <c r="V152" s="259">
        <f t="shared" si="136"/>
        <v>-506</v>
      </c>
      <c r="W152" s="259">
        <f t="shared" si="136"/>
        <v>-871</v>
      </c>
      <c r="X152" s="259">
        <f t="shared" si="136"/>
        <v>-1236</v>
      </c>
      <c r="Y152" s="259">
        <f t="shared" si="136"/>
        <v>-1602</v>
      </c>
      <c r="Z152" s="259">
        <f t="shared" si="136"/>
        <v>-1967</v>
      </c>
      <c r="AA152" s="267">
        <f>(VLOOKUP(A152,Hshldprojections2014!$A$2:$AW$319,40, FALSE)-VLOOKUP(A152,Hshldprojections2014!$A$2:$AW$319,30, FALSE))/10</f>
        <v>2397.9</v>
      </c>
      <c r="AB152" s="267">
        <f>(VLOOKUP(A152,Hshldprojections2014!$A$2:$AW$319,41, FALSE)-VLOOKUP(A152,Hshldprojections2014!$A$2:$AW$319,31, FALSE))/10</f>
        <v>2422.8000000000002</v>
      </c>
      <c r="AC152" s="267">
        <f>(VLOOKUP(A152,Hshldprojections2014!$A$2:$AW$319,42, FALSE)-VLOOKUP(A152,Hshldprojections2014!$A$2:$AW$319,32, FALSE))/10</f>
        <v>2456.9</v>
      </c>
      <c r="AD152" s="267">
        <f>IF(IndividualLATest!$J$7=2014,(VLOOKUP($A152,Hshldprojections2014!$A$2:$AY$326,43,FALSE)-VLOOKUP($A152,Hshldprojections2014!$A$2:$AY$326,33,FALSE))/10,IF(IndividualLATest!$J$7=2016,(VLOOKUP($A152,Hshldprojections2016!$A$1:$AQ$322,33,FALSE)-VLOOKUP($A152,Hshldprojections2016!$A$1:$AQ$322,23,FALSE))/10,(VLOOKUP($A152,Hshldprojections2018!$A$1:$AQ$327,33,FALSE)-VLOOKUP($A152,Hshldprojections2018!$A$1:$AQ$327,23,FALSE))/10))</f>
        <v>994</v>
      </c>
      <c r="AE152" s="267">
        <f>IF(IndividualLATest!$J$7=2014,(VLOOKUP($A152,Hshldprojections2014!$A$2:$AY$326,44,FALSE)-VLOOKUP($A152,Hshldprojections2014!$A$2:$AY$326,34,FALSE))/10,IF(IndividualLATest!$J$7=2016,(VLOOKUP($A152,Hshldprojections2016!$A$1:$AQ$322,34,FALSE)-VLOOKUP($A152,Hshldprojections2016!$A$1:$AQ$322,24,FALSE))/10,(VLOOKUP($A152,Hshldprojections2018!$A$1:$AQ$327,34,FALSE)-VLOOKUP($A152,Hshldprojections2018!$A$1:$AQ$327,24,FALSE))/10))</f>
        <v>1038.2</v>
      </c>
      <c r="AF152" s="267">
        <f>IF(IndividualLATest!$J$7=2014,(VLOOKUP($A152,Hshldprojections2014!$A$2:$AY$326,45,FALSE)-VLOOKUP($A152,Hshldprojections2014!$A$2:$AY$326,35,FALSE))/10,IF(IndividualLATest!$J$7=2016,(VLOOKUP($A152,Hshldprojections2016!$A$1:$AQ$322,35,FALSE)-VLOOKUP($A152,Hshldprojections2016!$A$1:$AQ$322,25,FALSE))/10,(VLOOKUP($A152,Hshldprojections2018!$A$1:$AQ$327,35,FALSE)-VLOOKUP($A152,Hshldprojections2018!$A$1:$AQ$327,25,FALSE))/10))</f>
        <v>1084.4000000000001</v>
      </c>
      <c r="AG152" s="267">
        <f>IF(IndividualLATest!$J$7=2014,(VLOOKUP($A152,Hshldprojections2014!$A$2:$AY$326,46,FALSE)-VLOOKUP($A152,Hshldprojections2014!$A$2:$AY$326,36,FALSE))/10,IF(IndividualLATest!$J$7=2016,(VLOOKUP($A152,Hshldprojections2016!$A$1:$AQ$322,36,FALSE)-VLOOKUP($A152,Hshldprojections2016!$A$1:$AQ$322,26,FALSE))/10,(VLOOKUP($A152,Hshldprojections2018!$A$1:$AQ$327,36,FALSE)-VLOOKUP($A152,Hshldprojections2018!$A$1:$AQ$327,26,FALSE))/10))</f>
        <v>1122.8</v>
      </c>
      <c r="AH152" s="267">
        <f>IF(IndividualLATest!$J$7=2014,(VLOOKUP($A152,Hshldprojections2014!$A$2:$AY$326,47,FALSE)-VLOOKUP($A152,Hshldprojections2014!$A$2:$AY$326,37,FALSE))/10,IF(IndividualLATest!$J$7=2016,(VLOOKUP($A152,Hshldprojections2016!$A$1:$AQ$322,37,FALSE)-VLOOKUP($A152,Hshldprojections2016!$A$1:$AQ$322,27,FALSE))/10,(VLOOKUP($A152,Hshldprojections2018!$A$1:$AQ$327,37,FALSE)-VLOOKUP($A152,Hshldprojections2018!$A$1:$AQ$327,27,FALSE))/10))</f>
        <v>1163.5999999999999</v>
      </c>
      <c r="AI152" s="268">
        <f>VLOOKUP($A152,AffordabilityRatio!$A$2:$I$321,5,FALSE)</f>
        <v>6</v>
      </c>
      <c r="AJ152" s="268">
        <f>VLOOKUP($A152,AffordabilityRatio!$A$2:$I$321,6,FALSE)</f>
        <v>6.24</v>
      </c>
      <c r="AK152" s="268">
        <f>VLOOKUP($A152,AffordabilityRatio!$A$2:$I$321,7,FALSE)</f>
        <v>6.14</v>
      </c>
      <c r="AL152" s="268">
        <f>IF((VLOOKUP($A152,AffordabilityRatio!$A$2:$I$321,8,FALSE))="",AK152,VLOOKUP($A152,AffordabilityRatio!$A$2:$I$321,8,FALSE))</f>
        <v>6.36</v>
      </c>
      <c r="AM152" s="268">
        <f>IF((VLOOKUP($A152,AffordabilityRatio!$A$2:$I$321,9,FALSE))="",AL152,VLOOKUP($A152,AffordabilityRatio!$A$2:$I$321,9,FALSE))</f>
        <v>7.08</v>
      </c>
      <c r="AN152" s="268">
        <f>IF((VLOOKUP($A152,AffordabilityRatio!$A$2:$I$321,9,FALSE))="",AM152,VLOOKUP($A152,AffordabilityRatio!$A$2:$I$321,9,FALSE))</f>
        <v>7.08</v>
      </c>
      <c r="AO152" s="268">
        <f>IF((VLOOKUP($A152,AffordabilityRatio!$A$2:$I$321,9,FALSE))="",AN152,VLOOKUP($A152,AffordabilityRatio!$A$2:$I$321,9,FALSE))</f>
        <v>7.08</v>
      </c>
      <c r="AP152" s="268">
        <f>IF((VLOOKUP($A152,AffordabilityRatio!$A$2:$I$321,9,FALSE))="",AO152,VLOOKUP($A152,AffordabilityRatio!$A$2:$I$321,9,FALSE))</f>
        <v>7.08</v>
      </c>
      <c r="AQ152" s="267">
        <f t="shared" si="152"/>
        <v>2698</v>
      </c>
      <c r="AR152" s="267">
        <f t="shared" si="153"/>
        <v>2762</v>
      </c>
      <c r="AS152" s="267">
        <f t="shared" si="154"/>
        <v>2786</v>
      </c>
      <c r="AT152" s="267">
        <f t="shared" si="155"/>
        <v>1141</v>
      </c>
      <c r="AU152" s="267">
        <f t="shared" si="156"/>
        <v>1238</v>
      </c>
      <c r="AV152" s="267">
        <f t="shared" si="157"/>
        <v>1293</v>
      </c>
      <c r="AW152" s="267">
        <f t="shared" si="158"/>
        <v>1339</v>
      </c>
      <c r="AX152" s="267">
        <f t="shared" si="159"/>
        <v>1388</v>
      </c>
      <c r="AY152" s="267">
        <f t="shared" si="160"/>
        <v>2698</v>
      </c>
      <c r="AZ152" s="267">
        <f t="shared" si="161"/>
        <v>2762</v>
      </c>
      <c r="BA152" s="267">
        <f t="shared" si="162"/>
        <v>2786</v>
      </c>
      <c r="BB152" s="267">
        <f t="shared" si="163"/>
        <v>1141</v>
      </c>
      <c r="BC152" s="267">
        <f t="shared" si="164"/>
        <v>1238</v>
      </c>
      <c r="BD152" s="267">
        <f t="shared" si="165"/>
        <v>1293</v>
      </c>
      <c r="BE152" s="267">
        <f t="shared" si="166"/>
        <v>1339</v>
      </c>
      <c r="BF152" s="267">
        <f t="shared" si="167"/>
        <v>1388</v>
      </c>
      <c r="BG152" s="269">
        <f>AY152*VLOOKUP($B152,'Major Cities &amp; Towns'!$A$28:$B$345,2,FALSE)</f>
        <v>3642.3</v>
      </c>
      <c r="BH152" s="269">
        <f>AZ152*VLOOKUP($B152,'Major Cities &amp; Towns'!$A$28:$B$345,2,FALSE)</f>
        <v>3728.7000000000003</v>
      </c>
      <c r="BI152" s="269">
        <f>BA152*VLOOKUP($B152,'Major Cities &amp; Towns'!$A$28:$B$345,2,FALSE)</f>
        <v>3761.1000000000004</v>
      </c>
      <c r="BJ152" s="269">
        <f>BB152*VLOOKUP($B152,'Major Cities &amp; Towns'!$A$28:$B$345,2,FALSE)</f>
        <v>1540.3500000000001</v>
      </c>
      <c r="BK152" s="269">
        <f>BC152*VLOOKUP($B152,'Major Cities &amp; Towns'!$A$28:$B$345,2,FALSE)</f>
        <v>1671.3000000000002</v>
      </c>
      <c r="BL152" s="269">
        <f>BD152*VLOOKUP($B152,'Major Cities &amp; Towns'!$A$28:$B$345,2,FALSE)</f>
        <v>1745.5500000000002</v>
      </c>
      <c r="BM152" s="269">
        <f>BE152*VLOOKUP($B152,'Major Cities &amp; Towns'!$A$28:$B$345,2,FALSE)</f>
        <v>1807.65</v>
      </c>
      <c r="BN152" s="269">
        <f>BF152*VLOOKUP($B152,'Major Cities &amp; Towns'!$A$28:$B$345,2,FALSE)</f>
        <v>1873.8000000000002</v>
      </c>
      <c r="BO152" s="270">
        <f t="shared" si="168"/>
        <v>2698</v>
      </c>
      <c r="BP152" s="270">
        <f t="shared" si="169"/>
        <v>3357.91095890411</v>
      </c>
      <c r="BQ152" s="270">
        <f t="shared" si="170"/>
        <v>2786</v>
      </c>
      <c r="BR152" s="270">
        <f t="shared" si="171"/>
        <v>1141</v>
      </c>
      <c r="BS152" s="270">
        <f t="shared" si="172"/>
        <v>1238</v>
      </c>
      <c r="BT152" s="270">
        <f t="shared" si="173"/>
        <v>1293</v>
      </c>
      <c r="BU152" s="270">
        <f t="shared" si="174"/>
        <v>1339</v>
      </c>
      <c r="BV152" s="270">
        <f t="shared" si="175"/>
        <v>1388</v>
      </c>
      <c r="BW152" s="39">
        <f>VLOOKUP($A152,NetAdditions!$A$2:$H$336,6,FALSE)</f>
        <v>3427</v>
      </c>
      <c r="BX152" s="39">
        <f>VLOOKUP($A152,NetAdditions!$A$2:$H$336,7,FALSE)</f>
        <v>3333</v>
      </c>
      <c r="BY152" s="39">
        <f>IF((VLOOKUP($C152,NetAdditions!$A$2:$H$336,8,FALSE))="",(AVERAGE(VLOOKUP($C152,NetAdditions!$A$2:$H$336,5,FALSE),VLOOKUP($C152,NetAdditions!$A$2:$H$336,6,FALSE),VLOOKUP($C152,NetAdditions!$A$2:$H$336,7,FALSE))),VLOOKUP($C152,NetAdditions!$A$2:$H$336,8,FALSE))</f>
        <v>2950</v>
      </c>
      <c r="BZ152" s="39">
        <f t="shared" si="176"/>
        <v>3236.6666666666665</v>
      </c>
      <c r="CA152" s="39">
        <f t="shared" si="177"/>
        <v>3173.2222222222222</v>
      </c>
      <c r="CB152" s="39">
        <f t="shared" si="178"/>
        <v>3119.962962962963</v>
      </c>
      <c r="CC152" s="39">
        <f t="shared" si="179"/>
        <v>3176.6172839506175</v>
      </c>
      <c r="CD152" s="39">
        <f t="shared" si="180"/>
        <v>3156.6008230452676</v>
      </c>
      <c r="CE152" s="276">
        <f t="shared" si="137"/>
        <v>8841.9109589041109</v>
      </c>
      <c r="CF152" s="276">
        <f t="shared" si="138"/>
        <v>7284.91095890411</v>
      </c>
      <c r="CG152" s="276">
        <f t="shared" si="139"/>
        <v>5165</v>
      </c>
      <c r="CH152" s="276">
        <f t="shared" si="140"/>
        <v>3672</v>
      </c>
      <c r="CI152" s="276">
        <f t="shared" si="141"/>
        <v>3870</v>
      </c>
      <c r="CJ152" s="276">
        <f t="shared" si="142"/>
        <v>4020</v>
      </c>
      <c r="CK152" s="276">
        <f t="shared" si="181"/>
        <v>7613.8677701674296</v>
      </c>
      <c r="CL152" s="276">
        <f t="shared" si="182"/>
        <v>6273.1177701674287</v>
      </c>
      <c r="CM152" s="276">
        <f t="shared" si="183"/>
        <v>4734.583333333333</v>
      </c>
      <c r="CN152" s="276">
        <f t="shared" si="184"/>
        <v>3672</v>
      </c>
      <c r="CO152" s="276">
        <f t="shared" si="185"/>
        <v>3870</v>
      </c>
      <c r="CP152" s="276">
        <f t="shared" si="186"/>
        <v>4020</v>
      </c>
      <c r="CQ152" s="39">
        <f t="shared" si="143"/>
        <v>9710</v>
      </c>
      <c r="CR152" s="39">
        <f t="shared" si="144"/>
        <v>9519.6666666666661</v>
      </c>
      <c r="CS152" s="277">
        <f t="shared" si="145"/>
        <v>9359.8888888888887</v>
      </c>
      <c r="CT152" s="39">
        <f t="shared" si="146"/>
        <v>9529.8518518518522</v>
      </c>
      <c r="CU152" s="39">
        <f t="shared" si="147"/>
        <v>9469.8024691358023</v>
      </c>
      <c r="CV152" s="39">
        <f t="shared" si="187"/>
        <v>9453.1810699588477</v>
      </c>
      <c r="CW152" s="297">
        <f t="shared" si="148"/>
        <v>1.2753045223671484</v>
      </c>
      <c r="CX152" s="279" t="str">
        <f t="shared" si="188"/>
        <v>Pass</v>
      </c>
      <c r="CY152" s="278">
        <f t="shared" si="149"/>
        <v>1.5175335479812915</v>
      </c>
      <c r="CZ152" s="279" t="str">
        <f t="shared" si="189"/>
        <v>Pass</v>
      </c>
      <c r="DA152" s="278">
        <f t="shared" si="150"/>
        <v>1.9769192408108189</v>
      </c>
      <c r="DB152" s="292" t="str">
        <f t="shared" si="190"/>
        <v>Pass</v>
      </c>
      <c r="DC152" s="299">
        <f t="shared" si="191"/>
        <v>2.5952755587831842</v>
      </c>
      <c r="DD152" s="293" t="str">
        <f t="shared" si="192"/>
        <v>Pass</v>
      </c>
      <c r="DE152" s="299">
        <f t="shared" si="193"/>
        <v>2.4469773822056338</v>
      </c>
      <c r="DF152" s="293" t="str">
        <f t="shared" si="194"/>
        <v>Pass</v>
      </c>
      <c r="DG152" s="299">
        <f t="shared" si="195"/>
        <v>2.3515375795917532</v>
      </c>
      <c r="DH152" s="293" t="str">
        <f t="shared" si="196"/>
        <v>Pass</v>
      </c>
    </row>
    <row r="153" spans="1:112" ht="15" thickTop="1" thickBot="1">
      <c r="A153" s="38" t="s">
        <v>416</v>
      </c>
      <c r="B153" s="38" t="s">
        <v>417</v>
      </c>
      <c r="C153" s="38" t="s">
        <v>416</v>
      </c>
      <c r="D153" s="38" t="s">
        <v>119</v>
      </c>
      <c r="E153" s="38" t="str">
        <f>VLOOKUP(C153,PoliticalControl!A:K,11,FALSE)</f>
        <v>LAB</v>
      </c>
      <c r="F153" s="38" t="str">
        <f>VLOOKUP(C153,UrbanRuralClassification!A:N,13,FALSE)</f>
        <v>Urban with City and Town</v>
      </c>
      <c r="G153" s="38" t="str">
        <f>VLOOKUP(C153,UrbanRuralClassification!A:N,14,FALSE)</f>
        <v>Predominantly Urban</v>
      </c>
      <c r="H153" s="258">
        <f>IF(ISBLANK((VLOOKUP($A153,'local-plan-data'!$C$1:$AD$566,27,FALSE)))=TRUE,"",VLOOKUP($A153,'local-plan-data'!$C$1:$AD$566,27,FALSE))</f>
        <v>41809</v>
      </c>
      <c r="I153" s="259">
        <f>VLOOKUP($A153,'local-plan-data'!$C$1:$AD$566,28,FALSE)</f>
        <v>1280</v>
      </c>
      <c r="J153" s="260">
        <f t="shared" si="151"/>
        <v>1280</v>
      </c>
      <c r="K153" s="259">
        <f t="shared" si="197"/>
        <v>1280</v>
      </c>
      <c r="L153" s="259">
        <f t="shared" si="135"/>
        <v>1280</v>
      </c>
      <c r="M153" s="259" t="str">
        <f t="shared" si="135"/>
        <v>-</v>
      </c>
      <c r="N153" s="259" t="str">
        <f t="shared" si="135"/>
        <v>-</v>
      </c>
      <c r="O153" s="259" t="str">
        <f t="shared" si="135"/>
        <v>-</v>
      </c>
      <c r="P153" s="259" t="str">
        <f t="shared" si="135"/>
        <v>-</v>
      </c>
      <c r="Q153" s="259" t="str">
        <f t="shared" si="135"/>
        <v>-</v>
      </c>
      <c r="R153" s="259" t="str">
        <f t="shared" si="135"/>
        <v>-</v>
      </c>
      <c r="S153" s="259">
        <f t="shared" si="198"/>
        <v>444</v>
      </c>
      <c r="T153" s="259">
        <f t="shared" si="136"/>
        <v>79</v>
      </c>
      <c r="U153" s="259">
        <f t="shared" si="136"/>
        <v>-287</v>
      </c>
      <c r="V153" s="259">
        <f t="shared" si="136"/>
        <v>-652</v>
      </c>
      <c r="W153" s="259">
        <f t="shared" si="136"/>
        <v>-1017</v>
      </c>
      <c r="X153" s="259">
        <f t="shared" si="136"/>
        <v>-1382</v>
      </c>
      <c r="Y153" s="259">
        <f t="shared" si="136"/>
        <v>-1748</v>
      </c>
      <c r="Z153" s="259">
        <f t="shared" si="136"/>
        <v>-2113</v>
      </c>
      <c r="AA153" s="267">
        <f>(VLOOKUP(A153,Hshldprojections2014!$A$2:$AW$319,40, FALSE)-VLOOKUP(A153,Hshldprojections2014!$A$2:$AW$319,30, FALSE))/10</f>
        <v>1475.6</v>
      </c>
      <c r="AB153" s="267">
        <f>(VLOOKUP(A153,Hshldprojections2014!$A$2:$AW$319,41, FALSE)-VLOOKUP(A153,Hshldprojections2014!$A$2:$AW$319,31, FALSE))/10</f>
        <v>1474.8</v>
      </c>
      <c r="AC153" s="267">
        <f>(VLOOKUP(A153,Hshldprojections2014!$A$2:$AW$319,42, FALSE)-VLOOKUP(A153,Hshldprojections2014!$A$2:$AW$319,32, FALSE))/10</f>
        <v>1473.3</v>
      </c>
      <c r="AD153" s="267">
        <f>IF(IndividualLATest!$J$7=2014,(VLOOKUP($A153,Hshldprojections2014!$A$2:$AY$326,43,FALSE)-VLOOKUP($A153,Hshldprojections2014!$A$2:$AY$326,33,FALSE))/10,IF(IndividualLATest!$J$7=2016,(VLOOKUP($A153,Hshldprojections2016!$A$1:$AQ$322,33,FALSE)-VLOOKUP($A153,Hshldprojections2016!$A$1:$AQ$322,23,FALSE))/10,(VLOOKUP($A153,Hshldprojections2018!$A$1:$AQ$327,33,FALSE)-VLOOKUP($A153,Hshldprojections2018!$A$1:$AQ$327,23,FALSE))/10))</f>
        <v>770.9</v>
      </c>
      <c r="AE153" s="267">
        <f>IF(IndividualLATest!$J$7=2014,(VLOOKUP($A153,Hshldprojections2014!$A$2:$AY$326,44,FALSE)-VLOOKUP($A153,Hshldprojections2014!$A$2:$AY$326,34,FALSE))/10,IF(IndividualLATest!$J$7=2016,(VLOOKUP($A153,Hshldprojections2016!$A$1:$AQ$322,34,FALSE)-VLOOKUP($A153,Hshldprojections2016!$A$1:$AQ$322,24,FALSE))/10,(VLOOKUP($A153,Hshldprojections2018!$A$1:$AQ$327,34,FALSE)-VLOOKUP($A153,Hshldprojections2018!$A$1:$AQ$327,24,FALSE))/10))</f>
        <v>790.2</v>
      </c>
      <c r="AF153" s="267">
        <f>IF(IndividualLATest!$J$7=2014,(VLOOKUP($A153,Hshldprojections2014!$A$2:$AY$326,45,FALSE)-VLOOKUP($A153,Hshldprojections2014!$A$2:$AY$326,35,FALSE))/10,IF(IndividualLATest!$J$7=2016,(VLOOKUP($A153,Hshldprojections2016!$A$1:$AQ$322,35,FALSE)-VLOOKUP($A153,Hshldprojections2016!$A$1:$AQ$322,25,FALSE))/10,(VLOOKUP($A153,Hshldprojections2018!$A$1:$AQ$327,35,FALSE)-VLOOKUP($A153,Hshldprojections2018!$A$1:$AQ$327,25,FALSE))/10))</f>
        <v>798.4</v>
      </c>
      <c r="AG153" s="267">
        <f>IF(IndividualLATest!$J$7=2014,(VLOOKUP($A153,Hshldprojections2014!$A$2:$AY$326,46,FALSE)-VLOOKUP($A153,Hshldprojections2014!$A$2:$AY$326,36,FALSE))/10,IF(IndividualLATest!$J$7=2016,(VLOOKUP($A153,Hshldprojections2016!$A$1:$AQ$322,36,FALSE)-VLOOKUP($A153,Hshldprojections2016!$A$1:$AQ$322,26,FALSE))/10,(VLOOKUP($A153,Hshldprojections2018!$A$1:$AQ$327,36,FALSE)-VLOOKUP($A153,Hshldprojections2018!$A$1:$AQ$327,26,FALSE))/10))</f>
        <v>799.8</v>
      </c>
      <c r="AH153" s="267">
        <f>IF(IndividualLATest!$J$7=2014,(VLOOKUP($A153,Hshldprojections2014!$A$2:$AY$326,47,FALSE)-VLOOKUP($A153,Hshldprojections2014!$A$2:$AY$326,37,FALSE))/10,IF(IndividualLATest!$J$7=2016,(VLOOKUP($A153,Hshldprojections2016!$A$1:$AQ$322,37,FALSE)-VLOOKUP($A153,Hshldprojections2016!$A$1:$AQ$322,27,FALSE))/10,(VLOOKUP($A153,Hshldprojections2018!$A$1:$AQ$327,37,FALSE)-VLOOKUP($A153,Hshldprojections2018!$A$1:$AQ$327,27,FALSE))/10))</f>
        <v>802.2</v>
      </c>
      <c r="AI153" s="268">
        <f>VLOOKUP($A153,AffordabilityRatio!$A$2:$I$321,5,FALSE)</f>
        <v>6.03</v>
      </c>
      <c r="AJ153" s="268">
        <f>VLOOKUP($A153,AffordabilityRatio!$A$2:$I$321,6,FALSE)</f>
        <v>6.62</v>
      </c>
      <c r="AK153" s="268">
        <f>VLOOKUP($A153,AffordabilityRatio!$A$2:$I$321,7,FALSE)</f>
        <v>6.82</v>
      </c>
      <c r="AL153" s="268">
        <f>IF((VLOOKUP($A153,AffordabilityRatio!$A$2:$I$321,8,FALSE))="",AK153,VLOOKUP($A153,AffordabilityRatio!$A$2:$I$321,8,FALSE))</f>
        <v>6.38</v>
      </c>
      <c r="AM153" s="268">
        <f>IF((VLOOKUP($A153,AffordabilityRatio!$A$2:$I$321,9,FALSE))="",AL153,VLOOKUP($A153,AffordabilityRatio!$A$2:$I$321,9,FALSE))</f>
        <v>7.57</v>
      </c>
      <c r="AN153" s="268">
        <f>IF((VLOOKUP($A153,AffordabilityRatio!$A$2:$I$321,9,FALSE))="",AM153,VLOOKUP($A153,AffordabilityRatio!$A$2:$I$321,9,FALSE))</f>
        <v>7.57</v>
      </c>
      <c r="AO153" s="268">
        <f>IF((VLOOKUP($A153,AffordabilityRatio!$A$2:$I$321,9,FALSE))="",AN153,VLOOKUP($A153,AffordabilityRatio!$A$2:$I$321,9,FALSE))</f>
        <v>7.57</v>
      </c>
      <c r="AP153" s="268">
        <f>IF((VLOOKUP($A153,AffordabilityRatio!$A$2:$I$321,9,FALSE))="",AO153,VLOOKUP($A153,AffordabilityRatio!$A$2:$I$321,9,FALSE))</f>
        <v>7.57</v>
      </c>
      <c r="AQ153" s="267">
        <f t="shared" si="152"/>
        <v>1663</v>
      </c>
      <c r="AR153" s="267">
        <f t="shared" si="153"/>
        <v>1716</v>
      </c>
      <c r="AS153" s="267">
        <f t="shared" si="154"/>
        <v>1733</v>
      </c>
      <c r="AT153" s="267">
        <f t="shared" si="155"/>
        <v>886</v>
      </c>
      <c r="AU153" s="267">
        <f t="shared" si="156"/>
        <v>967</v>
      </c>
      <c r="AV153" s="267">
        <f t="shared" si="157"/>
        <v>977</v>
      </c>
      <c r="AW153" s="267">
        <f t="shared" si="158"/>
        <v>978</v>
      </c>
      <c r="AX153" s="267">
        <f t="shared" si="159"/>
        <v>981</v>
      </c>
      <c r="AY153" s="267">
        <f t="shared" si="160"/>
        <v>1663</v>
      </c>
      <c r="AZ153" s="267">
        <f t="shared" si="161"/>
        <v>1716</v>
      </c>
      <c r="BA153" s="267">
        <f t="shared" si="162"/>
        <v>1733</v>
      </c>
      <c r="BB153" s="267">
        <f t="shared" si="163"/>
        <v>886</v>
      </c>
      <c r="BC153" s="267">
        <f t="shared" si="164"/>
        <v>967</v>
      </c>
      <c r="BD153" s="267">
        <f t="shared" si="165"/>
        <v>977</v>
      </c>
      <c r="BE153" s="267">
        <f t="shared" si="166"/>
        <v>978</v>
      </c>
      <c r="BF153" s="267">
        <f t="shared" si="167"/>
        <v>981</v>
      </c>
      <c r="BG153" s="269">
        <f>AY153*VLOOKUP($B153,'Major Cities &amp; Towns'!$A$28:$B$345,2,FALSE)</f>
        <v>2245.0500000000002</v>
      </c>
      <c r="BH153" s="269">
        <f>AZ153*VLOOKUP($B153,'Major Cities &amp; Towns'!$A$28:$B$345,2,FALSE)</f>
        <v>2316.6000000000004</v>
      </c>
      <c r="BI153" s="269">
        <f>BA153*VLOOKUP($B153,'Major Cities &amp; Towns'!$A$28:$B$345,2,FALSE)</f>
        <v>2339.5500000000002</v>
      </c>
      <c r="BJ153" s="269">
        <f>BB153*VLOOKUP($B153,'Major Cities &amp; Towns'!$A$28:$B$345,2,FALSE)</f>
        <v>1196.1000000000001</v>
      </c>
      <c r="BK153" s="269">
        <f>BC153*VLOOKUP($B153,'Major Cities &amp; Towns'!$A$28:$B$345,2,FALSE)</f>
        <v>1305.45</v>
      </c>
      <c r="BL153" s="269">
        <f>BD153*VLOOKUP($B153,'Major Cities &amp; Towns'!$A$28:$B$345,2,FALSE)</f>
        <v>1318.95</v>
      </c>
      <c r="BM153" s="269">
        <f>BE153*VLOOKUP($B153,'Major Cities &amp; Towns'!$A$28:$B$345,2,FALSE)</f>
        <v>1320.3000000000002</v>
      </c>
      <c r="BN153" s="269">
        <f>BF153*VLOOKUP($B153,'Major Cities &amp; Towns'!$A$28:$B$345,2,FALSE)</f>
        <v>1324.3500000000001</v>
      </c>
      <c r="BO153" s="270">
        <f t="shared" si="168"/>
        <v>1280</v>
      </c>
      <c r="BP153" s="270">
        <f t="shared" si="169"/>
        <v>1621.6328767123287</v>
      </c>
      <c r="BQ153" s="270">
        <f t="shared" si="170"/>
        <v>1733</v>
      </c>
      <c r="BR153" s="270">
        <f t="shared" si="171"/>
        <v>886</v>
      </c>
      <c r="BS153" s="270">
        <f t="shared" si="172"/>
        <v>967</v>
      </c>
      <c r="BT153" s="270">
        <f t="shared" si="173"/>
        <v>977</v>
      </c>
      <c r="BU153" s="270">
        <f t="shared" si="174"/>
        <v>978</v>
      </c>
      <c r="BV153" s="270">
        <f t="shared" si="175"/>
        <v>981</v>
      </c>
      <c r="BW153" s="39">
        <f>VLOOKUP($A153,NetAdditions!$A$2:$H$336,6,FALSE)</f>
        <v>1437</v>
      </c>
      <c r="BX153" s="39">
        <f>VLOOKUP($A153,NetAdditions!$A$2:$H$336,7,FALSE)</f>
        <v>1448</v>
      </c>
      <c r="BY153" s="39">
        <f>IF((VLOOKUP($C153,NetAdditions!$A$2:$H$336,8,FALSE))="",(AVERAGE(VLOOKUP($C153,NetAdditions!$A$2:$H$336,5,FALSE),VLOOKUP($C153,NetAdditions!$A$2:$H$336,6,FALSE),VLOOKUP($C153,NetAdditions!$A$2:$H$336,7,FALSE))),VLOOKUP($C153,NetAdditions!$A$2:$H$336,8,FALSE))</f>
        <v>1050</v>
      </c>
      <c r="BZ153" s="39">
        <f t="shared" si="176"/>
        <v>1311.6666666666667</v>
      </c>
      <c r="CA153" s="39">
        <f t="shared" si="177"/>
        <v>1269.8888888888889</v>
      </c>
      <c r="CB153" s="39">
        <f t="shared" si="178"/>
        <v>1210.5185185185185</v>
      </c>
      <c r="CC153" s="39">
        <f t="shared" si="179"/>
        <v>1264.0246913580247</v>
      </c>
      <c r="CD153" s="39">
        <f t="shared" si="180"/>
        <v>1248.1440329218105</v>
      </c>
      <c r="CE153" s="276">
        <f t="shared" si="137"/>
        <v>4634.6328767123287</v>
      </c>
      <c r="CF153" s="276">
        <f t="shared" si="138"/>
        <v>4240.6328767123287</v>
      </c>
      <c r="CG153" s="276">
        <f t="shared" si="139"/>
        <v>3586</v>
      </c>
      <c r="CH153" s="276">
        <f t="shared" si="140"/>
        <v>2830</v>
      </c>
      <c r="CI153" s="276">
        <f t="shared" si="141"/>
        <v>2922</v>
      </c>
      <c r="CJ153" s="276">
        <f t="shared" si="142"/>
        <v>2936</v>
      </c>
      <c r="CK153" s="276">
        <f t="shared" si="181"/>
        <v>3990.9338660578387</v>
      </c>
      <c r="CL153" s="276">
        <f t="shared" si="182"/>
        <v>3651.6560882800609</v>
      </c>
      <c r="CM153" s="276">
        <f t="shared" si="183"/>
        <v>3287.1666666666665</v>
      </c>
      <c r="CN153" s="276">
        <f t="shared" si="184"/>
        <v>2830</v>
      </c>
      <c r="CO153" s="276">
        <f t="shared" si="185"/>
        <v>2922</v>
      </c>
      <c r="CP153" s="276">
        <f t="shared" si="186"/>
        <v>2936</v>
      </c>
      <c r="CQ153" s="39">
        <f t="shared" si="143"/>
        <v>3935</v>
      </c>
      <c r="CR153" s="39">
        <f t="shared" si="144"/>
        <v>3809.666666666667</v>
      </c>
      <c r="CS153" s="277">
        <f t="shared" si="145"/>
        <v>3631.5555555555557</v>
      </c>
      <c r="CT153" s="39">
        <f t="shared" si="146"/>
        <v>3792.0740740740739</v>
      </c>
      <c r="CU153" s="39">
        <f t="shared" si="147"/>
        <v>3744.4320987654319</v>
      </c>
      <c r="CV153" s="39">
        <f t="shared" si="187"/>
        <v>3722.6872427983535</v>
      </c>
      <c r="CW153" s="297">
        <f t="shared" si="148"/>
        <v>0.98598476749175279</v>
      </c>
      <c r="CX153" s="279" t="str">
        <f t="shared" si="188"/>
        <v>Pass</v>
      </c>
      <c r="CY153" s="278">
        <f t="shared" si="149"/>
        <v>1.0432709364098494</v>
      </c>
      <c r="CZ153" s="279" t="str">
        <f t="shared" si="189"/>
        <v>Pass</v>
      </c>
      <c r="DA153" s="278">
        <f t="shared" si="150"/>
        <v>1.1047676993019995</v>
      </c>
      <c r="DB153" s="292" t="str">
        <f t="shared" si="190"/>
        <v>Pass</v>
      </c>
      <c r="DC153" s="299">
        <f t="shared" si="191"/>
        <v>1.3399555032063866</v>
      </c>
      <c r="DD153" s="293" t="str">
        <f t="shared" si="192"/>
        <v>Pass</v>
      </c>
      <c r="DE153" s="299">
        <f t="shared" si="193"/>
        <v>1.2814620461209554</v>
      </c>
      <c r="DF153" s="293" t="str">
        <f t="shared" si="194"/>
        <v>Pass</v>
      </c>
      <c r="DG153" s="299">
        <f t="shared" si="195"/>
        <v>1.2679452461847254</v>
      </c>
      <c r="DH153" s="293" t="str">
        <f t="shared" si="196"/>
        <v>Pass</v>
      </c>
    </row>
    <row r="154" spans="1:112" ht="15" thickTop="1" thickBot="1">
      <c r="A154" s="38" t="s">
        <v>418</v>
      </c>
      <c r="B154" s="38" t="s">
        <v>419</v>
      </c>
      <c r="C154" s="38" t="s">
        <v>418</v>
      </c>
      <c r="D154" s="38" t="s">
        <v>113</v>
      </c>
      <c r="E154" s="38" t="str">
        <f>VLOOKUP(C154,PoliticalControl!A:K,11,FALSE)</f>
        <v>NOC</v>
      </c>
      <c r="F154" s="38" t="str">
        <f>VLOOKUP(C154,UrbanRuralClassification!A:N,13,FALSE)</f>
        <v>Urban with Significant Rural (rural including hub towns 26-49%)</v>
      </c>
      <c r="G154" s="38" t="str">
        <f>VLOOKUP(C154,UrbanRuralClassification!A:N,14,FALSE)</f>
        <v>Urban with Significant Rural</v>
      </c>
      <c r="H154" s="258">
        <f>IF(ISBLANK((VLOOKUP($A154,'local-plan-data'!$C$1:$AD$566,27,FALSE)))=TRUE,"",VLOOKUP($A154,'local-plan-data'!$C$1:$AD$566,27,FALSE))</f>
        <v>42501</v>
      </c>
      <c r="I154" s="259">
        <f>VLOOKUP($A154,'local-plan-data'!$C$1:$AD$566,28,FALSE)</f>
        <v>274.7</v>
      </c>
      <c r="J154" s="260">
        <f t="shared" si="151"/>
        <v>274.7</v>
      </c>
      <c r="K154" s="259">
        <f t="shared" si="197"/>
        <v>274.7</v>
      </c>
      <c r="L154" s="259">
        <f t="shared" si="135"/>
        <v>274.7</v>
      </c>
      <c r="M154" s="259">
        <f t="shared" si="135"/>
        <v>274.7</v>
      </c>
      <c r="N154" s="259">
        <f t="shared" si="135"/>
        <v>274.7</v>
      </c>
      <c r="O154" s="259" t="str">
        <f t="shared" si="135"/>
        <v>-</v>
      </c>
      <c r="P154" s="259" t="str">
        <f t="shared" si="135"/>
        <v>-</v>
      </c>
      <c r="Q154" s="259" t="str">
        <f t="shared" si="135"/>
        <v>-</v>
      </c>
      <c r="R154" s="259" t="str">
        <f t="shared" si="135"/>
        <v>-</v>
      </c>
      <c r="S154" s="259">
        <f t="shared" si="198"/>
        <v>1136</v>
      </c>
      <c r="T154" s="259">
        <f t="shared" si="136"/>
        <v>771</v>
      </c>
      <c r="U154" s="259">
        <f t="shared" si="136"/>
        <v>405</v>
      </c>
      <c r="V154" s="259">
        <f t="shared" si="136"/>
        <v>40</v>
      </c>
      <c r="W154" s="259">
        <f t="shared" si="136"/>
        <v>-325</v>
      </c>
      <c r="X154" s="259">
        <f t="shared" si="136"/>
        <v>-690</v>
      </c>
      <c r="Y154" s="259">
        <f t="shared" si="136"/>
        <v>-1056</v>
      </c>
      <c r="Z154" s="259">
        <f t="shared" si="136"/>
        <v>-1421</v>
      </c>
      <c r="AA154" s="267">
        <f>(VLOOKUP(A154,Hshldprojections2014!$A$2:$AW$319,40, FALSE)-VLOOKUP(A154,Hshldprojections2014!$A$2:$AW$319,30, FALSE))/10</f>
        <v>548.1</v>
      </c>
      <c r="AB154" s="267">
        <f>(VLOOKUP(A154,Hshldprojections2014!$A$2:$AW$319,41, FALSE)-VLOOKUP(A154,Hshldprojections2014!$A$2:$AW$319,31, FALSE))/10</f>
        <v>552.1</v>
      </c>
      <c r="AC154" s="267">
        <f>(VLOOKUP(A154,Hshldprojections2014!$A$2:$AW$319,42, FALSE)-VLOOKUP(A154,Hshldprojections2014!$A$2:$AW$319,32, FALSE))/10</f>
        <v>556.79999999999995</v>
      </c>
      <c r="AD154" s="267">
        <f>IF(IndividualLATest!$J$7=2014,(VLOOKUP($A154,Hshldprojections2014!$A$2:$AY$326,43,FALSE)-VLOOKUP($A154,Hshldprojections2014!$A$2:$AY$326,33,FALSE))/10,IF(IndividualLATest!$J$7=2016,(VLOOKUP($A154,Hshldprojections2016!$A$1:$AQ$322,33,FALSE)-VLOOKUP($A154,Hshldprojections2016!$A$1:$AQ$322,23,FALSE))/10,(VLOOKUP($A154,Hshldprojections2018!$A$1:$AQ$327,33,FALSE)-VLOOKUP($A154,Hshldprojections2018!$A$1:$AQ$327,23,FALSE))/10))</f>
        <v>369.2</v>
      </c>
      <c r="AE154" s="267">
        <f>IF(IndividualLATest!$J$7=2014,(VLOOKUP($A154,Hshldprojections2014!$A$2:$AY$326,44,FALSE)-VLOOKUP($A154,Hshldprojections2014!$A$2:$AY$326,34,FALSE))/10,IF(IndividualLATest!$J$7=2016,(VLOOKUP($A154,Hshldprojections2016!$A$1:$AQ$322,34,FALSE)-VLOOKUP($A154,Hshldprojections2016!$A$1:$AQ$322,24,FALSE))/10,(VLOOKUP($A154,Hshldprojections2018!$A$1:$AQ$327,34,FALSE)-VLOOKUP($A154,Hshldprojections2018!$A$1:$AQ$327,24,FALSE))/10))</f>
        <v>360</v>
      </c>
      <c r="AF154" s="267">
        <f>IF(IndividualLATest!$J$7=2014,(VLOOKUP($A154,Hshldprojections2014!$A$2:$AY$326,45,FALSE)-VLOOKUP($A154,Hshldprojections2014!$A$2:$AY$326,35,FALSE))/10,IF(IndividualLATest!$J$7=2016,(VLOOKUP($A154,Hshldprojections2016!$A$1:$AQ$322,35,FALSE)-VLOOKUP($A154,Hshldprojections2016!$A$1:$AQ$322,25,FALSE))/10,(VLOOKUP($A154,Hshldprojections2018!$A$1:$AQ$327,35,FALSE)-VLOOKUP($A154,Hshldprojections2018!$A$1:$AQ$327,25,FALSE))/10))</f>
        <v>352.5</v>
      </c>
      <c r="AG154" s="267">
        <f>IF(IndividualLATest!$J$7=2014,(VLOOKUP($A154,Hshldprojections2014!$A$2:$AY$326,46,FALSE)-VLOOKUP($A154,Hshldprojections2014!$A$2:$AY$326,36,FALSE))/10,IF(IndividualLATest!$J$7=2016,(VLOOKUP($A154,Hshldprojections2016!$A$1:$AQ$322,36,FALSE)-VLOOKUP($A154,Hshldprojections2016!$A$1:$AQ$322,26,FALSE))/10,(VLOOKUP($A154,Hshldprojections2018!$A$1:$AQ$327,36,FALSE)-VLOOKUP($A154,Hshldprojections2018!$A$1:$AQ$327,26,FALSE))/10))</f>
        <v>345.9</v>
      </c>
      <c r="AH154" s="267">
        <f>IF(IndividualLATest!$J$7=2014,(VLOOKUP($A154,Hshldprojections2014!$A$2:$AY$326,47,FALSE)-VLOOKUP($A154,Hshldprojections2014!$A$2:$AY$326,37,FALSE))/10,IF(IndividualLATest!$J$7=2016,(VLOOKUP($A154,Hshldprojections2016!$A$1:$AQ$322,37,FALSE)-VLOOKUP($A154,Hshldprojections2016!$A$1:$AQ$322,27,FALSE))/10,(VLOOKUP($A154,Hshldprojections2018!$A$1:$AQ$327,37,FALSE)-VLOOKUP($A154,Hshldprojections2018!$A$1:$AQ$327,27,FALSE))/10))</f>
        <v>341.9</v>
      </c>
      <c r="AI154" s="268">
        <f>VLOOKUP($A154,AffordabilityRatio!$A$2:$I$321,5,FALSE)</f>
        <v>9.93</v>
      </c>
      <c r="AJ154" s="268">
        <f>VLOOKUP($A154,AffordabilityRatio!$A$2:$I$321,6,FALSE)</f>
        <v>9.8800000000000008</v>
      </c>
      <c r="AK154" s="268">
        <f>VLOOKUP($A154,AffordabilityRatio!$A$2:$I$321,7,FALSE)</f>
        <v>10.9</v>
      </c>
      <c r="AL154" s="268">
        <f>IF((VLOOKUP($A154,AffordabilityRatio!$A$2:$I$321,8,FALSE))="",AK154,VLOOKUP($A154,AffordabilityRatio!$A$2:$I$321,8,FALSE))</f>
        <v>11.35</v>
      </c>
      <c r="AM154" s="268">
        <f>IF((VLOOKUP($A154,AffordabilityRatio!$A$2:$I$321,9,FALSE))="",AL154,VLOOKUP($A154,AffordabilityRatio!$A$2:$I$321,9,FALSE))</f>
        <v>11.64</v>
      </c>
      <c r="AN154" s="268">
        <f>IF((VLOOKUP($A154,AffordabilityRatio!$A$2:$I$321,9,FALSE))="",AM154,VLOOKUP($A154,AffordabilityRatio!$A$2:$I$321,9,FALSE))</f>
        <v>11.64</v>
      </c>
      <c r="AO154" s="268">
        <f>IF((VLOOKUP($A154,AffordabilityRatio!$A$2:$I$321,9,FALSE))="",AN154,VLOOKUP($A154,AffordabilityRatio!$A$2:$I$321,9,FALSE))</f>
        <v>11.64</v>
      </c>
      <c r="AP154" s="268">
        <f>IF((VLOOKUP($A154,AffordabilityRatio!$A$2:$I$321,9,FALSE))="",AO154,VLOOKUP($A154,AffordabilityRatio!$A$2:$I$321,9,FALSE))</f>
        <v>11.64</v>
      </c>
      <c r="AQ154" s="267">
        <f t="shared" si="152"/>
        <v>751</v>
      </c>
      <c r="AR154" s="267">
        <f t="shared" si="153"/>
        <v>755</v>
      </c>
      <c r="AS154" s="267">
        <f t="shared" si="154"/>
        <v>797</v>
      </c>
      <c r="AT154" s="267">
        <f t="shared" si="155"/>
        <v>539</v>
      </c>
      <c r="AU154" s="267">
        <f t="shared" si="156"/>
        <v>532</v>
      </c>
      <c r="AV154" s="267">
        <f t="shared" si="157"/>
        <v>521</v>
      </c>
      <c r="AW154" s="267">
        <f t="shared" si="158"/>
        <v>511</v>
      </c>
      <c r="AX154" s="267">
        <f t="shared" si="159"/>
        <v>505</v>
      </c>
      <c r="AY154" s="267">
        <f t="shared" si="160"/>
        <v>384.58</v>
      </c>
      <c r="AZ154" s="267">
        <f t="shared" si="161"/>
        <v>384.58</v>
      </c>
      <c r="BA154" s="267">
        <f t="shared" si="162"/>
        <v>384.58</v>
      </c>
      <c r="BB154" s="267">
        <f t="shared" si="163"/>
        <v>384.58</v>
      </c>
      <c r="BC154" s="267">
        <f t="shared" si="164"/>
        <v>504</v>
      </c>
      <c r="BD154" s="267">
        <f t="shared" si="165"/>
        <v>493.5</v>
      </c>
      <c r="BE154" s="267">
        <f t="shared" si="166"/>
        <v>484.26</v>
      </c>
      <c r="BF154" s="267">
        <f t="shared" si="167"/>
        <v>478.65999999999997</v>
      </c>
      <c r="BG154" s="269">
        <f>AY154*VLOOKUP($B154,'Major Cities &amp; Towns'!$A$28:$B$345,2,FALSE)</f>
        <v>384.58</v>
      </c>
      <c r="BH154" s="269">
        <f>AZ154*VLOOKUP($B154,'Major Cities &amp; Towns'!$A$28:$B$345,2,FALSE)</f>
        <v>384.58</v>
      </c>
      <c r="BI154" s="269">
        <f>BA154*VLOOKUP($B154,'Major Cities &amp; Towns'!$A$28:$B$345,2,FALSE)</f>
        <v>384.58</v>
      </c>
      <c r="BJ154" s="269">
        <f>BB154*VLOOKUP($B154,'Major Cities &amp; Towns'!$A$28:$B$345,2,FALSE)</f>
        <v>384.58</v>
      </c>
      <c r="BK154" s="269">
        <f>BC154*VLOOKUP($B154,'Major Cities &amp; Towns'!$A$28:$B$345,2,FALSE)</f>
        <v>504</v>
      </c>
      <c r="BL154" s="269">
        <f>BD154*VLOOKUP($B154,'Major Cities &amp; Towns'!$A$28:$B$345,2,FALSE)</f>
        <v>493.5</v>
      </c>
      <c r="BM154" s="269">
        <f>BE154*VLOOKUP($B154,'Major Cities &amp; Towns'!$A$28:$B$345,2,FALSE)</f>
        <v>484.26</v>
      </c>
      <c r="BN154" s="269">
        <f>BF154*VLOOKUP($B154,'Major Cities &amp; Towns'!$A$28:$B$345,2,FALSE)</f>
        <v>478.65999999999997</v>
      </c>
      <c r="BO154" s="270">
        <f t="shared" si="168"/>
        <v>274.7</v>
      </c>
      <c r="BP154" s="270">
        <f t="shared" si="169"/>
        <v>274.7</v>
      </c>
      <c r="BQ154" s="270">
        <f t="shared" si="170"/>
        <v>274.7</v>
      </c>
      <c r="BR154" s="270">
        <f t="shared" si="171"/>
        <v>510.03561643835621</v>
      </c>
      <c r="BS154" s="270">
        <f t="shared" si="172"/>
        <v>532</v>
      </c>
      <c r="BT154" s="270">
        <f t="shared" si="173"/>
        <v>521</v>
      </c>
      <c r="BU154" s="270">
        <f t="shared" si="174"/>
        <v>511</v>
      </c>
      <c r="BV154" s="270">
        <f t="shared" si="175"/>
        <v>505</v>
      </c>
      <c r="BW154" s="39">
        <f>VLOOKUP($A154,NetAdditions!$A$2:$H$336,6,FALSE)</f>
        <v>354</v>
      </c>
      <c r="BX154" s="39">
        <f>VLOOKUP($A154,NetAdditions!$A$2:$H$336,7,FALSE)</f>
        <v>282</v>
      </c>
      <c r="BY154" s="39">
        <f>IF((VLOOKUP($C154,NetAdditions!$A$2:$H$336,8,FALSE))="",(AVERAGE(VLOOKUP($C154,NetAdditions!$A$2:$H$336,5,FALSE),VLOOKUP($C154,NetAdditions!$A$2:$H$336,6,FALSE),VLOOKUP($C154,NetAdditions!$A$2:$H$336,7,FALSE))),VLOOKUP($C154,NetAdditions!$A$2:$H$336,8,FALSE))</f>
        <v>309</v>
      </c>
      <c r="BZ154" s="39">
        <f t="shared" si="176"/>
        <v>315</v>
      </c>
      <c r="CA154" s="39">
        <f t="shared" si="177"/>
        <v>302</v>
      </c>
      <c r="CB154" s="39">
        <f t="shared" si="178"/>
        <v>308.66666666666669</v>
      </c>
      <c r="CC154" s="39">
        <f t="shared" si="179"/>
        <v>308.5555555555556</v>
      </c>
      <c r="CD154" s="39">
        <f t="shared" si="180"/>
        <v>306.40740740740745</v>
      </c>
      <c r="CE154" s="276">
        <f t="shared" si="137"/>
        <v>824.09999999999991</v>
      </c>
      <c r="CF154" s="276">
        <f t="shared" si="138"/>
        <v>1059.4356164383562</v>
      </c>
      <c r="CG154" s="276">
        <f t="shared" si="139"/>
        <v>1316.7356164383561</v>
      </c>
      <c r="CH154" s="276">
        <f t="shared" si="140"/>
        <v>1563.0356164383561</v>
      </c>
      <c r="CI154" s="276">
        <f t="shared" si="141"/>
        <v>1564</v>
      </c>
      <c r="CJ154" s="276">
        <f t="shared" si="142"/>
        <v>1537</v>
      </c>
      <c r="CK154" s="276">
        <f t="shared" si="181"/>
        <v>709.64166666666665</v>
      </c>
      <c r="CL154" s="276">
        <f t="shared" si="182"/>
        <v>912.29178082191788</v>
      </c>
      <c r="CM154" s="276">
        <f t="shared" si="183"/>
        <v>1207.0076484018264</v>
      </c>
      <c r="CN154" s="276">
        <f t="shared" si="184"/>
        <v>1563.0356164383561</v>
      </c>
      <c r="CO154" s="276">
        <f t="shared" si="185"/>
        <v>1564</v>
      </c>
      <c r="CP154" s="276">
        <f t="shared" si="186"/>
        <v>1537</v>
      </c>
      <c r="CQ154" s="39">
        <f t="shared" si="143"/>
        <v>945</v>
      </c>
      <c r="CR154" s="39">
        <f t="shared" si="144"/>
        <v>906</v>
      </c>
      <c r="CS154" s="277">
        <f t="shared" si="145"/>
        <v>926</v>
      </c>
      <c r="CT154" s="39">
        <f t="shared" si="146"/>
        <v>925.66666666666674</v>
      </c>
      <c r="CU154" s="39">
        <f t="shared" si="147"/>
        <v>919.2222222222224</v>
      </c>
      <c r="CV154" s="39">
        <f t="shared" si="187"/>
        <v>923.62962962962979</v>
      </c>
      <c r="CW154" s="297">
        <f t="shared" si="148"/>
        <v>1.3316579964066373</v>
      </c>
      <c r="CX154" s="279" t="str">
        <f t="shared" si="188"/>
        <v>Pass</v>
      </c>
      <c r="CY154" s="278">
        <f t="shared" si="149"/>
        <v>0.99310332400863088</v>
      </c>
      <c r="CZ154" s="279" t="str">
        <f t="shared" si="189"/>
        <v>Pass</v>
      </c>
      <c r="DA154" s="278">
        <f t="shared" si="150"/>
        <v>0.76718652216172556</v>
      </c>
      <c r="DB154" s="292" t="str">
        <f t="shared" si="190"/>
        <v>Buffer and Action Plan</v>
      </c>
      <c r="DC154" s="299">
        <f t="shared" si="191"/>
        <v>0.59222365564257362</v>
      </c>
      <c r="DD154" s="293" t="str">
        <f t="shared" si="192"/>
        <v>Presumption</v>
      </c>
      <c r="DE154" s="299">
        <f t="shared" si="193"/>
        <v>0.587737993748224</v>
      </c>
      <c r="DF154" s="293" t="str">
        <f t="shared" si="194"/>
        <v>Presumption</v>
      </c>
      <c r="DG154" s="299">
        <f t="shared" si="195"/>
        <v>0.60093014289500957</v>
      </c>
      <c r="DH154" s="293" t="str">
        <f t="shared" si="196"/>
        <v>Presumption</v>
      </c>
    </row>
    <row r="155" spans="1:112" customFormat="1" ht="15.5" thickTop="1" thickBot="1">
      <c r="A155" s="3" t="s">
        <v>420</v>
      </c>
      <c r="B155" s="3" t="s">
        <v>421</v>
      </c>
      <c r="C155" s="3" t="s">
        <v>420</v>
      </c>
      <c r="D155" s="3" t="s">
        <v>131</v>
      </c>
      <c r="E155" s="3" t="str">
        <f>VLOOKUP(C155,PoliticalControl!A:K,11,FALSE)</f>
        <v>LAB</v>
      </c>
      <c r="F155" s="3" t="str">
        <f>VLOOKUP(C155,UrbanRuralClassification!A:N,13,FALSE)</f>
        <v>Urban with Major Conurbation</v>
      </c>
      <c r="G155" s="3" t="str">
        <f>VLOOKUP(C155,UrbanRuralClassification!A:N,14,FALSE)</f>
        <v>Predominantly Urban</v>
      </c>
      <c r="H155" s="262">
        <f>IF(ISBLANK((VLOOKUP($A155,'local-plan-data'!$C$1:$AD$566,27,FALSE)))=TRUE,"",VLOOKUP($A155,'local-plan-data'!$C$1:$AD$566,27,FALSE))</f>
        <v>40723</v>
      </c>
      <c r="I155" s="263">
        <f>VLOOKUP($A155,'local-plan-data'!$C$1:$AD$566,28,FALSE)</f>
        <v>1068.5294117647059</v>
      </c>
      <c r="J155" s="264">
        <f t="shared" si="151"/>
        <v>1068.5294117647059</v>
      </c>
      <c r="K155" s="259" t="str">
        <f t="shared" si="197"/>
        <v>-</v>
      </c>
      <c r="L155" s="259" t="str">
        <f t="shared" si="135"/>
        <v>-</v>
      </c>
      <c r="M155" s="259" t="str">
        <f t="shared" si="135"/>
        <v>-</v>
      </c>
      <c r="N155" s="259" t="str">
        <f t="shared" si="135"/>
        <v>-</v>
      </c>
      <c r="O155" s="259" t="str">
        <f t="shared" si="135"/>
        <v>-</v>
      </c>
      <c r="P155" s="259" t="str">
        <f t="shared" si="135"/>
        <v>-</v>
      </c>
      <c r="Q155" s="259" t="str">
        <f t="shared" ref="L155:R192" si="199">IF(AND(ISNUMBER($H155),ISNUMBER($J155)),IF(($H155-Q$1&gt;0),$J155,IF(DATEDIF($H155,Q$1,"y")&lt;5,$J155,"-")),"-")</f>
        <v>-</v>
      </c>
      <c r="R155" s="259" t="str">
        <f t="shared" si="199"/>
        <v>-</v>
      </c>
      <c r="S155" s="259">
        <f t="shared" si="198"/>
        <v>-641</v>
      </c>
      <c r="T155" s="259">
        <f t="shared" si="136"/>
        <v>-1006</v>
      </c>
      <c r="U155" s="259">
        <f t="shared" si="136"/>
        <v>-1372</v>
      </c>
      <c r="V155" s="259">
        <f t="shared" si="136"/>
        <v>-1737</v>
      </c>
      <c r="W155" s="259">
        <f t="shared" si="136"/>
        <v>-2102</v>
      </c>
      <c r="X155" s="259">
        <f t="shared" si="136"/>
        <v>-2467</v>
      </c>
      <c r="Y155" s="259">
        <f t="shared" ref="T155:Z192" si="200">IFERROR((EDATE($H155,60))-Y$1,"-")</f>
        <v>-2833</v>
      </c>
      <c r="Z155" s="259">
        <f t="shared" si="200"/>
        <v>-3198</v>
      </c>
      <c r="AA155" s="267">
        <f>(VLOOKUP(A155,Hshldprojections2014!$A$2:$AW$319,40, FALSE)-VLOOKUP(A155,Hshldprojections2014!$A$2:$AW$319,30, FALSE))/10</f>
        <v>2240.8000000000002</v>
      </c>
      <c r="AB155" s="267">
        <f>(VLOOKUP(A155,Hshldprojections2014!$A$2:$AW$319,41, FALSE)-VLOOKUP(A155,Hshldprojections2014!$A$2:$AW$319,31, FALSE))/10</f>
        <v>2225.6</v>
      </c>
      <c r="AC155" s="267">
        <f>(VLOOKUP(A155,Hshldprojections2014!$A$2:$AW$319,42, FALSE)-VLOOKUP(A155,Hshldprojections2014!$A$2:$AW$319,32, FALSE))/10</f>
        <v>2210.4</v>
      </c>
      <c r="AD155" s="267">
        <f>IF(IndividualLATest!$J$7=2014,(VLOOKUP($A155,Hshldprojections2014!$A$2:$AY$326,43,FALSE)-VLOOKUP($A155,Hshldprojections2014!$A$2:$AY$326,33,FALSE))/10,IF(IndividualLATest!$J$7=2016,(VLOOKUP($A155,Hshldprojections2016!$A$1:$AQ$322,33,FALSE)-VLOOKUP($A155,Hshldprojections2016!$A$1:$AQ$322,23,FALSE))/10,(VLOOKUP($A155,Hshldprojections2018!$A$1:$AQ$327,33,FALSE)-VLOOKUP($A155,Hshldprojections2018!$A$1:$AQ$327,23,FALSE))/10))</f>
        <v>1163.4000000000001</v>
      </c>
      <c r="AE155" s="267">
        <f>IF(IndividualLATest!$J$7=2014,(VLOOKUP($A155,Hshldprojections2014!$A$2:$AY$326,44,FALSE)-VLOOKUP($A155,Hshldprojections2014!$A$2:$AY$326,34,FALSE))/10,IF(IndividualLATest!$J$7=2016,(VLOOKUP($A155,Hshldprojections2016!$A$1:$AQ$322,34,FALSE)-VLOOKUP($A155,Hshldprojections2016!$A$1:$AQ$322,24,FALSE))/10,(VLOOKUP($A155,Hshldprojections2018!$A$1:$AQ$327,34,FALSE)-VLOOKUP($A155,Hshldprojections2018!$A$1:$AQ$327,24,FALSE))/10))</f>
        <v>1129</v>
      </c>
      <c r="AF155" s="267">
        <f>IF(IndividualLATest!$J$7=2014,(VLOOKUP($A155,Hshldprojections2014!$A$2:$AY$326,45,FALSE)-VLOOKUP($A155,Hshldprojections2014!$A$2:$AY$326,35,FALSE))/10,IF(IndividualLATest!$J$7=2016,(VLOOKUP($A155,Hshldprojections2016!$A$1:$AQ$322,35,FALSE)-VLOOKUP($A155,Hshldprojections2016!$A$1:$AQ$322,25,FALSE))/10,(VLOOKUP($A155,Hshldprojections2018!$A$1:$AQ$327,35,FALSE)-VLOOKUP($A155,Hshldprojections2018!$A$1:$AQ$327,25,FALSE))/10))</f>
        <v>1102.4000000000001</v>
      </c>
      <c r="AG155" s="267">
        <f>IF(IndividualLATest!$J$7=2014,(VLOOKUP($A155,Hshldprojections2014!$A$2:$AY$326,46,FALSE)-VLOOKUP($A155,Hshldprojections2014!$A$2:$AY$326,36,FALSE))/10,IF(IndividualLATest!$J$7=2016,(VLOOKUP($A155,Hshldprojections2016!$A$1:$AQ$322,36,FALSE)-VLOOKUP($A155,Hshldprojections2016!$A$1:$AQ$322,26,FALSE))/10,(VLOOKUP($A155,Hshldprojections2018!$A$1:$AQ$327,36,FALSE)-VLOOKUP($A155,Hshldprojections2018!$A$1:$AQ$327,26,FALSE))/10))</f>
        <v>1081.5</v>
      </c>
      <c r="AH155" s="267">
        <f>IF(IndividualLATest!$J$7=2014,(VLOOKUP($A155,Hshldprojections2014!$A$2:$AY$326,47,FALSE)-VLOOKUP($A155,Hshldprojections2014!$A$2:$AY$326,37,FALSE))/10,IF(IndividualLATest!$J$7=2016,(VLOOKUP($A155,Hshldprojections2016!$A$1:$AQ$322,37,FALSE)-VLOOKUP($A155,Hshldprojections2016!$A$1:$AQ$322,27,FALSE))/10,(VLOOKUP($A155,Hshldprojections2018!$A$1:$AQ$327,37,FALSE)-VLOOKUP($A155,Hshldprojections2018!$A$1:$AQ$327,27,FALSE))/10))</f>
        <v>1065.7</v>
      </c>
      <c r="AI155" s="268">
        <f>VLOOKUP($A155,AffordabilityRatio!$A$2:$I$321,5,FALSE)</f>
        <v>12.61</v>
      </c>
      <c r="AJ155" s="268">
        <f>VLOOKUP($A155,AffordabilityRatio!$A$2:$I$321,6,FALSE)</f>
        <v>13.66</v>
      </c>
      <c r="AK155" s="268">
        <f>VLOOKUP($A155,AffordabilityRatio!$A$2:$I$321,7,FALSE)</f>
        <v>13.27</v>
      </c>
      <c r="AL155" s="268">
        <f>IF((VLOOKUP($A155,AffordabilityRatio!$A$2:$I$321,8,FALSE))="",AK155,VLOOKUP($A155,AffordabilityRatio!$A$2:$I$321,8,FALSE))</f>
        <v>12.5</v>
      </c>
      <c r="AM155" s="268">
        <f>IF((VLOOKUP($A155,AffordabilityRatio!$A$2:$I$321,9,FALSE))="",AL155,VLOOKUP($A155,AffordabilityRatio!$A$2:$I$321,9,FALSE))</f>
        <v>14.23</v>
      </c>
      <c r="AN155" s="268">
        <f>IF((VLOOKUP($A155,AffordabilityRatio!$A$2:$I$321,9,FALSE))="",AM155,VLOOKUP($A155,AffordabilityRatio!$A$2:$I$321,9,FALSE))</f>
        <v>14.23</v>
      </c>
      <c r="AO155" s="268">
        <f>IF((VLOOKUP($A155,AffordabilityRatio!$A$2:$I$321,9,FALSE))="",AN155,VLOOKUP($A155,AffordabilityRatio!$A$2:$I$321,9,FALSE))</f>
        <v>14.23</v>
      </c>
      <c r="AP155" s="268">
        <f>IF((VLOOKUP($A155,AffordabilityRatio!$A$2:$I$321,9,FALSE))="",AO155,VLOOKUP($A155,AffordabilityRatio!$A$2:$I$321,9,FALSE))</f>
        <v>14.23</v>
      </c>
      <c r="AQ155" s="267">
        <f t="shared" si="152"/>
        <v>3447</v>
      </c>
      <c r="AR155" s="267">
        <f t="shared" si="153"/>
        <v>3569</v>
      </c>
      <c r="AS155" s="267">
        <f t="shared" si="154"/>
        <v>3491</v>
      </c>
      <c r="AT155" s="267">
        <f t="shared" si="155"/>
        <v>1781</v>
      </c>
      <c r="AU155" s="267">
        <f t="shared" si="156"/>
        <v>1851</v>
      </c>
      <c r="AV155" s="267">
        <f t="shared" si="157"/>
        <v>1807</v>
      </c>
      <c r="AW155" s="267">
        <f t="shared" si="158"/>
        <v>1773</v>
      </c>
      <c r="AX155" s="267">
        <f t="shared" si="159"/>
        <v>1747</v>
      </c>
      <c r="AY155" s="267">
        <f t="shared" si="160"/>
        <v>3137.1200000000003</v>
      </c>
      <c r="AZ155" s="267">
        <f t="shared" si="161"/>
        <v>3115.84</v>
      </c>
      <c r="BA155" s="267">
        <f t="shared" si="162"/>
        <v>3094.5600000000004</v>
      </c>
      <c r="BB155" s="267">
        <f t="shared" si="163"/>
        <v>1628.7600000000002</v>
      </c>
      <c r="BC155" s="267">
        <f t="shared" si="164"/>
        <v>1580.6</v>
      </c>
      <c r="BD155" s="267">
        <f t="shared" si="165"/>
        <v>1543.3600000000001</v>
      </c>
      <c r="BE155" s="267">
        <f t="shared" si="166"/>
        <v>1514.1</v>
      </c>
      <c r="BF155" s="267">
        <f t="shared" si="167"/>
        <v>1495.9411764705883</v>
      </c>
      <c r="BG155" s="269">
        <f>AY155*VLOOKUP($B155,'Major Cities &amp; Towns'!$A$28:$B$345,2,FALSE)</f>
        <v>4235.112000000001</v>
      </c>
      <c r="BH155" s="269">
        <f>AZ155*VLOOKUP($B155,'Major Cities &amp; Towns'!$A$28:$B$345,2,FALSE)</f>
        <v>4206.3840000000009</v>
      </c>
      <c r="BI155" s="269">
        <f>BA155*VLOOKUP($B155,'Major Cities &amp; Towns'!$A$28:$B$345,2,FALSE)</f>
        <v>4177.6560000000009</v>
      </c>
      <c r="BJ155" s="269">
        <f>BB155*VLOOKUP($B155,'Major Cities &amp; Towns'!$A$28:$B$345,2,FALSE)</f>
        <v>2198.8260000000005</v>
      </c>
      <c r="BK155" s="269">
        <f>BC155*VLOOKUP($B155,'Major Cities &amp; Towns'!$A$28:$B$345,2,FALSE)</f>
        <v>2133.81</v>
      </c>
      <c r="BL155" s="269">
        <f>BD155*VLOOKUP($B155,'Major Cities &amp; Towns'!$A$28:$B$345,2,FALSE)</f>
        <v>2083.5360000000005</v>
      </c>
      <c r="BM155" s="269">
        <f>BE155*VLOOKUP($B155,'Major Cities &amp; Towns'!$A$28:$B$345,2,FALSE)</f>
        <v>2044.0350000000001</v>
      </c>
      <c r="BN155" s="269">
        <f>BF155*VLOOKUP($B155,'Major Cities &amp; Towns'!$A$28:$B$345,2,FALSE)</f>
        <v>2019.5205882352943</v>
      </c>
      <c r="BO155" s="270">
        <f t="shared" si="168"/>
        <v>3447</v>
      </c>
      <c r="BP155" s="270">
        <f t="shared" si="169"/>
        <v>3569</v>
      </c>
      <c r="BQ155" s="270">
        <f t="shared" si="170"/>
        <v>3491</v>
      </c>
      <c r="BR155" s="270">
        <f t="shared" si="171"/>
        <v>1781</v>
      </c>
      <c r="BS155" s="270">
        <f t="shared" si="172"/>
        <v>1851</v>
      </c>
      <c r="BT155" s="270">
        <f t="shared" si="173"/>
        <v>1807</v>
      </c>
      <c r="BU155" s="270">
        <f t="shared" si="174"/>
        <v>1773</v>
      </c>
      <c r="BV155" s="270">
        <f t="shared" si="175"/>
        <v>1747</v>
      </c>
      <c r="BW155" s="39">
        <f>VLOOKUP($A155,NetAdditions!$A$2:$H$336,6,FALSE)</f>
        <v>1628</v>
      </c>
      <c r="BX155" s="39">
        <f>VLOOKUP($A155,NetAdditions!$A$2:$H$336,7,FALSE)</f>
        <v>1251</v>
      </c>
      <c r="BY155" s="39">
        <f>IF((VLOOKUP($C155,NetAdditions!$A$2:$H$336,8,FALSE))="",(AVERAGE(VLOOKUP($C155,NetAdditions!$A$2:$H$336,5,FALSE),VLOOKUP($C155,NetAdditions!$A$2:$H$336,6,FALSE),VLOOKUP($C155,NetAdditions!$A$2:$H$336,7,FALSE))),VLOOKUP($C155,NetAdditions!$A$2:$H$336,8,FALSE))</f>
        <v>181</v>
      </c>
      <c r="BZ155" s="39">
        <f t="shared" si="176"/>
        <v>1020</v>
      </c>
      <c r="CA155" s="39">
        <f t="shared" si="177"/>
        <v>817.33333333333337</v>
      </c>
      <c r="CB155" s="39">
        <f t="shared" si="178"/>
        <v>672.77777777777783</v>
      </c>
      <c r="CC155" s="39">
        <f t="shared" si="179"/>
        <v>836.70370370370381</v>
      </c>
      <c r="CD155" s="39">
        <f t="shared" si="180"/>
        <v>775.60493827160508</v>
      </c>
      <c r="CE155" s="276">
        <f t="shared" si="137"/>
        <v>10507</v>
      </c>
      <c r="CF155" s="276">
        <f t="shared" si="138"/>
        <v>8841</v>
      </c>
      <c r="CG155" s="276">
        <f t="shared" si="139"/>
        <v>7123</v>
      </c>
      <c r="CH155" s="276">
        <f t="shared" si="140"/>
        <v>5439</v>
      </c>
      <c r="CI155" s="276">
        <f t="shared" si="141"/>
        <v>5431</v>
      </c>
      <c r="CJ155" s="276">
        <f t="shared" si="142"/>
        <v>5327</v>
      </c>
      <c r="CK155" s="276">
        <f t="shared" si="181"/>
        <v>9047.6944444444453</v>
      </c>
      <c r="CL155" s="276">
        <f t="shared" si="182"/>
        <v>7613.0833333333339</v>
      </c>
      <c r="CM155" s="276">
        <f t="shared" si="183"/>
        <v>6529.4166666666661</v>
      </c>
      <c r="CN155" s="276">
        <f t="shared" si="184"/>
        <v>5439</v>
      </c>
      <c r="CO155" s="276">
        <f t="shared" si="185"/>
        <v>5431</v>
      </c>
      <c r="CP155" s="276">
        <f t="shared" si="186"/>
        <v>5327</v>
      </c>
      <c r="CQ155" s="39">
        <f t="shared" si="143"/>
        <v>3060</v>
      </c>
      <c r="CR155" s="39">
        <f t="shared" si="144"/>
        <v>2452</v>
      </c>
      <c r="CS155" s="277">
        <f t="shared" si="145"/>
        <v>2018.3333333333335</v>
      </c>
      <c r="CT155" s="39">
        <f t="shared" si="146"/>
        <v>2510.1111111111113</v>
      </c>
      <c r="CU155" s="39">
        <f t="shared" si="147"/>
        <v>2326.8148148148152</v>
      </c>
      <c r="CV155" s="39">
        <f t="shared" si="187"/>
        <v>2285.0864197530868</v>
      </c>
      <c r="CW155" s="297">
        <f t="shared" si="148"/>
        <v>0.33820770791822347</v>
      </c>
      <c r="CX155" s="279" t="str">
        <f t="shared" si="188"/>
        <v>Buffer and Action Plan</v>
      </c>
      <c r="CY155" s="278">
        <f t="shared" si="149"/>
        <v>0.322077126000197</v>
      </c>
      <c r="CZ155" s="279" t="str">
        <f t="shared" si="189"/>
        <v>Presumption</v>
      </c>
      <c r="DA155" s="278">
        <f t="shared" si="150"/>
        <v>0.30911388204663515</v>
      </c>
      <c r="DB155" s="292" t="str">
        <f t="shared" si="190"/>
        <v>Presumption</v>
      </c>
      <c r="DC155" s="299">
        <f t="shared" si="191"/>
        <v>0.46150231864517582</v>
      </c>
      <c r="DD155" s="293" t="str">
        <f t="shared" si="192"/>
        <v>Presumption</v>
      </c>
      <c r="DE155" s="299">
        <f t="shared" si="193"/>
        <v>0.42843211467774173</v>
      </c>
      <c r="DF155" s="293" t="str">
        <f t="shared" si="194"/>
        <v>Presumption</v>
      </c>
      <c r="DG155" s="299">
        <f t="shared" si="195"/>
        <v>0.42896309738184474</v>
      </c>
      <c r="DH155" s="293" t="str">
        <f t="shared" si="196"/>
        <v>Presumption</v>
      </c>
    </row>
    <row r="156" spans="1:112" ht="15" thickTop="1" thickBot="1">
      <c r="A156" s="38" t="s">
        <v>422</v>
      </c>
      <c r="B156" s="38" t="s">
        <v>423</v>
      </c>
      <c r="C156" s="38" t="s">
        <v>422</v>
      </c>
      <c r="D156" s="38" t="s">
        <v>154</v>
      </c>
      <c r="E156" s="38" t="str">
        <f>VLOOKUP(C156,PoliticalControl!A:K,11,FALSE)</f>
        <v>CON</v>
      </c>
      <c r="F156" s="38" t="str">
        <f>VLOOKUP(C156,UrbanRuralClassification!A:N,13,FALSE)</f>
        <v>Urban with Significant Rural (rural including hub towns 26-49%)</v>
      </c>
      <c r="G156" s="38" t="str">
        <f>VLOOKUP(C156,UrbanRuralClassification!A:N,14,FALSE)</f>
        <v>Urban with Significant Rural</v>
      </c>
      <c r="H156" s="258">
        <f>IF(ISBLANK((VLOOKUP($A156,'local-plan-data'!$C$1:$AD$566,27,FALSE)))=TRUE,"",VLOOKUP($A156,'local-plan-data'!$C$1:$AD$566,27,FALSE))</f>
        <v>42052</v>
      </c>
      <c r="I156" s="259">
        <f>VLOOKUP($A156,'local-plan-data'!$C$1:$AD$566,28,FALSE)</f>
        <v>477.61904761904759</v>
      </c>
      <c r="J156" s="260">
        <f t="shared" si="151"/>
        <v>477.61904761904759</v>
      </c>
      <c r="K156" s="259">
        <f t="shared" si="197"/>
        <v>477.61904761904759</v>
      </c>
      <c r="L156" s="259">
        <f t="shared" si="199"/>
        <v>477.61904761904759</v>
      </c>
      <c r="M156" s="259" t="str">
        <f t="shared" si="199"/>
        <v>-</v>
      </c>
      <c r="N156" s="259" t="str">
        <f t="shared" si="199"/>
        <v>-</v>
      </c>
      <c r="O156" s="259" t="str">
        <f t="shared" si="199"/>
        <v>-</v>
      </c>
      <c r="P156" s="259" t="str">
        <f t="shared" si="199"/>
        <v>-</v>
      </c>
      <c r="Q156" s="259" t="str">
        <f t="shared" si="199"/>
        <v>-</v>
      </c>
      <c r="R156" s="259" t="str">
        <f t="shared" si="199"/>
        <v>-</v>
      </c>
      <c r="S156" s="259">
        <f t="shared" si="198"/>
        <v>687</v>
      </c>
      <c r="T156" s="259">
        <f t="shared" si="200"/>
        <v>322</v>
      </c>
      <c r="U156" s="259">
        <f t="shared" si="200"/>
        <v>-44</v>
      </c>
      <c r="V156" s="259">
        <f t="shared" si="200"/>
        <v>-409</v>
      </c>
      <c r="W156" s="259">
        <f t="shared" si="200"/>
        <v>-774</v>
      </c>
      <c r="X156" s="259">
        <f t="shared" si="200"/>
        <v>-1139</v>
      </c>
      <c r="Y156" s="259">
        <f t="shared" si="200"/>
        <v>-1505</v>
      </c>
      <c r="Z156" s="259">
        <f t="shared" si="200"/>
        <v>-1870</v>
      </c>
      <c r="AA156" s="267">
        <f>(VLOOKUP(A156,Hshldprojections2014!$A$2:$AW$319,40, FALSE)-VLOOKUP(A156,Hshldprojections2014!$A$2:$AW$319,30, FALSE))/10</f>
        <v>260.2</v>
      </c>
      <c r="AB156" s="267">
        <f>(VLOOKUP(A156,Hshldprojections2014!$A$2:$AW$319,41, FALSE)-VLOOKUP(A156,Hshldprojections2014!$A$2:$AW$319,31, FALSE))/10</f>
        <v>253.2</v>
      </c>
      <c r="AC156" s="267">
        <f>(VLOOKUP(A156,Hshldprojections2014!$A$2:$AW$319,42, FALSE)-VLOOKUP(A156,Hshldprojections2014!$A$2:$AW$319,32, FALSE))/10</f>
        <v>244.1</v>
      </c>
      <c r="AD156" s="267">
        <f>IF(IndividualLATest!$J$7=2014,(VLOOKUP($A156,Hshldprojections2014!$A$2:$AY$326,43,FALSE)-VLOOKUP($A156,Hshldprojections2014!$A$2:$AY$326,33,FALSE))/10,IF(IndividualLATest!$J$7=2016,(VLOOKUP($A156,Hshldprojections2016!$A$1:$AQ$322,33,FALSE)-VLOOKUP($A156,Hshldprojections2016!$A$1:$AQ$322,23,FALSE))/10,(VLOOKUP($A156,Hshldprojections2018!$A$1:$AQ$327,33,FALSE)-VLOOKUP($A156,Hshldprojections2018!$A$1:$AQ$327,23,FALSE))/10))</f>
        <v>191.9</v>
      </c>
      <c r="AE156" s="267">
        <f>IF(IndividualLATest!$J$7=2014,(VLOOKUP($A156,Hshldprojections2014!$A$2:$AY$326,44,FALSE)-VLOOKUP($A156,Hshldprojections2014!$A$2:$AY$326,34,FALSE))/10,IF(IndividualLATest!$J$7=2016,(VLOOKUP($A156,Hshldprojections2016!$A$1:$AQ$322,34,FALSE)-VLOOKUP($A156,Hshldprojections2016!$A$1:$AQ$322,24,FALSE))/10,(VLOOKUP($A156,Hshldprojections2018!$A$1:$AQ$327,34,FALSE)-VLOOKUP($A156,Hshldprojections2018!$A$1:$AQ$327,24,FALSE))/10))</f>
        <v>183.9</v>
      </c>
      <c r="AF156" s="267">
        <f>IF(IndividualLATest!$J$7=2014,(VLOOKUP($A156,Hshldprojections2014!$A$2:$AY$326,45,FALSE)-VLOOKUP($A156,Hshldprojections2014!$A$2:$AY$326,35,FALSE))/10,IF(IndividualLATest!$J$7=2016,(VLOOKUP($A156,Hshldprojections2016!$A$1:$AQ$322,35,FALSE)-VLOOKUP($A156,Hshldprojections2016!$A$1:$AQ$322,25,FALSE))/10,(VLOOKUP($A156,Hshldprojections2018!$A$1:$AQ$327,35,FALSE)-VLOOKUP($A156,Hshldprojections2018!$A$1:$AQ$327,25,FALSE))/10))</f>
        <v>178.8</v>
      </c>
      <c r="AG156" s="267">
        <f>IF(IndividualLATest!$J$7=2014,(VLOOKUP($A156,Hshldprojections2014!$A$2:$AY$326,46,FALSE)-VLOOKUP($A156,Hshldprojections2014!$A$2:$AY$326,36,FALSE))/10,IF(IndividualLATest!$J$7=2016,(VLOOKUP($A156,Hshldprojections2016!$A$1:$AQ$322,36,FALSE)-VLOOKUP($A156,Hshldprojections2016!$A$1:$AQ$322,26,FALSE))/10,(VLOOKUP($A156,Hshldprojections2018!$A$1:$AQ$327,36,FALSE)-VLOOKUP($A156,Hshldprojections2018!$A$1:$AQ$327,26,FALSE))/10))</f>
        <v>175.4</v>
      </c>
      <c r="AH156" s="267">
        <f>IF(IndividualLATest!$J$7=2014,(VLOOKUP($A156,Hshldprojections2014!$A$2:$AY$326,47,FALSE)-VLOOKUP($A156,Hshldprojections2014!$A$2:$AY$326,37,FALSE))/10,IF(IndividualLATest!$J$7=2016,(VLOOKUP($A156,Hshldprojections2016!$A$1:$AQ$322,37,FALSE)-VLOOKUP($A156,Hshldprojections2016!$A$1:$AQ$322,27,FALSE))/10,(VLOOKUP($A156,Hshldprojections2018!$A$1:$AQ$327,37,FALSE)-VLOOKUP($A156,Hshldprojections2018!$A$1:$AQ$327,27,FALSE))/10))</f>
        <v>174.9</v>
      </c>
      <c r="AI156" s="268">
        <f>VLOOKUP($A156,AffordabilityRatio!$A$2:$I$321,5,FALSE)</f>
        <v>8.4600000000000009</v>
      </c>
      <c r="AJ156" s="268">
        <f>VLOOKUP($A156,AffordabilityRatio!$A$2:$I$321,6,FALSE)</f>
        <v>8.92</v>
      </c>
      <c r="AK156" s="268">
        <f>VLOOKUP($A156,AffordabilityRatio!$A$2:$I$321,7,FALSE)</f>
        <v>9.07</v>
      </c>
      <c r="AL156" s="268">
        <f>IF((VLOOKUP($A156,AffordabilityRatio!$A$2:$I$321,8,FALSE))="",AK156,VLOOKUP($A156,AffordabilityRatio!$A$2:$I$321,8,FALSE))</f>
        <v>9.33</v>
      </c>
      <c r="AM156" s="268">
        <f>IF((VLOOKUP($A156,AffordabilityRatio!$A$2:$I$321,9,FALSE))="",AL156,VLOOKUP($A156,AffordabilityRatio!$A$2:$I$321,9,FALSE))</f>
        <v>10.6</v>
      </c>
      <c r="AN156" s="268">
        <f>IF((VLOOKUP($A156,AffordabilityRatio!$A$2:$I$321,9,FALSE))="",AM156,VLOOKUP($A156,AffordabilityRatio!$A$2:$I$321,9,FALSE))</f>
        <v>10.6</v>
      </c>
      <c r="AO156" s="268">
        <f>IF((VLOOKUP($A156,AffordabilityRatio!$A$2:$I$321,9,FALSE))="",AN156,VLOOKUP($A156,AffordabilityRatio!$A$2:$I$321,9,FALSE))</f>
        <v>10.6</v>
      </c>
      <c r="AP156" s="268">
        <f>IF((VLOOKUP($A156,AffordabilityRatio!$A$2:$I$321,9,FALSE))="",AO156,VLOOKUP($A156,AffordabilityRatio!$A$2:$I$321,9,FALSE))</f>
        <v>10.6</v>
      </c>
      <c r="AQ156" s="267">
        <f t="shared" si="152"/>
        <v>333</v>
      </c>
      <c r="AR156" s="267">
        <f t="shared" si="153"/>
        <v>331</v>
      </c>
      <c r="AS156" s="267">
        <f t="shared" si="154"/>
        <v>321</v>
      </c>
      <c r="AT156" s="267">
        <f t="shared" si="155"/>
        <v>256</v>
      </c>
      <c r="AU156" s="267">
        <f t="shared" si="156"/>
        <v>260</v>
      </c>
      <c r="AV156" s="267">
        <f t="shared" si="157"/>
        <v>253</v>
      </c>
      <c r="AW156" s="267">
        <f t="shared" si="158"/>
        <v>248</v>
      </c>
      <c r="AX156" s="267">
        <f t="shared" si="159"/>
        <v>247</v>
      </c>
      <c r="AY156" s="267">
        <f t="shared" si="160"/>
        <v>333</v>
      </c>
      <c r="AZ156" s="267">
        <f t="shared" si="161"/>
        <v>331</v>
      </c>
      <c r="BA156" s="267">
        <f t="shared" si="162"/>
        <v>321</v>
      </c>
      <c r="BB156" s="267">
        <f t="shared" si="163"/>
        <v>256</v>
      </c>
      <c r="BC156" s="267">
        <f t="shared" si="164"/>
        <v>260</v>
      </c>
      <c r="BD156" s="267">
        <f t="shared" si="165"/>
        <v>253</v>
      </c>
      <c r="BE156" s="267">
        <f t="shared" si="166"/>
        <v>248</v>
      </c>
      <c r="BF156" s="267">
        <f t="shared" si="167"/>
        <v>247</v>
      </c>
      <c r="BG156" s="269">
        <f>AY156*VLOOKUP($B156,'Major Cities &amp; Towns'!$A$28:$B$345,2,FALSE)</f>
        <v>333</v>
      </c>
      <c r="BH156" s="269">
        <f>AZ156*VLOOKUP($B156,'Major Cities &amp; Towns'!$A$28:$B$345,2,FALSE)</f>
        <v>331</v>
      </c>
      <c r="BI156" s="269">
        <f>BA156*VLOOKUP($B156,'Major Cities &amp; Towns'!$A$28:$B$345,2,FALSE)</f>
        <v>321</v>
      </c>
      <c r="BJ156" s="269">
        <f>BB156*VLOOKUP($B156,'Major Cities &amp; Towns'!$A$28:$B$345,2,FALSE)</f>
        <v>256</v>
      </c>
      <c r="BK156" s="269">
        <f>BC156*VLOOKUP($B156,'Major Cities &amp; Towns'!$A$28:$B$345,2,FALSE)</f>
        <v>260</v>
      </c>
      <c r="BL156" s="269">
        <f>BD156*VLOOKUP($B156,'Major Cities &amp; Towns'!$A$28:$B$345,2,FALSE)</f>
        <v>253</v>
      </c>
      <c r="BM156" s="269">
        <f>BE156*VLOOKUP($B156,'Major Cities &amp; Towns'!$A$28:$B$345,2,FALSE)</f>
        <v>248</v>
      </c>
      <c r="BN156" s="269">
        <f>BF156*VLOOKUP($B156,'Major Cities &amp; Towns'!$A$28:$B$345,2,FALSE)</f>
        <v>247</v>
      </c>
      <c r="BO156" s="270">
        <f t="shared" si="168"/>
        <v>333</v>
      </c>
      <c r="BP156" s="270">
        <f t="shared" si="169"/>
        <v>331.00000000000006</v>
      </c>
      <c r="BQ156" s="270">
        <f t="shared" si="170"/>
        <v>321</v>
      </c>
      <c r="BR156" s="270">
        <f t="shared" si="171"/>
        <v>256</v>
      </c>
      <c r="BS156" s="270">
        <f t="shared" si="172"/>
        <v>260</v>
      </c>
      <c r="BT156" s="270">
        <f t="shared" si="173"/>
        <v>253</v>
      </c>
      <c r="BU156" s="270">
        <f t="shared" si="174"/>
        <v>248</v>
      </c>
      <c r="BV156" s="270">
        <f t="shared" si="175"/>
        <v>247</v>
      </c>
      <c r="BW156" s="39">
        <f>VLOOKUP($A156,NetAdditions!$A$2:$H$336,6,FALSE)</f>
        <v>740</v>
      </c>
      <c r="BX156" s="39">
        <f>VLOOKUP($A156,NetAdditions!$A$2:$H$336,7,FALSE)</f>
        <v>581</v>
      </c>
      <c r="BY156" s="39">
        <f>IF((VLOOKUP($C156,NetAdditions!$A$2:$H$336,8,FALSE))="",(AVERAGE(VLOOKUP($C156,NetAdditions!$A$2:$H$336,5,FALSE),VLOOKUP($C156,NetAdditions!$A$2:$H$336,6,FALSE),VLOOKUP($C156,NetAdditions!$A$2:$H$336,7,FALSE))),VLOOKUP($C156,NetAdditions!$A$2:$H$336,8,FALSE))</f>
        <v>548</v>
      </c>
      <c r="BZ156" s="39">
        <f t="shared" si="176"/>
        <v>623</v>
      </c>
      <c r="CA156" s="39">
        <f t="shared" si="177"/>
        <v>584</v>
      </c>
      <c r="CB156" s="39">
        <f t="shared" si="178"/>
        <v>585</v>
      </c>
      <c r="CC156" s="39">
        <f t="shared" si="179"/>
        <v>597.33333333333337</v>
      </c>
      <c r="CD156" s="39">
        <f t="shared" si="180"/>
        <v>588.77777777777783</v>
      </c>
      <c r="CE156" s="276">
        <f t="shared" si="137"/>
        <v>985</v>
      </c>
      <c r="CF156" s="276">
        <f t="shared" si="138"/>
        <v>908</v>
      </c>
      <c r="CG156" s="276">
        <f t="shared" si="139"/>
        <v>837</v>
      </c>
      <c r="CH156" s="276">
        <f t="shared" si="140"/>
        <v>769</v>
      </c>
      <c r="CI156" s="276">
        <f t="shared" si="141"/>
        <v>761</v>
      </c>
      <c r="CJ156" s="276">
        <f t="shared" si="142"/>
        <v>748</v>
      </c>
      <c r="CK156" s="276">
        <f t="shared" si="181"/>
        <v>848.19444444444446</v>
      </c>
      <c r="CL156" s="276">
        <f t="shared" si="182"/>
        <v>781.88888888888891</v>
      </c>
      <c r="CM156" s="276">
        <f t="shared" si="183"/>
        <v>767.25</v>
      </c>
      <c r="CN156" s="276">
        <f t="shared" si="184"/>
        <v>769</v>
      </c>
      <c r="CO156" s="276">
        <f t="shared" si="185"/>
        <v>761</v>
      </c>
      <c r="CP156" s="276">
        <f t="shared" si="186"/>
        <v>748</v>
      </c>
      <c r="CQ156" s="39">
        <f t="shared" si="143"/>
        <v>1869</v>
      </c>
      <c r="CR156" s="39">
        <f t="shared" si="144"/>
        <v>1752</v>
      </c>
      <c r="CS156" s="277">
        <f t="shared" si="145"/>
        <v>1755</v>
      </c>
      <c r="CT156" s="39">
        <f t="shared" si="146"/>
        <v>1792</v>
      </c>
      <c r="CU156" s="39">
        <f t="shared" si="147"/>
        <v>1766.3333333333335</v>
      </c>
      <c r="CV156" s="39">
        <f t="shared" si="187"/>
        <v>1771.1111111111113</v>
      </c>
      <c r="CW156" s="297">
        <f t="shared" si="148"/>
        <v>2.2035041755362696</v>
      </c>
      <c r="CX156" s="279" t="str">
        <f t="shared" si="188"/>
        <v>Pass</v>
      </c>
      <c r="CY156" s="278">
        <f t="shared" si="149"/>
        <v>2.2407275827767514</v>
      </c>
      <c r="CZ156" s="279" t="str">
        <f t="shared" si="189"/>
        <v>Pass</v>
      </c>
      <c r="DA156" s="278">
        <f t="shared" si="150"/>
        <v>2.2873900293255134</v>
      </c>
      <c r="DB156" s="292" t="str">
        <f t="shared" si="190"/>
        <v>Pass</v>
      </c>
      <c r="DC156" s="299">
        <f t="shared" si="191"/>
        <v>2.330299089726918</v>
      </c>
      <c r="DD156" s="293" t="str">
        <f t="shared" si="192"/>
        <v>Pass</v>
      </c>
      <c r="DE156" s="299">
        <f t="shared" si="193"/>
        <v>2.3210687691633818</v>
      </c>
      <c r="DF156" s="293" t="str">
        <f t="shared" si="194"/>
        <v>Pass</v>
      </c>
      <c r="DG156" s="299">
        <f t="shared" si="195"/>
        <v>2.3677956030897209</v>
      </c>
      <c r="DH156" s="293" t="str">
        <f t="shared" si="196"/>
        <v>Pass</v>
      </c>
    </row>
    <row r="157" spans="1:112" ht="15" thickTop="1" thickBot="1">
      <c r="A157" s="38" t="s">
        <v>424</v>
      </c>
      <c r="B157" s="38" t="s">
        <v>425</v>
      </c>
      <c r="C157" s="38" t="s">
        <v>424</v>
      </c>
      <c r="D157" s="38" t="s">
        <v>119</v>
      </c>
      <c r="E157" s="38" t="str">
        <f>VLOOKUP(C157,PoliticalControl!A:K,11,FALSE)</f>
        <v>LAB</v>
      </c>
      <c r="F157" s="38" t="str">
        <f>VLOOKUP(C157,UrbanRuralClassification!A:N,13,FALSE)</f>
        <v>Urban with City and Town</v>
      </c>
      <c r="G157" s="38" t="str">
        <f>VLOOKUP(C157,UrbanRuralClassification!A:N,14,FALSE)</f>
        <v>Predominantly Urban</v>
      </c>
      <c r="H157" s="258">
        <f>IF(ISBLANK((VLOOKUP($A157,'local-plan-data'!$C$1:$AD$566,27,FALSE)))=TRUE,"",VLOOKUP($A157,'local-plan-data'!$C$1:$AD$566,27,FALSE))</f>
        <v>42849</v>
      </c>
      <c r="I157" s="259">
        <f>VLOOKUP($A157,'local-plan-data'!$C$1:$AD$566,28,FALSE)</f>
        <v>1540</v>
      </c>
      <c r="J157" s="260">
        <f t="shared" si="151"/>
        <v>1540</v>
      </c>
      <c r="K157" s="259">
        <f t="shared" si="197"/>
        <v>1540</v>
      </c>
      <c r="L157" s="259">
        <f t="shared" si="199"/>
        <v>1540</v>
      </c>
      <c r="M157" s="259">
        <f t="shared" si="199"/>
        <v>1540</v>
      </c>
      <c r="N157" s="259">
        <f t="shared" si="199"/>
        <v>1540</v>
      </c>
      <c r="O157" s="259">
        <f t="shared" si="199"/>
        <v>1540</v>
      </c>
      <c r="P157" s="259" t="str">
        <f t="shared" si="199"/>
        <v>-</v>
      </c>
      <c r="Q157" s="259" t="str">
        <f t="shared" si="199"/>
        <v>-</v>
      </c>
      <c r="R157" s="259" t="str">
        <f t="shared" si="199"/>
        <v>-</v>
      </c>
      <c r="S157" s="259">
        <f t="shared" si="198"/>
        <v>1484</v>
      </c>
      <c r="T157" s="259">
        <f t="shared" si="200"/>
        <v>1119</v>
      </c>
      <c r="U157" s="259">
        <f t="shared" si="200"/>
        <v>753</v>
      </c>
      <c r="V157" s="259">
        <f t="shared" si="200"/>
        <v>388</v>
      </c>
      <c r="W157" s="259">
        <f t="shared" si="200"/>
        <v>23</v>
      </c>
      <c r="X157" s="259">
        <f t="shared" si="200"/>
        <v>-342</v>
      </c>
      <c r="Y157" s="259">
        <f t="shared" si="200"/>
        <v>-708</v>
      </c>
      <c r="Z157" s="259">
        <f t="shared" si="200"/>
        <v>-1073</v>
      </c>
      <c r="AA157" s="267">
        <f>(VLOOKUP(A157,Hshldprojections2014!$A$2:$AW$319,40, FALSE)-VLOOKUP(A157,Hshldprojections2014!$A$2:$AW$319,30, FALSE))/10</f>
        <v>260.7</v>
      </c>
      <c r="AB157" s="267">
        <f>(VLOOKUP(A157,Hshldprojections2014!$A$2:$AW$319,41, FALSE)-VLOOKUP(A157,Hshldprojections2014!$A$2:$AW$319,31, FALSE))/10</f>
        <v>263.7</v>
      </c>
      <c r="AC157" s="267">
        <f>(VLOOKUP(A157,Hshldprojections2014!$A$2:$AW$319,42, FALSE)-VLOOKUP(A157,Hshldprojections2014!$A$2:$AW$319,32, FALSE))/10</f>
        <v>267.5</v>
      </c>
      <c r="AD157" s="267">
        <f>IF(IndividualLATest!$J$7=2014,(VLOOKUP($A157,Hshldprojections2014!$A$2:$AY$326,43,FALSE)-VLOOKUP($A157,Hshldprojections2014!$A$2:$AY$326,33,FALSE))/10,IF(IndividualLATest!$J$7=2016,(VLOOKUP($A157,Hshldprojections2016!$A$1:$AQ$322,33,FALSE)-VLOOKUP($A157,Hshldprojections2016!$A$1:$AQ$322,23,FALSE))/10,(VLOOKUP($A157,Hshldprojections2018!$A$1:$AQ$327,33,FALSE)-VLOOKUP($A157,Hshldprojections2018!$A$1:$AQ$327,23,FALSE))/10))</f>
        <v>146.19999999999999</v>
      </c>
      <c r="AE157" s="267">
        <f>IF(IndividualLATest!$J$7=2014,(VLOOKUP($A157,Hshldprojections2014!$A$2:$AY$326,44,FALSE)-VLOOKUP($A157,Hshldprojections2014!$A$2:$AY$326,34,FALSE))/10,IF(IndividualLATest!$J$7=2016,(VLOOKUP($A157,Hshldprojections2016!$A$1:$AQ$322,34,FALSE)-VLOOKUP($A157,Hshldprojections2016!$A$1:$AQ$322,24,FALSE))/10,(VLOOKUP($A157,Hshldprojections2018!$A$1:$AQ$327,34,FALSE)-VLOOKUP($A157,Hshldprojections2018!$A$1:$AQ$327,24,FALSE))/10))</f>
        <v>164.7</v>
      </c>
      <c r="AF157" s="267">
        <f>IF(IndividualLATest!$J$7=2014,(VLOOKUP($A157,Hshldprojections2014!$A$2:$AY$326,45,FALSE)-VLOOKUP($A157,Hshldprojections2014!$A$2:$AY$326,35,FALSE))/10,IF(IndividualLATest!$J$7=2016,(VLOOKUP($A157,Hshldprojections2016!$A$1:$AQ$322,35,FALSE)-VLOOKUP($A157,Hshldprojections2016!$A$1:$AQ$322,25,FALSE))/10,(VLOOKUP($A157,Hshldprojections2018!$A$1:$AQ$327,35,FALSE)-VLOOKUP($A157,Hshldprojections2018!$A$1:$AQ$327,25,FALSE))/10))</f>
        <v>172.7</v>
      </c>
      <c r="AG157" s="267">
        <f>IF(IndividualLATest!$J$7=2014,(VLOOKUP($A157,Hshldprojections2014!$A$2:$AY$326,46,FALSE)-VLOOKUP($A157,Hshldprojections2014!$A$2:$AY$326,36,FALSE))/10,IF(IndividualLATest!$J$7=2016,(VLOOKUP($A157,Hshldprojections2016!$A$1:$AQ$322,36,FALSE)-VLOOKUP($A157,Hshldprojections2016!$A$1:$AQ$322,26,FALSE))/10,(VLOOKUP($A157,Hshldprojections2018!$A$1:$AQ$327,36,FALSE)-VLOOKUP($A157,Hshldprojections2018!$A$1:$AQ$327,26,FALSE))/10))</f>
        <v>173.6</v>
      </c>
      <c r="AH157" s="267">
        <f>IF(IndividualLATest!$J$7=2014,(VLOOKUP($A157,Hshldprojections2014!$A$2:$AY$326,47,FALSE)-VLOOKUP($A157,Hshldprojections2014!$A$2:$AY$326,37,FALSE))/10,IF(IndividualLATest!$J$7=2016,(VLOOKUP($A157,Hshldprojections2016!$A$1:$AQ$322,37,FALSE)-VLOOKUP($A157,Hshldprojections2016!$A$1:$AQ$322,27,FALSE))/10,(VLOOKUP($A157,Hshldprojections2018!$A$1:$AQ$327,37,FALSE)-VLOOKUP($A157,Hshldprojections2018!$A$1:$AQ$327,27,FALSE))/10))</f>
        <v>175.7</v>
      </c>
      <c r="AI157" s="268">
        <f>VLOOKUP($A157,AffordabilityRatio!$A$2:$I$321,5,FALSE)</f>
        <v>5.54</v>
      </c>
      <c r="AJ157" s="268">
        <f>VLOOKUP($A157,AffordabilityRatio!$A$2:$I$321,6,FALSE)</f>
        <v>5.41</v>
      </c>
      <c r="AK157" s="268">
        <f>VLOOKUP($A157,AffordabilityRatio!$A$2:$I$321,7,FALSE)</f>
        <v>5.81</v>
      </c>
      <c r="AL157" s="268">
        <f>IF((VLOOKUP($A157,AffordabilityRatio!$A$2:$I$321,8,FALSE))="",AK157,VLOOKUP($A157,AffordabilityRatio!$A$2:$I$321,8,FALSE))</f>
        <v>5.56</v>
      </c>
      <c r="AM157" s="268">
        <f>IF((VLOOKUP($A157,AffordabilityRatio!$A$2:$I$321,9,FALSE))="",AL157,VLOOKUP($A157,AffordabilityRatio!$A$2:$I$321,9,FALSE))</f>
        <v>5.97</v>
      </c>
      <c r="AN157" s="268">
        <f>IF((VLOOKUP($A157,AffordabilityRatio!$A$2:$I$321,9,FALSE))="",AM157,VLOOKUP($A157,AffordabilityRatio!$A$2:$I$321,9,FALSE))</f>
        <v>5.97</v>
      </c>
      <c r="AO157" s="268">
        <f>IF((VLOOKUP($A157,AffordabilityRatio!$A$2:$I$321,9,FALSE))="",AN157,VLOOKUP($A157,AffordabilityRatio!$A$2:$I$321,9,FALSE))</f>
        <v>5.97</v>
      </c>
      <c r="AP157" s="268">
        <f>IF((VLOOKUP($A157,AffordabilityRatio!$A$2:$I$321,9,FALSE))="",AO157,VLOOKUP($A157,AffordabilityRatio!$A$2:$I$321,9,FALSE))</f>
        <v>5.97</v>
      </c>
      <c r="AQ157" s="267">
        <f t="shared" si="152"/>
        <v>286</v>
      </c>
      <c r="AR157" s="267">
        <f t="shared" si="153"/>
        <v>287</v>
      </c>
      <c r="AS157" s="267">
        <f t="shared" si="154"/>
        <v>298</v>
      </c>
      <c r="AT157" s="267">
        <f t="shared" si="155"/>
        <v>160</v>
      </c>
      <c r="AU157" s="267">
        <f t="shared" si="156"/>
        <v>185</v>
      </c>
      <c r="AV157" s="267">
        <f t="shared" si="157"/>
        <v>194</v>
      </c>
      <c r="AW157" s="267">
        <f t="shared" si="158"/>
        <v>195</v>
      </c>
      <c r="AX157" s="267">
        <f t="shared" si="159"/>
        <v>197</v>
      </c>
      <c r="AY157" s="267">
        <f t="shared" si="160"/>
        <v>286</v>
      </c>
      <c r="AZ157" s="267">
        <f t="shared" si="161"/>
        <v>287</v>
      </c>
      <c r="BA157" s="267">
        <f t="shared" si="162"/>
        <v>298</v>
      </c>
      <c r="BB157" s="267">
        <f t="shared" si="163"/>
        <v>160</v>
      </c>
      <c r="BC157" s="267">
        <f t="shared" si="164"/>
        <v>185</v>
      </c>
      <c r="BD157" s="267">
        <f t="shared" si="165"/>
        <v>194</v>
      </c>
      <c r="BE157" s="267">
        <f t="shared" si="166"/>
        <v>195</v>
      </c>
      <c r="BF157" s="267">
        <f t="shared" si="167"/>
        <v>197</v>
      </c>
      <c r="BG157" s="269">
        <f>AY157*VLOOKUP($B157,'Major Cities &amp; Towns'!$A$28:$B$345,2,FALSE)</f>
        <v>286</v>
      </c>
      <c r="BH157" s="269">
        <f>AZ157*VLOOKUP($B157,'Major Cities &amp; Towns'!$A$28:$B$345,2,FALSE)</f>
        <v>287</v>
      </c>
      <c r="BI157" s="269">
        <f>BA157*VLOOKUP($B157,'Major Cities &amp; Towns'!$A$28:$B$345,2,FALSE)</f>
        <v>298</v>
      </c>
      <c r="BJ157" s="269">
        <f>BB157*VLOOKUP($B157,'Major Cities &amp; Towns'!$A$28:$B$345,2,FALSE)</f>
        <v>160</v>
      </c>
      <c r="BK157" s="269">
        <f>BC157*VLOOKUP($B157,'Major Cities &amp; Towns'!$A$28:$B$345,2,FALSE)</f>
        <v>185</v>
      </c>
      <c r="BL157" s="269">
        <f>BD157*VLOOKUP($B157,'Major Cities &amp; Towns'!$A$28:$B$345,2,FALSE)</f>
        <v>194</v>
      </c>
      <c r="BM157" s="269">
        <f>BE157*VLOOKUP($B157,'Major Cities &amp; Towns'!$A$28:$B$345,2,FALSE)</f>
        <v>195</v>
      </c>
      <c r="BN157" s="269">
        <f>BF157*VLOOKUP($B157,'Major Cities &amp; Towns'!$A$28:$B$345,2,FALSE)</f>
        <v>197</v>
      </c>
      <c r="BO157" s="270">
        <f t="shared" si="168"/>
        <v>286</v>
      </c>
      <c r="BP157" s="270">
        <f t="shared" si="169"/>
        <v>287</v>
      </c>
      <c r="BQ157" s="270">
        <f t="shared" si="170"/>
        <v>298</v>
      </c>
      <c r="BR157" s="270">
        <f t="shared" si="171"/>
        <v>160</v>
      </c>
      <c r="BS157" s="270">
        <f t="shared" si="172"/>
        <v>185.00000000000003</v>
      </c>
      <c r="BT157" s="270">
        <f t="shared" si="173"/>
        <v>194</v>
      </c>
      <c r="BU157" s="270">
        <f t="shared" si="174"/>
        <v>195</v>
      </c>
      <c r="BV157" s="270">
        <f t="shared" si="175"/>
        <v>197</v>
      </c>
      <c r="BW157" s="39">
        <f>VLOOKUP($A157,NetAdditions!$A$2:$H$336,6,FALSE)</f>
        <v>366</v>
      </c>
      <c r="BX157" s="39">
        <f>VLOOKUP($A157,NetAdditions!$A$2:$H$336,7,FALSE)</f>
        <v>220</v>
      </c>
      <c r="BY157" s="39">
        <f>IF((VLOOKUP($C157,NetAdditions!$A$2:$H$336,8,FALSE))="",(AVERAGE(VLOOKUP($C157,NetAdditions!$A$2:$H$336,5,FALSE),VLOOKUP($C157,NetAdditions!$A$2:$H$336,6,FALSE),VLOOKUP($C157,NetAdditions!$A$2:$H$336,7,FALSE))),VLOOKUP($C157,NetAdditions!$A$2:$H$336,8,FALSE))</f>
        <v>171</v>
      </c>
      <c r="BZ157" s="39">
        <f t="shared" si="176"/>
        <v>252.33333333333334</v>
      </c>
      <c r="CA157" s="39">
        <f t="shared" si="177"/>
        <v>214.44444444444446</v>
      </c>
      <c r="CB157" s="39">
        <f t="shared" si="178"/>
        <v>212.59259259259261</v>
      </c>
      <c r="CC157" s="39">
        <f t="shared" si="179"/>
        <v>226.45679012345681</v>
      </c>
      <c r="CD157" s="39">
        <f t="shared" si="180"/>
        <v>217.83127572016463</v>
      </c>
      <c r="CE157" s="276">
        <f t="shared" si="137"/>
        <v>871</v>
      </c>
      <c r="CF157" s="276">
        <f t="shared" si="138"/>
        <v>745</v>
      </c>
      <c r="CG157" s="276">
        <f t="shared" si="139"/>
        <v>643</v>
      </c>
      <c r="CH157" s="276">
        <f t="shared" si="140"/>
        <v>539</v>
      </c>
      <c r="CI157" s="276">
        <f t="shared" si="141"/>
        <v>574</v>
      </c>
      <c r="CJ157" s="276">
        <f t="shared" si="142"/>
        <v>586</v>
      </c>
      <c r="CK157" s="276">
        <f t="shared" si="181"/>
        <v>750.02777777777783</v>
      </c>
      <c r="CL157" s="276">
        <f t="shared" si="182"/>
        <v>641.52777777777783</v>
      </c>
      <c r="CM157" s="276">
        <f t="shared" si="183"/>
        <v>589.41666666666663</v>
      </c>
      <c r="CN157" s="276">
        <f t="shared" si="184"/>
        <v>539</v>
      </c>
      <c r="CO157" s="276">
        <f t="shared" si="185"/>
        <v>574</v>
      </c>
      <c r="CP157" s="276">
        <f t="shared" si="186"/>
        <v>586</v>
      </c>
      <c r="CQ157" s="39">
        <f t="shared" si="143"/>
        <v>757</v>
      </c>
      <c r="CR157" s="39">
        <f t="shared" si="144"/>
        <v>643.33333333333337</v>
      </c>
      <c r="CS157" s="277">
        <f t="shared" si="145"/>
        <v>637.77777777777783</v>
      </c>
      <c r="CT157" s="39">
        <f t="shared" si="146"/>
        <v>679.37037037037044</v>
      </c>
      <c r="CU157" s="39">
        <f t="shared" si="147"/>
        <v>653.49382716049388</v>
      </c>
      <c r="CV157" s="39">
        <f t="shared" si="187"/>
        <v>656.88065843621405</v>
      </c>
      <c r="CW157" s="297">
        <f t="shared" si="148"/>
        <v>1.0092959520017777</v>
      </c>
      <c r="CX157" s="279" t="str">
        <f t="shared" si="188"/>
        <v>Pass</v>
      </c>
      <c r="CY157" s="278">
        <f t="shared" si="149"/>
        <v>1.002814462004763</v>
      </c>
      <c r="CZ157" s="279" t="str">
        <f t="shared" si="189"/>
        <v>Pass</v>
      </c>
      <c r="DA157" s="278">
        <f t="shared" si="150"/>
        <v>1.0820491069324663</v>
      </c>
      <c r="DB157" s="292" t="str">
        <f t="shared" si="190"/>
        <v>Pass</v>
      </c>
      <c r="DC157" s="299">
        <f t="shared" si="191"/>
        <v>1.2604274032845462</v>
      </c>
      <c r="DD157" s="293" t="str">
        <f t="shared" si="192"/>
        <v>Pass</v>
      </c>
      <c r="DE157" s="299">
        <f t="shared" si="193"/>
        <v>1.138490988084484</v>
      </c>
      <c r="DF157" s="293" t="str">
        <f t="shared" si="194"/>
        <v>Pass</v>
      </c>
      <c r="DG157" s="299">
        <f t="shared" si="195"/>
        <v>1.1209567550106041</v>
      </c>
      <c r="DH157" s="293" t="str">
        <f t="shared" si="196"/>
        <v>Pass</v>
      </c>
    </row>
    <row r="158" spans="1:112" ht="15" thickTop="1" thickBot="1">
      <c r="A158" s="38" t="s">
        <v>426</v>
      </c>
      <c r="B158" s="38" t="s">
        <v>427</v>
      </c>
      <c r="C158" s="38" t="s">
        <v>426</v>
      </c>
      <c r="D158" s="38" t="s">
        <v>116</v>
      </c>
      <c r="E158" s="38" t="str">
        <f>VLOOKUP(C158,PoliticalControl!A:K,11,FALSE)</f>
        <v>LAB</v>
      </c>
      <c r="F158" s="38" t="str">
        <f>VLOOKUP(C158,UrbanRuralClassification!A:N,13,FALSE)</f>
        <v>Urban with Major Conurbation</v>
      </c>
      <c r="G158" s="38" t="str">
        <f>VLOOKUP(C158,UrbanRuralClassification!A:N,14,FALSE)</f>
        <v>Predominantly Urban</v>
      </c>
      <c r="H158" s="258">
        <f>IF(ISBLANK((VLOOKUP($A158,'local-plan-data'!$C$1:$AD$566,27,FALSE)))=TRUE,"",VLOOKUP($A158,'local-plan-data'!$C$1:$AD$566,27,FALSE))</f>
        <v>44587</v>
      </c>
      <c r="I158" s="259">
        <f>VLOOKUP($A158,'local-plan-data'!$C$1:$AD$566,28,FALSE)</f>
        <v>1739</v>
      </c>
      <c r="J158" s="260">
        <f t="shared" si="151"/>
        <v>1739</v>
      </c>
      <c r="K158" s="259">
        <f t="shared" si="197"/>
        <v>1739</v>
      </c>
      <c r="L158" s="259">
        <f t="shared" si="199"/>
        <v>1739</v>
      </c>
      <c r="M158" s="259">
        <f t="shared" si="199"/>
        <v>1739</v>
      </c>
      <c r="N158" s="259">
        <f t="shared" si="199"/>
        <v>1739</v>
      </c>
      <c r="O158" s="259">
        <f t="shared" si="199"/>
        <v>1739</v>
      </c>
      <c r="P158" s="259">
        <f t="shared" si="199"/>
        <v>1739</v>
      </c>
      <c r="Q158" s="259">
        <f t="shared" si="199"/>
        <v>1739</v>
      </c>
      <c r="R158" s="259">
        <f t="shared" si="199"/>
        <v>1739</v>
      </c>
      <c r="S158" s="259">
        <f t="shared" si="198"/>
        <v>3222</v>
      </c>
      <c r="T158" s="259">
        <f t="shared" si="200"/>
        <v>2857</v>
      </c>
      <c r="U158" s="259">
        <f t="shared" si="200"/>
        <v>2491</v>
      </c>
      <c r="V158" s="259">
        <f t="shared" si="200"/>
        <v>2126</v>
      </c>
      <c r="W158" s="259">
        <f t="shared" si="200"/>
        <v>1761</v>
      </c>
      <c r="X158" s="259">
        <f t="shared" si="200"/>
        <v>1396</v>
      </c>
      <c r="Y158" s="259">
        <f t="shared" si="200"/>
        <v>1030</v>
      </c>
      <c r="Z158" s="259">
        <f t="shared" si="200"/>
        <v>665</v>
      </c>
      <c r="AA158" s="267">
        <f>(VLOOKUP(A158,Hshldprojections2014!$A$2:$AW$319,40, FALSE)-VLOOKUP(A158,Hshldprojections2014!$A$2:$AW$319,30, FALSE))/10</f>
        <v>1576.5</v>
      </c>
      <c r="AB158" s="267">
        <f>(VLOOKUP(A158,Hshldprojections2014!$A$2:$AW$319,41, FALSE)-VLOOKUP(A158,Hshldprojections2014!$A$2:$AW$319,31, FALSE))/10</f>
        <v>1556.4</v>
      </c>
      <c r="AC158" s="267">
        <f>(VLOOKUP(A158,Hshldprojections2014!$A$2:$AW$319,42, FALSE)-VLOOKUP(A158,Hshldprojections2014!$A$2:$AW$319,32, FALSE))/10</f>
        <v>1536.7</v>
      </c>
      <c r="AD158" s="267">
        <f>IF(IndividualLATest!$J$7=2014,(VLOOKUP($A158,Hshldprojections2014!$A$2:$AY$326,43,FALSE)-VLOOKUP($A158,Hshldprojections2014!$A$2:$AY$326,33,FALSE))/10,IF(IndividualLATest!$J$7=2016,(VLOOKUP($A158,Hshldprojections2016!$A$1:$AQ$322,33,FALSE)-VLOOKUP($A158,Hshldprojections2016!$A$1:$AQ$322,23,FALSE))/10,(VLOOKUP($A158,Hshldprojections2018!$A$1:$AQ$327,33,FALSE)-VLOOKUP($A158,Hshldprojections2018!$A$1:$AQ$327,23,FALSE))/10))</f>
        <v>1229.5999999999999</v>
      </c>
      <c r="AE158" s="267">
        <f>IF(IndividualLATest!$J$7=2014,(VLOOKUP($A158,Hshldprojections2014!$A$2:$AY$326,44,FALSE)-VLOOKUP($A158,Hshldprojections2014!$A$2:$AY$326,34,FALSE))/10,IF(IndividualLATest!$J$7=2016,(VLOOKUP($A158,Hshldprojections2016!$A$1:$AQ$322,34,FALSE)-VLOOKUP($A158,Hshldprojections2016!$A$1:$AQ$322,24,FALSE))/10,(VLOOKUP($A158,Hshldprojections2018!$A$1:$AQ$327,34,FALSE)-VLOOKUP($A158,Hshldprojections2018!$A$1:$AQ$327,24,FALSE))/10))</f>
        <v>1262.0999999999999</v>
      </c>
      <c r="AF158" s="267">
        <f>IF(IndividualLATest!$J$7=2014,(VLOOKUP($A158,Hshldprojections2014!$A$2:$AY$326,45,FALSE)-VLOOKUP($A158,Hshldprojections2014!$A$2:$AY$326,35,FALSE))/10,IF(IndividualLATest!$J$7=2016,(VLOOKUP($A158,Hshldprojections2016!$A$1:$AQ$322,35,FALSE)-VLOOKUP($A158,Hshldprojections2016!$A$1:$AQ$322,25,FALSE))/10,(VLOOKUP($A158,Hshldprojections2018!$A$1:$AQ$327,35,FALSE)-VLOOKUP($A158,Hshldprojections2018!$A$1:$AQ$327,25,FALSE))/10))</f>
        <v>1287.8</v>
      </c>
      <c r="AG158" s="267">
        <f>IF(IndividualLATest!$J$7=2014,(VLOOKUP($A158,Hshldprojections2014!$A$2:$AY$326,46,FALSE)-VLOOKUP($A158,Hshldprojections2014!$A$2:$AY$326,36,FALSE))/10,IF(IndividualLATest!$J$7=2016,(VLOOKUP($A158,Hshldprojections2016!$A$1:$AQ$322,36,FALSE)-VLOOKUP($A158,Hshldprojections2016!$A$1:$AQ$322,26,FALSE))/10,(VLOOKUP($A158,Hshldprojections2018!$A$1:$AQ$327,36,FALSE)-VLOOKUP($A158,Hshldprojections2018!$A$1:$AQ$327,26,FALSE))/10))</f>
        <v>1302.8</v>
      </c>
      <c r="AH158" s="267">
        <f>IF(IndividualLATest!$J$7=2014,(VLOOKUP($A158,Hshldprojections2014!$A$2:$AY$326,47,FALSE)-VLOOKUP($A158,Hshldprojections2014!$A$2:$AY$326,37,FALSE))/10,IF(IndividualLATest!$J$7=2016,(VLOOKUP($A158,Hshldprojections2016!$A$1:$AQ$322,37,FALSE)-VLOOKUP($A158,Hshldprojections2016!$A$1:$AQ$322,27,FALSE))/10,(VLOOKUP($A158,Hshldprojections2018!$A$1:$AQ$327,37,FALSE)-VLOOKUP($A158,Hshldprojections2018!$A$1:$AQ$327,27,FALSE))/10))</f>
        <v>1316.7</v>
      </c>
      <c r="AI158" s="268">
        <f>VLOOKUP($A158,AffordabilityRatio!$A$2:$I$321,5,FALSE)</f>
        <v>4.63</v>
      </c>
      <c r="AJ158" s="268">
        <f>VLOOKUP($A158,AffordabilityRatio!$A$2:$I$321,6,FALSE)</f>
        <v>4.66</v>
      </c>
      <c r="AK158" s="268">
        <f>VLOOKUP($A158,AffordabilityRatio!$A$2:$I$321,7,FALSE)</f>
        <v>4.29</v>
      </c>
      <c r="AL158" s="268">
        <f>IF((VLOOKUP($A158,AffordabilityRatio!$A$2:$I$321,8,FALSE))="",AK158,VLOOKUP($A158,AffordabilityRatio!$A$2:$I$321,8,FALSE))</f>
        <v>4.1100000000000003</v>
      </c>
      <c r="AM158" s="268">
        <f>IF((VLOOKUP($A158,AffordabilityRatio!$A$2:$I$321,9,FALSE))="",AL158,VLOOKUP($A158,AffordabilityRatio!$A$2:$I$321,9,FALSE))</f>
        <v>5.05</v>
      </c>
      <c r="AN158" s="268">
        <f>IF((VLOOKUP($A158,AffordabilityRatio!$A$2:$I$321,9,FALSE))="",AM158,VLOOKUP($A158,AffordabilityRatio!$A$2:$I$321,9,FALSE))</f>
        <v>5.05</v>
      </c>
      <c r="AO158" s="268">
        <f>IF((VLOOKUP($A158,AffordabilityRatio!$A$2:$I$321,9,FALSE))="",AN158,VLOOKUP($A158,AffordabilityRatio!$A$2:$I$321,9,FALSE))</f>
        <v>5.05</v>
      </c>
      <c r="AP158" s="268">
        <f>IF((VLOOKUP($A158,AffordabilityRatio!$A$2:$I$321,9,FALSE))="",AO158,VLOOKUP($A158,AffordabilityRatio!$A$2:$I$321,9,FALSE))</f>
        <v>5.05</v>
      </c>
      <c r="AQ158" s="267">
        <f t="shared" si="152"/>
        <v>1639</v>
      </c>
      <c r="AR158" s="267">
        <f t="shared" si="153"/>
        <v>1621</v>
      </c>
      <c r="AS158" s="267">
        <f t="shared" si="154"/>
        <v>1565</v>
      </c>
      <c r="AT158" s="267">
        <f t="shared" si="155"/>
        <v>1238</v>
      </c>
      <c r="AU158" s="267">
        <f t="shared" si="156"/>
        <v>1345</v>
      </c>
      <c r="AV158" s="267">
        <f t="shared" si="157"/>
        <v>1372</v>
      </c>
      <c r="AW158" s="267">
        <f t="shared" si="158"/>
        <v>1388</v>
      </c>
      <c r="AX158" s="267">
        <f t="shared" si="159"/>
        <v>1403</v>
      </c>
      <c r="AY158" s="267">
        <f t="shared" si="160"/>
        <v>1639</v>
      </c>
      <c r="AZ158" s="267">
        <f t="shared" si="161"/>
        <v>1621</v>
      </c>
      <c r="BA158" s="267">
        <f t="shared" si="162"/>
        <v>1565</v>
      </c>
      <c r="BB158" s="267">
        <f t="shared" si="163"/>
        <v>1238</v>
      </c>
      <c r="BC158" s="267">
        <f t="shared" si="164"/>
        <v>1345</v>
      </c>
      <c r="BD158" s="267">
        <f t="shared" si="165"/>
        <v>1372</v>
      </c>
      <c r="BE158" s="267">
        <f t="shared" si="166"/>
        <v>1388</v>
      </c>
      <c r="BF158" s="267">
        <f t="shared" si="167"/>
        <v>1403</v>
      </c>
      <c r="BG158" s="269">
        <f>AY158*VLOOKUP($B158,'Major Cities &amp; Towns'!$A$28:$B$345,2,FALSE)</f>
        <v>2212.65</v>
      </c>
      <c r="BH158" s="269">
        <f>AZ158*VLOOKUP($B158,'Major Cities &amp; Towns'!$A$28:$B$345,2,FALSE)</f>
        <v>2188.3500000000004</v>
      </c>
      <c r="BI158" s="269">
        <f>BA158*VLOOKUP($B158,'Major Cities &amp; Towns'!$A$28:$B$345,2,FALSE)</f>
        <v>2112.75</v>
      </c>
      <c r="BJ158" s="269">
        <f>BB158*VLOOKUP($B158,'Major Cities &amp; Towns'!$A$28:$B$345,2,FALSE)</f>
        <v>1671.3000000000002</v>
      </c>
      <c r="BK158" s="269">
        <f>BC158*VLOOKUP($B158,'Major Cities &amp; Towns'!$A$28:$B$345,2,FALSE)</f>
        <v>1815.7500000000002</v>
      </c>
      <c r="BL158" s="269">
        <f>BD158*VLOOKUP($B158,'Major Cities &amp; Towns'!$A$28:$B$345,2,FALSE)</f>
        <v>1852.2</v>
      </c>
      <c r="BM158" s="269">
        <f>BE158*VLOOKUP($B158,'Major Cities &amp; Towns'!$A$28:$B$345,2,FALSE)</f>
        <v>1873.8000000000002</v>
      </c>
      <c r="BN158" s="269">
        <f>BF158*VLOOKUP($B158,'Major Cities &amp; Towns'!$A$28:$B$345,2,FALSE)</f>
        <v>1894.0500000000002</v>
      </c>
      <c r="BO158" s="270">
        <f t="shared" si="168"/>
        <v>1639</v>
      </c>
      <c r="BP158" s="270">
        <f t="shared" si="169"/>
        <v>1621</v>
      </c>
      <c r="BQ158" s="270">
        <f t="shared" si="170"/>
        <v>1565</v>
      </c>
      <c r="BR158" s="270">
        <f t="shared" si="171"/>
        <v>1238</v>
      </c>
      <c r="BS158" s="270">
        <f t="shared" si="172"/>
        <v>1345</v>
      </c>
      <c r="BT158" s="270">
        <f t="shared" si="173"/>
        <v>1372</v>
      </c>
      <c r="BU158" s="270">
        <f t="shared" si="174"/>
        <v>1388</v>
      </c>
      <c r="BV158" s="270">
        <f t="shared" si="175"/>
        <v>1403</v>
      </c>
      <c r="BW158" s="39">
        <f>VLOOKUP($A158,NetAdditions!$A$2:$H$336,6,FALSE)</f>
        <v>2217</v>
      </c>
      <c r="BX158" s="39">
        <f>VLOOKUP($A158,NetAdditions!$A$2:$H$336,7,FALSE)</f>
        <v>2536</v>
      </c>
      <c r="BY158" s="39">
        <f>IF((VLOOKUP($C158,NetAdditions!$A$2:$H$336,8,FALSE))="",(AVERAGE(VLOOKUP($C158,NetAdditions!$A$2:$H$336,5,FALSE),VLOOKUP($C158,NetAdditions!$A$2:$H$336,6,FALSE),VLOOKUP($C158,NetAdditions!$A$2:$H$336,7,FALSE))),VLOOKUP($C158,NetAdditions!$A$2:$H$336,8,FALSE))</f>
        <v>2363</v>
      </c>
      <c r="BZ158" s="39">
        <f t="shared" si="176"/>
        <v>2372</v>
      </c>
      <c r="CA158" s="39">
        <f t="shared" si="177"/>
        <v>2423.6666666666665</v>
      </c>
      <c r="CB158" s="39">
        <f t="shared" si="178"/>
        <v>2386.2222222222222</v>
      </c>
      <c r="CC158" s="39">
        <f t="shared" si="179"/>
        <v>2393.962962962963</v>
      </c>
      <c r="CD158" s="39">
        <f t="shared" si="180"/>
        <v>2401.2839506172841</v>
      </c>
      <c r="CE158" s="276">
        <f t="shared" si="137"/>
        <v>4825</v>
      </c>
      <c r="CF158" s="276">
        <f t="shared" si="138"/>
        <v>4424</v>
      </c>
      <c r="CG158" s="276">
        <f t="shared" si="139"/>
        <v>4148</v>
      </c>
      <c r="CH158" s="276">
        <f t="shared" si="140"/>
        <v>3955</v>
      </c>
      <c r="CI158" s="276">
        <f t="shared" si="141"/>
        <v>4105</v>
      </c>
      <c r="CJ158" s="276">
        <f t="shared" si="142"/>
        <v>4163</v>
      </c>
      <c r="CK158" s="276">
        <f t="shared" si="181"/>
        <v>4154.8611111111113</v>
      </c>
      <c r="CL158" s="276">
        <f t="shared" si="182"/>
        <v>3809.5555555555557</v>
      </c>
      <c r="CM158" s="276">
        <f t="shared" si="183"/>
        <v>3802.333333333333</v>
      </c>
      <c r="CN158" s="276">
        <f t="shared" si="184"/>
        <v>3955</v>
      </c>
      <c r="CO158" s="276">
        <f t="shared" si="185"/>
        <v>4105</v>
      </c>
      <c r="CP158" s="276">
        <f t="shared" si="186"/>
        <v>4163</v>
      </c>
      <c r="CQ158" s="39">
        <f t="shared" si="143"/>
        <v>7116</v>
      </c>
      <c r="CR158" s="39">
        <f t="shared" si="144"/>
        <v>7271</v>
      </c>
      <c r="CS158" s="277">
        <f t="shared" si="145"/>
        <v>7158.6666666666661</v>
      </c>
      <c r="CT158" s="39">
        <f t="shared" si="146"/>
        <v>7181.8888888888887</v>
      </c>
      <c r="CU158" s="39">
        <f t="shared" si="147"/>
        <v>7203.8518518518522</v>
      </c>
      <c r="CV158" s="39">
        <f t="shared" si="187"/>
        <v>7181.4691358024693</v>
      </c>
      <c r="CW158" s="297">
        <f t="shared" si="148"/>
        <v>1.7126926291158282</v>
      </c>
      <c r="CX158" s="279" t="str">
        <f t="shared" si="188"/>
        <v>Pass</v>
      </c>
      <c r="CY158" s="278">
        <f t="shared" si="149"/>
        <v>1.9086215948200431</v>
      </c>
      <c r="CZ158" s="279" t="str">
        <f t="shared" si="189"/>
        <v>Pass</v>
      </c>
      <c r="DA158" s="278">
        <f t="shared" si="150"/>
        <v>1.8827036030507582</v>
      </c>
      <c r="DB158" s="292" t="str">
        <f t="shared" si="190"/>
        <v>Pass</v>
      </c>
      <c r="DC158" s="299">
        <f t="shared" si="191"/>
        <v>1.8159011097064195</v>
      </c>
      <c r="DD158" s="293" t="str">
        <f t="shared" si="192"/>
        <v>Pass</v>
      </c>
      <c r="DE158" s="299">
        <f t="shared" si="193"/>
        <v>1.7548969188433257</v>
      </c>
      <c r="DF158" s="293" t="str">
        <f t="shared" si="194"/>
        <v>Pass</v>
      </c>
      <c r="DG158" s="299">
        <f t="shared" si="195"/>
        <v>1.7250706547687891</v>
      </c>
      <c r="DH158" s="293" t="str">
        <f t="shared" si="196"/>
        <v>Pass</v>
      </c>
    </row>
    <row r="159" spans="1:112" ht="15" thickTop="1" thickBot="1">
      <c r="A159" s="38" t="s">
        <v>428</v>
      </c>
      <c r="B159" s="38" t="s">
        <v>429</v>
      </c>
      <c r="C159" s="38" t="s">
        <v>428</v>
      </c>
      <c r="D159" s="38" t="s">
        <v>128</v>
      </c>
      <c r="E159" s="38" t="str">
        <f>VLOOKUP(C159,PoliticalControl!A:K,11,FALSE)</f>
        <v>LAB</v>
      </c>
      <c r="F159" s="38" t="str">
        <f>VLOOKUP(C159,UrbanRuralClassification!A:N,13,FALSE)</f>
        <v>Urban with City and Town</v>
      </c>
      <c r="G159" s="38" t="str">
        <f>VLOOKUP(C159,UrbanRuralClassification!A:N,14,FALSE)</f>
        <v>Predominantly Urban</v>
      </c>
      <c r="H159" s="258">
        <f>IF(ISBLANK((VLOOKUP($A159,'local-plan-data'!$C$1:$AD$566,27,FALSE)))=TRUE,"",VLOOKUP($A159,'local-plan-data'!$C$1:$AD$566,27,FALSE))</f>
        <v>43046</v>
      </c>
      <c r="I159" s="259">
        <f>VLOOKUP($A159,'local-plan-data'!$C$1:$AD$566,28,FALSE)</f>
        <v>425</v>
      </c>
      <c r="J159" s="260">
        <f t="shared" si="151"/>
        <v>425</v>
      </c>
      <c r="K159" s="259">
        <f t="shared" si="197"/>
        <v>425</v>
      </c>
      <c r="L159" s="259">
        <f t="shared" si="199"/>
        <v>425</v>
      </c>
      <c r="M159" s="259">
        <f t="shared" si="199"/>
        <v>425</v>
      </c>
      <c r="N159" s="259">
        <f t="shared" si="199"/>
        <v>425</v>
      </c>
      <c r="O159" s="259">
        <f t="shared" si="199"/>
        <v>425</v>
      </c>
      <c r="P159" s="259" t="str">
        <f t="shared" si="199"/>
        <v>-</v>
      </c>
      <c r="Q159" s="259" t="str">
        <f t="shared" si="199"/>
        <v>-</v>
      </c>
      <c r="R159" s="259" t="str">
        <f t="shared" si="199"/>
        <v>-</v>
      </c>
      <c r="S159" s="259">
        <f t="shared" si="198"/>
        <v>1681</v>
      </c>
      <c r="T159" s="259">
        <f t="shared" si="200"/>
        <v>1316</v>
      </c>
      <c r="U159" s="259">
        <f t="shared" si="200"/>
        <v>950</v>
      </c>
      <c r="V159" s="259">
        <f t="shared" si="200"/>
        <v>585</v>
      </c>
      <c r="W159" s="259">
        <f t="shared" si="200"/>
        <v>220</v>
      </c>
      <c r="X159" s="259">
        <f t="shared" si="200"/>
        <v>-145</v>
      </c>
      <c r="Y159" s="259">
        <f t="shared" si="200"/>
        <v>-511</v>
      </c>
      <c r="Z159" s="259">
        <f t="shared" si="200"/>
        <v>-876</v>
      </c>
      <c r="AA159" s="267">
        <f>(VLOOKUP(A159,Hshldprojections2014!$A$2:$AW$319,40, FALSE)-VLOOKUP(A159,Hshldprojections2014!$A$2:$AW$319,30, FALSE))/10</f>
        <v>1143.9000000000001</v>
      </c>
      <c r="AB159" s="267">
        <f>(VLOOKUP(A159,Hshldprojections2014!$A$2:$AW$319,41, FALSE)-VLOOKUP(A159,Hshldprojections2014!$A$2:$AW$319,31, FALSE))/10</f>
        <v>1132.3</v>
      </c>
      <c r="AC159" s="267">
        <f>(VLOOKUP(A159,Hshldprojections2014!$A$2:$AW$319,42, FALSE)-VLOOKUP(A159,Hshldprojections2014!$A$2:$AW$319,32, FALSE))/10</f>
        <v>1124.8</v>
      </c>
      <c r="AD159" s="267">
        <f>IF(IndividualLATest!$J$7=2014,(VLOOKUP($A159,Hshldprojections2014!$A$2:$AY$326,43,FALSE)-VLOOKUP($A159,Hshldprojections2014!$A$2:$AY$326,33,FALSE))/10,IF(IndividualLATest!$J$7=2016,(VLOOKUP($A159,Hshldprojections2016!$A$1:$AQ$322,33,FALSE)-VLOOKUP($A159,Hshldprojections2016!$A$1:$AQ$322,23,FALSE))/10,(VLOOKUP($A159,Hshldprojections2018!$A$1:$AQ$327,33,FALSE)-VLOOKUP($A159,Hshldprojections2018!$A$1:$AQ$327,23,FALSE))/10))</f>
        <v>45.8</v>
      </c>
      <c r="AE159" s="267">
        <f>IF(IndividualLATest!$J$7=2014,(VLOOKUP($A159,Hshldprojections2014!$A$2:$AY$326,44,FALSE)-VLOOKUP($A159,Hshldprojections2014!$A$2:$AY$326,34,FALSE))/10,IF(IndividualLATest!$J$7=2016,(VLOOKUP($A159,Hshldprojections2016!$A$1:$AQ$322,34,FALSE)-VLOOKUP($A159,Hshldprojections2016!$A$1:$AQ$322,24,FALSE))/10,(VLOOKUP($A159,Hshldprojections2018!$A$1:$AQ$327,34,FALSE)-VLOOKUP($A159,Hshldprojections2018!$A$1:$AQ$327,24,FALSE))/10))</f>
        <v>46.9</v>
      </c>
      <c r="AF159" s="267">
        <f>IF(IndividualLATest!$J$7=2014,(VLOOKUP($A159,Hshldprojections2014!$A$2:$AY$326,45,FALSE)-VLOOKUP($A159,Hshldprojections2014!$A$2:$AY$326,35,FALSE))/10,IF(IndividualLATest!$J$7=2016,(VLOOKUP($A159,Hshldprojections2016!$A$1:$AQ$322,35,FALSE)-VLOOKUP($A159,Hshldprojections2016!$A$1:$AQ$322,25,FALSE))/10,(VLOOKUP($A159,Hshldprojections2018!$A$1:$AQ$327,35,FALSE)-VLOOKUP($A159,Hshldprojections2018!$A$1:$AQ$327,25,FALSE))/10))</f>
        <v>51.1</v>
      </c>
      <c r="AG159" s="267">
        <f>IF(IndividualLATest!$J$7=2014,(VLOOKUP($A159,Hshldprojections2014!$A$2:$AY$326,46,FALSE)-VLOOKUP($A159,Hshldprojections2014!$A$2:$AY$326,36,FALSE))/10,IF(IndividualLATest!$J$7=2016,(VLOOKUP($A159,Hshldprojections2016!$A$1:$AQ$322,36,FALSE)-VLOOKUP($A159,Hshldprojections2016!$A$1:$AQ$322,26,FALSE))/10,(VLOOKUP($A159,Hshldprojections2018!$A$1:$AQ$327,36,FALSE)-VLOOKUP($A159,Hshldprojections2018!$A$1:$AQ$327,26,FALSE))/10))</f>
        <v>58.5</v>
      </c>
      <c r="AH159" s="267">
        <f>IF(IndividualLATest!$J$7=2014,(VLOOKUP($A159,Hshldprojections2014!$A$2:$AY$326,47,FALSE)-VLOOKUP($A159,Hshldprojections2014!$A$2:$AY$326,37,FALSE))/10,IF(IndividualLATest!$J$7=2016,(VLOOKUP($A159,Hshldprojections2016!$A$1:$AQ$322,37,FALSE)-VLOOKUP($A159,Hshldprojections2016!$A$1:$AQ$322,27,FALSE))/10,(VLOOKUP($A159,Hshldprojections2018!$A$1:$AQ$327,37,FALSE)-VLOOKUP($A159,Hshldprojections2018!$A$1:$AQ$327,27,FALSE))/10))</f>
        <v>66.400000000000006</v>
      </c>
      <c r="AI159" s="268">
        <f>VLOOKUP($A159,AffordabilityRatio!$A$2:$I$321,5,FALSE)</f>
        <v>7.36</v>
      </c>
      <c r="AJ159" s="268">
        <f>VLOOKUP($A159,AffordabilityRatio!$A$2:$I$321,6,FALSE)</f>
        <v>8.32</v>
      </c>
      <c r="AK159" s="268">
        <f>VLOOKUP($A159,AffordabilityRatio!$A$2:$I$321,7,FALSE)</f>
        <v>7.54</v>
      </c>
      <c r="AL159" s="268">
        <f>IF((VLOOKUP($A159,AffordabilityRatio!$A$2:$I$321,8,FALSE))="",AK159,VLOOKUP($A159,AffordabilityRatio!$A$2:$I$321,8,FALSE))</f>
        <v>7.51</v>
      </c>
      <c r="AM159" s="268">
        <f>IF((VLOOKUP($A159,AffordabilityRatio!$A$2:$I$321,9,FALSE))="",AL159,VLOOKUP($A159,AffordabilityRatio!$A$2:$I$321,9,FALSE))</f>
        <v>8.11</v>
      </c>
      <c r="AN159" s="268">
        <f>IF((VLOOKUP($A159,AffordabilityRatio!$A$2:$I$321,9,FALSE))="",AM159,VLOOKUP($A159,AffordabilityRatio!$A$2:$I$321,9,FALSE))</f>
        <v>8.11</v>
      </c>
      <c r="AO159" s="268">
        <f>IF((VLOOKUP($A159,AffordabilityRatio!$A$2:$I$321,9,FALSE))="",AN159,VLOOKUP($A159,AffordabilityRatio!$A$2:$I$321,9,FALSE))</f>
        <v>8.11</v>
      </c>
      <c r="AP159" s="268">
        <f>IF((VLOOKUP($A159,AffordabilityRatio!$A$2:$I$321,9,FALSE))="",AO159,VLOOKUP($A159,AffordabilityRatio!$A$2:$I$321,9,FALSE))</f>
        <v>8.11</v>
      </c>
      <c r="AQ159" s="267">
        <f t="shared" si="152"/>
        <v>1384</v>
      </c>
      <c r="AR159" s="267">
        <f t="shared" si="153"/>
        <v>1438</v>
      </c>
      <c r="AS159" s="267">
        <f t="shared" si="154"/>
        <v>1374</v>
      </c>
      <c r="AT159" s="267">
        <f t="shared" si="155"/>
        <v>56</v>
      </c>
      <c r="AU159" s="267">
        <f t="shared" si="156"/>
        <v>59</v>
      </c>
      <c r="AV159" s="267">
        <f t="shared" si="157"/>
        <v>64</v>
      </c>
      <c r="AW159" s="267">
        <f t="shared" si="158"/>
        <v>74</v>
      </c>
      <c r="AX159" s="267">
        <f t="shared" si="159"/>
        <v>83</v>
      </c>
      <c r="AY159" s="267">
        <f t="shared" si="160"/>
        <v>595</v>
      </c>
      <c r="AZ159" s="267">
        <f t="shared" si="161"/>
        <v>595</v>
      </c>
      <c r="BA159" s="267">
        <f t="shared" si="162"/>
        <v>595</v>
      </c>
      <c r="BB159" s="267">
        <f t="shared" si="163"/>
        <v>56</v>
      </c>
      <c r="BC159" s="267">
        <f t="shared" si="164"/>
        <v>59</v>
      </c>
      <c r="BD159" s="267">
        <f t="shared" si="165"/>
        <v>64</v>
      </c>
      <c r="BE159" s="267">
        <f t="shared" si="166"/>
        <v>74</v>
      </c>
      <c r="BF159" s="267">
        <f t="shared" si="167"/>
        <v>83</v>
      </c>
      <c r="BG159" s="269">
        <f>AY159*VLOOKUP($B159,'Major Cities &amp; Towns'!$A$28:$B$345,2,FALSE)</f>
        <v>595</v>
      </c>
      <c r="BH159" s="269">
        <f>AZ159*VLOOKUP($B159,'Major Cities &amp; Towns'!$A$28:$B$345,2,FALSE)</f>
        <v>595</v>
      </c>
      <c r="BI159" s="269">
        <f>BA159*VLOOKUP($B159,'Major Cities &amp; Towns'!$A$28:$B$345,2,FALSE)</f>
        <v>595</v>
      </c>
      <c r="BJ159" s="269">
        <f>BB159*VLOOKUP($B159,'Major Cities &amp; Towns'!$A$28:$B$345,2,FALSE)</f>
        <v>56</v>
      </c>
      <c r="BK159" s="269">
        <f>BC159*VLOOKUP($B159,'Major Cities &amp; Towns'!$A$28:$B$345,2,FALSE)</f>
        <v>59</v>
      </c>
      <c r="BL159" s="269">
        <f>BD159*VLOOKUP($B159,'Major Cities &amp; Towns'!$A$28:$B$345,2,FALSE)</f>
        <v>64</v>
      </c>
      <c r="BM159" s="269">
        <f>BE159*VLOOKUP($B159,'Major Cities &amp; Towns'!$A$28:$B$345,2,FALSE)</f>
        <v>74</v>
      </c>
      <c r="BN159" s="269">
        <f>BF159*VLOOKUP($B159,'Major Cities &amp; Towns'!$A$28:$B$345,2,FALSE)</f>
        <v>83</v>
      </c>
      <c r="BO159" s="270">
        <f t="shared" si="168"/>
        <v>425</v>
      </c>
      <c r="BP159" s="270">
        <f t="shared" si="169"/>
        <v>425</v>
      </c>
      <c r="BQ159" s="270">
        <f t="shared" si="170"/>
        <v>425</v>
      </c>
      <c r="BR159" s="270">
        <f t="shared" si="171"/>
        <v>56</v>
      </c>
      <c r="BS159" s="270">
        <f t="shared" si="172"/>
        <v>59</v>
      </c>
      <c r="BT159" s="270">
        <f t="shared" si="173"/>
        <v>64</v>
      </c>
      <c r="BU159" s="270">
        <f t="shared" si="174"/>
        <v>74</v>
      </c>
      <c r="BV159" s="270">
        <f t="shared" si="175"/>
        <v>83</v>
      </c>
      <c r="BW159" s="39">
        <f>VLOOKUP($A159,NetAdditions!$A$2:$H$336,6,FALSE)</f>
        <v>627</v>
      </c>
      <c r="BX159" s="39">
        <f>VLOOKUP($A159,NetAdditions!$A$2:$H$336,7,FALSE)</f>
        <v>791</v>
      </c>
      <c r="BY159" s="39">
        <f>IF((VLOOKUP($C159,NetAdditions!$A$2:$H$336,8,FALSE))="",(AVERAGE(VLOOKUP($C159,NetAdditions!$A$2:$H$336,5,FALSE),VLOOKUP($C159,NetAdditions!$A$2:$H$336,6,FALSE),VLOOKUP($C159,NetAdditions!$A$2:$H$336,7,FALSE))),VLOOKUP($C159,NetAdditions!$A$2:$H$336,8,FALSE))</f>
        <v>474</v>
      </c>
      <c r="BZ159" s="39">
        <f t="shared" si="176"/>
        <v>630.66666666666663</v>
      </c>
      <c r="CA159" s="39">
        <f t="shared" si="177"/>
        <v>631.8888888888888</v>
      </c>
      <c r="CB159" s="39">
        <f t="shared" si="178"/>
        <v>578.85185185185173</v>
      </c>
      <c r="CC159" s="39">
        <f t="shared" si="179"/>
        <v>613.80246913580243</v>
      </c>
      <c r="CD159" s="39">
        <f t="shared" si="180"/>
        <v>608.18106995884762</v>
      </c>
      <c r="CE159" s="276">
        <f t="shared" si="137"/>
        <v>1275</v>
      </c>
      <c r="CF159" s="276">
        <f t="shared" si="138"/>
        <v>906</v>
      </c>
      <c r="CG159" s="276">
        <f t="shared" si="139"/>
        <v>540</v>
      </c>
      <c r="CH159" s="276">
        <f t="shared" si="140"/>
        <v>179</v>
      </c>
      <c r="CI159" s="276">
        <f t="shared" si="141"/>
        <v>197</v>
      </c>
      <c r="CJ159" s="276">
        <f t="shared" si="142"/>
        <v>221</v>
      </c>
      <c r="CK159" s="276">
        <f t="shared" si="181"/>
        <v>1097.9166666666667</v>
      </c>
      <c r="CL159" s="276">
        <f t="shared" si="182"/>
        <v>780.16666666666674</v>
      </c>
      <c r="CM159" s="276">
        <f t="shared" si="183"/>
        <v>495</v>
      </c>
      <c r="CN159" s="276">
        <f t="shared" si="184"/>
        <v>179</v>
      </c>
      <c r="CO159" s="276">
        <f t="shared" si="185"/>
        <v>197</v>
      </c>
      <c r="CP159" s="276">
        <f t="shared" si="186"/>
        <v>221</v>
      </c>
      <c r="CQ159" s="39">
        <f t="shared" si="143"/>
        <v>1892</v>
      </c>
      <c r="CR159" s="39">
        <f t="shared" si="144"/>
        <v>1895.6666666666665</v>
      </c>
      <c r="CS159" s="277">
        <f t="shared" si="145"/>
        <v>1736.5555555555552</v>
      </c>
      <c r="CT159" s="39">
        <f t="shared" si="146"/>
        <v>1841.4074074074072</v>
      </c>
      <c r="CU159" s="39">
        <f t="shared" si="147"/>
        <v>1824.5432098765427</v>
      </c>
      <c r="CV159" s="39">
        <f t="shared" si="187"/>
        <v>1800.8353909465018</v>
      </c>
      <c r="CW159" s="297">
        <f t="shared" si="148"/>
        <v>1.7232637571157494</v>
      </c>
      <c r="CX159" s="279" t="str">
        <f t="shared" si="188"/>
        <v>Pass</v>
      </c>
      <c r="CY159" s="278">
        <f t="shared" si="149"/>
        <v>2.4298226874599442</v>
      </c>
      <c r="CZ159" s="279" t="str">
        <f t="shared" si="189"/>
        <v>Pass</v>
      </c>
      <c r="DA159" s="278">
        <f t="shared" si="150"/>
        <v>3.5081930415263742</v>
      </c>
      <c r="DB159" s="292" t="str">
        <f t="shared" si="190"/>
        <v>Pass</v>
      </c>
      <c r="DC159" s="299">
        <f t="shared" si="191"/>
        <v>10.287192220153113</v>
      </c>
      <c r="DD159" s="293" t="str">
        <f t="shared" si="192"/>
        <v>Pass</v>
      </c>
      <c r="DE159" s="299">
        <f t="shared" si="193"/>
        <v>9.2616406592717908</v>
      </c>
      <c r="DF159" s="293" t="str">
        <f t="shared" si="194"/>
        <v>Pass</v>
      </c>
      <c r="DG159" s="299">
        <f t="shared" si="195"/>
        <v>8.1485764296221799</v>
      </c>
      <c r="DH159" s="293" t="str">
        <f t="shared" si="196"/>
        <v>Pass</v>
      </c>
    </row>
    <row r="160" spans="1:112" ht="15" thickTop="1" thickBot="1">
      <c r="A160" s="38" t="s">
        <v>430</v>
      </c>
      <c r="B160" s="38" t="s">
        <v>431</v>
      </c>
      <c r="C160" s="38" t="s">
        <v>430</v>
      </c>
      <c r="D160" s="38" t="s">
        <v>113</v>
      </c>
      <c r="E160" s="38" t="str">
        <f>VLOOKUP(C160,PoliticalControl!A:K,11,FALSE)</f>
        <v>CON</v>
      </c>
      <c r="F160" s="38" t="str">
        <f>VLOOKUP(C160,UrbanRuralClassification!A:N,13,FALSE)</f>
        <v>Urban with Significant Rural (rural including hub towns 26-49%)</v>
      </c>
      <c r="G160" s="38" t="str">
        <f>VLOOKUP(C160,UrbanRuralClassification!A:N,14,FALSE)</f>
        <v>Urban with Significant Rural</v>
      </c>
      <c r="H160" s="258">
        <f>IF(ISBLANK((VLOOKUP($A160,'local-plan-data'!$C$1:$AD$566,27,FALSE)))=TRUE,"",VLOOKUP($A160,'local-plan-data'!$C$1:$AD$566,27,FALSE))</f>
        <v>43033</v>
      </c>
      <c r="I160" s="259">
        <f>VLOOKUP($A160,'local-plan-data'!$C$1:$AD$566,28,FALSE)</f>
        <v>883</v>
      </c>
      <c r="J160" s="260">
        <f t="shared" si="151"/>
        <v>883</v>
      </c>
      <c r="K160" s="259">
        <f t="shared" si="197"/>
        <v>883</v>
      </c>
      <c r="L160" s="259">
        <f t="shared" si="199"/>
        <v>883</v>
      </c>
      <c r="M160" s="259">
        <f t="shared" si="199"/>
        <v>883</v>
      </c>
      <c r="N160" s="259">
        <f t="shared" si="199"/>
        <v>883</v>
      </c>
      <c r="O160" s="259">
        <f t="shared" si="199"/>
        <v>883</v>
      </c>
      <c r="P160" s="259" t="str">
        <f t="shared" si="199"/>
        <v>-</v>
      </c>
      <c r="Q160" s="259" t="str">
        <f t="shared" si="199"/>
        <v>-</v>
      </c>
      <c r="R160" s="259" t="str">
        <f t="shared" si="199"/>
        <v>-</v>
      </c>
      <c r="S160" s="259">
        <f t="shared" si="198"/>
        <v>1668</v>
      </c>
      <c r="T160" s="259">
        <f t="shared" si="200"/>
        <v>1303</v>
      </c>
      <c r="U160" s="259">
        <f t="shared" si="200"/>
        <v>937</v>
      </c>
      <c r="V160" s="259">
        <f t="shared" si="200"/>
        <v>572</v>
      </c>
      <c r="W160" s="259">
        <f t="shared" si="200"/>
        <v>207</v>
      </c>
      <c r="X160" s="259">
        <f t="shared" si="200"/>
        <v>-158</v>
      </c>
      <c r="Y160" s="259">
        <f t="shared" si="200"/>
        <v>-524</v>
      </c>
      <c r="Z160" s="259">
        <f t="shared" si="200"/>
        <v>-889</v>
      </c>
      <c r="AA160" s="267">
        <f>(VLOOKUP(A160,Hshldprojections2014!$A$2:$AW$319,40, FALSE)-VLOOKUP(A160,Hshldprojections2014!$A$2:$AW$319,30, FALSE))/10</f>
        <v>868</v>
      </c>
      <c r="AB160" s="267">
        <f>(VLOOKUP(A160,Hshldprojections2014!$A$2:$AW$319,41, FALSE)-VLOOKUP(A160,Hshldprojections2014!$A$2:$AW$319,31, FALSE))/10</f>
        <v>855.4</v>
      </c>
      <c r="AC160" s="267">
        <f>(VLOOKUP(A160,Hshldprojections2014!$A$2:$AW$319,42, FALSE)-VLOOKUP(A160,Hshldprojections2014!$A$2:$AW$319,32, FALSE))/10</f>
        <v>847.1</v>
      </c>
      <c r="AD160" s="267">
        <f>IF(IndividualLATest!$J$7=2014,(VLOOKUP($A160,Hshldprojections2014!$A$2:$AY$326,43,FALSE)-VLOOKUP($A160,Hshldprojections2014!$A$2:$AY$326,33,FALSE))/10,IF(IndividualLATest!$J$7=2016,(VLOOKUP($A160,Hshldprojections2016!$A$1:$AQ$322,33,FALSE)-VLOOKUP($A160,Hshldprojections2016!$A$1:$AQ$322,23,FALSE))/10,(VLOOKUP($A160,Hshldprojections2018!$A$1:$AQ$327,33,FALSE)-VLOOKUP($A160,Hshldprojections2018!$A$1:$AQ$327,23,FALSE))/10))</f>
        <v>719.4</v>
      </c>
      <c r="AE160" s="267">
        <f>IF(IndividualLATest!$J$7=2014,(VLOOKUP($A160,Hshldprojections2014!$A$2:$AY$326,44,FALSE)-VLOOKUP($A160,Hshldprojections2014!$A$2:$AY$326,34,FALSE))/10,IF(IndividualLATest!$J$7=2016,(VLOOKUP($A160,Hshldprojections2016!$A$1:$AQ$322,34,FALSE)-VLOOKUP($A160,Hshldprojections2016!$A$1:$AQ$322,24,FALSE))/10,(VLOOKUP($A160,Hshldprojections2018!$A$1:$AQ$327,34,FALSE)-VLOOKUP($A160,Hshldprojections2018!$A$1:$AQ$327,24,FALSE))/10))</f>
        <v>700.7</v>
      </c>
      <c r="AF160" s="267">
        <f>IF(IndividualLATest!$J$7=2014,(VLOOKUP($A160,Hshldprojections2014!$A$2:$AY$326,45,FALSE)-VLOOKUP($A160,Hshldprojections2014!$A$2:$AY$326,35,FALSE))/10,IF(IndividualLATest!$J$7=2016,(VLOOKUP($A160,Hshldprojections2016!$A$1:$AQ$322,35,FALSE)-VLOOKUP($A160,Hshldprojections2016!$A$1:$AQ$322,25,FALSE))/10,(VLOOKUP($A160,Hshldprojections2018!$A$1:$AQ$327,35,FALSE)-VLOOKUP($A160,Hshldprojections2018!$A$1:$AQ$327,25,FALSE))/10))</f>
        <v>686.2</v>
      </c>
      <c r="AG160" s="267">
        <f>IF(IndividualLATest!$J$7=2014,(VLOOKUP($A160,Hshldprojections2014!$A$2:$AY$326,46,FALSE)-VLOOKUP($A160,Hshldprojections2014!$A$2:$AY$326,36,FALSE))/10,IF(IndividualLATest!$J$7=2016,(VLOOKUP($A160,Hshldprojections2016!$A$1:$AQ$322,36,FALSE)-VLOOKUP($A160,Hshldprojections2016!$A$1:$AQ$322,26,FALSE))/10,(VLOOKUP($A160,Hshldprojections2018!$A$1:$AQ$327,36,FALSE)-VLOOKUP($A160,Hshldprojections2018!$A$1:$AQ$327,26,FALSE))/10))</f>
        <v>672.2</v>
      </c>
      <c r="AH160" s="267">
        <f>IF(IndividualLATest!$J$7=2014,(VLOOKUP($A160,Hshldprojections2014!$A$2:$AY$326,47,FALSE)-VLOOKUP($A160,Hshldprojections2014!$A$2:$AY$326,37,FALSE))/10,IF(IndividualLATest!$J$7=2016,(VLOOKUP($A160,Hshldprojections2016!$A$1:$AQ$322,37,FALSE)-VLOOKUP($A160,Hshldprojections2016!$A$1:$AQ$322,27,FALSE))/10,(VLOOKUP($A160,Hshldprojections2018!$A$1:$AQ$327,37,FALSE)-VLOOKUP($A160,Hshldprojections2018!$A$1:$AQ$327,27,FALSE))/10))</f>
        <v>664.6</v>
      </c>
      <c r="AI160" s="268">
        <f>VLOOKUP($A160,AffordabilityRatio!$A$2:$I$321,5,FALSE)</f>
        <v>10.3</v>
      </c>
      <c r="AJ160" s="268">
        <f>VLOOKUP($A160,AffordabilityRatio!$A$2:$I$321,6,FALSE)</f>
        <v>11.21</v>
      </c>
      <c r="AK160" s="268">
        <f>VLOOKUP($A160,AffordabilityRatio!$A$2:$I$321,7,FALSE)</f>
        <v>10.46</v>
      </c>
      <c r="AL160" s="268">
        <f>IF((VLOOKUP($A160,AffordabilityRatio!$A$2:$I$321,8,FALSE))="",AK160,VLOOKUP($A160,AffordabilityRatio!$A$2:$I$321,8,FALSE))</f>
        <v>10.33</v>
      </c>
      <c r="AM160" s="268">
        <f>IF((VLOOKUP($A160,AffordabilityRatio!$A$2:$I$321,9,FALSE))="",AL160,VLOOKUP($A160,AffordabilityRatio!$A$2:$I$321,9,FALSE))</f>
        <v>10.85</v>
      </c>
      <c r="AN160" s="268">
        <f>IF((VLOOKUP($A160,AffordabilityRatio!$A$2:$I$321,9,FALSE))="",AM160,VLOOKUP($A160,AffordabilityRatio!$A$2:$I$321,9,FALSE))</f>
        <v>10.85</v>
      </c>
      <c r="AO160" s="268">
        <f>IF((VLOOKUP($A160,AffordabilityRatio!$A$2:$I$321,9,FALSE))="",AN160,VLOOKUP($A160,AffordabilityRatio!$A$2:$I$321,9,FALSE))</f>
        <v>10.85</v>
      </c>
      <c r="AP160" s="268">
        <f>IF((VLOOKUP($A160,AffordabilityRatio!$A$2:$I$321,9,FALSE))="",AO160,VLOOKUP($A160,AffordabilityRatio!$A$2:$I$321,9,FALSE))</f>
        <v>10.85</v>
      </c>
      <c r="AQ160" s="267">
        <f t="shared" si="152"/>
        <v>1210</v>
      </c>
      <c r="AR160" s="267">
        <f t="shared" si="153"/>
        <v>1241</v>
      </c>
      <c r="AS160" s="267">
        <f t="shared" si="154"/>
        <v>1189</v>
      </c>
      <c r="AT160" s="267">
        <f t="shared" si="155"/>
        <v>1004</v>
      </c>
      <c r="AU160" s="267">
        <f t="shared" si="156"/>
        <v>1001</v>
      </c>
      <c r="AV160" s="267">
        <f t="shared" si="157"/>
        <v>980</v>
      </c>
      <c r="AW160" s="267">
        <f t="shared" si="158"/>
        <v>960</v>
      </c>
      <c r="AX160" s="267">
        <f t="shared" si="159"/>
        <v>949</v>
      </c>
      <c r="AY160" s="267">
        <f t="shared" si="160"/>
        <v>1210</v>
      </c>
      <c r="AZ160" s="267">
        <f t="shared" si="161"/>
        <v>1236.2</v>
      </c>
      <c r="BA160" s="267">
        <f t="shared" si="162"/>
        <v>1189</v>
      </c>
      <c r="BB160" s="267">
        <f t="shared" si="163"/>
        <v>1004</v>
      </c>
      <c r="BC160" s="267">
        <f t="shared" si="164"/>
        <v>1001</v>
      </c>
      <c r="BD160" s="267">
        <f t="shared" si="165"/>
        <v>980</v>
      </c>
      <c r="BE160" s="267">
        <f t="shared" si="166"/>
        <v>960</v>
      </c>
      <c r="BF160" s="267">
        <f t="shared" si="167"/>
        <v>949</v>
      </c>
      <c r="BG160" s="269">
        <f>AY160*VLOOKUP($B160,'Major Cities &amp; Towns'!$A$28:$B$345,2,FALSE)</f>
        <v>1210</v>
      </c>
      <c r="BH160" s="269">
        <f>AZ160*VLOOKUP($B160,'Major Cities &amp; Towns'!$A$28:$B$345,2,FALSE)</f>
        <v>1236.2</v>
      </c>
      <c r="BI160" s="269">
        <f>BA160*VLOOKUP($B160,'Major Cities &amp; Towns'!$A$28:$B$345,2,FALSE)</f>
        <v>1189</v>
      </c>
      <c r="BJ160" s="269">
        <f>BB160*VLOOKUP($B160,'Major Cities &amp; Towns'!$A$28:$B$345,2,FALSE)</f>
        <v>1004</v>
      </c>
      <c r="BK160" s="269">
        <f>BC160*VLOOKUP($B160,'Major Cities &amp; Towns'!$A$28:$B$345,2,FALSE)</f>
        <v>1001</v>
      </c>
      <c r="BL160" s="269">
        <f>BD160*VLOOKUP($B160,'Major Cities &amp; Towns'!$A$28:$B$345,2,FALSE)</f>
        <v>980</v>
      </c>
      <c r="BM160" s="269">
        <f>BE160*VLOOKUP($B160,'Major Cities &amp; Towns'!$A$28:$B$345,2,FALSE)</f>
        <v>960</v>
      </c>
      <c r="BN160" s="269">
        <f>BF160*VLOOKUP($B160,'Major Cities &amp; Towns'!$A$28:$B$345,2,FALSE)</f>
        <v>949</v>
      </c>
      <c r="BO160" s="270">
        <f t="shared" si="168"/>
        <v>883</v>
      </c>
      <c r="BP160" s="270">
        <f t="shared" si="169"/>
        <v>883</v>
      </c>
      <c r="BQ160" s="270">
        <f t="shared" si="170"/>
        <v>883</v>
      </c>
      <c r="BR160" s="270">
        <f t="shared" si="171"/>
        <v>883</v>
      </c>
      <c r="BS160" s="270">
        <f t="shared" si="172"/>
        <v>934.0794520547945</v>
      </c>
      <c r="BT160" s="270">
        <f t="shared" si="173"/>
        <v>980</v>
      </c>
      <c r="BU160" s="270">
        <f t="shared" si="174"/>
        <v>960</v>
      </c>
      <c r="BV160" s="270">
        <f t="shared" si="175"/>
        <v>949</v>
      </c>
      <c r="BW160" s="39">
        <f>VLOOKUP($A160,NetAdditions!$A$2:$H$336,6,FALSE)</f>
        <v>1146</v>
      </c>
      <c r="BX160" s="39">
        <f>VLOOKUP($A160,NetAdditions!$A$2:$H$336,7,FALSE)</f>
        <v>1355</v>
      </c>
      <c r="BY160" s="39">
        <f>IF((VLOOKUP($C160,NetAdditions!$A$2:$H$336,8,FALSE))="",(AVERAGE(VLOOKUP($C160,NetAdditions!$A$2:$H$336,5,FALSE),VLOOKUP($C160,NetAdditions!$A$2:$H$336,6,FALSE),VLOOKUP($C160,NetAdditions!$A$2:$H$336,7,FALSE))),VLOOKUP($C160,NetAdditions!$A$2:$H$336,8,FALSE))</f>
        <v>1377</v>
      </c>
      <c r="BZ160" s="39">
        <f t="shared" si="176"/>
        <v>1292.6666666666667</v>
      </c>
      <c r="CA160" s="39">
        <f t="shared" si="177"/>
        <v>1341.5555555555557</v>
      </c>
      <c r="CB160" s="39">
        <f t="shared" si="178"/>
        <v>1337.0740740740741</v>
      </c>
      <c r="CC160" s="39">
        <f t="shared" si="179"/>
        <v>1323.7654320987656</v>
      </c>
      <c r="CD160" s="39">
        <f t="shared" si="180"/>
        <v>1334.1316872427985</v>
      </c>
      <c r="CE160" s="276">
        <f t="shared" si="137"/>
        <v>2649</v>
      </c>
      <c r="CF160" s="276">
        <f t="shared" si="138"/>
        <v>2649</v>
      </c>
      <c r="CG160" s="276">
        <f t="shared" si="139"/>
        <v>2700.0794520547943</v>
      </c>
      <c r="CH160" s="276">
        <f t="shared" si="140"/>
        <v>2797.0794520547943</v>
      </c>
      <c r="CI160" s="276">
        <f t="shared" si="141"/>
        <v>2874.0794520547943</v>
      </c>
      <c r="CJ160" s="276">
        <f t="shared" si="142"/>
        <v>2889</v>
      </c>
      <c r="CK160" s="276">
        <f t="shared" si="181"/>
        <v>2281.0833333333335</v>
      </c>
      <c r="CL160" s="276">
        <f t="shared" si="182"/>
        <v>2281.0833333333335</v>
      </c>
      <c r="CM160" s="276">
        <f t="shared" si="183"/>
        <v>2475.0728310502282</v>
      </c>
      <c r="CN160" s="276">
        <f t="shared" si="184"/>
        <v>2797.0794520547943</v>
      </c>
      <c r="CO160" s="276">
        <f t="shared" si="185"/>
        <v>2874.0794520547943</v>
      </c>
      <c r="CP160" s="276">
        <f t="shared" si="186"/>
        <v>2889</v>
      </c>
      <c r="CQ160" s="39">
        <f t="shared" si="143"/>
        <v>3878</v>
      </c>
      <c r="CR160" s="39">
        <f t="shared" si="144"/>
        <v>4024.666666666667</v>
      </c>
      <c r="CS160" s="277">
        <f t="shared" si="145"/>
        <v>4011.2222222222226</v>
      </c>
      <c r="CT160" s="39">
        <f t="shared" si="146"/>
        <v>3971.2962962962965</v>
      </c>
      <c r="CU160" s="39">
        <f t="shared" si="147"/>
        <v>4002.3950617283954</v>
      </c>
      <c r="CV160" s="39">
        <f t="shared" si="187"/>
        <v>3994.9711934156385</v>
      </c>
      <c r="CW160" s="297">
        <f t="shared" si="148"/>
        <v>1.700069411463851</v>
      </c>
      <c r="CX160" s="279" t="str">
        <f t="shared" si="188"/>
        <v>Pass</v>
      </c>
      <c r="CY160" s="278">
        <f t="shared" si="149"/>
        <v>1.764366346399737</v>
      </c>
      <c r="CZ160" s="279" t="str">
        <f t="shared" si="189"/>
        <v>Pass</v>
      </c>
      <c r="DA160" s="278">
        <f t="shared" si="150"/>
        <v>1.6206481570565228</v>
      </c>
      <c r="DB160" s="292" t="str">
        <f t="shared" si="190"/>
        <v>Pass</v>
      </c>
      <c r="DC160" s="299">
        <f t="shared" si="191"/>
        <v>1.4198010333166966</v>
      </c>
      <c r="DD160" s="293" t="str">
        <f t="shared" si="192"/>
        <v>Pass</v>
      </c>
      <c r="DE160" s="299">
        <f t="shared" si="193"/>
        <v>1.3925833048445906</v>
      </c>
      <c r="DF160" s="293" t="str">
        <f t="shared" si="194"/>
        <v>Pass</v>
      </c>
      <c r="DG160" s="299">
        <f t="shared" si="195"/>
        <v>1.3828214584339351</v>
      </c>
      <c r="DH160" s="293" t="str">
        <f t="shared" si="196"/>
        <v>Pass</v>
      </c>
    </row>
    <row r="161" spans="1:112" ht="15" thickTop="1" thickBot="1">
      <c r="A161" s="38" t="s">
        <v>432</v>
      </c>
      <c r="B161" s="38" t="s">
        <v>433</v>
      </c>
      <c r="C161" s="38" t="s">
        <v>432</v>
      </c>
      <c r="D161" s="38" t="s">
        <v>128</v>
      </c>
      <c r="E161" s="38" t="str">
        <f>VLOOKUP(C161,PoliticalControl!A:K,11,FALSE)</f>
        <v>NOC</v>
      </c>
      <c r="F161" s="38" t="str">
        <f>VLOOKUP(C161,UrbanRuralClassification!A:N,13,FALSE)</f>
        <v xml:space="preserve">Mainly Rural (rural including hub towns &gt;=80%) </v>
      </c>
      <c r="G161" s="38" t="str">
        <f>VLOOKUP(C161,UrbanRuralClassification!A:N,14,FALSE)</f>
        <v>Predominantly Rural</v>
      </c>
      <c r="H161" s="258">
        <f>IF(ISBLANK((VLOOKUP($A161,'local-plan-data'!$C$1:$AD$566,27,FALSE)))=TRUE,"",VLOOKUP($A161,'local-plan-data'!$C$1:$AD$566,27,FALSE))</f>
        <v>42937</v>
      </c>
      <c r="I161" s="259">
        <f>VLOOKUP($A161,'local-plan-data'!$C$1:$AD$566,28,FALSE)</f>
        <v>310</v>
      </c>
      <c r="J161" s="260">
        <f t="shared" si="151"/>
        <v>310</v>
      </c>
      <c r="K161" s="259">
        <f t="shared" si="197"/>
        <v>310</v>
      </c>
      <c r="L161" s="259">
        <f t="shared" si="199"/>
        <v>310</v>
      </c>
      <c r="M161" s="259">
        <f t="shared" si="199"/>
        <v>310</v>
      </c>
      <c r="N161" s="259">
        <f t="shared" si="199"/>
        <v>310</v>
      </c>
      <c r="O161" s="259">
        <f t="shared" si="199"/>
        <v>310</v>
      </c>
      <c r="P161" s="259" t="str">
        <f t="shared" si="199"/>
        <v>-</v>
      </c>
      <c r="Q161" s="259" t="str">
        <f t="shared" si="199"/>
        <v>-</v>
      </c>
      <c r="R161" s="259" t="str">
        <f t="shared" si="199"/>
        <v>-</v>
      </c>
      <c r="S161" s="259">
        <f t="shared" si="198"/>
        <v>1572</v>
      </c>
      <c r="T161" s="259">
        <f t="shared" si="200"/>
        <v>1207</v>
      </c>
      <c r="U161" s="259">
        <f t="shared" si="200"/>
        <v>841</v>
      </c>
      <c r="V161" s="259">
        <f t="shared" si="200"/>
        <v>476</v>
      </c>
      <c r="W161" s="259">
        <f t="shared" si="200"/>
        <v>111</v>
      </c>
      <c r="X161" s="259">
        <f t="shared" si="200"/>
        <v>-254</v>
      </c>
      <c r="Y161" s="259">
        <f t="shared" si="200"/>
        <v>-620</v>
      </c>
      <c r="Z161" s="259">
        <f t="shared" si="200"/>
        <v>-985</v>
      </c>
      <c r="AA161" s="267">
        <f>(VLOOKUP(A161,Hshldprojections2014!$A$2:$AW$319,40, FALSE)-VLOOKUP(A161,Hshldprojections2014!$A$2:$AW$319,30, FALSE))/10</f>
        <v>214.3</v>
      </c>
      <c r="AB161" s="267">
        <f>(VLOOKUP(A161,Hshldprojections2014!$A$2:$AW$319,41, FALSE)-VLOOKUP(A161,Hshldprojections2014!$A$2:$AW$319,31, FALSE))/10</f>
        <v>209.9</v>
      </c>
      <c r="AC161" s="267">
        <f>(VLOOKUP(A161,Hshldprojections2014!$A$2:$AW$319,42, FALSE)-VLOOKUP(A161,Hshldprojections2014!$A$2:$AW$319,32, FALSE))/10</f>
        <v>206.6</v>
      </c>
      <c r="AD161" s="267">
        <f>IF(IndividualLATest!$J$7=2014,(VLOOKUP($A161,Hshldprojections2014!$A$2:$AY$326,43,FALSE)-VLOOKUP($A161,Hshldprojections2014!$A$2:$AY$326,33,FALSE))/10,IF(IndividualLATest!$J$7=2016,(VLOOKUP($A161,Hshldprojections2016!$A$1:$AQ$322,33,FALSE)-VLOOKUP($A161,Hshldprojections2016!$A$1:$AQ$322,23,FALSE))/10,(VLOOKUP($A161,Hshldprojections2018!$A$1:$AQ$327,33,FALSE)-VLOOKUP($A161,Hshldprojections2018!$A$1:$AQ$327,23,FALSE))/10))</f>
        <v>245</v>
      </c>
      <c r="AE161" s="267">
        <f>IF(IndividualLATest!$J$7=2014,(VLOOKUP($A161,Hshldprojections2014!$A$2:$AY$326,44,FALSE)-VLOOKUP($A161,Hshldprojections2014!$A$2:$AY$326,34,FALSE))/10,IF(IndividualLATest!$J$7=2016,(VLOOKUP($A161,Hshldprojections2016!$A$1:$AQ$322,34,FALSE)-VLOOKUP($A161,Hshldprojections2016!$A$1:$AQ$322,24,FALSE))/10,(VLOOKUP($A161,Hshldprojections2018!$A$1:$AQ$327,34,FALSE)-VLOOKUP($A161,Hshldprojections2018!$A$1:$AQ$327,24,FALSE))/10))</f>
        <v>237.2</v>
      </c>
      <c r="AF161" s="267">
        <f>IF(IndividualLATest!$J$7=2014,(VLOOKUP($A161,Hshldprojections2014!$A$2:$AY$326,45,FALSE)-VLOOKUP($A161,Hshldprojections2014!$A$2:$AY$326,35,FALSE))/10,IF(IndividualLATest!$J$7=2016,(VLOOKUP($A161,Hshldprojections2016!$A$1:$AQ$322,35,FALSE)-VLOOKUP($A161,Hshldprojections2016!$A$1:$AQ$322,25,FALSE))/10,(VLOOKUP($A161,Hshldprojections2018!$A$1:$AQ$327,35,FALSE)-VLOOKUP($A161,Hshldprojections2018!$A$1:$AQ$327,25,FALSE))/10))</f>
        <v>231</v>
      </c>
      <c r="AG161" s="267">
        <f>IF(IndividualLATest!$J$7=2014,(VLOOKUP($A161,Hshldprojections2014!$A$2:$AY$326,46,FALSE)-VLOOKUP($A161,Hshldprojections2014!$A$2:$AY$326,36,FALSE))/10,IF(IndividualLATest!$J$7=2016,(VLOOKUP($A161,Hshldprojections2016!$A$1:$AQ$322,36,FALSE)-VLOOKUP($A161,Hshldprojections2016!$A$1:$AQ$322,26,FALSE))/10,(VLOOKUP($A161,Hshldprojections2018!$A$1:$AQ$327,36,FALSE)-VLOOKUP($A161,Hshldprojections2018!$A$1:$AQ$327,26,FALSE))/10))</f>
        <v>223.1</v>
      </c>
      <c r="AH161" s="267">
        <f>IF(IndividualLATest!$J$7=2014,(VLOOKUP($A161,Hshldprojections2014!$A$2:$AY$326,47,FALSE)-VLOOKUP($A161,Hshldprojections2014!$A$2:$AY$326,37,FALSE))/10,IF(IndividualLATest!$J$7=2016,(VLOOKUP($A161,Hshldprojections2016!$A$1:$AQ$322,37,FALSE)-VLOOKUP($A161,Hshldprojections2016!$A$1:$AQ$322,27,FALSE))/10,(VLOOKUP($A161,Hshldprojections2018!$A$1:$AQ$327,37,FALSE)-VLOOKUP($A161,Hshldprojections2018!$A$1:$AQ$327,27,FALSE))/10))</f>
        <v>217</v>
      </c>
      <c r="AI161" s="268">
        <f>VLOOKUP($A161,AffordabilityRatio!$A$2:$I$321,5,FALSE)</f>
        <v>10.83</v>
      </c>
      <c r="AJ161" s="268">
        <f>VLOOKUP($A161,AffordabilityRatio!$A$2:$I$321,6,FALSE)</f>
        <v>11.46</v>
      </c>
      <c r="AK161" s="268">
        <f>VLOOKUP($A161,AffordabilityRatio!$A$2:$I$321,7,FALSE)</f>
        <v>11.93</v>
      </c>
      <c r="AL161" s="268">
        <f>IF((VLOOKUP($A161,AffordabilityRatio!$A$2:$I$321,8,FALSE))="",AK161,VLOOKUP($A161,AffordabilityRatio!$A$2:$I$321,8,FALSE))</f>
        <v>11.86</v>
      </c>
      <c r="AM161" s="268">
        <f>IF((VLOOKUP($A161,AffordabilityRatio!$A$2:$I$321,9,FALSE))="",AL161,VLOOKUP($A161,AffordabilityRatio!$A$2:$I$321,9,FALSE))</f>
        <v>13.18</v>
      </c>
      <c r="AN161" s="268">
        <f>IF((VLOOKUP($A161,AffordabilityRatio!$A$2:$I$321,9,FALSE))="",AM161,VLOOKUP($A161,AffordabilityRatio!$A$2:$I$321,9,FALSE))</f>
        <v>13.18</v>
      </c>
      <c r="AO161" s="268">
        <f>IF((VLOOKUP($A161,AffordabilityRatio!$A$2:$I$321,9,FALSE))="",AN161,VLOOKUP($A161,AffordabilityRatio!$A$2:$I$321,9,FALSE))</f>
        <v>13.18</v>
      </c>
      <c r="AP161" s="268">
        <f>IF((VLOOKUP($A161,AffordabilityRatio!$A$2:$I$321,9,FALSE))="",AO161,VLOOKUP($A161,AffordabilityRatio!$A$2:$I$321,9,FALSE))</f>
        <v>13.18</v>
      </c>
      <c r="AQ161" s="267">
        <f t="shared" si="152"/>
        <v>306</v>
      </c>
      <c r="AR161" s="267">
        <f t="shared" si="153"/>
        <v>308</v>
      </c>
      <c r="AS161" s="267">
        <f t="shared" si="154"/>
        <v>309</v>
      </c>
      <c r="AT161" s="267">
        <f t="shared" si="155"/>
        <v>365</v>
      </c>
      <c r="AU161" s="267">
        <f t="shared" si="156"/>
        <v>373</v>
      </c>
      <c r="AV161" s="267">
        <f t="shared" si="157"/>
        <v>364</v>
      </c>
      <c r="AW161" s="267">
        <f t="shared" si="158"/>
        <v>351</v>
      </c>
      <c r="AX161" s="267">
        <f t="shared" si="159"/>
        <v>342</v>
      </c>
      <c r="AY161" s="267">
        <f t="shared" si="160"/>
        <v>306</v>
      </c>
      <c r="AZ161" s="267">
        <f t="shared" si="161"/>
        <v>308</v>
      </c>
      <c r="BA161" s="267">
        <f t="shared" si="162"/>
        <v>309</v>
      </c>
      <c r="BB161" s="267">
        <f t="shared" si="163"/>
        <v>365</v>
      </c>
      <c r="BC161" s="267">
        <f t="shared" si="164"/>
        <v>373</v>
      </c>
      <c r="BD161" s="267">
        <f t="shared" si="165"/>
        <v>364</v>
      </c>
      <c r="BE161" s="267">
        <f t="shared" si="166"/>
        <v>351</v>
      </c>
      <c r="BF161" s="267">
        <f t="shared" si="167"/>
        <v>342</v>
      </c>
      <c r="BG161" s="269">
        <f>AY161*VLOOKUP($B161,'Major Cities &amp; Towns'!$A$28:$B$345,2,FALSE)</f>
        <v>306</v>
      </c>
      <c r="BH161" s="269">
        <f>AZ161*VLOOKUP($B161,'Major Cities &amp; Towns'!$A$28:$B$345,2,FALSE)</f>
        <v>308</v>
      </c>
      <c r="BI161" s="269">
        <f>BA161*VLOOKUP($B161,'Major Cities &amp; Towns'!$A$28:$B$345,2,FALSE)</f>
        <v>309</v>
      </c>
      <c r="BJ161" s="269">
        <f>BB161*VLOOKUP($B161,'Major Cities &amp; Towns'!$A$28:$B$345,2,FALSE)</f>
        <v>365</v>
      </c>
      <c r="BK161" s="269">
        <f>BC161*VLOOKUP($B161,'Major Cities &amp; Towns'!$A$28:$B$345,2,FALSE)</f>
        <v>373</v>
      </c>
      <c r="BL161" s="269">
        <f>BD161*VLOOKUP($B161,'Major Cities &amp; Towns'!$A$28:$B$345,2,FALSE)</f>
        <v>364</v>
      </c>
      <c r="BM161" s="269">
        <f>BE161*VLOOKUP($B161,'Major Cities &amp; Towns'!$A$28:$B$345,2,FALSE)</f>
        <v>351</v>
      </c>
      <c r="BN161" s="269">
        <f>BF161*VLOOKUP($B161,'Major Cities &amp; Towns'!$A$28:$B$345,2,FALSE)</f>
        <v>342</v>
      </c>
      <c r="BO161" s="270">
        <f t="shared" si="168"/>
        <v>306</v>
      </c>
      <c r="BP161" s="270">
        <f t="shared" si="169"/>
        <v>308</v>
      </c>
      <c r="BQ161" s="270">
        <f t="shared" si="170"/>
        <v>309</v>
      </c>
      <c r="BR161" s="270">
        <f t="shared" si="171"/>
        <v>310</v>
      </c>
      <c r="BS161" s="270">
        <f t="shared" si="172"/>
        <v>353.84109589041094</v>
      </c>
      <c r="BT161" s="270">
        <f t="shared" si="173"/>
        <v>364</v>
      </c>
      <c r="BU161" s="270">
        <f t="shared" si="174"/>
        <v>351</v>
      </c>
      <c r="BV161" s="270">
        <f t="shared" si="175"/>
        <v>342</v>
      </c>
      <c r="BW161" s="39">
        <f>VLOOKUP($A161,NetAdditions!$A$2:$H$336,6,FALSE)</f>
        <v>317</v>
      </c>
      <c r="BX161" s="39">
        <f>VLOOKUP($A161,NetAdditions!$A$2:$H$336,7,FALSE)</f>
        <v>467</v>
      </c>
      <c r="BY161" s="39">
        <f>IF((VLOOKUP($C161,NetAdditions!$A$2:$H$336,8,FALSE))="",(AVERAGE(VLOOKUP($C161,NetAdditions!$A$2:$H$336,5,FALSE),VLOOKUP($C161,NetAdditions!$A$2:$H$336,6,FALSE),VLOOKUP($C161,NetAdditions!$A$2:$H$336,7,FALSE))),VLOOKUP($C161,NetAdditions!$A$2:$H$336,8,FALSE))</f>
        <v>425</v>
      </c>
      <c r="BZ161" s="39">
        <f t="shared" si="176"/>
        <v>403</v>
      </c>
      <c r="CA161" s="39">
        <f t="shared" si="177"/>
        <v>431.66666666666669</v>
      </c>
      <c r="CB161" s="39">
        <f t="shared" si="178"/>
        <v>419.88888888888891</v>
      </c>
      <c r="CC161" s="39">
        <f t="shared" si="179"/>
        <v>418.18518518518522</v>
      </c>
      <c r="CD161" s="39">
        <f t="shared" si="180"/>
        <v>423.24691358024694</v>
      </c>
      <c r="CE161" s="276">
        <f t="shared" si="137"/>
        <v>923</v>
      </c>
      <c r="CF161" s="276">
        <f t="shared" si="138"/>
        <v>927</v>
      </c>
      <c r="CG161" s="276">
        <f t="shared" si="139"/>
        <v>972.841095890411</v>
      </c>
      <c r="CH161" s="276">
        <f t="shared" si="140"/>
        <v>1027.841095890411</v>
      </c>
      <c r="CI161" s="276">
        <f t="shared" si="141"/>
        <v>1068.841095890411</v>
      </c>
      <c r="CJ161" s="276">
        <f t="shared" si="142"/>
        <v>1057</v>
      </c>
      <c r="CK161" s="276">
        <f t="shared" si="181"/>
        <v>794.80555555555566</v>
      </c>
      <c r="CL161" s="276">
        <f t="shared" si="182"/>
        <v>798.25</v>
      </c>
      <c r="CM161" s="276">
        <f t="shared" si="183"/>
        <v>891.77100456621008</v>
      </c>
      <c r="CN161" s="276">
        <f t="shared" si="184"/>
        <v>1027.841095890411</v>
      </c>
      <c r="CO161" s="276">
        <f t="shared" si="185"/>
        <v>1068.841095890411</v>
      </c>
      <c r="CP161" s="276">
        <f t="shared" si="186"/>
        <v>1057</v>
      </c>
      <c r="CQ161" s="39">
        <f t="shared" si="143"/>
        <v>1209</v>
      </c>
      <c r="CR161" s="39">
        <f t="shared" si="144"/>
        <v>1295</v>
      </c>
      <c r="CS161" s="277">
        <f t="shared" si="145"/>
        <v>1259.6666666666667</v>
      </c>
      <c r="CT161" s="39">
        <f t="shared" si="146"/>
        <v>1254.5555555555557</v>
      </c>
      <c r="CU161" s="39">
        <f t="shared" si="147"/>
        <v>1269.7407407407409</v>
      </c>
      <c r="CV161" s="39">
        <f t="shared" si="187"/>
        <v>1261.320987654321</v>
      </c>
      <c r="CW161" s="297">
        <f t="shared" si="148"/>
        <v>1.52112676056338</v>
      </c>
      <c r="CX161" s="279" t="str">
        <f t="shared" si="188"/>
        <v>Pass</v>
      </c>
      <c r="CY161" s="278">
        <f t="shared" si="149"/>
        <v>1.6222987785781398</v>
      </c>
      <c r="CZ161" s="279" t="str">
        <f t="shared" si="189"/>
        <v>Pass</v>
      </c>
      <c r="DA161" s="278">
        <f t="shared" si="150"/>
        <v>1.412544992174773</v>
      </c>
      <c r="DB161" s="292" t="str">
        <f t="shared" si="190"/>
        <v>Pass</v>
      </c>
      <c r="DC161" s="299">
        <f t="shared" si="191"/>
        <v>1.2205734530090409</v>
      </c>
      <c r="DD161" s="293" t="str">
        <f t="shared" si="192"/>
        <v>Pass</v>
      </c>
      <c r="DE161" s="299">
        <f t="shared" si="193"/>
        <v>1.187960254917938</v>
      </c>
      <c r="DF161" s="293" t="str">
        <f t="shared" si="194"/>
        <v>Pass</v>
      </c>
      <c r="DG161" s="299">
        <f t="shared" si="195"/>
        <v>1.1933027319340785</v>
      </c>
      <c r="DH161" s="293" t="str">
        <f t="shared" si="196"/>
        <v>Pass</v>
      </c>
    </row>
    <row r="162" spans="1:112" ht="15" thickTop="1" thickBot="1">
      <c r="A162" s="38" t="s">
        <v>434</v>
      </c>
      <c r="B162" s="38" t="s">
        <v>435</v>
      </c>
      <c r="C162" s="38" t="s">
        <v>434</v>
      </c>
      <c r="D162" s="38" t="s">
        <v>154</v>
      </c>
      <c r="E162" s="38" t="str">
        <f>VLOOKUP(C162,PoliticalControl!A:K,11,FALSE)</f>
        <v>NOC</v>
      </c>
      <c r="F162" s="38" t="str">
        <f>VLOOKUP(C162,UrbanRuralClassification!A:N,13,FALSE)</f>
        <v xml:space="preserve">Largely Rural (rural including hub towns 50-79%) </v>
      </c>
      <c r="G162" s="38" t="str">
        <f>VLOOKUP(C162,UrbanRuralClassification!A:N,14,FALSE)</f>
        <v>Predominantly Rural</v>
      </c>
      <c r="H162" s="258">
        <f>IF(ISBLANK((VLOOKUP($A162,'local-plan-data'!$C$1:$AD$566,27,FALSE)))=TRUE,"",VLOOKUP($A162,'local-plan-data'!$C$1:$AD$566,27,FALSE))</f>
        <v>42425</v>
      </c>
      <c r="I162" s="259">
        <f>VLOOKUP($A162,'local-plan-data'!$C$1:$AD$566,28,FALSE)</f>
        <v>420.83333333333331</v>
      </c>
      <c r="J162" s="260">
        <f t="shared" si="151"/>
        <v>420.83333333333331</v>
      </c>
      <c r="K162" s="259">
        <f t="shared" si="197"/>
        <v>420.83333333333331</v>
      </c>
      <c r="L162" s="259">
        <f t="shared" si="199"/>
        <v>420.83333333333331</v>
      </c>
      <c r="M162" s="259">
        <f t="shared" si="199"/>
        <v>420.83333333333331</v>
      </c>
      <c r="N162" s="259" t="str">
        <f t="shared" si="199"/>
        <v>-</v>
      </c>
      <c r="O162" s="259" t="str">
        <f t="shared" si="199"/>
        <v>-</v>
      </c>
      <c r="P162" s="259" t="str">
        <f t="shared" si="199"/>
        <v>-</v>
      </c>
      <c r="Q162" s="259" t="str">
        <f t="shared" si="199"/>
        <v>-</v>
      </c>
      <c r="R162" s="259" t="str">
        <f t="shared" si="199"/>
        <v>-</v>
      </c>
      <c r="S162" s="259">
        <f t="shared" si="198"/>
        <v>1061</v>
      </c>
      <c r="T162" s="259">
        <f t="shared" si="200"/>
        <v>696</v>
      </c>
      <c r="U162" s="259">
        <f t="shared" si="200"/>
        <v>330</v>
      </c>
      <c r="V162" s="259">
        <f t="shared" si="200"/>
        <v>-35</v>
      </c>
      <c r="W162" s="259">
        <f t="shared" si="200"/>
        <v>-400</v>
      </c>
      <c r="X162" s="259">
        <f t="shared" si="200"/>
        <v>-765</v>
      </c>
      <c r="Y162" s="259">
        <f t="shared" si="200"/>
        <v>-1131</v>
      </c>
      <c r="Z162" s="259">
        <f t="shared" si="200"/>
        <v>-1496</v>
      </c>
      <c r="AA162" s="267">
        <f>(VLOOKUP(A162,Hshldprojections2014!$A$2:$AW$319,40, FALSE)-VLOOKUP(A162,Hshldprojections2014!$A$2:$AW$319,30, FALSE))/10</f>
        <v>279</v>
      </c>
      <c r="AB162" s="267">
        <f>(VLOOKUP(A162,Hshldprojections2014!$A$2:$AW$319,41, FALSE)-VLOOKUP(A162,Hshldprojections2014!$A$2:$AW$319,31, FALSE))/10</f>
        <v>277.10000000000002</v>
      </c>
      <c r="AC162" s="267">
        <f>(VLOOKUP(A162,Hshldprojections2014!$A$2:$AW$319,42, FALSE)-VLOOKUP(A162,Hshldprojections2014!$A$2:$AW$319,32, FALSE))/10</f>
        <v>277.7</v>
      </c>
      <c r="AD162" s="267">
        <f>IF(IndividualLATest!$J$7=2014,(VLOOKUP($A162,Hshldprojections2014!$A$2:$AY$326,43,FALSE)-VLOOKUP($A162,Hshldprojections2014!$A$2:$AY$326,33,FALSE))/10,IF(IndividualLATest!$J$7=2016,(VLOOKUP($A162,Hshldprojections2016!$A$1:$AQ$322,33,FALSE)-VLOOKUP($A162,Hshldprojections2016!$A$1:$AQ$322,23,FALSE))/10,(VLOOKUP($A162,Hshldprojections2018!$A$1:$AQ$327,33,FALSE)-VLOOKUP($A162,Hshldprojections2018!$A$1:$AQ$327,23,FALSE))/10))</f>
        <v>380.2</v>
      </c>
      <c r="AE162" s="267">
        <f>IF(IndividualLATest!$J$7=2014,(VLOOKUP($A162,Hshldprojections2014!$A$2:$AY$326,44,FALSE)-VLOOKUP($A162,Hshldprojections2014!$A$2:$AY$326,34,FALSE))/10,IF(IndividualLATest!$J$7=2016,(VLOOKUP($A162,Hshldprojections2016!$A$1:$AQ$322,34,FALSE)-VLOOKUP($A162,Hshldprojections2016!$A$1:$AQ$322,24,FALSE))/10,(VLOOKUP($A162,Hshldprojections2018!$A$1:$AQ$327,34,FALSE)-VLOOKUP($A162,Hshldprojections2018!$A$1:$AQ$327,24,FALSE))/10))</f>
        <v>370.9</v>
      </c>
      <c r="AF162" s="267">
        <f>IF(IndividualLATest!$J$7=2014,(VLOOKUP($A162,Hshldprojections2014!$A$2:$AY$326,45,FALSE)-VLOOKUP($A162,Hshldprojections2014!$A$2:$AY$326,35,FALSE))/10,IF(IndividualLATest!$J$7=2016,(VLOOKUP($A162,Hshldprojections2016!$A$1:$AQ$322,35,FALSE)-VLOOKUP($A162,Hshldprojections2016!$A$1:$AQ$322,25,FALSE))/10,(VLOOKUP($A162,Hshldprojections2018!$A$1:$AQ$327,35,FALSE)-VLOOKUP($A162,Hshldprojections2018!$A$1:$AQ$327,25,FALSE))/10))</f>
        <v>362.2</v>
      </c>
      <c r="AG162" s="267">
        <f>IF(IndividualLATest!$J$7=2014,(VLOOKUP($A162,Hshldprojections2014!$A$2:$AY$326,46,FALSE)-VLOOKUP($A162,Hshldprojections2014!$A$2:$AY$326,36,FALSE))/10,IF(IndividualLATest!$J$7=2016,(VLOOKUP($A162,Hshldprojections2016!$A$1:$AQ$322,36,FALSE)-VLOOKUP($A162,Hshldprojections2016!$A$1:$AQ$322,26,FALSE))/10,(VLOOKUP($A162,Hshldprojections2018!$A$1:$AQ$327,36,FALSE)-VLOOKUP($A162,Hshldprojections2018!$A$1:$AQ$327,26,FALSE))/10))</f>
        <v>353.7</v>
      </c>
      <c r="AH162" s="267">
        <f>IF(IndividualLATest!$J$7=2014,(VLOOKUP($A162,Hshldprojections2014!$A$2:$AY$326,47,FALSE)-VLOOKUP($A162,Hshldprojections2014!$A$2:$AY$326,37,FALSE))/10,IF(IndividualLATest!$J$7=2016,(VLOOKUP($A162,Hshldprojections2016!$A$1:$AQ$322,37,FALSE)-VLOOKUP($A162,Hshldprojections2016!$A$1:$AQ$322,27,FALSE))/10,(VLOOKUP($A162,Hshldprojections2018!$A$1:$AQ$327,37,FALSE)-VLOOKUP($A162,Hshldprojections2018!$A$1:$AQ$327,27,FALSE))/10))</f>
        <v>347.2</v>
      </c>
      <c r="AI162" s="268">
        <f>VLOOKUP($A162,AffordabilityRatio!$A$2:$I$321,5,FALSE)</f>
        <v>10.81</v>
      </c>
      <c r="AJ162" s="268">
        <f>VLOOKUP($A162,AffordabilityRatio!$A$2:$I$321,6,FALSE)</f>
        <v>11.41</v>
      </c>
      <c r="AK162" s="268">
        <f>VLOOKUP($A162,AffordabilityRatio!$A$2:$I$321,7,FALSE)</f>
        <v>11.16</v>
      </c>
      <c r="AL162" s="268">
        <f>IF((VLOOKUP($A162,AffordabilityRatio!$A$2:$I$321,8,FALSE))="",AK162,VLOOKUP($A162,AffordabilityRatio!$A$2:$I$321,8,FALSE))</f>
        <v>11.8</v>
      </c>
      <c r="AM162" s="268">
        <f>IF((VLOOKUP($A162,AffordabilityRatio!$A$2:$I$321,9,FALSE))="",AL162,VLOOKUP($A162,AffordabilityRatio!$A$2:$I$321,9,FALSE))</f>
        <v>11.9</v>
      </c>
      <c r="AN162" s="268">
        <f>IF((VLOOKUP($A162,AffordabilityRatio!$A$2:$I$321,9,FALSE))="",AM162,VLOOKUP($A162,AffordabilityRatio!$A$2:$I$321,9,FALSE))</f>
        <v>11.9</v>
      </c>
      <c r="AO162" s="268">
        <f>IF((VLOOKUP($A162,AffordabilityRatio!$A$2:$I$321,9,FALSE))="",AN162,VLOOKUP($A162,AffordabilityRatio!$A$2:$I$321,9,FALSE))</f>
        <v>11.9</v>
      </c>
      <c r="AP162" s="268">
        <f>IF((VLOOKUP($A162,AffordabilityRatio!$A$2:$I$321,9,FALSE))="",AO162,VLOOKUP($A162,AffordabilityRatio!$A$2:$I$321,9,FALSE))</f>
        <v>11.9</v>
      </c>
      <c r="AQ162" s="267">
        <f t="shared" si="152"/>
        <v>398</v>
      </c>
      <c r="AR162" s="267">
        <f t="shared" si="153"/>
        <v>405</v>
      </c>
      <c r="AS162" s="267">
        <f t="shared" si="154"/>
        <v>402</v>
      </c>
      <c r="AT162" s="267">
        <f t="shared" si="155"/>
        <v>566</v>
      </c>
      <c r="AU162" s="267">
        <f t="shared" si="156"/>
        <v>554</v>
      </c>
      <c r="AV162" s="267">
        <f t="shared" si="157"/>
        <v>541</v>
      </c>
      <c r="AW162" s="267">
        <f t="shared" si="158"/>
        <v>528</v>
      </c>
      <c r="AX162" s="267">
        <f t="shared" si="159"/>
        <v>519</v>
      </c>
      <c r="AY162" s="267">
        <f t="shared" si="160"/>
        <v>398</v>
      </c>
      <c r="AZ162" s="267">
        <f t="shared" si="161"/>
        <v>405</v>
      </c>
      <c r="BA162" s="267">
        <f t="shared" si="162"/>
        <v>402</v>
      </c>
      <c r="BB162" s="267">
        <f t="shared" si="163"/>
        <v>566</v>
      </c>
      <c r="BC162" s="267">
        <f t="shared" si="164"/>
        <v>554</v>
      </c>
      <c r="BD162" s="267">
        <f t="shared" si="165"/>
        <v>541</v>
      </c>
      <c r="BE162" s="267">
        <f t="shared" si="166"/>
        <v>528</v>
      </c>
      <c r="BF162" s="267">
        <f t="shared" si="167"/>
        <v>519</v>
      </c>
      <c r="BG162" s="269">
        <f>AY162*VLOOKUP($B162,'Major Cities &amp; Towns'!$A$28:$B$345,2,FALSE)</f>
        <v>398</v>
      </c>
      <c r="BH162" s="269">
        <f>AZ162*VLOOKUP($B162,'Major Cities &amp; Towns'!$A$28:$B$345,2,FALSE)</f>
        <v>405</v>
      </c>
      <c r="BI162" s="269">
        <f>BA162*VLOOKUP($B162,'Major Cities &amp; Towns'!$A$28:$B$345,2,FALSE)</f>
        <v>402</v>
      </c>
      <c r="BJ162" s="269">
        <f>BB162*VLOOKUP($B162,'Major Cities &amp; Towns'!$A$28:$B$345,2,FALSE)</f>
        <v>566</v>
      </c>
      <c r="BK162" s="269">
        <f>BC162*VLOOKUP($B162,'Major Cities &amp; Towns'!$A$28:$B$345,2,FALSE)</f>
        <v>554</v>
      </c>
      <c r="BL162" s="269">
        <f>BD162*VLOOKUP($B162,'Major Cities &amp; Towns'!$A$28:$B$345,2,FALSE)</f>
        <v>541</v>
      </c>
      <c r="BM162" s="269">
        <f>BE162*VLOOKUP($B162,'Major Cities &amp; Towns'!$A$28:$B$345,2,FALSE)</f>
        <v>528</v>
      </c>
      <c r="BN162" s="269">
        <f>BF162*VLOOKUP($B162,'Major Cities &amp; Towns'!$A$28:$B$345,2,FALSE)</f>
        <v>519</v>
      </c>
      <c r="BO162" s="270">
        <f t="shared" si="168"/>
        <v>398</v>
      </c>
      <c r="BP162" s="270">
        <f t="shared" si="169"/>
        <v>405</v>
      </c>
      <c r="BQ162" s="270">
        <f t="shared" si="170"/>
        <v>401.99999999999994</v>
      </c>
      <c r="BR162" s="270">
        <f t="shared" si="171"/>
        <v>566</v>
      </c>
      <c r="BS162" s="270">
        <f t="shared" si="172"/>
        <v>554</v>
      </c>
      <c r="BT162" s="270">
        <f t="shared" si="173"/>
        <v>541</v>
      </c>
      <c r="BU162" s="270">
        <f t="shared" si="174"/>
        <v>528</v>
      </c>
      <c r="BV162" s="270">
        <f t="shared" si="175"/>
        <v>519</v>
      </c>
      <c r="BW162" s="39">
        <f>VLOOKUP($A162,NetAdditions!$A$2:$H$336,6,FALSE)</f>
        <v>577</v>
      </c>
      <c r="BX162" s="39">
        <f>VLOOKUP($A162,NetAdditions!$A$2:$H$336,7,FALSE)</f>
        <v>392</v>
      </c>
      <c r="BY162" s="39">
        <f>IF((VLOOKUP($C162,NetAdditions!$A$2:$H$336,8,FALSE))="",(AVERAGE(VLOOKUP($C162,NetAdditions!$A$2:$H$336,5,FALSE),VLOOKUP($C162,NetAdditions!$A$2:$H$336,6,FALSE),VLOOKUP($C162,NetAdditions!$A$2:$H$336,7,FALSE))),VLOOKUP($C162,NetAdditions!$A$2:$H$336,8,FALSE))</f>
        <v>463</v>
      </c>
      <c r="BZ162" s="39">
        <f t="shared" si="176"/>
        <v>477.33333333333331</v>
      </c>
      <c r="CA162" s="39">
        <f t="shared" si="177"/>
        <v>444.11111111111109</v>
      </c>
      <c r="CB162" s="39">
        <f t="shared" si="178"/>
        <v>461.48148148148147</v>
      </c>
      <c r="CC162" s="39">
        <f t="shared" si="179"/>
        <v>460.97530864197529</v>
      </c>
      <c r="CD162" s="39">
        <f t="shared" si="180"/>
        <v>455.52263374485597</v>
      </c>
      <c r="CE162" s="276">
        <f t="shared" si="137"/>
        <v>1205</v>
      </c>
      <c r="CF162" s="276">
        <f t="shared" si="138"/>
        <v>1373</v>
      </c>
      <c r="CG162" s="276">
        <f t="shared" si="139"/>
        <v>1522</v>
      </c>
      <c r="CH162" s="276">
        <f t="shared" si="140"/>
        <v>1661</v>
      </c>
      <c r="CI162" s="276">
        <f t="shared" si="141"/>
        <v>1623</v>
      </c>
      <c r="CJ162" s="276">
        <f t="shared" si="142"/>
        <v>1588</v>
      </c>
      <c r="CK162" s="276">
        <f t="shared" si="181"/>
        <v>1037.6388888888889</v>
      </c>
      <c r="CL162" s="276">
        <f t="shared" si="182"/>
        <v>1182.3055555555557</v>
      </c>
      <c r="CM162" s="276">
        <f t="shared" si="183"/>
        <v>1395.1666666666665</v>
      </c>
      <c r="CN162" s="276">
        <f t="shared" si="184"/>
        <v>1661</v>
      </c>
      <c r="CO162" s="276">
        <f t="shared" si="185"/>
        <v>1623</v>
      </c>
      <c r="CP162" s="276">
        <f t="shared" si="186"/>
        <v>1588</v>
      </c>
      <c r="CQ162" s="39">
        <f t="shared" si="143"/>
        <v>1432</v>
      </c>
      <c r="CR162" s="39">
        <f t="shared" si="144"/>
        <v>1332.3333333333333</v>
      </c>
      <c r="CS162" s="277">
        <f t="shared" si="145"/>
        <v>1384.4444444444443</v>
      </c>
      <c r="CT162" s="39">
        <f t="shared" si="146"/>
        <v>1382.9259259259259</v>
      </c>
      <c r="CU162" s="39">
        <f t="shared" si="147"/>
        <v>1366.5679012345679</v>
      </c>
      <c r="CV162" s="39">
        <f t="shared" si="187"/>
        <v>1377.9794238683128</v>
      </c>
      <c r="CW162" s="297">
        <f t="shared" si="148"/>
        <v>1.3800562173738455</v>
      </c>
      <c r="CX162" s="279" t="str">
        <f t="shared" si="188"/>
        <v>Pass</v>
      </c>
      <c r="CY162" s="278">
        <f t="shared" si="149"/>
        <v>1.1268942508751731</v>
      </c>
      <c r="CZ162" s="279" t="str">
        <f t="shared" si="189"/>
        <v>Pass</v>
      </c>
      <c r="DA162" s="278">
        <f t="shared" si="150"/>
        <v>0.9923147373870107</v>
      </c>
      <c r="DB162" s="292" t="str">
        <f t="shared" si="190"/>
        <v>Pass</v>
      </c>
      <c r="DC162" s="299">
        <f t="shared" si="191"/>
        <v>0.83258634914264051</v>
      </c>
      <c r="DD162" s="293" t="str">
        <f t="shared" si="192"/>
        <v>Buffer and Action Plan</v>
      </c>
      <c r="DE162" s="299">
        <f t="shared" si="193"/>
        <v>0.84200117143226616</v>
      </c>
      <c r="DF162" s="293" t="str">
        <f t="shared" si="194"/>
        <v>Buffer and Action Plan</v>
      </c>
      <c r="DG162" s="299">
        <f t="shared" si="195"/>
        <v>0.8677452291362171</v>
      </c>
      <c r="DH162" s="293" t="str">
        <f t="shared" si="196"/>
        <v>Action Plan</v>
      </c>
    </row>
    <row r="163" spans="1:112" ht="15" thickTop="1" thickBot="1">
      <c r="A163" s="38" t="s">
        <v>436</v>
      </c>
      <c r="B163" s="38" t="s">
        <v>437</v>
      </c>
      <c r="C163" s="38" t="s">
        <v>436</v>
      </c>
      <c r="D163" s="38" t="s">
        <v>116</v>
      </c>
      <c r="E163" s="38" t="str">
        <f>VLOOKUP(C163,PoliticalControl!A:K,11,FALSE)</f>
        <v>LAB</v>
      </c>
      <c r="F163" s="38" t="str">
        <f>VLOOKUP(C163,UrbanRuralClassification!A:N,13,FALSE)</f>
        <v>Urban with Major Conurbation</v>
      </c>
      <c r="G163" s="38" t="str">
        <f>VLOOKUP(C163,UrbanRuralClassification!A:N,14,FALSE)</f>
        <v>Predominantly Urban</v>
      </c>
      <c r="H163" s="258">
        <f>IF(ISBLANK((VLOOKUP($A163,'local-plan-data'!$C$1:$AD$566,27,FALSE)))=TRUE,"",VLOOKUP($A163,'local-plan-data'!$C$1:$AD$566,27,FALSE))</f>
        <v>41101</v>
      </c>
      <c r="I163" s="259">
        <f>VLOOKUP($A163,'local-plan-data'!$C$1:$AD$566,28,FALSE)</f>
        <v>3333.3333333333335</v>
      </c>
      <c r="J163" s="260">
        <f t="shared" si="151"/>
        <v>3333.3333333333335</v>
      </c>
      <c r="K163" s="259" t="str">
        <f t="shared" si="197"/>
        <v>-</v>
      </c>
      <c r="L163" s="259" t="str">
        <f t="shared" si="199"/>
        <v>-</v>
      </c>
      <c r="M163" s="259" t="str">
        <f t="shared" si="199"/>
        <v>-</v>
      </c>
      <c r="N163" s="259" t="str">
        <f t="shared" si="199"/>
        <v>-</v>
      </c>
      <c r="O163" s="259" t="str">
        <f t="shared" si="199"/>
        <v>-</v>
      </c>
      <c r="P163" s="259" t="str">
        <f t="shared" si="199"/>
        <v>-</v>
      </c>
      <c r="Q163" s="259" t="str">
        <f t="shared" si="199"/>
        <v>-</v>
      </c>
      <c r="R163" s="259" t="str">
        <f t="shared" si="199"/>
        <v>-</v>
      </c>
      <c r="S163" s="259">
        <f t="shared" si="198"/>
        <v>-264</v>
      </c>
      <c r="T163" s="259">
        <f t="shared" si="200"/>
        <v>-629</v>
      </c>
      <c r="U163" s="259">
        <f t="shared" si="200"/>
        <v>-995</v>
      </c>
      <c r="V163" s="259">
        <f t="shared" si="200"/>
        <v>-1360</v>
      </c>
      <c r="W163" s="259">
        <f t="shared" si="200"/>
        <v>-1725</v>
      </c>
      <c r="X163" s="259">
        <f t="shared" si="200"/>
        <v>-2090</v>
      </c>
      <c r="Y163" s="259">
        <f t="shared" si="200"/>
        <v>-2456</v>
      </c>
      <c r="Z163" s="259">
        <f t="shared" si="200"/>
        <v>-2821</v>
      </c>
      <c r="AA163" s="267">
        <f>(VLOOKUP(A163,Hshldprojections2014!$A$2:$AW$319,40, FALSE)-VLOOKUP(A163,Hshldprojections2014!$A$2:$AW$319,30, FALSE))/10</f>
        <v>2382.6</v>
      </c>
      <c r="AB163" s="267">
        <f>(VLOOKUP(A163,Hshldprojections2014!$A$2:$AW$319,41, FALSE)-VLOOKUP(A163,Hshldprojections2014!$A$2:$AW$319,31, FALSE))/10</f>
        <v>2356.6</v>
      </c>
      <c r="AC163" s="267">
        <f>(VLOOKUP(A163,Hshldprojections2014!$A$2:$AW$319,42, FALSE)-VLOOKUP(A163,Hshldprojections2014!$A$2:$AW$319,32, FALSE))/10</f>
        <v>2339.4</v>
      </c>
      <c r="AD163" s="267">
        <f>IF(IndividualLATest!$J$7=2014,(VLOOKUP($A163,Hshldprojections2014!$A$2:$AY$326,43,FALSE)-VLOOKUP($A163,Hshldprojections2014!$A$2:$AY$326,33,FALSE))/10,IF(IndividualLATest!$J$7=2016,(VLOOKUP($A163,Hshldprojections2016!$A$1:$AQ$322,33,FALSE)-VLOOKUP($A163,Hshldprojections2016!$A$1:$AQ$322,23,FALSE))/10,(VLOOKUP($A163,Hshldprojections2018!$A$1:$AQ$327,33,FALSE)-VLOOKUP($A163,Hshldprojections2018!$A$1:$AQ$327,23,FALSE))/10))</f>
        <v>1118.0999999999999</v>
      </c>
      <c r="AE163" s="267">
        <f>IF(IndividualLATest!$J$7=2014,(VLOOKUP($A163,Hshldprojections2014!$A$2:$AY$326,44,FALSE)-VLOOKUP($A163,Hshldprojections2014!$A$2:$AY$326,34,FALSE))/10,IF(IndividualLATest!$J$7=2016,(VLOOKUP($A163,Hshldprojections2016!$A$1:$AQ$322,34,FALSE)-VLOOKUP($A163,Hshldprojections2016!$A$1:$AQ$322,24,FALSE))/10,(VLOOKUP($A163,Hshldprojections2018!$A$1:$AQ$327,34,FALSE)-VLOOKUP($A163,Hshldprojections2018!$A$1:$AQ$327,24,FALSE))/10))</f>
        <v>1151.5999999999999</v>
      </c>
      <c r="AF163" s="267">
        <f>IF(IndividualLATest!$J$7=2014,(VLOOKUP($A163,Hshldprojections2014!$A$2:$AY$326,45,FALSE)-VLOOKUP($A163,Hshldprojections2014!$A$2:$AY$326,35,FALSE))/10,IF(IndividualLATest!$J$7=2016,(VLOOKUP($A163,Hshldprojections2016!$A$1:$AQ$322,35,FALSE)-VLOOKUP($A163,Hshldprojections2016!$A$1:$AQ$322,25,FALSE))/10,(VLOOKUP($A163,Hshldprojections2018!$A$1:$AQ$327,35,FALSE)-VLOOKUP($A163,Hshldprojections2018!$A$1:$AQ$327,25,FALSE))/10))</f>
        <v>1179</v>
      </c>
      <c r="AG163" s="267">
        <f>IF(IndividualLATest!$J$7=2014,(VLOOKUP($A163,Hshldprojections2014!$A$2:$AY$326,46,FALSE)-VLOOKUP($A163,Hshldprojections2014!$A$2:$AY$326,36,FALSE))/10,IF(IndividualLATest!$J$7=2016,(VLOOKUP($A163,Hshldprojections2016!$A$1:$AQ$322,36,FALSE)-VLOOKUP($A163,Hshldprojections2016!$A$1:$AQ$322,26,FALSE))/10,(VLOOKUP($A163,Hshldprojections2018!$A$1:$AQ$327,36,FALSE)-VLOOKUP($A163,Hshldprojections2018!$A$1:$AQ$327,26,FALSE))/10))</f>
        <v>1205.2</v>
      </c>
      <c r="AH163" s="267">
        <f>IF(IndividualLATest!$J$7=2014,(VLOOKUP($A163,Hshldprojections2014!$A$2:$AY$326,47,FALSE)-VLOOKUP($A163,Hshldprojections2014!$A$2:$AY$326,37,FALSE))/10,IF(IndividualLATest!$J$7=2016,(VLOOKUP($A163,Hshldprojections2016!$A$1:$AQ$322,37,FALSE)-VLOOKUP($A163,Hshldprojections2016!$A$1:$AQ$322,27,FALSE))/10,(VLOOKUP($A163,Hshldprojections2018!$A$1:$AQ$327,37,FALSE)-VLOOKUP($A163,Hshldprojections2018!$A$1:$AQ$327,27,FALSE))/10))</f>
        <v>1228.7</v>
      </c>
      <c r="AI163" s="268">
        <f>VLOOKUP($A163,AffordabilityRatio!$A$2:$I$321,5,FALSE)</f>
        <v>5.36</v>
      </c>
      <c r="AJ163" s="268">
        <f>VLOOKUP($A163,AffordabilityRatio!$A$2:$I$321,6,FALSE)</f>
        <v>5.67</v>
      </c>
      <c r="AK163" s="268">
        <f>VLOOKUP($A163,AffordabilityRatio!$A$2:$I$321,7,FALSE)</f>
        <v>5.84</v>
      </c>
      <c r="AL163" s="268">
        <f>IF((VLOOKUP($A163,AffordabilityRatio!$A$2:$I$321,8,FALSE))="",AK163,VLOOKUP($A163,AffordabilityRatio!$A$2:$I$321,8,FALSE))</f>
        <v>6.11</v>
      </c>
      <c r="AM163" s="268">
        <f>IF((VLOOKUP($A163,AffordabilityRatio!$A$2:$I$321,9,FALSE))="",AL163,VLOOKUP($A163,AffordabilityRatio!$A$2:$I$321,9,FALSE))</f>
        <v>6.67</v>
      </c>
      <c r="AN163" s="268">
        <f>IF((VLOOKUP($A163,AffordabilityRatio!$A$2:$I$321,9,FALSE))="",AM163,VLOOKUP($A163,AffordabilityRatio!$A$2:$I$321,9,FALSE))</f>
        <v>6.67</v>
      </c>
      <c r="AO163" s="268">
        <f>IF((VLOOKUP($A163,AffordabilityRatio!$A$2:$I$321,9,FALSE))="",AN163,VLOOKUP($A163,AffordabilityRatio!$A$2:$I$321,9,FALSE))</f>
        <v>6.67</v>
      </c>
      <c r="AP163" s="268">
        <f>IF((VLOOKUP($A163,AffordabilityRatio!$A$2:$I$321,9,FALSE))="",AO163,VLOOKUP($A163,AffordabilityRatio!$A$2:$I$321,9,FALSE))</f>
        <v>6.67</v>
      </c>
      <c r="AQ163" s="267">
        <f t="shared" si="152"/>
        <v>2585</v>
      </c>
      <c r="AR163" s="267">
        <f t="shared" si="153"/>
        <v>2603</v>
      </c>
      <c r="AS163" s="267">
        <f t="shared" si="154"/>
        <v>2608</v>
      </c>
      <c r="AT163" s="267">
        <f t="shared" si="155"/>
        <v>1266</v>
      </c>
      <c r="AU163" s="267">
        <f t="shared" si="156"/>
        <v>1344</v>
      </c>
      <c r="AV163" s="267">
        <f t="shared" si="157"/>
        <v>1376</v>
      </c>
      <c r="AW163" s="267">
        <f t="shared" si="158"/>
        <v>1406</v>
      </c>
      <c r="AX163" s="267">
        <f t="shared" si="159"/>
        <v>1434</v>
      </c>
      <c r="AY163" s="267">
        <f t="shared" si="160"/>
        <v>2585</v>
      </c>
      <c r="AZ163" s="267">
        <f t="shared" si="161"/>
        <v>2603</v>
      </c>
      <c r="BA163" s="267">
        <f t="shared" si="162"/>
        <v>2608</v>
      </c>
      <c r="BB163" s="267">
        <f t="shared" si="163"/>
        <v>1266</v>
      </c>
      <c r="BC163" s="267">
        <f t="shared" si="164"/>
        <v>1344</v>
      </c>
      <c r="BD163" s="267">
        <f t="shared" si="165"/>
        <v>1376</v>
      </c>
      <c r="BE163" s="267">
        <f t="shared" si="166"/>
        <v>1406</v>
      </c>
      <c r="BF163" s="267">
        <f t="shared" si="167"/>
        <v>1434</v>
      </c>
      <c r="BG163" s="269">
        <f>AY163*VLOOKUP($B163,'Major Cities &amp; Towns'!$A$28:$B$345,2,FALSE)</f>
        <v>3489.7500000000005</v>
      </c>
      <c r="BH163" s="269">
        <f>AZ163*VLOOKUP($B163,'Major Cities &amp; Towns'!$A$28:$B$345,2,FALSE)</f>
        <v>3514.05</v>
      </c>
      <c r="BI163" s="269">
        <f>BA163*VLOOKUP($B163,'Major Cities &amp; Towns'!$A$28:$B$345,2,FALSE)</f>
        <v>3520.8</v>
      </c>
      <c r="BJ163" s="269">
        <f>BB163*VLOOKUP($B163,'Major Cities &amp; Towns'!$A$28:$B$345,2,FALSE)</f>
        <v>1709.1000000000001</v>
      </c>
      <c r="BK163" s="269">
        <f>BC163*VLOOKUP($B163,'Major Cities &amp; Towns'!$A$28:$B$345,2,FALSE)</f>
        <v>1814.4</v>
      </c>
      <c r="BL163" s="269">
        <f>BD163*VLOOKUP($B163,'Major Cities &amp; Towns'!$A$28:$B$345,2,FALSE)</f>
        <v>1857.6000000000001</v>
      </c>
      <c r="BM163" s="269">
        <f>BE163*VLOOKUP($B163,'Major Cities &amp; Towns'!$A$28:$B$345,2,FALSE)</f>
        <v>1898.1000000000001</v>
      </c>
      <c r="BN163" s="269">
        <f>BF163*VLOOKUP($B163,'Major Cities &amp; Towns'!$A$28:$B$345,2,FALSE)</f>
        <v>1935.9</v>
      </c>
      <c r="BO163" s="270">
        <f t="shared" si="168"/>
        <v>2585</v>
      </c>
      <c r="BP163" s="270">
        <f t="shared" si="169"/>
        <v>2603</v>
      </c>
      <c r="BQ163" s="270">
        <f t="shared" si="170"/>
        <v>2608</v>
      </c>
      <c r="BR163" s="270">
        <f t="shared" si="171"/>
        <v>1266</v>
      </c>
      <c r="BS163" s="270">
        <f t="shared" si="172"/>
        <v>1344</v>
      </c>
      <c r="BT163" s="270">
        <f t="shared" si="173"/>
        <v>1376</v>
      </c>
      <c r="BU163" s="270">
        <f t="shared" si="174"/>
        <v>1406</v>
      </c>
      <c r="BV163" s="270">
        <f t="shared" si="175"/>
        <v>1434</v>
      </c>
      <c r="BW163" s="39">
        <f>VLOOKUP($A163,NetAdditions!$A$2:$H$336,6,FALSE)</f>
        <v>2344</v>
      </c>
      <c r="BX163" s="39">
        <f>VLOOKUP($A163,NetAdditions!$A$2:$H$336,7,FALSE)</f>
        <v>4005</v>
      </c>
      <c r="BY163" s="39">
        <f>IF((VLOOKUP($C163,NetAdditions!$A$2:$H$336,8,FALSE))="",(AVERAGE(VLOOKUP($C163,NetAdditions!$A$2:$H$336,5,FALSE),VLOOKUP($C163,NetAdditions!$A$2:$H$336,6,FALSE),VLOOKUP($C163,NetAdditions!$A$2:$H$336,7,FALSE))),VLOOKUP($C163,NetAdditions!$A$2:$H$336,8,FALSE))</f>
        <v>4024</v>
      </c>
      <c r="BZ163" s="39">
        <f t="shared" si="176"/>
        <v>3457.6666666666665</v>
      </c>
      <c r="CA163" s="39">
        <f t="shared" si="177"/>
        <v>3828.8888888888887</v>
      </c>
      <c r="CB163" s="39">
        <f t="shared" si="178"/>
        <v>3770.1851851851848</v>
      </c>
      <c r="CC163" s="39">
        <f t="shared" si="179"/>
        <v>3685.5802469135797</v>
      </c>
      <c r="CD163" s="39">
        <f t="shared" si="180"/>
        <v>3761.5514403292177</v>
      </c>
      <c r="CE163" s="276">
        <f t="shared" si="137"/>
        <v>7796</v>
      </c>
      <c r="CF163" s="276">
        <f t="shared" si="138"/>
        <v>6477</v>
      </c>
      <c r="CG163" s="276">
        <f t="shared" si="139"/>
        <v>5218</v>
      </c>
      <c r="CH163" s="276">
        <f t="shared" si="140"/>
        <v>3986</v>
      </c>
      <c r="CI163" s="276">
        <f t="shared" si="141"/>
        <v>4126</v>
      </c>
      <c r="CJ163" s="276">
        <f t="shared" si="142"/>
        <v>4216</v>
      </c>
      <c r="CK163" s="276">
        <f t="shared" si="181"/>
        <v>6713.2222222222226</v>
      </c>
      <c r="CL163" s="276">
        <f t="shared" si="182"/>
        <v>5577.416666666667</v>
      </c>
      <c r="CM163" s="276">
        <f t="shared" si="183"/>
        <v>4783.1666666666661</v>
      </c>
      <c r="CN163" s="276">
        <f t="shared" si="184"/>
        <v>3986</v>
      </c>
      <c r="CO163" s="276">
        <f t="shared" si="185"/>
        <v>4126</v>
      </c>
      <c r="CP163" s="276">
        <f t="shared" si="186"/>
        <v>4216</v>
      </c>
      <c r="CQ163" s="39">
        <f t="shared" si="143"/>
        <v>10373</v>
      </c>
      <c r="CR163" s="39">
        <f t="shared" si="144"/>
        <v>11486.666666666666</v>
      </c>
      <c r="CS163" s="277">
        <f t="shared" si="145"/>
        <v>11310.555555555555</v>
      </c>
      <c r="CT163" s="39">
        <f t="shared" si="146"/>
        <v>11056.740740740739</v>
      </c>
      <c r="CU163" s="39">
        <f t="shared" si="147"/>
        <v>11284.654320987653</v>
      </c>
      <c r="CV163" s="39">
        <f t="shared" si="187"/>
        <v>11217.316872427982</v>
      </c>
      <c r="CW163" s="297">
        <f t="shared" si="148"/>
        <v>1.5451596352140882</v>
      </c>
      <c r="CX163" s="279" t="str">
        <f t="shared" si="188"/>
        <v>Pass</v>
      </c>
      <c r="CY163" s="278">
        <f t="shared" si="149"/>
        <v>2.0594958836976494</v>
      </c>
      <c r="CZ163" s="279" t="str">
        <f t="shared" si="189"/>
        <v>Pass</v>
      </c>
      <c r="DA163" s="278">
        <f t="shared" si="150"/>
        <v>2.3646584666132386</v>
      </c>
      <c r="DB163" s="292" t="str">
        <f t="shared" si="190"/>
        <v>Pass</v>
      </c>
      <c r="DC163" s="299">
        <f t="shared" si="191"/>
        <v>2.7738938135325486</v>
      </c>
      <c r="DD163" s="293" t="str">
        <f t="shared" si="192"/>
        <v>Pass</v>
      </c>
      <c r="DE163" s="299">
        <f t="shared" si="193"/>
        <v>2.7350107418777636</v>
      </c>
      <c r="DF163" s="293" t="str">
        <f t="shared" si="194"/>
        <v>Pass</v>
      </c>
      <c r="DG163" s="299">
        <f t="shared" si="195"/>
        <v>2.6606539071223865</v>
      </c>
      <c r="DH163" s="293" t="str">
        <f t="shared" si="196"/>
        <v>Pass</v>
      </c>
    </row>
    <row r="164" spans="1:112" ht="15" thickTop="1" thickBot="1">
      <c r="A164" s="38" t="s">
        <v>438</v>
      </c>
      <c r="B164" s="38" t="s">
        <v>439</v>
      </c>
      <c r="C164" s="38" t="s">
        <v>438</v>
      </c>
      <c r="D164" s="38" t="s">
        <v>119</v>
      </c>
      <c r="E164" s="38" t="str">
        <f>VLOOKUP(C164,PoliticalControl!A:K,11,FALSE)</f>
        <v>IND/OTHER</v>
      </c>
      <c r="F164" s="38" t="str">
        <f>VLOOKUP(C164,UrbanRuralClassification!A:N,13,FALSE)</f>
        <v>Urban with City and Town</v>
      </c>
      <c r="G164" s="38" t="str">
        <f>VLOOKUP(C164,UrbanRuralClassification!A:N,14,FALSE)</f>
        <v>Predominantly Urban</v>
      </c>
      <c r="H164" s="258">
        <f>IF(ISBLANK((VLOOKUP($A164,'local-plan-data'!$C$1:$AD$566,27,FALSE)))=TRUE,"",VLOOKUP($A164,'local-plan-data'!$C$1:$AD$566,27,FALSE))</f>
        <v>44082</v>
      </c>
      <c r="I164" s="259">
        <f>VLOOKUP($A164,'local-plan-data'!$C$1:$AD$566,28,FALSE)</f>
        <v>325</v>
      </c>
      <c r="J164" s="260">
        <f t="shared" si="151"/>
        <v>325</v>
      </c>
      <c r="K164" s="259">
        <f t="shared" si="197"/>
        <v>325</v>
      </c>
      <c r="L164" s="259">
        <f t="shared" si="199"/>
        <v>325</v>
      </c>
      <c r="M164" s="259">
        <f t="shared" si="199"/>
        <v>325</v>
      </c>
      <c r="N164" s="259">
        <f t="shared" si="199"/>
        <v>325</v>
      </c>
      <c r="O164" s="259">
        <f t="shared" si="199"/>
        <v>325</v>
      </c>
      <c r="P164" s="259">
        <f t="shared" si="199"/>
        <v>325</v>
      </c>
      <c r="Q164" s="259">
        <f t="shared" si="199"/>
        <v>325</v>
      </c>
      <c r="R164" s="259">
        <f t="shared" si="199"/>
        <v>325</v>
      </c>
      <c r="S164" s="259">
        <f t="shared" si="198"/>
        <v>2717</v>
      </c>
      <c r="T164" s="259">
        <f t="shared" si="200"/>
        <v>2352</v>
      </c>
      <c r="U164" s="259">
        <f t="shared" si="200"/>
        <v>1986</v>
      </c>
      <c r="V164" s="259">
        <f t="shared" si="200"/>
        <v>1621</v>
      </c>
      <c r="W164" s="259">
        <f t="shared" si="200"/>
        <v>1256</v>
      </c>
      <c r="X164" s="259">
        <f t="shared" si="200"/>
        <v>891</v>
      </c>
      <c r="Y164" s="259">
        <f t="shared" si="200"/>
        <v>525</v>
      </c>
      <c r="Z164" s="259">
        <f t="shared" si="200"/>
        <v>160</v>
      </c>
      <c r="AA164" s="267">
        <f>(VLOOKUP(A164,Hshldprojections2014!$A$2:$AW$319,40, FALSE)-VLOOKUP(A164,Hshldprojections2014!$A$2:$AW$319,30, FALSE))/10</f>
        <v>246.9</v>
      </c>
      <c r="AB164" s="267">
        <f>(VLOOKUP(A164,Hshldprojections2014!$A$2:$AW$319,41, FALSE)-VLOOKUP(A164,Hshldprojections2014!$A$2:$AW$319,31, FALSE))/10</f>
        <v>242.8</v>
      </c>
      <c r="AC164" s="267">
        <f>(VLOOKUP(A164,Hshldprojections2014!$A$2:$AW$319,42, FALSE)-VLOOKUP(A164,Hshldprojections2014!$A$2:$AW$319,32, FALSE))/10</f>
        <v>240.8</v>
      </c>
      <c r="AD164" s="267">
        <f>IF(IndividualLATest!$J$7=2014,(VLOOKUP($A164,Hshldprojections2014!$A$2:$AY$326,43,FALSE)-VLOOKUP($A164,Hshldprojections2014!$A$2:$AY$326,33,FALSE))/10,IF(IndividualLATest!$J$7=2016,(VLOOKUP($A164,Hshldprojections2016!$A$1:$AQ$322,33,FALSE)-VLOOKUP($A164,Hshldprojections2016!$A$1:$AQ$322,23,FALSE))/10,(VLOOKUP($A164,Hshldprojections2018!$A$1:$AQ$327,33,FALSE)-VLOOKUP($A164,Hshldprojections2018!$A$1:$AQ$327,23,FALSE))/10))</f>
        <v>374.2</v>
      </c>
      <c r="AE164" s="267">
        <f>IF(IndividualLATest!$J$7=2014,(VLOOKUP($A164,Hshldprojections2014!$A$2:$AY$326,44,FALSE)-VLOOKUP($A164,Hshldprojections2014!$A$2:$AY$326,34,FALSE))/10,IF(IndividualLATest!$J$7=2016,(VLOOKUP($A164,Hshldprojections2016!$A$1:$AQ$322,34,FALSE)-VLOOKUP($A164,Hshldprojections2016!$A$1:$AQ$322,24,FALSE))/10,(VLOOKUP($A164,Hshldprojections2018!$A$1:$AQ$327,34,FALSE)-VLOOKUP($A164,Hshldprojections2018!$A$1:$AQ$327,24,FALSE))/10))</f>
        <v>372.4</v>
      </c>
      <c r="AF164" s="267">
        <f>IF(IndividualLATest!$J$7=2014,(VLOOKUP($A164,Hshldprojections2014!$A$2:$AY$326,45,FALSE)-VLOOKUP($A164,Hshldprojections2014!$A$2:$AY$326,35,FALSE))/10,IF(IndividualLATest!$J$7=2016,(VLOOKUP($A164,Hshldprojections2016!$A$1:$AQ$322,35,FALSE)-VLOOKUP($A164,Hshldprojections2016!$A$1:$AQ$322,25,FALSE))/10,(VLOOKUP($A164,Hshldprojections2018!$A$1:$AQ$327,35,FALSE)-VLOOKUP($A164,Hshldprojections2018!$A$1:$AQ$327,25,FALSE))/10))</f>
        <v>370</v>
      </c>
      <c r="AG164" s="267">
        <f>IF(IndividualLATest!$J$7=2014,(VLOOKUP($A164,Hshldprojections2014!$A$2:$AY$326,46,FALSE)-VLOOKUP($A164,Hshldprojections2014!$A$2:$AY$326,36,FALSE))/10,IF(IndividualLATest!$J$7=2016,(VLOOKUP($A164,Hshldprojections2016!$A$1:$AQ$322,36,FALSE)-VLOOKUP($A164,Hshldprojections2016!$A$1:$AQ$322,26,FALSE))/10,(VLOOKUP($A164,Hshldprojections2018!$A$1:$AQ$327,36,FALSE)-VLOOKUP($A164,Hshldprojections2018!$A$1:$AQ$327,26,FALSE))/10))</f>
        <v>367.5</v>
      </c>
      <c r="AH164" s="267">
        <f>IF(IndividualLATest!$J$7=2014,(VLOOKUP($A164,Hshldprojections2014!$A$2:$AY$326,47,FALSE)-VLOOKUP($A164,Hshldprojections2014!$A$2:$AY$326,37,FALSE))/10,IF(IndividualLATest!$J$7=2016,(VLOOKUP($A164,Hshldprojections2016!$A$1:$AQ$322,37,FALSE)-VLOOKUP($A164,Hshldprojections2016!$A$1:$AQ$322,27,FALSE))/10,(VLOOKUP($A164,Hshldprojections2018!$A$1:$AQ$327,37,FALSE)-VLOOKUP($A164,Hshldprojections2018!$A$1:$AQ$327,27,FALSE))/10))</f>
        <v>367.7</v>
      </c>
      <c r="AI164" s="268">
        <f>VLOOKUP($A164,AffordabilityRatio!$A$2:$I$321,5,FALSE)</f>
        <v>6.03</v>
      </c>
      <c r="AJ164" s="268">
        <f>VLOOKUP($A164,AffordabilityRatio!$A$2:$I$321,6,FALSE)</f>
        <v>5.98</v>
      </c>
      <c r="AK164" s="268">
        <f>VLOOKUP($A164,AffordabilityRatio!$A$2:$I$321,7,FALSE)</f>
        <v>6.26</v>
      </c>
      <c r="AL164" s="268">
        <f>IF((VLOOKUP($A164,AffordabilityRatio!$A$2:$I$321,8,FALSE))="",AK164,VLOOKUP($A164,AffordabilityRatio!$A$2:$I$321,8,FALSE))</f>
        <v>5.85</v>
      </c>
      <c r="AM164" s="268">
        <f>IF((VLOOKUP($A164,AffordabilityRatio!$A$2:$I$321,9,FALSE))="",AL164,VLOOKUP($A164,AffordabilityRatio!$A$2:$I$321,9,FALSE))</f>
        <v>6.2</v>
      </c>
      <c r="AN164" s="268">
        <f>IF((VLOOKUP($A164,AffordabilityRatio!$A$2:$I$321,9,FALSE))="",AM164,VLOOKUP($A164,AffordabilityRatio!$A$2:$I$321,9,FALSE))</f>
        <v>6.2</v>
      </c>
      <c r="AO164" s="268">
        <f>IF((VLOOKUP($A164,AffordabilityRatio!$A$2:$I$321,9,FALSE))="",AN164,VLOOKUP($A164,AffordabilityRatio!$A$2:$I$321,9,FALSE))</f>
        <v>6.2</v>
      </c>
      <c r="AP164" s="268">
        <f>IF((VLOOKUP($A164,AffordabilityRatio!$A$2:$I$321,9,FALSE))="",AO164,VLOOKUP($A164,AffordabilityRatio!$A$2:$I$321,9,FALSE))</f>
        <v>6.2</v>
      </c>
      <c r="AQ164" s="267">
        <f t="shared" si="152"/>
        <v>278</v>
      </c>
      <c r="AR164" s="267">
        <f t="shared" si="153"/>
        <v>273</v>
      </c>
      <c r="AS164" s="267">
        <f t="shared" si="154"/>
        <v>275</v>
      </c>
      <c r="AT164" s="267">
        <f t="shared" si="155"/>
        <v>417</v>
      </c>
      <c r="AU164" s="267">
        <f t="shared" si="156"/>
        <v>424</v>
      </c>
      <c r="AV164" s="267">
        <f t="shared" si="157"/>
        <v>421</v>
      </c>
      <c r="AW164" s="267">
        <f t="shared" si="158"/>
        <v>418</v>
      </c>
      <c r="AX164" s="267">
        <f t="shared" si="159"/>
        <v>418</v>
      </c>
      <c r="AY164" s="267">
        <f t="shared" si="160"/>
        <v>278</v>
      </c>
      <c r="AZ164" s="267">
        <f t="shared" si="161"/>
        <v>273</v>
      </c>
      <c r="BA164" s="267">
        <f t="shared" si="162"/>
        <v>275</v>
      </c>
      <c r="BB164" s="267">
        <f t="shared" si="163"/>
        <v>417</v>
      </c>
      <c r="BC164" s="267">
        <f t="shared" si="164"/>
        <v>424</v>
      </c>
      <c r="BD164" s="267">
        <f t="shared" si="165"/>
        <v>421</v>
      </c>
      <c r="BE164" s="267">
        <f t="shared" si="166"/>
        <v>418</v>
      </c>
      <c r="BF164" s="267">
        <f t="shared" si="167"/>
        <v>418</v>
      </c>
      <c r="BG164" s="269">
        <f>AY164*VLOOKUP($B164,'Major Cities &amp; Towns'!$A$28:$B$345,2,FALSE)</f>
        <v>278</v>
      </c>
      <c r="BH164" s="269">
        <f>AZ164*VLOOKUP($B164,'Major Cities &amp; Towns'!$A$28:$B$345,2,FALSE)</f>
        <v>273</v>
      </c>
      <c r="BI164" s="269">
        <f>BA164*VLOOKUP($B164,'Major Cities &amp; Towns'!$A$28:$B$345,2,FALSE)</f>
        <v>275</v>
      </c>
      <c r="BJ164" s="269">
        <f>BB164*VLOOKUP($B164,'Major Cities &amp; Towns'!$A$28:$B$345,2,FALSE)</f>
        <v>417</v>
      </c>
      <c r="BK164" s="269">
        <f>BC164*VLOOKUP($B164,'Major Cities &amp; Towns'!$A$28:$B$345,2,FALSE)</f>
        <v>424</v>
      </c>
      <c r="BL164" s="269">
        <f>BD164*VLOOKUP($B164,'Major Cities &amp; Towns'!$A$28:$B$345,2,FALSE)</f>
        <v>421</v>
      </c>
      <c r="BM164" s="269">
        <f>BE164*VLOOKUP($B164,'Major Cities &amp; Towns'!$A$28:$B$345,2,FALSE)</f>
        <v>418</v>
      </c>
      <c r="BN164" s="269">
        <f>BF164*VLOOKUP($B164,'Major Cities &amp; Towns'!$A$28:$B$345,2,FALSE)</f>
        <v>418</v>
      </c>
      <c r="BO164" s="270">
        <f t="shared" si="168"/>
        <v>278</v>
      </c>
      <c r="BP164" s="270">
        <f t="shared" si="169"/>
        <v>273</v>
      </c>
      <c r="BQ164" s="270">
        <f t="shared" si="170"/>
        <v>275</v>
      </c>
      <c r="BR164" s="270">
        <f t="shared" si="171"/>
        <v>325</v>
      </c>
      <c r="BS164" s="270">
        <f t="shared" si="172"/>
        <v>325</v>
      </c>
      <c r="BT164" s="270">
        <f t="shared" si="173"/>
        <v>325</v>
      </c>
      <c r="BU164" s="270">
        <f t="shared" si="174"/>
        <v>325</v>
      </c>
      <c r="BV164" s="270">
        <f t="shared" si="175"/>
        <v>377.23287671232879</v>
      </c>
      <c r="BW164" s="39">
        <f>VLOOKUP($A164,NetAdditions!$A$2:$H$336,6,FALSE)</f>
        <v>391</v>
      </c>
      <c r="BX164" s="39">
        <f>VLOOKUP($A164,NetAdditions!$A$2:$H$336,7,FALSE)</f>
        <v>402</v>
      </c>
      <c r="BY164" s="39">
        <f>IF((VLOOKUP($C164,NetAdditions!$A$2:$H$336,8,FALSE))="",(AVERAGE(VLOOKUP($C164,NetAdditions!$A$2:$H$336,5,FALSE),VLOOKUP($C164,NetAdditions!$A$2:$H$336,6,FALSE),VLOOKUP($C164,NetAdditions!$A$2:$H$336,7,FALSE))),VLOOKUP($C164,NetAdditions!$A$2:$H$336,8,FALSE))</f>
        <v>474</v>
      </c>
      <c r="BZ164" s="39">
        <f t="shared" si="176"/>
        <v>422.33333333333331</v>
      </c>
      <c r="CA164" s="39">
        <f t="shared" si="177"/>
        <v>432.77777777777777</v>
      </c>
      <c r="CB164" s="39">
        <f t="shared" si="178"/>
        <v>443.03703703703701</v>
      </c>
      <c r="CC164" s="39">
        <f t="shared" si="179"/>
        <v>432.71604938271599</v>
      </c>
      <c r="CD164" s="39">
        <f t="shared" si="180"/>
        <v>436.17695473251024</v>
      </c>
      <c r="CE164" s="276">
        <f t="shared" si="137"/>
        <v>826</v>
      </c>
      <c r="CF164" s="276">
        <f t="shared" si="138"/>
        <v>873</v>
      </c>
      <c r="CG164" s="276">
        <f t="shared" si="139"/>
        <v>925</v>
      </c>
      <c r="CH164" s="276">
        <f t="shared" si="140"/>
        <v>975</v>
      </c>
      <c r="CI164" s="276">
        <f t="shared" si="141"/>
        <v>975</v>
      </c>
      <c r="CJ164" s="276">
        <f t="shared" si="142"/>
        <v>1027.2328767123288</v>
      </c>
      <c r="CK164" s="276">
        <f t="shared" si="181"/>
        <v>711.27777777777783</v>
      </c>
      <c r="CL164" s="276">
        <f t="shared" si="182"/>
        <v>751.75</v>
      </c>
      <c r="CM164" s="276">
        <f t="shared" si="183"/>
        <v>847.91666666666663</v>
      </c>
      <c r="CN164" s="276">
        <f t="shared" si="184"/>
        <v>975</v>
      </c>
      <c r="CO164" s="276">
        <f t="shared" si="185"/>
        <v>975</v>
      </c>
      <c r="CP164" s="276">
        <f t="shared" si="186"/>
        <v>1027.2328767123288</v>
      </c>
      <c r="CQ164" s="39">
        <f t="shared" si="143"/>
        <v>1267</v>
      </c>
      <c r="CR164" s="39">
        <f t="shared" si="144"/>
        <v>1298.3333333333333</v>
      </c>
      <c r="CS164" s="277">
        <f t="shared" si="145"/>
        <v>1329.1111111111111</v>
      </c>
      <c r="CT164" s="39">
        <f t="shared" si="146"/>
        <v>1298.148148148148</v>
      </c>
      <c r="CU164" s="39">
        <f t="shared" si="147"/>
        <v>1308.5308641975307</v>
      </c>
      <c r="CV164" s="39">
        <f t="shared" si="187"/>
        <v>1311.9300411522631</v>
      </c>
      <c r="CW164" s="297">
        <f t="shared" si="148"/>
        <v>1.7813012575177691</v>
      </c>
      <c r="CX164" s="279" t="str">
        <f t="shared" si="188"/>
        <v>Pass</v>
      </c>
      <c r="CY164" s="278">
        <f t="shared" si="149"/>
        <v>1.7270812548497949</v>
      </c>
      <c r="CZ164" s="279" t="str">
        <f t="shared" si="189"/>
        <v>Pass</v>
      </c>
      <c r="DA164" s="278">
        <f t="shared" si="150"/>
        <v>1.5675020475020476</v>
      </c>
      <c r="DB164" s="292" t="str">
        <f t="shared" si="190"/>
        <v>Pass</v>
      </c>
      <c r="DC164" s="299">
        <f t="shared" si="191"/>
        <v>1.3314339981006647</v>
      </c>
      <c r="DD164" s="293" t="str">
        <f t="shared" si="192"/>
        <v>Pass</v>
      </c>
      <c r="DE164" s="299">
        <f t="shared" si="193"/>
        <v>1.3420829376384931</v>
      </c>
      <c r="DF164" s="293" t="str">
        <f t="shared" si="194"/>
        <v>Pass</v>
      </c>
      <c r="DG164" s="299">
        <f t="shared" si="195"/>
        <v>1.2771495839883076</v>
      </c>
      <c r="DH164" s="293" t="str">
        <f t="shared" si="196"/>
        <v>Pass</v>
      </c>
    </row>
    <row r="165" spans="1:112" ht="15" thickTop="1" thickBot="1">
      <c r="A165" s="38" t="s">
        <v>440</v>
      </c>
      <c r="B165" s="38" t="s">
        <v>441</v>
      </c>
      <c r="C165" s="38" t="s">
        <v>440</v>
      </c>
      <c r="D165" s="38" t="s">
        <v>113</v>
      </c>
      <c r="E165" s="38" t="str">
        <f>VLOOKUP(C165,PoliticalControl!A:K,11,FALSE)</f>
        <v>CON</v>
      </c>
      <c r="F165" s="38" t="str">
        <f>VLOOKUP(C165,UrbanRuralClassification!A:N,13,FALSE)</f>
        <v>Urban with City and Town</v>
      </c>
      <c r="G165" s="38" t="str">
        <f>VLOOKUP(C165,UrbanRuralClassification!A:N,14,FALSE)</f>
        <v>Predominantly Urban</v>
      </c>
      <c r="H165" s="258" t="str">
        <f>IF(ISBLANK((VLOOKUP($A165,'local-plan-data'!$C$1:$AD$566,27,FALSE)))=TRUE,"",VLOOKUP($A165,'local-plan-data'!$C$1:$AD$566,27,FALSE))</f>
        <v/>
      </c>
      <c r="I165" s="259" t="str">
        <f>VLOOKUP($A165,'local-plan-data'!$C$1:$AD$566,28,FALSE)</f>
        <v/>
      </c>
      <c r="J165" s="260" t="str">
        <f t="shared" si="151"/>
        <v>-</v>
      </c>
      <c r="K165" s="259" t="str">
        <f t="shared" si="197"/>
        <v>-</v>
      </c>
      <c r="L165" s="259" t="str">
        <f t="shared" si="199"/>
        <v>-</v>
      </c>
      <c r="M165" s="259" t="str">
        <f t="shared" si="199"/>
        <v>-</v>
      </c>
      <c r="N165" s="259" t="str">
        <f t="shared" si="199"/>
        <v>-</v>
      </c>
      <c r="O165" s="259" t="str">
        <f t="shared" si="199"/>
        <v>-</v>
      </c>
      <c r="P165" s="259" t="str">
        <f t="shared" si="199"/>
        <v>-</v>
      </c>
      <c r="Q165" s="259" t="str">
        <f t="shared" si="199"/>
        <v>-</v>
      </c>
      <c r="R165" s="259" t="str">
        <f t="shared" si="199"/>
        <v>-</v>
      </c>
      <c r="S165" s="259" t="str">
        <f t="shared" si="198"/>
        <v>-</v>
      </c>
      <c r="T165" s="259" t="str">
        <f t="shared" si="200"/>
        <v>-</v>
      </c>
      <c r="U165" s="259" t="str">
        <f t="shared" si="200"/>
        <v>-</v>
      </c>
      <c r="V165" s="259" t="str">
        <f t="shared" si="200"/>
        <v>-</v>
      </c>
      <c r="W165" s="259" t="str">
        <f t="shared" si="200"/>
        <v>-</v>
      </c>
      <c r="X165" s="259" t="str">
        <f t="shared" si="200"/>
        <v>-</v>
      </c>
      <c r="Y165" s="259" t="str">
        <f t="shared" si="200"/>
        <v>-</v>
      </c>
      <c r="Z165" s="259" t="str">
        <f t="shared" si="200"/>
        <v>-</v>
      </c>
      <c r="AA165" s="267">
        <f>(VLOOKUP(A165,Hshldprojections2014!$A$2:$AW$319,40, FALSE)-VLOOKUP(A165,Hshldprojections2014!$A$2:$AW$319,30, FALSE))/10</f>
        <v>1321.1</v>
      </c>
      <c r="AB165" s="267">
        <f>(VLOOKUP(A165,Hshldprojections2014!$A$2:$AW$319,41, FALSE)-VLOOKUP(A165,Hshldprojections2014!$A$2:$AW$319,31, FALSE))/10</f>
        <v>1310.7</v>
      </c>
      <c r="AC165" s="267">
        <f>(VLOOKUP(A165,Hshldprojections2014!$A$2:$AW$319,42, FALSE)-VLOOKUP(A165,Hshldprojections2014!$A$2:$AW$319,32, FALSE))/10</f>
        <v>1302.9000000000001</v>
      </c>
      <c r="AD165" s="267">
        <f>IF(IndividualLATest!$J$7=2014,(VLOOKUP($A165,Hshldprojections2014!$A$2:$AY$326,43,FALSE)-VLOOKUP($A165,Hshldprojections2014!$A$2:$AY$326,33,FALSE))/10,IF(IndividualLATest!$J$7=2016,(VLOOKUP($A165,Hshldprojections2016!$A$1:$AQ$322,33,FALSE)-VLOOKUP($A165,Hshldprojections2016!$A$1:$AQ$322,23,FALSE))/10,(VLOOKUP($A165,Hshldprojections2018!$A$1:$AQ$327,33,FALSE)-VLOOKUP($A165,Hshldprojections2018!$A$1:$AQ$327,23,FALSE))/10))</f>
        <v>428.7</v>
      </c>
      <c r="AE165" s="267">
        <f>IF(IndividualLATest!$J$7=2014,(VLOOKUP($A165,Hshldprojections2014!$A$2:$AY$326,44,FALSE)-VLOOKUP($A165,Hshldprojections2014!$A$2:$AY$326,34,FALSE))/10,IF(IndividualLATest!$J$7=2016,(VLOOKUP($A165,Hshldprojections2016!$A$1:$AQ$322,34,FALSE)-VLOOKUP($A165,Hshldprojections2016!$A$1:$AQ$322,24,FALSE))/10,(VLOOKUP($A165,Hshldprojections2018!$A$1:$AQ$327,34,FALSE)-VLOOKUP($A165,Hshldprojections2018!$A$1:$AQ$327,24,FALSE))/10))</f>
        <v>422.1</v>
      </c>
      <c r="AF165" s="267">
        <f>IF(IndividualLATest!$J$7=2014,(VLOOKUP($A165,Hshldprojections2014!$A$2:$AY$326,45,FALSE)-VLOOKUP($A165,Hshldprojections2014!$A$2:$AY$326,35,FALSE))/10,IF(IndividualLATest!$J$7=2016,(VLOOKUP($A165,Hshldprojections2016!$A$1:$AQ$322,35,FALSE)-VLOOKUP($A165,Hshldprojections2016!$A$1:$AQ$322,25,FALSE))/10,(VLOOKUP($A165,Hshldprojections2018!$A$1:$AQ$327,35,FALSE)-VLOOKUP($A165,Hshldprojections2018!$A$1:$AQ$327,25,FALSE))/10))</f>
        <v>424.5</v>
      </c>
      <c r="AG165" s="267">
        <f>IF(IndividualLATest!$J$7=2014,(VLOOKUP($A165,Hshldprojections2014!$A$2:$AY$326,46,FALSE)-VLOOKUP($A165,Hshldprojections2014!$A$2:$AY$326,36,FALSE))/10,IF(IndividualLATest!$J$7=2016,(VLOOKUP($A165,Hshldprojections2016!$A$1:$AQ$322,36,FALSE)-VLOOKUP($A165,Hshldprojections2016!$A$1:$AQ$322,26,FALSE))/10,(VLOOKUP($A165,Hshldprojections2018!$A$1:$AQ$327,36,FALSE)-VLOOKUP($A165,Hshldprojections2018!$A$1:$AQ$327,26,FALSE))/10))</f>
        <v>425.6</v>
      </c>
      <c r="AH165" s="267">
        <f>IF(IndividualLATest!$J$7=2014,(VLOOKUP($A165,Hshldprojections2014!$A$2:$AY$326,47,FALSE)-VLOOKUP($A165,Hshldprojections2014!$A$2:$AY$326,37,FALSE))/10,IF(IndividualLATest!$J$7=2016,(VLOOKUP($A165,Hshldprojections2016!$A$1:$AQ$322,37,FALSE)-VLOOKUP($A165,Hshldprojections2016!$A$1:$AQ$322,27,FALSE))/10,(VLOOKUP($A165,Hshldprojections2018!$A$1:$AQ$327,37,FALSE)-VLOOKUP($A165,Hshldprojections2018!$A$1:$AQ$327,27,FALSE))/10))</f>
        <v>430.8</v>
      </c>
      <c r="AI165" s="268">
        <f>VLOOKUP($A165,AffordabilityRatio!$A$2:$I$321,5,FALSE)</f>
        <v>8.2799999999999994</v>
      </c>
      <c r="AJ165" s="268">
        <f>VLOOKUP($A165,AffordabilityRatio!$A$2:$I$321,6,FALSE)</f>
        <v>8.67</v>
      </c>
      <c r="AK165" s="268">
        <f>VLOOKUP($A165,AffordabilityRatio!$A$2:$I$321,7,FALSE)</f>
        <v>8.41</v>
      </c>
      <c r="AL165" s="268">
        <f>IF((VLOOKUP($A165,AffordabilityRatio!$A$2:$I$321,8,FALSE))="",AK165,VLOOKUP($A165,AffordabilityRatio!$A$2:$I$321,8,FALSE))</f>
        <v>7.69</v>
      </c>
      <c r="AM165" s="268">
        <f>IF((VLOOKUP($A165,AffordabilityRatio!$A$2:$I$321,9,FALSE))="",AL165,VLOOKUP($A165,AffordabilityRatio!$A$2:$I$321,9,FALSE))</f>
        <v>8.7200000000000006</v>
      </c>
      <c r="AN165" s="268">
        <f>IF((VLOOKUP($A165,AffordabilityRatio!$A$2:$I$321,9,FALSE))="",AM165,VLOOKUP($A165,AffordabilityRatio!$A$2:$I$321,9,FALSE))</f>
        <v>8.7200000000000006</v>
      </c>
      <c r="AO165" s="268">
        <f>IF((VLOOKUP($A165,AffordabilityRatio!$A$2:$I$321,9,FALSE))="",AN165,VLOOKUP($A165,AffordabilityRatio!$A$2:$I$321,9,FALSE))</f>
        <v>8.7200000000000006</v>
      </c>
      <c r="AP165" s="268">
        <f>IF((VLOOKUP($A165,AffordabilityRatio!$A$2:$I$321,9,FALSE))="",AO165,VLOOKUP($A165,AffordabilityRatio!$A$2:$I$321,9,FALSE))</f>
        <v>8.7200000000000006</v>
      </c>
      <c r="AQ165" s="267">
        <f t="shared" si="152"/>
        <v>1674</v>
      </c>
      <c r="AR165" s="267">
        <f t="shared" si="153"/>
        <v>1693</v>
      </c>
      <c r="AS165" s="267">
        <f t="shared" si="154"/>
        <v>1662</v>
      </c>
      <c r="AT165" s="267">
        <f t="shared" si="155"/>
        <v>528</v>
      </c>
      <c r="AU165" s="267">
        <f t="shared" si="156"/>
        <v>547</v>
      </c>
      <c r="AV165" s="267">
        <f t="shared" si="157"/>
        <v>550</v>
      </c>
      <c r="AW165" s="267">
        <f t="shared" si="158"/>
        <v>551</v>
      </c>
      <c r="AX165" s="267">
        <f t="shared" si="159"/>
        <v>558</v>
      </c>
      <c r="AY165" s="267">
        <f t="shared" si="160"/>
        <v>1674</v>
      </c>
      <c r="AZ165" s="267">
        <f t="shared" si="161"/>
        <v>1693</v>
      </c>
      <c r="BA165" s="267">
        <f t="shared" si="162"/>
        <v>1662</v>
      </c>
      <c r="BB165" s="267">
        <f t="shared" si="163"/>
        <v>528</v>
      </c>
      <c r="BC165" s="267">
        <f t="shared" si="164"/>
        <v>547</v>
      </c>
      <c r="BD165" s="267">
        <f t="shared" si="165"/>
        <v>550</v>
      </c>
      <c r="BE165" s="267">
        <f t="shared" si="166"/>
        <v>551</v>
      </c>
      <c r="BF165" s="267">
        <f t="shared" si="167"/>
        <v>558</v>
      </c>
      <c r="BG165" s="269">
        <f>AY165*VLOOKUP($B165,'Major Cities &amp; Towns'!$A$28:$B$345,2,FALSE)</f>
        <v>1674</v>
      </c>
      <c r="BH165" s="269">
        <f>AZ165*VLOOKUP($B165,'Major Cities &amp; Towns'!$A$28:$B$345,2,FALSE)</f>
        <v>1693</v>
      </c>
      <c r="BI165" s="269">
        <f>BA165*VLOOKUP($B165,'Major Cities &amp; Towns'!$A$28:$B$345,2,FALSE)</f>
        <v>1662</v>
      </c>
      <c r="BJ165" s="269">
        <f>BB165*VLOOKUP($B165,'Major Cities &amp; Towns'!$A$28:$B$345,2,FALSE)</f>
        <v>528</v>
      </c>
      <c r="BK165" s="269">
        <f>BC165*VLOOKUP($B165,'Major Cities &amp; Towns'!$A$28:$B$345,2,FALSE)</f>
        <v>547</v>
      </c>
      <c r="BL165" s="269">
        <f>BD165*VLOOKUP($B165,'Major Cities &amp; Towns'!$A$28:$B$345,2,FALSE)</f>
        <v>550</v>
      </c>
      <c r="BM165" s="269">
        <f>BE165*VLOOKUP($B165,'Major Cities &amp; Towns'!$A$28:$B$345,2,FALSE)</f>
        <v>551</v>
      </c>
      <c r="BN165" s="269">
        <f>BF165*VLOOKUP($B165,'Major Cities &amp; Towns'!$A$28:$B$345,2,FALSE)</f>
        <v>558</v>
      </c>
      <c r="BO165" s="270">
        <f t="shared" si="168"/>
        <v>1674</v>
      </c>
      <c r="BP165" s="270">
        <f t="shared" si="169"/>
        <v>1693</v>
      </c>
      <c r="BQ165" s="270">
        <f t="shared" si="170"/>
        <v>1662</v>
      </c>
      <c r="BR165" s="270">
        <f t="shared" si="171"/>
        <v>528</v>
      </c>
      <c r="BS165" s="270">
        <f t="shared" si="172"/>
        <v>547</v>
      </c>
      <c r="BT165" s="270">
        <f t="shared" si="173"/>
        <v>550</v>
      </c>
      <c r="BU165" s="270">
        <f t="shared" si="174"/>
        <v>551</v>
      </c>
      <c r="BV165" s="270">
        <f t="shared" si="175"/>
        <v>558</v>
      </c>
      <c r="BW165" s="39">
        <f>VLOOKUP($A165,NetAdditions!$A$2:$H$336,6,FALSE)</f>
        <v>649</v>
      </c>
      <c r="BX165" s="39">
        <f>VLOOKUP($A165,NetAdditions!$A$2:$H$336,7,FALSE)</f>
        <v>1134</v>
      </c>
      <c r="BY165" s="39">
        <f>IF((VLOOKUP($C165,NetAdditions!$A$2:$H$336,8,FALSE))="",(AVERAGE(VLOOKUP($C165,NetAdditions!$A$2:$H$336,5,FALSE),VLOOKUP($C165,NetAdditions!$A$2:$H$336,6,FALSE),VLOOKUP($C165,NetAdditions!$A$2:$H$336,7,FALSE))),VLOOKUP($C165,NetAdditions!$A$2:$H$336,8,FALSE))</f>
        <v>1079</v>
      </c>
      <c r="BZ165" s="39">
        <f t="shared" si="176"/>
        <v>954</v>
      </c>
      <c r="CA165" s="39">
        <f t="shared" si="177"/>
        <v>1055.6666666666667</v>
      </c>
      <c r="CB165" s="39">
        <f t="shared" si="178"/>
        <v>1029.5555555555557</v>
      </c>
      <c r="CC165" s="39">
        <f t="shared" si="179"/>
        <v>1013.0740740740742</v>
      </c>
      <c r="CD165" s="39">
        <f t="shared" si="180"/>
        <v>1032.7654320987656</v>
      </c>
      <c r="CE165" s="276">
        <f t="shared" si="137"/>
        <v>5029</v>
      </c>
      <c r="CF165" s="276">
        <f t="shared" si="138"/>
        <v>3883</v>
      </c>
      <c r="CG165" s="276">
        <f t="shared" si="139"/>
        <v>2737</v>
      </c>
      <c r="CH165" s="276">
        <f t="shared" si="140"/>
        <v>1625</v>
      </c>
      <c r="CI165" s="276">
        <f t="shared" si="141"/>
        <v>1648</v>
      </c>
      <c r="CJ165" s="276">
        <f t="shared" si="142"/>
        <v>1659</v>
      </c>
      <c r="CK165" s="276">
        <f t="shared" si="181"/>
        <v>4330.5277777777783</v>
      </c>
      <c r="CL165" s="276">
        <f t="shared" si="182"/>
        <v>3343.6944444444448</v>
      </c>
      <c r="CM165" s="276">
        <f t="shared" si="183"/>
        <v>2508.9166666666665</v>
      </c>
      <c r="CN165" s="276">
        <f t="shared" si="184"/>
        <v>1625</v>
      </c>
      <c r="CO165" s="276">
        <f t="shared" si="185"/>
        <v>1648</v>
      </c>
      <c r="CP165" s="276">
        <f t="shared" si="186"/>
        <v>1659</v>
      </c>
      <c r="CQ165" s="39">
        <f t="shared" si="143"/>
        <v>2862</v>
      </c>
      <c r="CR165" s="39">
        <f t="shared" si="144"/>
        <v>3167</v>
      </c>
      <c r="CS165" s="277">
        <f t="shared" si="145"/>
        <v>3088.666666666667</v>
      </c>
      <c r="CT165" s="39">
        <f t="shared" si="146"/>
        <v>3039.2222222222226</v>
      </c>
      <c r="CU165" s="39">
        <f t="shared" si="147"/>
        <v>3098.296296296297</v>
      </c>
      <c r="CV165" s="39">
        <f t="shared" si="187"/>
        <v>3075.3950617283954</v>
      </c>
      <c r="CW165" s="297">
        <f t="shared" si="148"/>
        <v>0.66088942199757528</v>
      </c>
      <c r="CX165" s="279" t="str">
        <f t="shared" si="188"/>
        <v>Buffer and Action Plan</v>
      </c>
      <c r="CY165" s="278">
        <f t="shared" si="149"/>
        <v>0.94715592367059043</v>
      </c>
      <c r="CZ165" s="279" t="str">
        <f t="shared" si="189"/>
        <v>Action Plan</v>
      </c>
      <c r="DA165" s="278">
        <f t="shared" si="150"/>
        <v>1.2310758295413029</v>
      </c>
      <c r="DB165" s="292" t="str">
        <f t="shared" si="190"/>
        <v>Pass</v>
      </c>
      <c r="DC165" s="299">
        <f t="shared" si="191"/>
        <v>1.8702905982905986</v>
      </c>
      <c r="DD165" s="293" t="str">
        <f t="shared" si="192"/>
        <v>Pass</v>
      </c>
      <c r="DE165" s="299">
        <f t="shared" si="193"/>
        <v>1.8800341603739665</v>
      </c>
      <c r="DF165" s="293" t="str">
        <f t="shared" si="194"/>
        <v>Pass</v>
      </c>
      <c r="DG165" s="299">
        <f t="shared" si="195"/>
        <v>1.8537643530611183</v>
      </c>
      <c r="DH165" s="293" t="str">
        <f t="shared" si="196"/>
        <v>Pass</v>
      </c>
    </row>
    <row r="166" spans="1:112" ht="15" thickTop="1" thickBot="1">
      <c r="A166" s="38" t="s">
        <v>442</v>
      </c>
      <c r="B166" s="38" t="s">
        <v>443</v>
      </c>
      <c r="C166" s="38" t="s">
        <v>442</v>
      </c>
      <c r="D166" s="38" t="s">
        <v>119</v>
      </c>
      <c r="E166" s="38" t="str">
        <f>VLOOKUP(C166,PoliticalControl!A:K,11,FALSE)</f>
        <v>CON</v>
      </c>
      <c r="F166" s="38" t="str">
        <f>VLOOKUP(C166,UrbanRuralClassification!A:N,13,FALSE)</f>
        <v xml:space="preserve">Mainly Rural (rural including hub towns &gt;=80%) </v>
      </c>
      <c r="G166" s="38" t="str">
        <f>VLOOKUP(C166,UrbanRuralClassification!A:N,14,FALSE)</f>
        <v>Predominantly Rural</v>
      </c>
      <c r="H166" s="258">
        <f>IF(ISBLANK((VLOOKUP($A166,'local-plan-data'!$C$1:$AD$566,27,FALSE)))=TRUE,"",VLOOKUP($A166,'local-plan-data'!$C$1:$AD$566,27,FALSE))</f>
        <v>43383</v>
      </c>
      <c r="I166" s="259">
        <f>VLOOKUP($A166,'local-plan-data'!$C$1:$AD$566,28,FALSE)</f>
        <v>245</v>
      </c>
      <c r="J166" s="260">
        <f t="shared" si="151"/>
        <v>245</v>
      </c>
      <c r="K166" s="259">
        <f t="shared" si="197"/>
        <v>245</v>
      </c>
      <c r="L166" s="259">
        <f t="shared" si="199"/>
        <v>245</v>
      </c>
      <c r="M166" s="259">
        <f t="shared" si="199"/>
        <v>245</v>
      </c>
      <c r="N166" s="259">
        <f t="shared" si="199"/>
        <v>245</v>
      </c>
      <c r="O166" s="259">
        <f t="shared" si="199"/>
        <v>245</v>
      </c>
      <c r="P166" s="259">
        <f t="shared" si="199"/>
        <v>245</v>
      </c>
      <c r="Q166" s="259" t="str">
        <f t="shared" si="199"/>
        <v>-</v>
      </c>
      <c r="R166" s="259" t="str">
        <f t="shared" si="199"/>
        <v>-</v>
      </c>
      <c r="S166" s="259">
        <f t="shared" si="198"/>
        <v>2018</v>
      </c>
      <c r="T166" s="259">
        <f t="shared" si="200"/>
        <v>1653</v>
      </c>
      <c r="U166" s="259">
        <f t="shared" si="200"/>
        <v>1287</v>
      </c>
      <c r="V166" s="259">
        <f t="shared" si="200"/>
        <v>922</v>
      </c>
      <c r="W166" s="259">
        <f t="shared" si="200"/>
        <v>557</v>
      </c>
      <c r="X166" s="259">
        <f t="shared" si="200"/>
        <v>192</v>
      </c>
      <c r="Y166" s="259">
        <f t="shared" si="200"/>
        <v>-174</v>
      </c>
      <c r="Z166" s="259">
        <f t="shared" si="200"/>
        <v>-539</v>
      </c>
      <c r="AA166" s="267">
        <f>(VLOOKUP(A166,Hshldprojections2014!$A$2:$AW$319,40, FALSE)-VLOOKUP(A166,Hshldprojections2014!$A$2:$AW$319,30, FALSE))/10</f>
        <v>162.69999999999999</v>
      </c>
      <c r="AB166" s="267">
        <f>(VLOOKUP(A166,Hshldprojections2014!$A$2:$AW$319,41, FALSE)-VLOOKUP(A166,Hshldprojections2014!$A$2:$AW$319,31, FALSE))/10</f>
        <v>159.9</v>
      </c>
      <c r="AC166" s="267">
        <f>(VLOOKUP(A166,Hshldprojections2014!$A$2:$AW$319,42, FALSE)-VLOOKUP(A166,Hshldprojections2014!$A$2:$AW$319,32, FALSE))/10</f>
        <v>156.30000000000001</v>
      </c>
      <c r="AD166" s="267">
        <f>IF(IndividualLATest!$J$7=2014,(VLOOKUP($A166,Hshldprojections2014!$A$2:$AY$326,43,FALSE)-VLOOKUP($A166,Hshldprojections2014!$A$2:$AY$326,33,FALSE))/10,IF(IndividualLATest!$J$7=2016,(VLOOKUP($A166,Hshldprojections2016!$A$1:$AQ$322,33,FALSE)-VLOOKUP($A166,Hshldprojections2016!$A$1:$AQ$322,23,FALSE))/10,(VLOOKUP($A166,Hshldprojections2018!$A$1:$AQ$327,33,FALSE)-VLOOKUP($A166,Hshldprojections2018!$A$1:$AQ$327,23,FALSE))/10))</f>
        <v>115.3</v>
      </c>
      <c r="AE166" s="267">
        <f>IF(IndividualLATest!$J$7=2014,(VLOOKUP($A166,Hshldprojections2014!$A$2:$AY$326,44,FALSE)-VLOOKUP($A166,Hshldprojections2014!$A$2:$AY$326,34,FALSE))/10,IF(IndividualLATest!$J$7=2016,(VLOOKUP($A166,Hshldprojections2016!$A$1:$AQ$322,34,FALSE)-VLOOKUP($A166,Hshldprojections2016!$A$1:$AQ$322,24,FALSE))/10,(VLOOKUP($A166,Hshldprojections2018!$A$1:$AQ$327,34,FALSE)-VLOOKUP($A166,Hshldprojections2018!$A$1:$AQ$327,24,FALSE))/10))</f>
        <v>115.6</v>
      </c>
      <c r="AF166" s="267">
        <f>IF(IndividualLATest!$J$7=2014,(VLOOKUP($A166,Hshldprojections2014!$A$2:$AY$326,45,FALSE)-VLOOKUP($A166,Hshldprojections2014!$A$2:$AY$326,35,FALSE))/10,IF(IndividualLATest!$J$7=2016,(VLOOKUP($A166,Hshldprojections2016!$A$1:$AQ$322,35,FALSE)-VLOOKUP($A166,Hshldprojections2016!$A$1:$AQ$322,25,FALSE))/10,(VLOOKUP($A166,Hshldprojections2018!$A$1:$AQ$327,35,FALSE)-VLOOKUP($A166,Hshldprojections2018!$A$1:$AQ$327,25,FALSE))/10))</f>
        <v>114.8</v>
      </c>
      <c r="AG166" s="267">
        <f>IF(IndividualLATest!$J$7=2014,(VLOOKUP($A166,Hshldprojections2014!$A$2:$AY$326,46,FALSE)-VLOOKUP($A166,Hshldprojections2014!$A$2:$AY$326,36,FALSE))/10,IF(IndividualLATest!$J$7=2016,(VLOOKUP($A166,Hshldprojections2016!$A$1:$AQ$322,36,FALSE)-VLOOKUP($A166,Hshldprojections2016!$A$1:$AQ$322,26,FALSE))/10,(VLOOKUP($A166,Hshldprojections2018!$A$1:$AQ$327,36,FALSE)-VLOOKUP($A166,Hshldprojections2018!$A$1:$AQ$327,26,FALSE))/10))</f>
        <v>114.9</v>
      </c>
      <c r="AH166" s="267">
        <f>IF(IndividualLATest!$J$7=2014,(VLOOKUP($A166,Hshldprojections2014!$A$2:$AY$326,47,FALSE)-VLOOKUP($A166,Hshldprojections2014!$A$2:$AY$326,37,FALSE))/10,IF(IndividualLATest!$J$7=2016,(VLOOKUP($A166,Hshldprojections2016!$A$1:$AQ$322,37,FALSE)-VLOOKUP($A166,Hshldprojections2016!$A$1:$AQ$322,27,FALSE))/10,(VLOOKUP($A166,Hshldprojections2018!$A$1:$AQ$327,37,FALSE)-VLOOKUP($A166,Hshldprojections2018!$A$1:$AQ$327,27,FALSE))/10))</f>
        <v>115.7</v>
      </c>
      <c r="AI166" s="268">
        <f>VLOOKUP($A166,AffordabilityRatio!$A$2:$I$321,5,FALSE)</f>
        <v>7.73</v>
      </c>
      <c r="AJ166" s="268">
        <f>VLOOKUP($A166,AffordabilityRatio!$A$2:$I$321,6,FALSE)</f>
        <v>8.35</v>
      </c>
      <c r="AK166" s="268">
        <f>VLOOKUP($A166,AffordabilityRatio!$A$2:$I$321,7,FALSE)</f>
        <v>8.64</v>
      </c>
      <c r="AL166" s="268">
        <f>IF((VLOOKUP($A166,AffordabilityRatio!$A$2:$I$321,8,FALSE))="",AK166,VLOOKUP($A166,AffordabilityRatio!$A$2:$I$321,8,FALSE))</f>
        <v>8.8699999999999992</v>
      </c>
      <c r="AM166" s="268">
        <f>IF((VLOOKUP($A166,AffordabilityRatio!$A$2:$I$321,9,FALSE))="",AL166,VLOOKUP($A166,AffordabilityRatio!$A$2:$I$321,9,FALSE))</f>
        <v>12.27</v>
      </c>
      <c r="AN166" s="268">
        <f>IF((VLOOKUP($A166,AffordabilityRatio!$A$2:$I$321,9,FALSE))="",AM166,VLOOKUP($A166,AffordabilityRatio!$A$2:$I$321,9,FALSE))</f>
        <v>12.27</v>
      </c>
      <c r="AO166" s="268">
        <f>IF((VLOOKUP($A166,AffordabilityRatio!$A$2:$I$321,9,FALSE))="",AN166,VLOOKUP($A166,AffordabilityRatio!$A$2:$I$321,9,FALSE))</f>
        <v>12.27</v>
      </c>
      <c r="AP166" s="268">
        <f>IF((VLOOKUP($A166,AffordabilityRatio!$A$2:$I$321,9,FALSE))="",AO166,VLOOKUP($A166,AffordabilityRatio!$A$2:$I$321,9,FALSE))</f>
        <v>12.27</v>
      </c>
      <c r="AQ166" s="267">
        <f t="shared" si="152"/>
        <v>201</v>
      </c>
      <c r="AR166" s="267">
        <f t="shared" si="153"/>
        <v>203</v>
      </c>
      <c r="AS166" s="267">
        <f t="shared" si="154"/>
        <v>202</v>
      </c>
      <c r="AT166" s="267">
        <f t="shared" si="155"/>
        <v>150</v>
      </c>
      <c r="AU166" s="267">
        <f t="shared" si="156"/>
        <v>175</v>
      </c>
      <c r="AV166" s="267">
        <f t="shared" si="157"/>
        <v>174</v>
      </c>
      <c r="AW166" s="267">
        <f t="shared" si="158"/>
        <v>174</v>
      </c>
      <c r="AX166" s="267">
        <f t="shared" si="159"/>
        <v>176</v>
      </c>
      <c r="AY166" s="267">
        <f t="shared" si="160"/>
        <v>201</v>
      </c>
      <c r="AZ166" s="267">
        <f t="shared" si="161"/>
        <v>203</v>
      </c>
      <c r="BA166" s="267">
        <f t="shared" si="162"/>
        <v>202</v>
      </c>
      <c r="BB166" s="267">
        <f t="shared" si="163"/>
        <v>150</v>
      </c>
      <c r="BC166" s="267">
        <f t="shared" si="164"/>
        <v>175</v>
      </c>
      <c r="BD166" s="267">
        <f t="shared" si="165"/>
        <v>174</v>
      </c>
      <c r="BE166" s="267">
        <f t="shared" si="166"/>
        <v>174</v>
      </c>
      <c r="BF166" s="267">
        <f t="shared" si="167"/>
        <v>176</v>
      </c>
      <c r="BG166" s="269">
        <f>AY166*VLOOKUP($B166,'Major Cities &amp; Towns'!$A$28:$B$345,2,FALSE)</f>
        <v>201</v>
      </c>
      <c r="BH166" s="269">
        <f>AZ166*VLOOKUP($B166,'Major Cities &amp; Towns'!$A$28:$B$345,2,FALSE)</f>
        <v>203</v>
      </c>
      <c r="BI166" s="269">
        <f>BA166*VLOOKUP($B166,'Major Cities &amp; Towns'!$A$28:$B$345,2,FALSE)</f>
        <v>202</v>
      </c>
      <c r="BJ166" s="269">
        <f>BB166*VLOOKUP($B166,'Major Cities &amp; Towns'!$A$28:$B$345,2,FALSE)</f>
        <v>150</v>
      </c>
      <c r="BK166" s="269">
        <f>BC166*VLOOKUP($B166,'Major Cities &amp; Towns'!$A$28:$B$345,2,FALSE)</f>
        <v>175</v>
      </c>
      <c r="BL166" s="269">
        <f>BD166*VLOOKUP($B166,'Major Cities &amp; Towns'!$A$28:$B$345,2,FALSE)</f>
        <v>174</v>
      </c>
      <c r="BM166" s="269">
        <f>BE166*VLOOKUP($B166,'Major Cities &amp; Towns'!$A$28:$B$345,2,FALSE)</f>
        <v>174</v>
      </c>
      <c r="BN166" s="269">
        <f>BF166*VLOOKUP($B166,'Major Cities &amp; Towns'!$A$28:$B$345,2,FALSE)</f>
        <v>176</v>
      </c>
      <c r="BO166" s="270">
        <f t="shared" si="168"/>
        <v>201</v>
      </c>
      <c r="BP166" s="270">
        <f t="shared" si="169"/>
        <v>203</v>
      </c>
      <c r="BQ166" s="270">
        <f t="shared" si="170"/>
        <v>202</v>
      </c>
      <c r="BR166" s="270">
        <f t="shared" si="171"/>
        <v>150</v>
      </c>
      <c r="BS166" s="270">
        <f t="shared" si="172"/>
        <v>175</v>
      </c>
      <c r="BT166" s="270">
        <f t="shared" si="173"/>
        <v>174</v>
      </c>
      <c r="BU166" s="270">
        <f t="shared" si="174"/>
        <v>174</v>
      </c>
      <c r="BV166" s="270">
        <f t="shared" si="175"/>
        <v>176</v>
      </c>
      <c r="BW166" s="39">
        <f>VLOOKUP($A166,NetAdditions!$A$2:$H$336,6,FALSE)</f>
        <v>222</v>
      </c>
      <c r="BX166" s="39">
        <f>VLOOKUP($A166,NetAdditions!$A$2:$H$336,7,FALSE)</f>
        <v>334</v>
      </c>
      <c r="BY166" s="39">
        <f>IF((VLOOKUP($C166,NetAdditions!$A$2:$H$336,8,FALSE))="",(AVERAGE(VLOOKUP($C166,NetAdditions!$A$2:$H$336,5,FALSE),VLOOKUP($C166,NetAdditions!$A$2:$H$336,6,FALSE),VLOOKUP($C166,NetAdditions!$A$2:$H$336,7,FALSE))),VLOOKUP($C166,NetAdditions!$A$2:$H$336,8,FALSE))</f>
        <v>310</v>
      </c>
      <c r="BZ166" s="39">
        <f t="shared" si="176"/>
        <v>288.66666666666669</v>
      </c>
      <c r="CA166" s="39">
        <f t="shared" si="177"/>
        <v>310.88888888888891</v>
      </c>
      <c r="CB166" s="39">
        <f t="shared" si="178"/>
        <v>303.18518518518522</v>
      </c>
      <c r="CC166" s="39">
        <f t="shared" si="179"/>
        <v>300.91358024691363</v>
      </c>
      <c r="CD166" s="39">
        <f t="shared" si="180"/>
        <v>304.99588477366257</v>
      </c>
      <c r="CE166" s="276">
        <f t="shared" si="137"/>
        <v>606</v>
      </c>
      <c r="CF166" s="276">
        <f t="shared" si="138"/>
        <v>555</v>
      </c>
      <c r="CG166" s="276">
        <f t="shared" si="139"/>
        <v>527</v>
      </c>
      <c r="CH166" s="276">
        <f t="shared" si="140"/>
        <v>499</v>
      </c>
      <c r="CI166" s="276">
        <f t="shared" si="141"/>
        <v>523</v>
      </c>
      <c r="CJ166" s="276">
        <f t="shared" si="142"/>
        <v>524</v>
      </c>
      <c r="CK166" s="276">
        <f t="shared" si="181"/>
        <v>521.83333333333337</v>
      </c>
      <c r="CL166" s="276">
        <f t="shared" si="182"/>
        <v>477.91666666666669</v>
      </c>
      <c r="CM166" s="276">
        <f t="shared" si="183"/>
        <v>483.08333333333331</v>
      </c>
      <c r="CN166" s="276">
        <f t="shared" si="184"/>
        <v>499</v>
      </c>
      <c r="CO166" s="276">
        <f t="shared" si="185"/>
        <v>523</v>
      </c>
      <c r="CP166" s="276">
        <f t="shared" si="186"/>
        <v>524</v>
      </c>
      <c r="CQ166" s="39">
        <f t="shared" si="143"/>
        <v>866</v>
      </c>
      <c r="CR166" s="39">
        <f t="shared" si="144"/>
        <v>932.66666666666674</v>
      </c>
      <c r="CS166" s="277">
        <f t="shared" si="145"/>
        <v>909.55555555555566</v>
      </c>
      <c r="CT166" s="39">
        <f t="shared" si="146"/>
        <v>902.74074074074088</v>
      </c>
      <c r="CU166" s="39">
        <f t="shared" si="147"/>
        <v>914.98765432098776</v>
      </c>
      <c r="CV166" s="39">
        <f t="shared" si="187"/>
        <v>909.09465020576135</v>
      </c>
      <c r="CW166" s="297">
        <f t="shared" si="148"/>
        <v>1.6595336953050142</v>
      </c>
      <c r="CX166" s="279" t="str">
        <f t="shared" si="188"/>
        <v>Pass</v>
      </c>
      <c r="CY166" s="278">
        <f t="shared" si="149"/>
        <v>1.9515257192676547</v>
      </c>
      <c r="CZ166" s="279" t="str">
        <f t="shared" si="189"/>
        <v>Pass</v>
      </c>
      <c r="DA166" s="278">
        <f t="shared" si="150"/>
        <v>1.8828129492266117</v>
      </c>
      <c r="DB166" s="292" t="str">
        <f t="shared" si="190"/>
        <v>Pass</v>
      </c>
      <c r="DC166" s="299">
        <f t="shared" si="191"/>
        <v>1.8090996808431681</v>
      </c>
      <c r="DD166" s="293" t="str">
        <f t="shared" si="192"/>
        <v>Pass</v>
      </c>
      <c r="DE166" s="299">
        <f t="shared" si="193"/>
        <v>1.7494983830229212</v>
      </c>
      <c r="DF166" s="293" t="str">
        <f t="shared" si="194"/>
        <v>Pass</v>
      </c>
      <c r="DG166" s="299">
        <f t="shared" si="195"/>
        <v>1.7349134545911475</v>
      </c>
      <c r="DH166" s="293" t="str">
        <f t="shared" si="196"/>
        <v>Pass</v>
      </c>
    </row>
    <row r="167" spans="1:112" ht="15" thickTop="1" thickBot="1">
      <c r="A167" s="38" t="s">
        <v>444</v>
      </c>
      <c r="B167" s="38" t="s">
        <v>445</v>
      </c>
      <c r="C167" s="38" t="s">
        <v>444</v>
      </c>
      <c r="D167" s="38" t="s">
        <v>147</v>
      </c>
      <c r="E167" s="38" t="str">
        <f>VLOOKUP(C167,PoliticalControl!A:K,11,FALSE)</f>
        <v>NOC</v>
      </c>
      <c r="F167" s="38" t="str">
        <f>VLOOKUP(C167,UrbanRuralClassification!A:N,13,FALSE)</f>
        <v xml:space="preserve">Mainly Rural (rural including hub towns &gt;=80%) </v>
      </c>
      <c r="G167" s="38" t="str">
        <f>VLOOKUP(C167,UrbanRuralClassification!A:N,14,FALSE)</f>
        <v>Predominantly Rural</v>
      </c>
      <c r="H167" s="258">
        <f>IF(ISBLANK((VLOOKUP($A167,'local-plan-data'!$C$1:$AD$566,27,FALSE)))=TRUE,"",VLOOKUP($A167,'local-plan-data'!$C$1:$AD$566,27,FALSE))</f>
        <v>41988</v>
      </c>
      <c r="I167" s="259">
        <f>VLOOKUP($A167,'local-plan-data'!$C$1:$AD$566,28,FALSE)</f>
        <v>418.91304347826087</v>
      </c>
      <c r="J167" s="260">
        <f t="shared" si="151"/>
        <v>418.91304347826087</v>
      </c>
      <c r="K167" s="259">
        <f t="shared" si="197"/>
        <v>418.91304347826087</v>
      </c>
      <c r="L167" s="259">
        <f t="shared" si="199"/>
        <v>418.91304347826087</v>
      </c>
      <c r="M167" s="259" t="str">
        <f t="shared" si="199"/>
        <v>-</v>
      </c>
      <c r="N167" s="259" t="str">
        <f t="shared" si="199"/>
        <v>-</v>
      </c>
      <c r="O167" s="259" t="str">
        <f t="shared" si="199"/>
        <v>-</v>
      </c>
      <c r="P167" s="259" t="str">
        <f t="shared" si="199"/>
        <v>-</v>
      </c>
      <c r="Q167" s="259" t="str">
        <f t="shared" si="199"/>
        <v>-</v>
      </c>
      <c r="R167" s="259" t="str">
        <f t="shared" si="199"/>
        <v>-</v>
      </c>
      <c r="S167" s="259">
        <f t="shared" si="198"/>
        <v>623</v>
      </c>
      <c r="T167" s="259">
        <f t="shared" si="200"/>
        <v>258</v>
      </c>
      <c r="U167" s="259">
        <f t="shared" si="200"/>
        <v>-108</v>
      </c>
      <c r="V167" s="259">
        <f t="shared" si="200"/>
        <v>-473</v>
      </c>
      <c r="W167" s="259">
        <f t="shared" si="200"/>
        <v>-838</v>
      </c>
      <c r="X167" s="259">
        <f t="shared" si="200"/>
        <v>-1203</v>
      </c>
      <c r="Y167" s="259">
        <f t="shared" si="200"/>
        <v>-1569</v>
      </c>
      <c r="Z167" s="259">
        <f t="shared" si="200"/>
        <v>-1934</v>
      </c>
      <c r="AA167" s="267">
        <f>(VLOOKUP(A167,Hshldprojections2014!$A$2:$AW$319,40, FALSE)-VLOOKUP(A167,Hshldprojections2014!$A$2:$AW$319,30, FALSE))/10</f>
        <v>437.8</v>
      </c>
      <c r="AB167" s="267">
        <f>(VLOOKUP(A167,Hshldprojections2014!$A$2:$AW$319,41, FALSE)-VLOOKUP(A167,Hshldprojections2014!$A$2:$AW$319,31, FALSE))/10</f>
        <v>432.1</v>
      </c>
      <c r="AC167" s="267">
        <f>(VLOOKUP(A167,Hshldprojections2014!$A$2:$AW$319,42, FALSE)-VLOOKUP(A167,Hshldprojections2014!$A$2:$AW$319,32, FALSE))/10</f>
        <v>427.7</v>
      </c>
      <c r="AD167" s="267">
        <f>IF(IndividualLATest!$J$7=2014,(VLOOKUP($A167,Hshldprojections2014!$A$2:$AY$326,43,FALSE)-VLOOKUP($A167,Hshldprojections2014!$A$2:$AY$326,33,FALSE))/10,IF(IndividualLATest!$J$7=2016,(VLOOKUP($A167,Hshldprojections2016!$A$1:$AQ$322,33,FALSE)-VLOOKUP($A167,Hshldprojections2016!$A$1:$AQ$322,23,FALSE))/10,(VLOOKUP($A167,Hshldprojections2018!$A$1:$AQ$327,33,FALSE)-VLOOKUP($A167,Hshldprojections2018!$A$1:$AQ$327,23,FALSE))/10))</f>
        <v>485.6</v>
      </c>
      <c r="AE167" s="267">
        <f>IF(IndividualLATest!$J$7=2014,(VLOOKUP($A167,Hshldprojections2014!$A$2:$AY$326,44,FALSE)-VLOOKUP($A167,Hshldprojections2014!$A$2:$AY$326,34,FALSE))/10,IF(IndividualLATest!$J$7=2016,(VLOOKUP($A167,Hshldprojections2016!$A$1:$AQ$322,34,FALSE)-VLOOKUP($A167,Hshldprojections2016!$A$1:$AQ$322,24,FALSE))/10,(VLOOKUP($A167,Hshldprojections2018!$A$1:$AQ$327,34,FALSE)-VLOOKUP($A167,Hshldprojections2018!$A$1:$AQ$327,24,FALSE))/10))</f>
        <v>471.9</v>
      </c>
      <c r="AF167" s="267">
        <f>IF(IndividualLATest!$J$7=2014,(VLOOKUP($A167,Hshldprojections2014!$A$2:$AY$326,45,FALSE)-VLOOKUP($A167,Hshldprojections2014!$A$2:$AY$326,35,FALSE))/10,IF(IndividualLATest!$J$7=2016,(VLOOKUP($A167,Hshldprojections2016!$A$1:$AQ$322,35,FALSE)-VLOOKUP($A167,Hshldprojections2016!$A$1:$AQ$322,25,FALSE))/10,(VLOOKUP($A167,Hshldprojections2018!$A$1:$AQ$327,35,FALSE)-VLOOKUP($A167,Hshldprojections2018!$A$1:$AQ$327,25,FALSE))/10))</f>
        <v>459.8</v>
      </c>
      <c r="AG167" s="267">
        <f>IF(IndividualLATest!$J$7=2014,(VLOOKUP($A167,Hshldprojections2014!$A$2:$AY$326,46,FALSE)-VLOOKUP($A167,Hshldprojections2014!$A$2:$AY$326,36,FALSE))/10,IF(IndividualLATest!$J$7=2016,(VLOOKUP($A167,Hshldprojections2016!$A$1:$AQ$322,36,FALSE)-VLOOKUP($A167,Hshldprojections2016!$A$1:$AQ$322,26,FALSE))/10,(VLOOKUP($A167,Hshldprojections2018!$A$1:$AQ$327,36,FALSE)-VLOOKUP($A167,Hshldprojections2018!$A$1:$AQ$327,26,FALSE))/10))</f>
        <v>448</v>
      </c>
      <c r="AH167" s="267">
        <f>IF(IndividualLATest!$J$7=2014,(VLOOKUP($A167,Hshldprojections2014!$A$2:$AY$326,47,FALSE)-VLOOKUP($A167,Hshldprojections2014!$A$2:$AY$326,37,FALSE))/10,IF(IndividualLATest!$J$7=2016,(VLOOKUP($A167,Hshldprojections2016!$A$1:$AQ$322,37,FALSE)-VLOOKUP($A167,Hshldprojections2016!$A$1:$AQ$322,27,FALSE))/10,(VLOOKUP($A167,Hshldprojections2018!$A$1:$AQ$327,37,FALSE)-VLOOKUP($A167,Hshldprojections2018!$A$1:$AQ$327,27,FALSE))/10))</f>
        <v>438.2</v>
      </c>
      <c r="AI167" s="268">
        <f>VLOOKUP($A167,AffordabilityRatio!$A$2:$I$321,5,FALSE)</f>
        <v>10.29</v>
      </c>
      <c r="AJ167" s="268">
        <f>VLOOKUP($A167,AffordabilityRatio!$A$2:$I$321,6,FALSE)</f>
        <v>10.98</v>
      </c>
      <c r="AK167" s="268">
        <f>VLOOKUP($A167,AffordabilityRatio!$A$2:$I$321,7,FALSE)</f>
        <v>10.94</v>
      </c>
      <c r="AL167" s="268">
        <f>IF((VLOOKUP($A167,AffordabilityRatio!$A$2:$I$321,8,FALSE))="",AK167,VLOOKUP($A167,AffordabilityRatio!$A$2:$I$321,8,FALSE))</f>
        <v>9.61</v>
      </c>
      <c r="AM167" s="268">
        <f>IF((VLOOKUP($A167,AffordabilityRatio!$A$2:$I$321,9,FALSE))="",AL167,VLOOKUP($A167,AffordabilityRatio!$A$2:$I$321,9,FALSE))</f>
        <v>11.22</v>
      </c>
      <c r="AN167" s="268">
        <f>IF((VLOOKUP($A167,AffordabilityRatio!$A$2:$I$321,9,FALSE))="",AM167,VLOOKUP($A167,AffordabilityRatio!$A$2:$I$321,9,FALSE))</f>
        <v>11.22</v>
      </c>
      <c r="AO167" s="268">
        <f>IF((VLOOKUP($A167,AffordabilityRatio!$A$2:$I$321,9,FALSE))="",AN167,VLOOKUP($A167,AffordabilityRatio!$A$2:$I$321,9,FALSE))</f>
        <v>11.22</v>
      </c>
      <c r="AP167" s="268">
        <f>IF((VLOOKUP($A167,AffordabilityRatio!$A$2:$I$321,9,FALSE))="",AO167,VLOOKUP($A167,AffordabilityRatio!$A$2:$I$321,9,FALSE))</f>
        <v>11.22</v>
      </c>
      <c r="AQ167" s="267">
        <f t="shared" si="152"/>
        <v>610</v>
      </c>
      <c r="AR167" s="267">
        <f t="shared" si="153"/>
        <v>621</v>
      </c>
      <c r="AS167" s="267">
        <f t="shared" si="154"/>
        <v>613</v>
      </c>
      <c r="AT167" s="267">
        <f t="shared" si="155"/>
        <v>656</v>
      </c>
      <c r="AU167" s="267">
        <f t="shared" si="156"/>
        <v>685</v>
      </c>
      <c r="AV167" s="267">
        <f t="shared" si="157"/>
        <v>667</v>
      </c>
      <c r="AW167" s="267">
        <f t="shared" si="158"/>
        <v>650</v>
      </c>
      <c r="AX167" s="267">
        <f t="shared" si="159"/>
        <v>636</v>
      </c>
      <c r="AY167" s="267">
        <f t="shared" si="160"/>
        <v>586.47826086956525</v>
      </c>
      <c r="AZ167" s="267">
        <f t="shared" si="161"/>
        <v>586.47826086956525</v>
      </c>
      <c r="BA167" s="267">
        <f t="shared" si="162"/>
        <v>598.78</v>
      </c>
      <c r="BB167" s="267">
        <f t="shared" si="163"/>
        <v>656</v>
      </c>
      <c r="BC167" s="267">
        <f t="shared" si="164"/>
        <v>660.66</v>
      </c>
      <c r="BD167" s="267">
        <f t="shared" si="165"/>
        <v>643.72</v>
      </c>
      <c r="BE167" s="267">
        <f t="shared" si="166"/>
        <v>627.20000000000005</v>
      </c>
      <c r="BF167" s="267">
        <f t="shared" si="167"/>
        <v>613.48</v>
      </c>
      <c r="BG167" s="269">
        <f>AY167*VLOOKUP($B167,'Major Cities &amp; Towns'!$A$28:$B$345,2,FALSE)</f>
        <v>586.47826086956525</v>
      </c>
      <c r="BH167" s="269">
        <f>AZ167*VLOOKUP($B167,'Major Cities &amp; Towns'!$A$28:$B$345,2,FALSE)</f>
        <v>586.47826086956525</v>
      </c>
      <c r="BI167" s="269">
        <f>BA167*VLOOKUP($B167,'Major Cities &amp; Towns'!$A$28:$B$345,2,FALSE)</f>
        <v>598.78</v>
      </c>
      <c r="BJ167" s="269">
        <f>BB167*VLOOKUP($B167,'Major Cities &amp; Towns'!$A$28:$B$345,2,FALSE)</f>
        <v>656</v>
      </c>
      <c r="BK167" s="269">
        <f>BC167*VLOOKUP($B167,'Major Cities &amp; Towns'!$A$28:$B$345,2,FALSE)</f>
        <v>660.66</v>
      </c>
      <c r="BL167" s="269">
        <f>BD167*VLOOKUP($B167,'Major Cities &amp; Towns'!$A$28:$B$345,2,FALSE)</f>
        <v>643.72</v>
      </c>
      <c r="BM167" s="269">
        <f>BE167*VLOOKUP($B167,'Major Cities &amp; Towns'!$A$28:$B$345,2,FALSE)</f>
        <v>627.20000000000005</v>
      </c>
      <c r="BN167" s="269">
        <f>BF167*VLOOKUP($B167,'Major Cities &amp; Towns'!$A$28:$B$345,2,FALSE)</f>
        <v>613.48</v>
      </c>
      <c r="BO167" s="270">
        <f t="shared" si="168"/>
        <v>418.91304347826087</v>
      </c>
      <c r="BP167" s="270">
        <f t="shared" si="169"/>
        <v>478.15497319833236</v>
      </c>
      <c r="BQ167" s="270">
        <f t="shared" si="170"/>
        <v>613</v>
      </c>
      <c r="BR167" s="270">
        <f t="shared" si="171"/>
        <v>656</v>
      </c>
      <c r="BS167" s="270">
        <f t="shared" si="172"/>
        <v>685</v>
      </c>
      <c r="BT167" s="270">
        <f t="shared" si="173"/>
        <v>667</v>
      </c>
      <c r="BU167" s="270">
        <f t="shared" si="174"/>
        <v>650</v>
      </c>
      <c r="BV167" s="270">
        <f t="shared" si="175"/>
        <v>636</v>
      </c>
      <c r="BW167" s="39">
        <f>VLOOKUP($A167,NetAdditions!$A$2:$H$336,6,FALSE)</f>
        <v>512</v>
      </c>
      <c r="BX167" s="39">
        <f>VLOOKUP($A167,NetAdditions!$A$2:$H$336,7,FALSE)</f>
        <v>387</v>
      </c>
      <c r="BY167" s="39">
        <f>IF((VLOOKUP($C167,NetAdditions!$A$2:$H$336,8,FALSE))="",(AVERAGE(VLOOKUP($C167,NetAdditions!$A$2:$H$336,5,FALSE),VLOOKUP($C167,NetAdditions!$A$2:$H$336,6,FALSE),VLOOKUP($C167,NetAdditions!$A$2:$H$336,7,FALSE))),VLOOKUP($C167,NetAdditions!$A$2:$H$336,8,FALSE))</f>
        <v>321</v>
      </c>
      <c r="BZ167" s="39">
        <f t="shared" si="176"/>
        <v>406.66666666666669</v>
      </c>
      <c r="CA167" s="39">
        <f t="shared" si="177"/>
        <v>371.5555555555556</v>
      </c>
      <c r="CB167" s="39">
        <f t="shared" si="178"/>
        <v>366.40740740740745</v>
      </c>
      <c r="CC167" s="39">
        <f t="shared" si="179"/>
        <v>381.54320987654324</v>
      </c>
      <c r="CD167" s="39">
        <f t="shared" si="180"/>
        <v>373.16872427983543</v>
      </c>
      <c r="CE167" s="276">
        <f t="shared" si="137"/>
        <v>1510.0680166765933</v>
      </c>
      <c r="CF167" s="276">
        <f t="shared" si="138"/>
        <v>1747.1549731983323</v>
      </c>
      <c r="CG167" s="276">
        <f t="shared" si="139"/>
        <v>1954</v>
      </c>
      <c r="CH167" s="276">
        <f t="shared" si="140"/>
        <v>2008</v>
      </c>
      <c r="CI167" s="276">
        <f t="shared" si="141"/>
        <v>2002</v>
      </c>
      <c r="CJ167" s="276">
        <f t="shared" si="142"/>
        <v>1953</v>
      </c>
      <c r="CK167" s="276">
        <f t="shared" si="181"/>
        <v>1300.3363476937332</v>
      </c>
      <c r="CL167" s="276">
        <f t="shared" si="182"/>
        <v>1504.4945602541195</v>
      </c>
      <c r="CM167" s="276">
        <f t="shared" si="183"/>
        <v>1791.1666666666665</v>
      </c>
      <c r="CN167" s="276">
        <f t="shared" si="184"/>
        <v>2008</v>
      </c>
      <c r="CO167" s="276">
        <f t="shared" si="185"/>
        <v>2002</v>
      </c>
      <c r="CP167" s="276">
        <f t="shared" si="186"/>
        <v>1953</v>
      </c>
      <c r="CQ167" s="39">
        <f t="shared" si="143"/>
        <v>1220</v>
      </c>
      <c r="CR167" s="39">
        <f t="shared" si="144"/>
        <v>1114.6666666666667</v>
      </c>
      <c r="CS167" s="277">
        <f t="shared" si="145"/>
        <v>1099.2222222222224</v>
      </c>
      <c r="CT167" s="39">
        <f t="shared" si="146"/>
        <v>1144.6296296296298</v>
      </c>
      <c r="CU167" s="39">
        <f t="shared" si="147"/>
        <v>1119.5061728395062</v>
      </c>
      <c r="CV167" s="39">
        <f t="shared" si="187"/>
        <v>1121.1193415637861</v>
      </c>
      <c r="CW167" s="297">
        <f t="shared" si="148"/>
        <v>0.93821879405569408</v>
      </c>
      <c r="CX167" s="279" t="str">
        <f t="shared" si="188"/>
        <v>Action Plan</v>
      </c>
      <c r="CY167" s="278">
        <f t="shared" si="149"/>
        <v>0.74089112457700868</v>
      </c>
      <c r="CZ167" s="279" t="str">
        <f t="shared" si="189"/>
        <v>Buffer and Action Plan</v>
      </c>
      <c r="DA167" s="278">
        <f t="shared" si="150"/>
        <v>0.61369064234980319</v>
      </c>
      <c r="DB167" s="292" t="str">
        <f t="shared" si="190"/>
        <v>Presumption</v>
      </c>
      <c r="DC167" s="299">
        <f t="shared" si="191"/>
        <v>0.5700346761103734</v>
      </c>
      <c r="DD167" s="293" t="str">
        <f t="shared" si="192"/>
        <v>Presumption</v>
      </c>
      <c r="DE167" s="299">
        <f t="shared" si="193"/>
        <v>0.55919389252722584</v>
      </c>
      <c r="DF167" s="293" t="str">
        <f t="shared" si="194"/>
        <v>Presumption</v>
      </c>
      <c r="DG167" s="299">
        <f t="shared" si="195"/>
        <v>0.57404984207055099</v>
      </c>
      <c r="DH167" s="293" t="str">
        <f t="shared" si="196"/>
        <v>Presumption</v>
      </c>
    </row>
    <row r="168" spans="1:112" customFormat="1" ht="15.5" thickTop="1" thickBot="1">
      <c r="A168" s="3" t="s">
        <v>446</v>
      </c>
      <c r="B168" s="3" t="s">
        <v>447</v>
      </c>
      <c r="C168" s="3" t="s">
        <v>446</v>
      </c>
      <c r="D168" s="3" t="s">
        <v>131</v>
      </c>
      <c r="E168" s="3" t="str">
        <f>VLOOKUP(C168,PoliticalControl!A:K,11,FALSE)</f>
        <v>LAB</v>
      </c>
      <c r="F168" s="3" t="str">
        <f>VLOOKUP(C168,UrbanRuralClassification!A:N,13,FALSE)</f>
        <v>Urban with Major Conurbation</v>
      </c>
      <c r="G168" s="3" t="str">
        <f>VLOOKUP(C168,UrbanRuralClassification!A:N,14,FALSE)</f>
        <v>Predominantly Urban</v>
      </c>
      <c r="H168" s="262">
        <f>IF(ISBLANK((VLOOKUP($A168,'local-plan-data'!$C$1:$AD$566,27,FALSE)))=TRUE,"",VLOOKUP($A168,'local-plan-data'!$C$1:$AD$566,27,FALSE))</f>
        <v>40737</v>
      </c>
      <c r="I168" s="263">
        <f>VLOOKUP($A168,'local-plan-data'!$C$1:$AD$566,28,FALSE)</f>
        <v>320</v>
      </c>
      <c r="J168" s="264">
        <f t="shared" si="151"/>
        <v>320</v>
      </c>
      <c r="K168" s="259" t="str">
        <f t="shared" si="197"/>
        <v>-</v>
      </c>
      <c r="L168" s="259" t="str">
        <f t="shared" si="199"/>
        <v>-</v>
      </c>
      <c r="M168" s="259" t="str">
        <f t="shared" si="199"/>
        <v>-</v>
      </c>
      <c r="N168" s="259" t="str">
        <f t="shared" si="199"/>
        <v>-</v>
      </c>
      <c r="O168" s="259" t="str">
        <f t="shared" si="199"/>
        <v>-</v>
      </c>
      <c r="P168" s="259" t="str">
        <f t="shared" si="199"/>
        <v>-</v>
      </c>
      <c r="Q168" s="259" t="str">
        <f t="shared" si="199"/>
        <v>-</v>
      </c>
      <c r="R168" s="259" t="str">
        <f t="shared" si="199"/>
        <v>-</v>
      </c>
      <c r="S168" s="259">
        <f t="shared" si="198"/>
        <v>-627</v>
      </c>
      <c r="T168" s="259">
        <f t="shared" si="200"/>
        <v>-992</v>
      </c>
      <c r="U168" s="259">
        <f t="shared" si="200"/>
        <v>-1358</v>
      </c>
      <c r="V168" s="259">
        <f t="shared" si="200"/>
        <v>-1723</v>
      </c>
      <c r="W168" s="259">
        <f t="shared" si="200"/>
        <v>-2088</v>
      </c>
      <c r="X168" s="259">
        <f t="shared" si="200"/>
        <v>-2453</v>
      </c>
      <c r="Y168" s="259">
        <f t="shared" si="200"/>
        <v>-2819</v>
      </c>
      <c r="Z168" s="259">
        <f t="shared" si="200"/>
        <v>-3184</v>
      </c>
      <c r="AA168" s="267">
        <f>(VLOOKUP(A168,Hshldprojections2014!$A$2:$AW$319,40, FALSE)-VLOOKUP(A168,Hshldprojections2014!$A$2:$AW$319,30, FALSE))/10</f>
        <v>1107.0999999999999</v>
      </c>
      <c r="AB168" s="267">
        <f>(VLOOKUP(A168,Hshldprojections2014!$A$2:$AW$319,41, FALSE)-VLOOKUP(A168,Hshldprojections2014!$A$2:$AW$319,31, FALSE))/10</f>
        <v>1096</v>
      </c>
      <c r="AC168" s="267">
        <f>(VLOOKUP(A168,Hshldprojections2014!$A$2:$AW$319,42, FALSE)-VLOOKUP(A168,Hshldprojections2014!$A$2:$AW$319,32, FALSE))/10</f>
        <v>1085.3</v>
      </c>
      <c r="AD168" s="267">
        <f>IF(IndividualLATest!$J$7=2014,(VLOOKUP($A168,Hshldprojections2014!$A$2:$AY$326,43,FALSE)-VLOOKUP($A168,Hshldprojections2014!$A$2:$AY$326,33,FALSE))/10,IF(IndividualLATest!$J$7=2016,(VLOOKUP($A168,Hshldprojections2016!$A$1:$AQ$322,33,FALSE)-VLOOKUP($A168,Hshldprojections2016!$A$1:$AQ$322,23,FALSE))/10,(VLOOKUP($A168,Hshldprojections2018!$A$1:$AQ$327,33,FALSE)-VLOOKUP($A168,Hshldprojections2018!$A$1:$AQ$327,23,FALSE))/10))</f>
        <v>324.2</v>
      </c>
      <c r="AE168" s="267">
        <f>IF(IndividualLATest!$J$7=2014,(VLOOKUP($A168,Hshldprojections2014!$A$2:$AY$326,44,FALSE)-VLOOKUP($A168,Hshldprojections2014!$A$2:$AY$326,34,FALSE))/10,IF(IndividualLATest!$J$7=2016,(VLOOKUP($A168,Hshldprojections2016!$A$1:$AQ$322,34,FALSE)-VLOOKUP($A168,Hshldprojections2016!$A$1:$AQ$322,24,FALSE))/10,(VLOOKUP($A168,Hshldprojections2018!$A$1:$AQ$327,34,FALSE)-VLOOKUP($A168,Hshldprojections2018!$A$1:$AQ$327,24,FALSE))/10))</f>
        <v>323.10000000000002</v>
      </c>
      <c r="AF168" s="267">
        <f>IF(IndividualLATest!$J$7=2014,(VLOOKUP($A168,Hshldprojections2014!$A$2:$AY$326,45,FALSE)-VLOOKUP($A168,Hshldprojections2014!$A$2:$AY$326,35,FALSE))/10,IF(IndividualLATest!$J$7=2016,(VLOOKUP($A168,Hshldprojections2016!$A$1:$AQ$322,35,FALSE)-VLOOKUP($A168,Hshldprojections2016!$A$1:$AQ$322,25,FALSE))/10,(VLOOKUP($A168,Hshldprojections2018!$A$1:$AQ$327,35,FALSE)-VLOOKUP($A168,Hshldprojections2018!$A$1:$AQ$327,25,FALSE))/10))</f>
        <v>323.2</v>
      </c>
      <c r="AG168" s="267">
        <f>IF(IndividualLATest!$J$7=2014,(VLOOKUP($A168,Hshldprojections2014!$A$2:$AY$326,46,FALSE)-VLOOKUP($A168,Hshldprojections2014!$A$2:$AY$326,36,FALSE))/10,IF(IndividualLATest!$J$7=2016,(VLOOKUP($A168,Hshldprojections2016!$A$1:$AQ$322,36,FALSE)-VLOOKUP($A168,Hshldprojections2016!$A$1:$AQ$322,26,FALSE))/10,(VLOOKUP($A168,Hshldprojections2018!$A$1:$AQ$327,36,FALSE)-VLOOKUP($A168,Hshldprojections2018!$A$1:$AQ$327,26,FALSE))/10))</f>
        <v>325.7</v>
      </c>
      <c r="AH168" s="267">
        <f>IF(IndividualLATest!$J$7=2014,(VLOOKUP($A168,Hshldprojections2014!$A$2:$AY$326,47,FALSE)-VLOOKUP($A168,Hshldprojections2014!$A$2:$AY$326,37,FALSE))/10,IF(IndividualLATest!$J$7=2016,(VLOOKUP($A168,Hshldprojections2016!$A$1:$AQ$322,37,FALSE)-VLOOKUP($A168,Hshldprojections2016!$A$1:$AQ$322,27,FALSE))/10,(VLOOKUP($A168,Hshldprojections2018!$A$1:$AQ$327,37,FALSE)-VLOOKUP($A168,Hshldprojections2018!$A$1:$AQ$327,27,FALSE))/10))</f>
        <v>328.3</v>
      </c>
      <c r="AI168" s="268">
        <f>VLOOKUP($A168,AffordabilityRatio!$A$2:$I$321,5,FALSE)</f>
        <v>15.45</v>
      </c>
      <c r="AJ168" s="268">
        <f>VLOOKUP($A168,AffordabilityRatio!$A$2:$I$321,6,FALSE)</f>
        <v>15.36</v>
      </c>
      <c r="AK168" s="268">
        <f>VLOOKUP($A168,AffordabilityRatio!$A$2:$I$321,7,FALSE)</f>
        <v>14.81</v>
      </c>
      <c r="AL168" s="268">
        <f>IF((VLOOKUP($A168,AffordabilityRatio!$A$2:$I$321,8,FALSE))="",AK168,VLOOKUP($A168,AffordabilityRatio!$A$2:$I$321,8,FALSE))</f>
        <v>14.65</v>
      </c>
      <c r="AM168" s="268">
        <f>IF((VLOOKUP($A168,AffordabilityRatio!$A$2:$I$321,9,FALSE))="",AL168,VLOOKUP($A168,AffordabilityRatio!$A$2:$I$321,9,FALSE))</f>
        <v>15.89</v>
      </c>
      <c r="AN168" s="268">
        <f>IF((VLOOKUP($A168,AffordabilityRatio!$A$2:$I$321,9,FALSE))="",AM168,VLOOKUP($A168,AffordabilityRatio!$A$2:$I$321,9,FALSE))</f>
        <v>15.89</v>
      </c>
      <c r="AO168" s="268">
        <f>IF((VLOOKUP($A168,AffordabilityRatio!$A$2:$I$321,9,FALSE))="",AN168,VLOOKUP($A168,AffordabilityRatio!$A$2:$I$321,9,FALSE))</f>
        <v>15.89</v>
      </c>
      <c r="AP168" s="268">
        <f>IF((VLOOKUP($A168,AffordabilityRatio!$A$2:$I$321,9,FALSE))="",AO168,VLOOKUP($A168,AffordabilityRatio!$A$2:$I$321,9,FALSE))</f>
        <v>15.89</v>
      </c>
      <c r="AQ168" s="267">
        <f t="shared" si="152"/>
        <v>1899</v>
      </c>
      <c r="AR168" s="267">
        <f t="shared" si="153"/>
        <v>1874</v>
      </c>
      <c r="AS168" s="267">
        <f t="shared" si="154"/>
        <v>1819</v>
      </c>
      <c r="AT168" s="267">
        <f t="shared" si="155"/>
        <v>540</v>
      </c>
      <c r="AU168" s="267">
        <f t="shared" si="156"/>
        <v>563</v>
      </c>
      <c r="AV168" s="267">
        <f t="shared" si="157"/>
        <v>563</v>
      </c>
      <c r="AW168" s="267">
        <f t="shared" si="158"/>
        <v>568</v>
      </c>
      <c r="AX168" s="267">
        <f t="shared" si="159"/>
        <v>572</v>
      </c>
      <c r="AY168" s="267">
        <f t="shared" si="160"/>
        <v>1549.9399999999998</v>
      </c>
      <c r="AZ168" s="267">
        <f t="shared" si="161"/>
        <v>1534.4</v>
      </c>
      <c r="BA168" s="267">
        <f t="shared" si="162"/>
        <v>1519.42</v>
      </c>
      <c r="BB168" s="267">
        <f t="shared" si="163"/>
        <v>453.88</v>
      </c>
      <c r="BC168" s="267">
        <f t="shared" si="164"/>
        <v>452.34000000000003</v>
      </c>
      <c r="BD168" s="267">
        <f t="shared" si="165"/>
        <v>452.48</v>
      </c>
      <c r="BE168" s="267">
        <f t="shared" si="166"/>
        <v>455.98</v>
      </c>
      <c r="BF168" s="267">
        <f t="shared" si="167"/>
        <v>459.62</v>
      </c>
      <c r="BG168" s="269">
        <f>AY168*VLOOKUP($B168,'Major Cities &amp; Towns'!$A$28:$B$345,2,FALSE)</f>
        <v>2092.4189999999999</v>
      </c>
      <c r="BH168" s="269">
        <f>AZ168*VLOOKUP($B168,'Major Cities &amp; Towns'!$A$28:$B$345,2,FALSE)</f>
        <v>2071.44</v>
      </c>
      <c r="BI168" s="269">
        <f>BA168*VLOOKUP($B168,'Major Cities &amp; Towns'!$A$28:$B$345,2,FALSE)</f>
        <v>2051.2170000000001</v>
      </c>
      <c r="BJ168" s="269">
        <f>BB168*VLOOKUP($B168,'Major Cities &amp; Towns'!$A$28:$B$345,2,FALSE)</f>
        <v>612.73800000000006</v>
      </c>
      <c r="BK168" s="269">
        <f>BC168*VLOOKUP($B168,'Major Cities &amp; Towns'!$A$28:$B$345,2,FALSE)</f>
        <v>610.65900000000011</v>
      </c>
      <c r="BL168" s="269">
        <f>BD168*VLOOKUP($B168,'Major Cities &amp; Towns'!$A$28:$B$345,2,FALSE)</f>
        <v>610.84800000000007</v>
      </c>
      <c r="BM168" s="269">
        <f>BE168*VLOOKUP($B168,'Major Cities &amp; Towns'!$A$28:$B$345,2,FALSE)</f>
        <v>615.57300000000009</v>
      </c>
      <c r="BN168" s="269">
        <f>BF168*VLOOKUP($B168,'Major Cities &amp; Towns'!$A$28:$B$345,2,FALSE)</f>
        <v>620.48700000000008</v>
      </c>
      <c r="BO168" s="270">
        <f t="shared" si="168"/>
        <v>1899</v>
      </c>
      <c r="BP168" s="270">
        <f t="shared" si="169"/>
        <v>1874</v>
      </c>
      <c r="BQ168" s="270">
        <f t="shared" si="170"/>
        <v>1819</v>
      </c>
      <c r="BR168" s="270">
        <f t="shared" si="171"/>
        <v>540</v>
      </c>
      <c r="BS168" s="270">
        <f t="shared" si="172"/>
        <v>563</v>
      </c>
      <c r="BT168" s="270">
        <f t="shared" si="173"/>
        <v>563</v>
      </c>
      <c r="BU168" s="270">
        <f t="shared" si="174"/>
        <v>568</v>
      </c>
      <c r="BV168" s="270">
        <f t="shared" si="175"/>
        <v>572</v>
      </c>
      <c r="BW168" s="39">
        <f>VLOOKUP($A168,NetAdditions!$A$2:$H$336,6,FALSE)</f>
        <v>273</v>
      </c>
      <c r="BX168" s="39">
        <f>VLOOKUP($A168,NetAdditions!$A$2:$H$336,7,FALSE)</f>
        <v>346</v>
      </c>
      <c r="BY168" s="39">
        <f>IF((VLOOKUP($C168,NetAdditions!$A$2:$H$336,8,FALSE))="",(AVERAGE(VLOOKUP($C168,NetAdditions!$A$2:$H$336,5,FALSE),VLOOKUP($C168,NetAdditions!$A$2:$H$336,6,FALSE),VLOOKUP($C168,NetAdditions!$A$2:$H$336,7,FALSE))),VLOOKUP($C168,NetAdditions!$A$2:$H$336,8,FALSE))</f>
        <v>643</v>
      </c>
      <c r="BZ168" s="39">
        <f t="shared" si="176"/>
        <v>420.66666666666669</v>
      </c>
      <c r="CA168" s="39">
        <f t="shared" si="177"/>
        <v>469.88888888888891</v>
      </c>
      <c r="CB168" s="39">
        <f t="shared" si="178"/>
        <v>511.18518518518522</v>
      </c>
      <c r="CC168" s="39">
        <f t="shared" si="179"/>
        <v>467.24691358024694</v>
      </c>
      <c r="CD168" s="39">
        <f t="shared" si="180"/>
        <v>482.77366255144034</v>
      </c>
      <c r="CE168" s="276">
        <f t="shared" si="137"/>
        <v>5592</v>
      </c>
      <c r="CF168" s="276">
        <f t="shared" si="138"/>
        <v>4233</v>
      </c>
      <c r="CG168" s="276">
        <f t="shared" si="139"/>
        <v>2922</v>
      </c>
      <c r="CH168" s="276">
        <f t="shared" si="140"/>
        <v>1666</v>
      </c>
      <c r="CI168" s="276">
        <f t="shared" si="141"/>
        <v>1694</v>
      </c>
      <c r="CJ168" s="276">
        <f t="shared" si="142"/>
        <v>1703</v>
      </c>
      <c r="CK168" s="276">
        <f t="shared" si="181"/>
        <v>4815.3333333333339</v>
      </c>
      <c r="CL168" s="276">
        <f t="shared" si="182"/>
        <v>3645.0833333333335</v>
      </c>
      <c r="CM168" s="276">
        <f t="shared" si="183"/>
        <v>2678.5</v>
      </c>
      <c r="CN168" s="276">
        <f t="shared" si="184"/>
        <v>1666</v>
      </c>
      <c r="CO168" s="276">
        <f t="shared" si="185"/>
        <v>1694</v>
      </c>
      <c r="CP168" s="276">
        <f t="shared" si="186"/>
        <v>1703</v>
      </c>
      <c r="CQ168" s="39">
        <f t="shared" si="143"/>
        <v>1262</v>
      </c>
      <c r="CR168" s="39">
        <f t="shared" si="144"/>
        <v>1409.6666666666667</v>
      </c>
      <c r="CS168" s="277">
        <f t="shared" si="145"/>
        <v>1533.5555555555557</v>
      </c>
      <c r="CT168" s="39">
        <f t="shared" si="146"/>
        <v>1401.7407407407409</v>
      </c>
      <c r="CU168" s="39">
        <f t="shared" si="147"/>
        <v>1448.320987654321</v>
      </c>
      <c r="CV168" s="39">
        <f t="shared" si="187"/>
        <v>1461.2057613168724</v>
      </c>
      <c r="CW168" s="297">
        <f t="shared" si="148"/>
        <v>0.26207946836494528</v>
      </c>
      <c r="CX168" s="279" t="str">
        <f t="shared" si="188"/>
        <v>Buffer and Action Plan</v>
      </c>
      <c r="CY168" s="278">
        <f t="shared" si="149"/>
        <v>0.3867309846597014</v>
      </c>
      <c r="CZ168" s="279" t="str">
        <f t="shared" si="189"/>
        <v>Presumption</v>
      </c>
      <c r="DA168" s="278">
        <f t="shared" si="150"/>
        <v>0.5725426752120798</v>
      </c>
      <c r="DB168" s="292" t="str">
        <f t="shared" si="190"/>
        <v>Presumption</v>
      </c>
      <c r="DC168" s="299">
        <f t="shared" si="191"/>
        <v>0.84138099684318179</v>
      </c>
      <c r="DD168" s="293" t="str">
        <f t="shared" si="192"/>
        <v>Buffer and Action Plan</v>
      </c>
      <c r="DE168" s="299">
        <f t="shared" si="193"/>
        <v>0.85497106709227921</v>
      </c>
      <c r="DF168" s="293" t="str">
        <f t="shared" si="194"/>
        <v>Action Plan</v>
      </c>
      <c r="DG168" s="299">
        <f t="shared" si="195"/>
        <v>0.85801865021542711</v>
      </c>
      <c r="DH168" s="293" t="str">
        <f t="shared" si="196"/>
        <v>Action Plan</v>
      </c>
    </row>
    <row r="169" spans="1:112" ht="15" thickTop="1" thickBot="1">
      <c r="A169" s="38" t="s">
        <v>448</v>
      </c>
      <c r="B169" s="38" t="s">
        <v>449</v>
      </c>
      <c r="C169" s="38" t="s">
        <v>448</v>
      </c>
      <c r="D169" s="38" t="s">
        <v>147</v>
      </c>
      <c r="E169" s="38" t="str">
        <f>VLOOKUP(C169,PoliticalControl!A:K,11,FALSE)</f>
        <v>NOC</v>
      </c>
      <c r="F169" s="38" t="str">
        <f>VLOOKUP(C169,UrbanRuralClassification!A:N,13,FALSE)</f>
        <v xml:space="preserve">Mainly Rural (rural including hub towns &gt;=80%) </v>
      </c>
      <c r="G169" s="38" t="str">
        <f>VLOOKUP(C169,UrbanRuralClassification!A:N,14,FALSE)</f>
        <v>Predominantly Rural</v>
      </c>
      <c r="H169" s="258">
        <f>IF(ISBLANK((VLOOKUP($A169,'local-plan-data'!$C$1:$AD$566,27,FALSE)))=TRUE,"",VLOOKUP($A169,'local-plan-data'!$C$1:$AD$566,27,FALSE))</f>
        <v>44041</v>
      </c>
      <c r="I169" s="259">
        <f>VLOOKUP($A169,'local-plan-data'!$C$1:$AD$566,28,FALSE)</f>
        <v>393</v>
      </c>
      <c r="J169" s="260">
        <f t="shared" si="151"/>
        <v>393</v>
      </c>
      <c r="K169" s="259">
        <f t="shared" si="197"/>
        <v>393</v>
      </c>
      <c r="L169" s="259">
        <f t="shared" si="199"/>
        <v>393</v>
      </c>
      <c r="M169" s="259">
        <f t="shared" si="199"/>
        <v>393</v>
      </c>
      <c r="N169" s="259">
        <f t="shared" si="199"/>
        <v>393</v>
      </c>
      <c r="O169" s="259">
        <f t="shared" si="199"/>
        <v>393</v>
      </c>
      <c r="P169" s="259">
        <f t="shared" si="199"/>
        <v>393</v>
      </c>
      <c r="Q169" s="259">
        <f t="shared" si="199"/>
        <v>393</v>
      </c>
      <c r="R169" s="259">
        <f t="shared" si="199"/>
        <v>393</v>
      </c>
      <c r="S169" s="259">
        <f t="shared" si="198"/>
        <v>2676</v>
      </c>
      <c r="T169" s="259">
        <f t="shared" si="200"/>
        <v>2311</v>
      </c>
      <c r="U169" s="259">
        <f t="shared" si="200"/>
        <v>1945</v>
      </c>
      <c r="V169" s="259">
        <f t="shared" si="200"/>
        <v>1580</v>
      </c>
      <c r="W169" s="259">
        <f t="shared" si="200"/>
        <v>1215</v>
      </c>
      <c r="X169" s="259">
        <f t="shared" si="200"/>
        <v>850</v>
      </c>
      <c r="Y169" s="259">
        <f t="shared" si="200"/>
        <v>484</v>
      </c>
      <c r="Z169" s="259">
        <f t="shared" si="200"/>
        <v>119</v>
      </c>
      <c r="AA169" s="267">
        <f>(VLOOKUP(A169,Hshldprojections2014!$A$2:$AW$319,40, FALSE)-VLOOKUP(A169,Hshldprojections2014!$A$2:$AW$319,30, FALSE))/10</f>
        <v>283.10000000000002</v>
      </c>
      <c r="AB169" s="267">
        <f>(VLOOKUP(A169,Hshldprojections2014!$A$2:$AW$319,41, FALSE)-VLOOKUP(A169,Hshldprojections2014!$A$2:$AW$319,31, FALSE))/10</f>
        <v>278.3</v>
      </c>
      <c r="AC169" s="267">
        <f>(VLOOKUP(A169,Hshldprojections2014!$A$2:$AW$319,42, FALSE)-VLOOKUP(A169,Hshldprojections2014!$A$2:$AW$319,32, FALSE))/10</f>
        <v>276.3</v>
      </c>
      <c r="AD169" s="267">
        <f>IF(IndividualLATest!$J$7=2014,(VLOOKUP($A169,Hshldprojections2014!$A$2:$AY$326,43,FALSE)-VLOOKUP($A169,Hshldprojections2014!$A$2:$AY$326,33,FALSE))/10,IF(IndividualLATest!$J$7=2016,(VLOOKUP($A169,Hshldprojections2016!$A$1:$AQ$322,33,FALSE)-VLOOKUP($A169,Hshldprojections2016!$A$1:$AQ$322,23,FALSE))/10,(VLOOKUP($A169,Hshldprojections2018!$A$1:$AQ$327,33,FALSE)-VLOOKUP($A169,Hshldprojections2018!$A$1:$AQ$327,23,FALSE))/10))</f>
        <v>377.9</v>
      </c>
      <c r="AE169" s="267">
        <f>IF(IndividualLATest!$J$7=2014,(VLOOKUP($A169,Hshldprojections2014!$A$2:$AY$326,44,FALSE)-VLOOKUP($A169,Hshldprojections2014!$A$2:$AY$326,34,FALSE))/10,IF(IndividualLATest!$J$7=2016,(VLOOKUP($A169,Hshldprojections2016!$A$1:$AQ$322,34,FALSE)-VLOOKUP($A169,Hshldprojections2016!$A$1:$AQ$322,24,FALSE))/10,(VLOOKUP($A169,Hshldprojections2018!$A$1:$AQ$327,34,FALSE)-VLOOKUP($A169,Hshldprojections2018!$A$1:$AQ$327,24,FALSE))/10))</f>
        <v>371.9</v>
      </c>
      <c r="AF169" s="267">
        <f>IF(IndividualLATest!$J$7=2014,(VLOOKUP($A169,Hshldprojections2014!$A$2:$AY$326,45,FALSE)-VLOOKUP($A169,Hshldprojections2014!$A$2:$AY$326,35,FALSE))/10,IF(IndividualLATest!$J$7=2016,(VLOOKUP($A169,Hshldprojections2016!$A$1:$AQ$322,35,FALSE)-VLOOKUP($A169,Hshldprojections2016!$A$1:$AQ$322,25,FALSE))/10,(VLOOKUP($A169,Hshldprojections2018!$A$1:$AQ$327,35,FALSE)-VLOOKUP($A169,Hshldprojections2018!$A$1:$AQ$327,25,FALSE))/10))</f>
        <v>365.4</v>
      </c>
      <c r="AG169" s="267">
        <f>IF(IndividualLATest!$J$7=2014,(VLOOKUP($A169,Hshldprojections2014!$A$2:$AY$326,46,FALSE)-VLOOKUP($A169,Hshldprojections2014!$A$2:$AY$326,36,FALSE))/10,IF(IndividualLATest!$J$7=2016,(VLOOKUP($A169,Hshldprojections2016!$A$1:$AQ$322,36,FALSE)-VLOOKUP($A169,Hshldprojections2016!$A$1:$AQ$322,26,FALSE))/10,(VLOOKUP($A169,Hshldprojections2018!$A$1:$AQ$327,36,FALSE)-VLOOKUP($A169,Hshldprojections2018!$A$1:$AQ$327,26,FALSE))/10))</f>
        <v>359.5</v>
      </c>
      <c r="AH169" s="267">
        <f>IF(IndividualLATest!$J$7=2014,(VLOOKUP($A169,Hshldprojections2014!$A$2:$AY$326,47,FALSE)-VLOOKUP($A169,Hshldprojections2014!$A$2:$AY$326,37,FALSE))/10,IF(IndividualLATest!$J$7=2016,(VLOOKUP($A169,Hshldprojections2016!$A$1:$AQ$322,37,FALSE)-VLOOKUP($A169,Hshldprojections2016!$A$1:$AQ$322,27,FALSE))/10,(VLOOKUP($A169,Hshldprojections2018!$A$1:$AQ$327,37,FALSE)-VLOOKUP($A169,Hshldprojections2018!$A$1:$AQ$327,27,FALSE))/10))</f>
        <v>355.4</v>
      </c>
      <c r="AI169" s="268">
        <f>VLOOKUP($A169,AffordabilityRatio!$A$2:$I$321,5,FALSE)</f>
        <v>8.74</v>
      </c>
      <c r="AJ169" s="268">
        <f>VLOOKUP($A169,AffordabilityRatio!$A$2:$I$321,6,FALSE)</f>
        <v>9.09</v>
      </c>
      <c r="AK169" s="268">
        <f>VLOOKUP($A169,AffordabilityRatio!$A$2:$I$321,7,FALSE)</f>
        <v>9.25</v>
      </c>
      <c r="AL169" s="268">
        <f>IF((VLOOKUP($A169,AffordabilityRatio!$A$2:$I$321,8,FALSE))="",AK169,VLOOKUP($A169,AffordabilityRatio!$A$2:$I$321,8,FALSE))</f>
        <v>9.41</v>
      </c>
      <c r="AM169" s="268">
        <f>IF((VLOOKUP($A169,AffordabilityRatio!$A$2:$I$321,9,FALSE))="",AL169,VLOOKUP($A169,AffordabilityRatio!$A$2:$I$321,9,FALSE))</f>
        <v>9.2899999999999991</v>
      </c>
      <c r="AN169" s="268">
        <f>IF((VLOOKUP($A169,AffordabilityRatio!$A$2:$I$321,9,FALSE))="",AM169,VLOOKUP($A169,AffordabilityRatio!$A$2:$I$321,9,FALSE))</f>
        <v>9.2899999999999991</v>
      </c>
      <c r="AO169" s="268">
        <f>IF((VLOOKUP($A169,AffordabilityRatio!$A$2:$I$321,9,FALSE))="",AN169,VLOOKUP($A169,AffordabilityRatio!$A$2:$I$321,9,FALSE))</f>
        <v>9.2899999999999991</v>
      </c>
      <c r="AP169" s="268">
        <f>IF((VLOOKUP($A169,AffordabilityRatio!$A$2:$I$321,9,FALSE))="",AO169,VLOOKUP($A169,AffordabilityRatio!$A$2:$I$321,9,FALSE))</f>
        <v>9.2899999999999991</v>
      </c>
      <c r="AQ169" s="267">
        <f t="shared" si="152"/>
        <v>367</v>
      </c>
      <c r="AR169" s="267">
        <f t="shared" si="153"/>
        <v>367</v>
      </c>
      <c r="AS169" s="267">
        <f t="shared" si="154"/>
        <v>367</v>
      </c>
      <c r="AT169" s="267">
        <f t="shared" si="155"/>
        <v>506</v>
      </c>
      <c r="AU169" s="267">
        <f t="shared" si="156"/>
        <v>495</v>
      </c>
      <c r="AV169" s="267">
        <f t="shared" si="157"/>
        <v>486</v>
      </c>
      <c r="AW169" s="267">
        <f t="shared" si="158"/>
        <v>478</v>
      </c>
      <c r="AX169" s="267">
        <f t="shared" si="159"/>
        <v>473</v>
      </c>
      <c r="AY169" s="267">
        <f t="shared" si="160"/>
        <v>367</v>
      </c>
      <c r="AZ169" s="267">
        <f t="shared" si="161"/>
        <v>367</v>
      </c>
      <c r="BA169" s="267">
        <f t="shared" si="162"/>
        <v>367</v>
      </c>
      <c r="BB169" s="267">
        <f t="shared" si="163"/>
        <v>506</v>
      </c>
      <c r="BC169" s="267">
        <f t="shared" si="164"/>
        <v>495</v>
      </c>
      <c r="BD169" s="267">
        <f t="shared" si="165"/>
        <v>486</v>
      </c>
      <c r="BE169" s="267">
        <f t="shared" si="166"/>
        <v>478</v>
      </c>
      <c r="BF169" s="267">
        <f t="shared" si="167"/>
        <v>473</v>
      </c>
      <c r="BG169" s="269">
        <f>AY169*VLOOKUP($B169,'Major Cities &amp; Towns'!$A$28:$B$345,2,FALSE)</f>
        <v>367</v>
      </c>
      <c r="BH169" s="269">
        <f>AZ169*VLOOKUP($B169,'Major Cities &amp; Towns'!$A$28:$B$345,2,FALSE)</f>
        <v>367</v>
      </c>
      <c r="BI169" s="269">
        <f>BA169*VLOOKUP($B169,'Major Cities &amp; Towns'!$A$28:$B$345,2,FALSE)</f>
        <v>367</v>
      </c>
      <c r="BJ169" s="269">
        <f>BB169*VLOOKUP($B169,'Major Cities &amp; Towns'!$A$28:$B$345,2,FALSE)</f>
        <v>506</v>
      </c>
      <c r="BK169" s="269">
        <f>BC169*VLOOKUP($B169,'Major Cities &amp; Towns'!$A$28:$B$345,2,FALSE)</f>
        <v>495</v>
      </c>
      <c r="BL169" s="269">
        <f>BD169*VLOOKUP($B169,'Major Cities &amp; Towns'!$A$28:$B$345,2,FALSE)</f>
        <v>486</v>
      </c>
      <c r="BM169" s="269">
        <f>BE169*VLOOKUP($B169,'Major Cities &amp; Towns'!$A$28:$B$345,2,FALSE)</f>
        <v>478</v>
      </c>
      <c r="BN169" s="269">
        <f>BF169*VLOOKUP($B169,'Major Cities &amp; Towns'!$A$28:$B$345,2,FALSE)</f>
        <v>473</v>
      </c>
      <c r="BO169" s="270">
        <f t="shared" si="168"/>
        <v>367</v>
      </c>
      <c r="BP169" s="270">
        <f t="shared" si="169"/>
        <v>367</v>
      </c>
      <c r="BQ169" s="270">
        <f t="shared" si="170"/>
        <v>367</v>
      </c>
      <c r="BR169" s="270">
        <f t="shared" si="171"/>
        <v>393</v>
      </c>
      <c r="BS169" s="270">
        <f t="shared" si="172"/>
        <v>393</v>
      </c>
      <c r="BT169" s="270">
        <f t="shared" si="173"/>
        <v>393</v>
      </c>
      <c r="BU169" s="270">
        <f t="shared" si="174"/>
        <v>393</v>
      </c>
      <c r="BV169" s="270">
        <f t="shared" si="175"/>
        <v>446.91780821917808</v>
      </c>
      <c r="BW169" s="39">
        <f>VLOOKUP($A169,NetAdditions!$A$2:$H$336,6,FALSE)</f>
        <v>432</v>
      </c>
      <c r="BX169" s="39">
        <f>VLOOKUP($A169,NetAdditions!$A$2:$H$336,7,FALSE)</f>
        <v>425</v>
      </c>
      <c r="BY169" s="39">
        <f>IF((VLOOKUP($C169,NetAdditions!$A$2:$H$336,8,FALSE))="",(AVERAGE(VLOOKUP($C169,NetAdditions!$A$2:$H$336,5,FALSE),VLOOKUP($C169,NetAdditions!$A$2:$H$336,6,FALSE),VLOOKUP($C169,NetAdditions!$A$2:$H$336,7,FALSE))),VLOOKUP($C169,NetAdditions!$A$2:$H$336,8,FALSE))</f>
        <v>335</v>
      </c>
      <c r="BZ169" s="39">
        <f t="shared" si="176"/>
        <v>397.33333333333331</v>
      </c>
      <c r="CA169" s="39">
        <f t="shared" si="177"/>
        <v>385.77777777777777</v>
      </c>
      <c r="CB169" s="39">
        <f t="shared" si="178"/>
        <v>372.7037037037037</v>
      </c>
      <c r="CC169" s="39">
        <f t="shared" si="179"/>
        <v>385.27160493827159</v>
      </c>
      <c r="CD169" s="39">
        <f t="shared" si="180"/>
        <v>381.25102880658437</v>
      </c>
      <c r="CE169" s="276">
        <f t="shared" si="137"/>
        <v>1101</v>
      </c>
      <c r="CF169" s="276">
        <f t="shared" si="138"/>
        <v>1127</v>
      </c>
      <c r="CG169" s="276">
        <f t="shared" si="139"/>
        <v>1153</v>
      </c>
      <c r="CH169" s="276">
        <f t="shared" si="140"/>
        <v>1179</v>
      </c>
      <c r="CI169" s="276">
        <f t="shared" si="141"/>
        <v>1179</v>
      </c>
      <c r="CJ169" s="276">
        <f t="shared" si="142"/>
        <v>1232.9178082191781</v>
      </c>
      <c r="CK169" s="276">
        <f t="shared" si="181"/>
        <v>948.08333333333337</v>
      </c>
      <c r="CL169" s="276">
        <f t="shared" si="182"/>
        <v>970.47222222222229</v>
      </c>
      <c r="CM169" s="276">
        <f t="shared" si="183"/>
        <v>1056.9166666666665</v>
      </c>
      <c r="CN169" s="276">
        <f t="shared" si="184"/>
        <v>1179</v>
      </c>
      <c r="CO169" s="276">
        <f t="shared" si="185"/>
        <v>1179</v>
      </c>
      <c r="CP169" s="276">
        <f t="shared" si="186"/>
        <v>1232.9178082191781</v>
      </c>
      <c r="CQ169" s="39">
        <f t="shared" si="143"/>
        <v>1192</v>
      </c>
      <c r="CR169" s="39">
        <f t="shared" si="144"/>
        <v>1157.3333333333333</v>
      </c>
      <c r="CS169" s="277">
        <f t="shared" si="145"/>
        <v>1118.1111111111111</v>
      </c>
      <c r="CT169" s="39">
        <f t="shared" si="146"/>
        <v>1155.8148148148148</v>
      </c>
      <c r="CU169" s="39">
        <f t="shared" si="147"/>
        <v>1143.7530864197531</v>
      </c>
      <c r="CV169" s="39">
        <f t="shared" si="187"/>
        <v>1139.2263374485597</v>
      </c>
      <c r="CW169" s="297">
        <f t="shared" si="148"/>
        <v>1.2572734464270019</v>
      </c>
      <c r="CX169" s="279" t="str">
        <f t="shared" si="188"/>
        <v>Pass</v>
      </c>
      <c r="CY169" s="278">
        <f t="shared" si="149"/>
        <v>1.1925465838509315</v>
      </c>
      <c r="CZ169" s="279" t="str">
        <f t="shared" si="189"/>
        <v>Pass</v>
      </c>
      <c r="DA169" s="278">
        <f t="shared" si="150"/>
        <v>1.057899024941523</v>
      </c>
      <c r="DB169" s="292" t="str">
        <f t="shared" si="190"/>
        <v>Pass</v>
      </c>
      <c r="DC169" s="299">
        <f t="shared" si="191"/>
        <v>0.98033487261646712</v>
      </c>
      <c r="DD169" s="293" t="str">
        <f t="shared" si="192"/>
        <v>Pass</v>
      </c>
      <c r="DE169" s="299">
        <f t="shared" si="193"/>
        <v>0.97010439899894241</v>
      </c>
      <c r="DF169" s="293" t="str">
        <f t="shared" si="194"/>
        <v>Pass</v>
      </c>
      <c r="DG169" s="299">
        <f t="shared" si="195"/>
        <v>0.92400834009693955</v>
      </c>
      <c r="DH169" s="293" t="str">
        <f t="shared" si="196"/>
        <v>Action Plan</v>
      </c>
    </row>
    <row r="170" spans="1:112" ht="15" thickTop="1" thickBot="1">
      <c r="A170" s="38" t="s">
        <v>450</v>
      </c>
      <c r="B170" s="38" t="s">
        <v>451</v>
      </c>
      <c r="C170" s="38" t="s">
        <v>450</v>
      </c>
      <c r="D170" s="38" t="s">
        <v>128</v>
      </c>
      <c r="E170" s="38" t="str">
        <f>VLOOKUP(C170,PoliticalControl!A:K,11,FALSE)</f>
        <v>NOC</v>
      </c>
      <c r="F170" s="38" t="str">
        <f>VLOOKUP(C170,UrbanRuralClassification!A:N,13,FALSE)</f>
        <v xml:space="preserve">Mainly Rural (rural including hub towns &gt;=80%) </v>
      </c>
      <c r="G170" s="38" t="str">
        <f>VLOOKUP(C170,UrbanRuralClassification!A:N,14,FALSE)</f>
        <v>Predominantly Rural</v>
      </c>
      <c r="H170" s="258">
        <f>IF(ISBLANK((VLOOKUP($A170,'local-plan-data'!$C$1:$AD$566,27,FALSE)))=TRUE,"",VLOOKUP($A170,'local-plan-data'!$C$1:$AD$566,27,FALSE))</f>
        <v>41263</v>
      </c>
      <c r="I170" s="259">
        <f>VLOOKUP($A170,'local-plan-data'!$C$1:$AD$566,28,FALSE)</f>
        <v>426.66666666666669</v>
      </c>
      <c r="J170" s="260">
        <f t="shared" si="151"/>
        <v>426.66666666666669</v>
      </c>
      <c r="K170" s="259" t="str">
        <f t="shared" si="197"/>
        <v>-</v>
      </c>
      <c r="L170" s="259" t="str">
        <f t="shared" si="199"/>
        <v>-</v>
      </c>
      <c r="M170" s="259" t="str">
        <f t="shared" si="199"/>
        <v>-</v>
      </c>
      <c r="N170" s="259" t="str">
        <f t="shared" si="199"/>
        <v>-</v>
      </c>
      <c r="O170" s="259" t="str">
        <f t="shared" si="199"/>
        <v>-</v>
      </c>
      <c r="P170" s="259" t="str">
        <f t="shared" si="199"/>
        <v>-</v>
      </c>
      <c r="Q170" s="259" t="str">
        <f t="shared" si="199"/>
        <v>-</v>
      </c>
      <c r="R170" s="259" t="str">
        <f t="shared" si="199"/>
        <v>-</v>
      </c>
      <c r="S170" s="259">
        <f t="shared" si="198"/>
        <v>-102</v>
      </c>
      <c r="T170" s="259">
        <f t="shared" si="200"/>
        <v>-467</v>
      </c>
      <c r="U170" s="259">
        <f t="shared" si="200"/>
        <v>-833</v>
      </c>
      <c r="V170" s="259">
        <f t="shared" si="200"/>
        <v>-1198</v>
      </c>
      <c r="W170" s="259">
        <f t="shared" si="200"/>
        <v>-1563</v>
      </c>
      <c r="X170" s="259">
        <f t="shared" si="200"/>
        <v>-1928</v>
      </c>
      <c r="Y170" s="259">
        <f t="shared" si="200"/>
        <v>-2294</v>
      </c>
      <c r="Z170" s="259">
        <f t="shared" si="200"/>
        <v>-2659</v>
      </c>
      <c r="AA170" s="267">
        <f>(VLOOKUP(A170,Hshldprojections2014!$A$2:$AW$319,40, FALSE)-VLOOKUP(A170,Hshldprojections2014!$A$2:$AW$319,30, FALSE))/10</f>
        <v>422.1</v>
      </c>
      <c r="AB170" s="267">
        <f>(VLOOKUP(A170,Hshldprojections2014!$A$2:$AW$319,41, FALSE)-VLOOKUP(A170,Hshldprojections2014!$A$2:$AW$319,31, FALSE))/10</f>
        <v>414.8</v>
      </c>
      <c r="AC170" s="267">
        <f>(VLOOKUP(A170,Hshldprojections2014!$A$2:$AW$319,42, FALSE)-VLOOKUP(A170,Hshldprojections2014!$A$2:$AW$319,32, FALSE))/10</f>
        <v>408.1</v>
      </c>
      <c r="AD170" s="267">
        <f>IF(IndividualLATest!$J$7=2014,(VLOOKUP($A170,Hshldprojections2014!$A$2:$AY$326,43,FALSE)-VLOOKUP($A170,Hshldprojections2014!$A$2:$AY$326,33,FALSE))/10,IF(IndividualLATest!$J$7=2016,(VLOOKUP($A170,Hshldprojections2016!$A$1:$AQ$322,33,FALSE)-VLOOKUP($A170,Hshldprojections2016!$A$1:$AQ$322,23,FALSE))/10,(VLOOKUP($A170,Hshldprojections2018!$A$1:$AQ$327,33,FALSE)-VLOOKUP($A170,Hshldprojections2018!$A$1:$AQ$327,23,FALSE))/10))</f>
        <v>445.5</v>
      </c>
      <c r="AE170" s="267">
        <f>IF(IndividualLATest!$J$7=2014,(VLOOKUP($A170,Hshldprojections2014!$A$2:$AY$326,44,FALSE)-VLOOKUP($A170,Hshldprojections2014!$A$2:$AY$326,34,FALSE))/10,IF(IndividualLATest!$J$7=2016,(VLOOKUP($A170,Hshldprojections2016!$A$1:$AQ$322,34,FALSE)-VLOOKUP($A170,Hshldprojections2016!$A$1:$AQ$322,24,FALSE))/10,(VLOOKUP($A170,Hshldprojections2018!$A$1:$AQ$327,34,FALSE)-VLOOKUP($A170,Hshldprojections2018!$A$1:$AQ$327,24,FALSE))/10))</f>
        <v>427.6</v>
      </c>
      <c r="AF170" s="267">
        <f>IF(IndividualLATest!$J$7=2014,(VLOOKUP($A170,Hshldprojections2014!$A$2:$AY$326,45,FALSE)-VLOOKUP($A170,Hshldprojections2014!$A$2:$AY$326,35,FALSE))/10,IF(IndividualLATest!$J$7=2016,(VLOOKUP($A170,Hshldprojections2016!$A$1:$AQ$322,35,FALSE)-VLOOKUP($A170,Hshldprojections2016!$A$1:$AQ$322,25,FALSE))/10,(VLOOKUP($A170,Hshldprojections2018!$A$1:$AQ$327,35,FALSE)-VLOOKUP($A170,Hshldprojections2018!$A$1:$AQ$327,25,FALSE))/10))</f>
        <v>412.9</v>
      </c>
      <c r="AG170" s="267">
        <f>IF(IndividualLATest!$J$7=2014,(VLOOKUP($A170,Hshldprojections2014!$A$2:$AY$326,46,FALSE)-VLOOKUP($A170,Hshldprojections2014!$A$2:$AY$326,36,FALSE))/10,IF(IndividualLATest!$J$7=2016,(VLOOKUP($A170,Hshldprojections2016!$A$1:$AQ$322,36,FALSE)-VLOOKUP($A170,Hshldprojections2016!$A$1:$AQ$322,26,FALSE))/10,(VLOOKUP($A170,Hshldprojections2018!$A$1:$AQ$327,36,FALSE)-VLOOKUP($A170,Hshldprojections2018!$A$1:$AQ$327,26,FALSE))/10))</f>
        <v>397.8</v>
      </c>
      <c r="AH170" s="267">
        <f>IF(IndividualLATest!$J$7=2014,(VLOOKUP($A170,Hshldprojections2014!$A$2:$AY$326,47,FALSE)-VLOOKUP($A170,Hshldprojections2014!$A$2:$AY$326,37,FALSE))/10,IF(IndividualLATest!$J$7=2016,(VLOOKUP($A170,Hshldprojections2016!$A$1:$AQ$322,37,FALSE)-VLOOKUP($A170,Hshldprojections2016!$A$1:$AQ$322,27,FALSE))/10,(VLOOKUP($A170,Hshldprojections2018!$A$1:$AQ$327,37,FALSE)-VLOOKUP($A170,Hshldprojections2018!$A$1:$AQ$327,27,FALSE))/10))</f>
        <v>386.7</v>
      </c>
      <c r="AI170" s="268">
        <f>VLOOKUP($A170,AffordabilityRatio!$A$2:$I$321,5,FALSE)</f>
        <v>10.199999999999999</v>
      </c>
      <c r="AJ170" s="268">
        <f>VLOOKUP($A170,AffordabilityRatio!$A$2:$I$321,6,FALSE)</f>
        <v>9.43</v>
      </c>
      <c r="AK170" s="268">
        <f>VLOOKUP($A170,AffordabilityRatio!$A$2:$I$321,7,FALSE)</f>
        <v>8.98</v>
      </c>
      <c r="AL170" s="268">
        <f>IF((VLOOKUP($A170,AffordabilityRatio!$A$2:$I$321,8,FALSE))="",AK170,VLOOKUP($A170,AffordabilityRatio!$A$2:$I$321,8,FALSE))</f>
        <v>8.6999999999999993</v>
      </c>
      <c r="AM170" s="268">
        <f>IF((VLOOKUP($A170,AffordabilityRatio!$A$2:$I$321,9,FALSE))="",AL170,VLOOKUP($A170,AffordabilityRatio!$A$2:$I$321,9,FALSE))</f>
        <v>9.6199999999999992</v>
      </c>
      <c r="AN170" s="268">
        <f>IF((VLOOKUP($A170,AffordabilityRatio!$A$2:$I$321,9,FALSE))="",AM170,VLOOKUP($A170,AffordabilityRatio!$A$2:$I$321,9,FALSE))</f>
        <v>9.6199999999999992</v>
      </c>
      <c r="AO170" s="268">
        <f>IF((VLOOKUP($A170,AffordabilityRatio!$A$2:$I$321,9,FALSE))="",AN170,VLOOKUP($A170,AffordabilityRatio!$A$2:$I$321,9,FALSE))</f>
        <v>9.6199999999999992</v>
      </c>
      <c r="AP170" s="268">
        <f>IF((VLOOKUP($A170,AffordabilityRatio!$A$2:$I$321,9,FALSE))="",AO170,VLOOKUP($A170,AffordabilityRatio!$A$2:$I$321,9,FALSE))</f>
        <v>9.6199999999999992</v>
      </c>
      <c r="AQ170" s="267">
        <f t="shared" si="152"/>
        <v>586</v>
      </c>
      <c r="AR170" s="267">
        <f t="shared" si="153"/>
        <v>556</v>
      </c>
      <c r="AS170" s="267">
        <f t="shared" si="154"/>
        <v>535</v>
      </c>
      <c r="AT170" s="267">
        <f t="shared" si="155"/>
        <v>576</v>
      </c>
      <c r="AU170" s="267">
        <f t="shared" si="156"/>
        <v>578</v>
      </c>
      <c r="AV170" s="267">
        <f t="shared" si="157"/>
        <v>558</v>
      </c>
      <c r="AW170" s="267">
        <f t="shared" si="158"/>
        <v>538</v>
      </c>
      <c r="AX170" s="267">
        <f t="shared" si="159"/>
        <v>523</v>
      </c>
      <c r="AY170" s="267">
        <f t="shared" si="160"/>
        <v>586</v>
      </c>
      <c r="AZ170" s="267">
        <f t="shared" si="161"/>
        <v>556</v>
      </c>
      <c r="BA170" s="267">
        <f t="shared" si="162"/>
        <v>535</v>
      </c>
      <c r="BB170" s="267">
        <f t="shared" si="163"/>
        <v>576</v>
      </c>
      <c r="BC170" s="267">
        <f t="shared" si="164"/>
        <v>578</v>
      </c>
      <c r="BD170" s="267">
        <f t="shared" si="165"/>
        <v>558</v>
      </c>
      <c r="BE170" s="267">
        <f t="shared" si="166"/>
        <v>538</v>
      </c>
      <c r="BF170" s="267">
        <f t="shared" si="167"/>
        <v>523</v>
      </c>
      <c r="BG170" s="269">
        <f>AY170*VLOOKUP($B170,'Major Cities &amp; Towns'!$A$28:$B$345,2,FALSE)</f>
        <v>586</v>
      </c>
      <c r="BH170" s="269">
        <f>AZ170*VLOOKUP($B170,'Major Cities &amp; Towns'!$A$28:$B$345,2,FALSE)</f>
        <v>556</v>
      </c>
      <c r="BI170" s="269">
        <f>BA170*VLOOKUP($B170,'Major Cities &amp; Towns'!$A$28:$B$345,2,FALSE)</f>
        <v>535</v>
      </c>
      <c r="BJ170" s="269">
        <f>BB170*VLOOKUP($B170,'Major Cities &amp; Towns'!$A$28:$B$345,2,FALSE)</f>
        <v>576</v>
      </c>
      <c r="BK170" s="269">
        <f>BC170*VLOOKUP($B170,'Major Cities &amp; Towns'!$A$28:$B$345,2,FALSE)</f>
        <v>578</v>
      </c>
      <c r="BL170" s="269">
        <f>BD170*VLOOKUP($B170,'Major Cities &amp; Towns'!$A$28:$B$345,2,FALSE)</f>
        <v>558</v>
      </c>
      <c r="BM170" s="269">
        <f>BE170*VLOOKUP($B170,'Major Cities &amp; Towns'!$A$28:$B$345,2,FALSE)</f>
        <v>538</v>
      </c>
      <c r="BN170" s="269">
        <f>BF170*VLOOKUP($B170,'Major Cities &amp; Towns'!$A$28:$B$345,2,FALSE)</f>
        <v>523</v>
      </c>
      <c r="BO170" s="270">
        <f t="shared" si="168"/>
        <v>586</v>
      </c>
      <c r="BP170" s="270">
        <f t="shared" si="169"/>
        <v>556</v>
      </c>
      <c r="BQ170" s="270">
        <f t="shared" si="170"/>
        <v>535</v>
      </c>
      <c r="BR170" s="270">
        <f t="shared" si="171"/>
        <v>576</v>
      </c>
      <c r="BS170" s="270">
        <f t="shared" si="172"/>
        <v>578</v>
      </c>
      <c r="BT170" s="270">
        <f t="shared" si="173"/>
        <v>558</v>
      </c>
      <c r="BU170" s="270">
        <f t="shared" si="174"/>
        <v>538</v>
      </c>
      <c r="BV170" s="270">
        <f t="shared" si="175"/>
        <v>523</v>
      </c>
      <c r="BW170" s="39">
        <f>VLOOKUP($A170,NetAdditions!$A$2:$H$336,6,FALSE)</f>
        <v>690</v>
      </c>
      <c r="BX170" s="39">
        <f>VLOOKUP($A170,NetAdditions!$A$2:$H$336,7,FALSE)</f>
        <v>451</v>
      </c>
      <c r="BY170" s="39">
        <f>IF((VLOOKUP($C170,NetAdditions!$A$2:$H$336,8,FALSE))="",(AVERAGE(VLOOKUP($C170,NetAdditions!$A$2:$H$336,5,FALSE),VLOOKUP($C170,NetAdditions!$A$2:$H$336,6,FALSE),VLOOKUP($C170,NetAdditions!$A$2:$H$336,7,FALSE))),VLOOKUP($C170,NetAdditions!$A$2:$H$336,8,FALSE))</f>
        <v>844</v>
      </c>
      <c r="BZ170" s="39">
        <f t="shared" si="176"/>
        <v>661.66666666666663</v>
      </c>
      <c r="CA170" s="39">
        <f t="shared" si="177"/>
        <v>652.22222222222217</v>
      </c>
      <c r="CB170" s="39">
        <f t="shared" si="178"/>
        <v>719.29629629629619</v>
      </c>
      <c r="CC170" s="39">
        <f t="shared" si="179"/>
        <v>677.72839506172829</v>
      </c>
      <c r="CD170" s="39">
        <f t="shared" si="180"/>
        <v>683.08230452674889</v>
      </c>
      <c r="CE170" s="276">
        <f t="shared" si="137"/>
        <v>1677</v>
      </c>
      <c r="CF170" s="276">
        <f t="shared" si="138"/>
        <v>1667</v>
      </c>
      <c r="CG170" s="276">
        <f t="shared" si="139"/>
        <v>1689</v>
      </c>
      <c r="CH170" s="276">
        <f t="shared" si="140"/>
        <v>1712</v>
      </c>
      <c r="CI170" s="276">
        <f t="shared" si="141"/>
        <v>1674</v>
      </c>
      <c r="CJ170" s="276">
        <f t="shared" si="142"/>
        <v>1619</v>
      </c>
      <c r="CK170" s="276">
        <f t="shared" si="181"/>
        <v>1444.0833333333335</v>
      </c>
      <c r="CL170" s="276">
        <f t="shared" si="182"/>
        <v>1435.4722222222224</v>
      </c>
      <c r="CM170" s="276">
        <f t="shared" si="183"/>
        <v>1548.25</v>
      </c>
      <c r="CN170" s="276">
        <f t="shared" si="184"/>
        <v>1712</v>
      </c>
      <c r="CO170" s="276">
        <f t="shared" si="185"/>
        <v>1674</v>
      </c>
      <c r="CP170" s="276">
        <f t="shared" si="186"/>
        <v>1619</v>
      </c>
      <c r="CQ170" s="39">
        <f t="shared" si="143"/>
        <v>1985</v>
      </c>
      <c r="CR170" s="39">
        <f t="shared" si="144"/>
        <v>1956.6666666666665</v>
      </c>
      <c r="CS170" s="277">
        <f t="shared" si="145"/>
        <v>2157.8888888888887</v>
      </c>
      <c r="CT170" s="39">
        <f t="shared" si="146"/>
        <v>2033.1851851851848</v>
      </c>
      <c r="CU170" s="39">
        <f t="shared" si="147"/>
        <v>2049.2469135802467</v>
      </c>
      <c r="CV170" s="39">
        <f t="shared" si="187"/>
        <v>2080.1069958847734</v>
      </c>
      <c r="CW170" s="297">
        <f t="shared" si="148"/>
        <v>1.3745744128339776</v>
      </c>
      <c r="CX170" s="279" t="str">
        <f t="shared" si="188"/>
        <v>Pass</v>
      </c>
      <c r="CY170" s="278">
        <f t="shared" si="149"/>
        <v>1.3630822222652241</v>
      </c>
      <c r="CZ170" s="279" t="str">
        <f t="shared" si="189"/>
        <v>Pass</v>
      </c>
      <c r="DA170" s="278">
        <f t="shared" si="150"/>
        <v>1.3937599799056282</v>
      </c>
      <c r="DB170" s="292" t="str">
        <f t="shared" si="190"/>
        <v>Pass</v>
      </c>
      <c r="DC170" s="299">
        <f t="shared" si="191"/>
        <v>1.1876081689165798</v>
      </c>
      <c r="DD170" s="293" t="str">
        <f t="shared" si="192"/>
        <v>Pass</v>
      </c>
      <c r="DE170" s="299">
        <f t="shared" si="193"/>
        <v>1.2241618360694424</v>
      </c>
      <c r="DF170" s="293" t="str">
        <f t="shared" si="194"/>
        <v>Pass</v>
      </c>
      <c r="DG170" s="299">
        <f t="shared" si="195"/>
        <v>1.2848097565687298</v>
      </c>
      <c r="DH170" s="293" t="str">
        <f t="shared" si="196"/>
        <v>Pass</v>
      </c>
    </row>
    <row r="171" spans="1:112" ht="15" thickTop="1" thickBot="1">
      <c r="A171" s="38" t="s">
        <v>452</v>
      </c>
      <c r="B171" s="38" t="s">
        <v>453</v>
      </c>
      <c r="C171" s="38" t="s">
        <v>452</v>
      </c>
      <c r="D171" s="38" t="s">
        <v>113</v>
      </c>
      <c r="E171" s="38" t="str">
        <f>VLOOKUP(C171,PoliticalControl!A:K,11,FALSE)</f>
        <v>CON</v>
      </c>
      <c r="F171" s="38" t="str">
        <f>VLOOKUP(C171,UrbanRuralClassification!A:N,13,FALSE)</f>
        <v>Urban with City and Town</v>
      </c>
      <c r="G171" s="38" t="str">
        <f>VLOOKUP(C171,UrbanRuralClassification!A:N,14,FALSE)</f>
        <v>Predominantly Urban</v>
      </c>
      <c r="H171" s="258">
        <f>IF(ISBLANK((VLOOKUP($A171,'local-plan-data'!$C$1:$AD$566,27,FALSE)))=TRUE,"",VLOOKUP($A171,'local-plan-data'!$C$1:$AD$566,27,FALSE))</f>
        <v>43187</v>
      </c>
      <c r="I171" s="259">
        <f>VLOOKUP($A171,'local-plan-data'!$C$1:$AD$566,28,FALSE)</f>
        <v>964.11764705882354</v>
      </c>
      <c r="J171" s="260">
        <f t="shared" si="151"/>
        <v>964.11764705882354</v>
      </c>
      <c r="K171" s="259">
        <f t="shared" si="197"/>
        <v>964.11764705882354</v>
      </c>
      <c r="L171" s="259">
        <f t="shared" si="199"/>
        <v>964.11764705882354</v>
      </c>
      <c r="M171" s="259">
        <f t="shared" si="199"/>
        <v>964.11764705882354</v>
      </c>
      <c r="N171" s="259">
        <f t="shared" si="199"/>
        <v>964.11764705882354</v>
      </c>
      <c r="O171" s="259">
        <f t="shared" si="199"/>
        <v>964.11764705882354</v>
      </c>
      <c r="P171" s="259" t="str">
        <f t="shared" si="199"/>
        <v>-</v>
      </c>
      <c r="Q171" s="259" t="str">
        <f t="shared" si="199"/>
        <v>-</v>
      </c>
      <c r="R171" s="259" t="str">
        <f t="shared" si="199"/>
        <v>-</v>
      </c>
      <c r="S171" s="259">
        <f t="shared" si="198"/>
        <v>1822</v>
      </c>
      <c r="T171" s="259">
        <f t="shared" si="200"/>
        <v>1457</v>
      </c>
      <c r="U171" s="259">
        <f t="shared" si="200"/>
        <v>1091</v>
      </c>
      <c r="V171" s="259">
        <f t="shared" si="200"/>
        <v>726</v>
      </c>
      <c r="W171" s="259">
        <f t="shared" si="200"/>
        <v>361</v>
      </c>
      <c r="X171" s="259">
        <f t="shared" si="200"/>
        <v>-4</v>
      </c>
      <c r="Y171" s="259">
        <f t="shared" si="200"/>
        <v>-370</v>
      </c>
      <c r="Z171" s="259">
        <f t="shared" si="200"/>
        <v>-735</v>
      </c>
      <c r="AA171" s="267">
        <f>(VLOOKUP(A171,Hshldprojections2014!$A$2:$AW$319,40, FALSE)-VLOOKUP(A171,Hshldprojections2014!$A$2:$AW$319,30, FALSE))/10</f>
        <v>720</v>
      </c>
      <c r="AB171" s="267">
        <f>(VLOOKUP(A171,Hshldprojections2014!$A$2:$AW$319,41, FALSE)-VLOOKUP(A171,Hshldprojections2014!$A$2:$AW$319,31, FALSE))/10</f>
        <v>714.1</v>
      </c>
      <c r="AC171" s="267">
        <f>(VLOOKUP(A171,Hshldprojections2014!$A$2:$AW$319,42, FALSE)-VLOOKUP(A171,Hshldprojections2014!$A$2:$AW$319,32, FALSE))/10</f>
        <v>712.7</v>
      </c>
      <c r="AD171" s="267">
        <f>IF(IndividualLATest!$J$7=2014,(VLOOKUP($A171,Hshldprojections2014!$A$2:$AY$326,43,FALSE)-VLOOKUP($A171,Hshldprojections2014!$A$2:$AY$326,33,FALSE))/10,IF(IndividualLATest!$J$7=2016,(VLOOKUP($A171,Hshldprojections2016!$A$1:$AQ$322,33,FALSE)-VLOOKUP($A171,Hshldprojections2016!$A$1:$AQ$322,23,FALSE))/10,(VLOOKUP($A171,Hshldprojections2018!$A$1:$AQ$327,33,FALSE)-VLOOKUP($A171,Hshldprojections2018!$A$1:$AQ$327,23,FALSE))/10))</f>
        <v>494.8</v>
      </c>
      <c r="AE171" s="267">
        <f>IF(IndividualLATest!$J$7=2014,(VLOOKUP($A171,Hshldprojections2014!$A$2:$AY$326,44,FALSE)-VLOOKUP($A171,Hshldprojections2014!$A$2:$AY$326,34,FALSE))/10,IF(IndividualLATest!$J$7=2016,(VLOOKUP($A171,Hshldprojections2016!$A$1:$AQ$322,34,FALSE)-VLOOKUP($A171,Hshldprojections2016!$A$1:$AQ$322,24,FALSE))/10,(VLOOKUP($A171,Hshldprojections2018!$A$1:$AQ$327,34,FALSE)-VLOOKUP($A171,Hshldprojections2018!$A$1:$AQ$327,24,FALSE))/10))</f>
        <v>478.3</v>
      </c>
      <c r="AF171" s="267">
        <f>IF(IndividualLATest!$J$7=2014,(VLOOKUP($A171,Hshldprojections2014!$A$2:$AY$326,45,FALSE)-VLOOKUP($A171,Hshldprojections2014!$A$2:$AY$326,35,FALSE))/10,IF(IndividualLATest!$J$7=2016,(VLOOKUP($A171,Hshldprojections2016!$A$1:$AQ$322,35,FALSE)-VLOOKUP($A171,Hshldprojections2016!$A$1:$AQ$322,25,FALSE))/10,(VLOOKUP($A171,Hshldprojections2018!$A$1:$AQ$327,35,FALSE)-VLOOKUP($A171,Hshldprojections2018!$A$1:$AQ$327,25,FALSE))/10))</f>
        <v>462.5</v>
      </c>
      <c r="AG171" s="267">
        <f>IF(IndividualLATest!$J$7=2014,(VLOOKUP($A171,Hshldprojections2014!$A$2:$AY$326,46,FALSE)-VLOOKUP($A171,Hshldprojections2014!$A$2:$AY$326,36,FALSE))/10,IF(IndividualLATest!$J$7=2016,(VLOOKUP($A171,Hshldprojections2016!$A$1:$AQ$322,36,FALSE)-VLOOKUP($A171,Hshldprojections2016!$A$1:$AQ$322,26,FALSE))/10,(VLOOKUP($A171,Hshldprojections2018!$A$1:$AQ$327,36,FALSE)-VLOOKUP($A171,Hshldprojections2018!$A$1:$AQ$327,26,FALSE))/10))</f>
        <v>445.9</v>
      </c>
      <c r="AH171" s="267">
        <f>IF(IndividualLATest!$J$7=2014,(VLOOKUP($A171,Hshldprojections2014!$A$2:$AY$326,47,FALSE)-VLOOKUP($A171,Hshldprojections2014!$A$2:$AY$326,37,FALSE))/10,IF(IndividualLATest!$J$7=2016,(VLOOKUP($A171,Hshldprojections2016!$A$1:$AQ$322,37,FALSE)-VLOOKUP($A171,Hshldprojections2016!$A$1:$AQ$322,27,FALSE))/10,(VLOOKUP($A171,Hshldprojections2018!$A$1:$AQ$327,37,FALSE)-VLOOKUP($A171,Hshldprojections2018!$A$1:$AQ$327,27,FALSE))/10))</f>
        <v>433.4</v>
      </c>
      <c r="AI171" s="268">
        <f>VLOOKUP($A171,AffordabilityRatio!$A$2:$I$321,5,FALSE)</f>
        <v>12.6</v>
      </c>
      <c r="AJ171" s="268">
        <f>VLOOKUP($A171,AffordabilityRatio!$A$2:$I$321,6,FALSE)</f>
        <v>12.68</v>
      </c>
      <c r="AK171" s="268">
        <f>VLOOKUP($A171,AffordabilityRatio!$A$2:$I$321,7,FALSE)</f>
        <v>12.84</v>
      </c>
      <c r="AL171" s="268">
        <f>IF((VLOOKUP($A171,AffordabilityRatio!$A$2:$I$321,8,FALSE))="",AK171,VLOOKUP($A171,AffordabilityRatio!$A$2:$I$321,8,FALSE))</f>
        <v>12.48</v>
      </c>
      <c r="AM171" s="268">
        <f>IF((VLOOKUP($A171,AffordabilityRatio!$A$2:$I$321,9,FALSE))="",AL171,VLOOKUP($A171,AffordabilityRatio!$A$2:$I$321,9,FALSE))</f>
        <v>13.39</v>
      </c>
      <c r="AN171" s="268">
        <f>IF((VLOOKUP($A171,AffordabilityRatio!$A$2:$I$321,9,FALSE))="",AM171,VLOOKUP($A171,AffordabilityRatio!$A$2:$I$321,9,FALSE))</f>
        <v>13.39</v>
      </c>
      <c r="AO171" s="268">
        <f>IF((VLOOKUP($A171,AffordabilityRatio!$A$2:$I$321,9,FALSE))="",AN171,VLOOKUP($A171,AffordabilityRatio!$A$2:$I$321,9,FALSE))</f>
        <v>13.39</v>
      </c>
      <c r="AP171" s="268">
        <f>IF((VLOOKUP($A171,AffordabilityRatio!$A$2:$I$321,9,FALSE))="",AO171,VLOOKUP($A171,AffordabilityRatio!$A$2:$I$321,9,FALSE))</f>
        <v>13.39</v>
      </c>
      <c r="AQ171" s="267">
        <f t="shared" si="152"/>
        <v>1107</v>
      </c>
      <c r="AR171" s="267">
        <f t="shared" si="153"/>
        <v>1101</v>
      </c>
      <c r="AS171" s="267">
        <f t="shared" si="154"/>
        <v>1106</v>
      </c>
      <c r="AT171" s="267">
        <f t="shared" si="155"/>
        <v>757</v>
      </c>
      <c r="AU171" s="267">
        <f t="shared" si="156"/>
        <v>759</v>
      </c>
      <c r="AV171" s="267">
        <f t="shared" si="157"/>
        <v>734</v>
      </c>
      <c r="AW171" s="267">
        <f t="shared" si="158"/>
        <v>708</v>
      </c>
      <c r="AX171" s="267">
        <f t="shared" si="159"/>
        <v>688</v>
      </c>
      <c r="AY171" s="267">
        <f t="shared" si="160"/>
        <v>1107</v>
      </c>
      <c r="AZ171" s="267">
        <f t="shared" si="161"/>
        <v>1101</v>
      </c>
      <c r="BA171" s="267">
        <f t="shared" si="162"/>
        <v>1106</v>
      </c>
      <c r="BB171" s="267">
        <f t="shared" si="163"/>
        <v>757</v>
      </c>
      <c r="BC171" s="267">
        <f t="shared" si="164"/>
        <v>759</v>
      </c>
      <c r="BD171" s="267">
        <f t="shared" si="165"/>
        <v>734</v>
      </c>
      <c r="BE171" s="267">
        <f t="shared" si="166"/>
        <v>708</v>
      </c>
      <c r="BF171" s="267">
        <f t="shared" si="167"/>
        <v>688</v>
      </c>
      <c r="BG171" s="269">
        <f>AY171*VLOOKUP($B171,'Major Cities &amp; Towns'!$A$28:$B$345,2,FALSE)</f>
        <v>1107</v>
      </c>
      <c r="BH171" s="269">
        <f>AZ171*VLOOKUP($B171,'Major Cities &amp; Towns'!$A$28:$B$345,2,FALSE)</f>
        <v>1101</v>
      </c>
      <c r="BI171" s="269">
        <f>BA171*VLOOKUP($B171,'Major Cities &amp; Towns'!$A$28:$B$345,2,FALSE)</f>
        <v>1106</v>
      </c>
      <c r="BJ171" s="269">
        <f>BB171*VLOOKUP($B171,'Major Cities &amp; Towns'!$A$28:$B$345,2,FALSE)</f>
        <v>757</v>
      </c>
      <c r="BK171" s="269">
        <f>BC171*VLOOKUP($B171,'Major Cities &amp; Towns'!$A$28:$B$345,2,FALSE)</f>
        <v>759</v>
      </c>
      <c r="BL171" s="269">
        <f>BD171*VLOOKUP($B171,'Major Cities &amp; Towns'!$A$28:$B$345,2,FALSE)</f>
        <v>734</v>
      </c>
      <c r="BM171" s="269">
        <f>BE171*VLOOKUP($B171,'Major Cities &amp; Towns'!$A$28:$B$345,2,FALSE)</f>
        <v>708</v>
      </c>
      <c r="BN171" s="269">
        <f>BF171*VLOOKUP($B171,'Major Cities &amp; Towns'!$A$28:$B$345,2,FALSE)</f>
        <v>688</v>
      </c>
      <c r="BO171" s="270">
        <f t="shared" si="168"/>
        <v>964.11764705882354</v>
      </c>
      <c r="BP171" s="270">
        <f t="shared" si="169"/>
        <v>964.11764705882354</v>
      </c>
      <c r="BQ171" s="270">
        <f t="shared" si="170"/>
        <v>964.11764705882354</v>
      </c>
      <c r="BR171" s="270">
        <f t="shared" si="171"/>
        <v>757</v>
      </c>
      <c r="BS171" s="270">
        <f t="shared" si="172"/>
        <v>759.00000000000011</v>
      </c>
      <c r="BT171" s="270">
        <f t="shared" si="173"/>
        <v>734</v>
      </c>
      <c r="BU171" s="270">
        <f t="shared" si="174"/>
        <v>708</v>
      </c>
      <c r="BV171" s="270">
        <f t="shared" si="175"/>
        <v>688</v>
      </c>
      <c r="BW171" s="39">
        <f>VLOOKUP($A171,NetAdditions!$A$2:$H$336,6,FALSE)</f>
        <v>665</v>
      </c>
      <c r="BX171" s="39">
        <f>VLOOKUP($A171,NetAdditions!$A$2:$H$336,7,FALSE)</f>
        <v>1048</v>
      </c>
      <c r="BY171" s="39">
        <f>IF((VLOOKUP($C171,NetAdditions!$A$2:$H$336,8,FALSE))="",(AVERAGE(VLOOKUP($C171,NetAdditions!$A$2:$H$336,5,FALSE),VLOOKUP($C171,NetAdditions!$A$2:$H$336,6,FALSE),VLOOKUP($C171,NetAdditions!$A$2:$H$336,7,FALSE))),VLOOKUP($C171,NetAdditions!$A$2:$H$336,8,FALSE))</f>
        <v>1098</v>
      </c>
      <c r="BZ171" s="39">
        <f t="shared" si="176"/>
        <v>937</v>
      </c>
      <c r="CA171" s="39">
        <f t="shared" si="177"/>
        <v>1027.6666666666667</v>
      </c>
      <c r="CB171" s="39">
        <f t="shared" si="178"/>
        <v>1020.888888888889</v>
      </c>
      <c r="CC171" s="39">
        <f t="shared" si="179"/>
        <v>995.18518518518522</v>
      </c>
      <c r="CD171" s="39">
        <f t="shared" si="180"/>
        <v>1014.5802469135803</v>
      </c>
      <c r="CE171" s="276">
        <f t="shared" si="137"/>
        <v>2892.3529411764707</v>
      </c>
      <c r="CF171" s="276">
        <f t="shared" si="138"/>
        <v>2685.2352941176468</v>
      </c>
      <c r="CG171" s="276">
        <f t="shared" si="139"/>
        <v>2480.1176470588234</v>
      </c>
      <c r="CH171" s="276">
        <f t="shared" si="140"/>
        <v>2250</v>
      </c>
      <c r="CI171" s="276">
        <f t="shared" si="141"/>
        <v>2201</v>
      </c>
      <c r="CJ171" s="276">
        <f t="shared" si="142"/>
        <v>2130</v>
      </c>
      <c r="CK171" s="276">
        <f t="shared" si="181"/>
        <v>2490.6372549019611</v>
      </c>
      <c r="CL171" s="276">
        <f t="shared" si="182"/>
        <v>2312.2859477124184</v>
      </c>
      <c r="CM171" s="276">
        <f t="shared" si="183"/>
        <v>2273.4411764705878</v>
      </c>
      <c r="CN171" s="276">
        <f t="shared" si="184"/>
        <v>2250</v>
      </c>
      <c r="CO171" s="276">
        <f t="shared" si="185"/>
        <v>2201</v>
      </c>
      <c r="CP171" s="276">
        <f t="shared" si="186"/>
        <v>2130</v>
      </c>
      <c r="CQ171" s="39">
        <f t="shared" si="143"/>
        <v>2811</v>
      </c>
      <c r="CR171" s="39">
        <f t="shared" si="144"/>
        <v>3083</v>
      </c>
      <c r="CS171" s="277">
        <f t="shared" si="145"/>
        <v>3062.666666666667</v>
      </c>
      <c r="CT171" s="39">
        <f t="shared" si="146"/>
        <v>2985.5555555555557</v>
      </c>
      <c r="CU171" s="39">
        <f t="shared" si="147"/>
        <v>3043.7407407407409</v>
      </c>
      <c r="CV171" s="39">
        <f t="shared" si="187"/>
        <v>3030.6543209876545</v>
      </c>
      <c r="CW171" s="297">
        <f t="shared" si="148"/>
        <v>1.1286268180834103</v>
      </c>
      <c r="CX171" s="279" t="str">
        <f t="shared" si="188"/>
        <v>Pass</v>
      </c>
      <c r="CY171" s="278">
        <f t="shared" si="149"/>
        <v>1.3333126048056736</v>
      </c>
      <c r="CZ171" s="279" t="str">
        <f t="shared" si="189"/>
        <v>Pass</v>
      </c>
      <c r="DA171" s="278">
        <f t="shared" si="150"/>
        <v>1.3471501696917951</v>
      </c>
      <c r="DB171" s="292" t="str">
        <f t="shared" si="190"/>
        <v>Pass</v>
      </c>
      <c r="DC171" s="299">
        <f t="shared" si="191"/>
        <v>1.3269135802469136</v>
      </c>
      <c r="DD171" s="293" t="str">
        <f t="shared" si="192"/>
        <v>Pass</v>
      </c>
      <c r="DE171" s="299">
        <f t="shared" si="193"/>
        <v>1.3828899321857069</v>
      </c>
      <c r="DF171" s="293" t="str">
        <f t="shared" si="194"/>
        <v>Pass</v>
      </c>
      <c r="DG171" s="299">
        <f t="shared" si="195"/>
        <v>1.4228424042195562</v>
      </c>
      <c r="DH171" s="293" t="str">
        <f t="shared" si="196"/>
        <v>Pass</v>
      </c>
    </row>
    <row r="172" spans="1:112" ht="15" thickTop="1" thickBot="1">
      <c r="A172" s="38" t="s">
        <v>454</v>
      </c>
      <c r="B172" s="38" t="s">
        <v>455</v>
      </c>
      <c r="C172" s="38" t="s">
        <v>454</v>
      </c>
      <c r="D172" s="38" t="s">
        <v>259</v>
      </c>
      <c r="E172" s="38" t="str">
        <f>VLOOKUP(C172,PoliticalControl!A:K,11,FALSE)</f>
        <v>NOC</v>
      </c>
      <c r="F172" s="38" t="str">
        <f>VLOOKUP(C172,UrbanRuralClassification!A:N,13,FALSE)</f>
        <v>Urban with City and Town</v>
      </c>
      <c r="G172" s="38" t="str">
        <f>VLOOKUP(C172,UrbanRuralClassification!A:N,14,FALSE)</f>
        <v>Predominantly Urban</v>
      </c>
      <c r="H172" s="258">
        <f>IF(ISBLANK((VLOOKUP($A172,'local-plan-data'!$C$1:$AD$566,27,FALSE)))=TRUE,"",VLOOKUP($A172,'local-plan-data'!$C$1:$AD$566,27,FALSE))</f>
        <v>41969</v>
      </c>
      <c r="I172" s="259">
        <f>VLOOKUP($A172,'local-plan-data'!$C$1:$AD$566,28,FALSE)</f>
        <v>410</v>
      </c>
      <c r="J172" s="260">
        <f t="shared" si="151"/>
        <v>410</v>
      </c>
      <c r="K172" s="259">
        <f t="shared" si="197"/>
        <v>410</v>
      </c>
      <c r="L172" s="259">
        <f t="shared" si="199"/>
        <v>410</v>
      </c>
      <c r="M172" s="259" t="str">
        <f t="shared" si="199"/>
        <v>-</v>
      </c>
      <c r="N172" s="259" t="str">
        <f t="shared" si="199"/>
        <v>-</v>
      </c>
      <c r="O172" s="259" t="str">
        <f t="shared" si="199"/>
        <v>-</v>
      </c>
      <c r="P172" s="259" t="str">
        <f t="shared" si="199"/>
        <v>-</v>
      </c>
      <c r="Q172" s="259" t="str">
        <f t="shared" si="199"/>
        <v>-</v>
      </c>
      <c r="R172" s="259" t="str">
        <f t="shared" si="199"/>
        <v>-</v>
      </c>
      <c r="S172" s="259">
        <f t="shared" si="198"/>
        <v>604</v>
      </c>
      <c r="T172" s="259">
        <f t="shared" si="200"/>
        <v>239</v>
      </c>
      <c r="U172" s="259">
        <f t="shared" si="200"/>
        <v>-127</v>
      </c>
      <c r="V172" s="259">
        <f t="shared" si="200"/>
        <v>-492</v>
      </c>
      <c r="W172" s="259">
        <f t="shared" si="200"/>
        <v>-857</v>
      </c>
      <c r="X172" s="259">
        <f t="shared" si="200"/>
        <v>-1222</v>
      </c>
      <c r="Y172" s="259">
        <f t="shared" si="200"/>
        <v>-1588</v>
      </c>
      <c r="Z172" s="259">
        <f t="shared" si="200"/>
        <v>-1953</v>
      </c>
      <c r="AA172" s="267">
        <f>(VLOOKUP(A172,Hshldprojections2014!$A$2:$AW$319,40, FALSE)-VLOOKUP(A172,Hshldprojections2014!$A$2:$AW$319,30, FALSE))/10</f>
        <v>241</v>
      </c>
      <c r="AB172" s="267">
        <f>(VLOOKUP(A172,Hshldprojections2014!$A$2:$AW$319,41, FALSE)-VLOOKUP(A172,Hshldprojections2014!$A$2:$AW$319,31, FALSE))/10</f>
        <v>237.7</v>
      </c>
      <c r="AC172" s="267">
        <f>(VLOOKUP(A172,Hshldprojections2014!$A$2:$AW$319,42, FALSE)-VLOOKUP(A172,Hshldprojections2014!$A$2:$AW$319,32, FALSE))/10</f>
        <v>239.6</v>
      </c>
      <c r="AD172" s="267">
        <f>IF(IndividualLATest!$J$7=2014,(VLOOKUP($A172,Hshldprojections2014!$A$2:$AY$326,43,FALSE)-VLOOKUP($A172,Hshldprojections2014!$A$2:$AY$326,33,FALSE))/10,IF(IndividualLATest!$J$7=2016,(VLOOKUP($A172,Hshldprojections2016!$A$1:$AQ$322,33,FALSE)-VLOOKUP($A172,Hshldprojections2016!$A$1:$AQ$322,23,FALSE))/10,(VLOOKUP($A172,Hshldprojections2018!$A$1:$AQ$327,33,FALSE)-VLOOKUP($A172,Hshldprojections2018!$A$1:$AQ$327,23,FALSE))/10))</f>
        <v>41.7</v>
      </c>
      <c r="AE172" s="267">
        <f>IF(IndividualLATest!$J$7=2014,(VLOOKUP($A172,Hshldprojections2014!$A$2:$AY$326,44,FALSE)-VLOOKUP($A172,Hshldprojections2014!$A$2:$AY$326,34,FALSE))/10,IF(IndividualLATest!$J$7=2016,(VLOOKUP($A172,Hshldprojections2016!$A$1:$AQ$322,34,FALSE)-VLOOKUP($A172,Hshldprojections2016!$A$1:$AQ$322,24,FALSE))/10,(VLOOKUP($A172,Hshldprojections2018!$A$1:$AQ$327,34,FALSE)-VLOOKUP($A172,Hshldprojections2018!$A$1:$AQ$327,24,FALSE))/10))</f>
        <v>50</v>
      </c>
      <c r="AF172" s="267">
        <f>IF(IndividualLATest!$J$7=2014,(VLOOKUP($A172,Hshldprojections2014!$A$2:$AY$326,45,FALSE)-VLOOKUP($A172,Hshldprojections2014!$A$2:$AY$326,35,FALSE))/10,IF(IndividualLATest!$J$7=2016,(VLOOKUP($A172,Hshldprojections2016!$A$1:$AQ$322,35,FALSE)-VLOOKUP($A172,Hshldprojections2016!$A$1:$AQ$322,25,FALSE))/10,(VLOOKUP($A172,Hshldprojections2018!$A$1:$AQ$327,35,FALSE)-VLOOKUP($A172,Hshldprojections2018!$A$1:$AQ$327,25,FALSE))/10))</f>
        <v>59.5</v>
      </c>
      <c r="AG172" s="267">
        <f>IF(IndividualLATest!$J$7=2014,(VLOOKUP($A172,Hshldprojections2014!$A$2:$AY$326,46,FALSE)-VLOOKUP($A172,Hshldprojections2014!$A$2:$AY$326,36,FALSE))/10,IF(IndividualLATest!$J$7=2016,(VLOOKUP($A172,Hshldprojections2016!$A$1:$AQ$322,36,FALSE)-VLOOKUP($A172,Hshldprojections2016!$A$1:$AQ$322,26,FALSE))/10,(VLOOKUP($A172,Hshldprojections2018!$A$1:$AQ$327,36,FALSE)-VLOOKUP($A172,Hshldprojections2018!$A$1:$AQ$327,26,FALSE))/10))</f>
        <v>67.2</v>
      </c>
      <c r="AH172" s="267">
        <f>IF(IndividualLATest!$J$7=2014,(VLOOKUP($A172,Hshldprojections2014!$A$2:$AY$326,47,FALSE)-VLOOKUP($A172,Hshldprojections2014!$A$2:$AY$326,37,FALSE))/10,IF(IndividualLATest!$J$7=2016,(VLOOKUP($A172,Hshldprojections2016!$A$1:$AQ$322,37,FALSE)-VLOOKUP($A172,Hshldprojections2016!$A$1:$AQ$322,27,FALSE))/10,(VLOOKUP($A172,Hshldprojections2018!$A$1:$AQ$327,37,FALSE)-VLOOKUP($A172,Hshldprojections2018!$A$1:$AQ$327,27,FALSE))/10))</f>
        <v>76.2</v>
      </c>
      <c r="AI172" s="268">
        <f>VLOOKUP($A172,AffordabilityRatio!$A$2:$I$321,5,FALSE)</f>
        <v>4.88</v>
      </c>
      <c r="AJ172" s="268">
        <f>VLOOKUP($A172,AffordabilityRatio!$A$2:$I$321,6,FALSE)</f>
        <v>5.28</v>
      </c>
      <c r="AK172" s="268">
        <f>VLOOKUP($A172,AffordabilityRatio!$A$2:$I$321,7,FALSE)</f>
        <v>5.15</v>
      </c>
      <c r="AL172" s="268">
        <f>IF((VLOOKUP($A172,AffordabilityRatio!$A$2:$I$321,8,FALSE))="",AK172,VLOOKUP($A172,AffordabilityRatio!$A$2:$I$321,8,FALSE))</f>
        <v>4.96</v>
      </c>
      <c r="AM172" s="268">
        <f>IF((VLOOKUP($A172,AffordabilityRatio!$A$2:$I$321,9,FALSE))="",AL172,VLOOKUP($A172,AffordabilityRatio!$A$2:$I$321,9,FALSE))</f>
        <v>5.12</v>
      </c>
      <c r="AN172" s="268">
        <f>IF((VLOOKUP($A172,AffordabilityRatio!$A$2:$I$321,9,FALSE))="",AM172,VLOOKUP($A172,AffordabilityRatio!$A$2:$I$321,9,FALSE))</f>
        <v>5.12</v>
      </c>
      <c r="AO172" s="268">
        <f>IF((VLOOKUP($A172,AffordabilityRatio!$A$2:$I$321,9,FALSE))="",AN172,VLOOKUP($A172,AffordabilityRatio!$A$2:$I$321,9,FALSE))</f>
        <v>5.12</v>
      </c>
      <c r="AP172" s="268">
        <f>IF((VLOOKUP($A172,AffordabilityRatio!$A$2:$I$321,9,FALSE))="",AO172,VLOOKUP($A172,AffordabilityRatio!$A$2:$I$321,9,FALSE))</f>
        <v>5.12</v>
      </c>
      <c r="AQ172" s="267">
        <f t="shared" si="152"/>
        <v>254</v>
      </c>
      <c r="AR172" s="267">
        <f t="shared" si="153"/>
        <v>257</v>
      </c>
      <c r="AS172" s="267">
        <f t="shared" si="154"/>
        <v>257</v>
      </c>
      <c r="AT172" s="267">
        <f t="shared" si="155"/>
        <v>44</v>
      </c>
      <c r="AU172" s="267">
        <f t="shared" si="156"/>
        <v>54</v>
      </c>
      <c r="AV172" s="267">
        <f t="shared" si="157"/>
        <v>64</v>
      </c>
      <c r="AW172" s="267">
        <f t="shared" si="158"/>
        <v>72</v>
      </c>
      <c r="AX172" s="267">
        <f t="shared" si="159"/>
        <v>82</v>
      </c>
      <c r="AY172" s="267">
        <f t="shared" si="160"/>
        <v>254</v>
      </c>
      <c r="AZ172" s="267">
        <f t="shared" si="161"/>
        <v>257</v>
      </c>
      <c r="BA172" s="267">
        <f t="shared" si="162"/>
        <v>257</v>
      </c>
      <c r="BB172" s="267">
        <f t="shared" si="163"/>
        <v>44</v>
      </c>
      <c r="BC172" s="267">
        <f t="shared" si="164"/>
        <v>54</v>
      </c>
      <c r="BD172" s="267">
        <f t="shared" si="165"/>
        <v>64</v>
      </c>
      <c r="BE172" s="267">
        <f t="shared" si="166"/>
        <v>72</v>
      </c>
      <c r="BF172" s="267">
        <f t="shared" si="167"/>
        <v>82</v>
      </c>
      <c r="BG172" s="269">
        <f>AY172*VLOOKUP($B172,'Major Cities &amp; Towns'!$A$28:$B$345,2,FALSE)</f>
        <v>254</v>
      </c>
      <c r="BH172" s="269">
        <f>AZ172*VLOOKUP($B172,'Major Cities &amp; Towns'!$A$28:$B$345,2,FALSE)</f>
        <v>257</v>
      </c>
      <c r="BI172" s="269">
        <f>BA172*VLOOKUP($B172,'Major Cities &amp; Towns'!$A$28:$B$345,2,FALSE)</f>
        <v>257</v>
      </c>
      <c r="BJ172" s="269">
        <f>BB172*VLOOKUP($B172,'Major Cities &amp; Towns'!$A$28:$B$345,2,FALSE)</f>
        <v>44</v>
      </c>
      <c r="BK172" s="269">
        <f>BC172*VLOOKUP($B172,'Major Cities &amp; Towns'!$A$28:$B$345,2,FALSE)</f>
        <v>54</v>
      </c>
      <c r="BL172" s="269">
        <f>BD172*VLOOKUP($B172,'Major Cities &amp; Towns'!$A$28:$B$345,2,FALSE)</f>
        <v>64</v>
      </c>
      <c r="BM172" s="269">
        <f>BE172*VLOOKUP($B172,'Major Cities &amp; Towns'!$A$28:$B$345,2,FALSE)</f>
        <v>72</v>
      </c>
      <c r="BN172" s="269">
        <f>BF172*VLOOKUP($B172,'Major Cities &amp; Towns'!$A$28:$B$345,2,FALSE)</f>
        <v>82</v>
      </c>
      <c r="BO172" s="270">
        <f t="shared" si="168"/>
        <v>254</v>
      </c>
      <c r="BP172" s="270">
        <f t="shared" si="169"/>
        <v>257</v>
      </c>
      <c r="BQ172" s="270">
        <f t="shared" si="170"/>
        <v>257</v>
      </c>
      <c r="BR172" s="270">
        <f t="shared" si="171"/>
        <v>44</v>
      </c>
      <c r="BS172" s="270">
        <f t="shared" si="172"/>
        <v>54</v>
      </c>
      <c r="BT172" s="270">
        <f t="shared" si="173"/>
        <v>64</v>
      </c>
      <c r="BU172" s="270">
        <f t="shared" si="174"/>
        <v>72</v>
      </c>
      <c r="BV172" s="270">
        <f t="shared" si="175"/>
        <v>82</v>
      </c>
      <c r="BW172" s="39">
        <f>VLOOKUP($A172,NetAdditions!$A$2:$H$336,6,FALSE)</f>
        <v>543</v>
      </c>
      <c r="BX172" s="39">
        <f>VLOOKUP($A172,NetAdditions!$A$2:$H$336,7,FALSE)</f>
        <v>645</v>
      </c>
      <c r="BY172" s="39">
        <f>IF((VLOOKUP($C172,NetAdditions!$A$2:$H$336,8,FALSE))="",(AVERAGE(VLOOKUP($C172,NetAdditions!$A$2:$H$336,5,FALSE),VLOOKUP($C172,NetAdditions!$A$2:$H$336,6,FALSE),VLOOKUP($C172,NetAdditions!$A$2:$H$336,7,FALSE))),VLOOKUP($C172,NetAdditions!$A$2:$H$336,8,FALSE))</f>
        <v>456</v>
      </c>
      <c r="BZ172" s="39">
        <f t="shared" si="176"/>
        <v>548</v>
      </c>
      <c r="CA172" s="39">
        <f t="shared" si="177"/>
        <v>549.66666666666663</v>
      </c>
      <c r="CB172" s="39">
        <f t="shared" si="178"/>
        <v>517.8888888888888</v>
      </c>
      <c r="CC172" s="39">
        <f t="shared" si="179"/>
        <v>538.51851851851836</v>
      </c>
      <c r="CD172" s="39">
        <f t="shared" si="180"/>
        <v>535.35802469135797</v>
      </c>
      <c r="CE172" s="276">
        <f t="shared" si="137"/>
        <v>768</v>
      </c>
      <c r="CF172" s="276">
        <f t="shared" si="138"/>
        <v>558</v>
      </c>
      <c r="CG172" s="276">
        <f t="shared" si="139"/>
        <v>355</v>
      </c>
      <c r="CH172" s="276">
        <f t="shared" si="140"/>
        <v>162</v>
      </c>
      <c r="CI172" s="276">
        <f t="shared" si="141"/>
        <v>190</v>
      </c>
      <c r="CJ172" s="276">
        <f t="shared" si="142"/>
        <v>218</v>
      </c>
      <c r="CK172" s="276">
        <f t="shared" si="181"/>
        <v>661.33333333333337</v>
      </c>
      <c r="CL172" s="276">
        <f t="shared" si="182"/>
        <v>480.5</v>
      </c>
      <c r="CM172" s="276">
        <f t="shared" si="183"/>
        <v>325.41666666666663</v>
      </c>
      <c r="CN172" s="276">
        <f t="shared" si="184"/>
        <v>162</v>
      </c>
      <c r="CO172" s="276">
        <f t="shared" si="185"/>
        <v>190</v>
      </c>
      <c r="CP172" s="276">
        <f t="shared" si="186"/>
        <v>218</v>
      </c>
      <c r="CQ172" s="39">
        <f t="shared" si="143"/>
        <v>1644</v>
      </c>
      <c r="CR172" s="39">
        <f t="shared" si="144"/>
        <v>1649</v>
      </c>
      <c r="CS172" s="277">
        <f t="shared" si="145"/>
        <v>1553.6666666666665</v>
      </c>
      <c r="CT172" s="39">
        <f t="shared" si="146"/>
        <v>1615.5555555555552</v>
      </c>
      <c r="CU172" s="39">
        <f t="shared" si="147"/>
        <v>1606.0740740740739</v>
      </c>
      <c r="CV172" s="39">
        <f t="shared" si="187"/>
        <v>1591.7654320987651</v>
      </c>
      <c r="CW172" s="297">
        <f t="shared" si="148"/>
        <v>2.4858870967741935</v>
      </c>
      <c r="CX172" s="279" t="str">
        <f t="shared" si="188"/>
        <v>Pass</v>
      </c>
      <c r="CY172" s="278">
        <f t="shared" si="149"/>
        <v>3.4318418314255985</v>
      </c>
      <c r="CZ172" s="279" t="str">
        <f t="shared" si="189"/>
        <v>Pass</v>
      </c>
      <c r="DA172" s="278">
        <f t="shared" si="150"/>
        <v>4.7743918053777206</v>
      </c>
      <c r="DB172" s="292" t="str">
        <f t="shared" si="190"/>
        <v>Pass</v>
      </c>
      <c r="DC172" s="299">
        <f t="shared" si="191"/>
        <v>9.9725651577503402</v>
      </c>
      <c r="DD172" s="293" t="str">
        <f t="shared" si="192"/>
        <v>Pass</v>
      </c>
      <c r="DE172" s="299">
        <f t="shared" si="193"/>
        <v>8.4530214424951264</v>
      </c>
      <c r="DF172" s="293" t="str">
        <f t="shared" si="194"/>
        <v>Pass</v>
      </c>
      <c r="DG172" s="299">
        <f t="shared" si="195"/>
        <v>7.3016762940310329</v>
      </c>
      <c r="DH172" s="293" t="str">
        <f t="shared" si="196"/>
        <v>Pass</v>
      </c>
    </row>
    <row r="173" spans="1:112" ht="15" thickTop="1" thickBot="1">
      <c r="A173" s="38" t="s">
        <v>456</v>
      </c>
      <c r="B173" s="38" t="s">
        <v>457</v>
      </c>
      <c r="C173" s="38" t="s">
        <v>456</v>
      </c>
      <c r="D173" s="38" t="s">
        <v>113</v>
      </c>
      <c r="E173" s="38" t="str">
        <f>VLOOKUP(C173,PoliticalControl!A:K,11,FALSE)</f>
        <v>NOC</v>
      </c>
      <c r="F173" s="38" t="str">
        <f>VLOOKUP(C173,UrbanRuralClassification!A:N,13,FALSE)</f>
        <v>Urban with City and Town</v>
      </c>
      <c r="G173" s="38" t="str">
        <f>VLOOKUP(C173,UrbanRuralClassification!A:N,14,FALSE)</f>
        <v>Predominantly Urban</v>
      </c>
      <c r="H173" s="258">
        <f>IF(ISBLANK((VLOOKUP($A173,'local-plan-data'!$C$1:$AD$566,27,FALSE)))=TRUE,"",VLOOKUP($A173,'local-plan-data'!$C$1:$AD$566,27,FALSE))</f>
        <v>43544</v>
      </c>
      <c r="I173" s="259">
        <f>VLOOKUP($A173,'local-plan-data'!$C$1:$AD$566,28,FALSE)</f>
        <v>1766.6666666666667</v>
      </c>
      <c r="J173" s="260">
        <f t="shared" si="151"/>
        <v>1766.6666666666667</v>
      </c>
      <c r="K173" s="259">
        <f t="shared" si="197"/>
        <v>1766.6666666666667</v>
      </c>
      <c r="L173" s="259">
        <f t="shared" si="199"/>
        <v>1766.6666666666667</v>
      </c>
      <c r="M173" s="259">
        <f t="shared" si="199"/>
        <v>1766.6666666666667</v>
      </c>
      <c r="N173" s="259">
        <f t="shared" si="199"/>
        <v>1766.6666666666667</v>
      </c>
      <c r="O173" s="259">
        <f t="shared" si="199"/>
        <v>1766.6666666666667</v>
      </c>
      <c r="P173" s="259">
        <f t="shared" si="199"/>
        <v>1766.6666666666667</v>
      </c>
      <c r="Q173" s="259" t="str">
        <f t="shared" si="199"/>
        <v>-</v>
      </c>
      <c r="R173" s="259" t="str">
        <f t="shared" si="199"/>
        <v>-</v>
      </c>
      <c r="S173" s="259">
        <f t="shared" si="198"/>
        <v>2180</v>
      </c>
      <c r="T173" s="259">
        <f t="shared" si="200"/>
        <v>1815</v>
      </c>
      <c r="U173" s="259">
        <f t="shared" si="200"/>
        <v>1449</v>
      </c>
      <c r="V173" s="259">
        <f t="shared" si="200"/>
        <v>1084</v>
      </c>
      <c r="W173" s="259">
        <f t="shared" si="200"/>
        <v>719</v>
      </c>
      <c r="X173" s="259">
        <f t="shared" si="200"/>
        <v>354</v>
      </c>
      <c r="Y173" s="259">
        <f t="shared" si="200"/>
        <v>-12</v>
      </c>
      <c r="Z173" s="259">
        <f t="shared" si="200"/>
        <v>-377</v>
      </c>
      <c r="AA173" s="267">
        <f>(VLOOKUP(A173,Hshldprojections2014!$A$2:$AW$319,40, FALSE)-VLOOKUP(A173,Hshldprojections2014!$A$2:$AW$319,30, FALSE))/10</f>
        <v>1462</v>
      </c>
      <c r="AB173" s="267">
        <f>(VLOOKUP(A173,Hshldprojections2014!$A$2:$AW$319,41, FALSE)-VLOOKUP(A173,Hshldprojections2014!$A$2:$AW$319,31, FALSE))/10</f>
        <v>1442</v>
      </c>
      <c r="AC173" s="267">
        <f>(VLOOKUP(A173,Hshldprojections2014!$A$2:$AW$319,42, FALSE)-VLOOKUP(A173,Hshldprojections2014!$A$2:$AW$319,32, FALSE))/10</f>
        <v>1422.7</v>
      </c>
      <c r="AD173" s="267">
        <f>IF(IndividualLATest!$J$7=2014,(VLOOKUP($A173,Hshldprojections2014!$A$2:$AY$326,43,FALSE)-VLOOKUP($A173,Hshldprojections2014!$A$2:$AY$326,33,FALSE))/10,IF(IndividualLATest!$J$7=2016,(VLOOKUP($A173,Hshldprojections2016!$A$1:$AQ$322,33,FALSE)-VLOOKUP($A173,Hshldprojections2016!$A$1:$AQ$322,23,FALSE))/10,(VLOOKUP($A173,Hshldprojections2018!$A$1:$AQ$327,33,FALSE)-VLOOKUP($A173,Hshldprojections2018!$A$1:$AQ$327,23,FALSE))/10))</f>
        <v>746.9</v>
      </c>
      <c r="AE173" s="267">
        <f>IF(IndividualLATest!$J$7=2014,(VLOOKUP($A173,Hshldprojections2014!$A$2:$AY$326,44,FALSE)-VLOOKUP($A173,Hshldprojections2014!$A$2:$AY$326,34,FALSE))/10,IF(IndividualLATest!$J$7=2016,(VLOOKUP($A173,Hshldprojections2016!$A$1:$AQ$322,34,FALSE)-VLOOKUP($A173,Hshldprojections2016!$A$1:$AQ$322,24,FALSE))/10,(VLOOKUP($A173,Hshldprojections2018!$A$1:$AQ$327,34,FALSE)-VLOOKUP($A173,Hshldprojections2018!$A$1:$AQ$327,24,FALSE))/10))</f>
        <v>717.1</v>
      </c>
      <c r="AF173" s="267">
        <f>IF(IndividualLATest!$J$7=2014,(VLOOKUP($A173,Hshldprojections2014!$A$2:$AY$326,45,FALSE)-VLOOKUP($A173,Hshldprojections2014!$A$2:$AY$326,35,FALSE))/10,IF(IndividualLATest!$J$7=2016,(VLOOKUP($A173,Hshldprojections2016!$A$1:$AQ$322,35,FALSE)-VLOOKUP($A173,Hshldprojections2016!$A$1:$AQ$322,25,FALSE))/10,(VLOOKUP($A173,Hshldprojections2018!$A$1:$AQ$327,35,FALSE)-VLOOKUP($A173,Hshldprojections2018!$A$1:$AQ$327,25,FALSE))/10))</f>
        <v>690</v>
      </c>
      <c r="AG173" s="267">
        <f>IF(IndividualLATest!$J$7=2014,(VLOOKUP($A173,Hshldprojections2014!$A$2:$AY$326,46,FALSE)-VLOOKUP($A173,Hshldprojections2014!$A$2:$AY$326,36,FALSE))/10,IF(IndividualLATest!$J$7=2016,(VLOOKUP($A173,Hshldprojections2016!$A$1:$AQ$322,36,FALSE)-VLOOKUP($A173,Hshldprojections2016!$A$1:$AQ$322,26,FALSE))/10,(VLOOKUP($A173,Hshldprojections2018!$A$1:$AQ$327,36,FALSE)-VLOOKUP($A173,Hshldprojections2018!$A$1:$AQ$327,26,FALSE))/10))</f>
        <v>664.3</v>
      </c>
      <c r="AH173" s="267">
        <f>IF(IndividualLATest!$J$7=2014,(VLOOKUP($A173,Hshldprojections2014!$A$2:$AY$326,47,FALSE)-VLOOKUP($A173,Hshldprojections2014!$A$2:$AY$326,37,FALSE))/10,IF(IndividualLATest!$J$7=2016,(VLOOKUP($A173,Hshldprojections2016!$A$1:$AQ$322,37,FALSE)-VLOOKUP($A173,Hshldprojections2016!$A$1:$AQ$322,27,FALSE))/10,(VLOOKUP($A173,Hshldprojections2018!$A$1:$AQ$327,37,FALSE)-VLOOKUP($A173,Hshldprojections2018!$A$1:$AQ$327,27,FALSE))/10))</f>
        <v>640.20000000000005</v>
      </c>
      <c r="AI173" s="268">
        <f>VLOOKUP($A173,AffordabilityRatio!$A$2:$I$321,5,FALSE)</f>
        <v>8.66</v>
      </c>
      <c r="AJ173" s="268">
        <f>VLOOKUP($A173,AffordabilityRatio!$A$2:$I$321,6,FALSE)</f>
        <v>8.7899999999999991</v>
      </c>
      <c r="AK173" s="268">
        <f>VLOOKUP($A173,AffordabilityRatio!$A$2:$I$321,7,FALSE)</f>
        <v>8.32</v>
      </c>
      <c r="AL173" s="268">
        <f>IF((VLOOKUP($A173,AffordabilityRatio!$A$2:$I$321,8,FALSE))="",AK173,VLOOKUP($A173,AffordabilityRatio!$A$2:$I$321,8,FALSE))</f>
        <v>8.75</v>
      </c>
      <c r="AM173" s="268">
        <f>IF((VLOOKUP($A173,AffordabilityRatio!$A$2:$I$321,9,FALSE))="",AL173,VLOOKUP($A173,AffordabilityRatio!$A$2:$I$321,9,FALSE))</f>
        <v>9.7899999999999991</v>
      </c>
      <c r="AN173" s="268">
        <f>IF((VLOOKUP($A173,AffordabilityRatio!$A$2:$I$321,9,FALSE))="",AM173,VLOOKUP($A173,AffordabilityRatio!$A$2:$I$321,9,FALSE))</f>
        <v>9.7899999999999991</v>
      </c>
      <c r="AO173" s="268">
        <f>IF((VLOOKUP($A173,AffordabilityRatio!$A$2:$I$321,9,FALSE))="",AN173,VLOOKUP($A173,AffordabilityRatio!$A$2:$I$321,9,FALSE))</f>
        <v>9.7899999999999991</v>
      </c>
      <c r="AP173" s="268">
        <f>IF((VLOOKUP($A173,AffordabilityRatio!$A$2:$I$321,9,FALSE))="",AO173,VLOOKUP($A173,AffordabilityRatio!$A$2:$I$321,9,FALSE))</f>
        <v>9.7899999999999991</v>
      </c>
      <c r="AQ173" s="267">
        <f t="shared" si="152"/>
        <v>1888</v>
      </c>
      <c r="AR173" s="267">
        <f t="shared" si="153"/>
        <v>1874</v>
      </c>
      <c r="AS173" s="267">
        <f t="shared" si="154"/>
        <v>1807</v>
      </c>
      <c r="AT173" s="267">
        <f t="shared" si="155"/>
        <v>969</v>
      </c>
      <c r="AU173" s="267">
        <f t="shared" si="156"/>
        <v>977</v>
      </c>
      <c r="AV173" s="267">
        <f t="shared" si="157"/>
        <v>940</v>
      </c>
      <c r="AW173" s="267">
        <f t="shared" si="158"/>
        <v>905</v>
      </c>
      <c r="AX173" s="267">
        <f t="shared" si="159"/>
        <v>872</v>
      </c>
      <c r="AY173" s="267">
        <f t="shared" si="160"/>
        <v>1888</v>
      </c>
      <c r="AZ173" s="267">
        <f t="shared" si="161"/>
        <v>1874</v>
      </c>
      <c r="BA173" s="267">
        <f t="shared" si="162"/>
        <v>1807</v>
      </c>
      <c r="BB173" s="267">
        <f t="shared" si="163"/>
        <v>969</v>
      </c>
      <c r="BC173" s="267">
        <f t="shared" si="164"/>
        <v>977</v>
      </c>
      <c r="BD173" s="267">
        <f t="shared" si="165"/>
        <v>940</v>
      </c>
      <c r="BE173" s="267">
        <f t="shared" si="166"/>
        <v>905</v>
      </c>
      <c r="BF173" s="267">
        <f t="shared" si="167"/>
        <v>872</v>
      </c>
      <c r="BG173" s="269">
        <f>AY173*VLOOKUP($B173,'Major Cities &amp; Towns'!$A$28:$B$345,2,FALSE)</f>
        <v>1888</v>
      </c>
      <c r="BH173" s="269">
        <f>AZ173*VLOOKUP($B173,'Major Cities &amp; Towns'!$A$28:$B$345,2,FALSE)</f>
        <v>1874</v>
      </c>
      <c r="BI173" s="269">
        <f>BA173*VLOOKUP($B173,'Major Cities &amp; Towns'!$A$28:$B$345,2,FALSE)</f>
        <v>1807</v>
      </c>
      <c r="BJ173" s="269">
        <f>BB173*VLOOKUP($B173,'Major Cities &amp; Towns'!$A$28:$B$345,2,FALSE)</f>
        <v>969</v>
      </c>
      <c r="BK173" s="269">
        <f>BC173*VLOOKUP($B173,'Major Cities &amp; Towns'!$A$28:$B$345,2,FALSE)</f>
        <v>977</v>
      </c>
      <c r="BL173" s="269">
        <f>BD173*VLOOKUP($B173,'Major Cities &amp; Towns'!$A$28:$B$345,2,FALSE)</f>
        <v>940</v>
      </c>
      <c r="BM173" s="269">
        <f>BE173*VLOOKUP($B173,'Major Cities &amp; Towns'!$A$28:$B$345,2,FALSE)</f>
        <v>905</v>
      </c>
      <c r="BN173" s="269">
        <f>BF173*VLOOKUP($B173,'Major Cities &amp; Towns'!$A$28:$B$345,2,FALSE)</f>
        <v>872</v>
      </c>
      <c r="BO173" s="270">
        <f t="shared" si="168"/>
        <v>1766.6666666666667</v>
      </c>
      <c r="BP173" s="270">
        <f t="shared" si="169"/>
        <v>1766.6666666666667</v>
      </c>
      <c r="BQ173" s="270">
        <f t="shared" si="170"/>
        <v>1766.6666666666667</v>
      </c>
      <c r="BR173" s="270">
        <f t="shared" si="171"/>
        <v>969</v>
      </c>
      <c r="BS173" s="270">
        <f t="shared" si="172"/>
        <v>977</v>
      </c>
      <c r="BT173" s="270">
        <f t="shared" si="173"/>
        <v>940</v>
      </c>
      <c r="BU173" s="270">
        <f t="shared" si="174"/>
        <v>905</v>
      </c>
      <c r="BV173" s="270">
        <f t="shared" si="175"/>
        <v>872</v>
      </c>
      <c r="BW173" s="39">
        <f>VLOOKUP($A173,NetAdditions!$A$2:$H$336,6,FALSE)</f>
        <v>1781</v>
      </c>
      <c r="BX173" s="39">
        <f>VLOOKUP($A173,NetAdditions!$A$2:$H$336,7,FALSE)</f>
        <v>2076</v>
      </c>
      <c r="BY173" s="39">
        <f>IF((VLOOKUP($C173,NetAdditions!$A$2:$H$336,8,FALSE))="",(AVERAGE(VLOOKUP($C173,NetAdditions!$A$2:$H$336,5,FALSE),VLOOKUP($C173,NetAdditions!$A$2:$H$336,6,FALSE),VLOOKUP($C173,NetAdditions!$A$2:$H$336,7,FALSE))),VLOOKUP($C173,NetAdditions!$A$2:$H$336,8,FALSE))</f>
        <v>1993</v>
      </c>
      <c r="BZ173" s="39">
        <f t="shared" si="176"/>
        <v>1950</v>
      </c>
      <c r="CA173" s="39">
        <f t="shared" si="177"/>
        <v>2006.3333333333333</v>
      </c>
      <c r="CB173" s="39">
        <f t="shared" si="178"/>
        <v>1983.1111111111111</v>
      </c>
      <c r="CC173" s="39">
        <f t="shared" si="179"/>
        <v>1979.8148148148148</v>
      </c>
      <c r="CD173" s="39">
        <f t="shared" si="180"/>
        <v>1989.7530864197531</v>
      </c>
      <c r="CE173" s="276">
        <f t="shared" si="137"/>
        <v>5300</v>
      </c>
      <c r="CF173" s="276">
        <f t="shared" si="138"/>
        <v>4502.3333333333339</v>
      </c>
      <c r="CG173" s="276">
        <f t="shared" si="139"/>
        <v>3712.666666666667</v>
      </c>
      <c r="CH173" s="276">
        <f t="shared" si="140"/>
        <v>2886</v>
      </c>
      <c r="CI173" s="276">
        <f t="shared" si="141"/>
        <v>2822</v>
      </c>
      <c r="CJ173" s="276">
        <f t="shared" si="142"/>
        <v>2717</v>
      </c>
      <c r="CK173" s="276">
        <f t="shared" si="181"/>
        <v>4563.8888888888896</v>
      </c>
      <c r="CL173" s="276">
        <f t="shared" si="182"/>
        <v>3877.00925925926</v>
      </c>
      <c r="CM173" s="276">
        <f t="shared" si="183"/>
        <v>3403.2777777777778</v>
      </c>
      <c r="CN173" s="276">
        <f t="shared" si="184"/>
        <v>2886</v>
      </c>
      <c r="CO173" s="276">
        <f t="shared" si="185"/>
        <v>2822</v>
      </c>
      <c r="CP173" s="276">
        <f t="shared" si="186"/>
        <v>2717</v>
      </c>
      <c r="CQ173" s="39">
        <f t="shared" si="143"/>
        <v>5850</v>
      </c>
      <c r="CR173" s="39">
        <f t="shared" si="144"/>
        <v>6019</v>
      </c>
      <c r="CS173" s="277">
        <f t="shared" si="145"/>
        <v>5949.333333333333</v>
      </c>
      <c r="CT173" s="39">
        <f t="shared" si="146"/>
        <v>5939.4444444444443</v>
      </c>
      <c r="CU173" s="39">
        <f t="shared" si="147"/>
        <v>5969.2592592592591</v>
      </c>
      <c r="CV173" s="39">
        <f t="shared" si="187"/>
        <v>5952.6790123456794</v>
      </c>
      <c r="CW173" s="297">
        <f t="shared" si="148"/>
        <v>1.2818015824710893</v>
      </c>
      <c r="CX173" s="279" t="str">
        <f t="shared" si="188"/>
        <v>Pass</v>
      </c>
      <c r="CY173" s="278">
        <f t="shared" si="149"/>
        <v>1.5524853301872144</v>
      </c>
      <c r="CZ173" s="279" t="str">
        <f t="shared" si="189"/>
        <v>Pass</v>
      </c>
      <c r="DA173" s="278">
        <f t="shared" si="150"/>
        <v>1.7481186437911163</v>
      </c>
      <c r="DB173" s="292" t="str">
        <f t="shared" si="190"/>
        <v>Pass</v>
      </c>
      <c r="DC173" s="299">
        <f t="shared" si="191"/>
        <v>2.0580195580195579</v>
      </c>
      <c r="DD173" s="293" t="str">
        <f t="shared" si="192"/>
        <v>Pass</v>
      </c>
      <c r="DE173" s="299">
        <f t="shared" si="193"/>
        <v>2.1152584192981072</v>
      </c>
      <c r="DF173" s="293" t="str">
        <f t="shared" si="194"/>
        <v>Pass</v>
      </c>
      <c r="DG173" s="299">
        <f t="shared" si="195"/>
        <v>2.190901366339963</v>
      </c>
      <c r="DH173" s="293" t="str">
        <f t="shared" si="196"/>
        <v>Pass</v>
      </c>
    </row>
    <row r="174" spans="1:112" ht="15" thickTop="1" thickBot="1">
      <c r="A174" s="38" t="s">
        <v>458</v>
      </c>
      <c r="B174" s="38" t="s">
        <v>459</v>
      </c>
      <c r="C174" s="38" t="s">
        <v>458</v>
      </c>
      <c r="D174" s="38" t="s">
        <v>113</v>
      </c>
      <c r="E174" s="38" t="str">
        <f>VLOOKUP(C174,PoliticalControl!A:K,11,FALSE)</f>
        <v>LD</v>
      </c>
      <c r="F174" s="38" t="str">
        <f>VLOOKUP(C174,UrbanRuralClassification!A:N,13,FALSE)</f>
        <v>Urban with Significant Rural (rural including hub towns 26-49%)</v>
      </c>
      <c r="G174" s="38" t="str">
        <f>VLOOKUP(C174,UrbanRuralClassification!A:N,14,FALSE)</f>
        <v>Urban with Significant Rural</v>
      </c>
      <c r="H174" s="258">
        <f>IF(ISBLANK((VLOOKUP($A174,'local-plan-data'!$C$1:$AD$566,27,FALSE)))=TRUE,"",VLOOKUP($A174,'local-plan-data'!$C$1:$AD$566,27,FALSE))</f>
        <v>40087</v>
      </c>
      <c r="I174" s="259">
        <f>VLOOKUP($A174,'local-plan-data'!$C$1:$AD$566,28,FALSE)</f>
        <v>188</v>
      </c>
      <c r="J174" s="260">
        <f t="shared" si="151"/>
        <v>188</v>
      </c>
      <c r="K174" s="259" t="str">
        <f t="shared" si="197"/>
        <v>-</v>
      </c>
      <c r="L174" s="259" t="str">
        <f t="shared" si="199"/>
        <v>-</v>
      </c>
      <c r="M174" s="259" t="str">
        <f t="shared" si="199"/>
        <v>-</v>
      </c>
      <c r="N174" s="259" t="str">
        <f t="shared" si="199"/>
        <v>-</v>
      </c>
      <c r="O174" s="259" t="str">
        <f t="shared" si="199"/>
        <v>-</v>
      </c>
      <c r="P174" s="259" t="str">
        <f t="shared" si="199"/>
        <v>-</v>
      </c>
      <c r="Q174" s="259" t="str">
        <f t="shared" si="199"/>
        <v>-</v>
      </c>
      <c r="R174" s="259" t="str">
        <f t="shared" si="199"/>
        <v>-</v>
      </c>
      <c r="S174" s="259">
        <f t="shared" si="198"/>
        <v>-1278</v>
      </c>
      <c r="T174" s="259">
        <f t="shared" si="200"/>
        <v>-1643</v>
      </c>
      <c r="U174" s="259">
        <f t="shared" si="200"/>
        <v>-2009</v>
      </c>
      <c r="V174" s="259">
        <f t="shared" si="200"/>
        <v>-2374</v>
      </c>
      <c r="W174" s="259">
        <f t="shared" si="200"/>
        <v>-2739</v>
      </c>
      <c r="X174" s="259">
        <f t="shared" si="200"/>
        <v>-3104</v>
      </c>
      <c r="Y174" s="259">
        <f t="shared" si="200"/>
        <v>-3470</v>
      </c>
      <c r="Z174" s="259">
        <f t="shared" si="200"/>
        <v>-3835</v>
      </c>
      <c r="AA174" s="267">
        <f>(VLOOKUP(A174,Hshldprojections2014!$A$2:$AW$319,40, FALSE)-VLOOKUP(A174,Hshldprojections2014!$A$2:$AW$319,30, FALSE))/10</f>
        <v>319.10000000000002</v>
      </c>
      <c r="AB174" s="267">
        <f>(VLOOKUP(A174,Hshldprojections2014!$A$2:$AW$319,41, FALSE)-VLOOKUP(A174,Hshldprojections2014!$A$2:$AW$319,31, FALSE))/10</f>
        <v>321</v>
      </c>
      <c r="AC174" s="267">
        <f>(VLOOKUP(A174,Hshldprojections2014!$A$2:$AW$319,42, FALSE)-VLOOKUP(A174,Hshldprojections2014!$A$2:$AW$319,32, FALSE))/10</f>
        <v>323.39999999999998</v>
      </c>
      <c r="AD174" s="267">
        <f>IF(IndividualLATest!$J$7=2014,(VLOOKUP($A174,Hshldprojections2014!$A$2:$AY$326,43,FALSE)-VLOOKUP($A174,Hshldprojections2014!$A$2:$AY$326,33,FALSE))/10,IF(IndividualLATest!$J$7=2016,(VLOOKUP($A174,Hshldprojections2016!$A$1:$AQ$322,33,FALSE)-VLOOKUP($A174,Hshldprojections2016!$A$1:$AQ$322,23,FALSE))/10,(VLOOKUP($A174,Hshldprojections2018!$A$1:$AQ$327,33,FALSE)-VLOOKUP($A174,Hshldprojections2018!$A$1:$AQ$327,23,FALSE))/10))</f>
        <v>142</v>
      </c>
      <c r="AE174" s="267">
        <f>IF(IndividualLATest!$J$7=2014,(VLOOKUP($A174,Hshldprojections2014!$A$2:$AY$326,44,FALSE)-VLOOKUP($A174,Hshldprojections2014!$A$2:$AY$326,34,FALSE))/10,IF(IndividualLATest!$J$7=2016,(VLOOKUP($A174,Hshldprojections2016!$A$1:$AQ$322,34,FALSE)-VLOOKUP($A174,Hshldprojections2016!$A$1:$AQ$322,24,FALSE))/10,(VLOOKUP($A174,Hshldprojections2018!$A$1:$AQ$327,34,FALSE)-VLOOKUP($A174,Hshldprojections2018!$A$1:$AQ$327,24,FALSE))/10))</f>
        <v>138.69999999999999</v>
      </c>
      <c r="AF174" s="267">
        <f>IF(IndividualLATest!$J$7=2014,(VLOOKUP($A174,Hshldprojections2014!$A$2:$AY$326,45,FALSE)-VLOOKUP($A174,Hshldprojections2014!$A$2:$AY$326,35,FALSE))/10,IF(IndividualLATest!$J$7=2016,(VLOOKUP($A174,Hshldprojections2016!$A$1:$AQ$322,35,FALSE)-VLOOKUP($A174,Hshldprojections2016!$A$1:$AQ$322,25,FALSE))/10,(VLOOKUP($A174,Hshldprojections2018!$A$1:$AQ$327,35,FALSE)-VLOOKUP($A174,Hshldprojections2018!$A$1:$AQ$327,25,FALSE))/10))</f>
        <v>135.4</v>
      </c>
      <c r="AG174" s="267">
        <f>IF(IndividualLATest!$J$7=2014,(VLOOKUP($A174,Hshldprojections2014!$A$2:$AY$326,46,FALSE)-VLOOKUP($A174,Hshldprojections2014!$A$2:$AY$326,36,FALSE))/10,IF(IndividualLATest!$J$7=2016,(VLOOKUP($A174,Hshldprojections2016!$A$1:$AQ$322,36,FALSE)-VLOOKUP($A174,Hshldprojections2016!$A$1:$AQ$322,26,FALSE))/10,(VLOOKUP($A174,Hshldprojections2018!$A$1:$AQ$327,36,FALSE)-VLOOKUP($A174,Hshldprojections2018!$A$1:$AQ$327,26,FALSE))/10))</f>
        <v>135.19999999999999</v>
      </c>
      <c r="AH174" s="267">
        <f>IF(IndividualLATest!$J$7=2014,(VLOOKUP($A174,Hshldprojections2014!$A$2:$AY$326,47,FALSE)-VLOOKUP($A174,Hshldprojections2014!$A$2:$AY$326,37,FALSE))/10,IF(IndividualLATest!$J$7=2016,(VLOOKUP($A174,Hshldprojections2016!$A$1:$AQ$322,37,FALSE)-VLOOKUP($A174,Hshldprojections2016!$A$1:$AQ$322,27,FALSE))/10,(VLOOKUP($A174,Hshldprojections2018!$A$1:$AQ$327,37,FALSE)-VLOOKUP($A174,Hshldprojections2018!$A$1:$AQ$327,27,FALSE))/10))</f>
        <v>135.80000000000001</v>
      </c>
      <c r="AI174" s="268">
        <f>VLOOKUP($A174,AffordabilityRatio!$A$2:$I$321,5,FALSE)</f>
        <v>14.37</v>
      </c>
      <c r="AJ174" s="268">
        <f>VLOOKUP($A174,AffordabilityRatio!$A$2:$I$321,6,FALSE)</f>
        <v>14.57</v>
      </c>
      <c r="AK174" s="268">
        <f>VLOOKUP($A174,AffordabilityRatio!$A$2:$I$321,7,FALSE)</f>
        <v>13.36</v>
      </c>
      <c r="AL174" s="268">
        <f>IF((VLOOKUP($A174,AffordabilityRatio!$A$2:$I$321,8,FALSE))="",AK174,VLOOKUP($A174,AffordabilityRatio!$A$2:$I$321,8,FALSE))</f>
        <v>14.85</v>
      </c>
      <c r="AM174" s="268">
        <f>IF((VLOOKUP($A174,AffordabilityRatio!$A$2:$I$321,9,FALSE))="",AL174,VLOOKUP($A174,AffordabilityRatio!$A$2:$I$321,9,FALSE))</f>
        <v>13.84</v>
      </c>
      <c r="AN174" s="268">
        <f>IF((VLOOKUP($A174,AffordabilityRatio!$A$2:$I$321,9,FALSE))="",AM174,VLOOKUP($A174,AffordabilityRatio!$A$2:$I$321,9,FALSE))</f>
        <v>13.84</v>
      </c>
      <c r="AO174" s="268">
        <f>IF((VLOOKUP($A174,AffordabilityRatio!$A$2:$I$321,9,FALSE))="",AN174,VLOOKUP($A174,AffordabilityRatio!$A$2:$I$321,9,FALSE))</f>
        <v>13.84</v>
      </c>
      <c r="AP174" s="268">
        <f>IF((VLOOKUP($A174,AffordabilityRatio!$A$2:$I$321,9,FALSE))="",AO174,VLOOKUP($A174,AffordabilityRatio!$A$2:$I$321,9,FALSE))</f>
        <v>13.84</v>
      </c>
      <c r="AQ174" s="267">
        <f t="shared" si="152"/>
        <v>526</v>
      </c>
      <c r="AR174" s="267">
        <f t="shared" si="153"/>
        <v>533</v>
      </c>
      <c r="AS174" s="267">
        <f t="shared" si="154"/>
        <v>513</v>
      </c>
      <c r="AT174" s="267">
        <f t="shared" si="155"/>
        <v>238</v>
      </c>
      <c r="AU174" s="267">
        <f t="shared" si="156"/>
        <v>224</v>
      </c>
      <c r="AV174" s="267">
        <f t="shared" si="157"/>
        <v>219</v>
      </c>
      <c r="AW174" s="267">
        <f t="shared" si="158"/>
        <v>218</v>
      </c>
      <c r="AX174" s="267">
        <f t="shared" si="159"/>
        <v>219</v>
      </c>
      <c r="AY174" s="267">
        <f t="shared" si="160"/>
        <v>446.74</v>
      </c>
      <c r="AZ174" s="267">
        <f t="shared" si="161"/>
        <v>449.4</v>
      </c>
      <c r="BA174" s="267">
        <f t="shared" si="162"/>
        <v>452.76</v>
      </c>
      <c r="BB174" s="267">
        <f t="shared" si="163"/>
        <v>238</v>
      </c>
      <c r="BC174" s="267">
        <f t="shared" si="164"/>
        <v>224</v>
      </c>
      <c r="BD174" s="267">
        <f t="shared" si="165"/>
        <v>219</v>
      </c>
      <c r="BE174" s="267">
        <f t="shared" si="166"/>
        <v>218</v>
      </c>
      <c r="BF174" s="267">
        <f t="shared" si="167"/>
        <v>219</v>
      </c>
      <c r="BG174" s="269">
        <f>AY174*VLOOKUP($B174,'Major Cities &amp; Towns'!$A$28:$B$345,2,FALSE)</f>
        <v>446.74</v>
      </c>
      <c r="BH174" s="269">
        <f>AZ174*VLOOKUP($B174,'Major Cities &amp; Towns'!$A$28:$B$345,2,FALSE)</f>
        <v>449.4</v>
      </c>
      <c r="BI174" s="269">
        <f>BA174*VLOOKUP($B174,'Major Cities &amp; Towns'!$A$28:$B$345,2,FALSE)</f>
        <v>452.76</v>
      </c>
      <c r="BJ174" s="269">
        <f>BB174*VLOOKUP($B174,'Major Cities &amp; Towns'!$A$28:$B$345,2,FALSE)</f>
        <v>238</v>
      </c>
      <c r="BK174" s="269">
        <f>BC174*VLOOKUP($B174,'Major Cities &amp; Towns'!$A$28:$B$345,2,FALSE)</f>
        <v>224</v>
      </c>
      <c r="BL174" s="269">
        <f>BD174*VLOOKUP($B174,'Major Cities &amp; Towns'!$A$28:$B$345,2,FALSE)</f>
        <v>219</v>
      </c>
      <c r="BM174" s="269">
        <f>BE174*VLOOKUP($B174,'Major Cities &amp; Towns'!$A$28:$B$345,2,FALSE)</f>
        <v>218</v>
      </c>
      <c r="BN174" s="269">
        <f>BF174*VLOOKUP($B174,'Major Cities &amp; Towns'!$A$28:$B$345,2,FALSE)</f>
        <v>219</v>
      </c>
      <c r="BO174" s="270">
        <f t="shared" si="168"/>
        <v>526</v>
      </c>
      <c r="BP174" s="270">
        <f t="shared" si="169"/>
        <v>533</v>
      </c>
      <c r="BQ174" s="270">
        <f t="shared" si="170"/>
        <v>513</v>
      </c>
      <c r="BR174" s="270">
        <f t="shared" si="171"/>
        <v>238</v>
      </c>
      <c r="BS174" s="270">
        <f t="shared" si="172"/>
        <v>224</v>
      </c>
      <c r="BT174" s="270">
        <f t="shared" si="173"/>
        <v>219</v>
      </c>
      <c r="BU174" s="270">
        <f t="shared" si="174"/>
        <v>218</v>
      </c>
      <c r="BV174" s="270">
        <f t="shared" si="175"/>
        <v>219</v>
      </c>
      <c r="BW174" s="39">
        <f>VLOOKUP($A174,NetAdditions!$A$2:$H$336,6,FALSE)</f>
        <v>326</v>
      </c>
      <c r="BX174" s="39">
        <f>VLOOKUP($A174,NetAdditions!$A$2:$H$336,7,FALSE)</f>
        <v>158</v>
      </c>
      <c r="BY174" s="39">
        <f>IF((VLOOKUP($C174,NetAdditions!$A$2:$H$336,8,FALSE))="",(AVERAGE(VLOOKUP($C174,NetAdditions!$A$2:$H$336,5,FALSE),VLOOKUP($C174,NetAdditions!$A$2:$H$336,6,FALSE),VLOOKUP($C174,NetAdditions!$A$2:$H$336,7,FALSE))),VLOOKUP($C174,NetAdditions!$A$2:$H$336,8,FALSE))</f>
        <v>274</v>
      </c>
      <c r="BZ174" s="39">
        <f t="shared" si="176"/>
        <v>252.66666666666666</v>
      </c>
      <c r="CA174" s="39">
        <f t="shared" si="177"/>
        <v>228.2222222222222</v>
      </c>
      <c r="CB174" s="39">
        <f t="shared" si="178"/>
        <v>251.62962962962959</v>
      </c>
      <c r="CC174" s="39">
        <f t="shared" si="179"/>
        <v>244.17283950617283</v>
      </c>
      <c r="CD174" s="39">
        <f t="shared" si="180"/>
        <v>241.34156378600821</v>
      </c>
      <c r="CE174" s="276">
        <f t="shared" si="137"/>
        <v>1572</v>
      </c>
      <c r="CF174" s="276">
        <f t="shared" si="138"/>
        <v>1284</v>
      </c>
      <c r="CG174" s="276">
        <f t="shared" si="139"/>
        <v>975</v>
      </c>
      <c r="CH174" s="276">
        <f t="shared" si="140"/>
        <v>681</v>
      </c>
      <c r="CI174" s="276">
        <f t="shared" si="141"/>
        <v>661</v>
      </c>
      <c r="CJ174" s="276">
        <f t="shared" si="142"/>
        <v>656</v>
      </c>
      <c r="CK174" s="276">
        <f t="shared" si="181"/>
        <v>1353.6666666666667</v>
      </c>
      <c r="CL174" s="276">
        <f t="shared" si="182"/>
        <v>1105.6666666666667</v>
      </c>
      <c r="CM174" s="276">
        <f t="shared" si="183"/>
        <v>893.75</v>
      </c>
      <c r="CN174" s="276">
        <f t="shared" si="184"/>
        <v>681</v>
      </c>
      <c r="CO174" s="276">
        <f t="shared" si="185"/>
        <v>661</v>
      </c>
      <c r="CP174" s="276">
        <f t="shared" si="186"/>
        <v>656</v>
      </c>
      <c r="CQ174" s="39">
        <f t="shared" si="143"/>
        <v>758</v>
      </c>
      <c r="CR174" s="39">
        <f t="shared" si="144"/>
        <v>684.66666666666663</v>
      </c>
      <c r="CS174" s="277">
        <f t="shared" si="145"/>
        <v>754.8888888888888</v>
      </c>
      <c r="CT174" s="39">
        <f t="shared" si="146"/>
        <v>732.51851851851848</v>
      </c>
      <c r="CU174" s="39">
        <f t="shared" si="147"/>
        <v>724.0246913580246</v>
      </c>
      <c r="CV174" s="39">
        <f t="shared" si="187"/>
        <v>737.14403292181066</v>
      </c>
      <c r="CW174" s="297">
        <f t="shared" si="148"/>
        <v>0.5599606008372322</v>
      </c>
      <c r="CX174" s="279" t="str">
        <f t="shared" si="188"/>
        <v>Buffer and Action Plan</v>
      </c>
      <c r="CY174" s="278">
        <f t="shared" si="149"/>
        <v>0.61923424781428993</v>
      </c>
      <c r="CZ174" s="279" t="str">
        <f t="shared" si="189"/>
        <v>Buffer and Action Plan</v>
      </c>
      <c r="DA174" s="278">
        <f t="shared" si="150"/>
        <v>0.84463092463092448</v>
      </c>
      <c r="DB174" s="292" t="str">
        <f t="shared" si="190"/>
        <v>Buffer and Action Plan</v>
      </c>
      <c r="DC174" s="299">
        <f t="shared" si="191"/>
        <v>1.0756512753575895</v>
      </c>
      <c r="DD174" s="293" t="str">
        <f t="shared" si="192"/>
        <v>Pass</v>
      </c>
      <c r="DE174" s="299">
        <f t="shared" si="193"/>
        <v>1.0953474907080554</v>
      </c>
      <c r="DF174" s="293" t="str">
        <f t="shared" si="194"/>
        <v>Pass</v>
      </c>
      <c r="DG174" s="299">
        <f t="shared" si="195"/>
        <v>1.1236951721369064</v>
      </c>
      <c r="DH174" s="293" t="str">
        <f t="shared" si="196"/>
        <v>Pass</v>
      </c>
    </row>
    <row r="175" spans="1:112" ht="15" thickTop="1" thickBot="1">
      <c r="A175" s="38" t="s">
        <v>460</v>
      </c>
      <c r="B175" s="38" t="s">
        <v>461</v>
      </c>
      <c r="C175" s="38" t="s">
        <v>460</v>
      </c>
      <c r="D175" s="38" t="s">
        <v>113</v>
      </c>
      <c r="E175" s="38" t="str">
        <f>VLOOKUP(C175,PoliticalControl!A:K,11,FALSE)</f>
        <v>CON</v>
      </c>
      <c r="F175" s="38" t="str">
        <f>VLOOKUP(C175,UrbanRuralClassification!A:N,13,FALSE)</f>
        <v>Urban with Significant Rural (rural including hub towns 26-49%)</v>
      </c>
      <c r="G175" s="38" t="str">
        <f>VLOOKUP(C175,UrbanRuralClassification!A:N,14,FALSE)</f>
        <v>Urban with Significant Rural</v>
      </c>
      <c r="H175" s="258">
        <f>IF(ISBLANK((VLOOKUP($A175,'local-plan-data'!$C$1:$AD$566,27,FALSE)))=TRUE,"",VLOOKUP($A175,'local-plan-data'!$C$1:$AD$566,27,FALSE))</f>
        <v>44018</v>
      </c>
      <c r="I175" s="259">
        <f>VLOOKUP($A175,'local-plan-data'!$C$1:$AD$566,28,FALSE)</f>
        <v>521</v>
      </c>
      <c r="J175" s="260">
        <f t="shared" si="151"/>
        <v>521</v>
      </c>
      <c r="K175" s="259">
        <f t="shared" si="197"/>
        <v>521</v>
      </c>
      <c r="L175" s="259">
        <f t="shared" si="199"/>
        <v>521</v>
      </c>
      <c r="M175" s="259">
        <f t="shared" si="199"/>
        <v>521</v>
      </c>
      <c r="N175" s="259">
        <f t="shared" si="199"/>
        <v>521</v>
      </c>
      <c r="O175" s="259">
        <f t="shared" si="199"/>
        <v>521</v>
      </c>
      <c r="P175" s="259">
        <f t="shared" si="199"/>
        <v>521</v>
      </c>
      <c r="Q175" s="259">
        <f t="shared" si="199"/>
        <v>521</v>
      </c>
      <c r="R175" s="259">
        <f t="shared" si="199"/>
        <v>521</v>
      </c>
      <c r="S175" s="259">
        <f t="shared" si="198"/>
        <v>2653</v>
      </c>
      <c r="T175" s="259">
        <f t="shared" si="200"/>
        <v>2288</v>
      </c>
      <c r="U175" s="259">
        <f t="shared" si="200"/>
        <v>1922</v>
      </c>
      <c r="V175" s="259">
        <f t="shared" si="200"/>
        <v>1557</v>
      </c>
      <c r="W175" s="259">
        <f t="shared" si="200"/>
        <v>1192</v>
      </c>
      <c r="X175" s="259">
        <f t="shared" si="200"/>
        <v>827</v>
      </c>
      <c r="Y175" s="259">
        <f t="shared" si="200"/>
        <v>461</v>
      </c>
      <c r="Z175" s="259">
        <f t="shared" si="200"/>
        <v>96</v>
      </c>
      <c r="AA175" s="267">
        <f>(VLOOKUP(A175,Hshldprojections2014!$A$2:$AW$319,40, FALSE)-VLOOKUP(A175,Hshldprojections2014!$A$2:$AW$319,30, FALSE))/10</f>
        <v>706.2</v>
      </c>
      <c r="AB175" s="267">
        <f>(VLOOKUP(A175,Hshldprojections2014!$A$2:$AW$319,41, FALSE)-VLOOKUP(A175,Hshldprojections2014!$A$2:$AW$319,31, FALSE))/10</f>
        <v>712</v>
      </c>
      <c r="AC175" s="267">
        <f>(VLOOKUP(A175,Hshldprojections2014!$A$2:$AW$319,42, FALSE)-VLOOKUP(A175,Hshldprojections2014!$A$2:$AW$319,32, FALSE))/10</f>
        <v>716.9</v>
      </c>
      <c r="AD175" s="267">
        <f>IF(IndividualLATest!$J$7=2014,(VLOOKUP($A175,Hshldprojections2014!$A$2:$AY$326,43,FALSE)-VLOOKUP($A175,Hshldprojections2014!$A$2:$AY$326,33,FALSE))/10,IF(IndividualLATest!$J$7=2016,(VLOOKUP($A175,Hshldprojections2016!$A$1:$AQ$322,33,FALSE)-VLOOKUP($A175,Hshldprojections2016!$A$1:$AQ$322,23,FALSE))/10,(VLOOKUP($A175,Hshldprojections2018!$A$1:$AQ$327,33,FALSE)-VLOOKUP($A175,Hshldprojections2018!$A$1:$AQ$327,23,FALSE))/10))</f>
        <v>374.9</v>
      </c>
      <c r="AE175" s="267">
        <f>IF(IndividualLATest!$J$7=2014,(VLOOKUP($A175,Hshldprojections2014!$A$2:$AY$326,44,FALSE)-VLOOKUP($A175,Hshldprojections2014!$A$2:$AY$326,34,FALSE))/10,IF(IndividualLATest!$J$7=2016,(VLOOKUP($A175,Hshldprojections2016!$A$1:$AQ$322,34,FALSE)-VLOOKUP($A175,Hshldprojections2016!$A$1:$AQ$322,24,FALSE))/10,(VLOOKUP($A175,Hshldprojections2018!$A$1:$AQ$327,34,FALSE)-VLOOKUP($A175,Hshldprojections2018!$A$1:$AQ$327,24,FALSE))/10))</f>
        <v>366.2</v>
      </c>
      <c r="AF175" s="267">
        <f>IF(IndividualLATest!$J$7=2014,(VLOOKUP($A175,Hshldprojections2014!$A$2:$AY$326,45,FALSE)-VLOOKUP($A175,Hshldprojections2014!$A$2:$AY$326,35,FALSE))/10,IF(IndividualLATest!$J$7=2016,(VLOOKUP($A175,Hshldprojections2016!$A$1:$AQ$322,35,FALSE)-VLOOKUP($A175,Hshldprojections2016!$A$1:$AQ$322,25,FALSE))/10,(VLOOKUP($A175,Hshldprojections2018!$A$1:$AQ$327,35,FALSE)-VLOOKUP($A175,Hshldprojections2018!$A$1:$AQ$327,25,FALSE))/10))</f>
        <v>358.7</v>
      </c>
      <c r="AG175" s="267">
        <f>IF(IndividualLATest!$J$7=2014,(VLOOKUP($A175,Hshldprojections2014!$A$2:$AY$326,46,FALSE)-VLOOKUP($A175,Hshldprojections2014!$A$2:$AY$326,36,FALSE))/10,IF(IndividualLATest!$J$7=2016,(VLOOKUP($A175,Hshldprojections2016!$A$1:$AQ$322,36,FALSE)-VLOOKUP($A175,Hshldprojections2016!$A$1:$AQ$322,26,FALSE))/10,(VLOOKUP($A175,Hshldprojections2018!$A$1:$AQ$327,36,FALSE)-VLOOKUP($A175,Hshldprojections2018!$A$1:$AQ$327,26,FALSE))/10))</f>
        <v>350.9</v>
      </c>
      <c r="AH175" s="267">
        <f>IF(IndividualLATest!$J$7=2014,(VLOOKUP($A175,Hshldprojections2014!$A$2:$AY$326,47,FALSE)-VLOOKUP($A175,Hshldprojections2014!$A$2:$AY$326,37,FALSE))/10,IF(IndividualLATest!$J$7=2016,(VLOOKUP($A175,Hshldprojections2016!$A$1:$AQ$322,37,FALSE)-VLOOKUP($A175,Hshldprojections2016!$A$1:$AQ$322,27,FALSE))/10,(VLOOKUP($A175,Hshldprojections2018!$A$1:$AQ$327,37,FALSE)-VLOOKUP($A175,Hshldprojections2018!$A$1:$AQ$327,27,FALSE))/10))</f>
        <v>344.6</v>
      </c>
      <c r="AI175" s="268">
        <f>VLOOKUP($A175,AffordabilityRatio!$A$2:$I$321,5,FALSE)</f>
        <v>11.9</v>
      </c>
      <c r="AJ175" s="268">
        <f>VLOOKUP($A175,AffordabilityRatio!$A$2:$I$321,6,FALSE)</f>
        <v>11.51</v>
      </c>
      <c r="AK175" s="268">
        <f>VLOOKUP($A175,AffordabilityRatio!$A$2:$I$321,7,FALSE)</f>
        <v>11.17</v>
      </c>
      <c r="AL175" s="268">
        <f>IF((VLOOKUP($A175,AffordabilityRatio!$A$2:$I$321,8,FALSE))="",AK175,VLOOKUP($A175,AffordabilityRatio!$A$2:$I$321,8,FALSE))</f>
        <v>10.7</v>
      </c>
      <c r="AM175" s="268">
        <f>IF((VLOOKUP($A175,AffordabilityRatio!$A$2:$I$321,9,FALSE))="",AL175,VLOOKUP($A175,AffordabilityRatio!$A$2:$I$321,9,FALSE))</f>
        <v>12.52</v>
      </c>
      <c r="AN175" s="268">
        <f>IF((VLOOKUP($A175,AffordabilityRatio!$A$2:$I$321,9,FALSE))="",AM175,VLOOKUP($A175,AffordabilityRatio!$A$2:$I$321,9,FALSE))</f>
        <v>12.52</v>
      </c>
      <c r="AO175" s="268">
        <f>IF((VLOOKUP($A175,AffordabilityRatio!$A$2:$I$321,9,FALSE))="",AN175,VLOOKUP($A175,AffordabilityRatio!$A$2:$I$321,9,FALSE))</f>
        <v>12.52</v>
      </c>
      <c r="AP175" s="268">
        <f>IF((VLOOKUP($A175,AffordabilityRatio!$A$2:$I$321,9,FALSE))="",AO175,VLOOKUP($A175,AffordabilityRatio!$A$2:$I$321,9,FALSE))</f>
        <v>12.52</v>
      </c>
      <c r="AQ175" s="267">
        <f t="shared" si="152"/>
        <v>1055</v>
      </c>
      <c r="AR175" s="267">
        <f t="shared" si="153"/>
        <v>1046</v>
      </c>
      <c r="AS175" s="267">
        <f t="shared" si="154"/>
        <v>1038</v>
      </c>
      <c r="AT175" s="267">
        <f t="shared" si="155"/>
        <v>532</v>
      </c>
      <c r="AU175" s="267">
        <f t="shared" si="156"/>
        <v>561</v>
      </c>
      <c r="AV175" s="267">
        <f t="shared" si="157"/>
        <v>550</v>
      </c>
      <c r="AW175" s="267">
        <f t="shared" si="158"/>
        <v>538</v>
      </c>
      <c r="AX175" s="267">
        <f t="shared" si="159"/>
        <v>528</v>
      </c>
      <c r="AY175" s="267">
        <f t="shared" si="160"/>
        <v>729.4</v>
      </c>
      <c r="AZ175" s="267">
        <f t="shared" si="161"/>
        <v>729.4</v>
      </c>
      <c r="BA175" s="267">
        <f t="shared" si="162"/>
        <v>729.4</v>
      </c>
      <c r="BB175" s="267">
        <f t="shared" si="163"/>
        <v>532</v>
      </c>
      <c r="BC175" s="267">
        <f t="shared" si="164"/>
        <v>561</v>
      </c>
      <c r="BD175" s="267">
        <f t="shared" si="165"/>
        <v>550</v>
      </c>
      <c r="BE175" s="267">
        <f t="shared" si="166"/>
        <v>538</v>
      </c>
      <c r="BF175" s="267">
        <f t="shared" si="167"/>
        <v>528</v>
      </c>
      <c r="BG175" s="269">
        <f>AY175*VLOOKUP($B175,'Major Cities &amp; Towns'!$A$28:$B$345,2,FALSE)</f>
        <v>729.4</v>
      </c>
      <c r="BH175" s="269">
        <f>AZ175*VLOOKUP($B175,'Major Cities &amp; Towns'!$A$28:$B$345,2,FALSE)</f>
        <v>729.4</v>
      </c>
      <c r="BI175" s="269">
        <f>BA175*VLOOKUP($B175,'Major Cities &amp; Towns'!$A$28:$B$345,2,FALSE)</f>
        <v>729.4</v>
      </c>
      <c r="BJ175" s="269">
        <f>BB175*VLOOKUP($B175,'Major Cities &amp; Towns'!$A$28:$B$345,2,FALSE)</f>
        <v>532</v>
      </c>
      <c r="BK175" s="269">
        <f>BC175*VLOOKUP($B175,'Major Cities &amp; Towns'!$A$28:$B$345,2,FALSE)</f>
        <v>561</v>
      </c>
      <c r="BL175" s="269">
        <f>BD175*VLOOKUP($B175,'Major Cities &amp; Towns'!$A$28:$B$345,2,FALSE)</f>
        <v>550</v>
      </c>
      <c r="BM175" s="269">
        <f>BE175*VLOOKUP($B175,'Major Cities &amp; Towns'!$A$28:$B$345,2,FALSE)</f>
        <v>538</v>
      </c>
      <c r="BN175" s="269">
        <f>BF175*VLOOKUP($B175,'Major Cities &amp; Towns'!$A$28:$B$345,2,FALSE)</f>
        <v>528</v>
      </c>
      <c r="BO175" s="270">
        <f t="shared" si="168"/>
        <v>521</v>
      </c>
      <c r="BP175" s="270">
        <f t="shared" si="169"/>
        <v>521</v>
      </c>
      <c r="BQ175" s="270">
        <f t="shared" si="170"/>
        <v>521</v>
      </c>
      <c r="BR175" s="270">
        <f t="shared" si="171"/>
        <v>521</v>
      </c>
      <c r="BS175" s="270">
        <f t="shared" si="172"/>
        <v>521</v>
      </c>
      <c r="BT175" s="270">
        <f t="shared" si="173"/>
        <v>521</v>
      </c>
      <c r="BU175" s="270">
        <f t="shared" si="174"/>
        <v>521</v>
      </c>
      <c r="BV175" s="270">
        <f t="shared" si="175"/>
        <v>526.158904109589</v>
      </c>
      <c r="BW175" s="39">
        <f>VLOOKUP($A175,NetAdditions!$A$2:$H$336,6,FALSE)</f>
        <v>387</v>
      </c>
      <c r="BX175" s="39">
        <f>VLOOKUP($A175,NetAdditions!$A$2:$H$336,7,FALSE)</f>
        <v>357</v>
      </c>
      <c r="BY175" s="39">
        <f>IF((VLOOKUP($C175,NetAdditions!$A$2:$H$336,8,FALSE))="",(AVERAGE(VLOOKUP($C175,NetAdditions!$A$2:$H$336,5,FALSE),VLOOKUP($C175,NetAdditions!$A$2:$H$336,6,FALSE),VLOOKUP($C175,NetAdditions!$A$2:$H$336,7,FALSE))),VLOOKUP($C175,NetAdditions!$A$2:$H$336,8,FALSE))</f>
        <v>422</v>
      </c>
      <c r="BZ175" s="39">
        <f t="shared" si="176"/>
        <v>388.66666666666669</v>
      </c>
      <c r="CA175" s="39">
        <f t="shared" si="177"/>
        <v>389.22222222222223</v>
      </c>
      <c r="CB175" s="39">
        <f t="shared" si="178"/>
        <v>399.96296296296299</v>
      </c>
      <c r="CC175" s="39">
        <f t="shared" si="179"/>
        <v>392.61728395061732</v>
      </c>
      <c r="CD175" s="39">
        <f t="shared" si="180"/>
        <v>393.93415637860085</v>
      </c>
      <c r="CE175" s="276">
        <f t="shared" si="137"/>
        <v>1563</v>
      </c>
      <c r="CF175" s="276">
        <f t="shared" si="138"/>
        <v>1563</v>
      </c>
      <c r="CG175" s="276">
        <f t="shared" si="139"/>
        <v>1563</v>
      </c>
      <c r="CH175" s="276">
        <f t="shared" si="140"/>
        <v>1563</v>
      </c>
      <c r="CI175" s="276">
        <f t="shared" si="141"/>
        <v>1563</v>
      </c>
      <c r="CJ175" s="276">
        <f t="shared" si="142"/>
        <v>1568.158904109589</v>
      </c>
      <c r="CK175" s="276">
        <f t="shared" si="181"/>
        <v>1345.9166666666667</v>
      </c>
      <c r="CL175" s="276">
        <f t="shared" si="182"/>
        <v>1345.9166666666667</v>
      </c>
      <c r="CM175" s="276">
        <f t="shared" si="183"/>
        <v>1432.75</v>
      </c>
      <c r="CN175" s="276">
        <f t="shared" si="184"/>
        <v>1563</v>
      </c>
      <c r="CO175" s="276">
        <f t="shared" si="185"/>
        <v>1563</v>
      </c>
      <c r="CP175" s="276">
        <f t="shared" si="186"/>
        <v>1568.158904109589</v>
      </c>
      <c r="CQ175" s="39">
        <f t="shared" si="143"/>
        <v>1166</v>
      </c>
      <c r="CR175" s="39">
        <f t="shared" si="144"/>
        <v>1167.6666666666667</v>
      </c>
      <c r="CS175" s="277">
        <f t="shared" si="145"/>
        <v>1199.8888888888889</v>
      </c>
      <c r="CT175" s="39">
        <f t="shared" si="146"/>
        <v>1177.851851851852</v>
      </c>
      <c r="CU175" s="39">
        <f t="shared" si="147"/>
        <v>1181.8024691358025</v>
      </c>
      <c r="CV175" s="39">
        <f t="shared" si="187"/>
        <v>1186.5144032921812</v>
      </c>
      <c r="CW175" s="297">
        <f t="shared" si="148"/>
        <v>0.86632406662126182</v>
      </c>
      <c r="CX175" s="279" t="str">
        <f t="shared" si="188"/>
        <v>Action Plan</v>
      </c>
      <c r="CY175" s="278">
        <f t="shared" si="149"/>
        <v>0.8675623800383877</v>
      </c>
      <c r="CZ175" s="279" t="str">
        <f t="shared" si="189"/>
        <v>Action Plan</v>
      </c>
      <c r="DA175" s="278">
        <f t="shared" si="150"/>
        <v>0.83747261482386248</v>
      </c>
      <c r="DB175" s="292" t="str">
        <f t="shared" si="190"/>
        <v>Buffer and Action Plan</v>
      </c>
      <c r="DC175" s="299">
        <f t="shared" si="191"/>
        <v>0.75358403829293152</v>
      </c>
      <c r="DD175" s="293" t="str">
        <f t="shared" si="192"/>
        <v>Buffer and Action Plan</v>
      </c>
      <c r="DE175" s="299">
        <f t="shared" si="193"/>
        <v>0.75611162452706493</v>
      </c>
      <c r="DF175" s="293" t="str">
        <f t="shared" si="194"/>
        <v>Buffer and Action Plan</v>
      </c>
      <c r="DG175" s="299">
        <f t="shared" si="195"/>
        <v>0.75662893612550819</v>
      </c>
      <c r="DH175" s="293" t="str">
        <f t="shared" si="196"/>
        <v>Buffer and Action Plan</v>
      </c>
    </row>
    <row r="176" spans="1:112" ht="15" thickTop="1" thickBot="1">
      <c r="A176" s="38" t="s">
        <v>462</v>
      </c>
      <c r="B176" s="38" t="s">
        <v>463</v>
      </c>
      <c r="C176" s="38" t="s">
        <v>462</v>
      </c>
      <c r="D176" s="38" t="s">
        <v>119</v>
      </c>
      <c r="E176" s="38" t="str">
        <f>VLOOKUP(C176,PoliticalControl!A:K,11,FALSE)</f>
        <v>CON</v>
      </c>
      <c r="F176" s="38" t="str">
        <f>VLOOKUP(C176,UrbanRuralClassification!A:N,13,FALSE)</f>
        <v xml:space="preserve">Largely Rural (rural including hub towns 50-79%) </v>
      </c>
      <c r="G176" s="38" t="str">
        <f>VLOOKUP(C176,UrbanRuralClassification!A:N,14,FALSE)</f>
        <v>Predominantly Rural</v>
      </c>
      <c r="H176" s="258">
        <f>IF(ISBLANK((VLOOKUP($A176,'local-plan-data'!$C$1:$AD$566,27,FALSE)))=TRUE,"",VLOOKUP($A176,'local-plan-data'!$C$1:$AD$566,27,FALSE))</f>
        <v>43531</v>
      </c>
      <c r="I176" s="259">
        <f>VLOOKUP($A176,'local-plan-data'!$C$1:$AD$566,28,FALSE)</f>
        <v>454</v>
      </c>
      <c r="J176" s="260">
        <f t="shared" si="151"/>
        <v>454</v>
      </c>
      <c r="K176" s="259">
        <f t="shared" si="197"/>
        <v>454</v>
      </c>
      <c r="L176" s="259">
        <f t="shared" si="199"/>
        <v>454</v>
      </c>
      <c r="M176" s="259">
        <f t="shared" si="199"/>
        <v>454</v>
      </c>
      <c r="N176" s="259">
        <f t="shared" si="199"/>
        <v>454</v>
      </c>
      <c r="O176" s="259">
        <f t="shared" si="199"/>
        <v>454</v>
      </c>
      <c r="P176" s="259">
        <f t="shared" si="199"/>
        <v>454</v>
      </c>
      <c r="Q176" s="259" t="str">
        <f t="shared" si="199"/>
        <v>-</v>
      </c>
      <c r="R176" s="259" t="str">
        <f t="shared" si="199"/>
        <v>-</v>
      </c>
      <c r="S176" s="259">
        <f t="shared" si="198"/>
        <v>2167</v>
      </c>
      <c r="T176" s="259">
        <f t="shared" si="200"/>
        <v>1802</v>
      </c>
      <c r="U176" s="259">
        <f t="shared" si="200"/>
        <v>1436</v>
      </c>
      <c r="V176" s="259">
        <f t="shared" si="200"/>
        <v>1071</v>
      </c>
      <c r="W176" s="259">
        <f t="shared" si="200"/>
        <v>706</v>
      </c>
      <c r="X176" s="259">
        <f t="shared" si="200"/>
        <v>341</v>
      </c>
      <c r="Y176" s="259">
        <f t="shared" si="200"/>
        <v>-25</v>
      </c>
      <c r="Z176" s="259">
        <f t="shared" si="200"/>
        <v>-390</v>
      </c>
      <c r="AA176" s="267">
        <f>(VLOOKUP(A176,Hshldprojections2014!$A$2:$AW$319,40, FALSE)-VLOOKUP(A176,Hshldprojections2014!$A$2:$AW$319,30, FALSE))/10</f>
        <v>413.2</v>
      </c>
      <c r="AB176" s="267">
        <f>(VLOOKUP(A176,Hshldprojections2014!$A$2:$AW$319,41, FALSE)-VLOOKUP(A176,Hshldprojections2014!$A$2:$AW$319,31, FALSE))/10</f>
        <v>400.6</v>
      </c>
      <c r="AC176" s="267">
        <f>(VLOOKUP(A176,Hshldprojections2014!$A$2:$AW$319,42, FALSE)-VLOOKUP(A176,Hshldprojections2014!$A$2:$AW$319,32, FALSE))/10</f>
        <v>393.1</v>
      </c>
      <c r="AD176" s="267">
        <f>IF(IndividualLATest!$J$7=2014,(VLOOKUP($A176,Hshldprojections2014!$A$2:$AY$326,43,FALSE)-VLOOKUP($A176,Hshldprojections2014!$A$2:$AY$326,33,FALSE))/10,IF(IndividualLATest!$J$7=2016,(VLOOKUP($A176,Hshldprojections2016!$A$1:$AQ$322,33,FALSE)-VLOOKUP($A176,Hshldprojections2016!$A$1:$AQ$322,23,FALSE))/10,(VLOOKUP($A176,Hshldprojections2018!$A$1:$AQ$327,33,FALSE)-VLOOKUP($A176,Hshldprojections2018!$A$1:$AQ$327,23,FALSE))/10))</f>
        <v>430.1</v>
      </c>
      <c r="AE176" s="267">
        <f>IF(IndividualLATest!$J$7=2014,(VLOOKUP($A176,Hshldprojections2014!$A$2:$AY$326,44,FALSE)-VLOOKUP($A176,Hshldprojections2014!$A$2:$AY$326,34,FALSE))/10,IF(IndividualLATest!$J$7=2016,(VLOOKUP($A176,Hshldprojections2016!$A$1:$AQ$322,34,FALSE)-VLOOKUP($A176,Hshldprojections2016!$A$1:$AQ$322,24,FALSE))/10,(VLOOKUP($A176,Hshldprojections2018!$A$1:$AQ$327,34,FALSE)-VLOOKUP($A176,Hshldprojections2018!$A$1:$AQ$327,24,FALSE))/10))</f>
        <v>418.8</v>
      </c>
      <c r="AF176" s="267">
        <f>IF(IndividualLATest!$J$7=2014,(VLOOKUP($A176,Hshldprojections2014!$A$2:$AY$326,45,FALSE)-VLOOKUP($A176,Hshldprojections2014!$A$2:$AY$326,35,FALSE))/10,IF(IndividualLATest!$J$7=2016,(VLOOKUP($A176,Hshldprojections2016!$A$1:$AQ$322,35,FALSE)-VLOOKUP($A176,Hshldprojections2016!$A$1:$AQ$322,25,FALSE))/10,(VLOOKUP($A176,Hshldprojections2018!$A$1:$AQ$327,35,FALSE)-VLOOKUP($A176,Hshldprojections2018!$A$1:$AQ$327,25,FALSE))/10))</f>
        <v>411.2</v>
      </c>
      <c r="AG176" s="267">
        <f>IF(IndividualLATest!$J$7=2014,(VLOOKUP($A176,Hshldprojections2014!$A$2:$AY$326,46,FALSE)-VLOOKUP($A176,Hshldprojections2014!$A$2:$AY$326,36,FALSE))/10,IF(IndividualLATest!$J$7=2016,(VLOOKUP($A176,Hshldprojections2016!$A$1:$AQ$322,36,FALSE)-VLOOKUP($A176,Hshldprojections2016!$A$1:$AQ$322,26,FALSE))/10,(VLOOKUP($A176,Hshldprojections2018!$A$1:$AQ$327,36,FALSE)-VLOOKUP($A176,Hshldprojections2018!$A$1:$AQ$327,26,FALSE))/10))</f>
        <v>403.9</v>
      </c>
      <c r="AH176" s="267">
        <f>IF(IndividualLATest!$J$7=2014,(VLOOKUP($A176,Hshldprojections2014!$A$2:$AY$326,47,FALSE)-VLOOKUP($A176,Hshldprojections2014!$A$2:$AY$326,37,FALSE))/10,IF(IndividualLATest!$J$7=2016,(VLOOKUP($A176,Hshldprojections2016!$A$1:$AQ$322,37,FALSE)-VLOOKUP($A176,Hshldprojections2016!$A$1:$AQ$322,27,FALSE))/10,(VLOOKUP($A176,Hshldprojections2018!$A$1:$AQ$327,37,FALSE)-VLOOKUP($A176,Hshldprojections2018!$A$1:$AQ$327,27,FALSE))/10))</f>
        <v>400.1</v>
      </c>
      <c r="AI176" s="268">
        <f>VLOOKUP($A176,AffordabilityRatio!$A$2:$I$321,5,FALSE)</f>
        <v>7.28</v>
      </c>
      <c r="AJ176" s="268">
        <f>VLOOKUP($A176,AffordabilityRatio!$A$2:$I$321,6,FALSE)</f>
        <v>7.77</v>
      </c>
      <c r="AK176" s="268">
        <f>VLOOKUP($A176,AffordabilityRatio!$A$2:$I$321,7,FALSE)</f>
        <v>8.1199999999999992</v>
      </c>
      <c r="AL176" s="268">
        <f>IF((VLOOKUP($A176,AffordabilityRatio!$A$2:$I$321,8,FALSE))="",AK176,VLOOKUP($A176,AffordabilityRatio!$A$2:$I$321,8,FALSE))</f>
        <v>7.29</v>
      </c>
      <c r="AM176" s="268">
        <f>IF((VLOOKUP($A176,AffordabilityRatio!$A$2:$I$321,9,FALSE))="",AL176,VLOOKUP($A176,AffordabilityRatio!$A$2:$I$321,9,FALSE))</f>
        <v>7.99</v>
      </c>
      <c r="AN176" s="268">
        <f>IF((VLOOKUP($A176,AffordabilityRatio!$A$2:$I$321,9,FALSE))="",AM176,VLOOKUP($A176,AffordabilityRatio!$A$2:$I$321,9,FALSE))</f>
        <v>7.99</v>
      </c>
      <c r="AO176" s="268">
        <f>IF((VLOOKUP($A176,AffordabilityRatio!$A$2:$I$321,9,FALSE))="",AN176,VLOOKUP($A176,AffordabilityRatio!$A$2:$I$321,9,FALSE))</f>
        <v>7.99</v>
      </c>
      <c r="AP176" s="268">
        <f>IF((VLOOKUP($A176,AffordabilityRatio!$A$2:$I$321,9,FALSE))="",AO176,VLOOKUP($A176,AffordabilityRatio!$A$2:$I$321,9,FALSE))</f>
        <v>7.99</v>
      </c>
      <c r="AQ176" s="267">
        <f t="shared" si="152"/>
        <v>498</v>
      </c>
      <c r="AR176" s="267">
        <f t="shared" si="153"/>
        <v>495</v>
      </c>
      <c r="AS176" s="267">
        <f t="shared" si="154"/>
        <v>494</v>
      </c>
      <c r="AT176" s="267">
        <f t="shared" si="155"/>
        <v>519</v>
      </c>
      <c r="AU176" s="267">
        <f t="shared" si="156"/>
        <v>523</v>
      </c>
      <c r="AV176" s="267">
        <f t="shared" si="157"/>
        <v>514</v>
      </c>
      <c r="AW176" s="267">
        <f t="shared" si="158"/>
        <v>505</v>
      </c>
      <c r="AX176" s="267">
        <f t="shared" si="159"/>
        <v>500</v>
      </c>
      <c r="AY176" s="267">
        <f t="shared" si="160"/>
        <v>498</v>
      </c>
      <c r="AZ176" s="267">
        <f t="shared" si="161"/>
        <v>495</v>
      </c>
      <c r="BA176" s="267">
        <f t="shared" si="162"/>
        <v>494</v>
      </c>
      <c r="BB176" s="267">
        <f t="shared" si="163"/>
        <v>519</v>
      </c>
      <c r="BC176" s="267">
        <f t="shared" si="164"/>
        <v>523</v>
      </c>
      <c r="BD176" s="267">
        <f t="shared" si="165"/>
        <v>514</v>
      </c>
      <c r="BE176" s="267">
        <f t="shared" si="166"/>
        <v>505</v>
      </c>
      <c r="BF176" s="267">
        <f t="shared" si="167"/>
        <v>500</v>
      </c>
      <c r="BG176" s="269">
        <f>AY176*VLOOKUP($B176,'Major Cities &amp; Towns'!$A$28:$B$345,2,FALSE)</f>
        <v>498</v>
      </c>
      <c r="BH176" s="269">
        <f>AZ176*VLOOKUP($B176,'Major Cities &amp; Towns'!$A$28:$B$345,2,FALSE)</f>
        <v>495</v>
      </c>
      <c r="BI176" s="269">
        <f>BA176*VLOOKUP($B176,'Major Cities &amp; Towns'!$A$28:$B$345,2,FALSE)</f>
        <v>494</v>
      </c>
      <c r="BJ176" s="269">
        <f>BB176*VLOOKUP($B176,'Major Cities &amp; Towns'!$A$28:$B$345,2,FALSE)</f>
        <v>519</v>
      </c>
      <c r="BK176" s="269">
        <f>BC176*VLOOKUP($B176,'Major Cities &amp; Towns'!$A$28:$B$345,2,FALSE)</f>
        <v>523</v>
      </c>
      <c r="BL176" s="269">
        <f>BD176*VLOOKUP($B176,'Major Cities &amp; Towns'!$A$28:$B$345,2,FALSE)</f>
        <v>514</v>
      </c>
      <c r="BM176" s="269">
        <f>BE176*VLOOKUP($B176,'Major Cities &amp; Towns'!$A$28:$B$345,2,FALSE)</f>
        <v>505</v>
      </c>
      <c r="BN176" s="269">
        <f>BF176*VLOOKUP($B176,'Major Cities &amp; Towns'!$A$28:$B$345,2,FALSE)</f>
        <v>500</v>
      </c>
      <c r="BO176" s="270">
        <f t="shared" si="168"/>
        <v>454</v>
      </c>
      <c r="BP176" s="270">
        <f t="shared" si="169"/>
        <v>454</v>
      </c>
      <c r="BQ176" s="270">
        <f t="shared" si="170"/>
        <v>454</v>
      </c>
      <c r="BR176" s="270">
        <f t="shared" si="171"/>
        <v>454</v>
      </c>
      <c r="BS176" s="270">
        <f t="shared" si="172"/>
        <v>454</v>
      </c>
      <c r="BT176" s="270">
        <f t="shared" si="173"/>
        <v>457.94520547945206</v>
      </c>
      <c r="BU176" s="270">
        <f t="shared" si="174"/>
        <v>505</v>
      </c>
      <c r="BV176" s="270">
        <f t="shared" si="175"/>
        <v>500</v>
      </c>
      <c r="BW176" s="39">
        <f>VLOOKUP($A176,NetAdditions!$A$2:$H$336,6,FALSE)</f>
        <v>654</v>
      </c>
      <c r="BX176" s="39">
        <f>VLOOKUP($A176,NetAdditions!$A$2:$H$336,7,FALSE)</f>
        <v>555</v>
      </c>
      <c r="BY176" s="39">
        <f>IF((VLOOKUP($C176,NetAdditions!$A$2:$H$336,8,FALSE))="",(AVERAGE(VLOOKUP($C176,NetAdditions!$A$2:$H$336,5,FALSE),VLOOKUP($C176,NetAdditions!$A$2:$H$336,6,FALSE),VLOOKUP($C176,NetAdditions!$A$2:$H$336,7,FALSE))),VLOOKUP($C176,NetAdditions!$A$2:$H$336,8,FALSE))</f>
        <v>767</v>
      </c>
      <c r="BZ176" s="39">
        <f t="shared" si="176"/>
        <v>658.66666666666663</v>
      </c>
      <c r="CA176" s="39">
        <f t="shared" si="177"/>
        <v>660.22222222222217</v>
      </c>
      <c r="CB176" s="39">
        <f t="shared" si="178"/>
        <v>695.29629629629619</v>
      </c>
      <c r="CC176" s="39">
        <f t="shared" si="179"/>
        <v>671.39506172839492</v>
      </c>
      <c r="CD176" s="39">
        <f t="shared" si="180"/>
        <v>675.63786008230443</v>
      </c>
      <c r="CE176" s="276">
        <f t="shared" si="137"/>
        <v>1362</v>
      </c>
      <c r="CF176" s="276">
        <f t="shared" si="138"/>
        <v>1362</v>
      </c>
      <c r="CG176" s="276">
        <f t="shared" si="139"/>
        <v>1362</v>
      </c>
      <c r="CH176" s="276">
        <f t="shared" si="140"/>
        <v>1365.9452054794519</v>
      </c>
      <c r="CI176" s="276">
        <f t="shared" si="141"/>
        <v>1416.9452054794519</v>
      </c>
      <c r="CJ176" s="276">
        <f t="shared" si="142"/>
        <v>1462.9452054794519</v>
      </c>
      <c r="CK176" s="276">
        <f t="shared" si="181"/>
        <v>1172.8333333333335</v>
      </c>
      <c r="CL176" s="276">
        <f t="shared" si="182"/>
        <v>1172.8333333333335</v>
      </c>
      <c r="CM176" s="276">
        <f t="shared" si="183"/>
        <v>1248.5</v>
      </c>
      <c r="CN176" s="276">
        <f t="shared" si="184"/>
        <v>1365.9452054794519</v>
      </c>
      <c r="CO176" s="276">
        <f t="shared" si="185"/>
        <v>1416.9452054794519</v>
      </c>
      <c r="CP176" s="276">
        <f t="shared" si="186"/>
        <v>1462.9452054794519</v>
      </c>
      <c r="CQ176" s="39">
        <f t="shared" si="143"/>
        <v>1976</v>
      </c>
      <c r="CR176" s="39">
        <f t="shared" si="144"/>
        <v>1980.6666666666665</v>
      </c>
      <c r="CS176" s="277">
        <f t="shared" si="145"/>
        <v>2085.8888888888887</v>
      </c>
      <c r="CT176" s="39">
        <f t="shared" si="146"/>
        <v>2014.1851851851848</v>
      </c>
      <c r="CU176" s="39">
        <f t="shared" si="147"/>
        <v>2026.9135802469132</v>
      </c>
      <c r="CV176" s="39">
        <f t="shared" si="187"/>
        <v>2042.3292181069955</v>
      </c>
      <c r="CW176" s="297">
        <f t="shared" si="148"/>
        <v>1.6848088674150914</v>
      </c>
      <c r="CX176" s="279" t="str">
        <f t="shared" si="188"/>
        <v>Pass</v>
      </c>
      <c r="CY176" s="278">
        <f t="shared" si="149"/>
        <v>1.6887878357254509</v>
      </c>
      <c r="CZ176" s="279" t="str">
        <f t="shared" si="189"/>
        <v>Pass</v>
      </c>
      <c r="DA176" s="278">
        <f t="shared" si="150"/>
        <v>1.6707159702754415</v>
      </c>
      <c r="DB176" s="292" t="str">
        <f t="shared" si="190"/>
        <v>Pass</v>
      </c>
      <c r="DC176" s="299">
        <f t="shared" si="191"/>
        <v>1.4745724624277283</v>
      </c>
      <c r="DD176" s="293" t="str">
        <f t="shared" si="192"/>
        <v>Pass</v>
      </c>
      <c r="DE176" s="299">
        <f t="shared" si="193"/>
        <v>1.4304812722529141</v>
      </c>
      <c r="DF176" s="293" t="str">
        <f t="shared" si="194"/>
        <v>Pass</v>
      </c>
      <c r="DG176" s="299">
        <f t="shared" si="195"/>
        <v>1.3960394486802816</v>
      </c>
      <c r="DH176" s="293" t="str">
        <f t="shared" si="196"/>
        <v>Pass</v>
      </c>
    </row>
    <row r="177" spans="1:112" ht="15" thickTop="1" thickBot="1">
      <c r="A177" s="38" t="s">
        <v>464</v>
      </c>
      <c r="B177" s="38" t="s">
        <v>465</v>
      </c>
      <c r="C177" s="38" t="s">
        <v>464</v>
      </c>
      <c r="D177" s="38" t="s">
        <v>259</v>
      </c>
      <c r="E177" s="38" t="str">
        <f>VLOOKUP(C177,PoliticalControl!A:K,11,FALSE)</f>
        <v>LAB</v>
      </c>
      <c r="F177" s="38" t="str">
        <f>VLOOKUP(C177,UrbanRuralClassification!A:N,13,FALSE)</f>
        <v>Urban with Major Conurbation</v>
      </c>
      <c r="G177" s="38" t="str">
        <f>VLOOKUP(C177,UrbanRuralClassification!A:N,14,FALSE)</f>
        <v>Predominantly Urban</v>
      </c>
      <c r="H177" s="258">
        <f>IF(ISBLANK((VLOOKUP($A177,'local-plan-data'!$C$1:$AD$566,27,FALSE)))=TRUE,"",VLOOKUP($A177,'local-plan-data'!$C$1:$AD$566,27,FALSE))</f>
        <v>42089</v>
      </c>
      <c r="I177" s="259">
        <f>VLOOKUP($A177,'local-plan-data'!$C$1:$AD$566,28,FALSE)</f>
        <v>850</v>
      </c>
      <c r="J177" s="260">
        <f t="shared" si="151"/>
        <v>850</v>
      </c>
      <c r="K177" s="259">
        <f t="shared" si="197"/>
        <v>850</v>
      </c>
      <c r="L177" s="259">
        <f t="shared" si="199"/>
        <v>850</v>
      </c>
      <c r="M177" s="259" t="str">
        <f t="shared" si="199"/>
        <v>-</v>
      </c>
      <c r="N177" s="259" t="str">
        <f t="shared" si="199"/>
        <v>-</v>
      </c>
      <c r="O177" s="259" t="str">
        <f t="shared" si="199"/>
        <v>-</v>
      </c>
      <c r="P177" s="259" t="str">
        <f t="shared" si="199"/>
        <v>-</v>
      </c>
      <c r="Q177" s="259" t="str">
        <f t="shared" si="199"/>
        <v>-</v>
      </c>
      <c r="R177" s="259" t="str">
        <f t="shared" si="199"/>
        <v>-</v>
      </c>
      <c r="S177" s="259">
        <f t="shared" si="198"/>
        <v>725</v>
      </c>
      <c r="T177" s="259">
        <f t="shared" si="200"/>
        <v>360</v>
      </c>
      <c r="U177" s="259">
        <f t="shared" si="200"/>
        <v>-6</v>
      </c>
      <c r="V177" s="259">
        <f t="shared" si="200"/>
        <v>-371</v>
      </c>
      <c r="W177" s="259">
        <f t="shared" si="200"/>
        <v>-736</v>
      </c>
      <c r="X177" s="259">
        <f t="shared" si="200"/>
        <v>-1101</v>
      </c>
      <c r="Y177" s="259">
        <f t="shared" si="200"/>
        <v>-1467</v>
      </c>
      <c r="Z177" s="259">
        <f t="shared" si="200"/>
        <v>-1832</v>
      </c>
      <c r="AA177" s="267">
        <f>(VLOOKUP(A177,Hshldprojections2014!$A$2:$AW$319,40, FALSE)-VLOOKUP(A177,Hshldprojections2014!$A$2:$AW$319,30, FALSE))/10</f>
        <v>936.3</v>
      </c>
      <c r="AB177" s="267">
        <f>(VLOOKUP(A177,Hshldprojections2014!$A$2:$AW$319,41, FALSE)-VLOOKUP(A177,Hshldprojections2014!$A$2:$AW$319,31, FALSE))/10</f>
        <v>933.1</v>
      </c>
      <c r="AC177" s="267">
        <f>(VLOOKUP(A177,Hshldprojections2014!$A$2:$AW$319,42, FALSE)-VLOOKUP(A177,Hshldprojections2014!$A$2:$AW$319,32, FALSE))/10</f>
        <v>936.4</v>
      </c>
      <c r="AD177" s="267">
        <f>IF(IndividualLATest!$J$7=2014,(VLOOKUP($A177,Hshldprojections2014!$A$2:$AY$326,43,FALSE)-VLOOKUP($A177,Hshldprojections2014!$A$2:$AY$326,33,FALSE))/10,IF(IndividualLATest!$J$7=2016,(VLOOKUP($A177,Hshldprojections2016!$A$1:$AQ$322,33,FALSE)-VLOOKUP($A177,Hshldprojections2016!$A$1:$AQ$322,23,FALSE))/10,(VLOOKUP($A177,Hshldprojections2018!$A$1:$AQ$327,33,FALSE)-VLOOKUP($A177,Hshldprojections2018!$A$1:$AQ$327,23,FALSE))/10))</f>
        <v>407.9</v>
      </c>
      <c r="AE177" s="267">
        <f>IF(IndividualLATest!$J$7=2014,(VLOOKUP($A177,Hshldprojections2014!$A$2:$AY$326,44,FALSE)-VLOOKUP($A177,Hshldprojections2014!$A$2:$AY$326,34,FALSE))/10,IF(IndividualLATest!$J$7=2016,(VLOOKUP($A177,Hshldprojections2016!$A$1:$AQ$322,34,FALSE)-VLOOKUP($A177,Hshldprojections2016!$A$1:$AQ$322,24,FALSE))/10,(VLOOKUP($A177,Hshldprojections2018!$A$1:$AQ$327,34,FALSE)-VLOOKUP($A177,Hshldprojections2018!$A$1:$AQ$327,24,FALSE))/10))</f>
        <v>435.4</v>
      </c>
      <c r="AF177" s="267">
        <f>IF(IndividualLATest!$J$7=2014,(VLOOKUP($A177,Hshldprojections2014!$A$2:$AY$326,45,FALSE)-VLOOKUP($A177,Hshldprojections2014!$A$2:$AY$326,35,FALSE))/10,IF(IndividualLATest!$J$7=2016,(VLOOKUP($A177,Hshldprojections2016!$A$1:$AQ$322,35,FALSE)-VLOOKUP($A177,Hshldprojections2016!$A$1:$AQ$322,25,FALSE))/10,(VLOOKUP($A177,Hshldprojections2018!$A$1:$AQ$327,35,FALSE)-VLOOKUP($A177,Hshldprojections2018!$A$1:$AQ$327,25,FALSE))/10))</f>
        <v>457</v>
      </c>
      <c r="AG177" s="267">
        <f>IF(IndividualLATest!$J$7=2014,(VLOOKUP($A177,Hshldprojections2014!$A$2:$AY$326,46,FALSE)-VLOOKUP($A177,Hshldprojections2014!$A$2:$AY$326,36,FALSE))/10,IF(IndividualLATest!$J$7=2016,(VLOOKUP($A177,Hshldprojections2016!$A$1:$AQ$322,36,FALSE)-VLOOKUP($A177,Hshldprojections2016!$A$1:$AQ$322,26,FALSE))/10,(VLOOKUP($A177,Hshldprojections2018!$A$1:$AQ$327,36,FALSE)-VLOOKUP($A177,Hshldprojections2018!$A$1:$AQ$327,26,FALSE))/10))</f>
        <v>467.7</v>
      </c>
      <c r="AH177" s="267">
        <f>IF(IndividualLATest!$J$7=2014,(VLOOKUP($A177,Hshldprojections2014!$A$2:$AY$326,47,FALSE)-VLOOKUP($A177,Hshldprojections2014!$A$2:$AY$326,37,FALSE))/10,IF(IndividualLATest!$J$7=2016,(VLOOKUP($A177,Hshldprojections2016!$A$1:$AQ$322,37,FALSE)-VLOOKUP($A177,Hshldprojections2016!$A$1:$AQ$322,27,FALSE))/10,(VLOOKUP($A177,Hshldprojections2018!$A$1:$AQ$327,37,FALSE)-VLOOKUP($A177,Hshldprojections2018!$A$1:$AQ$327,27,FALSE))/10))</f>
        <v>473.4</v>
      </c>
      <c r="AI177" s="268">
        <f>VLOOKUP($A177,AffordabilityRatio!$A$2:$I$321,5,FALSE)</f>
        <v>5.47</v>
      </c>
      <c r="AJ177" s="268">
        <f>VLOOKUP($A177,AffordabilityRatio!$A$2:$I$321,6,FALSE)</f>
        <v>5.75</v>
      </c>
      <c r="AK177" s="268">
        <f>VLOOKUP($A177,AffordabilityRatio!$A$2:$I$321,7,FALSE)</f>
        <v>5.71</v>
      </c>
      <c r="AL177" s="268">
        <f>IF((VLOOKUP($A177,AffordabilityRatio!$A$2:$I$321,8,FALSE))="",AK177,VLOOKUP($A177,AffordabilityRatio!$A$2:$I$321,8,FALSE))</f>
        <v>5.55</v>
      </c>
      <c r="AM177" s="268">
        <f>IF((VLOOKUP($A177,AffordabilityRatio!$A$2:$I$321,9,FALSE))="",AL177,VLOOKUP($A177,AffordabilityRatio!$A$2:$I$321,9,FALSE))</f>
        <v>5.9</v>
      </c>
      <c r="AN177" s="268">
        <f>IF((VLOOKUP($A177,AffordabilityRatio!$A$2:$I$321,9,FALSE))="",AM177,VLOOKUP($A177,AffordabilityRatio!$A$2:$I$321,9,FALSE))</f>
        <v>5.9</v>
      </c>
      <c r="AO177" s="268">
        <f>IF((VLOOKUP($A177,AffordabilityRatio!$A$2:$I$321,9,FALSE))="",AN177,VLOOKUP($A177,AffordabilityRatio!$A$2:$I$321,9,FALSE))</f>
        <v>5.9</v>
      </c>
      <c r="AP177" s="268">
        <f>IF((VLOOKUP($A177,AffordabilityRatio!$A$2:$I$321,9,FALSE))="",AO177,VLOOKUP($A177,AffordabilityRatio!$A$2:$I$321,9,FALSE))</f>
        <v>5.9</v>
      </c>
      <c r="AQ177" s="267">
        <f t="shared" si="152"/>
        <v>1022</v>
      </c>
      <c r="AR177" s="267">
        <f t="shared" si="153"/>
        <v>1035</v>
      </c>
      <c r="AS177" s="267">
        <f t="shared" si="154"/>
        <v>1036</v>
      </c>
      <c r="AT177" s="267">
        <f t="shared" si="155"/>
        <v>447</v>
      </c>
      <c r="AU177" s="267">
        <f t="shared" si="156"/>
        <v>487</v>
      </c>
      <c r="AV177" s="267">
        <f t="shared" si="157"/>
        <v>511</v>
      </c>
      <c r="AW177" s="267">
        <f t="shared" si="158"/>
        <v>523</v>
      </c>
      <c r="AX177" s="267">
        <f t="shared" si="159"/>
        <v>530</v>
      </c>
      <c r="AY177" s="267">
        <f t="shared" si="160"/>
        <v>1022</v>
      </c>
      <c r="AZ177" s="267">
        <f t="shared" si="161"/>
        <v>1035</v>
      </c>
      <c r="BA177" s="267">
        <f t="shared" si="162"/>
        <v>1036</v>
      </c>
      <c r="BB177" s="267">
        <f t="shared" si="163"/>
        <v>447</v>
      </c>
      <c r="BC177" s="267">
        <f t="shared" si="164"/>
        <v>487</v>
      </c>
      <c r="BD177" s="267">
        <f t="shared" si="165"/>
        <v>511</v>
      </c>
      <c r="BE177" s="267">
        <f t="shared" si="166"/>
        <v>523</v>
      </c>
      <c r="BF177" s="267">
        <f t="shared" si="167"/>
        <v>530</v>
      </c>
      <c r="BG177" s="269">
        <f>AY177*VLOOKUP($B177,'Major Cities &amp; Towns'!$A$28:$B$345,2,FALSE)</f>
        <v>1379.7</v>
      </c>
      <c r="BH177" s="269">
        <f>AZ177*VLOOKUP($B177,'Major Cities &amp; Towns'!$A$28:$B$345,2,FALSE)</f>
        <v>1397.25</v>
      </c>
      <c r="BI177" s="269">
        <f>BA177*VLOOKUP($B177,'Major Cities &amp; Towns'!$A$28:$B$345,2,FALSE)</f>
        <v>1398.6000000000001</v>
      </c>
      <c r="BJ177" s="269">
        <f>BB177*VLOOKUP($B177,'Major Cities &amp; Towns'!$A$28:$B$345,2,FALSE)</f>
        <v>603.45000000000005</v>
      </c>
      <c r="BK177" s="269">
        <f>BC177*VLOOKUP($B177,'Major Cities &amp; Towns'!$A$28:$B$345,2,FALSE)</f>
        <v>657.45</v>
      </c>
      <c r="BL177" s="269">
        <f>BD177*VLOOKUP($B177,'Major Cities &amp; Towns'!$A$28:$B$345,2,FALSE)</f>
        <v>689.85</v>
      </c>
      <c r="BM177" s="269">
        <f>BE177*VLOOKUP($B177,'Major Cities &amp; Towns'!$A$28:$B$345,2,FALSE)</f>
        <v>706.05000000000007</v>
      </c>
      <c r="BN177" s="269">
        <f>BF177*VLOOKUP($B177,'Major Cities &amp; Towns'!$A$28:$B$345,2,FALSE)</f>
        <v>715.5</v>
      </c>
      <c r="BO177" s="270">
        <f t="shared" si="168"/>
        <v>850</v>
      </c>
      <c r="BP177" s="270">
        <f t="shared" si="169"/>
        <v>852.53424657534242</v>
      </c>
      <c r="BQ177" s="270">
        <f t="shared" si="170"/>
        <v>1036</v>
      </c>
      <c r="BR177" s="270">
        <f t="shared" si="171"/>
        <v>447</v>
      </c>
      <c r="BS177" s="270">
        <f t="shared" si="172"/>
        <v>487</v>
      </c>
      <c r="BT177" s="270">
        <f t="shared" si="173"/>
        <v>511</v>
      </c>
      <c r="BU177" s="270">
        <f t="shared" si="174"/>
        <v>523</v>
      </c>
      <c r="BV177" s="270">
        <f t="shared" si="175"/>
        <v>530</v>
      </c>
      <c r="BW177" s="39">
        <f>VLOOKUP($A177,NetAdditions!$A$2:$H$336,6,FALSE)</f>
        <v>1752</v>
      </c>
      <c r="BX177" s="39">
        <f>VLOOKUP($A177,NetAdditions!$A$2:$H$336,7,FALSE)</f>
        <v>1522</v>
      </c>
      <c r="BY177" s="39">
        <f>IF((VLOOKUP($C177,NetAdditions!$A$2:$H$336,8,FALSE))="",(AVERAGE(VLOOKUP($C177,NetAdditions!$A$2:$H$336,5,FALSE),VLOOKUP($C177,NetAdditions!$A$2:$H$336,6,FALSE),VLOOKUP($C177,NetAdditions!$A$2:$H$336,7,FALSE))),VLOOKUP($C177,NetAdditions!$A$2:$H$336,8,FALSE))</f>
        <v>1268</v>
      </c>
      <c r="BZ177" s="39">
        <f t="shared" si="176"/>
        <v>1514</v>
      </c>
      <c r="CA177" s="39">
        <f t="shared" si="177"/>
        <v>1434.6666666666667</v>
      </c>
      <c r="CB177" s="39">
        <f t="shared" si="178"/>
        <v>1405.5555555555557</v>
      </c>
      <c r="CC177" s="39">
        <f t="shared" si="179"/>
        <v>1451.4074074074076</v>
      </c>
      <c r="CD177" s="39">
        <f t="shared" si="180"/>
        <v>1430.5432098765434</v>
      </c>
      <c r="CE177" s="276">
        <f t="shared" si="137"/>
        <v>2738.5342465753424</v>
      </c>
      <c r="CF177" s="276">
        <f t="shared" si="138"/>
        <v>2335.5342465753424</v>
      </c>
      <c r="CG177" s="276">
        <f t="shared" si="139"/>
        <v>1970</v>
      </c>
      <c r="CH177" s="276">
        <f t="shared" si="140"/>
        <v>1445</v>
      </c>
      <c r="CI177" s="276">
        <f t="shared" si="141"/>
        <v>1521</v>
      </c>
      <c r="CJ177" s="276">
        <f t="shared" si="142"/>
        <v>1564</v>
      </c>
      <c r="CK177" s="276">
        <f t="shared" si="181"/>
        <v>2358.1822678843228</v>
      </c>
      <c r="CL177" s="276">
        <f t="shared" si="182"/>
        <v>2011.1544901065449</v>
      </c>
      <c r="CM177" s="276">
        <f t="shared" si="183"/>
        <v>1805.8333333333333</v>
      </c>
      <c r="CN177" s="276">
        <f t="shared" si="184"/>
        <v>1445</v>
      </c>
      <c r="CO177" s="276">
        <f t="shared" si="185"/>
        <v>1521</v>
      </c>
      <c r="CP177" s="276">
        <f t="shared" si="186"/>
        <v>1564</v>
      </c>
      <c r="CQ177" s="39">
        <f t="shared" si="143"/>
        <v>4542</v>
      </c>
      <c r="CR177" s="39">
        <f t="shared" si="144"/>
        <v>4304</v>
      </c>
      <c r="CS177" s="277">
        <f t="shared" si="145"/>
        <v>4216.666666666667</v>
      </c>
      <c r="CT177" s="39">
        <f t="shared" si="146"/>
        <v>4354.2222222222226</v>
      </c>
      <c r="CU177" s="39">
        <f t="shared" si="147"/>
        <v>4291.6296296296305</v>
      </c>
      <c r="CV177" s="39">
        <f t="shared" si="187"/>
        <v>4287.5061728395067</v>
      </c>
      <c r="CW177" s="297">
        <f t="shared" si="148"/>
        <v>1.9260597714844667</v>
      </c>
      <c r="CX177" s="279" t="str">
        <f t="shared" si="188"/>
        <v>Pass</v>
      </c>
      <c r="CY177" s="278">
        <f t="shared" si="149"/>
        <v>2.1400643367640977</v>
      </c>
      <c r="CZ177" s="279" t="str">
        <f t="shared" si="189"/>
        <v>Pass</v>
      </c>
      <c r="DA177" s="278">
        <f t="shared" si="150"/>
        <v>2.3350253807106602</v>
      </c>
      <c r="DB177" s="292" t="str">
        <f t="shared" si="190"/>
        <v>Pass</v>
      </c>
      <c r="DC177" s="299">
        <f t="shared" si="191"/>
        <v>3.0133025759323342</v>
      </c>
      <c r="DD177" s="293" t="str">
        <f t="shared" si="192"/>
        <v>Pass</v>
      </c>
      <c r="DE177" s="299">
        <f t="shared" si="193"/>
        <v>2.8215842403876596</v>
      </c>
      <c r="DF177" s="293" t="str">
        <f t="shared" si="194"/>
        <v>Pass</v>
      </c>
      <c r="DG177" s="299">
        <f t="shared" si="195"/>
        <v>2.7413722332733417</v>
      </c>
      <c r="DH177" s="293" t="str">
        <f t="shared" si="196"/>
        <v>Pass</v>
      </c>
    </row>
    <row r="178" spans="1:112" ht="15" thickTop="1" thickBot="1">
      <c r="A178" s="38" t="s">
        <v>466</v>
      </c>
      <c r="B178" s="38" t="s">
        <v>467</v>
      </c>
      <c r="C178" s="38" t="s">
        <v>466</v>
      </c>
      <c r="D178" s="38" t="s">
        <v>154</v>
      </c>
      <c r="E178" s="38" t="str">
        <f>VLOOKUP(C178,PoliticalControl!A:K,11,FALSE)</f>
        <v>NOC</v>
      </c>
      <c r="F178" s="38" t="str">
        <f>VLOOKUP(C178,UrbanRuralClassification!A:N,13,FALSE)</f>
        <v>Urban with City and Town</v>
      </c>
      <c r="G178" s="38" t="str">
        <f>VLOOKUP(C178,UrbanRuralClassification!A:N,14,FALSE)</f>
        <v>Predominantly Urban</v>
      </c>
      <c r="H178" s="258">
        <f>IF(ISBLANK((VLOOKUP($A178,'local-plan-data'!$C$1:$AD$566,27,FALSE)))=TRUE,"",VLOOKUP($A178,'local-plan-data'!$C$1:$AD$566,27,FALSE))</f>
        <v>40087</v>
      </c>
      <c r="I178" s="259">
        <f>VLOOKUP($A178,'local-plan-data'!$C$1:$AD$566,28,FALSE)</f>
        <v>285</v>
      </c>
      <c r="J178" s="260">
        <f t="shared" si="151"/>
        <v>285</v>
      </c>
      <c r="K178" s="259" t="str">
        <f t="shared" si="197"/>
        <v>-</v>
      </c>
      <c r="L178" s="259" t="str">
        <f t="shared" si="199"/>
        <v>-</v>
      </c>
      <c r="M178" s="259" t="str">
        <f t="shared" si="199"/>
        <v>-</v>
      </c>
      <c r="N178" s="259" t="str">
        <f t="shared" si="199"/>
        <v>-</v>
      </c>
      <c r="O178" s="259" t="str">
        <f t="shared" si="199"/>
        <v>-</v>
      </c>
      <c r="P178" s="259" t="str">
        <f t="shared" si="199"/>
        <v>-</v>
      </c>
      <c r="Q178" s="259" t="str">
        <f t="shared" si="199"/>
        <v>-</v>
      </c>
      <c r="R178" s="259" t="str">
        <f t="shared" si="199"/>
        <v>-</v>
      </c>
      <c r="S178" s="259">
        <f t="shared" si="198"/>
        <v>-1278</v>
      </c>
      <c r="T178" s="259">
        <f t="shared" si="200"/>
        <v>-1643</v>
      </c>
      <c r="U178" s="259">
        <f t="shared" si="200"/>
        <v>-2009</v>
      </c>
      <c r="V178" s="259">
        <f t="shared" si="200"/>
        <v>-2374</v>
      </c>
      <c r="W178" s="259">
        <f t="shared" si="200"/>
        <v>-2739</v>
      </c>
      <c r="X178" s="259">
        <f t="shared" si="200"/>
        <v>-3104</v>
      </c>
      <c r="Y178" s="259">
        <f t="shared" si="200"/>
        <v>-3470</v>
      </c>
      <c r="Z178" s="259">
        <f t="shared" si="200"/>
        <v>-3835</v>
      </c>
      <c r="AA178" s="267">
        <f>(VLOOKUP(A178,Hshldprojections2014!$A$2:$AW$319,40, FALSE)-VLOOKUP(A178,Hshldprojections2014!$A$2:$AW$319,30, FALSE))/10</f>
        <v>314.60000000000002</v>
      </c>
      <c r="AB178" s="267">
        <f>(VLOOKUP(A178,Hshldprojections2014!$A$2:$AW$319,41, FALSE)-VLOOKUP(A178,Hshldprojections2014!$A$2:$AW$319,31, FALSE))/10</f>
        <v>313</v>
      </c>
      <c r="AC178" s="267">
        <f>(VLOOKUP(A178,Hshldprojections2014!$A$2:$AW$319,42, FALSE)-VLOOKUP(A178,Hshldprojections2014!$A$2:$AW$319,32, FALSE))/10</f>
        <v>312.5</v>
      </c>
      <c r="AD178" s="267">
        <f>IF(IndividualLATest!$J$7=2014,(VLOOKUP($A178,Hshldprojections2014!$A$2:$AY$326,43,FALSE)-VLOOKUP($A178,Hshldprojections2014!$A$2:$AY$326,33,FALSE))/10,IF(IndividualLATest!$J$7=2016,(VLOOKUP($A178,Hshldprojections2016!$A$1:$AQ$322,33,FALSE)-VLOOKUP($A178,Hshldprojections2016!$A$1:$AQ$322,23,FALSE))/10,(VLOOKUP($A178,Hshldprojections2018!$A$1:$AQ$327,33,FALSE)-VLOOKUP($A178,Hshldprojections2018!$A$1:$AQ$327,23,FALSE))/10))</f>
        <v>318.60000000000002</v>
      </c>
      <c r="AE178" s="267">
        <f>IF(IndividualLATest!$J$7=2014,(VLOOKUP($A178,Hshldprojections2014!$A$2:$AY$326,44,FALSE)-VLOOKUP($A178,Hshldprojections2014!$A$2:$AY$326,34,FALSE))/10,IF(IndividualLATest!$J$7=2016,(VLOOKUP($A178,Hshldprojections2016!$A$1:$AQ$322,34,FALSE)-VLOOKUP($A178,Hshldprojections2016!$A$1:$AQ$322,24,FALSE))/10,(VLOOKUP($A178,Hshldprojections2018!$A$1:$AQ$327,34,FALSE)-VLOOKUP($A178,Hshldprojections2018!$A$1:$AQ$327,24,FALSE))/10))</f>
        <v>312.2</v>
      </c>
      <c r="AF178" s="267">
        <f>IF(IndividualLATest!$J$7=2014,(VLOOKUP($A178,Hshldprojections2014!$A$2:$AY$326,45,FALSE)-VLOOKUP($A178,Hshldprojections2014!$A$2:$AY$326,35,FALSE))/10,IF(IndividualLATest!$J$7=2016,(VLOOKUP($A178,Hshldprojections2016!$A$1:$AQ$322,35,FALSE)-VLOOKUP($A178,Hshldprojections2016!$A$1:$AQ$322,25,FALSE))/10,(VLOOKUP($A178,Hshldprojections2018!$A$1:$AQ$327,35,FALSE)-VLOOKUP($A178,Hshldprojections2018!$A$1:$AQ$327,25,FALSE))/10))</f>
        <v>309.3</v>
      </c>
      <c r="AG178" s="267">
        <f>IF(IndividualLATest!$J$7=2014,(VLOOKUP($A178,Hshldprojections2014!$A$2:$AY$326,46,FALSE)-VLOOKUP($A178,Hshldprojections2014!$A$2:$AY$326,36,FALSE))/10,IF(IndividualLATest!$J$7=2016,(VLOOKUP($A178,Hshldprojections2016!$A$1:$AQ$322,36,FALSE)-VLOOKUP($A178,Hshldprojections2016!$A$1:$AQ$322,26,FALSE))/10,(VLOOKUP($A178,Hshldprojections2018!$A$1:$AQ$327,36,FALSE)-VLOOKUP($A178,Hshldprojections2018!$A$1:$AQ$327,26,FALSE))/10))</f>
        <v>305.2</v>
      </c>
      <c r="AH178" s="267">
        <f>IF(IndividualLATest!$J$7=2014,(VLOOKUP($A178,Hshldprojections2014!$A$2:$AY$326,47,FALSE)-VLOOKUP($A178,Hshldprojections2014!$A$2:$AY$326,37,FALSE))/10,IF(IndividualLATest!$J$7=2016,(VLOOKUP($A178,Hshldprojections2016!$A$1:$AQ$322,37,FALSE)-VLOOKUP($A178,Hshldprojections2016!$A$1:$AQ$322,27,FALSE))/10,(VLOOKUP($A178,Hshldprojections2018!$A$1:$AQ$327,37,FALSE)-VLOOKUP($A178,Hshldprojections2018!$A$1:$AQ$327,27,FALSE))/10))</f>
        <v>299.2</v>
      </c>
      <c r="AI178" s="268">
        <f>VLOOKUP($A178,AffordabilityRatio!$A$2:$I$321,5,FALSE)</f>
        <v>5.51</v>
      </c>
      <c r="AJ178" s="268">
        <f>VLOOKUP($A178,AffordabilityRatio!$A$2:$I$321,6,FALSE)</f>
        <v>5.83</v>
      </c>
      <c r="AK178" s="268">
        <f>VLOOKUP($A178,AffordabilityRatio!$A$2:$I$321,7,FALSE)</f>
        <v>6.18</v>
      </c>
      <c r="AL178" s="268">
        <f>IF((VLOOKUP($A178,AffordabilityRatio!$A$2:$I$321,8,FALSE))="",AK178,VLOOKUP($A178,AffordabilityRatio!$A$2:$I$321,8,FALSE))</f>
        <v>6.02</v>
      </c>
      <c r="AM178" s="268">
        <f>IF((VLOOKUP($A178,AffordabilityRatio!$A$2:$I$321,9,FALSE))="",AL178,VLOOKUP($A178,AffordabilityRatio!$A$2:$I$321,9,FALSE))</f>
        <v>6.38</v>
      </c>
      <c r="AN178" s="268">
        <f>IF((VLOOKUP($A178,AffordabilityRatio!$A$2:$I$321,9,FALSE))="",AM178,VLOOKUP($A178,AffordabilityRatio!$A$2:$I$321,9,FALSE))</f>
        <v>6.38</v>
      </c>
      <c r="AO178" s="268">
        <f>IF((VLOOKUP($A178,AffordabilityRatio!$A$2:$I$321,9,FALSE))="",AN178,VLOOKUP($A178,AffordabilityRatio!$A$2:$I$321,9,FALSE))</f>
        <v>6.38</v>
      </c>
      <c r="AP178" s="268">
        <f>IF((VLOOKUP($A178,AffordabilityRatio!$A$2:$I$321,9,FALSE))="",AO178,VLOOKUP($A178,AffordabilityRatio!$A$2:$I$321,9,FALSE))</f>
        <v>6.38</v>
      </c>
      <c r="AQ178" s="267">
        <f t="shared" si="152"/>
        <v>344</v>
      </c>
      <c r="AR178" s="267">
        <f t="shared" si="153"/>
        <v>349</v>
      </c>
      <c r="AS178" s="267">
        <f t="shared" si="154"/>
        <v>355</v>
      </c>
      <c r="AT178" s="267">
        <f t="shared" si="155"/>
        <v>359</v>
      </c>
      <c r="AU178" s="267">
        <f t="shared" si="156"/>
        <v>359</v>
      </c>
      <c r="AV178" s="267">
        <f t="shared" si="157"/>
        <v>355</v>
      </c>
      <c r="AW178" s="267">
        <f t="shared" si="158"/>
        <v>351</v>
      </c>
      <c r="AX178" s="267">
        <f t="shared" si="159"/>
        <v>344</v>
      </c>
      <c r="AY178" s="267">
        <f t="shared" si="160"/>
        <v>344</v>
      </c>
      <c r="AZ178" s="267">
        <f t="shared" si="161"/>
        <v>349</v>
      </c>
      <c r="BA178" s="267">
        <f t="shared" si="162"/>
        <v>355</v>
      </c>
      <c r="BB178" s="267">
        <f t="shared" si="163"/>
        <v>359</v>
      </c>
      <c r="BC178" s="267">
        <f t="shared" si="164"/>
        <v>359</v>
      </c>
      <c r="BD178" s="267">
        <f t="shared" si="165"/>
        <v>355</v>
      </c>
      <c r="BE178" s="267">
        <f t="shared" si="166"/>
        <v>351</v>
      </c>
      <c r="BF178" s="267">
        <f t="shared" si="167"/>
        <v>344</v>
      </c>
      <c r="BG178" s="269">
        <f>AY178*VLOOKUP($B178,'Major Cities &amp; Towns'!$A$28:$B$345,2,FALSE)</f>
        <v>344</v>
      </c>
      <c r="BH178" s="269">
        <f>AZ178*VLOOKUP($B178,'Major Cities &amp; Towns'!$A$28:$B$345,2,FALSE)</f>
        <v>349</v>
      </c>
      <c r="BI178" s="269">
        <f>BA178*VLOOKUP($B178,'Major Cities &amp; Towns'!$A$28:$B$345,2,FALSE)</f>
        <v>355</v>
      </c>
      <c r="BJ178" s="269">
        <f>BB178*VLOOKUP($B178,'Major Cities &amp; Towns'!$A$28:$B$345,2,FALSE)</f>
        <v>359</v>
      </c>
      <c r="BK178" s="269">
        <f>BC178*VLOOKUP($B178,'Major Cities &amp; Towns'!$A$28:$B$345,2,FALSE)</f>
        <v>359</v>
      </c>
      <c r="BL178" s="269">
        <f>BD178*VLOOKUP($B178,'Major Cities &amp; Towns'!$A$28:$B$345,2,FALSE)</f>
        <v>355</v>
      </c>
      <c r="BM178" s="269">
        <f>BE178*VLOOKUP($B178,'Major Cities &amp; Towns'!$A$28:$B$345,2,FALSE)</f>
        <v>351</v>
      </c>
      <c r="BN178" s="269">
        <f>BF178*VLOOKUP($B178,'Major Cities &amp; Towns'!$A$28:$B$345,2,FALSE)</f>
        <v>344</v>
      </c>
      <c r="BO178" s="270">
        <f t="shared" si="168"/>
        <v>344</v>
      </c>
      <c r="BP178" s="270">
        <f t="shared" si="169"/>
        <v>349</v>
      </c>
      <c r="BQ178" s="270">
        <f t="shared" si="170"/>
        <v>355</v>
      </c>
      <c r="BR178" s="270">
        <f t="shared" si="171"/>
        <v>359</v>
      </c>
      <c r="BS178" s="270">
        <f t="shared" si="172"/>
        <v>359</v>
      </c>
      <c r="BT178" s="270">
        <f t="shared" si="173"/>
        <v>355</v>
      </c>
      <c r="BU178" s="270">
        <f t="shared" si="174"/>
        <v>351</v>
      </c>
      <c r="BV178" s="270">
        <f t="shared" si="175"/>
        <v>344</v>
      </c>
      <c r="BW178" s="39">
        <f>VLOOKUP($A178,NetAdditions!$A$2:$H$336,6,FALSE)</f>
        <v>238</v>
      </c>
      <c r="BX178" s="39">
        <f>VLOOKUP($A178,NetAdditions!$A$2:$H$336,7,FALSE)</f>
        <v>320</v>
      </c>
      <c r="BY178" s="39">
        <f>IF((VLOOKUP($C178,NetAdditions!$A$2:$H$336,8,FALSE))="",(AVERAGE(VLOOKUP($C178,NetAdditions!$A$2:$H$336,5,FALSE),VLOOKUP($C178,NetAdditions!$A$2:$H$336,6,FALSE),VLOOKUP($C178,NetAdditions!$A$2:$H$336,7,FALSE))),VLOOKUP($C178,NetAdditions!$A$2:$H$336,8,FALSE))</f>
        <v>630</v>
      </c>
      <c r="BZ178" s="39">
        <f t="shared" si="176"/>
        <v>396</v>
      </c>
      <c r="CA178" s="39">
        <f t="shared" si="177"/>
        <v>448.66666666666669</v>
      </c>
      <c r="CB178" s="39">
        <f t="shared" si="178"/>
        <v>491.5555555555556</v>
      </c>
      <c r="CC178" s="39">
        <f t="shared" si="179"/>
        <v>445.40740740740745</v>
      </c>
      <c r="CD178" s="39">
        <f t="shared" si="180"/>
        <v>461.87654320987662</v>
      </c>
      <c r="CE178" s="276">
        <f t="shared" si="137"/>
        <v>1048</v>
      </c>
      <c r="CF178" s="276">
        <f t="shared" si="138"/>
        <v>1063</v>
      </c>
      <c r="CG178" s="276">
        <f t="shared" si="139"/>
        <v>1073</v>
      </c>
      <c r="CH178" s="276">
        <f t="shared" si="140"/>
        <v>1073</v>
      </c>
      <c r="CI178" s="276">
        <f t="shared" si="141"/>
        <v>1065</v>
      </c>
      <c r="CJ178" s="276">
        <f t="shared" si="142"/>
        <v>1050</v>
      </c>
      <c r="CK178" s="276">
        <f t="shared" si="181"/>
        <v>902.44444444444446</v>
      </c>
      <c r="CL178" s="276">
        <f t="shared" si="182"/>
        <v>915.3611111111112</v>
      </c>
      <c r="CM178" s="276">
        <f t="shared" si="183"/>
        <v>983.58333333333326</v>
      </c>
      <c r="CN178" s="276">
        <f t="shared" si="184"/>
        <v>1073</v>
      </c>
      <c r="CO178" s="276">
        <f t="shared" si="185"/>
        <v>1065</v>
      </c>
      <c r="CP178" s="276">
        <f t="shared" si="186"/>
        <v>1050</v>
      </c>
      <c r="CQ178" s="39">
        <f t="shared" si="143"/>
        <v>1188</v>
      </c>
      <c r="CR178" s="39">
        <f t="shared" si="144"/>
        <v>1346</v>
      </c>
      <c r="CS178" s="277">
        <f t="shared" si="145"/>
        <v>1474.6666666666667</v>
      </c>
      <c r="CT178" s="39">
        <f t="shared" si="146"/>
        <v>1336.2222222222224</v>
      </c>
      <c r="CU178" s="39">
        <f t="shared" si="147"/>
        <v>1385.6296296296298</v>
      </c>
      <c r="CV178" s="39">
        <f t="shared" si="187"/>
        <v>1398.8395061728397</v>
      </c>
      <c r="CW178" s="297">
        <f t="shared" si="148"/>
        <v>1.316424525978823</v>
      </c>
      <c r="CX178" s="279" t="str">
        <f t="shared" si="188"/>
        <v>Pass</v>
      </c>
      <c r="CY178" s="278">
        <f t="shared" si="149"/>
        <v>1.4704579249233756</v>
      </c>
      <c r="CZ178" s="279" t="str">
        <f t="shared" si="189"/>
        <v>Pass</v>
      </c>
      <c r="DA178" s="278">
        <f t="shared" si="150"/>
        <v>1.4992798441074304</v>
      </c>
      <c r="DB178" s="292" t="str">
        <f t="shared" si="190"/>
        <v>Pass</v>
      </c>
      <c r="DC178" s="299">
        <f t="shared" si="191"/>
        <v>1.2453142797970387</v>
      </c>
      <c r="DD178" s="293" t="str">
        <f t="shared" si="192"/>
        <v>Pass</v>
      </c>
      <c r="DE178" s="299">
        <f t="shared" si="193"/>
        <v>1.301060685098244</v>
      </c>
      <c r="DF178" s="293" t="str">
        <f t="shared" si="194"/>
        <v>Pass</v>
      </c>
      <c r="DG178" s="299">
        <f t="shared" si="195"/>
        <v>1.3322281011169903</v>
      </c>
      <c r="DH178" s="293" t="str">
        <f t="shared" si="196"/>
        <v>Pass</v>
      </c>
    </row>
    <row r="179" spans="1:112" customFormat="1" ht="15.5" thickTop="1" thickBot="1">
      <c r="A179" s="3" t="s">
        <v>468</v>
      </c>
      <c r="B179" s="3" t="s">
        <v>469</v>
      </c>
      <c r="C179" s="3" t="s">
        <v>468</v>
      </c>
      <c r="D179" s="3" t="s">
        <v>131</v>
      </c>
      <c r="E179" s="3" t="str">
        <f>VLOOKUP(C179,PoliticalControl!A:K,11,FALSE)</f>
        <v>LAB</v>
      </c>
      <c r="F179" s="3" t="str">
        <f>VLOOKUP(C179,UrbanRuralClassification!A:N,13,FALSE)</f>
        <v>Urban with Major Conurbation</v>
      </c>
      <c r="G179" s="3" t="str">
        <f>VLOOKUP(C179,UrbanRuralClassification!A:N,14,FALSE)</f>
        <v>Predominantly Urban</v>
      </c>
      <c r="H179" s="262">
        <f>IF(ISBLANK((VLOOKUP($A179,'local-plan-data'!$C$1:$AD$566,27,FALSE)))=TRUE,"",VLOOKUP($A179,'local-plan-data'!$C$1:$AD$566,27,FALSE))</f>
        <v>43444</v>
      </c>
      <c r="I179" s="263">
        <f>VLOOKUP($A179,'local-plan-data'!$C$1:$AD$566,28,FALSE)</f>
        <v>2866.6666666666665</v>
      </c>
      <c r="J179" s="264">
        <f t="shared" si="151"/>
        <v>2866.6666666666665</v>
      </c>
      <c r="K179" s="259">
        <f t="shared" si="197"/>
        <v>2866.6666666666665</v>
      </c>
      <c r="L179" s="259">
        <f t="shared" si="199"/>
        <v>2866.6666666666665</v>
      </c>
      <c r="M179" s="259">
        <f t="shared" si="199"/>
        <v>2866.6666666666665</v>
      </c>
      <c r="N179" s="259">
        <f t="shared" si="199"/>
        <v>2866.6666666666665</v>
      </c>
      <c r="O179" s="259">
        <f t="shared" si="199"/>
        <v>2866.6666666666665</v>
      </c>
      <c r="P179" s="259">
        <f t="shared" si="199"/>
        <v>2866.6666666666665</v>
      </c>
      <c r="Q179" s="259" t="str">
        <f t="shared" si="199"/>
        <v>-</v>
      </c>
      <c r="R179" s="259" t="str">
        <f t="shared" si="199"/>
        <v>-</v>
      </c>
      <c r="S179" s="259">
        <f t="shared" si="198"/>
        <v>2079</v>
      </c>
      <c r="T179" s="259">
        <f t="shared" si="200"/>
        <v>1714</v>
      </c>
      <c r="U179" s="259">
        <f t="shared" si="200"/>
        <v>1348</v>
      </c>
      <c r="V179" s="259">
        <f t="shared" si="200"/>
        <v>983</v>
      </c>
      <c r="W179" s="259">
        <f t="shared" si="200"/>
        <v>618</v>
      </c>
      <c r="X179" s="259">
        <f t="shared" si="200"/>
        <v>253</v>
      </c>
      <c r="Y179" s="259">
        <f t="shared" si="200"/>
        <v>-113</v>
      </c>
      <c r="Z179" s="259">
        <f t="shared" si="200"/>
        <v>-478</v>
      </c>
      <c r="AA179" s="267">
        <f>(VLOOKUP(A179,Hshldprojections2014!$A$2:$AW$319,40, FALSE)-VLOOKUP(A179,Hshldprojections2014!$A$2:$AW$319,30, FALSE))/10</f>
        <v>2556.9</v>
      </c>
      <c r="AB179" s="267">
        <f>(VLOOKUP(A179,Hshldprojections2014!$A$2:$AW$319,41, FALSE)-VLOOKUP(A179,Hshldprojections2014!$A$2:$AW$319,31, FALSE))/10</f>
        <v>2472</v>
      </c>
      <c r="AC179" s="267">
        <f>(VLOOKUP(A179,Hshldprojections2014!$A$2:$AW$319,42, FALSE)-VLOOKUP(A179,Hshldprojections2014!$A$2:$AW$319,32, FALSE))/10</f>
        <v>2395.9</v>
      </c>
      <c r="AD179" s="267">
        <f>IF(IndividualLATest!$J$7=2014,(VLOOKUP($A179,Hshldprojections2014!$A$2:$AY$326,43,FALSE)-VLOOKUP($A179,Hshldprojections2014!$A$2:$AY$326,33,FALSE))/10,IF(IndividualLATest!$J$7=2016,(VLOOKUP($A179,Hshldprojections2016!$A$1:$AQ$322,33,FALSE)-VLOOKUP($A179,Hshldprojections2016!$A$1:$AQ$322,23,FALSE))/10,(VLOOKUP($A179,Hshldprojections2018!$A$1:$AQ$327,33,FALSE)-VLOOKUP($A179,Hshldprojections2018!$A$1:$AQ$327,23,FALSE))/10))</f>
        <v>1313.4</v>
      </c>
      <c r="AE179" s="267">
        <f>IF(IndividualLATest!$J$7=2014,(VLOOKUP($A179,Hshldprojections2014!$A$2:$AY$326,44,FALSE)-VLOOKUP($A179,Hshldprojections2014!$A$2:$AY$326,34,FALSE))/10,IF(IndividualLATest!$J$7=2016,(VLOOKUP($A179,Hshldprojections2016!$A$1:$AQ$322,34,FALSE)-VLOOKUP($A179,Hshldprojections2016!$A$1:$AQ$322,24,FALSE))/10,(VLOOKUP($A179,Hshldprojections2018!$A$1:$AQ$327,34,FALSE)-VLOOKUP($A179,Hshldprojections2018!$A$1:$AQ$327,24,FALSE))/10))</f>
        <v>1251.7</v>
      </c>
      <c r="AF179" s="267">
        <f>IF(IndividualLATest!$J$7=2014,(VLOOKUP($A179,Hshldprojections2014!$A$2:$AY$326,45,FALSE)-VLOOKUP($A179,Hshldprojections2014!$A$2:$AY$326,35,FALSE))/10,IF(IndividualLATest!$J$7=2016,(VLOOKUP($A179,Hshldprojections2016!$A$1:$AQ$322,35,FALSE)-VLOOKUP($A179,Hshldprojections2016!$A$1:$AQ$322,25,FALSE))/10,(VLOOKUP($A179,Hshldprojections2018!$A$1:$AQ$327,35,FALSE)-VLOOKUP($A179,Hshldprojections2018!$A$1:$AQ$327,25,FALSE))/10))</f>
        <v>1200.8</v>
      </c>
      <c r="AG179" s="267">
        <f>IF(IndividualLATest!$J$7=2014,(VLOOKUP($A179,Hshldprojections2014!$A$2:$AY$326,46,FALSE)-VLOOKUP($A179,Hshldprojections2014!$A$2:$AY$326,36,FALSE))/10,IF(IndividualLATest!$J$7=2016,(VLOOKUP($A179,Hshldprojections2016!$A$1:$AQ$322,36,FALSE)-VLOOKUP($A179,Hshldprojections2016!$A$1:$AQ$322,26,FALSE))/10,(VLOOKUP($A179,Hshldprojections2018!$A$1:$AQ$327,36,FALSE)-VLOOKUP($A179,Hshldprojections2018!$A$1:$AQ$327,26,FALSE))/10))</f>
        <v>1158.9000000000001</v>
      </c>
      <c r="AH179" s="267">
        <f>IF(IndividualLATest!$J$7=2014,(VLOOKUP($A179,Hshldprojections2014!$A$2:$AY$326,47,FALSE)-VLOOKUP($A179,Hshldprojections2014!$A$2:$AY$326,37,FALSE))/10,IF(IndividualLATest!$J$7=2016,(VLOOKUP($A179,Hshldprojections2016!$A$1:$AQ$322,37,FALSE)-VLOOKUP($A179,Hshldprojections2016!$A$1:$AQ$322,27,FALSE))/10,(VLOOKUP($A179,Hshldprojections2018!$A$1:$AQ$327,37,FALSE)-VLOOKUP($A179,Hshldprojections2018!$A$1:$AQ$327,27,FALSE))/10))</f>
        <v>1126.2</v>
      </c>
      <c r="AI179" s="268">
        <f>VLOOKUP($A179,AffordabilityRatio!$A$2:$I$321,5,FALSE)</f>
        <v>12.67</v>
      </c>
      <c r="AJ179" s="268">
        <f>VLOOKUP($A179,AffordabilityRatio!$A$2:$I$321,6,FALSE)</f>
        <v>13.49</v>
      </c>
      <c r="AK179" s="268">
        <f>VLOOKUP($A179,AffordabilityRatio!$A$2:$I$321,7,FALSE)</f>
        <v>12.31</v>
      </c>
      <c r="AL179" s="268">
        <f>IF((VLOOKUP($A179,AffordabilityRatio!$A$2:$I$321,8,FALSE))="",AK179,VLOOKUP($A179,AffordabilityRatio!$A$2:$I$321,8,FALSE))</f>
        <v>12.1</v>
      </c>
      <c r="AM179" s="268">
        <f>IF((VLOOKUP($A179,AffordabilityRatio!$A$2:$I$321,9,FALSE))="",AL179,VLOOKUP($A179,AffordabilityRatio!$A$2:$I$321,9,FALSE))</f>
        <v>11.72</v>
      </c>
      <c r="AN179" s="268">
        <f>IF((VLOOKUP($A179,AffordabilityRatio!$A$2:$I$321,9,FALSE))="",AM179,VLOOKUP($A179,AffordabilityRatio!$A$2:$I$321,9,FALSE))</f>
        <v>11.72</v>
      </c>
      <c r="AO179" s="268">
        <f>IF((VLOOKUP($A179,AffordabilityRatio!$A$2:$I$321,9,FALSE))="",AN179,VLOOKUP($A179,AffordabilityRatio!$A$2:$I$321,9,FALSE))</f>
        <v>11.72</v>
      </c>
      <c r="AP179" s="268">
        <f>IF((VLOOKUP($A179,AffordabilityRatio!$A$2:$I$321,9,FALSE))="",AO179,VLOOKUP($A179,AffordabilityRatio!$A$2:$I$321,9,FALSE))</f>
        <v>11.72</v>
      </c>
      <c r="AQ179" s="267">
        <f t="shared" si="152"/>
        <v>3942</v>
      </c>
      <c r="AR179" s="267">
        <f t="shared" si="153"/>
        <v>3938</v>
      </c>
      <c r="AS179" s="267">
        <f t="shared" si="154"/>
        <v>3640</v>
      </c>
      <c r="AT179" s="267">
        <f t="shared" si="155"/>
        <v>1978</v>
      </c>
      <c r="AU179" s="267">
        <f t="shared" si="156"/>
        <v>1856</v>
      </c>
      <c r="AV179" s="267">
        <f t="shared" si="157"/>
        <v>1780</v>
      </c>
      <c r="AW179" s="267">
        <f t="shared" si="158"/>
        <v>1718</v>
      </c>
      <c r="AX179" s="267">
        <f t="shared" si="159"/>
        <v>1670</v>
      </c>
      <c r="AY179" s="267">
        <f t="shared" si="160"/>
        <v>3942</v>
      </c>
      <c r="AZ179" s="267">
        <f t="shared" si="161"/>
        <v>3938</v>
      </c>
      <c r="BA179" s="267">
        <f t="shared" si="162"/>
        <v>3640</v>
      </c>
      <c r="BB179" s="267">
        <f t="shared" si="163"/>
        <v>1978</v>
      </c>
      <c r="BC179" s="267">
        <f t="shared" si="164"/>
        <v>1856</v>
      </c>
      <c r="BD179" s="267">
        <f t="shared" si="165"/>
        <v>1780</v>
      </c>
      <c r="BE179" s="267">
        <f t="shared" si="166"/>
        <v>1718</v>
      </c>
      <c r="BF179" s="267">
        <f t="shared" si="167"/>
        <v>1670</v>
      </c>
      <c r="BG179" s="269">
        <f>AY179*VLOOKUP($B179,'Major Cities &amp; Towns'!$A$28:$B$345,2,FALSE)</f>
        <v>5321.7000000000007</v>
      </c>
      <c r="BH179" s="269">
        <f>AZ179*VLOOKUP($B179,'Major Cities &amp; Towns'!$A$28:$B$345,2,FALSE)</f>
        <v>5316.3</v>
      </c>
      <c r="BI179" s="269">
        <f>BA179*VLOOKUP($B179,'Major Cities &amp; Towns'!$A$28:$B$345,2,FALSE)</f>
        <v>4914</v>
      </c>
      <c r="BJ179" s="269">
        <f>BB179*VLOOKUP($B179,'Major Cities &amp; Towns'!$A$28:$B$345,2,FALSE)</f>
        <v>2670.3</v>
      </c>
      <c r="BK179" s="269">
        <f>BC179*VLOOKUP($B179,'Major Cities &amp; Towns'!$A$28:$B$345,2,FALSE)</f>
        <v>2505.6000000000004</v>
      </c>
      <c r="BL179" s="269">
        <f>BD179*VLOOKUP($B179,'Major Cities &amp; Towns'!$A$28:$B$345,2,FALSE)</f>
        <v>2403</v>
      </c>
      <c r="BM179" s="269">
        <f>BE179*VLOOKUP($B179,'Major Cities &amp; Towns'!$A$28:$B$345,2,FALSE)</f>
        <v>2319.3000000000002</v>
      </c>
      <c r="BN179" s="269">
        <f>BF179*VLOOKUP($B179,'Major Cities &amp; Towns'!$A$28:$B$345,2,FALSE)</f>
        <v>2254.5</v>
      </c>
      <c r="BO179" s="270">
        <f t="shared" si="168"/>
        <v>2866.6666666666665</v>
      </c>
      <c r="BP179" s="270">
        <f t="shared" si="169"/>
        <v>2866.6666666666665</v>
      </c>
      <c r="BQ179" s="270">
        <f t="shared" si="170"/>
        <v>2866.6666666666665</v>
      </c>
      <c r="BR179" s="270">
        <f t="shared" si="171"/>
        <v>1978</v>
      </c>
      <c r="BS179" s="270">
        <f t="shared" si="172"/>
        <v>1856</v>
      </c>
      <c r="BT179" s="270">
        <f t="shared" si="173"/>
        <v>2211.8328767123289</v>
      </c>
      <c r="BU179" s="270">
        <f t="shared" si="174"/>
        <v>1718</v>
      </c>
      <c r="BV179" s="270">
        <f t="shared" si="175"/>
        <v>1670</v>
      </c>
      <c r="BW179" s="39">
        <f>VLOOKUP($A179,NetAdditions!$A$2:$H$336,6,FALSE)</f>
        <v>2505</v>
      </c>
      <c r="BX179" s="39">
        <f>VLOOKUP($A179,NetAdditions!$A$2:$H$336,7,FALSE)</f>
        <v>3368</v>
      </c>
      <c r="BY179" s="39">
        <f>IF((VLOOKUP($C179,NetAdditions!$A$2:$H$336,8,FALSE))="",(AVERAGE(VLOOKUP($C179,NetAdditions!$A$2:$H$336,5,FALSE),VLOOKUP($C179,NetAdditions!$A$2:$H$336,6,FALSE),VLOOKUP($C179,NetAdditions!$A$2:$H$336,7,FALSE))),VLOOKUP($C179,NetAdditions!$A$2:$H$336,8,FALSE))</f>
        <v>1813</v>
      </c>
      <c r="BZ179" s="39">
        <f t="shared" si="176"/>
        <v>2562</v>
      </c>
      <c r="CA179" s="39">
        <f t="shared" si="177"/>
        <v>2581</v>
      </c>
      <c r="CB179" s="39">
        <f t="shared" si="178"/>
        <v>2318.6666666666665</v>
      </c>
      <c r="CC179" s="39">
        <f t="shared" si="179"/>
        <v>2487.2222222222222</v>
      </c>
      <c r="CD179" s="39">
        <f t="shared" si="180"/>
        <v>2462.2962962962961</v>
      </c>
      <c r="CE179" s="276">
        <f t="shared" si="137"/>
        <v>8600</v>
      </c>
      <c r="CF179" s="276">
        <f t="shared" si="138"/>
        <v>7711.333333333333</v>
      </c>
      <c r="CG179" s="276">
        <f t="shared" si="139"/>
        <v>6700.6666666666661</v>
      </c>
      <c r="CH179" s="276">
        <f t="shared" si="140"/>
        <v>6045.8328767123294</v>
      </c>
      <c r="CI179" s="276">
        <f t="shared" si="141"/>
        <v>5785.8328767123294</v>
      </c>
      <c r="CJ179" s="276">
        <f t="shared" si="142"/>
        <v>5599.8328767123294</v>
      </c>
      <c r="CK179" s="276">
        <f t="shared" si="181"/>
        <v>7405.5555555555557</v>
      </c>
      <c r="CL179" s="276">
        <f t="shared" si="182"/>
        <v>6640.3148148148148</v>
      </c>
      <c r="CM179" s="276">
        <f t="shared" si="183"/>
        <v>6142.2777777777774</v>
      </c>
      <c r="CN179" s="276">
        <f t="shared" si="184"/>
        <v>6045.8328767123294</v>
      </c>
      <c r="CO179" s="276">
        <f t="shared" si="185"/>
        <v>5785.8328767123294</v>
      </c>
      <c r="CP179" s="276">
        <f t="shared" si="186"/>
        <v>5599.8328767123294</v>
      </c>
      <c r="CQ179" s="39">
        <f t="shared" si="143"/>
        <v>7686</v>
      </c>
      <c r="CR179" s="39">
        <f t="shared" si="144"/>
        <v>7743</v>
      </c>
      <c r="CS179" s="277">
        <f t="shared" si="145"/>
        <v>6956</v>
      </c>
      <c r="CT179" s="39">
        <f t="shared" si="146"/>
        <v>7461.6666666666661</v>
      </c>
      <c r="CU179" s="39">
        <f t="shared" si="147"/>
        <v>7386.8888888888887</v>
      </c>
      <c r="CV179" s="39">
        <f t="shared" si="187"/>
        <v>7268.1851851851843</v>
      </c>
      <c r="CW179" s="297">
        <f t="shared" si="148"/>
        <v>1.0378694673668416</v>
      </c>
      <c r="CX179" s="279" t="str">
        <f t="shared" si="188"/>
        <v>Pass</v>
      </c>
      <c r="CY179" s="278">
        <f t="shared" si="149"/>
        <v>1.1660591727857614</v>
      </c>
      <c r="CZ179" s="279" t="str">
        <f t="shared" si="189"/>
        <v>Pass</v>
      </c>
      <c r="DA179" s="278">
        <f t="shared" si="150"/>
        <v>1.1324789030489957</v>
      </c>
      <c r="DB179" s="292" t="str">
        <f t="shared" si="190"/>
        <v>Pass</v>
      </c>
      <c r="DC179" s="299">
        <f t="shared" si="191"/>
        <v>1.2341834150606317</v>
      </c>
      <c r="DD179" s="293" t="str">
        <f t="shared" si="192"/>
        <v>Pass</v>
      </c>
      <c r="DE179" s="299">
        <f t="shared" si="193"/>
        <v>1.2767200585106295</v>
      </c>
      <c r="DF179" s="293" t="str">
        <f t="shared" si="194"/>
        <v>Pass</v>
      </c>
      <c r="DG179" s="299">
        <f t="shared" si="195"/>
        <v>1.2979289463103312</v>
      </c>
      <c r="DH179" s="293" t="str">
        <f t="shared" si="196"/>
        <v>Pass</v>
      </c>
    </row>
    <row r="180" spans="1:112" ht="15" thickTop="1" thickBot="1">
      <c r="A180" s="38" t="s">
        <v>470</v>
      </c>
      <c r="B180" s="38" t="s">
        <v>471</v>
      </c>
      <c r="C180" s="38" t="s">
        <v>470</v>
      </c>
      <c r="D180" s="38" t="s">
        <v>147</v>
      </c>
      <c r="E180" s="38" t="str">
        <f>VLOOKUP(C180,PoliticalControl!A:K,11,FALSE)</f>
        <v>NOC</v>
      </c>
      <c r="F180" s="38" t="str">
        <f>VLOOKUP(C180,UrbanRuralClassification!A:N,13,FALSE)</f>
        <v xml:space="preserve">Largely Rural (rural including hub towns 50-79%) </v>
      </c>
      <c r="G180" s="38" t="str">
        <f>VLOOKUP(C180,UrbanRuralClassification!A:N,14,FALSE)</f>
        <v>Predominantly Rural</v>
      </c>
      <c r="H180" s="258">
        <f>IF(ISBLANK((VLOOKUP($A180,'local-plan-data'!$C$1:$AD$566,27,FALSE)))=TRUE,"",VLOOKUP($A180,'local-plan-data'!$C$1:$AD$566,27,FALSE))</f>
        <v>43402</v>
      </c>
      <c r="I180" s="259">
        <f>VLOOKUP($A180,'local-plan-data'!$C$1:$AD$566,28,FALSE)</f>
        <v>861</v>
      </c>
      <c r="J180" s="260">
        <f t="shared" si="151"/>
        <v>861</v>
      </c>
      <c r="K180" s="259">
        <f t="shared" si="197"/>
        <v>861</v>
      </c>
      <c r="L180" s="259">
        <f t="shared" si="199"/>
        <v>861</v>
      </c>
      <c r="M180" s="259">
        <f t="shared" si="199"/>
        <v>861</v>
      </c>
      <c r="N180" s="259">
        <f t="shared" si="199"/>
        <v>861</v>
      </c>
      <c r="O180" s="259">
        <f t="shared" si="199"/>
        <v>861</v>
      </c>
      <c r="P180" s="259">
        <f t="shared" si="199"/>
        <v>861</v>
      </c>
      <c r="Q180" s="259" t="str">
        <f t="shared" si="199"/>
        <v>-</v>
      </c>
      <c r="R180" s="259" t="str">
        <f t="shared" si="199"/>
        <v>-</v>
      </c>
      <c r="S180" s="259">
        <f t="shared" si="198"/>
        <v>2037</v>
      </c>
      <c r="T180" s="259">
        <f t="shared" si="200"/>
        <v>1672</v>
      </c>
      <c r="U180" s="259">
        <f t="shared" si="200"/>
        <v>1306</v>
      </c>
      <c r="V180" s="259">
        <f t="shared" si="200"/>
        <v>941</v>
      </c>
      <c r="W180" s="259">
        <f t="shared" si="200"/>
        <v>576</v>
      </c>
      <c r="X180" s="259">
        <f t="shared" si="200"/>
        <v>211</v>
      </c>
      <c r="Y180" s="259">
        <f t="shared" si="200"/>
        <v>-155</v>
      </c>
      <c r="Z180" s="259">
        <f t="shared" si="200"/>
        <v>-520</v>
      </c>
      <c r="AA180" s="267">
        <f>(VLOOKUP(A180,Hshldprojections2014!$A$2:$AW$319,40, FALSE)-VLOOKUP(A180,Hshldprojections2014!$A$2:$AW$319,30, FALSE))/10</f>
        <v>236.8</v>
      </c>
      <c r="AB180" s="267">
        <f>(VLOOKUP(A180,Hshldprojections2014!$A$2:$AW$319,41, FALSE)-VLOOKUP(A180,Hshldprojections2014!$A$2:$AW$319,31, FALSE))/10</f>
        <v>239</v>
      </c>
      <c r="AC180" s="267">
        <f>(VLOOKUP(A180,Hshldprojections2014!$A$2:$AW$319,42, FALSE)-VLOOKUP(A180,Hshldprojections2014!$A$2:$AW$319,32, FALSE))/10</f>
        <v>241.7</v>
      </c>
      <c r="AD180" s="267">
        <f>IF(IndividualLATest!$J$7=2014,(VLOOKUP($A180,Hshldprojections2014!$A$2:$AY$326,43,FALSE)-VLOOKUP($A180,Hshldprojections2014!$A$2:$AY$326,33,FALSE))/10,IF(IndividualLATest!$J$7=2016,(VLOOKUP($A180,Hshldprojections2016!$A$1:$AQ$322,33,FALSE)-VLOOKUP($A180,Hshldprojections2016!$A$1:$AQ$322,23,FALSE))/10,(VLOOKUP($A180,Hshldprojections2018!$A$1:$AQ$327,33,FALSE)-VLOOKUP($A180,Hshldprojections2018!$A$1:$AQ$327,23,FALSE))/10))</f>
        <v>404.4</v>
      </c>
      <c r="AE180" s="267">
        <f>IF(IndividualLATest!$J$7=2014,(VLOOKUP($A180,Hshldprojections2014!$A$2:$AY$326,44,FALSE)-VLOOKUP($A180,Hshldprojections2014!$A$2:$AY$326,34,FALSE))/10,IF(IndividualLATest!$J$7=2016,(VLOOKUP($A180,Hshldprojections2016!$A$1:$AQ$322,34,FALSE)-VLOOKUP($A180,Hshldprojections2016!$A$1:$AQ$322,24,FALSE))/10,(VLOOKUP($A180,Hshldprojections2018!$A$1:$AQ$327,34,FALSE)-VLOOKUP($A180,Hshldprojections2018!$A$1:$AQ$327,24,FALSE))/10))</f>
        <v>398</v>
      </c>
      <c r="AF180" s="267">
        <f>IF(IndividualLATest!$J$7=2014,(VLOOKUP($A180,Hshldprojections2014!$A$2:$AY$326,45,FALSE)-VLOOKUP($A180,Hshldprojections2014!$A$2:$AY$326,35,FALSE))/10,IF(IndividualLATest!$J$7=2016,(VLOOKUP($A180,Hshldprojections2016!$A$1:$AQ$322,35,FALSE)-VLOOKUP($A180,Hshldprojections2016!$A$1:$AQ$322,25,FALSE))/10,(VLOOKUP($A180,Hshldprojections2018!$A$1:$AQ$327,35,FALSE)-VLOOKUP($A180,Hshldprojections2018!$A$1:$AQ$327,25,FALSE))/10))</f>
        <v>391.3</v>
      </c>
      <c r="AG180" s="267">
        <f>IF(IndividualLATest!$J$7=2014,(VLOOKUP($A180,Hshldprojections2014!$A$2:$AY$326,46,FALSE)-VLOOKUP($A180,Hshldprojections2014!$A$2:$AY$326,36,FALSE))/10,IF(IndividualLATest!$J$7=2016,(VLOOKUP($A180,Hshldprojections2016!$A$1:$AQ$322,36,FALSE)-VLOOKUP($A180,Hshldprojections2016!$A$1:$AQ$322,26,FALSE))/10,(VLOOKUP($A180,Hshldprojections2018!$A$1:$AQ$327,36,FALSE)-VLOOKUP($A180,Hshldprojections2018!$A$1:$AQ$327,26,FALSE))/10))</f>
        <v>383</v>
      </c>
      <c r="AH180" s="267">
        <f>IF(IndividualLATest!$J$7=2014,(VLOOKUP($A180,Hshldprojections2014!$A$2:$AY$326,47,FALSE)-VLOOKUP($A180,Hshldprojections2014!$A$2:$AY$326,37,FALSE))/10,IF(IndividualLATest!$J$7=2016,(VLOOKUP($A180,Hshldprojections2016!$A$1:$AQ$322,37,FALSE)-VLOOKUP($A180,Hshldprojections2016!$A$1:$AQ$322,27,FALSE))/10,(VLOOKUP($A180,Hshldprojections2018!$A$1:$AQ$327,37,FALSE)-VLOOKUP($A180,Hshldprojections2018!$A$1:$AQ$327,27,FALSE))/10))</f>
        <v>376.8</v>
      </c>
      <c r="AI180" s="268">
        <f>VLOOKUP($A180,AffordabilityRatio!$A$2:$I$321,5,FALSE)</f>
        <v>10.02</v>
      </c>
      <c r="AJ180" s="268">
        <f>VLOOKUP($A180,AffordabilityRatio!$A$2:$I$321,6,FALSE)</f>
        <v>9.85</v>
      </c>
      <c r="AK180" s="268">
        <f>VLOOKUP($A180,AffordabilityRatio!$A$2:$I$321,7,FALSE)</f>
        <v>10.28</v>
      </c>
      <c r="AL180" s="268">
        <f>IF((VLOOKUP($A180,AffordabilityRatio!$A$2:$I$321,8,FALSE))="",AK180,VLOOKUP($A180,AffordabilityRatio!$A$2:$I$321,8,FALSE))</f>
        <v>10.17</v>
      </c>
      <c r="AM180" s="268">
        <f>IF((VLOOKUP($A180,AffordabilityRatio!$A$2:$I$321,9,FALSE))="",AL180,VLOOKUP($A180,AffordabilityRatio!$A$2:$I$321,9,FALSE))</f>
        <v>10.46</v>
      </c>
      <c r="AN180" s="268">
        <f>IF((VLOOKUP($A180,AffordabilityRatio!$A$2:$I$321,9,FALSE))="",AM180,VLOOKUP($A180,AffordabilityRatio!$A$2:$I$321,9,FALSE))</f>
        <v>10.46</v>
      </c>
      <c r="AO180" s="268">
        <f>IF((VLOOKUP($A180,AffordabilityRatio!$A$2:$I$321,9,FALSE))="",AN180,VLOOKUP($A180,AffordabilityRatio!$A$2:$I$321,9,FALSE))</f>
        <v>10.46</v>
      </c>
      <c r="AP180" s="268">
        <f>IF((VLOOKUP($A180,AffordabilityRatio!$A$2:$I$321,9,FALSE))="",AO180,VLOOKUP($A180,AffordabilityRatio!$A$2:$I$321,9,FALSE))</f>
        <v>10.46</v>
      </c>
      <c r="AQ180" s="267">
        <f t="shared" si="152"/>
        <v>326</v>
      </c>
      <c r="AR180" s="267">
        <f t="shared" si="153"/>
        <v>326</v>
      </c>
      <c r="AS180" s="267">
        <f t="shared" si="154"/>
        <v>337</v>
      </c>
      <c r="AT180" s="267">
        <f t="shared" si="155"/>
        <v>560</v>
      </c>
      <c r="AU180" s="267">
        <f t="shared" si="156"/>
        <v>559</v>
      </c>
      <c r="AV180" s="267">
        <f t="shared" si="157"/>
        <v>549</v>
      </c>
      <c r="AW180" s="267">
        <f t="shared" si="158"/>
        <v>538</v>
      </c>
      <c r="AX180" s="267">
        <f t="shared" si="159"/>
        <v>529</v>
      </c>
      <c r="AY180" s="267">
        <f t="shared" si="160"/>
        <v>326</v>
      </c>
      <c r="AZ180" s="267">
        <f t="shared" si="161"/>
        <v>326</v>
      </c>
      <c r="BA180" s="267">
        <f t="shared" si="162"/>
        <v>337</v>
      </c>
      <c r="BB180" s="267">
        <f t="shared" si="163"/>
        <v>560</v>
      </c>
      <c r="BC180" s="267">
        <f t="shared" si="164"/>
        <v>559</v>
      </c>
      <c r="BD180" s="267">
        <f t="shared" si="165"/>
        <v>549</v>
      </c>
      <c r="BE180" s="267">
        <f t="shared" si="166"/>
        <v>538</v>
      </c>
      <c r="BF180" s="267">
        <f t="shared" si="167"/>
        <v>529</v>
      </c>
      <c r="BG180" s="269">
        <f>AY180*VLOOKUP($B180,'Major Cities &amp; Towns'!$A$28:$B$345,2,FALSE)</f>
        <v>326</v>
      </c>
      <c r="BH180" s="269">
        <f>AZ180*VLOOKUP($B180,'Major Cities &amp; Towns'!$A$28:$B$345,2,FALSE)</f>
        <v>326</v>
      </c>
      <c r="BI180" s="269">
        <f>BA180*VLOOKUP($B180,'Major Cities &amp; Towns'!$A$28:$B$345,2,FALSE)</f>
        <v>337</v>
      </c>
      <c r="BJ180" s="269">
        <f>BB180*VLOOKUP($B180,'Major Cities &amp; Towns'!$A$28:$B$345,2,FALSE)</f>
        <v>560</v>
      </c>
      <c r="BK180" s="269">
        <f>BC180*VLOOKUP($B180,'Major Cities &amp; Towns'!$A$28:$B$345,2,FALSE)</f>
        <v>559</v>
      </c>
      <c r="BL180" s="269">
        <f>BD180*VLOOKUP($B180,'Major Cities &amp; Towns'!$A$28:$B$345,2,FALSE)</f>
        <v>549</v>
      </c>
      <c r="BM180" s="269">
        <f>BE180*VLOOKUP($B180,'Major Cities &amp; Towns'!$A$28:$B$345,2,FALSE)</f>
        <v>538</v>
      </c>
      <c r="BN180" s="269">
        <f>BF180*VLOOKUP($B180,'Major Cities &amp; Towns'!$A$28:$B$345,2,FALSE)</f>
        <v>529</v>
      </c>
      <c r="BO180" s="270">
        <f t="shared" si="168"/>
        <v>326</v>
      </c>
      <c r="BP180" s="270">
        <f t="shared" si="169"/>
        <v>326</v>
      </c>
      <c r="BQ180" s="270">
        <f t="shared" si="170"/>
        <v>337</v>
      </c>
      <c r="BR180" s="270">
        <f t="shared" si="171"/>
        <v>560</v>
      </c>
      <c r="BS180" s="270">
        <f t="shared" si="172"/>
        <v>559</v>
      </c>
      <c r="BT180" s="270">
        <f t="shared" si="173"/>
        <v>549</v>
      </c>
      <c r="BU180" s="270">
        <f t="shared" si="174"/>
        <v>538</v>
      </c>
      <c r="BV180" s="270">
        <f t="shared" si="175"/>
        <v>529</v>
      </c>
      <c r="BW180" s="39">
        <f>VLOOKUP($A180,NetAdditions!$A$2:$H$336,6,FALSE)</f>
        <v>693</v>
      </c>
      <c r="BX180" s="39">
        <f>VLOOKUP($A180,NetAdditions!$A$2:$H$336,7,FALSE)</f>
        <v>887</v>
      </c>
      <c r="BY180" s="39">
        <f>IF((VLOOKUP($C180,NetAdditions!$A$2:$H$336,8,FALSE))="",(AVERAGE(VLOOKUP($C180,NetAdditions!$A$2:$H$336,5,FALSE),VLOOKUP($C180,NetAdditions!$A$2:$H$336,6,FALSE),VLOOKUP($C180,NetAdditions!$A$2:$H$336,7,FALSE))),VLOOKUP($C180,NetAdditions!$A$2:$H$336,8,FALSE))</f>
        <v>556</v>
      </c>
      <c r="BZ180" s="39">
        <f t="shared" si="176"/>
        <v>712</v>
      </c>
      <c r="CA180" s="39">
        <f t="shared" si="177"/>
        <v>718.33333333333337</v>
      </c>
      <c r="CB180" s="39">
        <f t="shared" si="178"/>
        <v>662.1111111111112</v>
      </c>
      <c r="CC180" s="39">
        <f t="shared" si="179"/>
        <v>697.48148148148164</v>
      </c>
      <c r="CD180" s="39">
        <f t="shared" si="180"/>
        <v>692.64197530864203</v>
      </c>
      <c r="CE180" s="276">
        <f t="shared" si="137"/>
        <v>989</v>
      </c>
      <c r="CF180" s="276">
        <f t="shared" si="138"/>
        <v>1223</v>
      </c>
      <c r="CG180" s="276">
        <f t="shared" si="139"/>
        <v>1456</v>
      </c>
      <c r="CH180" s="276">
        <f t="shared" si="140"/>
        <v>1668</v>
      </c>
      <c r="CI180" s="276">
        <f t="shared" si="141"/>
        <v>1646</v>
      </c>
      <c r="CJ180" s="276">
        <f t="shared" si="142"/>
        <v>1616</v>
      </c>
      <c r="CK180" s="276">
        <f t="shared" si="181"/>
        <v>851.63888888888891</v>
      </c>
      <c r="CL180" s="276">
        <f t="shared" si="182"/>
        <v>1053.1388888888889</v>
      </c>
      <c r="CM180" s="276">
        <f t="shared" si="183"/>
        <v>1334.6666666666665</v>
      </c>
      <c r="CN180" s="276">
        <f t="shared" si="184"/>
        <v>1668</v>
      </c>
      <c r="CO180" s="276">
        <f t="shared" si="185"/>
        <v>1646</v>
      </c>
      <c r="CP180" s="276">
        <f t="shared" si="186"/>
        <v>1616</v>
      </c>
      <c r="CQ180" s="39">
        <f t="shared" si="143"/>
        <v>2136</v>
      </c>
      <c r="CR180" s="39">
        <f t="shared" si="144"/>
        <v>2155</v>
      </c>
      <c r="CS180" s="277">
        <f t="shared" si="145"/>
        <v>1986.3333333333335</v>
      </c>
      <c r="CT180" s="39">
        <f t="shared" si="146"/>
        <v>2092.4444444444448</v>
      </c>
      <c r="CU180" s="39">
        <f t="shared" si="147"/>
        <v>2077.9259259259261</v>
      </c>
      <c r="CV180" s="39">
        <f t="shared" si="187"/>
        <v>2052.2345679012351</v>
      </c>
      <c r="CW180" s="297">
        <f t="shared" si="148"/>
        <v>2.5081052871913632</v>
      </c>
      <c r="CX180" s="279" t="str">
        <f t="shared" si="188"/>
        <v>Pass</v>
      </c>
      <c r="CY180" s="278">
        <f t="shared" si="149"/>
        <v>2.0462638145227232</v>
      </c>
      <c r="CZ180" s="279" t="str">
        <f t="shared" si="189"/>
        <v>Pass</v>
      </c>
      <c r="DA180" s="278">
        <f t="shared" si="150"/>
        <v>1.4882617382617385</v>
      </c>
      <c r="DB180" s="292" t="str">
        <f t="shared" si="190"/>
        <v>Pass</v>
      </c>
      <c r="DC180" s="299">
        <f t="shared" si="191"/>
        <v>1.2544630961897152</v>
      </c>
      <c r="DD180" s="293" t="str">
        <f t="shared" si="192"/>
        <v>Pass</v>
      </c>
      <c r="DE180" s="299">
        <f t="shared" si="193"/>
        <v>1.2624094325187887</v>
      </c>
      <c r="DF180" s="293" t="str">
        <f t="shared" si="194"/>
        <v>Pass</v>
      </c>
      <c r="DG180" s="299">
        <f t="shared" si="195"/>
        <v>1.2699471336022494</v>
      </c>
      <c r="DH180" s="293" t="str">
        <f t="shared" si="196"/>
        <v>Pass</v>
      </c>
    </row>
    <row r="181" spans="1:112" ht="15" thickTop="1" thickBot="1">
      <c r="A181" s="38" t="s">
        <v>472</v>
      </c>
      <c r="B181" s="38" t="s">
        <v>473</v>
      </c>
      <c r="C181" s="38" t="s">
        <v>472</v>
      </c>
      <c r="D181" s="38" t="s">
        <v>119</v>
      </c>
      <c r="E181" s="38" t="str">
        <f>VLOOKUP(C181,PoliticalControl!A:K,11,FALSE)</f>
        <v>CON</v>
      </c>
      <c r="F181" s="38" t="str">
        <f>VLOOKUP(C181,UrbanRuralClassification!A:N,13,FALSE)</f>
        <v>Urban with City and Town</v>
      </c>
      <c r="G181" s="38" t="str">
        <f>VLOOKUP(C181,UrbanRuralClassification!A:N,14,FALSE)</f>
        <v>Predominantly Urban</v>
      </c>
      <c r="H181" s="258">
        <f>IF(ISBLANK((VLOOKUP($A181,'local-plan-data'!$C$1:$AD$566,27,FALSE)))=TRUE,"",VLOOKUP($A181,'local-plan-data'!$C$1:$AD$566,27,FALSE))</f>
        <v>44529</v>
      </c>
      <c r="I181" s="259">
        <f>VLOOKUP($A181,'local-plan-data'!$C$1:$AD$566,28,FALSE)</f>
        <v>330</v>
      </c>
      <c r="J181" s="260">
        <f t="shared" si="151"/>
        <v>330</v>
      </c>
      <c r="K181" s="259">
        <f t="shared" si="197"/>
        <v>330</v>
      </c>
      <c r="L181" s="259">
        <f t="shared" si="199"/>
        <v>330</v>
      </c>
      <c r="M181" s="259">
        <f t="shared" si="199"/>
        <v>330</v>
      </c>
      <c r="N181" s="259">
        <f t="shared" si="199"/>
        <v>330</v>
      </c>
      <c r="O181" s="259">
        <f t="shared" si="199"/>
        <v>330</v>
      </c>
      <c r="P181" s="259">
        <f t="shared" si="199"/>
        <v>330</v>
      </c>
      <c r="Q181" s="259">
        <f t="shared" si="199"/>
        <v>330</v>
      </c>
      <c r="R181" s="259">
        <f t="shared" si="199"/>
        <v>330</v>
      </c>
      <c r="S181" s="259">
        <f t="shared" si="198"/>
        <v>3164</v>
      </c>
      <c r="T181" s="259">
        <f t="shared" si="200"/>
        <v>2799</v>
      </c>
      <c r="U181" s="259">
        <f t="shared" si="200"/>
        <v>2433</v>
      </c>
      <c r="V181" s="259">
        <f t="shared" si="200"/>
        <v>2068</v>
      </c>
      <c r="W181" s="259">
        <f t="shared" si="200"/>
        <v>1703</v>
      </c>
      <c r="X181" s="259">
        <f t="shared" si="200"/>
        <v>1338</v>
      </c>
      <c r="Y181" s="259">
        <f t="shared" si="200"/>
        <v>972</v>
      </c>
      <c r="Z181" s="259">
        <f t="shared" si="200"/>
        <v>607</v>
      </c>
      <c r="AA181" s="267">
        <f>(VLOOKUP(A181,Hshldprojections2014!$A$2:$AW$319,40, FALSE)-VLOOKUP(A181,Hshldprojections2014!$A$2:$AW$319,30, FALSE))/10</f>
        <v>220.4</v>
      </c>
      <c r="AB181" s="267">
        <f>(VLOOKUP(A181,Hshldprojections2014!$A$2:$AW$319,41, FALSE)-VLOOKUP(A181,Hshldprojections2014!$A$2:$AW$319,31, FALSE))/10</f>
        <v>215.3</v>
      </c>
      <c r="AC181" s="267">
        <f>(VLOOKUP(A181,Hshldprojections2014!$A$2:$AW$319,42, FALSE)-VLOOKUP(A181,Hshldprojections2014!$A$2:$AW$319,32, FALSE))/10</f>
        <v>210.2</v>
      </c>
      <c r="AD181" s="267">
        <f>IF(IndividualLATest!$J$7=2014,(VLOOKUP($A181,Hshldprojections2014!$A$2:$AY$326,43,FALSE)-VLOOKUP($A181,Hshldprojections2014!$A$2:$AY$326,33,FALSE))/10,IF(IndividualLATest!$J$7=2016,(VLOOKUP($A181,Hshldprojections2016!$A$1:$AQ$322,33,FALSE)-VLOOKUP($A181,Hshldprojections2016!$A$1:$AQ$322,23,FALSE))/10,(VLOOKUP($A181,Hshldprojections2018!$A$1:$AQ$327,33,FALSE)-VLOOKUP($A181,Hshldprojections2018!$A$1:$AQ$327,23,FALSE))/10))</f>
        <v>262</v>
      </c>
      <c r="AE181" s="267">
        <f>IF(IndividualLATest!$J$7=2014,(VLOOKUP($A181,Hshldprojections2014!$A$2:$AY$326,44,FALSE)-VLOOKUP($A181,Hshldprojections2014!$A$2:$AY$326,34,FALSE))/10,IF(IndividualLATest!$J$7=2016,(VLOOKUP($A181,Hshldprojections2016!$A$1:$AQ$322,34,FALSE)-VLOOKUP($A181,Hshldprojections2016!$A$1:$AQ$322,24,FALSE))/10,(VLOOKUP($A181,Hshldprojections2018!$A$1:$AQ$327,34,FALSE)-VLOOKUP($A181,Hshldprojections2018!$A$1:$AQ$327,24,FALSE))/10))</f>
        <v>253</v>
      </c>
      <c r="AF181" s="267">
        <f>IF(IndividualLATest!$J$7=2014,(VLOOKUP($A181,Hshldprojections2014!$A$2:$AY$326,45,FALSE)-VLOOKUP($A181,Hshldprojections2014!$A$2:$AY$326,35,FALSE))/10,IF(IndividualLATest!$J$7=2016,(VLOOKUP($A181,Hshldprojections2016!$A$1:$AQ$322,35,FALSE)-VLOOKUP($A181,Hshldprojections2016!$A$1:$AQ$322,25,FALSE))/10,(VLOOKUP($A181,Hshldprojections2018!$A$1:$AQ$327,35,FALSE)-VLOOKUP($A181,Hshldprojections2018!$A$1:$AQ$327,25,FALSE))/10))</f>
        <v>245.9</v>
      </c>
      <c r="AG181" s="267">
        <f>IF(IndividualLATest!$J$7=2014,(VLOOKUP($A181,Hshldprojections2014!$A$2:$AY$326,46,FALSE)-VLOOKUP($A181,Hshldprojections2014!$A$2:$AY$326,36,FALSE))/10,IF(IndividualLATest!$J$7=2016,(VLOOKUP($A181,Hshldprojections2016!$A$1:$AQ$322,36,FALSE)-VLOOKUP($A181,Hshldprojections2016!$A$1:$AQ$322,26,FALSE))/10,(VLOOKUP($A181,Hshldprojections2018!$A$1:$AQ$327,36,FALSE)-VLOOKUP($A181,Hshldprojections2018!$A$1:$AQ$327,26,FALSE))/10))</f>
        <v>237.7</v>
      </c>
      <c r="AH181" s="267">
        <f>IF(IndividualLATest!$J$7=2014,(VLOOKUP($A181,Hshldprojections2014!$A$2:$AY$326,47,FALSE)-VLOOKUP($A181,Hshldprojections2014!$A$2:$AY$326,37,FALSE))/10,IF(IndividualLATest!$J$7=2016,(VLOOKUP($A181,Hshldprojections2016!$A$1:$AQ$322,37,FALSE)-VLOOKUP($A181,Hshldprojections2016!$A$1:$AQ$322,27,FALSE))/10,(VLOOKUP($A181,Hshldprojections2018!$A$1:$AQ$327,37,FALSE)-VLOOKUP($A181,Hshldprojections2018!$A$1:$AQ$327,27,FALSE))/10))</f>
        <v>233.9</v>
      </c>
      <c r="AI181" s="268">
        <f>VLOOKUP($A181,AffordabilityRatio!$A$2:$I$321,5,FALSE)</f>
        <v>7.31</v>
      </c>
      <c r="AJ181" s="268">
        <f>VLOOKUP($A181,AffordabilityRatio!$A$2:$I$321,6,FALSE)</f>
        <v>6.44</v>
      </c>
      <c r="AK181" s="268">
        <f>VLOOKUP($A181,AffordabilityRatio!$A$2:$I$321,7,FALSE)</f>
        <v>7.17</v>
      </c>
      <c r="AL181" s="268">
        <f>IF((VLOOKUP($A181,AffordabilityRatio!$A$2:$I$321,8,FALSE))="",AK181,VLOOKUP($A181,AffordabilityRatio!$A$2:$I$321,8,FALSE))</f>
        <v>7.5</v>
      </c>
      <c r="AM181" s="268">
        <f>IF((VLOOKUP($A181,AffordabilityRatio!$A$2:$I$321,9,FALSE))="",AL181,VLOOKUP($A181,AffordabilityRatio!$A$2:$I$321,9,FALSE))</f>
        <v>8.1199999999999992</v>
      </c>
      <c r="AN181" s="268">
        <f>IF((VLOOKUP($A181,AffordabilityRatio!$A$2:$I$321,9,FALSE))="",AM181,VLOOKUP($A181,AffordabilityRatio!$A$2:$I$321,9,FALSE))</f>
        <v>8.1199999999999992</v>
      </c>
      <c r="AO181" s="268">
        <f>IF((VLOOKUP($A181,AffordabilityRatio!$A$2:$I$321,9,FALSE))="",AN181,VLOOKUP($A181,AffordabilityRatio!$A$2:$I$321,9,FALSE))</f>
        <v>8.1199999999999992</v>
      </c>
      <c r="AP181" s="268">
        <f>IF((VLOOKUP($A181,AffordabilityRatio!$A$2:$I$321,9,FALSE))="",AO181,VLOOKUP($A181,AffordabilityRatio!$A$2:$I$321,9,FALSE))</f>
        <v>8.1199999999999992</v>
      </c>
      <c r="AQ181" s="267">
        <f t="shared" si="152"/>
        <v>266</v>
      </c>
      <c r="AR181" s="267">
        <f t="shared" si="153"/>
        <v>248</v>
      </c>
      <c r="AS181" s="267">
        <f t="shared" si="154"/>
        <v>252</v>
      </c>
      <c r="AT181" s="267">
        <f t="shared" si="155"/>
        <v>319</v>
      </c>
      <c r="AU181" s="267">
        <f t="shared" si="156"/>
        <v>318</v>
      </c>
      <c r="AV181" s="267">
        <f t="shared" si="157"/>
        <v>309</v>
      </c>
      <c r="AW181" s="267">
        <f t="shared" si="158"/>
        <v>299</v>
      </c>
      <c r="AX181" s="267">
        <f t="shared" si="159"/>
        <v>294</v>
      </c>
      <c r="AY181" s="267">
        <f t="shared" si="160"/>
        <v>266</v>
      </c>
      <c r="AZ181" s="267">
        <f t="shared" si="161"/>
        <v>248</v>
      </c>
      <c r="BA181" s="267">
        <f t="shared" si="162"/>
        <v>252</v>
      </c>
      <c r="BB181" s="267">
        <f t="shared" si="163"/>
        <v>319</v>
      </c>
      <c r="BC181" s="267">
        <f t="shared" si="164"/>
        <v>318</v>
      </c>
      <c r="BD181" s="267">
        <f t="shared" si="165"/>
        <v>309</v>
      </c>
      <c r="BE181" s="267">
        <f t="shared" si="166"/>
        <v>299</v>
      </c>
      <c r="BF181" s="267">
        <f t="shared" si="167"/>
        <v>294</v>
      </c>
      <c r="BG181" s="269">
        <f>AY181*VLOOKUP($B181,'Major Cities &amp; Towns'!$A$28:$B$345,2,FALSE)</f>
        <v>266</v>
      </c>
      <c r="BH181" s="269">
        <f>AZ181*VLOOKUP($B181,'Major Cities &amp; Towns'!$A$28:$B$345,2,FALSE)</f>
        <v>248</v>
      </c>
      <c r="BI181" s="269">
        <f>BA181*VLOOKUP($B181,'Major Cities &amp; Towns'!$A$28:$B$345,2,FALSE)</f>
        <v>252</v>
      </c>
      <c r="BJ181" s="269">
        <f>BB181*VLOOKUP($B181,'Major Cities &amp; Towns'!$A$28:$B$345,2,FALSE)</f>
        <v>319</v>
      </c>
      <c r="BK181" s="269">
        <f>BC181*VLOOKUP($B181,'Major Cities &amp; Towns'!$A$28:$B$345,2,FALSE)</f>
        <v>318</v>
      </c>
      <c r="BL181" s="269">
        <f>BD181*VLOOKUP($B181,'Major Cities &amp; Towns'!$A$28:$B$345,2,FALSE)</f>
        <v>309</v>
      </c>
      <c r="BM181" s="269">
        <f>BE181*VLOOKUP($B181,'Major Cities &amp; Towns'!$A$28:$B$345,2,FALSE)</f>
        <v>299</v>
      </c>
      <c r="BN181" s="269">
        <f>BF181*VLOOKUP($B181,'Major Cities &amp; Towns'!$A$28:$B$345,2,FALSE)</f>
        <v>294</v>
      </c>
      <c r="BO181" s="270">
        <f t="shared" si="168"/>
        <v>266</v>
      </c>
      <c r="BP181" s="270">
        <f t="shared" si="169"/>
        <v>248</v>
      </c>
      <c r="BQ181" s="270">
        <f t="shared" si="170"/>
        <v>252</v>
      </c>
      <c r="BR181" s="270">
        <f t="shared" si="171"/>
        <v>319</v>
      </c>
      <c r="BS181" s="270">
        <f t="shared" si="172"/>
        <v>318</v>
      </c>
      <c r="BT181" s="270">
        <f t="shared" si="173"/>
        <v>309</v>
      </c>
      <c r="BU181" s="270">
        <f t="shared" si="174"/>
        <v>299</v>
      </c>
      <c r="BV181" s="270">
        <f t="shared" si="175"/>
        <v>294</v>
      </c>
      <c r="BW181" s="39">
        <f>VLOOKUP($A181,NetAdditions!$A$2:$H$336,6,FALSE)</f>
        <v>189</v>
      </c>
      <c r="BX181" s="39">
        <f>VLOOKUP($A181,NetAdditions!$A$2:$H$336,7,FALSE)</f>
        <v>436</v>
      </c>
      <c r="BY181" s="39">
        <f>IF((VLOOKUP($C181,NetAdditions!$A$2:$H$336,8,FALSE))="",(AVERAGE(VLOOKUP($C181,NetAdditions!$A$2:$H$336,5,FALSE),VLOOKUP($C181,NetAdditions!$A$2:$H$336,6,FALSE),VLOOKUP($C181,NetAdditions!$A$2:$H$336,7,FALSE))),VLOOKUP($C181,NetAdditions!$A$2:$H$336,8,FALSE))</f>
        <v>465</v>
      </c>
      <c r="BZ181" s="39">
        <f t="shared" si="176"/>
        <v>363.33333333333331</v>
      </c>
      <c r="CA181" s="39">
        <f t="shared" si="177"/>
        <v>421.4444444444444</v>
      </c>
      <c r="CB181" s="39">
        <f t="shared" si="178"/>
        <v>416.59259259259255</v>
      </c>
      <c r="CC181" s="39">
        <f t="shared" si="179"/>
        <v>400.45679012345676</v>
      </c>
      <c r="CD181" s="39">
        <f t="shared" si="180"/>
        <v>412.83127572016457</v>
      </c>
      <c r="CE181" s="276">
        <f t="shared" si="137"/>
        <v>766</v>
      </c>
      <c r="CF181" s="276">
        <f t="shared" si="138"/>
        <v>819</v>
      </c>
      <c r="CG181" s="276">
        <f t="shared" si="139"/>
        <v>889</v>
      </c>
      <c r="CH181" s="276">
        <f t="shared" si="140"/>
        <v>946</v>
      </c>
      <c r="CI181" s="276">
        <f t="shared" si="141"/>
        <v>926</v>
      </c>
      <c r="CJ181" s="276">
        <f t="shared" si="142"/>
        <v>902</v>
      </c>
      <c r="CK181" s="276">
        <f t="shared" si="181"/>
        <v>659.6111111111112</v>
      </c>
      <c r="CL181" s="276">
        <f t="shared" si="182"/>
        <v>705.25</v>
      </c>
      <c r="CM181" s="276">
        <f t="shared" si="183"/>
        <v>814.91666666666663</v>
      </c>
      <c r="CN181" s="276">
        <f t="shared" si="184"/>
        <v>946</v>
      </c>
      <c r="CO181" s="276">
        <f t="shared" si="185"/>
        <v>926</v>
      </c>
      <c r="CP181" s="276">
        <f t="shared" si="186"/>
        <v>902</v>
      </c>
      <c r="CQ181" s="39">
        <f t="shared" si="143"/>
        <v>1090</v>
      </c>
      <c r="CR181" s="39">
        <f t="shared" si="144"/>
        <v>1264.3333333333333</v>
      </c>
      <c r="CS181" s="277">
        <f t="shared" si="145"/>
        <v>1249.7777777777776</v>
      </c>
      <c r="CT181" s="39">
        <f t="shared" si="146"/>
        <v>1201.3703703703702</v>
      </c>
      <c r="CU181" s="39">
        <f t="shared" si="147"/>
        <v>1238.4938271604938</v>
      </c>
      <c r="CV181" s="39">
        <f t="shared" si="187"/>
        <v>1229.8806584362139</v>
      </c>
      <c r="CW181" s="297">
        <f t="shared" si="148"/>
        <v>1.6524888402257221</v>
      </c>
      <c r="CX181" s="279" t="str">
        <f t="shared" si="188"/>
        <v>Pass</v>
      </c>
      <c r="CY181" s="278">
        <f t="shared" si="149"/>
        <v>1.792744889519083</v>
      </c>
      <c r="CZ181" s="279" t="str">
        <f t="shared" si="189"/>
        <v>Pass</v>
      </c>
      <c r="DA181" s="278">
        <f t="shared" si="150"/>
        <v>1.5336264785083682</v>
      </c>
      <c r="DB181" s="292" t="str">
        <f t="shared" si="190"/>
        <v>Pass</v>
      </c>
      <c r="DC181" s="299">
        <f t="shared" si="191"/>
        <v>1.2699475373893976</v>
      </c>
      <c r="DD181" s="293" t="str">
        <f t="shared" si="192"/>
        <v>Pass</v>
      </c>
      <c r="DE181" s="299">
        <f t="shared" si="193"/>
        <v>1.3374663360264512</v>
      </c>
      <c r="DF181" s="293" t="str">
        <f t="shared" si="194"/>
        <v>Pass</v>
      </c>
      <c r="DG181" s="299">
        <f t="shared" si="195"/>
        <v>1.3635040559159799</v>
      </c>
      <c r="DH181" s="293" t="str">
        <f t="shared" si="196"/>
        <v>Pass</v>
      </c>
    </row>
    <row r="182" spans="1:112" ht="15" thickTop="1" thickBot="1">
      <c r="A182" s="38" t="s">
        <v>474</v>
      </c>
      <c r="B182" s="38" t="s">
        <v>475</v>
      </c>
      <c r="C182" s="38" t="s">
        <v>474</v>
      </c>
      <c r="D182" s="38" t="s">
        <v>136</v>
      </c>
      <c r="E182" s="38" t="str">
        <f>VLOOKUP(C182,PoliticalControl!A:K,11,FALSE)</f>
        <v>CON</v>
      </c>
      <c r="F182" s="38" t="str">
        <f>VLOOKUP(C182,UrbanRuralClassification!A:N,13,FALSE)</f>
        <v>Urban with City and Town</v>
      </c>
      <c r="G182" s="38" t="str">
        <f>VLOOKUP(C182,UrbanRuralClassification!A:N,14,FALSE)</f>
        <v>Predominantly Urban</v>
      </c>
      <c r="H182" s="258">
        <f>IF(ISBLANK((VLOOKUP($A182,'local-plan-data'!$C$1:$AD$566,27,FALSE)))=TRUE,"",VLOOKUP($A182,'local-plan-data'!$C$1:$AD$566,27,FALSE))</f>
        <v>43181</v>
      </c>
      <c r="I182" s="259">
        <f>VLOOKUP($A182,'local-plan-data'!$C$1:$AD$566,28,FALSE)</f>
        <v>512.73684210526312</v>
      </c>
      <c r="J182" s="260">
        <f t="shared" si="151"/>
        <v>512.73684210526312</v>
      </c>
      <c r="K182" s="259">
        <f t="shared" si="197"/>
        <v>512.73684210526312</v>
      </c>
      <c r="L182" s="259">
        <f t="shared" si="199"/>
        <v>512.73684210526312</v>
      </c>
      <c r="M182" s="259">
        <f t="shared" si="199"/>
        <v>512.73684210526312</v>
      </c>
      <c r="N182" s="259">
        <f t="shared" si="199"/>
        <v>512.73684210526312</v>
      </c>
      <c r="O182" s="259">
        <f t="shared" si="199"/>
        <v>512.73684210526312</v>
      </c>
      <c r="P182" s="259" t="str">
        <f t="shared" si="199"/>
        <v>-</v>
      </c>
      <c r="Q182" s="259" t="str">
        <f t="shared" si="199"/>
        <v>-</v>
      </c>
      <c r="R182" s="259" t="str">
        <f t="shared" si="199"/>
        <v>-</v>
      </c>
      <c r="S182" s="259">
        <f t="shared" si="198"/>
        <v>1816</v>
      </c>
      <c r="T182" s="259">
        <f t="shared" si="200"/>
        <v>1451</v>
      </c>
      <c r="U182" s="259">
        <f t="shared" si="200"/>
        <v>1085</v>
      </c>
      <c r="V182" s="259">
        <f t="shared" si="200"/>
        <v>720</v>
      </c>
      <c r="W182" s="259">
        <f t="shared" si="200"/>
        <v>355</v>
      </c>
      <c r="X182" s="259">
        <f t="shared" si="200"/>
        <v>-10</v>
      </c>
      <c r="Y182" s="259">
        <f t="shared" si="200"/>
        <v>-376</v>
      </c>
      <c r="Z182" s="259">
        <f t="shared" si="200"/>
        <v>-741</v>
      </c>
      <c r="AA182" s="267">
        <f>(VLOOKUP(A182,Hshldprojections2014!$A$2:$AW$319,40, FALSE)-VLOOKUP(A182,Hshldprojections2014!$A$2:$AW$319,30, FALSE))/10</f>
        <v>206.7</v>
      </c>
      <c r="AB182" s="267">
        <f>(VLOOKUP(A182,Hshldprojections2014!$A$2:$AW$319,41, FALSE)-VLOOKUP(A182,Hshldprojections2014!$A$2:$AW$319,31, FALSE))/10</f>
        <v>199.3</v>
      </c>
      <c r="AC182" s="267">
        <f>(VLOOKUP(A182,Hshldprojections2014!$A$2:$AW$319,42, FALSE)-VLOOKUP(A182,Hshldprojections2014!$A$2:$AW$319,32, FALSE))/10</f>
        <v>195.9</v>
      </c>
      <c r="AD182" s="267">
        <f>IF(IndividualLATest!$J$7=2014,(VLOOKUP($A182,Hshldprojections2014!$A$2:$AY$326,43,FALSE)-VLOOKUP($A182,Hshldprojections2014!$A$2:$AY$326,33,FALSE))/10,IF(IndividualLATest!$J$7=2016,(VLOOKUP($A182,Hshldprojections2016!$A$1:$AQ$322,33,FALSE)-VLOOKUP($A182,Hshldprojections2016!$A$1:$AQ$322,23,FALSE))/10,(VLOOKUP($A182,Hshldprojections2018!$A$1:$AQ$327,33,FALSE)-VLOOKUP($A182,Hshldprojections2018!$A$1:$AQ$327,23,FALSE))/10))</f>
        <v>144.80000000000001</v>
      </c>
      <c r="AE182" s="267">
        <f>IF(IndividualLATest!$J$7=2014,(VLOOKUP($A182,Hshldprojections2014!$A$2:$AY$326,44,FALSE)-VLOOKUP($A182,Hshldprojections2014!$A$2:$AY$326,34,FALSE))/10,IF(IndividualLATest!$J$7=2016,(VLOOKUP($A182,Hshldprojections2016!$A$1:$AQ$322,34,FALSE)-VLOOKUP($A182,Hshldprojections2016!$A$1:$AQ$322,24,FALSE))/10,(VLOOKUP($A182,Hshldprojections2018!$A$1:$AQ$327,34,FALSE)-VLOOKUP($A182,Hshldprojections2018!$A$1:$AQ$327,24,FALSE))/10))</f>
        <v>145.30000000000001</v>
      </c>
      <c r="AF182" s="267">
        <f>IF(IndividualLATest!$J$7=2014,(VLOOKUP($A182,Hshldprojections2014!$A$2:$AY$326,45,FALSE)-VLOOKUP($A182,Hshldprojections2014!$A$2:$AY$326,35,FALSE))/10,IF(IndividualLATest!$J$7=2016,(VLOOKUP($A182,Hshldprojections2016!$A$1:$AQ$322,35,FALSE)-VLOOKUP($A182,Hshldprojections2016!$A$1:$AQ$322,25,FALSE))/10,(VLOOKUP($A182,Hshldprojections2018!$A$1:$AQ$327,35,FALSE)-VLOOKUP($A182,Hshldprojections2018!$A$1:$AQ$327,25,FALSE))/10))</f>
        <v>148.5</v>
      </c>
      <c r="AG182" s="267">
        <f>IF(IndividualLATest!$J$7=2014,(VLOOKUP($A182,Hshldprojections2014!$A$2:$AY$326,46,FALSE)-VLOOKUP($A182,Hshldprojections2014!$A$2:$AY$326,36,FALSE))/10,IF(IndividualLATest!$J$7=2016,(VLOOKUP($A182,Hshldprojections2016!$A$1:$AQ$322,36,FALSE)-VLOOKUP($A182,Hshldprojections2016!$A$1:$AQ$322,26,FALSE))/10,(VLOOKUP($A182,Hshldprojections2018!$A$1:$AQ$327,36,FALSE)-VLOOKUP($A182,Hshldprojections2018!$A$1:$AQ$327,26,FALSE))/10))</f>
        <v>151.69999999999999</v>
      </c>
      <c r="AH182" s="267">
        <f>IF(IndividualLATest!$J$7=2014,(VLOOKUP($A182,Hshldprojections2014!$A$2:$AY$326,47,FALSE)-VLOOKUP($A182,Hshldprojections2014!$A$2:$AY$326,37,FALSE))/10,IF(IndividualLATest!$J$7=2016,(VLOOKUP($A182,Hshldprojections2016!$A$1:$AQ$322,37,FALSE)-VLOOKUP($A182,Hshldprojections2016!$A$1:$AQ$322,27,FALSE))/10,(VLOOKUP($A182,Hshldprojections2018!$A$1:$AQ$327,37,FALSE)-VLOOKUP($A182,Hshldprojections2018!$A$1:$AQ$327,27,FALSE))/10))</f>
        <v>156.6</v>
      </c>
      <c r="AI182" s="268">
        <f>VLOOKUP($A182,AffordabilityRatio!$A$2:$I$321,5,FALSE)</f>
        <v>5.79</v>
      </c>
      <c r="AJ182" s="268">
        <f>VLOOKUP($A182,AffordabilityRatio!$A$2:$I$321,6,FALSE)</f>
        <v>5.65</v>
      </c>
      <c r="AK182" s="268">
        <f>VLOOKUP($A182,AffordabilityRatio!$A$2:$I$321,7,FALSE)</f>
        <v>5.25</v>
      </c>
      <c r="AL182" s="268">
        <f>IF((VLOOKUP($A182,AffordabilityRatio!$A$2:$I$321,8,FALSE))="",AK182,VLOOKUP($A182,AffordabilityRatio!$A$2:$I$321,8,FALSE))</f>
        <v>5.21</v>
      </c>
      <c r="AM182" s="268">
        <f>IF((VLOOKUP($A182,AffordabilityRatio!$A$2:$I$321,9,FALSE))="",AL182,VLOOKUP($A182,AffordabilityRatio!$A$2:$I$321,9,FALSE))</f>
        <v>5.53</v>
      </c>
      <c r="AN182" s="268">
        <f>IF((VLOOKUP($A182,AffordabilityRatio!$A$2:$I$321,9,FALSE))="",AM182,VLOOKUP($A182,AffordabilityRatio!$A$2:$I$321,9,FALSE))</f>
        <v>5.53</v>
      </c>
      <c r="AO182" s="268">
        <f>IF((VLOOKUP($A182,AffordabilityRatio!$A$2:$I$321,9,FALSE))="",AN182,VLOOKUP($A182,AffordabilityRatio!$A$2:$I$321,9,FALSE))</f>
        <v>5.53</v>
      </c>
      <c r="AP182" s="268">
        <f>IF((VLOOKUP($A182,AffordabilityRatio!$A$2:$I$321,9,FALSE))="",AO182,VLOOKUP($A182,AffordabilityRatio!$A$2:$I$321,9,FALSE))</f>
        <v>5.53</v>
      </c>
      <c r="AQ182" s="267">
        <f t="shared" si="152"/>
        <v>230</v>
      </c>
      <c r="AR182" s="267">
        <f t="shared" si="153"/>
        <v>220</v>
      </c>
      <c r="AS182" s="267">
        <f t="shared" si="154"/>
        <v>211</v>
      </c>
      <c r="AT182" s="267">
        <f t="shared" si="155"/>
        <v>156</v>
      </c>
      <c r="AU182" s="267">
        <f t="shared" si="156"/>
        <v>159</v>
      </c>
      <c r="AV182" s="267">
        <f t="shared" si="157"/>
        <v>163</v>
      </c>
      <c r="AW182" s="267">
        <f t="shared" si="158"/>
        <v>166</v>
      </c>
      <c r="AX182" s="267">
        <f t="shared" si="159"/>
        <v>172</v>
      </c>
      <c r="AY182" s="267">
        <f t="shared" si="160"/>
        <v>230</v>
      </c>
      <c r="AZ182" s="267">
        <f t="shared" si="161"/>
        <v>220</v>
      </c>
      <c r="BA182" s="267">
        <f t="shared" si="162"/>
        <v>211</v>
      </c>
      <c r="BB182" s="267">
        <f t="shared" si="163"/>
        <v>156</v>
      </c>
      <c r="BC182" s="267">
        <f t="shared" si="164"/>
        <v>159</v>
      </c>
      <c r="BD182" s="267">
        <f t="shared" si="165"/>
        <v>163</v>
      </c>
      <c r="BE182" s="267">
        <f t="shared" si="166"/>
        <v>166</v>
      </c>
      <c r="BF182" s="267">
        <f t="shared" si="167"/>
        <v>172</v>
      </c>
      <c r="BG182" s="269">
        <f>AY182*VLOOKUP($B182,'Major Cities &amp; Towns'!$A$28:$B$345,2,FALSE)</f>
        <v>230</v>
      </c>
      <c r="BH182" s="269">
        <f>AZ182*VLOOKUP($B182,'Major Cities &amp; Towns'!$A$28:$B$345,2,FALSE)</f>
        <v>220</v>
      </c>
      <c r="BI182" s="269">
        <f>BA182*VLOOKUP($B182,'Major Cities &amp; Towns'!$A$28:$B$345,2,FALSE)</f>
        <v>211</v>
      </c>
      <c r="BJ182" s="269">
        <f>BB182*VLOOKUP($B182,'Major Cities &amp; Towns'!$A$28:$B$345,2,FALSE)</f>
        <v>156</v>
      </c>
      <c r="BK182" s="269">
        <f>BC182*VLOOKUP($B182,'Major Cities &amp; Towns'!$A$28:$B$345,2,FALSE)</f>
        <v>159</v>
      </c>
      <c r="BL182" s="269">
        <f>BD182*VLOOKUP($B182,'Major Cities &amp; Towns'!$A$28:$B$345,2,FALSE)</f>
        <v>163</v>
      </c>
      <c r="BM182" s="269">
        <f>BE182*VLOOKUP($B182,'Major Cities &amp; Towns'!$A$28:$B$345,2,FALSE)</f>
        <v>166</v>
      </c>
      <c r="BN182" s="269">
        <f>BF182*VLOOKUP($B182,'Major Cities &amp; Towns'!$A$28:$B$345,2,FALSE)</f>
        <v>172</v>
      </c>
      <c r="BO182" s="270">
        <f t="shared" si="168"/>
        <v>230</v>
      </c>
      <c r="BP182" s="270">
        <f t="shared" si="169"/>
        <v>220</v>
      </c>
      <c r="BQ182" s="270">
        <f t="shared" si="170"/>
        <v>211</v>
      </c>
      <c r="BR182" s="270">
        <f t="shared" si="171"/>
        <v>156</v>
      </c>
      <c r="BS182" s="270">
        <f t="shared" si="172"/>
        <v>159</v>
      </c>
      <c r="BT182" s="270">
        <f t="shared" si="173"/>
        <v>163</v>
      </c>
      <c r="BU182" s="270">
        <f t="shared" si="174"/>
        <v>166</v>
      </c>
      <c r="BV182" s="270">
        <f t="shared" si="175"/>
        <v>172</v>
      </c>
      <c r="BW182" s="39">
        <f>VLOOKUP($A182,NetAdditions!$A$2:$H$336,6,FALSE)</f>
        <v>308</v>
      </c>
      <c r="BX182" s="39">
        <f>VLOOKUP($A182,NetAdditions!$A$2:$H$336,7,FALSE)</f>
        <v>248</v>
      </c>
      <c r="BY182" s="39">
        <f>IF((VLOOKUP($C182,NetAdditions!$A$2:$H$336,8,FALSE))="",(AVERAGE(VLOOKUP($C182,NetAdditions!$A$2:$H$336,5,FALSE),VLOOKUP($C182,NetAdditions!$A$2:$H$336,6,FALSE),VLOOKUP($C182,NetAdditions!$A$2:$H$336,7,FALSE))),VLOOKUP($C182,NetAdditions!$A$2:$H$336,8,FALSE))</f>
        <v>244</v>
      </c>
      <c r="BZ182" s="39">
        <f t="shared" si="176"/>
        <v>266.66666666666669</v>
      </c>
      <c r="CA182" s="39">
        <f t="shared" si="177"/>
        <v>252.88888888888891</v>
      </c>
      <c r="CB182" s="39">
        <f t="shared" si="178"/>
        <v>254.51851851851856</v>
      </c>
      <c r="CC182" s="39">
        <f t="shared" si="179"/>
        <v>258.02469135802477</v>
      </c>
      <c r="CD182" s="39">
        <f t="shared" si="180"/>
        <v>255.14403292181078</v>
      </c>
      <c r="CE182" s="276">
        <f t="shared" si="137"/>
        <v>661</v>
      </c>
      <c r="CF182" s="276">
        <f t="shared" si="138"/>
        <v>587</v>
      </c>
      <c r="CG182" s="276">
        <f t="shared" si="139"/>
        <v>526</v>
      </c>
      <c r="CH182" s="276">
        <f t="shared" si="140"/>
        <v>478</v>
      </c>
      <c r="CI182" s="276">
        <f t="shared" si="141"/>
        <v>488</v>
      </c>
      <c r="CJ182" s="276">
        <f t="shared" si="142"/>
        <v>501</v>
      </c>
      <c r="CK182" s="276">
        <f t="shared" si="181"/>
        <v>569.19444444444446</v>
      </c>
      <c r="CL182" s="276">
        <f t="shared" si="182"/>
        <v>505.47222222222223</v>
      </c>
      <c r="CM182" s="276">
        <f t="shared" si="183"/>
        <v>482.16666666666663</v>
      </c>
      <c r="CN182" s="276">
        <f t="shared" si="184"/>
        <v>478</v>
      </c>
      <c r="CO182" s="276">
        <f t="shared" si="185"/>
        <v>488</v>
      </c>
      <c r="CP182" s="276">
        <f t="shared" si="186"/>
        <v>501</v>
      </c>
      <c r="CQ182" s="39">
        <f t="shared" si="143"/>
        <v>800</v>
      </c>
      <c r="CR182" s="39">
        <f t="shared" si="144"/>
        <v>758.66666666666674</v>
      </c>
      <c r="CS182" s="277">
        <f t="shared" si="145"/>
        <v>763.55555555555566</v>
      </c>
      <c r="CT182" s="39">
        <f t="shared" si="146"/>
        <v>774.07407407407425</v>
      </c>
      <c r="CU182" s="39">
        <f t="shared" si="147"/>
        <v>765.43209876543233</v>
      </c>
      <c r="CV182" s="39">
        <f t="shared" si="187"/>
        <v>767.68724279835408</v>
      </c>
      <c r="CW182" s="297">
        <f t="shared" si="148"/>
        <v>1.4054950954077399</v>
      </c>
      <c r="CX182" s="279" t="str">
        <f t="shared" si="188"/>
        <v>Pass</v>
      </c>
      <c r="CY182" s="278">
        <f t="shared" si="149"/>
        <v>1.5009067428697038</v>
      </c>
      <c r="CZ182" s="279" t="str">
        <f t="shared" si="189"/>
        <v>Pass</v>
      </c>
      <c r="DA182" s="278">
        <f t="shared" si="150"/>
        <v>1.5835925797902988</v>
      </c>
      <c r="DB182" s="292" t="str">
        <f t="shared" si="190"/>
        <v>Pass</v>
      </c>
      <c r="DC182" s="299">
        <f t="shared" si="191"/>
        <v>1.6194018286068499</v>
      </c>
      <c r="DD182" s="293" t="str">
        <f t="shared" si="192"/>
        <v>Pass</v>
      </c>
      <c r="DE182" s="299">
        <f t="shared" si="193"/>
        <v>1.5685083991094926</v>
      </c>
      <c r="DF182" s="293" t="str">
        <f t="shared" si="194"/>
        <v>Pass</v>
      </c>
      <c r="DG182" s="299">
        <f t="shared" si="195"/>
        <v>1.5323098658649783</v>
      </c>
      <c r="DH182" s="293" t="str">
        <f t="shared" si="196"/>
        <v>Pass</v>
      </c>
    </row>
    <row r="183" spans="1:112" ht="15" thickTop="1" thickBot="1">
      <c r="A183" s="38" t="s">
        <v>476</v>
      </c>
      <c r="B183" s="38" t="s">
        <v>477</v>
      </c>
      <c r="C183" s="38" t="s">
        <v>476</v>
      </c>
      <c r="D183" s="38" t="s">
        <v>128</v>
      </c>
      <c r="E183" s="38" t="str">
        <f>VLOOKUP(C183,PoliticalControl!A:K,11,FALSE)</f>
        <v>NOC</v>
      </c>
      <c r="F183" s="38" t="str">
        <f>VLOOKUP(C183,UrbanRuralClassification!A:N,13,FALSE)</f>
        <v>Urban with Significant Rural (rural including hub towns 26-49%)</v>
      </c>
      <c r="G183" s="38" t="str">
        <f>VLOOKUP(C183,UrbanRuralClassification!A:N,14,FALSE)</f>
        <v>Urban with Significant Rural</v>
      </c>
      <c r="H183" s="258" t="str">
        <f>IF(ISBLANK((VLOOKUP($A183,'local-plan-data'!$C$1:$AD$566,27,FALSE)))=TRUE,"",VLOOKUP($A183,'local-plan-data'!$C$1:$AD$566,27,FALSE))</f>
        <v/>
      </c>
      <c r="I183" s="259">
        <f>VLOOKUP($A183,'local-plan-data'!$C$1:$AD$566,28,FALSE)</f>
        <v>700</v>
      </c>
      <c r="J183" s="260">
        <f t="shared" si="151"/>
        <v>700</v>
      </c>
      <c r="K183" s="259" t="str">
        <f t="shared" si="197"/>
        <v>-</v>
      </c>
      <c r="L183" s="259" t="str">
        <f t="shared" si="199"/>
        <v>-</v>
      </c>
      <c r="M183" s="259" t="str">
        <f t="shared" si="199"/>
        <v>-</v>
      </c>
      <c r="N183" s="259" t="str">
        <f t="shared" si="199"/>
        <v>-</v>
      </c>
      <c r="O183" s="259" t="str">
        <f t="shared" si="199"/>
        <v>-</v>
      </c>
      <c r="P183" s="259" t="str">
        <f t="shared" si="199"/>
        <v>-</v>
      </c>
      <c r="Q183" s="259" t="str">
        <f t="shared" si="199"/>
        <v>-</v>
      </c>
      <c r="R183" s="259" t="str">
        <f t="shared" si="199"/>
        <v>-</v>
      </c>
      <c r="S183" s="259" t="str">
        <f t="shared" si="198"/>
        <v>-</v>
      </c>
      <c r="T183" s="259" t="str">
        <f t="shared" si="200"/>
        <v>-</v>
      </c>
      <c r="U183" s="259" t="str">
        <f t="shared" si="200"/>
        <v>-</v>
      </c>
      <c r="V183" s="259" t="str">
        <f t="shared" si="200"/>
        <v>-</v>
      </c>
      <c r="W183" s="259" t="str">
        <f t="shared" si="200"/>
        <v>-</v>
      </c>
      <c r="X183" s="259" t="str">
        <f t="shared" si="200"/>
        <v>-</v>
      </c>
      <c r="Y183" s="259" t="str">
        <f t="shared" si="200"/>
        <v>-</v>
      </c>
      <c r="Z183" s="259" t="str">
        <f t="shared" si="200"/>
        <v>-</v>
      </c>
      <c r="AA183" s="267">
        <f>(VLOOKUP(A183,Hshldprojections2014!$A$2:$AW$319,40, FALSE)-VLOOKUP(A183,Hshldprojections2014!$A$2:$AW$319,30, FALSE))/10</f>
        <v>705.8</v>
      </c>
      <c r="AB183" s="267">
        <f>(VLOOKUP(A183,Hshldprojections2014!$A$2:$AW$319,41, FALSE)-VLOOKUP(A183,Hshldprojections2014!$A$2:$AW$319,31, FALSE))/10</f>
        <v>702.5</v>
      </c>
      <c r="AC183" s="267">
        <f>(VLOOKUP(A183,Hshldprojections2014!$A$2:$AW$319,42, FALSE)-VLOOKUP(A183,Hshldprojections2014!$A$2:$AW$319,32, FALSE))/10</f>
        <v>700.8</v>
      </c>
      <c r="AD183" s="267">
        <f>IF(IndividualLATest!$J$7=2014,(VLOOKUP($A183,Hshldprojections2014!$A$2:$AY$326,43,FALSE)-VLOOKUP($A183,Hshldprojections2014!$A$2:$AY$326,33,FALSE))/10,IF(IndividualLATest!$J$7=2016,(VLOOKUP($A183,Hshldprojections2016!$A$1:$AQ$322,33,FALSE)-VLOOKUP($A183,Hshldprojections2016!$A$1:$AQ$322,23,FALSE))/10,(VLOOKUP($A183,Hshldprojections2018!$A$1:$AQ$327,33,FALSE)-VLOOKUP($A183,Hshldprojections2018!$A$1:$AQ$327,23,FALSE))/10))</f>
        <v>296.39999999999998</v>
      </c>
      <c r="AE183" s="267">
        <f>IF(IndividualLATest!$J$7=2014,(VLOOKUP($A183,Hshldprojections2014!$A$2:$AY$326,44,FALSE)-VLOOKUP($A183,Hshldprojections2014!$A$2:$AY$326,34,FALSE))/10,IF(IndividualLATest!$J$7=2016,(VLOOKUP($A183,Hshldprojections2016!$A$1:$AQ$322,34,FALSE)-VLOOKUP($A183,Hshldprojections2016!$A$1:$AQ$322,24,FALSE))/10,(VLOOKUP($A183,Hshldprojections2018!$A$1:$AQ$327,34,FALSE)-VLOOKUP($A183,Hshldprojections2018!$A$1:$AQ$327,24,FALSE))/10))</f>
        <v>289.10000000000002</v>
      </c>
      <c r="AF183" s="267">
        <f>IF(IndividualLATest!$J$7=2014,(VLOOKUP($A183,Hshldprojections2014!$A$2:$AY$326,45,FALSE)-VLOOKUP($A183,Hshldprojections2014!$A$2:$AY$326,35,FALSE))/10,IF(IndividualLATest!$J$7=2016,(VLOOKUP($A183,Hshldprojections2016!$A$1:$AQ$322,35,FALSE)-VLOOKUP($A183,Hshldprojections2016!$A$1:$AQ$322,25,FALSE))/10,(VLOOKUP($A183,Hshldprojections2018!$A$1:$AQ$327,35,FALSE)-VLOOKUP($A183,Hshldprojections2018!$A$1:$AQ$327,25,FALSE))/10))</f>
        <v>285.3</v>
      </c>
      <c r="AG183" s="267">
        <f>IF(IndividualLATest!$J$7=2014,(VLOOKUP($A183,Hshldprojections2014!$A$2:$AY$326,46,FALSE)-VLOOKUP($A183,Hshldprojections2014!$A$2:$AY$326,36,FALSE))/10,IF(IndividualLATest!$J$7=2016,(VLOOKUP($A183,Hshldprojections2016!$A$1:$AQ$322,36,FALSE)-VLOOKUP($A183,Hshldprojections2016!$A$1:$AQ$322,26,FALSE))/10,(VLOOKUP($A183,Hshldprojections2018!$A$1:$AQ$327,36,FALSE)-VLOOKUP($A183,Hshldprojections2018!$A$1:$AQ$327,26,FALSE))/10))</f>
        <v>278.2</v>
      </c>
      <c r="AH183" s="267">
        <f>IF(IndividualLATest!$J$7=2014,(VLOOKUP($A183,Hshldprojections2014!$A$2:$AY$326,47,FALSE)-VLOOKUP($A183,Hshldprojections2014!$A$2:$AY$326,37,FALSE))/10,IF(IndividualLATest!$J$7=2016,(VLOOKUP($A183,Hshldprojections2016!$A$1:$AQ$322,37,FALSE)-VLOOKUP($A183,Hshldprojections2016!$A$1:$AQ$322,27,FALSE))/10,(VLOOKUP($A183,Hshldprojections2018!$A$1:$AQ$327,37,FALSE)-VLOOKUP($A183,Hshldprojections2018!$A$1:$AQ$327,27,FALSE))/10))</f>
        <v>274.8</v>
      </c>
      <c r="AI183" s="268">
        <f>VLOOKUP($A183,AffordabilityRatio!$A$2:$I$321,5,FALSE)</f>
        <v>10.31</v>
      </c>
      <c r="AJ183" s="268">
        <f>VLOOKUP($A183,AffordabilityRatio!$A$2:$I$321,6,FALSE)</f>
        <v>10.83</v>
      </c>
      <c r="AK183" s="268">
        <f>VLOOKUP($A183,AffordabilityRatio!$A$2:$I$321,7,FALSE)</f>
        <v>10.199999999999999</v>
      </c>
      <c r="AL183" s="268">
        <f>IF((VLOOKUP($A183,AffordabilityRatio!$A$2:$I$321,8,FALSE))="",AK183,VLOOKUP($A183,AffordabilityRatio!$A$2:$I$321,8,FALSE))</f>
        <v>11.06</v>
      </c>
      <c r="AM183" s="268">
        <f>IF((VLOOKUP($A183,AffordabilityRatio!$A$2:$I$321,9,FALSE))="",AL183,VLOOKUP($A183,AffordabilityRatio!$A$2:$I$321,9,FALSE))</f>
        <v>11.22</v>
      </c>
      <c r="AN183" s="268">
        <f>IF((VLOOKUP($A183,AffordabilityRatio!$A$2:$I$321,9,FALSE))="",AM183,VLOOKUP($A183,AffordabilityRatio!$A$2:$I$321,9,FALSE))</f>
        <v>11.22</v>
      </c>
      <c r="AO183" s="268">
        <f>IF((VLOOKUP($A183,AffordabilityRatio!$A$2:$I$321,9,FALSE))="",AN183,VLOOKUP($A183,AffordabilityRatio!$A$2:$I$321,9,FALSE))</f>
        <v>11.22</v>
      </c>
      <c r="AP183" s="268">
        <f>IF((VLOOKUP($A183,AffordabilityRatio!$A$2:$I$321,9,FALSE))="",AO183,VLOOKUP($A183,AffordabilityRatio!$A$2:$I$321,9,FALSE))</f>
        <v>11.22</v>
      </c>
      <c r="AQ183" s="267">
        <f t="shared" si="152"/>
        <v>984</v>
      </c>
      <c r="AR183" s="267">
        <f t="shared" si="153"/>
        <v>1002</v>
      </c>
      <c r="AS183" s="267">
        <f t="shared" si="154"/>
        <v>972</v>
      </c>
      <c r="AT183" s="267">
        <f t="shared" si="155"/>
        <v>427</v>
      </c>
      <c r="AU183" s="267">
        <f t="shared" si="156"/>
        <v>420</v>
      </c>
      <c r="AV183" s="267">
        <f t="shared" si="157"/>
        <v>414</v>
      </c>
      <c r="AW183" s="267">
        <f t="shared" si="158"/>
        <v>404</v>
      </c>
      <c r="AX183" s="267">
        <f t="shared" si="159"/>
        <v>399</v>
      </c>
      <c r="AY183" s="267">
        <f t="shared" si="160"/>
        <v>984</v>
      </c>
      <c r="AZ183" s="267">
        <f t="shared" si="161"/>
        <v>983.5</v>
      </c>
      <c r="BA183" s="267">
        <f t="shared" si="162"/>
        <v>972</v>
      </c>
      <c r="BB183" s="267">
        <f t="shared" si="163"/>
        <v>427</v>
      </c>
      <c r="BC183" s="267">
        <f t="shared" si="164"/>
        <v>420</v>
      </c>
      <c r="BD183" s="267">
        <f t="shared" si="165"/>
        <v>414</v>
      </c>
      <c r="BE183" s="267">
        <f t="shared" si="166"/>
        <v>404</v>
      </c>
      <c r="BF183" s="267">
        <f t="shared" si="167"/>
        <v>399</v>
      </c>
      <c r="BG183" s="269">
        <f>AY183*VLOOKUP($B183,'Major Cities &amp; Towns'!$A$28:$B$345,2,FALSE)</f>
        <v>984</v>
      </c>
      <c r="BH183" s="269">
        <f>AZ183*VLOOKUP($B183,'Major Cities &amp; Towns'!$A$28:$B$345,2,FALSE)</f>
        <v>983.5</v>
      </c>
      <c r="BI183" s="269">
        <f>BA183*VLOOKUP($B183,'Major Cities &amp; Towns'!$A$28:$B$345,2,FALSE)</f>
        <v>972</v>
      </c>
      <c r="BJ183" s="269">
        <f>BB183*VLOOKUP($B183,'Major Cities &amp; Towns'!$A$28:$B$345,2,FALSE)</f>
        <v>427</v>
      </c>
      <c r="BK183" s="269">
        <f>BC183*VLOOKUP($B183,'Major Cities &amp; Towns'!$A$28:$B$345,2,FALSE)</f>
        <v>420</v>
      </c>
      <c r="BL183" s="269">
        <f>BD183*VLOOKUP($B183,'Major Cities &amp; Towns'!$A$28:$B$345,2,FALSE)</f>
        <v>414</v>
      </c>
      <c r="BM183" s="269">
        <f>BE183*VLOOKUP($B183,'Major Cities &amp; Towns'!$A$28:$B$345,2,FALSE)</f>
        <v>404</v>
      </c>
      <c r="BN183" s="269">
        <f>BF183*VLOOKUP($B183,'Major Cities &amp; Towns'!$A$28:$B$345,2,FALSE)</f>
        <v>399</v>
      </c>
      <c r="BO183" s="270">
        <f t="shared" si="168"/>
        <v>984</v>
      </c>
      <c r="BP183" s="270">
        <f t="shared" si="169"/>
        <v>1002</v>
      </c>
      <c r="BQ183" s="270">
        <f t="shared" si="170"/>
        <v>972</v>
      </c>
      <c r="BR183" s="270">
        <f t="shared" si="171"/>
        <v>427</v>
      </c>
      <c r="BS183" s="270">
        <f t="shared" si="172"/>
        <v>420</v>
      </c>
      <c r="BT183" s="270">
        <f t="shared" si="173"/>
        <v>414</v>
      </c>
      <c r="BU183" s="270">
        <f t="shared" si="174"/>
        <v>404</v>
      </c>
      <c r="BV183" s="270">
        <f t="shared" si="175"/>
        <v>399</v>
      </c>
      <c r="BW183" s="39">
        <f>VLOOKUP($A183,NetAdditions!$A$2:$H$336,6,FALSE)</f>
        <v>222</v>
      </c>
      <c r="BX183" s="39">
        <f>VLOOKUP($A183,NetAdditions!$A$2:$H$336,7,FALSE)</f>
        <v>433</v>
      </c>
      <c r="BY183" s="39">
        <f>IF((VLOOKUP($C183,NetAdditions!$A$2:$H$336,8,FALSE))="",(AVERAGE(VLOOKUP($C183,NetAdditions!$A$2:$H$336,5,FALSE),VLOOKUP($C183,NetAdditions!$A$2:$H$336,6,FALSE),VLOOKUP($C183,NetAdditions!$A$2:$H$336,7,FALSE))),VLOOKUP($C183,NetAdditions!$A$2:$H$336,8,FALSE))</f>
        <v>593</v>
      </c>
      <c r="BZ183" s="39">
        <f t="shared" si="176"/>
        <v>416</v>
      </c>
      <c r="CA183" s="39">
        <f t="shared" si="177"/>
        <v>480.66666666666669</v>
      </c>
      <c r="CB183" s="39">
        <f t="shared" si="178"/>
        <v>496.5555555555556</v>
      </c>
      <c r="CC183" s="39">
        <f t="shared" si="179"/>
        <v>464.40740740740745</v>
      </c>
      <c r="CD183" s="39">
        <f t="shared" si="180"/>
        <v>480.54320987654324</v>
      </c>
      <c r="CE183" s="276">
        <f t="shared" si="137"/>
        <v>2958</v>
      </c>
      <c r="CF183" s="276">
        <f t="shared" si="138"/>
        <v>2401</v>
      </c>
      <c r="CG183" s="276">
        <f t="shared" si="139"/>
        <v>1819</v>
      </c>
      <c r="CH183" s="276">
        <f t="shared" si="140"/>
        <v>1261</v>
      </c>
      <c r="CI183" s="276">
        <f t="shared" si="141"/>
        <v>1238</v>
      </c>
      <c r="CJ183" s="276">
        <f t="shared" si="142"/>
        <v>1217</v>
      </c>
      <c r="CK183" s="276">
        <f t="shared" si="181"/>
        <v>2547.166666666667</v>
      </c>
      <c r="CL183" s="276">
        <f t="shared" si="182"/>
        <v>2067.5277777777778</v>
      </c>
      <c r="CM183" s="276">
        <f t="shared" si="183"/>
        <v>1667.4166666666665</v>
      </c>
      <c r="CN183" s="276">
        <f t="shared" si="184"/>
        <v>1261</v>
      </c>
      <c r="CO183" s="276">
        <f t="shared" si="185"/>
        <v>1238</v>
      </c>
      <c r="CP183" s="276">
        <f t="shared" si="186"/>
        <v>1217</v>
      </c>
      <c r="CQ183" s="39">
        <f t="shared" si="143"/>
        <v>1248</v>
      </c>
      <c r="CR183" s="39">
        <f t="shared" si="144"/>
        <v>1442</v>
      </c>
      <c r="CS183" s="277">
        <f t="shared" si="145"/>
        <v>1489.6666666666667</v>
      </c>
      <c r="CT183" s="39">
        <f t="shared" si="146"/>
        <v>1393.2222222222224</v>
      </c>
      <c r="CU183" s="39">
        <f t="shared" si="147"/>
        <v>1441.6296296296298</v>
      </c>
      <c r="CV183" s="39">
        <f t="shared" si="187"/>
        <v>1441.5061728395062</v>
      </c>
      <c r="CW183" s="297">
        <f t="shared" si="148"/>
        <v>0.48995616043970419</v>
      </c>
      <c r="CX183" s="279" t="str">
        <f t="shared" si="188"/>
        <v>Buffer and Action Plan</v>
      </c>
      <c r="CY183" s="278">
        <f t="shared" si="149"/>
        <v>0.69745133076271981</v>
      </c>
      <c r="CZ183" s="279" t="str">
        <f t="shared" si="189"/>
        <v>Buffer and Action Plan</v>
      </c>
      <c r="DA183" s="278">
        <f t="shared" si="150"/>
        <v>0.89339797091308926</v>
      </c>
      <c r="DB183" s="292" t="str">
        <f t="shared" si="190"/>
        <v>Action Plan</v>
      </c>
      <c r="DC183" s="299">
        <f t="shared" si="191"/>
        <v>1.1048550533086616</v>
      </c>
      <c r="DD183" s="293" t="str">
        <f t="shared" si="192"/>
        <v>Pass</v>
      </c>
      <c r="DE183" s="299">
        <f t="shared" si="193"/>
        <v>1.1644827379883924</v>
      </c>
      <c r="DF183" s="293" t="str">
        <f t="shared" si="194"/>
        <v>Pass</v>
      </c>
      <c r="DG183" s="299">
        <f t="shared" si="195"/>
        <v>1.1844750803940067</v>
      </c>
      <c r="DH183" s="293" t="str">
        <f t="shared" si="196"/>
        <v>Pass</v>
      </c>
    </row>
    <row r="184" spans="1:112" ht="15" thickTop="1" thickBot="1">
      <c r="A184" s="38" t="s">
        <v>478</v>
      </c>
      <c r="B184" s="38" t="s">
        <v>479</v>
      </c>
      <c r="C184" s="38" t="s">
        <v>478</v>
      </c>
      <c r="D184" s="38" t="s">
        <v>119</v>
      </c>
      <c r="E184" s="38" t="str">
        <f>VLOOKUP(C184,PoliticalControl!A:K,11,FALSE)</f>
        <v>IND/OTHER</v>
      </c>
      <c r="F184" s="38" t="str">
        <f>VLOOKUP(C184,UrbanRuralClassification!A:N,13,FALSE)</f>
        <v xml:space="preserve">Mainly Rural (rural including hub towns &gt;=80%) </v>
      </c>
      <c r="G184" s="38" t="str">
        <f>VLOOKUP(C184,UrbanRuralClassification!A:N,14,FALSE)</f>
        <v>Predominantly Rural</v>
      </c>
      <c r="H184" s="258">
        <f>IF(ISBLANK((VLOOKUP($A184,'local-plan-data'!$C$1:$AD$566,27,FALSE)))=TRUE,"",VLOOKUP($A184,'local-plan-data'!$C$1:$AD$566,27,FALSE))</f>
        <v>42849</v>
      </c>
      <c r="I184" s="259">
        <f>VLOOKUP($A184,'local-plan-data'!$C$1:$AD$566,28,FALSE)</f>
        <v>1540</v>
      </c>
      <c r="J184" s="260">
        <f t="shared" si="151"/>
        <v>1540</v>
      </c>
      <c r="K184" s="259">
        <f t="shared" si="197"/>
        <v>1540</v>
      </c>
      <c r="L184" s="259">
        <f t="shared" si="199"/>
        <v>1540</v>
      </c>
      <c r="M184" s="259">
        <f t="shared" si="199"/>
        <v>1540</v>
      </c>
      <c r="N184" s="259">
        <f t="shared" si="199"/>
        <v>1540</v>
      </c>
      <c r="O184" s="259">
        <f t="shared" si="199"/>
        <v>1540</v>
      </c>
      <c r="P184" s="259" t="str">
        <f t="shared" si="199"/>
        <v>-</v>
      </c>
      <c r="Q184" s="259" t="str">
        <f t="shared" si="199"/>
        <v>-</v>
      </c>
      <c r="R184" s="259" t="str">
        <f t="shared" si="199"/>
        <v>-</v>
      </c>
      <c r="S184" s="259">
        <f t="shared" si="198"/>
        <v>1484</v>
      </c>
      <c r="T184" s="259">
        <f t="shared" si="200"/>
        <v>1119</v>
      </c>
      <c r="U184" s="259">
        <f t="shared" si="200"/>
        <v>753</v>
      </c>
      <c r="V184" s="259">
        <f t="shared" si="200"/>
        <v>388</v>
      </c>
      <c r="W184" s="259">
        <f t="shared" si="200"/>
        <v>23</v>
      </c>
      <c r="X184" s="259">
        <f t="shared" si="200"/>
        <v>-342</v>
      </c>
      <c r="Y184" s="259">
        <f t="shared" si="200"/>
        <v>-708</v>
      </c>
      <c r="Z184" s="259">
        <f t="shared" si="200"/>
        <v>-1073</v>
      </c>
      <c r="AA184" s="267">
        <f>(VLOOKUP(A184,Hshldprojections2014!$A$2:$AW$319,40, FALSE)-VLOOKUP(A184,Hshldprojections2014!$A$2:$AW$319,30, FALSE))/10</f>
        <v>391.5</v>
      </c>
      <c r="AB184" s="267">
        <f>(VLOOKUP(A184,Hshldprojections2014!$A$2:$AW$319,41, FALSE)-VLOOKUP(A184,Hshldprojections2014!$A$2:$AW$319,31, FALSE))/10</f>
        <v>381.5</v>
      </c>
      <c r="AC184" s="267">
        <f>(VLOOKUP(A184,Hshldprojections2014!$A$2:$AW$319,42, FALSE)-VLOOKUP(A184,Hshldprojections2014!$A$2:$AW$319,32, FALSE))/10</f>
        <v>372.1</v>
      </c>
      <c r="AD184" s="267">
        <f>IF(IndividualLATest!$J$7=2014,(VLOOKUP($A184,Hshldprojections2014!$A$2:$AY$326,43,FALSE)-VLOOKUP($A184,Hshldprojections2014!$A$2:$AY$326,33,FALSE))/10,IF(IndividualLATest!$J$7=2016,(VLOOKUP($A184,Hshldprojections2016!$A$1:$AQ$322,33,FALSE)-VLOOKUP($A184,Hshldprojections2016!$A$1:$AQ$322,23,FALSE))/10,(VLOOKUP($A184,Hshldprojections2018!$A$1:$AQ$327,33,FALSE)-VLOOKUP($A184,Hshldprojections2018!$A$1:$AQ$327,23,FALSE))/10))</f>
        <v>424.1</v>
      </c>
      <c r="AE184" s="267">
        <f>IF(IndividualLATest!$J$7=2014,(VLOOKUP($A184,Hshldprojections2014!$A$2:$AY$326,44,FALSE)-VLOOKUP($A184,Hshldprojections2014!$A$2:$AY$326,34,FALSE))/10,IF(IndividualLATest!$J$7=2016,(VLOOKUP($A184,Hshldprojections2016!$A$1:$AQ$322,34,FALSE)-VLOOKUP($A184,Hshldprojections2016!$A$1:$AQ$322,24,FALSE))/10,(VLOOKUP($A184,Hshldprojections2018!$A$1:$AQ$327,34,FALSE)-VLOOKUP($A184,Hshldprojections2018!$A$1:$AQ$327,24,FALSE))/10))</f>
        <v>411.8</v>
      </c>
      <c r="AF184" s="267">
        <f>IF(IndividualLATest!$J$7=2014,(VLOOKUP($A184,Hshldprojections2014!$A$2:$AY$326,45,FALSE)-VLOOKUP($A184,Hshldprojections2014!$A$2:$AY$326,35,FALSE))/10,IF(IndividualLATest!$J$7=2016,(VLOOKUP($A184,Hshldprojections2016!$A$1:$AQ$322,35,FALSE)-VLOOKUP($A184,Hshldprojections2016!$A$1:$AQ$322,25,FALSE))/10,(VLOOKUP($A184,Hshldprojections2018!$A$1:$AQ$327,35,FALSE)-VLOOKUP($A184,Hshldprojections2018!$A$1:$AQ$327,25,FALSE))/10))</f>
        <v>403.7</v>
      </c>
      <c r="AG184" s="267">
        <f>IF(IndividualLATest!$J$7=2014,(VLOOKUP($A184,Hshldprojections2014!$A$2:$AY$326,46,FALSE)-VLOOKUP($A184,Hshldprojections2014!$A$2:$AY$326,36,FALSE))/10,IF(IndividualLATest!$J$7=2016,(VLOOKUP($A184,Hshldprojections2016!$A$1:$AQ$322,36,FALSE)-VLOOKUP($A184,Hshldprojections2016!$A$1:$AQ$322,26,FALSE))/10,(VLOOKUP($A184,Hshldprojections2018!$A$1:$AQ$327,36,FALSE)-VLOOKUP($A184,Hshldprojections2018!$A$1:$AQ$327,26,FALSE))/10))</f>
        <v>393.9</v>
      </c>
      <c r="AH184" s="267">
        <f>IF(IndividualLATest!$J$7=2014,(VLOOKUP($A184,Hshldprojections2014!$A$2:$AY$326,47,FALSE)-VLOOKUP($A184,Hshldprojections2014!$A$2:$AY$326,37,FALSE))/10,IF(IndividualLATest!$J$7=2016,(VLOOKUP($A184,Hshldprojections2016!$A$1:$AQ$322,37,FALSE)-VLOOKUP($A184,Hshldprojections2016!$A$1:$AQ$322,27,FALSE))/10,(VLOOKUP($A184,Hshldprojections2018!$A$1:$AQ$327,37,FALSE)-VLOOKUP($A184,Hshldprojections2018!$A$1:$AQ$327,27,FALSE))/10))</f>
        <v>385.8</v>
      </c>
      <c r="AI184" s="268">
        <f>VLOOKUP($A184,AffordabilityRatio!$A$2:$I$321,5,FALSE)</f>
        <v>7.46</v>
      </c>
      <c r="AJ184" s="268">
        <f>VLOOKUP($A184,AffordabilityRatio!$A$2:$I$321,6,FALSE)</f>
        <v>7.39</v>
      </c>
      <c r="AK184" s="268">
        <f>VLOOKUP($A184,AffordabilityRatio!$A$2:$I$321,7,FALSE)</f>
        <v>7.52</v>
      </c>
      <c r="AL184" s="268">
        <f>IF((VLOOKUP($A184,AffordabilityRatio!$A$2:$I$321,8,FALSE))="",AK184,VLOOKUP($A184,AffordabilityRatio!$A$2:$I$321,8,FALSE))</f>
        <v>6.89</v>
      </c>
      <c r="AM184" s="268">
        <f>IF((VLOOKUP($A184,AffordabilityRatio!$A$2:$I$321,9,FALSE))="",AL184,VLOOKUP($A184,AffordabilityRatio!$A$2:$I$321,9,FALSE))</f>
        <v>8.16</v>
      </c>
      <c r="AN184" s="268">
        <f>IF((VLOOKUP($A184,AffordabilityRatio!$A$2:$I$321,9,FALSE))="",AM184,VLOOKUP($A184,AffordabilityRatio!$A$2:$I$321,9,FALSE))</f>
        <v>8.16</v>
      </c>
      <c r="AO184" s="268">
        <f>IF((VLOOKUP($A184,AffordabilityRatio!$A$2:$I$321,9,FALSE))="",AN184,VLOOKUP($A184,AffordabilityRatio!$A$2:$I$321,9,FALSE))</f>
        <v>8.16</v>
      </c>
      <c r="AP184" s="268">
        <f>IF((VLOOKUP($A184,AffordabilityRatio!$A$2:$I$321,9,FALSE))="",AO184,VLOOKUP($A184,AffordabilityRatio!$A$2:$I$321,9,FALSE))</f>
        <v>8.16</v>
      </c>
      <c r="AQ184" s="267">
        <f t="shared" si="152"/>
        <v>476</v>
      </c>
      <c r="AR184" s="267">
        <f t="shared" si="153"/>
        <v>462</v>
      </c>
      <c r="AS184" s="267">
        <f t="shared" si="154"/>
        <v>454</v>
      </c>
      <c r="AT184" s="267">
        <f t="shared" si="155"/>
        <v>501</v>
      </c>
      <c r="AU184" s="267">
        <f t="shared" si="156"/>
        <v>519</v>
      </c>
      <c r="AV184" s="267">
        <f t="shared" si="157"/>
        <v>509</v>
      </c>
      <c r="AW184" s="267">
        <f t="shared" si="158"/>
        <v>496</v>
      </c>
      <c r="AX184" s="267">
        <f t="shared" si="159"/>
        <v>486</v>
      </c>
      <c r="AY184" s="267">
        <f t="shared" si="160"/>
        <v>476</v>
      </c>
      <c r="AZ184" s="267">
        <f t="shared" si="161"/>
        <v>462</v>
      </c>
      <c r="BA184" s="267">
        <f t="shared" si="162"/>
        <v>454</v>
      </c>
      <c r="BB184" s="267">
        <f t="shared" si="163"/>
        <v>501</v>
      </c>
      <c r="BC184" s="267">
        <f t="shared" si="164"/>
        <v>519</v>
      </c>
      <c r="BD184" s="267">
        <f t="shared" si="165"/>
        <v>509</v>
      </c>
      <c r="BE184" s="267">
        <f t="shared" si="166"/>
        <v>496</v>
      </c>
      <c r="BF184" s="267">
        <f t="shared" si="167"/>
        <v>486</v>
      </c>
      <c r="BG184" s="269">
        <f>AY184*VLOOKUP($B184,'Major Cities &amp; Towns'!$A$28:$B$345,2,FALSE)</f>
        <v>476</v>
      </c>
      <c r="BH184" s="269">
        <f>AZ184*VLOOKUP($B184,'Major Cities &amp; Towns'!$A$28:$B$345,2,FALSE)</f>
        <v>462</v>
      </c>
      <c r="BI184" s="269">
        <f>BA184*VLOOKUP($B184,'Major Cities &amp; Towns'!$A$28:$B$345,2,FALSE)</f>
        <v>454</v>
      </c>
      <c r="BJ184" s="269">
        <f>BB184*VLOOKUP($B184,'Major Cities &amp; Towns'!$A$28:$B$345,2,FALSE)</f>
        <v>501</v>
      </c>
      <c r="BK184" s="269">
        <f>BC184*VLOOKUP($B184,'Major Cities &amp; Towns'!$A$28:$B$345,2,FALSE)</f>
        <v>519</v>
      </c>
      <c r="BL184" s="269">
        <f>BD184*VLOOKUP($B184,'Major Cities &amp; Towns'!$A$28:$B$345,2,FALSE)</f>
        <v>509</v>
      </c>
      <c r="BM184" s="269">
        <f>BE184*VLOOKUP($B184,'Major Cities &amp; Towns'!$A$28:$B$345,2,FALSE)</f>
        <v>496</v>
      </c>
      <c r="BN184" s="269">
        <f>BF184*VLOOKUP($B184,'Major Cities &amp; Towns'!$A$28:$B$345,2,FALSE)</f>
        <v>486</v>
      </c>
      <c r="BO184" s="270">
        <f t="shared" si="168"/>
        <v>476</v>
      </c>
      <c r="BP184" s="270">
        <f t="shared" si="169"/>
        <v>462</v>
      </c>
      <c r="BQ184" s="270">
        <f t="shared" si="170"/>
        <v>454</v>
      </c>
      <c r="BR184" s="270">
        <f t="shared" si="171"/>
        <v>501</v>
      </c>
      <c r="BS184" s="270">
        <f t="shared" si="172"/>
        <v>519</v>
      </c>
      <c r="BT184" s="270">
        <f t="shared" si="173"/>
        <v>509</v>
      </c>
      <c r="BU184" s="270">
        <f t="shared" si="174"/>
        <v>496</v>
      </c>
      <c r="BV184" s="270">
        <f t="shared" si="175"/>
        <v>486</v>
      </c>
      <c r="BW184" s="39">
        <f>VLOOKUP($A184,NetAdditions!$A$2:$H$336,6,FALSE)</f>
        <v>693</v>
      </c>
      <c r="BX184" s="39">
        <f>VLOOKUP($A184,NetAdditions!$A$2:$H$336,7,FALSE)</f>
        <v>760</v>
      </c>
      <c r="BY184" s="39">
        <f>IF((VLOOKUP($C184,NetAdditions!$A$2:$H$336,8,FALSE))="",(AVERAGE(VLOOKUP($C184,NetAdditions!$A$2:$H$336,5,FALSE),VLOOKUP($C184,NetAdditions!$A$2:$H$336,6,FALSE),VLOOKUP($C184,NetAdditions!$A$2:$H$336,7,FALSE))),VLOOKUP($C184,NetAdditions!$A$2:$H$336,8,FALSE))</f>
        <v>487</v>
      </c>
      <c r="BZ184" s="39">
        <f t="shared" si="176"/>
        <v>646.66666666666663</v>
      </c>
      <c r="CA184" s="39">
        <f t="shared" si="177"/>
        <v>631.22222222222217</v>
      </c>
      <c r="CB184" s="39">
        <f t="shared" si="178"/>
        <v>588.29629629629619</v>
      </c>
      <c r="CC184" s="39">
        <f t="shared" si="179"/>
        <v>622.06172839506155</v>
      </c>
      <c r="CD184" s="39">
        <f t="shared" si="180"/>
        <v>613.8600823045266</v>
      </c>
      <c r="CE184" s="276">
        <f t="shared" si="137"/>
        <v>1392</v>
      </c>
      <c r="CF184" s="276">
        <f t="shared" si="138"/>
        <v>1417</v>
      </c>
      <c r="CG184" s="276">
        <f t="shared" si="139"/>
        <v>1474</v>
      </c>
      <c r="CH184" s="276">
        <f t="shared" si="140"/>
        <v>1529</v>
      </c>
      <c r="CI184" s="276">
        <f t="shared" si="141"/>
        <v>1524</v>
      </c>
      <c r="CJ184" s="276">
        <f t="shared" si="142"/>
        <v>1491</v>
      </c>
      <c r="CK184" s="276">
        <f t="shared" si="181"/>
        <v>1198.6666666666667</v>
      </c>
      <c r="CL184" s="276">
        <f t="shared" si="182"/>
        <v>1220.1944444444446</v>
      </c>
      <c r="CM184" s="276">
        <f t="shared" si="183"/>
        <v>1351.1666666666665</v>
      </c>
      <c r="CN184" s="276">
        <f t="shared" si="184"/>
        <v>1529</v>
      </c>
      <c r="CO184" s="276">
        <f t="shared" si="185"/>
        <v>1524</v>
      </c>
      <c r="CP184" s="276">
        <f t="shared" si="186"/>
        <v>1491</v>
      </c>
      <c r="CQ184" s="39">
        <f t="shared" si="143"/>
        <v>1940</v>
      </c>
      <c r="CR184" s="39">
        <f t="shared" si="144"/>
        <v>1893.6666666666665</v>
      </c>
      <c r="CS184" s="277">
        <f t="shared" si="145"/>
        <v>1764.8888888888887</v>
      </c>
      <c r="CT184" s="39">
        <f t="shared" si="146"/>
        <v>1866.1851851851848</v>
      </c>
      <c r="CU184" s="39">
        <f t="shared" si="147"/>
        <v>1841.5802469135797</v>
      </c>
      <c r="CV184" s="39">
        <f t="shared" si="187"/>
        <v>1824.2181069958842</v>
      </c>
      <c r="CW184" s="297">
        <f t="shared" si="148"/>
        <v>1.618464961067853</v>
      </c>
      <c r="CX184" s="279" t="str">
        <f t="shared" si="188"/>
        <v>Pass</v>
      </c>
      <c r="CY184" s="278">
        <f t="shared" si="149"/>
        <v>1.5519384433264276</v>
      </c>
      <c r="CZ184" s="279" t="str">
        <f t="shared" si="189"/>
        <v>Pass</v>
      </c>
      <c r="DA184" s="278">
        <f t="shared" si="150"/>
        <v>1.3061962912709182</v>
      </c>
      <c r="DB184" s="292" t="str">
        <f t="shared" si="190"/>
        <v>Pass</v>
      </c>
      <c r="DC184" s="299">
        <f t="shared" si="191"/>
        <v>1.2205266090158173</v>
      </c>
      <c r="DD184" s="293" t="str">
        <f t="shared" si="192"/>
        <v>Pass</v>
      </c>
      <c r="DE184" s="299">
        <f t="shared" si="193"/>
        <v>1.2083859887884381</v>
      </c>
      <c r="DF184" s="293" t="str">
        <f t="shared" si="194"/>
        <v>Pass</v>
      </c>
      <c r="DG184" s="299">
        <f t="shared" si="195"/>
        <v>1.2234863225995198</v>
      </c>
      <c r="DH184" s="293" t="str">
        <f t="shared" si="196"/>
        <v>Pass</v>
      </c>
    </row>
    <row r="185" spans="1:112" ht="15" thickTop="1" thickBot="1">
      <c r="A185" s="38" t="s">
        <v>480</v>
      </c>
      <c r="B185" s="38" t="s">
        <v>481</v>
      </c>
      <c r="C185" s="38" t="s">
        <v>480</v>
      </c>
      <c r="D185" s="38" t="s">
        <v>136</v>
      </c>
      <c r="E185" s="38" t="str">
        <f>VLOOKUP(C185,PoliticalControl!A:K,11,FALSE)</f>
        <v>CON</v>
      </c>
      <c r="F185" s="38" t="str">
        <f>VLOOKUP(C185,UrbanRuralClassification!A:N,13,FALSE)</f>
        <v>Urban with Significant Rural (rural including hub towns 26-49%)</v>
      </c>
      <c r="G185" s="38" t="str">
        <f>VLOOKUP(C185,UrbanRuralClassification!A:N,14,FALSE)</f>
        <v>Urban with Significant Rural</v>
      </c>
      <c r="H185" s="258">
        <f>IF(ISBLANK((VLOOKUP($A185,'local-plan-data'!$C$1:$AD$566,27,FALSE)))=TRUE,"",VLOOKUP($A185,'local-plan-data'!$C$1:$AD$566,27,FALSE))</f>
        <v>40722</v>
      </c>
      <c r="I185" s="259">
        <f>VLOOKUP($A185,'local-plan-data'!$C$1:$AD$566,28,FALSE)</f>
        <v>713.63636363636363</v>
      </c>
      <c r="J185" s="260">
        <f t="shared" si="151"/>
        <v>713.63636363636363</v>
      </c>
      <c r="K185" s="259" t="str">
        <f t="shared" si="197"/>
        <v>-</v>
      </c>
      <c r="L185" s="259" t="str">
        <f t="shared" si="199"/>
        <v>-</v>
      </c>
      <c r="M185" s="259" t="str">
        <f t="shared" si="199"/>
        <v>-</v>
      </c>
      <c r="N185" s="259" t="str">
        <f t="shared" si="199"/>
        <v>-</v>
      </c>
      <c r="O185" s="259" t="str">
        <f t="shared" si="199"/>
        <v>-</v>
      </c>
      <c r="P185" s="259" t="str">
        <f t="shared" si="199"/>
        <v>-</v>
      </c>
      <c r="Q185" s="259" t="str">
        <f t="shared" si="199"/>
        <v>-</v>
      </c>
      <c r="R185" s="259" t="str">
        <f t="shared" si="199"/>
        <v>-</v>
      </c>
      <c r="S185" s="259">
        <f t="shared" si="198"/>
        <v>-642</v>
      </c>
      <c r="T185" s="259">
        <f t="shared" si="200"/>
        <v>-1007</v>
      </c>
      <c r="U185" s="259">
        <f t="shared" si="200"/>
        <v>-1373</v>
      </c>
      <c r="V185" s="259">
        <f t="shared" si="200"/>
        <v>-1738</v>
      </c>
      <c r="W185" s="259">
        <f t="shared" si="200"/>
        <v>-2103</v>
      </c>
      <c r="X185" s="259">
        <f t="shared" si="200"/>
        <v>-2468</v>
      </c>
      <c r="Y185" s="259">
        <f t="shared" si="200"/>
        <v>-2834</v>
      </c>
      <c r="Z185" s="259">
        <f t="shared" si="200"/>
        <v>-3199</v>
      </c>
      <c r="AA185" s="267">
        <f>(VLOOKUP(A185,Hshldprojections2014!$A$2:$AW$319,40, FALSE)-VLOOKUP(A185,Hshldprojections2014!$A$2:$AW$319,30, FALSE))/10</f>
        <v>392</v>
      </c>
      <c r="AB185" s="267">
        <f>(VLOOKUP(A185,Hshldprojections2014!$A$2:$AW$319,41, FALSE)-VLOOKUP(A185,Hshldprojections2014!$A$2:$AW$319,31, FALSE))/10</f>
        <v>384.1</v>
      </c>
      <c r="AC185" s="267">
        <f>(VLOOKUP(A185,Hshldprojections2014!$A$2:$AW$319,42, FALSE)-VLOOKUP(A185,Hshldprojections2014!$A$2:$AW$319,32, FALSE))/10</f>
        <v>374.3</v>
      </c>
      <c r="AD185" s="267">
        <f>IF(IndividualLATest!$J$7=2014,(VLOOKUP($A185,Hshldprojections2014!$A$2:$AY$326,43,FALSE)-VLOOKUP($A185,Hshldprojections2014!$A$2:$AY$326,33,FALSE))/10,IF(IndividualLATest!$J$7=2016,(VLOOKUP($A185,Hshldprojections2016!$A$1:$AQ$322,33,FALSE)-VLOOKUP($A185,Hshldprojections2016!$A$1:$AQ$322,23,FALSE))/10,(VLOOKUP($A185,Hshldprojections2018!$A$1:$AQ$327,33,FALSE)-VLOOKUP($A185,Hshldprojections2018!$A$1:$AQ$327,23,FALSE))/10))</f>
        <v>364.1</v>
      </c>
      <c r="AE185" s="267">
        <f>IF(IndividualLATest!$J$7=2014,(VLOOKUP($A185,Hshldprojections2014!$A$2:$AY$326,44,FALSE)-VLOOKUP($A185,Hshldprojections2014!$A$2:$AY$326,34,FALSE))/10,IF(IndividualLATest!$J$7=2016,(VLOOKUP($A185,Hshldprojections2016!$A$1:$AQ$322,34,FALSE)-VLOOKUP($A185,Hshldprojections2016!$A$1:$AQ$322,24,FALSE))/10,(VLOOKUP($A185,Hshldprojections2018!$A$1:$AQ$327,34,FALSE)-VLOOKUP($A185,Hshldprojections2018!$A$1:$AQ$327,24,FALSE))/10))</f>
        <v>351.9</v>
      </c>
      <c r="AF185" s="267">
        <f>IF(IndividualLATest!$J$7=2014,(VLOOKUP($A185,Hshldprojections2014!$A$2:$AY$326,45,FALSE)-VLOOKUP($A185,Hshldprojections2014!$A$2:$AY$326,35,FALSE))/10,IF(IndividualLATest!$J$7=2016,(VLOOKUP($A185,Hshldprojections2016!$A$1:$AQ$322,35,FALSE)-VLOOKUP($A185,Hshldprojections2016!$A$1:$AQ$322,25,FALSE))/10,(VLOOKUP($A185,Hshldprojections2018!$A$1:$AQ$327,35,FALSE)-VLOOKUP($A185,Hshldprojections2018!$A$1:$AQ$327,25,FALSE))/10))</f>
        <v>343.7</v>
      </c>
      <c r="AG185" s="267">
        <f>IF(IndividualLATest!$J$7=2014,(VLOOKUP($A185,Hshldprojections2014!$A$2:$AY$326,46,FALSE)-VLOOKUP($A185,Hshldprojections2014!$A$2:$AY$326,36,FALSE))/10,IF(IndividualLATest!$J$7=2016,(VLOOKUP($A185,Hshldprojections2016!$A$1:$AQ$322,36,FALSE)-VLOOKUP($A185,Hshldprojections2016!$A$1:$AQ$322,26,FALSE))/10,(VLOOKUP($A185,Hshldprojections2018!$A$1:$AQ$327,36,FALSE)-VLOOKUP($A185,Hshldprojections2018!$A$1:$AQ$327,26,FALSE))/10))</f>
        <v>338.4</v>
      </c>
      <c r="AH185" s="267">
        <f>IF(IndividualLATest!$J$7=2014,(VLOOKUP($A185,Hshldprojections2014!$A$2:$AY$326,47,FALSE)-VLOOKUP($A185,Hshldprojections2014!$A$2:$AY$326,37,FALSE))/10,IF(IndividualLATest!$J$7=2016,(VLOOKUP($A185,Hshldprojections2016!$A$1:$AQ$322,37,FALSE)-VLOOKUP($A185,Hshldprojections2016!$A$1:$AQ$322,27,FALSE))/10,(VLOOKUP($A185,Hshldprojections2018!$A$1:$AQ$327,37,FALSE)-VLOOKUP($A185,Hshldprojections2018!$A$1:$AQ$327,27,FALSE))/10))</f>
        <v>331.5</v>
      </c>
      <c r="AI185" s="268">
        <f>VLOOKUP($A185,AffordabilityRatio!$A$2:$I$321,5,FALSE)</f>
        <v>4.82</v>
      </c>
      <c r="AJ185" s="268">
        <f>VLOOKUP($A185,AffordabilityRatio!$A$2:$I$321,6,FALSE)</f>
        <v>4.7699999999999996</v>
      </c>
      <c r="AK185" s="268">
        <f>VLOOKUP($A185,AffordabilityRatio!$A$2:$I$321,7,FALSE)</f>
        <v>4.92</v>
      </c>
      <c r="AL185" s="268">
        <f>IF((VLOOKUP($A185,AffordabilityRatio!$A$2:$I$321,8,FALSE))="",AK185,VLOOKUP($A185,AffordabilityRatio!$A$2:$I$321,8,FALSE))</f>
        <v>4.74</v>
      </c>
      <c r="AM185" s="268">
        <f>IF((VLOOKUP($A185,AffordabilityRatio!$A$2:$I$321,9,FALSE))="",AL185,VLOOKUP($A185,AffordabilityRatio!$A$2:$I$321,9,FALSE))</f>
        <v>5.42</v>
      </c>
      <c r="AN185" s="268">
        <f>IF((VLOOKUP($A185,AffordabilityRatio!$A$2:$I$321,9,FALSE))="",AM185,VLOOKUP($A185,AffordabilityRatio!$A$2:$I$321,9,FALSE))</f>
        <v>5.42</v>
      </c>
      <c r="AO185" s="268">
        <f>IF((VLOOKUP($A185,AffordabilityRatio!$A$2:$I$321,9,FALSE))="",AN185,VLOOKUP($A185,AffordabilityRatio!$A$2:$I$321,9,FALSE))</f>
        <v>5.42</v>
      </c>
      <c r="AP185" s="268">
        <f>IF((VLOOKUP($A185,AffordabilityRatio!$A$2:$I$321,9,FALSE))="",AO185,VLOOKUP($A185,AffordabilityRatio!$A$2:$I$321,9,FALSE))</f>
        <v>5.42</v>
      </c>
      <c r="AQ185" s="267">
        <f t="shared" si="152"/>
        <v>412</v>
      </c>
      <c r="AR185" s="267">
        <f t="shared" si="153"/>
        <v>403</v>
      </c>
      <c r="AS185" s="267">
        <f t="shared" si="154"/>
        <v>396</v>
      </c>
      <c r="AT185" s="267">
        <f t="shared" si="155"/>
        <v>381</v>
      </c>
      <c r="AU185" s="267">
        <f t="shared" si="156"/>
        <v>383</v>
      </c>
      <c r="AV185" s="267">
        <f t="shared" si="157"/>
        <v>374</v>
      </c>
      <c r="AW185" s="267">
        <f t="shared" si="158"/>
        <v>368</v>
      </c>
      <c r="AX185" s="267">
        <f t="shared" si="159"/>
        <v>361</v>
      </c>
      <c r="AY185" s="267">
        <f t="shared" si="160"/>
        <v>412</v>
      </c>
      <c r="AZ185" s="267">
        <f t="shared" si="161"/>
        <v>403</v>
      </c>
      <c r="BA185" s="267">
        <f t="shared" si="162"/>
        <v>396</v>
      </c>
      <c r="BB185" s="267">
        <f t="shared" si="163"/>
        <v>381</v>
      </c>
      <c r="BC185" s="267">
        <f t="shared" si="164"/>
        <v>383</v>
      </c>
      <c r="BD185" s="267">
        <f t="shared" si="165"/>
        <v>374</v>
      </c>
      <c r="BE185" s="267">
        <f t="shared" si="166"/>
        <v>368</v>
      </c>
      <c r="BF185" s="267">
        <f t="shared" si="167"/>
        <v>361</v>
      </c>
      <c r="BG185" s="269">
        <f>AY185*VLOOKUP($B185,'Major Cities &amp; Towns'!$A$28:$B$345,2,FALSE)</f>
        <v>412</v>
      </c>
      <c r="BH185" s="269">
        <f>AZ185*VLOOKUP($B185,'Major Cities &amp; Towns'!$A$28:$B$345,2,FALSE)</f>
        <v>403</v>
      </c>
      <c r="BI185" s="269">
        <f>BA185*VLOOKUP($B185,'Major Cities &amp; Towns'!$A$28:$B$345,2,FALSE)</f>
        <v>396</v>
      </c>
      <c r="BJ185" s="269">
        <f>BB185*VLOOKUP($B185,'Major Cities &amp; Towns'!$A$28:$B$345,2,FALSE)</f>
        <v>381</v>
      </c>
      <c r="BK185" s="269">
        <f>BC185*VLOOKUP($B185,'Major Cities &amp; Towns'!$A$28:$B$345,2,FALSE)</f>
        <v>383</v>
      </c>
      <c r="BL185" s="269">
        <f>BD185*VLOOKUP($B185,'Major Cities &amp; Towns'!$A$28:$B$345,2,FALSE)</f>
        <v>374</v>
      </c>
      <c r="BM185" s="269">
        <f>BE185*VLOOKUP($B185,'Major Cities &amp; Towns'!$A$28:$B$345,2,FALSE)</f>
        <v>368</v>
      </c>
      <c r="BN185" s="269">
        <f>BF185*VLOOKUP($B185,'Major Cities &amp; Towns'!$A$28:$B$345,2,FALSE)</f>
        <v>361</v>
      </c>
      <c r="BO185" s="270">
        <f t="shared" si="168"/>
        <v>412</v>
      </c>
      <c r="BP185" s="270">
        <f t="shared" si="169"/>
        <v>403</v>
      </c>
      <c r="BQ185" s="270">
        <f t="shared" si="170"/>
        <v>396</v>
      </c>
      <c r="BR185" s="270">
        <f t="shared" si="171"/>
        <v>381</v>
      </c>
      <c r="BS185" s="270">
        <f t="shared" si="172"/>
        <v>383</v>
      </c>
      <c r="BT185" s="270">
        <f t="shared" si="173"/>
        <v>374</v>
      </c>
      <c r="BU185" s="270">
        <f t="shared" si="174"/>
        <v>368</v>
      </c>
      <c r="BV185" s="270">
        <f t="shared" si="175"/>
        <v>361</v>
      </c>
      <c r="BW185" s="39">
        <f>VLOOKUP($A185,NetAdditions!$A$2:$H$336,6,FALSE)</f>
        <v>324</v>
      </c>
      <c r="BX185" s="39">
        <f>VLOOKUP($A185,NetAdditions!$A$2:$H$336,7,FALSE)</f>
        <v>418</v>
      </c>
      <c r="BY185" s="39">
        <f>IF((VLOOKUP($C185,NetAdditions!$A$2:$H$336,8,FALSE))="",(AVERAGE(VLOOKUP($C185,NetAdditions!$A$2:$H$336,5,FALSE),VLOOKUP($C185,NetAdditions!$A$2:$H$336,6,FALSE),VLOOKUP($C185,NetAdditions!$A$2:$H$336,7,FALSE))),VLOOKUP($C185,NetAdditions!$A$2:$H$336,8,FALSE))</f>
        <v>441</v>
      </c>
      <c r="BZ185" s="39">
        <f t="shared" si="176"/>
        <v>394.33333333333331</v>
      </c>
      <c r="CA185" s="39">
        <f t="shared" si="177"/>
        <v>417.77777777777777</v>
      </c>
      <c r="CB185" s="39">
        <f t="shared" si="178"/>
        <v>417.7037037037037</v>
      </c>
      <c r="CC185" s="39">
        <f t="shared" si="179"/>
        <v>409.93827160493828</v>
      </c>
      <c r="CD185" s="39">
        <f t="shared" si="180"/>
        <v>415.13991769547329</v>
      </c>
      <c r="CE185" s="276">
        <f t="shared" si="137"/>
        <v>1211</v>
      </c>
      <c r="CF185" s="276">
        <f t="shared" si="138"/>
        <v>1180</v>
      </c>
      <c r="CG185" s="276">
        <f t="shared" si="139"/>
        <v>1160</v>
      </c>
      <c r="CH185" s="276">
        <f t="shared" si="140"/>
        <v>1138</v>
      </c>
      <c r="CI185" s="276">
        <f t="shared" si="141"/>
        <v>1125</v>
      </c>
      <c r="CJ185" s="276">
        <f t="shared" si="142"/>
        <v>1103</v>
      </c>
      <c r="CK185" s="276">
        <f t="shared" si="181"/>
        <v>1042.8055555555557</v>
      </c>
      <c r="CL185" s="276">
        <f t="shared" si="182"/>
        <v>1016.1111111111112</v>
      </c>
      <c r="CM185" s="276">
        <f t="shared" si="183"/>
        <v>1063.3333333333333</v>
      </c>
      <c r="CN185" s="276">
        <f t="shared" si="184"/>
        <v>1138</v>
      </c>
      <c r="CO185" s="276">
        <f t="shared" si="185"/>
        <v>1125</v>
      </c>
      <c r="CP185" s="276">
        <f t="shared" si="186"/>
        <v>1103</v>
      </c>
      <c r="CQ185" s="39">
        <f t="shared" si="143"/>
        <v>1183</v>
      </c>
      <c r="CR185" s="39">
        <f t="shared" si="144"/>
        <v>1253.3333333333333</v>
      </c>
      <c r="CS185" s="277">
        <f t="shared" si="145"/>
        <v>1253.1111111111111</v>
      </c>
      <c r="CT185" s="39">
        <f t="shared" si="146"/>
        <v>1229.8148148148148</v>
      </c>
      <c r="CU185" s="39">
        <f t="shared" si="147"/>
        <v>1245.4197530864199</v>
      </c>
      <c r="CV185" s="39">
        <f t="shared" si="187"/>
        <v>1242.7818930041153</v>
      </c>
      <c r="CW185" s="297">
        <f t="shared" si="148"/>
        <v>1.1344396792839828</v>
      </c>
      <c r="CX185" s="279" t="str">
        <f t="shared" si="188"/>
        <v>Pass</v>
      </c>
      <c r="CY185" s="278">
        <f t="shared" si="149"/>
        <v>1.2334609075997811</v>
      </c>
      <c r="CZ185" s="279" t="str">
        <f t="shared" si="189"/>
        <v>Pass</v>
      </c>
      <c r="DA185" s="278">
        <f t="shared" si="150"/>
        <v>1.1784743991640545</v>
      </c>
      <c r="DB185" s="292" t="str">
        <f t="shared" si="190"/>
        <v>Pass</v>
      </c>
      <c r="DC185" s="299">
        <f t="shared" si="191"/>
        <v>1.080680856603528</v>
      </c>
      <c r="DD185" s="293" t="str">
        <f t="shared" si="192"/>
        <v>Pass</v>
      </c>
      <c r="DE185" s="299">
        <f t="shared" si="193"/>
        <v>1.1070397805212622</v>
      </c>
      <c r="DF185" s="293" t="str">
        <f t="shared" si="194"/>
        <v>Pass</v>
      </c>
      <c r="DG185" s="299">
        <f t="shared" si="195"/>
        <v>1.1267288241197781</v>
      </c>
      <c r="DH185" s="293" t="str">
        <f t="shared" si="196"/>
        <v>Pass</v>
      </c>
    </row>
    <row r="186" spans="1:112" ht="15" thickTop="1" thickBot="1">
      <c r="A186" s="38" t="s">
        <v>482</v>
      </c>
      <c r="B186" s="38" t="s">
        <v>483</v>
      </c>
      <c r="C186" s="38" t="s">
        <v>482</v>
      </c>
      <c r="D186" s="38" t="s">
        <v>128</v>
      </c>
      <c r="E186" s="38" t="str">
        <f>VLOOKUP(C186,PoliticalControl!A:K,11,FALSE)</f>
        <v>LD</v>
      </c>
      <c r="F186" s="38" t="str">
        <f>VLOOKUP(C186,UrbanRuralClassification!A:N,13,FALSE)</f>
        <v xml:space="preserve">Mainly Rural (rural including hub towns &gt;=80%) </v>
      </c>
      <c r="G186" s="38" t="str">
        <f>VLOOKUP(C186,UrbanRuralClassification!A:N,14,FALSE)</f>
        <v>Predominantly Rural</v>
      </c>
      <c r="H186" s="258">
        <f>IF(ISBLANK((VLOOKUP($A186,'local-plan-data'!$C$1:$AD$566,27,FALSE)))=TRUE,"",VLOOKUP($A186,'local-plan-data'!$C$1:$AD$566,27,FALSE))</f>
        <v>39715</v>
      </c>
      <c r="I186" s="259">
        <f>VLOOKUP($A186,'local-plan-data'!$C$1:$AD$566,28,FALSE)</f>
        <v>400</v>
      </c>
      <c r="J186" s="260">
        <f t="shared" si="151"/>
        <v>400</v>
      </c>
      <c r="K186" s="259" t="str">
        <f t="shared" si="197"/>
        <v>-</v>
      </c>
      <c r="L186" s="259" t="str">
        <f t="shared" si="199"/>
        <v>-</v>
      </c>
      <c r="M186" s="259" t="str">
        <f t="shared" si="199"/>
        <v>-</v>
      </c>
      <c r="N186" s="259" t="str">
        <f t="shared" si="199"/>
        <v>-</v>
      </c>
      <c r="O186" s="259" t="str">
        <f t="shared" si="199"/>
        <v>-</v>
      </c>
      <c r="P186" s="259" t="str">
        <f t="shared" si="199"/>
        <v>-</v>
      </c>
      <c r="Q186" s="259" t="str">
        <f t="shared" si="199"/>
        <v>-</v>
      </c>
      <c r="R186" s="259" t="str">
        <f t="shared" si="199"/>
        <v>-</v>
      </c>
      <c r="S186" s="259">
        <f t="shared" si="198"/>
        <v>-1650</v>
      </c>
      <c r="T186" s="259">
        <f t="shared" si="200"/>
        <v>-2015</v>
      </c>
      <c r="U186" s="259">
        <f t="shared" si="200"/>
        <v>-2381</v>
      </c>
      <c r="V186" s="259">
        <f t="shared" si="200"/>
        <v>-2746</v>
      </c>
      <c r="W186" s="259">
        <f t="shared" si="200"/>
        <v>-3111</v>
      </c>
      <c r="X186" s="259">
        <f t="shared" si="200"/>
        <v>-3476</v>
      </c>
      <c r="Y186" s="259">
        <f t="shared" si="200"/>
        <v>-3842</v>
      </c>
      <c r="Z186" s="259">
        <f t="shared" si="200"/>
        <v>-4207</v>
      </c>
      <c r="AA186" s="267">
        <f>(VLOOKUP(A186,Hshldprojections2014!$A$2:$AW$319,40, FALSE)-VLOOKUP(A186,Hshldprojections2014!$A$2:$AW$319,30, FALSE))/10</f>
        <v>402</v>
      </c>
      <c r="AB186" s="267">
        <f>(VLOOKUP(A186,Hshldprojections2014!$A$2:$AW$319,41, FALSE)-VLOOKUP(A186,Hshldprojections2014!$A$2:$AW$319,31, FALSE))/10</f>
        <v>403.6</v>
      </c>
      <c r="AC186" s="267">
        <f>(VLOOKUP(A186,Hshldprojections2014!$A$2:$AW$319,42, FALSE)-VLOOKUP(A186,Hshldprojections2014!$A$2:$AW$319,32, FALSE))/10</f>
        <v>404.1</v>
      </c>
      <c r="AD186" s="267">
        <f>IF(IndividualLATest!$J$7=2014,(VLOOKUP($A186,Hshldprojections2014!$A$2:$AY$326,43,FALSE)-VLOOKUP($A186,Hshldprojections2014!$A$2:$AY$326,33,FALSE))/10,IF(IndividualLATest!$J$7=2016,(VLOOKUP($A186,Hshldprojections2016!$A$1:$AQ$322,33,FALSE)-VLOOKUP($A186,Hshldprojections2016!$A$1:$AQ$322,23,FALSE))/10,(VLOOKUP($A186,Hshldprojections2018!$A$1:$AQ$327,33,FALSE)-VLOOKUP($A186,Hshldprojections2018!$A$1:$AQ$327,23,FALSE))/10))</f>
        <v>432.5</v>
      </c>
      <c r="AE186" s="267">
        <f>IF(IndividualLATest!$J$7=2014,(VLOOKUP($A186,Hshldprojections2014!$A$2:$AY$326,44,FALSE)-VLOOKUP($A186,Hshldprojections2014!$A$2:$AY$326,34,FALSE))/10,IF(IndividualLATest!$J$7=2016,(VLOOKUP($A186,Hshldprojections2016!$A$1:$AQ$322,34,FALSE)-VLOOKUP($A186,Hshldprojections2016!$A$1:$AQ$322,24,FALSE))/10,(VLOOKUP($A186,Hshldprojections2018!$A$1:$AQ$327,34,FALSE)-VLOOKUP($A186,Hshldprojections2018!$A$1:$AQ$327,24,FALSE))/10))</f>
        <v>426.2</v>
      </c>
      <c r="AF186" s="267">
        <f>IF(IndividualLATest!$J$7=2014,(VLOOKUP($A186,Hshldprojections2014!$A$2:$AY$326,45,FALSE)-VLOOKUP($A186,Hshldprojections2014!$A$2:$AY$326,35,FALSE))/10,IF(IndividualLATest!$J$7=2016,(VLOOKUP($A186,Hshldprojections2016!$A$1:$AQ$322,35,FALSE)-VLOOKUP($A186,Hshldprojections2016!$A$1:$AQ$322,25,FALSE))/10,(VLOOKUP($A186,Hshldprojections2018!$A$1:$AQ$327,35,FALSE)-VLOOKUP($A186,Hshldprojections2018!$A$1:$AQ$327,25,FALSE))/10))</f>
        <v>418.5</v>
      </c>
      <c r="AG186" s="267">
        <f>IF(IndividualLATest!$J$7=2014,(VLOOKUP($A186,Hshldprojections2014!$A$2:$AY$326,46,FALSE)-VLOOKUP($A186,Hshldprojections2014!$A$2:$AY$326,36,FALSE))/10,IF(IndividualLATest!$J$7=2016,(VLOOKUP($A186,Hshldprojections2016!$A$1:$AQ$322,36,FALSE)-VLOOKUP($A186,Hshldprojections2016!$A$1:$AQ$322,26,FALSE))/10,(VLOOKUP($A186,Hshldprojections2018!$A$1:$AQ$327,36,FALSE)-VLOOKUP($A186,Hshldprojections2018!$A$1:$AQ$327,26,FALSE))/10))</f>
        <v>412.9</v>
      </c>
      <c r="AH186" s="267">
        <f>IF(IndividualLATest!$J$7=2014,(VLOOKUP($A186,Hshldprojections2014!$A$2:$AY$326,47,FALSE)-VLOOKUP($A186,Hshldprojections2014!$A$2:$AY$326,37,FALSE))/10,IF(IndividualLATest!$J$7=2016,(VLOOKUP($A186,Hshldprojections2016!$A$1:$AQ$322,37,FALSE)-VLOOKUP($A186,Hshldprojections2016!$A$1:$AQ$322,27,FALSE))/10,(VLOOKUP($A186,Hshldprojections2018!$A$1:$AQ$327,37,FALSE)-VLOOKUP($A186,Hshldprojections2018!$A$1:$AQ$327,27,FALSE))/10))</f>
        <v>409.1</v>
      </c>
      <c r="AI186" s="268">
        <f>VLOOKUP($A186,AffordabilityRatio!$A$2:$I$321,5,FALSE)</f>
        <v>9.6</v>
      </c>
      <c r="AJ186" s="268">
        <f>VLOOKUP($A186,AffordabilityRatio!$A$2:$I$321,6,FALSE)</f>
        <v>9.82</v>
      </c>
      <c r="AK186" s="268">
        <f>VLOOKUP($A186,AffordabilityRatio!$A$2:$I$321,7,FALSE)</f>
        <v>9.8699999999999992</v>
      </c>
      <c r="AL186" s="268">
        <f>IF((VLOOKUP($A186,AffordabilityRatio!$A$2:$I$321,8,FALSE))="",AK186,VLOOKUP($A186,AffordabilityRatio!$A$2:$I$321,8,FALSE))</f>
        <v>9.14</v>
      </c>
      <c r="AM186" s="268">
        <f>IF((VLOOKUP($A186,AffordabilityRatio!$A$2:$I$321,9,FALSE))="",AL186,VLOOKUP($A186,AffordabilityRatio!$A$2:$I$321,9,FALSE))</f>
        <v>11.44</v>
      </c>
      <c r="AN186" s="268">
        <f>IF((VLOOKUP($A186,AffordabilityRatio!$A$2:$I$321,9,FALSE))="",AM186,VLOOKUP($A186,AffordabilityRatio!$A$2:$I$321,9,FALSE))</f>
        <v>11.44</v>
      </c>
      <c r="AO186" s="268">
        <f>IF((VLOOKUP($A186,AffordabilityRatio!$A$2:$I$321,9,FALSE))="",AN186,VLOOKUP($A186,AffordabilityRatio!$A$2:$I$321,9,FALSE))</f>
        <v>11.44</v>
      </c>
      <c r="AP186" s="268">
        <f>IF((VLOOKUP($A186,AffordabilityRatio!$A$2:$I$321,9,FALSE))="",AO186,VLOOKUP($A186,AffordabilityRatio!$A$2:$I$321,9,FALSE))</f>
        <v>11.44</v>
      </c>
      <c r="AQ186" s="267">
        <f t="shared" si="152"/>
        <v>543</v>
      </c>
      <c r="AR186" s="267">
        <f t="shared" si="153"/>
        <v>550</v>
      </c>
      <c r="AS186" s="267">
        <f t="shared" si="154"/>
        <v>552</v>
      </c>
      <c r="AT186" s="267">
        <f t="shared" si="155"/>
        <v>571</v>
      </c>
      <c r="AU186" s="267">
        <f t="shared" si="156"/>
        <v>624</v>
      </c>
      <c r="AV186" s="267">
        <f t="shared" si="157"/>
        <v>613</v>
      </c>
      <c r="AW186" s="267">
        <f t="shared" si="158"/>
        <v>605</v>
      </c>
      <c r="AX186" s="267">
        <f t="shared" si="159"/>
        <v>599</v>
      </c>
      <c r="AY186" s="267">
        <f t="shared" si="160"/>
        <v>543</v>
      </c>
      <c r="AZ186" s="267">
        <f t="shared" si="161"/>
        <v>550</v>
      </c>
      <c r="BA186" s="267">
        <f t="shared" si="162"/>
        <v>552</v>
      </c>
      <c r="BB186" s="267">
        <f t="shared" si="163"/>
        <v>571</v>
      </c>
      <c r="BC186" s="267">
        <f t="shared" si="164"/>
        <v>596.68000000000006</v>
      </c>
      <c r="BD186" s="267">
        <f t="shared" si="165"/>
        <v>585.9</v>
      </c>
      <c r="BE186" s="267">
        <f t="shared" si="166"/>
        <v>578.05999999999995</v>
      </c>
      <c r="BF186" s="267">
        <f t="shared" si="167"/>
        <v>572.74</v>
      </c>
      <c r="BG186" s="269">
        <f>AY186*VLOOKUP($B186,'Major Cities &amp; Towns'!$A$28:$B$345,2,FALSE)</f>
        <v>543</v>
      </c>
      <c r="BH186" s="269">
        <f>AZ186*VLOOKUP($B186,'Major Cities &amp; Towns'!$A$28:$B$345,2,FALSE)</f>
        <v>550</v>
      </c>
      <c r="BI186" s="269">
        <f>BA186*VLOOKUP($B186,'Major Cities &amp; Towns'!$A$28:$B$345,2,FALSE)</f>
        <v>552</v>
      </c>
      <c r="BJ186" s="269">
        <f>BB186*VLOOKUP($B186,'Major Cities &amp; Towns'!$A$28:$B$345,2,FALSE)</f>
        <v>571</v>
      </c>
      <c r="BK186" s="269">
        <f>BC186*VLOOKUP($B186,'Major Cities &amp; Towns'!$A$28:$B$345,2,FALSE)</f>
        <v>596.68000000000006</v>
      </c>
      <c r="BL186" s="269">
        <f>BD186*VLOOKUP($B186,'Major Cities &amp; Towns'!$A$28:$B$345,2,FALSE)</f>
        <v>585.9</v>
      </c>
      <c r="BM186" s="269">
        <f>BE186*VLOOKUP($B186,'Major Cities &amp; Towns'!$A$28:$B$345,2,FALSE)</f>
        <v>578.05999999999995</v>
      </c>
      <c r="BN186" s="269">
        <f>BF186*VLOOKUP($B186,'Major Cities &amp; Towns'!$A$28:$B$345,2,FALSE)</f>
        <v>572.74</v>
      </c>
      <c r="BO186" s="270">
        <f t="shared" si="168"/>
        <v>543</v>
      </c>
      <c r="BP186" s="270">
        <f t="shared" si="169"/>
        <v>550</v>
      </c>
      <c r="BQ186" s="270">
        <f t="shared" si="170"/>
        <v>552</v>
      </c>
      <c r="BR186" s="270">
        <f t="shared" si="171"/>
        <v>571</v>
      </c>
      <c r="BS186" s="270">
        <f t="shared" si="172"/>
        <v>624</v>
      </c>
      <c r="BT186" s="270">
        <f t="shared" si="173"/>
        <v>613</v>
      </c>
      <c r="BU186" s="270">
        <f t="shared" si="174"/>
        <v>605</v>
      </c>
      <c r="BV186" s="270">
        <f t="shared" si="175"/>
        <v>599</v>
      </c>
      <c r="BW186" s="39">
        <f>VLOOKUP($A186,NetAdditions!$A$2:$H$336,6,FALSE)</f>
        <v>531</v>
      </c>
      <c r="BX186" s="39">
        <f>VLOOKUP($A186,NetAdditions!$A$2:$H$336,7,FALSE)</f>
        <v>408</v>
      </c>
      <c r="BY186" s="39">
        <f>IF((VLOOKUP($C186,NetAdditions!$A$2:$H$336,8,FALSE))="",(AVERAGE(VLOOKUP($C186,NetAdditions!$A$2:$H$336,5,FALSE),VLOOKUP($C186,NetAdditions!$A$2:$H$336,6,FALSE),VLOOKUP($C186,NetAdditions!$A$2:$H$336,7,FALSE))),VLOOKUP($C186,NetAdditions!$A$2:$H$336,8,FALSE))</f>
        <v>466</v>
      </c>
      <c r="BZ186" s="39">
        <f t="shared" si="176"/>
        <v>468.33333333333331</v>
      </c>
      <c r="CA186" s="39">
        <f t="shared" si="177"/>
        <v>447.4444444444444</v>
      </c>
      <c r="CB186" s="39">
        <f t="shared" si="178"/>
        <v>460.59259259259255</v>
      </c>
      <c r="CC186" s="39">
        <f t="shared" si="179"/>
        <v>458.79012345679007</v>
      </c>
      <c r="CD186" s="39">
        <f t="shared" si="180"/>
        <v>455.60905349794234</v>
      </c>
      <c r="CE186" s="276">
        <f t="shared" si="137"/>
        <v>1645</v>
      </c>
      <c r="CF186" s="276">
        <f t="shared" si="138"/>
        <v>1673</v>
      </c>
      <c r="CG186" s="276">
        <f t="shared" si="139"/>
        <v>1747</v>
      </c>
      <c r="CH186" s="276">
        <f t="shared" si="140"/>
        <v>1808</v>
      </c>
      <c r="CI186" s="276">
        <f t="shared" si="141"/>
        <v>1842</v>
      </c>
      <c r="CJ186" s="276">
        <f t="shared" si="142"/>
        <v>1817</v>
      </c>
      <c r="CK186" s="276">
        <f t="shared" si="181"/>
        <v>1416.5277777777778</v>
      </c>
      <c r="CL186" s="276">
        <f t="shared" si="182"/>
        <v>1440.6388888888889</v>
      </c>
      <c r="CM186" s="276">
        <f t="shared" si="183"/>
        <v>1601.4166666666665</v>
      </c>
      <c r="CN186" s="276">
        <f t="shared" si="184"/>
        <v>1808</v>
      </c>
      <c r="CO186" s="276">
        <f t="shared" si="185"/>
        <v>1842</v>
      </c>
      <c r="CP186" s="276">
        <f t="shared" si="186"/>
        <v>1817</v>
      </c>
      <c r="CQ186" s="39">
        <f t="shared" si="143"/>
        <v>1405</v>
      </c>
      <c r="CR186" s="39">
        <f t="shared" si="144"/>
        <v>1342.3333333333333</v>
      </c>
      <c r="CS186" s="277">
        <f t="shared" si="145"/>
        <v>1381.7777777777776</v>
      </c>
      <c r="CT186" s="39">
        <f t="shared" si="146"/>
        <v>1376.3703703703702</v>
      </c>
      <c r="CU186" s="39">
        <f t="shared" si="147"/>
        <v>1366.827160493827</v>
      </c>
      <c r="CV186" s="39">
        <f t="shared" si="187"/>
        <v>1374.991769547325</v>
      </c>
      <c r="CW186" s="297">
        <f t="shared" si="148"/>
        <v>0.99186194724973031</v>
      </c>
      <c r="CX186" s="279" t="str">
        <f t="shared" si="188"/>
        <v>Pass</v>
      </c>
      <c r="CY186" s="278">
        <f t="shared" si="149"/>
        <v>0.93176252819929417</v>
      </c>
      <c r="CZ186" s="279" t="str">
        <f t="shared" si="189"/>
        <v>Action Plan</v>
      </c>
      <c r="DA186" s="278">
        <f t="shared" si="150"/>
        <v>0.86284713187975925</v>
      </c>
      <c r="DB186" s="292" t="str">
        <f t="shared" si="190"/>
        <v>Action Plan</v>
      </c>
      <c r="DC186" s="299">
        <f t="shared" si="191"/>
        <v>0.76126679777122241</v>
      </c>
      <c r="DD186" s="293" t="str">
        <f t="shared" si="192"/>
        <v>Buffer and Action Plan</v>
      </c>
      <c r="DE186" s="299">
        <f t="shared" si="193"/>
        <v>0.74203428908459668</v>
      </c>
      <c r="DF186" s="293" t="str">
        <f t="shared" si="194"/>
        <v>Presumption</v>
      </c>
      <c r="DG186" s="299">
        <f t="shared" si="195"/>
        <v>0.75673735253017338</v>
      </c>
      <c r="DH186" s="293" t="str">
        <f t="shared" si="196"/>
        <v>Buffer and Action Plan</v>
      </c>
    </row>
    <row r="187" spans="1:112" ht="15" thickTop="1" thickBot="1">
      <c r="A187" s="38" t="s">
        <v>484</v>
      </c>
      <c r="B187" s="38" t="s">
        <v>485</v>
      </c>
      <c r="C187" s="38" t="s">
        <v>484</v>
      </c>
      <c r="D187" s="38" t="s">
        <v>147</v>
      </c>
      <c r="E187" s="38" t="str">
        <f>VLOOKUP(C187,PoliticalControl!A:K,11,FALSE)</f>
        <v>NOC</v>
      </c>
      <c r="F187" s="38" t="str">
        <f>VLOOKUP(C187,UrbanRuralClassification!A:N,13,FALSE)</f>
        <v>Urban with Significant Rural (rural including hub towns 26-49%)</v>
      </c>
      <c r="G187" s="38" t="str">
        <f>VLOOKUP(C187,UrbanRuralClassification!A:N,14,FALSE)</f>
        <v>Urban with Significant Rural</v>
      </c>
      <c r="H187" s="258">
        <f>IF(ISBLANK((VLOOKUP($A187,'local-plan-data'!$C$1:$AD$566,27,FALSE)))=TRUE,"",VLOOKUP($A187,'local-plan-data'!$C$1:$AD$566,27,FALSE))</f>
        <v>42265</v>
      </c>
      <c r="I187" s="259">
        <f>VLOOKUP($A187,'local-plan-data'!$C$1:$AD$566,28,FALSE)</f>
        <v>1049.25</v>
      </c>
      <c r="J187" s="260">
        <f t="shared" si="151"/>
        <v>1049.25</v>
      </c>
      <c r="K187" s="259">
        <f t="shared" si="197"/>
        <v>1049.25</v>
      </c>
      <c r="L187" s="259">
        <f t="shared" si="199"/>
        <v>1049.25</v>
      </c>
      <c r="M187" s="259">
        <f t="shared" si="199"/>
        <v>1049.25</v>
      </c>
      <c r="N187" s="259" t="str">
        <f t="shared" si="199"/>
        <v>-</v>
      </c>
      <c r="O187" s="259" t="str">
        <f t="shared" si="199"/>
        <v>-</v>
      </c>
      <c r="P187" s="259" t="str">
        <f t="shared" si="199"/>
        <v>-</v>
      </c>
      <c r="Q187" s="259" t="str">
        <f t="shared" si="199"/>
        <v>-</v>
      </c>
      <c r="R187" s="259" t="str">
        <f t="shared" si="199"/>
        <v>-</v>
      </c>
      <c r="S187" s="259">
        <f t="shared" si="198"/>
        <v>901</v>
      </c>
      <c r="T187" s="259">
        <f t="shared" si="200"/>
        <v>536</v>
      </c>
      <c r="U187" s="259">
        <f t="shared" si="200"/>
        <v>170</v>
      </c>
      <c r="V187" s="259">
        <f t="shared" si="200"/>
        <v>-195</v>
      </c>
      <c r="W187" s="259">
        <f t="shared" si="200"/>
        <v>-560</v>
      </c>
      <c r="X187" s="259">
        <f t="shared" si="200"/>
        <v>-925</v>
      </c>
      <c r="Y187" s="259">
        <f t="shared" si="200"/>
        <v>-1291</v>
      </c>
      <c r="Z187" s="259">
        <f t="shared" si="200"/>
        <v>-1656</v>
      </c>
      <c r="AA187" s="267">
        <f>(VLOOKUP(A187,Hshldprojections2014!$A$2:$AW$319,40, FALSE)-VLOOKUP(A187,Hshldprojections2014!$A$2:$AW$319,30, FALSE))/10</f>
        <v>1019.9</v>
      </c>
      <c r="AB187" s="267">
        <f>(VLOOKUP(A187,Hshldprojections2014!$A$2:$AW$319,41, FALSE)-VLOOKUP(A187,Hshldprojections2014!$A$2:$AW$319,31, FALSE))/10</f>
        <v>1010.9</v>
      </c>
      <c r="AC187" s="267">
        <f>(VLOOKUP(A187,Hshldprojections2014!$A$2:$AW$319,42, FALSE)-VLOOKUP(A187,Hshldprojections2014!$A$2:$AW$319,32, FALSE))/10</f>
        <v>1003.9</v>
      </c>
      <c r="AD187" s="267">
        <f>IF(IndividualLATest!$J$7=2014,(VLOOKUP($A187,Hshldprojections2014!$A$2:$AY$326,43,FALSE)-VLOOKUP($A187,Hshldprojections2014!$A$2:$AY$326,33,FALSE))/10,IF(IndividualLATest!$J$7=2016,(VLOOKUP($A187,Hshldprojections2016!$A$1:$AQ$322,33,FALSE)-VLOOKUP($A187,Hshldprojections2016!$A$1:$AQ$322,23,FALSE))/10,(VLOOKUP($A187,Hshldprojections2018!$A$1:$AQ$327,33,FALSE)-VLOOKUP($A187,Hshldprojections2018!$A$1:$AQ$327,23,FALSE))/10))</f>
        <v>815.3</v>
      </c>
      <c r="AE187" s="267">
        <f>IF(IndividualLATest!$J$7=2014,(VLOOKUP($A187,Hshldprojections2014!$A$2:$AY$326,44,FALSE)-VLOOKUP($A187,Hshldprojections2014!$A$2:$AY$326,34,FALSE))/10,IF(IndividualLATest!$J$7=2016,(VLOOKUP($A187,Hshldprojections2016!$A$1:$AQ$322,34,FALSE)-VLOOKUP($A187,Hshldprojections2016!$A$1:$AQ$322,24,FALSE))/10,(VLOOKUP($A187,Hshldprojections2018!$A$1:$AQ$327,34,FALSE)-VLOOKUP($A187,Hshldprojections2018!$A$1:$AQ$327,24,FALSE))/10))</f>
        <v>801.5</v>
      </c>
      <c r="AF187" s="267">
        <f>IF(IndividualLATest!$J$7=2014,(VLOOKUP($A187,Hshldprojections2014!$A$2:$AY$326,45,FALSE)-VLOOKUP($A187,Hshldprojections2014!$A$2:$AY$326,35,FALSE))/10,IF(IndividualLATest!$J$7=2016,(VLOOKUP($A187,Hshldprojections2016!$A$1:$AQ$322,35,FALSE)-VLOOKUP($A187,Hshldprojections2016!$A$1:$AQ$322,25,FALSE))/10,(VLOOKUP($A187,Hshldprojections2018!$A$1:$AQ$327,35,FALSE)-VLOOKUP($A187,Hshldprojections2018!$A$1:$AQ$327,25,FALSE))/10))</f>
        <v>794.6</v>
      </c>
      <c r="AG187" s="267">
        <f>IF(IndividualLATest!$J$7=2014,(VLOOKUP($A187,Hshldprojections2014!$A$2:$AY$326,46,FALSE)-VLOOKUP($A187,Hshldprojections2014!$A$2:$AY$326,36,FALSE))/10,IF(IndividualLATest!$J$7=2016,(VLOOKUP($A187,Hshldprojections2016!$A$1:$AQ$322,36,FALSE)-VLOOKUP($A187,Hshldprojections2016!$A$1:$AQ$322,26,FALSE))/10,(VLOOKUP($A187,Hshldprojections2018!$A$1:$AQ$327,36,FALSE)-VLOOKUP($A187,Hshldprojections2018!$A$1:$AQ$327,26,FALSE))/10))</f>
        <v>779.3</v>
      </c>
      <c r="AH187" s="267">
        <f>IF(IndividualLATest!$J$7=2014,(VLOOKUP($A187,Hshldprojections2014!$A$2:$AY$326,47,FALSE)-VLOOKUP($A187,Hshldprojections2014!$A$2:$AY$326,37,FALSE))/10,IF(IndividualLATest!$J$7=2016,(VLOOKUP($A187,Hshldprojections2016!$A$1:$AQ$322,37,FALSE)-VLOOKUP($A187,Hshldprojections2016!$A$1:$AQ$322,27,FALSE))/10,(VLOOKUP($A187,Hshldprojections2018!$A$1:$AQ$327,37,FALSE)-VLOOKUP($A187,Hshldprojections2018!$A$1:$AQ$327,27,FALSE))/10))</f>
        <v>769.5</v>
      </c>
      <c r="AI187" s="268">
        <f>VLOOKUP($A187,AffordabilityRatio!$A$2:$I$321,5,FALSE)</f>
        <v>8.98</v>
      </c>
      <c r="AJ187" s="268">
        <f>VLOOKUP($A187,AffordabilityRatio!$A$2:$I$321,6,FALSE)</f>
        <v>9.65</v>
      </c>
      <c r="AK187" s="268">
        <f>VLOOKUP($A187,AffordabilityRatio!$A$2:$I$321,7,FALSE)</f>
        <v>9.66</v>
      </c>
      <c r="AL187" s="268">
        <f>IF((VLOOKUP($A187,AffordabilityRatio!$A$2:$I$321,8,FALSE))="",AK187,VLOOKUP($A187,AffordabilityRatio!$A$2:$I$321,8,FALSE))</f>
        <v>9.5</v>
      </c>
      <c r="AM187" s="268">
        <f>IF((VLOOKUP($A187,AffordabilityRatio!$A$2:$I$321,9,FALSE))="",AL187,VLOOKUP($A187,AffordabilityRatio!$A$2:$I$321,9,FALSE))</f>
        <v>10.58</v>
      </c>
      <c r="AN187" s="268">
        <f>IF((VLOOKUP($A187,AffordabilityRatio!$A$2:$I$321,9,FALSE))="",AM187,VLOOKUP($A187,AffordabilityRatio!$A$2:$I$321,9,FALSE))</f>
        <v>10.58</v>
      </c>
      <c r="AO187" s="268">
        <f>IF((VLOOKUP($A187,AffordabilityRatio!$A$2:$I$321,9,FALSE))="",AN187,VLOOKUP($A187,AffordabilityRatio!$A$2:$I$321,9,FALSE))</f>
        <v>10.58</v>
      </c>
      <c r="AP187" s="268">
        <f>IF((VLOOKUP($A187,AffordabilityRatio!$A$2:$I$321,9,FALSE))="",AO187,VLOOKUP($A187,AffordabilityRatio!$A$2:$I$321,9,FALSE))</f>
        <v>10.58</v>
      </c>
      <c r="AQ187" s="267">
        <f t="shared" si="152"/>
        <v>1337</v>
      </c>
      <c r="AR187" s="267">
        <f t="shared" si="153"/>
        <v>1368</v>
      </c>
      <c r="AS187" s="267">
        <f t="shared" si="154"/>
        <v>1359</v>
      </c>
      <c r="AT187" s="267">
        <f t="shared" si="155"/>
        <v>1096</v>
      </c>
      <c r="AU187" s="267">
        <f t="shared" si="156"/>
        <v>1131</v>
      </c>
      <c r="AV187" s="267">
        <f t="shared" si="157"/>
        <v>1121</v>
      </c>
      <c r="AW187" s="267">
        <f t="shared" si="158"/>
        <v>1100</v>
      </c>
      <c r="AX187" s="267">
        <f t="shared" si="159"/>
        <v>1086</v>
      </c>
      <c r="AY187" s="267">
        <f t="shared" si="160"/>
        <v>1337</v>
      </c>
      <c r="AZ187" s="267">
        <f t="shared" si="161"/>
        <v>1368</v>
      </c>
      <c r="BA187" s="267">
        <f t="shared" si="162"/>
        <v>1359</v>
      </c>
      <c r="BB187" s="267">
        <f t="shared" si="163"/>
        <v>1096</v>
      </c>
      <c r="BC187" s="267">
        <f t="shared" si="164"/>
        <v>1131</v>
      </c>
      <c r="BD187" s="267">
        <f t="shared" si="165"/>
        <v>1121</v>
      </c>
      <c r="BE187" s="267">
        <f t="shared" si="166"/>
        <v>1100</v>
      </c>
      <c r="BF187" s="267">
        <f t="shared" si="167"/>
        <v>1086</v>
      </c>
      <c r="BG187" s="269">
        <f>AY187*VLOOKUP($B187,'Major Cities &amp; Towns'!$A$28:$B$345,2,FALSE)</f>
        <v>1337</v>
      </c>
      <c r="BH187" s="269">
        <f>AZ187*VLOOKUP($B187,'Major Cities &amp; Towns'!$A$28:$B$345,2,FALSE)</f>
        <v>1368</v>
      </c>
      <c r="BI187" s="269">
        <f>BA187*VLOOKUP($B187,'Major Cities &amp; Towns'!$A$28:$B$345,2,FALSE)</f>
        <v>1359</v>
      </c>
      <c r="BJ187" s="269">
        <f>BB187*VLOOKUP($B187,'Major Cities &amp; Towns'!$A$28:$B$345,2,FALSE)</f>
        <v>1096</v>
      </c>
      <c r="BK187" s="269">
        <f>BC187*VLOOKUP($B187,'Major Cities &amp; Towns'!$A$28:$B$345,2,FALSE)</f>
        <v>1131</v>
      </c>
      <c r="BL187" s="269">
        <f>BD187*VLOOKUP($B187,'Major Cities &amp; Towns'!$A$28:$B$345,2,FALSE)</f>
        <v>1121</v>
      </c>
      <c r="BM187" s="269">
        <f>BE187*VLOOKUP($B187,'Major Cities &amp; Towns'!$A$28:$B$345,2,FALSE)</f>
        <v>1100</v>
      </c>
      <c r="BN187" s="269">
        <f>BF187*VLOOKUP($B187,'Major Cities &amp; Towns'!$A$28:$B$345,2,FALSE)</f>
        <v>1086</v>
      </c>
      <c r="BO187" s="270">
        <f t="shared" si="168"/>
        <v>1049.25</v>
      </c>
      <c r="BP187" s="270">
        <f t="shared" si="169"/>
        <v>1049.25</v>
      </c>
      <c r="BQ187" s="270">
        <f t="shared" si="170"/>
        <v>1214.7328767123288</v>
      </c>
      <c r="BR187" s="270">
        <f t="shared" si="171"/>
        <v>1096</v>
      </c>
      <c r="BS187" s="270">
        <f t="shared" si="172"/>
        <v>1131</v>
      </c>
      <c r="BT187" s="270">
        <f t="shared" si="173"/>
        <v>1121</v>
      </c>
      <c r="BU187" s="270">
        <f t="shared" si="174"/>
        <v>1100</v>
      </c>
      <c r="BV187" s="270">
        <f t="shared" si="175"/>
        <v>1086</v>
      </c>
      <c r="BW187" s="39">
        <f>VLOOKUP($A187,NetAdditions!$A$2:$H$336,6,FALSE)</f>
        <v>729</v>
      </c>
      <c r="BX187" s="39">
        <f>VLOOKUP($A187,NetAdditions!$A$2:$H$336,7,FALSE)</f>
        <v>868</v>
      </c>
      <c r="BY187" s="39">
        <f>IF((VLOOKUP($C187,NetAdditions!$A$2:$H$336,8,FALSE))="",(AVERAGE(VLOOKUP($C187,NetAdditions!$A$2:$H$336,5,FALSE),VLOOKUP($C187,NetAdditions!$A$2:$H$336,6,FALSE),VLOOKUP($C187,NetAdditions!$A$2:$H$336,7,FALSE))),VLOOKUP($C187,NetAdditions!$A$2:$H$336,8,FALSE))</f>
        <v>966</v>
      </c>
      <c r="BZ187" s="39">
        <f t="shared" si="176"/>
        <v>854.33333333333337</v>
      </c>
      <c r="CA187" s="39">
        <f t="shared" si="177"/>
        <v>896.1111111111112</v>
      </c>
      <c r="CB187" s="39">
        <f t="shared" si="178"/>
        <v>905.48148148148164</v>
      </c>
      <c r="CC187" s="39">
        <f t="shared" si="179"/>
        <v>885.30864197530866</v>
      </c>
      <c r="CD187" s="39">
        <f t="shared" si="180"/>
        <v>895.63374485596717</v>
      </c>
      <c r="CE187" s="276">
        <f t="shared" si="137"/>
        <v>3313.232876712329</v>
      </c>
      <c r="CF187" s="276">
        <f t="shared" si="138"/>
        <v>3359.982876712329</v>
      </c>
      <c r="CG187" s="276">
        <f t="shared" si="139"/>
        <v>3441.732876712329</v>
      </c>
      <c r="CH187" s="276">
        <f t="shared" si="140"/>
        <v>3348</v>
      </c>
      <c r="CI187" s="276">
        <f t="shared" si="141"/>
        <v>3352</v>
      </c>
      <c r="CJ187" s="276">
        <f t="shared" si="142"/>
        <v>3307</v>
      </c>
      <c r="CK187" s="276">
        <f t="shared" si="181"/>
        <v>2853.0616438356169</v>
      </c>
      <c r="CL187" s="276">
        <f t="shared" si="182"/>
        <v>2893.3185882800612</v>
      </c>
      <c r="CM187" s="276">
        <f t="shared" si="183"/>
        <v>3154.9218036529683</v>
      </c>
      <c r="CN187" s="276">
        <f t="shared" si="184"/>
        <v>3348</v>
      </c>
      <c r="CO187" s="276">
        <f t="shared" si="185"/>
        <v>3352</v>
      </c>
      <c r="CP187" s="276">
        <f t="shared" si="186"/>
        <v>3307</v>
      </c>
      <c r="CQ187" s="39">
        <f t="shared" si="143"/>
        <v>2563</v>
      </c>
      <c r="CR187" s="39">
        <f t="shared" si="144"/>
        <v>2688.3333333333335</v>
      </c>
      <c r="CS187" s="277">
        <f t="shared" si="145"/>
        <v>2716.4444444444448</v>
      </c>
      <c r="CT187" s="39">
        <f t="shared" si="146"/>
        <v>2655.9259259259261</v>
      </c>
      <c r="CU187" s="39">
        <f t="shared" si="147"/>
        <v>2686.9012345679016</v>
      </c>
      <c r="CV187" s="39">
        <f t="shared" si="187"/>
        <v>2686.4238683127573</v>
      </c>
      <c r="CW187" s="297">
        <f t="shared" si="148"/>
        <v>0.89833320129541194</v>
      </c>
      <c r="CX187" s="279" t="str">
        <f t="shared" si="188"/>
        <v>Action Plan</v>
      </c>
      <c r="CY187" s="278">
        <f t="shared" si="149"/>
        <v>0.92915220059862758</v>
      </c>
      <c r="CZ187" s="279" t="str">
        <f t="shared" si="189"/>
        <v>Action Plan</v>
      </c>
      <c r="DA187" s="278">
        <f t="shared" si="150"/>
        <v>0.86101799458204431</v>
      </c>
      <c r="DB187" s="292" t="str">
        <f t="shared" si="190"/>
        <v>Action Plan</v>
      </c>
      <c r="DC187" s="299">
        <f t="shared" si="191"/>
        <v>0.79328731359794691</v>
      </c>
      <c r="DD187" s="293" t="str">
        <f t="shared" si="192"/>
        <v>Buffer and Action Plan</v>
      </c>
      <c r="DE187" s="299">
        <f t="shared" si="193"/>
        <v>0.80158151389257204</v>
      </c>
      <c r="DF187" s="293" t="str">
        <f t="shared" si="194"/>
        <v>Buffer and Action Plan</v>
      </c>
      <c r="DG187" s="299">
        <f t="shared" si="195"/>
        <v>0.81234468349342526</v>
      </c>
      <c r="DH187" s="293" t="str">
        <f t="shared" si="196"/>
        <v>Buffer and Action Plan</v>
      </c>
    </row>
    <row r="188" spans="1:112" ht="15" thickTop="1" thickBot="1">
      <c r="A188" s="38" t="s">
        <v>486</v>
      </c>
      <c r="B188" s="38" t="s">
        <v>487</v>
      </c>
      <c r="C188" s="38" t="s">
        <v>486</v>
      </c>
      <c r="D188" s="38" t="s">
        <v>259</v>
      </c>
      <c r="E188" s="38" t="str">
        <f>VLOOKUP(C188,PoliticalControl!A:K,11,FALSE)</f>
        <v>LAB</v>
      </c>
      <c r="F188" s="38" t="str">
        <f>VLOOKUP(C188,UrbanRuralClassification!A:N,13,FALSE)</f>
        <v>Urban with Major Conurbation</v>
      </c>
      <c r="G188" s="38" t="str">
        <f>VLOOKUP(C188,UrbanRuralClassification!A:N,14,FALSE)</f>
        <v>Predominantly Urban</v>
      </c>
      <c r="H188" s="258">
        <f>IF(ISBLANK((VLOOKUP($A188,'local-plan-data'!$C$1:$AD$566,27,FALSE)))=TRUE,"",VLOOKUP($A188,'local-plan-data'!$C$1:$AD$566,27,FALSE))</f>
        <v>42936</v>
      </c>
      <c r="I188" s="259">
        <f>VLOOKUP($A188,'local-plan-data'!$C$1:$AD$566,28,FALSE)</f>
        <v>790.14285714285711</v>
      </c>
      <c r="J188" s="260">
        <f t="shared" si="151"/>
        <v>790.14285714285711</v>
      </c>
      <c r="K188" s="259">
        <f t="shared" si="197"/>
        <v>790.14285714285711</v>
      </c>
      <c r="L188" s="259">
        <f t="shared" si="199"/>
        <v>790.14285714285711</v>
      </c>
      <c r="M188" s="259">
        <f t="shared" si="199"/>
        <v>790.14285714285711</v>
      </c>
      <c r="N188" s="259">
        <f t="shared" si="199"/>
        <v>790.14285714285711</v>
      </c>
      <c r="O188" s="259">
        <f t="shared" si="199"/>
        <v>790.14285714285711</v>
      </c>
      <c r="P188" s="259" t="str">
        <f t="shared" si="199"/>
        <v>-</v>
      </c>
      <c r="Q188" s="259" t="str">
        <f t="shared" si="199"/>
        <v>-</v>
      </c>
      <c r="R188" s="259" t="str">
        <f t="shared" si="199"/>
        <v>-</v>
      </c>
      <c r="S188" s="259">
        <f t="shared" si="198"/>
        <v>1571</v>
      </c>
      <c r="T188" s="259">
        <f t="shared" si="200"/>
        <v>1206</v>
      </c>
      <c r="U188" s="259">
        <f t="shared" si="200"/>
        <v>840</v>
      </c>
      <c r="V188" s="259">
        <f t="shared" si="200"/>
        <v>475</v>
      </c>
      <c r="W188" s="259">
        <f t="shared" si="200"/>
        <v>110</v>
      </c>
      <c r="X188" s="259">
        <f t="shared" si="200"/>
        <v>-255</v>
      </c>
      <c r="Y188" s="259">
        <f t="shared" si="200"/>
        <v>-621</v>
      </c>
      <c r="Z188" s="259">
        <f t="shared" si="200"/>
        <v>-986</v>
      </c>
      <c r="AA188" s="267">
        <f>(VLOOKUP(A188,Hshldprojections2014!$A$2:$AW$319,40, FALSE)-VLOOKUP(A188,Hshldprojections2014!$A$2:$AW$319,30, FALSE))/10</f>
        <v>722.9</v>
      </c>
      <c r="AB188" s="267">
        <f>(VLOOKUP(A188,Hshldprojections2014!$A$2:$AW$319,41, FALSE)-VLOOKUP(A188,Hshldprojections2014!$A$2:$AW$319,31, FALSE))/10</f>
        <v>717.4</v>
      </c>
      <c r="AC188" s="267">
        <f>(VLOOKUP(A188,Hshldprojections2014!$A$2:$AW$319,42, FALSE)-VLOOKUP(A188,Hshldprojections2014!$A$2:$AW$319,32, FALSE))/10</f>
        <v>710.8</v>
      </c>
      <c r="AD188" s="267">
        <f>IF(IndividualLATest!$J$7=2014,(VLOOKUP($A188,Hshldprojections2014!$A$2:$AY$326,43,FALSE)-VLOOKUP($A188,Hshldprojections2014!$A$2:$AY$326,33,FALSE))/10,IF(IndividualLATest!$J$7=2016,(VLOOKUP($A188,Hshldprojections2016!$A$1:$AQ$322,33,FALSE)-VLOOKUP($A188,Hshldprojections2016!$A$1:$AQ$322,23,FALSE))/10,(VLOOKUP($A188,Hshldprojections2018!$A$1:$AQ$327,33,FALSE)-VLOOKUP($A188,Hshldprojections2018!$A$1:$AQ$327,23,FALSE))/10))</f>
        <v>679.9</v>
      </c>
      <c r="AE188" s="267">
        <f>IF(IndividualLATest!$J$7=2014,(VLOOKUP($A188,Hshldprojections2014!$A$2:$AY$326,44,FALSE)-VLOOKUP($A188,Hshldprojections2014!$A$2:$AY$326,34,FALSE))/10,IF(IndividualLATest!$J$7=2016,(VLOOKUP($A188,Hshldprojections2016!$A$1:$AQ$322,34,FALSE)-VLOOKUP($A188,Hshldprojections2016!$A$1:$AQ$322,24,FALSE))/10,(VLOOKUP($A188,Hshldprojections2018!$A$1:$AQ$327,34,FALSE)-VLOOKUP($A188,Hshldprojections2018!$A$1:$AQ$327,24,FALSE))/10))</f>
        <v>666.4</v>
      </c>
      <c r="AF188" s="267">
        <f>IF(IndividualLATest!$J$7=2014,(VLOOKUP($A188,Hshldprojections2014!$A$2:$AY$326,45,FALSE)-VLOOKUP($A188,Hshldprojections2014!$A$2:$AY$326,35,FALSE))/10,IF(IndividualLATest!$J$7=2016,(VLOOKUP($A188,Hshldprojections2016!$A$1:$AQ$322,35,FALSE)-VLOOKUP($A188,Hshldprojections2016!$A$1:$AQ$322,25,FALSE))/10,(VLOOKUP($A188,Hshldprojections2018!$A$1:$AQ$327,35,FALSE)-VLOOKUP($A188,Hshldprojections2018!$A$1:$AQ$327,25,FALSE))/10))</f>
        <v>658.5</v>
      </c>
      <c r="AG188" s="267">
        <f>IF(IndividualLATest!$J$7=2014,(VLOOKUP($A188,Hshldprojections2014!$A$2:$AY$326,46,FALSE)-VLOOKUP($A188,Hshldprojections2014!$A$2:$AY$326,36,FALSE))/10,IF(IndividualLATest!$J$7=2016,(VLOOKUP($A188,Hshldprojections2016!$A$1:$AQ$322,36,FALSE)-VLOOKUP($A188,Hshldprojections2016!$A$1:$AQ$322,26,FALSE))/10,(VLOOKUP($A188,Hshldprojections2018!$A$1:$AQ$327,36,FALSE)-VLOOKUP($A188,Hshldprojections2018!$A$1:$AQ$327,26,FALSE))/10))</f>
        <v>648.6</v>
      </c>
      <c r="AH188" s="267">
        <f>IF(IndividualLATest!$J$7=2014,(VLOOKUP($A188,Hshldprojections2014!$A$2:$AY$326,47,FALSE)-VLOOKUP($A188,Hshldprojections2014!$A$2:$AY$326,37,FALSE))/10,IF(IndividualLATest!$J$7=2016,(VLOOKUP($A188,Hshldprojections2016!$A$1:$AQ$322,37,FALSE)-VLOOKUP($A188,Hshldprojections2016!$A$1:$AQ$322,27,FALSE))/10,(VLOOKUP($A188,Hshldprojections2018!$A$1:$AQ$327,37,FALSE)-VLOOKUP($A188,Hshldprojections2018!$A$1:$AQ$327,27,FALSE))/10))</f>
        <v>639.29999999999995</v>
      </c>
      <c r="AI188" s="268">
        <f>VLOOKUP($A188,AffordabilityRatio!$A$2:$I$321,5,FALSE)</f>
        <v>6.3</v>
      </c>
      <c r="AJ188" s="268">
        <f>VLOOKUP($A188,AffordabilityRatio!$A$2:$I$321,6,FALSE)</f>
        <v>6.12</v>
      </c>
      <c r="AK188" s="268">
        <f>VLOOKUP($A188,AffordabilityRatio!$A$2:$I$321,7,FALSE)</f>
        <v>6.03</v>
      </c>
      <c r="AL188" s="268">
        <f>IF((VLOOKUP($A188,AffordabilityRatio!$A$2:$I$321,8,FALSE))="",AK188,VLOOKUP($A188,AffordabilityRatio!$A$2:$I$321,8,FALSE))</f>
        <v>6.19</v>
      </c>
      <c r="AM188" s="268">
        <f>IF((VLOOKUP($A188,AffordabilityRatio!$A$2:$I$321,9,FALSE))="",AL188,VLOOKUP($A188,AffordabilityRatio!$A$2:$I$321,9,FALSE))</f>
        <v>6.53</v>
      </c>
      <c r="AN188" s="268">
        <f>IF((VLOOKUP($A188,AffordabilityRatio!$A$2:$I$321,9,FALSE))="",AM188,VLOOKUP($A188,AffordabilityRatio!$A$2:$I$321,9,FALSE))</f>
        <v>6.53</v>
      </c>
      <c r="AO188" s="268">
        <f>IF((VLOOKUP($A188,AffordabilityRatio!$A$2:$I$321,9,FALSE))="",AN188,VLOOKUP($A188,AffordabilityRatio!$A$2:$I$321,9,FALSE))</f>
        <v>6.53</v>
      </c>
      <c r="AP188" s="268">
        <f>IF((VLOOKUP($A188,AffordabilityRatio!$A$2:$I$321,9,FALSE))="",AO188,VLOOKUP($A188,AffordabilityRatio!$A$2:$I$321,9,FALSE))</f>
        <v>6.53</v>
      </c>
      <c r="AQ188" s="267">
        <f t="shared" si="152"/>
        <v>827</v>
      </c>
      <c r="AR188" s="267">
        <f t="shared" si="153"/>
        <v>812</v>
      </c>
      <c r="AS188" s="267">
        <f t="shared" si="154"/>
        <v>801</v>
      </c>
      <c r="AT188" s="267">
        <f t="shared" si="155"/>
        <v>773</v>
      </c>
      <c r="AU188" s="267">
        <f t="shared" si="156"/>
        <v>772</v>
      </c>
      <c r="AV188" s="267">
        <f t="shared" si="157"/>
        <v>763</v>
      </c>
      <c r="AW188" s="267">
        <f t="shared" si="158"/>
        <v>751</v>
      </c>
      <c r="AX188" s="267">
        <f t="shared" si="159"/>
        <v>740</v>
      </c>
      <c r="AY188" s="267">
        <f t="shared" si="160"/>
        <v>827</v>
      </c>
      <c r="AZ188" s="267">
        <f t="shared" si="161"/>
        <v>812</v>
      </c>
      <c r="BA188" s="267">
        <f t="shared" si="162"/>
        <v>801</v>
      </c>
      <c r="BB188" s="267">
        <f t="shared" si="163"/>
        <v>773</v>
      </c>
      <c r="BC188" s="267">
        <f t="shared" si="164"/>
        <v>772</v>
      </c>
      <c r="BD188" s="267">
        <f t="shared" si="165"/>
        <v>763</v>
      </c>
      <c r="BE188" s="267">
        <f t="shared" si="166"/>
        <v>751</v>
      </c>
      <c r="BF188" s="267">
        <f t="shared" si="167"/>
        <v>740</v>
      </c>
      <c r="BG188" s="269">
        <f>AY188*VLOOKUP($B188,'Major Cities &amp; Towns'!$A$28:$B$345,2,FALSE)</f>
        <v>827</v>
      </c>
      <c r="BH188" s="269">
        <f>AZ188*VLOOKUP($B188,'Major Cities &amp; Towns'!$A$28:$B$345,2,FALSE)</f>
        <v>812</v>
      </c>
      <c r="BI188" s="269">
        <f>BA188*VLOOKUP($B188,'Major Cities &amp; Towns'!$A$28:$B$345,2,FALSE)</f>
        <v>801</v>
      </c>
      <c r="BJ188" s="269">
        <f>BB188*VLOOKUP($B188,'Major Cities &amp; Towns'!$A$28:$B$345,2,FALSE)</f>
        <v>773</v>
      </c>
      <c r="BK188" s="269">
        <f>BC188*VLOOKUP($B188,'Major Cities &amp; Towns'!$A$28:$B$345,2,FALSE)</f>
        <v>772</v>
      </c>
      <c r="BL188" s="269">
        <f>BD188*VLOOKUP($B188,'Major Cities &amp; Towns'!$A$28:$B$345,2,FALSE)</f>
        <v>763</v>
      </c>
      <c r="BM188" s="269">
        <f>BE188*VLOOKUP($B188,'Major Cities &amp; Towns'!$A$28:$B$345,2,FALSE)</f>
        <v>751</v>
      </c>
      <c r="BN188" s="269">
        <f>BF188*VLOOKUP($B188,'Major Cities &amp; Towns'!$A$28:$B$345,2,FALSE)</f>
        <v>740</v>
      </c>
      <c r="BO188" s="270">
        <f t="shared" si="168"/>
        <v>790.14285714285711</v>
      </c>
      <c r="BP188" s="270">
        <f t="shared" si="169"/>
        <v>790.14285714285711</v>
      </c>
      <c r="BQ188" s="270">
        <f t="shared" si="170"/>
        <v>790.14285714285711</v>
      </c>
      <c r="BR188" s="270">
        <f t="shared" si="171"/>
        <v>773</v>
      </c>
      <c r="BS188" s="270">
        <f t="shared" si="172"/>
        <v>772</v>
      </c>
      <c r="BT188" s="270">
        <f t="shared" si="173"/>
        <v>763</v>
      </c>
      <c r="BU188" s="270">
        <f t="shared" si="174"/>
        <v>751</v>
      </c>
      <c r="BV188" s="270">
        <f t="shared" si="175"/>
        <v>740</v>
      </c>
      <c r="BW188" s="39">
        <f>VLOOKUP($A188,NetAdditions!$A$2:$H$336,6,FALSE)</f>
        <v>933</v>
      </c>
      <c r="BX188" s="39">
        <f>VLOOKUP($A188,NetAdditions!$A$2:$H$336,7,FALSE)</f>
        <v>554</v>
      </c>
      <c r="BY188" s="39">
        <f>IF((VLOOKUP($C188,NetAdditions!$A$2:$H$336,8,FALSE))="",(AVERAGE(VLOOKUP($C188,NetAdditions!$A$2:$H$336,5,FALSE),VLOOKUP($C188,NetAdditions!$A$2:$H$336,6,FALSE),VLOOKUP($C188,NetAdditions!$A$2:$H$336,7,FALSE))),VLOOKUP($C188,NetAdditions!$A$2:$H$336,8,FALSE))</f>
        <v>563</v>
      </c>
      <c r="BZ188" s="39">
        <f t="shared" si="176"/>
        <v>683.33333333333337</v>
      </c>
      <c r="CA188" s="39">
        <f t="shared" si="177"/>
        <v>600.1111111111112</v>
      </c>
      <c r="CB188" s="39">
        <f t="shared" si="178"/>
        <v>615.48148148148164</v>
      </c>
      <c r="CC188" s="39">
        <f t="shared" si="179"/>
        <v>632.9753086419754</v>
      </c>
      <c r="CD188" s="39">
        <f t="shared" si="180"/>
        <v>616.18930041152271</v>
      </c>
      <c r="CE188" s="276">
        <f t="shared" si="137"/>
        <v>2370.4285714285716</v>
      </c>
      <c r="CF188" s="276">
        <f t="shared" si="138"/>
        <v>2353.2857142857142</v>
      </c>
      <c r="CG188" s="276">
        <f t="shared" si="139"/>
        <v>2335.1428571428569</v>
      </c>
      <c r="CH188" s="276">
        <f t="shared" si="140"/>
        <v>2308</v>
      </c>
      <c r="CI188" s="276">
        <f t="shared" si="141"/>
        <v>2286</v>
      </c>
      <c r="CJ188" s="276">
        <f t="shared" si="142"/>
        <v>2254</v>
      </c>
      <c r="CK188" s="276">
        <f t="shared" si="181"/>
        <v>2041.2023809523812</v>
      </c>
      <c r="CL188" s="276">
        <f t="shared" si="182"/>
        <v>2026.4404761904761</v>
      </c>
      <c r="CM188" s="276">
        <f t="shared" si="183"/>
        <v>2140.5476190476188</v>
      </c>
      <c r="CN188" s="276">
        <f t="shared" si="184"/>
        <v>2308</v>
      </c>
      <c r="CO188" s="276">
        <f t="shared" si="185"/>
        <v>2286</v>
      </c>
      <c r="CP188" s="276">
        <f t="shared" si="186"/>
        <v>2254</v>
      </c>
      <c r="CQ188" s="39">
        <f t="shared" si="143"/>
        <v>2050</v>
      </c>
      <c r="CR188" s="39">
        <f t="shared" si="144"/>
        <v>1800.3333333333335</v>
      </c>
      <c r="CS188" s="277">
        <f t="shared" si="145"/>
        <v>1846.4444444444448</v>
      </c>
      <c r="CT188" s="39">
        <f t="shared" si="146"/>
        <v>1898.9259259259261</v>
      </c>
      <c r="CU188" s="39">
        <f t="shared" si="147"/>
        <v>1848.5679012345681</v>
      </c>
      <c r="CV188" s="39">
        <f t="shared" si="187"/>
        <v>1864.6460905349797</v>
      </c>
      <c r="CW188" s="297">
        <f t="shared" si="148"/>
        <v>1.0043100180215907</v>
      </c>
      <c r="CX188" s="279" t="str">
        <f t="shared" si="188"/>
        <v>Pass</v>
      </c>
      <c r="CY188" s="278">
        <f t="shared" si="149"/>
        <v>0.88842152260884388</v>
      </c>
      <c r="CZ188" s="279" t="str">
        <f t="shared" si="189"/>
        <v>Action Plan</v>
      </c>
      <c r="DA188" s="278">
        <f t="shared" si="150"/>
        <v>0.86260376924759674</v>
      </c>
      <c r="DB188" s="292" t="str">
        <f t="shared" si="190"/>
        <v>Action Plan</v>
      </c>
      <c r="DC188" s="299">
        <f t="shared" si="191"/>
        <v>0.82275820014121581</v>
      </c>
      <c r="DD188" s="293" t="str">
        <f t="shared" si="192"/>
        <v>Buffer and Action Plan</v>
      </c>
      <c r="DE188" s="299">
        <f t="shared" si="193"/>
        <v>0.80864737586814006</v>
      </c>
      <c r="DF188" s="293" t="str">
        <f t="shared" si="194"/>
        <v>Buffer and Action Plan</v>
      </c>
      <c r="DG188" s="299">
        <f t="shared" si="195"/>
        <v>0.82726090973157929</v>
      </c>
      <c r="DH188" s="293" t="str">
        <f t="shared" si="196"/>
        <v>Buffer and Action Plan</v>
      </c>
    </row>
    <row r="189" spans="1:112" ht="15" thickTop="1" thickBot="1">
      <c r="A189" s="38" t="s">
        <v>488</v>
      </c>
      <c r="B189" s="38" t="s">
        <v>489</v>
      </c>
      <c r="C189" s="38" t="s">
        <v>488</v>
      </c>
      <c r="D189" s="38" t="s">
        <v>154</v>
      </c>
      <c r="E189" s="38" t="str">
        <f>VLOOKUP(C189,PoliticalControl!A:K,11,FALSE)</f>
        <v>CON</v>
      </c>
      <c r="F189" s="38" t="str">
        <f>VLOOKUP(C189,UrbanRuralClassification!A:N,13,FALSE)</f>
        <v xml:space="preserve">Mainly Rural (rural including hub towns &gt;=80%) </v>
      </c>
      <c r="G189" s="38" t="str">
        <f>VLOOKUP(C189,UrbanRuralClassification!A:N,14,FALSE)</f>
        <v>Predominantly Rural</v>
      </c>
      <c r="H189" s="258">
        <f>IF(ISBLANK((VLOOKUP($A189,'local-plan-data'!$C$1:$AD$566,27,FALSE)))=TRUE,"",VLOOKUP($A189,'local-plan-data'!$C$1:$AD$566,27,FALSE))</f>
        <v>44468</v>
      </c>
      <c r="I189" s="259">
        <f>VLOOKUP($A189,'local-plan-data'!$C$1:$AD$566,28,FALSE)</f>
        <v>436.27272727272725</v>
      </c>
      <c r="J189" s="260">
        <f t="shared" si="151"/>
        <v>436.27272727272725</v>
      </c>
      <c r="K189" s="259">
        <f t="shared" si="197"/>
        <v>436.27272727272725</v>
      </c>
      <c r="L189" s="259">
        <f t="shared" si="199"/>
        <v>436.27272727272725</v>
      </c>
      <c r="M189" s="259">
        <f t="shared" si="199"/>
        <v>436.27272727272725</v>
      </c>
      <c r="N189" s="259">
        <f t="shared" si="199"/>
        <v>436.27272727272725</v>
      </c>
      <c r="O189" s="259">
        <f t="shared" si="199"/>
        <v>436.27272727272725</v>
      </c>
      <c r="P189" s="259">
        <f t="shared" si="199"/>
        <v>436.27272727272725</v>
      </c>
      <c r="Q189" s="259">
        <f t="shared" si="199"/>
        <v>436.27272727272725</v>
      </c>
      <c r="R189" s="259">
        <f t="shared" si="199"/>
        <v>436.27272727272725</v>
      </c>
      <c r="S189" s="259">
        <f t="shared" si="198"/>
        <v>3103</v>
      </c>
      <c r="T189" s="259">
        <f t="shared" si="200"/>
        <v>2738</v>
      </c>
      <c r="U189" s="259">
        <f t="shared" si="200"/>
        <v>2372</v>
      </c>
      <c r="V189" s="259">
        <f t="shared" si="200"/>
        <v>2007</v>
      </c>
      <c r="W189" s="259">
        <f t="shared" si="200"/>
        <v>1642</v>
      </c>
      <c r="X189" s="259">
        <f t="shared" si="200"/>
        <v>1277</v>
      </c>
      <c r="Y189" s="259">
        <f t="shared" si="200"/>
        <v>911</v>
      </c>
      <c r="Z189" s="259">
        <f t="shared" si="200"/>
        <v>546</v>
      </c>
      <c r="AA189" s="267">
        <f>(VLOOKUP(A189,Hshldprojections2014!$A$2:$AW$319,40, FALSE)-VLOOKUP(A189,Hshldprojections2014!$A$2:$AW$319,30, FALSE))/10</f>
        <v>144.80000000000001</v>
      </c>
      <c r="AB189" s="267">
        <f>(VLOOKUP(A189,Hshldprojections2014!$A$2:$AW$319,41, FALSE)-VLOOKUP(A189,Hshldprojections2014!$A$2:$AW$319,31, FALSE))/10</f>
        <v>143.9</v>
      </c>
      <c r="AC189" s="267">
        <f>(VLOOKUP(A189,Hshldprojections2014!$A$2:$AW$319,42, FALSE)-VLOOKUP(A189,Hshldprojections2014!$A$2:$AW$319,32, FALSE))/10</f>
        <v>142.5</v>
      </c>
      <c r="AD189" s="267">
        <f>IF(IndividualLATest!$J$7=2014,(VLOOKUP($A189,Hshldprojections2014!$A$2:$AY$326,43,FALSE)-VLOOKUP($A189,Hshldprojections2014!$A$2:$AY$326,33,FALSE))/10,IF(IndividualLATest!$J$7=2016,(VLOOKUP($A189,Hshldprojections2016!$A$1:$AQ$322,33,FALSE)-VLOOKUP($A189,Hshldprojections2016!$A$1:$AQ$322,23,FALSE))/10,(VLOOKUP($A189,Hshldprojections2018!$A$1:$AQ$327,33,FALSE)-VLOOKUP($A189,Hshldprojections2018!$A$1:$AQ$327,23,FALSE))/10))</f>
        <v>298.8</v>
      </c>
      <c r="AE189" s="267">
        <f>IF(IndividualLATest!$J$7=2014,(VLOOKUP($A189,Hshldprojections2014!$A$2:$AY$326,44,FALSE)-VLOOKUP($A189,Hshldprojections2014!$A$2:$AY$326,34,FALSE))/10,IF(IndividualLATest!$J$7=2016,(VLOOKUP($A189,Hshldprojections2016!$A$1:$AQ$322,34,FALSE)-VLOOKUP($A189,Hshldprojections2016!$A$1:$AQ$322,24,FALSE))/10,(VLOOKUP($A189,Hshldprojections2018!$A$1:$AQ$327,34,FALSE)-VLOOKUP($A189,Hshldprojections2018!$A$1:$AQ$327,24,FALSE))/10))</f>
        <v>289.7</v>
      </c>
      <c r="AF189" s="267">
        <f>IF(IndividualLATest!$J$7=2014,(VLOOKUP($A189,Hshldprojections2014!$A$2:$AY$326,45,FALSE)-VLOOKUP($A189,Hshldprojections2014!$A$2:$AY$326,35,FALSE))/10,IF(IndividualLATest!$J$7=2016,(VLOOKUP($A189,Hshldprojections2016!$A$1:$AQ$322,35,FALSE)-VLOOKUP($A189,Hshldprojections2016!$A$1:$AQ$322,25,FALSE))/10,(VLOOKUP($A189,Hshldprojections2018!$A$1:$AQ$327,35,FALSE)-VLOOKUP($A189,Hshldprojections2018!$A$1:$AQ$327,25,FALSE))/10))</f>
        <v>283</v>
      </c>
      <c r="AG189" s="267">
        <f>IF(IndividualLATest!$J$7=2014,(VLOOKUP($A189,Hshldprojections2014!$A$2:$AY$326,46,FALSE)-VLOOKUP($A189,Hshldprojections2014!$A$2:$AY$326,36,FALSE))/10,IF(IndividualLATest!$J$7=2016,(VLOOKUP($A189,Hshldprojections2016!$A$1:$AQ$322,36,FALSE)-VLOOKUP($A189,Hshldprojections2016!$A$1:$AQ$322,26,FALSE))/10,(VLOOKUP($A189,Hshldprojections2018!$A$1:$AQ$327,36,FALSE)-VLOOKUP($A189,Hshldprojections2018!$A$1:$AQ$327,26,FALSE))/10))</f>
        <v>276.2</v>
      </c>
      <c r="AH189" s="267">
        <f>IF(IndividualLATest!$J$7=2014,(VLOOKUP($A189,Hshldprojections2014!$A$2:$AY$326,47,FALSE)-VLOOKUP($A189,Hshldprojections2014!$A$2:$AY$326,37,FALSE))/10,IF(IndividualLATest!$J$7=2016,(VLOOKUP($A189,Hshldprojections2016!$A$1:$AQ$322,37,FALSE)-VLOOKUP($A189,Hshldprojections2016!$A$1:$AQ$322,27,FALSE))/10,(VLOOKUP($A189,Hshldprojections2018!$A$1:$AQ$327,37,FALSE)-VLOOKUP($A189,Hshldprojections2018!$A$1:$AQ$327,27,FALSE))/10))</f>
        <v>271.39999999999998</v>
      </c>
      <c r="AI189" s="268">
        <f>VLOOKUP($A189,AffordabilityRatio!$A$2:$I$321,5,FALSE)</f>
        <v>7.03</v>
      </c>
      <c r="AJ189" s="268">
        <f>VLOOKUP($A189,AffordabilityRatio!$A$2:$I$321,6,FALSE)</f>
        <v>7.24</v>
      </c>
      <c r="AK189" s="268">
        <f>VLOOKUP($A189,AffordabilityRatio!$A$2:$I$321,7,FALSE)</f>
        <v>7.29</v>
      </c>
      <c r="AL189" s="268">
        <f>IF((VLOOKUP($A189,AffordabilityRatio!$A$2:$I$321,8,FALSE))="",AK189,VLOOKUP($A189,AffordabilityRatio!$A$2:$I$321,8,FALSE))</f>
        <v>7.49</v>
      </c>
      <c r="AM189" s="268">
        <f>IF((VLOOKUP($A189,AffordabilityRatio!$A$2:$I$321,9,FALSE))="",AL189,VLOOKUP($A189,AffordabilityRatio!$A$2:$I$321,9,FALSE))</f>
        <v>8.23</v>
      </c>
      <c r="AN189" s="268">
        <f>IF((VLOOKUP($A189,AffordabilityRatio!$A$2:$I$321,9,FALSE))="",AM189,VLOOKUP($A189,AffordabilityRatio!$A$2:$I$321,9,FALSE))</f>
        <v>8.23</v>
      </c>
      <c r="AO189" s="268">
        <f>IF((VLOOKUP($A189,AffordabilityRatio!$A$2:$I$321,9,FALSE))="",AN189,VLOOKUP($A189,AffordabilityRatio!$A$2:$I$321,9,FALSE))</f>
        <v>8.23</v>
      </c>
      <c r="AP189" s="268">
        <f>IF((VLOOKUP($A189,AffordabilityRatio!$A$2:$I$321,9,FALSE))="",AO189,VLOOKUP($A189,AffordabilityRatio!$A$2:$I$321,9,FALSE))</f>
        <v>8.23</v>
      </c>
      <c r="AQ189" s="267">
        <f t="shared" si="152"/>
        <v>172</v>
      </c>
      <c r="AR189" s="267">
        <f t="shared" si="153"/>
        <v>173</v>
      </c>
      <c r="AS189" s="267">
        <f t="shared" si="154"/>
        <v>172</v>
      </c>
      <c r="AT189" s="267">
        <f t="shared" si="155"/>
        <v>364</v>
      </c>
      <c r="AU189" s="267">
        <f t="shared" si="156"/>
        <v>366</v>
      </c>
      <c r="AV189" s="267">
        <f t="shared" si="157"/>
        <v>358</v>
      </c>
      <c r="AW189" s="267">
        <f t="shared" si="158"/>
        <v>349</v>
      </c>
      <c r="AX189" s="267">
        <f t="shared" si="159"/>
        <v>343</v>
      </c>
      <c r="AY189" s="267">
        <f t="shared" si="160"/>
        <v>172</v>
      </c>
      <c r="AZ189" s="267">
        <f t="shared" si="161"/>
        <v>173</v>
      </c>
      <c r="BA189" s="267">
        <f t="shared" si="162"/>
        <v>172</v>
      </c>
      <c r="BB189" s="267">
        <f t="shared" si="163"/>
        <v>364</v>
      </c>
      <c r="BC189" s="267">
        <f t="shared" si="164"/>
        <v>366</v>
      </c>
      <c r="BD189" s="267">
        <f t="shared" si="165"/>
        <v>358</v>
      </c>
      <c r="BE189" s="267">
        <f t="shared" si="166"/>
        <v>349</v>
      </c>
      <c r="BF189" s="267">
        <f t="shared" si="167"/>
        <v>343</v>
      </c>
      <c r="BG189" s="269">
        <f>AY189*VLOOKUP($B189,'Major Cities &amp; Towns'!$A$28:$B$345,2,FALSE)</f>
        <v>172</v>
      </c>
      <c r="BH189" s="269">
        <f>AZ189*VLOOKUP($B189,'Major Cities &amp; Towns'!$A$28:$B$345,2,FALSE)</f>
        <v>173</v>
      </c>
      <c r="BI189" s="269">
        <f>BA189*VLOOKUP($B189,'Major Cities &amp; Towns'!$A$28:$B$345,2,FALSE)</f>
        <v>172</v>
      </c>
      <c r="BJ189" s="269">
        <f>BB189*VLOOKUP($B189,'Major Cities &amp; Towns'!$A$28:$B$345,2,FALSE)</f>
        <v>364</v>
      </c>
      <c r="BK189" s="269">
        <f>BC189*VLOOKUP($B189,'Major Cities &amp; Towns'!$A$28:$B$345,2,FALSE)</f>
        <v>366</v>
      </c>
      <c r="BL189" s="269">
        <f>BD189*VLOOKUP($B189,'Major Cities &amp; Towns'!$A$28:$B$345,2,FALSE)</f>
        <v>358</v>
      </c>
      <c r="BM189" s="269">
        <f>BE189*VLOOKUP($B189,'Major Cities &amp; Towns'!$A$28:$B$345,2,FALSE)</f>
        <v>349</v>
      </c>
      <c r="BN189" s="269">
        <f>BF189*VLOOKUP($B189,'Major Cities &amp; Towns'!$A$28:$B$345,2,FALSE)</f>
        <v>343</v>
      </c>
      <c r="BO189" s="270">
        <f t="shared" si="168"/>
        <v>172</v>
      </c>
      <c r="BP189" s="270">
        <f t="shared" si="169"/>
        <v>173</v>
      </c>
      <c r="BQ189" s="270">
        <f t="shared" si="170"/>
        <v>172</v>
      </c>
      <c r="BR189" s="270">
        <f t="shared" si="171"/>
        <v>364</v>
      </c>
      <c r="BS189" s="270">
        <f t="shared" si="172"/>
        <v>366</v>
      </c>
      <c r="BT189" s="270">
        <f t="shared" si="173"/>
        <v>358</v>
      </c>
      <c r="BU189" s="270">
        <f t="shared" si="174"/>
        <v>349</v>
      </c>
      <c r="BV189" s="270">
        <f t="shared" si="175"/>
        <v>343</v>
      </c>
      <c r="BW189" s="39">
        <f>VLOOKUP($A189,NetAdditions!$A$2:$H$336,6,FALSE)</f>
        <v>337</v>
      </c>
      <c r="BX189" s="39">
        <f>VLOOKUP($A189,NetAdditions!$A$2:$H$336,7,FALSE)</f>
        <v>215</v>
      </c>
      <c r="BY189" s="39">
        <f>IF((VLOOKUP($C189,NetAdditions!$A$2:$H$336,8,FALSE))="",(AVERAGE(VLOOKUP($C189,NetAdditions!$A$2:$H$336,5,FALSE),VLOOKUP($C189,NetAdditions!$A$2:$H$336,6,FALSE),VLOOKUP($C189,NetAdditions!$A$2:$H$336,7,FALSE))),VLOOKUP($C189,NetAdditions!$A$2:$H$336,8,FALSE))</f>
        <v>137</v>
      </c>
      <c r="BZ189" s="39">
        <f t="shared" si="176"/>
        <v>229.66666666666666</v>
      </c>
      <c r="CA189" s="39">
        <f t="shared" si="177"/>
        <v>193.88888888888889</v>
      </c>
      <c r="CB189" s="39">
        <f t="shared" si="178"/>
        <v>186.85185185185185</v>
      </c>
      <c r="CC189" s="39">
        <f t="shared" si="179"/>
        <v>203.46913580246914</v>
      </c>
      <c r="CD189" s="39">
        <f t="shared" si="180"/>
        <v>194.7366255144033</v>
      </c>
      <c r="CE189" s="276">
        <f t="shared" si="137"/>
        <v>517</v>
      </c>
      <c r="CF189" s="276">
        <f t="shared" si="138"/>
        <v>709</v>
      </c>
      <c r="CG189" s="276">
        <f t="shared" si="139"/>
        <v>902</v>
      </c>
      <c r="CH189" s="276">
        <f t="shared" si="140"/>
        <v>1088</v>
      </c>
      <c r="CI189" s="276">
        <f t="shared" si="141"/>
        <v>1073</v>
      </c>
      <c r="CJ189" s="276">
        <f t="shared" si="142"/>
        <v>1050</v>
      </c>
      <c r="CK189" s="276">
        <f t="shared" si="181"/>
        <v>445.19444444444446</v>
      </c>
      <c r="CL189" s="276">
        <f t="shared" si="182"/>
        <v>610.52777777777783</v>
      </c>
      <c r="CM189" s="276">
        <f t="shared" si="183"/>
        <v>826.83333333333326</v>
      </c>
      <c r="CN189" s="276">
        <f t="shared" si="184"/>
        <v>1088</v>
      </c>
      <c r="CO189" s="276">
        <f t="shared" si="185"/>
        <v>1073</v>
      </c>
      <c r="CP189" s="276">
        <f t="shared" si="186"/>
        <v>1050</v>
      </c>
      <c r="CQ189" s="39">
        <f t="shared" si="143"/>
        <v>689</v>
      </c>
      <c r="CR189" s="39">
        <f t="shared" si="144"/>
        <v>581.66666666666663</v>
      </c>
      <c r="CS189" s="277">
        <f t="shared" si="145"/>
        <v>560.55555555555554</v>
      </c>
      <c r="CT189" s="39">
        <f t="shared" si="146"/>
        <v>610.40740740740739</v>
      </c>
      <c r="CU189" s="39">
        <f t="shared" si="147"/>
        <v>584.20987654320993</v>
      </c>
      <c r="CV189" s="39">
        <f t="shared" si="187"/>
        <v>585.05761316872429</v>
      </c>
      <c r="CW189" s="297">
        <f t="shared" si="148"/>
        <v>1.5476383602670494</v>
      </c>
      <c r="CX189" s="279" t="str">
        <f t="shared" si="188"/>
        <v>Pass</v>
      </c>
      <c r="CY189" s="278">
        <f t="shared" si="149"/>
        <v>0.95272760362163866</v>
      </c>
      <c r="CZ189" s="279" t="str">
        <f t="shared" si="189"/>
        <v>Pass</v>
      </c>
      <c r="DA189" s="278">
        <f t="shared" si="150"/>
        <v>0.67795471343143188</v>
      </c>
      <c r="DB189" s="292" t="str">
        <f t="shared" si="190"/>
        <v>Presumption</v>
      </c>
      <c r="DC189" s="299">
        <f t="shared" si="191"/>
        <v>0.56103622004357301</v>
      </c>
      <c r="DD189" s="293" t="str">
        <f t="shared" si="192"/>
        <v>Presumption</v>
      </c>
      <c r="DE189" s="299">
        <f t="shared" si="193"/>
        <v>0.54446400423411923</v>
      </c>
      <c r="DF189" s="293" t="str">
        <f t="shared" si="194"/>
        <v>Presumption</v>
      </c>
      <c r="DG189" s="299">
        <f t="shared" si="195"/>
        <v>0.55719772682735647</v>
      </c>
      <c r="DH189" s="293" t="str">
        <f t="shared" si="196"/>
        <v>Presumption</v>
      </c>
    </row>
    <row r="190" spans="1:112" ht="15" thickTop="1" thickBot="1">
      <c r="A190" s="38" t="s">
        <v>490</v>
      </c>
      <c r="B190" s="38" t="s">
        <v>491</v>
      </c>
      <c r="C190" s="38" t="s">
        <v>490</v>
      </c>
      <c r="D190" s="38" t="s">
        <v>119</v>
      </c>
      <c r="E190" s="38" t="str">
        <f>VLOOKUP(C190,PoliticalControl!A:K,11,FALSE)</f>
        <v>CON</v>
      </c>
      <c r="F190" s="38" t="str">
        <f>VLOOKUP(C190,UrbanRuralClassification!A:N,13,FALSE)</f>
        <v xml:space="preserve">Largely Rural (rural including hub towns 50-79%) </v>
      </c>
      <c r="G190" s="38" t="str">
        <f>VLOOKUP(C190,UrbanRuralClassification!A:N,14,FALSE)</f>
        <v>Predominantly Rural</v>
      </c>
      <c r="H190" s="258">
        <f>IF(ISBLANK((VLOOKUP($A190,'local-plan-data'!$C$1:$AD$566,27,FALSE)))=TRUE,"",VLOOKUP($A190,'local-plan-data'!$C$1:$AD$566,27,FALSE))</f>
        <v>43060</v>
      </c>
      <c r="I190" s="259">
        <f>VLOOKUP($A190,'local-plan-data'!$C$1:$AD$566,28,FALSE)</f>
        <v>481</v>
      </c>
      <c r="J190" s="260">
        <f t="shared" si="151"/>
        <v>481</v>
      </c>
      <c r="K190" s="259">
        <f t="shared" si="197"/>
        <v>481</v>
      </c>
      <c r="L190" s="259">
        <f t="shared" si="199"/>
        <v>481</v>
      </c>
      <c r="M190" s="259">
        <f t="shared" si="199"/>
        <v>481</v>
      </c>
      <c r="N190" s="259">
        <f t="shared" si="199"/>
        <v>481</v>
      </c>
      <c r="O190" s="259">
        <f t="shared" si="199"/>
        <v>481</v>
      </c>
      <c r="P190" s="259" t="str">
        <f t="shared" si="199"/>
        <v>-</v>
      </c>
      <c r="Q190" s="259" t="str">
        <f t="shared" si="199"/>
        <v>-</v>
      </c>
      <c r="R190" s="259" t="str">
        <f t="shared" si="199"/>
        <v>-</v>
      </c>
      <c r="S190" s="259">
        <f t="shared" si="198"/>
        <v>1695</v>
      </c>
      <c r="T190" s="259">
        <f t="shared" si="200"/>
        <v>1330</v>
      </c>
      <c r="U190" s="259">
        <f t="shared" si="200"/>
        <v>964</v>
      </c>
      <c r="V190" s="259">
        <f t="shared" si="200"/>
        <v>599</v>
      </c>
      <c r="W190" s="259">
        <f t="shared" si="200"/>
        <v>234</v>
      </c>
      <c r="X190" s="259">
        <f t="shared" si="200"/>
        <v>-131</v>
      </c>
      <c r="Y190" s="259">
        <f t="shared" si="200"/>
        <v>-497</v>
      </c>
      <c r="Z190" s="259">
        <f t="shared" si="200"/>
        <v>-862</v>
      </c>
      <c r="AA190" s="267">
        <f>(VLOOKUP(A190,Hshldprojections2014!$A$2:$AW$319,40, FALSE)-VLOOKUP(A190,Hshldprojections2014!$A$2:$AW$319,30, FALSE))/10</f>
        <v>305.89999999999998</v>
      </c>
      <c r="AB190" s="267">
        <f>(VLOOKUP(A190,Hshldprojections2014!$A$2:$AW$319,41, FALSE)-VLOOKUP(A190,Hshldprojections2014!$A$2:$AW$319,31, FALSE))/10</f>
        <v>304.10000000000002</v>
      </c>
      <c r="AC190" s="267">
        <f>(VLOOKUP(A190,Hshldprojections2014!$A$2:$AW$319,42, FALSE)-VLOOKUP(A190,Hshldprojections2014!$A$2:$AW$319,32, FALSE))/10</f>
        <v>300.10000000000002</v>
      </c>
      <c r="AD190" s="267">
        <f>IF(IndividualLATest!$J$7=2014,(VLOOKUP($A190,Hshldprojections2014!$A$2:$AY$326,43,FALSE)-VLOOKUP($A190,Hshldprojections2014!$A$2:$AY$326,33,FALSE))/10,IF(IndividualLATest!$J$7=2016,(VLOOKUP($A190,Hshldprojections2016!$A$1:$AQ$322,33,FALSE)-VLOOKUP($A190,Hshldprojections2016!$A$1:$AQ$322,23,FALSE))/10,(VLOOKUP($A190,Hshldprojections2018!$A$1:$AQ$327,33,FALSE)-VLOOKUP($A190,Hshldprojections2018!$A$1:$AQ$327,23,FALSE))/10))</f>
        <v>750.1</v>
      </c>
      <c r="AE190" s="267">
        <f>IF(IndividualLATest!$J$7=2014,(VLOOKUP($A190,Hshldprojections2014!$A$2:$AY$326,44,FALSE)-VLOOKUP($A190,Hshldprojections2014!$A$2:$AY$326,34,FALSE))/10,IF(IndividualLATest!$J$7=2016,(VLOOKUP($A190,Hshldprojections2016!$A$1:$AQ$322,34,FALSE)-VLOOKUP($A190,Hshldprojections2016!$A$1:$AQ$322,24,FALSE))/10,(VLOOKUP($A190,Hshldprojections2018!$A$1:$AQ$327,34,FALSE)-VLOOKUP($A190,Hshldprojections2018!$A$1:$AQ$327,24,FALSE))/10))</f>
        <v>735.4</v>
      </c>
      <c r="AF190" s="267">
        <f>IF(IndividualLATest!$J$7=2014,(VLOOKUP($A190,Hshldprojections2014!$A$2:$AY$326,45,FALSE)-VLOOKUP($A190,Hshldprojections2014!$A$2:$AY$326,35,FALSE))/10,IF(IndividualLATest!$J$7=2016,(VLOOKUP($A190,Hshldprojections2016!$A$1:$AQ$322,35,FALSE)-VLOOKUP($A190,Hshldprojections2016!$A$1:$AQ$322,25,FALSE))/10,(VLOOKUP($A190,Hshldprojections2018!$A$1:$AQ$327,35,FALSE)-VLOOKUP($A190,Hshldprojections2018!$A$1:$AQ$327,25,FALSE))/10))</f>
        <v>721.1</v>
      </c>
      <c r="AG190" s="267">
        <f>IF(IndividualLATest!$J$7=2014,(VLOOKUP($A190,Hshldprojections2014!$A$2:$AY$326,46,FALSE)-VLOOKUP($A190,Hshldprojections2014!$A$2:$AY$326,36,FALSE))/10,IF(IndividualLATest!$J$7=2016,(VLOOKUP($A190,Hshldprojections2016!$A$1:$AQ$322,36,FALSE)-VLOOKUP($A190,Hshldprojections2016!$A$1:$AQ$322,26,FALSE))/10,(VLOOKUP($A190,Hshldprojections2018!$A$1:$AQ$327,36,FALSE)-VLOOKUP($A190,Hshldprojections2018!$A$1:$AQ$327,26,FALSE))/10))</f>
        <v>705.3</v>
      </c>
      <c r="AH190" s="267">
        <f>IF(IndividualLATest!$J$7=2014,(VLOOKUP($A190,Hshldprojections2014!$A$2:$AY$326,47,FALSE)-VLOOKUP($A190,Hshldprojections2014!$A$2:$AY$326,37,FALSE))/10,IF(IndividualLATest!$J$7=2016,(VLOOKUP($A190,Hshldprojections2016!$A$1:$AQ$322,37,FALSE)-VLOOKUP($A190,Hshldprojections2016!$A$1:$AQ$322,27,FALSE))/10,(VLOOKUP($A190,Hshldprojections2018!$A$1:$AQ$327,37,FALSE)-VLOOKUP($A190,Hshldprojections2018!$A$1:$AQ$327,27,FALSE))/10))</f>
        <v>691.7</v>
      </c>
      <c r="AI190" s="268">
        <f>VLOOKUP($A190,AffordabilityRatio!$A$2:$I$321,5,FALSE)</f>
        <v>7.38</v>
      </c>
      <c r="AJ190" s="268">
        <f>VLOOKUP($A190,AffordabilityRatio!$A$2:$I$321,6,FALSE)</f>
        <v>7.89</v>
      </c>
      <c r="AK190" s="268">
        <f>VLOOKUP($A190,AffordabilityRatio!$A$2:$I$321,7,FALSE)</f>
        <v>7.19</v>
      </c>
      <c r="AL190" s="268">
        <f>IF((VLOOKUP($A190,AffordabilityRatio!$A$2:$I$321,8,FALSE))="",AK190,VLOOKUP($A190,AffordabilityRatio!$A$2:$I$321,8,FALSE))</f>
        <v>7.78</v>
      </c>
      <c r="AM190" s="268">
        <f>IF((VLOOKUP($A190,AffordabilityRatio!$A$2:$I$321,9,FALSE))="",AL190,VLOOKUP($A190,AffordabilityRatio!$A$2:$I$321,9,FALSE))</f>
        <v>7.99</v>
      </c>
      <c r="AN190" s="268">
        <f>IF((VLOOKUP($A190,AffordabilityRatio!$A$2:$I$321,9,FALSE))="",AM190,VLOOKUP($A190,AffordabilityRatio!$A$2:$I$321,9,FALSE))</f>
        <v>7.99</v>
      </c>
      <c r="AO190" s="268">
        <f>IF((VLOOKUP($A190,AffordabilityRatio!$A$2:$I$321,9,FALSE))="",AN190,VLOOKUP($A190,AffordabilityRatio!$A$2:$I$321,9,FALSE))</f>
        <v>7.99</v>
      </c>
      <c r="AP190" s="268">
        <f>IF((VLOOKUP($A190,AffordabilityRatio!$A$2:$I$321,9,FALSE))="",AO190,VLOOKUP($A190,AffordabilityRatio!$A$2:$I$321,9,FALSE))</f>
        <v>7.99</v>
      </c>
      <c r="AQ190" s="267">
        <f t="shared" si="152"/>
        <v>371</v>
      </c>
      <c r="AR190" s="267">
        <f t="shared" si="153"/>
        <v>378</v>
      </c>
      <c r="AS190" s="267">
        <f t="shared" si="154"/>
        <v>360</v>
      </c>
      <c r="AT190" s="267">
        <f t="shared" si="155"/>
        <v>927</v>
      </c>
      <c r="AU190" s="267">
        <f t="shared" si="156"/>
        <v>919</v>
      </c>
      <c r="AV190" s="267">
        <f t="shared" si="157"/>
        <v>901</v>
      </c>
      <c r="AW190" s="267">
        <f t="shared" si="158"/>
        <v>881</v>
      </c>
      <c r="AX190" s="267">
        <f t="shared" si="159"/>
        <v>864</v>
      </c>
      <c r="AY190" s="267">
        <f t="shared" si="160"/>
        <v>371</v>
      </c>
      <c r="AZ190" s="267">
        <f t="shared" si="161"/>
        <v>378</v>
      </c>
      <c r="BA190" s="267">
        <f t="shared" si="162"/>
        <v>360</v>
      </c>
      <c r="BB190" s="267">
        <f t="shared" si="163"/>
        <v>673.4</v>
      </c>
      <c r="BC190" s="267">
        <f t="shared" si="164"/>
        <v>673.4</v>
      </c>
      <c r="BD190" s="267">
        <f t="shared" si="165"/>
        <v>901</v>
      </c>
      <c r="BE190" s="267">
        <f t="shared" si="166"/>
        <v>881</v>
      </c>
      <c r="BF190" s="267">
        <f t="shared" si="167"/>
        <v>864</v>
      </c>
      <c r="BG190" s="269">
        <f>AY190*VLOOKUP($B190,'Major Cities &amp; Towns'!$A$28:$B$345,2,FALSE)</f>
        <v>371</v>
      </c>
      <c r="BH190" s="269">
        <f>AZ190*VLOOKUP($B190,'Major Cities &amp; Towns'!$A$28:$B$345,2,FALSE)</f>
        <v>378</v>
      </c>
      <c r="BI190" s="269">
        <f>BA190*VLOOKUP($B190,'Major Cities &amp; Towns'!$A$28:$B$345,2,FALSE)</f>
        <v>360</v>
      </c>
      <c r="BJ190" s="269">
        <f>BB190*VLOOKUP($B190,'Major Cities &amp; Towns'!$A$28:$B$345,2,FALSE)</f>
        <v>673.4</v>
      </c>
      <c r="BK190" s="269">
        <f>BC190*VLOOKUP($B190,'Major Cities &amp; Towns'!$A$28:$B$345,2,FALSE)</f>
        <v>673.4</v>
      </c>
      <c r="BL190" s="269">
        <f>BD190*VLOOKUP($B190,'Major Cities &amp; Towns'!$A$28:$B$345,2,FALSE)</f>
        <v>901</v>
      </c>
      <c r="BM190" s="269">
        <f>BE190*VLOOKUP($B190,'Major Cities &amp; Towns'!$A$28:$B$345,2,FALSE)</f>
        <v>881</v>
      </c>
      <c r="BN190" s="269">
        <f>BF190*VLOOKUP($B190,'Major Cities &amp; Towns'!$A$28:$B$345,2,FALSE)</f>
        <v>864</v>
      </c>
      <c r="BO190" s="270">
        <f t="shared" si="168"/>
        <v>371</v>
      </c>
      <c r="BP190" s="270">
        <f t="shared" si="169"/>
        <v>378</v>
      </c>
      <c r="BQ190" s="270">
        <f t="shared" si="170"/>
        <v>360</v>
      </c>
      <c r="BR190" s="270">
        <f t="shared" si="171"/>
        <v>481</v>
      </c>
      <c r="BS190" s="270">
        <f t="shared" si="172"/>
        <v>638.20000000000005</v>
      </c>
      <c r="BT190" s="270">
        <f t="shared" si="173"/>
        <v>901</v>
      </c>
      <c r="BU190" s="270">
        <f t="shared" si="174"/>
        <v>881</v>
      </c>
      <c r="BV190" s="270">
        <f t="shared" si="175"/>
        <v>864</v>
      </c>
      <c r="BW190" s="39">
        <f>VLOOKUP($A190,NetAdditions!$A$2:$H$336,6,FALSE)</f>
        <v>713</v>
      </c>
      <c r="BX190" s="39">
        <f>VLOOKUP($A190,NetAdditions!$A$2:$H$336,7,FALSE)</f>
        <v>754</v>
      </c>
      <c r="BY190" s="39">
        <f>IF((VLOOKUP($C190,NetAdditions!$A$2:$H$336,8,FALSE))="",(AVERAGE(VLOOKUP($C190,NetAdditions!$A$2:$H$336,5,FALSE),VLOOKUP($C190,NetAdditions!$A$2:$H$336,6,FALSE),VLOOKUP($C190,NetAdditions!$A$2:$H$336,7,FALSE))),VLOOKUP($C190,NetAdditions!$A$2:$H$336,8,FALSE))</f>
        <v>702</v>
      </c>
      <c r="BZ190" s="39">
        <f t="shared" si="176"/>
        <v>723</v>
      </c>
      <c r="CA190" s="39">
        <f t="shared" si="177"/>
        <v>726.33333333333337</v>
      </c>
      <c r="CB190" s="39">
        <f t="shared" si="178"/>
        <v>717.1111111111112</v>
      </c>
      <c r="CC190" s="39">
        <f t="shared" si="179"/>
        <v>722.14814814814827</v>
      </c>
      <c r="CD190" s="39">
        <f t="shared" si="180"/>
        <v>721.86419753086432</v>
      </c>
      <c r="CE190" s="276">
        <f t="shared" si="137"/>
        <v>1109</v>
      </c>
      <c r="CF190" s="276">
        <f t="shared" si="138"/>
        <v>1219</v>
      </c>
      <c r="CG190" s="276">
        <f t="shared" si="139"/>
        <v>1479.2</v>
      </c>
      <c r="CH190" s="276">
        <f t="shared" si="140"/>
        <v>2020.2</v>
      </c>
      <c r="CI190" s="276">
        <f t="shared" si="141"/>
        <v>2420.1999999999998</v>
      </c>
      <c r="CJ190" s="276">
        <f t="shared" si="142"/>
        <v>2646</v>
      </c>
      <c r="CK190" s="276">
        <f t="shared" si="181"/>
        <v>954.97222222222229</v>
      </c>
      <c r="CL190" s="276">
        <f t="shared" si="182"/>
        <v>1049.6944444444446</v>
      </c>
      <c r="CM190" s="276">
        <f t="shared" si="183"/>
        <v>1355.9333333333334</v>
      </c>
      <c r="CN190" s="276">
        <f t="shared" si="184"/>
        <v>2020.2</v>
      </c>
      <c r="CO190" s="276">
        <f t="shared" si="185"/>
        <v>2420.1999999999998</v>
      </c>
      <c r="CP190" s="276">
        <f t="shared" si="186"/>
        <v>2646</v>
      </c>
      <c r="CQ190" s="39">
        <f t="shared" si="143"/>
        <v>2169</v>
      </c>
      <c r="CR190" s="39">
        <f t="shared" si="144"/>
        <v>2179</v>
      </c>
      <c r="CS190" s="277">
        <f t="shared" si="145"/>
        <v>2151.3333333333335</v>
      </c>
      <c r="CT190" s="39">
        <f t="shared" si="146"/>
        <v>2166.4444444444448</v>
      </c>
      <c r="CU190" s="39">
        <f t="shared" si="147"/>
        <v>2165.5925925925931</v>
      </c>
      <c r="CV190" s="39">
        <f t="shared" si="187"/>
        <v>2161.1234567901238</v>
      </c>
      <c r="CW190" s="297">
        <f t="shared" si="148"/>
        <v>2.2712702521888359</v>
      </c>
      <c r="CX190" s="279" t="str">
        <f t="shared" si="188"/>
        <v>Pass</v>
      </c>
      <c r="CY190" s="278">
        <f t="shared" si="149"/>
        <v>2.0758421762946888</v>
      </c>
      <c r="CZ190" s="279" t="str">
        <f t="shared" si="189"/>
        <v>Pass</v>
      </c>
      <c r="DA190" s="278">
        <f t="shared" si="150"/>
        <v>1.5866070111608241</v>
      </c>
      <c r="DB190" s="292" t="str">
        <f t="shared" si="190"/>
        <v>Pass</v>
      </c>
      <c r="DC190" s="299">
        <f t="shared" si="191"/>
        <v>1.0723910723910726</v>
      </c>
      <c r="DD190" s="293" t="str">
        <f t="shared" si="192"/>
        <v>Pass</v>
      </c>
      <c r="DE190" s="299">
        <f t="shared" si="193"/>
        <v>0.89479902181331838</v>
      </c>
      <c r="DF190" s="293" t="str">
        <f t="shared" si="194"/>
        <v>Action Plan</v>
      </c>
      <c r="DG190" s="299">
        <f t="shared" si="195"/>
        <v>0.81675111745658491</v>
      </c>
      <c r="DH190" s="293" t="str">
        <f t="shared" si="196"/>
        <v>Buffer and Action Plan</v>
      </c>
    </row>
    <row r="191" spans="1:112" ht="15" thickTop="1" thickBot="1">
      <c r="A191" s="38" t="s">
        <v>492</v>
      </c>
      <c r="B191" s="38" t="s">
        <v>493</v>
      </c>
      <c r="C191" s="38" t="s">
        <v>492</v>
      </c>
      <c r="D191" s="38" t="s">
        <v>119</v>
      </c>
      <c r="E191" s="38" t="e">
        <f>VLOOKUP(C191,PoliticalControl!A:K,11,FALSE)</f>
        <v>#N/A</v>
      </c>
      <c r="F191" s="38" t="str">
        <f>VLOOKUP(C191,UrbanRuralClassification!A:N,13,FALSE)</f>
        <v>Urban with City and Town</v>
      </c>
      <c r="G191" s="38" t="str">
        <f>VLOOKUP(C191,UrbanRuralClassification!A:N,14,FALSE)</f>
        <v>Predominantly Urban</v>
      </c>
      <c r="H191" s="258">
        <f>IF(ISBLANK((VLOOKUP($A191,'local-plan-data'!$C$1:$AD$566,27,FALSE)))=TRUE,"",VLOOKUP($A191,'local-plan-data'!$C$1:$AD$566,27,FALSE))</f>
        <v>41988</v>
      </c>
      <c r="I191" s="259">
        <f>VLOOKUP($A191,'local-plan-data'!$C$1:$AD$566,28,FALSE)</f>
        <v>1048.3333333333333</v>
      </c>
      <c r="J191" s="260">
        <f t="shared" si="151"/>
        <v>1048.3333333333333</v>
      </c>
      <c r="K191" s="259">
        <f t="shared" si="197"/>
        <v>1048.3333333333333</v>
      </c>
      <c r="L191" s="259">
        <f t="shared" si="199"/>
        <v>1048.3333333333333</v>
      </c>
      <c r="M191" s="259" t="str">
        <f t="shared" si="199"/>
        <v>-</v>
      </c>
      <c r="N191" s="259" t="str">
        <f t="shared" si="199"/>
        <v>-</v>
      </c>
      <c r="O191" s="259" t="str">
        <f t="shared" si="199"/>
        <v>-</v>
      </c>
      <c r="P191" s="259" t="str">
        <f t="shared" si="199"/>
        <v>-</v>
      </c>
      <c r="Q191" s="259" t="str">
        <f t="shared" si="199"/>
        <v>-</v>
      </c>
      <c r="R191" s="259" t="str">
        <f t="shared" si="199"/>
        <v>-</v>
      </c>
      <c r="S191" s="259">
        <f t="shared" si="198"/>
        <v>623</v>
      </c>
      <c r="T191" s="259">
        <f t="shared" si="200"/>
        <v>258</v>
      </c>
      <c r="U191" s="259">
        <f t="shared" si="200"/>
        <v>-108</v>
      </c>
      <c r="V191" s="259">
        <f t="shared" si="200"/>
        <v>-473</v>
      </c>
      <c r="W191" s="259">
        <f t="shared" si="200"/>
        <v>-838</v>
      </c>
      <c r="X191" s="259">
        <f t="shared" si="200"/>
        <v>-1203</v>
      </c>
      <c r="Y191" s="259">
        <f t="shared" si="200"/>
        <v>-1569</v>
      </c>
      <c r="Z191" s="259">
        <f t="shared" si="200"/>
        <v>-1934</v>
      </c>
      <c r="AA191" s="267">
        <f>(VLOOKUP(A191,Hshldprojections2014!$A$2:$AW$319,40, FALSE)-VLOOKUP(A191,Hshldprojections2014!$A$2:$AW$319,30, FALSE))/10</f>
        <v>1099.8</v>
      </c>
      <c r="AB191" s="267">
        <f>(VLOOKUP(A191,Hshldprojections2014!$A$2:$AW$319,41, FALSE)-VLOOKUP(A191,Hshldprojections2014!$A$2:$AW$319,31, FALSE))/10</f>
        <v>1088.0999999999999</v>
      </c>
      <c r="AC191" s="267">
        <f>(VLOOKUP(A191,Hshldprojections2014!$A$2:$AW$319,42, FALSE)-VLOOKUP(A191,Hshldprojections2014!$A$2:$AW$319,32, FALSE))/10</f>
        <v>1083.3</v>
      </c>
      <c r="AD191" s="267">
        <f>IF(IndividualLATest!$J$7=2014,(VLOOKUP($A191,Hshldprojections2014!$A$2:$AY$326,43,FALSE)-VLOOKUP($A191,Hshldprojections2014!$A$2:$AY$326,33,FALSE))/10,IF(IndividualLATest!$J$7=2016,(VLOOKUP($A191,Hshldprojections2016!$A$1:$AQ$322,33,FALSE)-VLOOKUP($A191,Hshldprojections2016!$A$1:$AQ$322,23,FALSE))/10,(VLOOKUP($A191,Hshldprojections2018!$A$1:$AQ$327,33,FALSE)-VLOOKUP($A191,Hshldprojections2018!$A$1:$AQ$327,23,FALSE))/10))</f>
        <v>396.5</v>
      </c>
      <c r="AE191" s="267">
        <f>IF(IndividualLATest!$J$7=2014,(VLOOKUP($A191,Hshldprojections2014!$A$2:$AY$326,44,FALSE)-VLOOKUP($A191,Hshldprojections2014!$A$2:$AY$326,34,FALSE))/10,IF(IndividualLATest!$J$7=2016,(VLOOKUP($A191,Hshldprojections2016!$A$1:$AQ$322,34,FALSE)-VLOOKUP($A191,Hshldprojections2016!$A$1:$AQ$322,24,FALSE))/10,(VLOOKUP($A191,Hshldprojections2018!$A$1:$AQ$327,34,FALSE)-VLOOKUP($A191,Hshldprojections2018!$A$1:$AQ$327,24,FALSE))/10))</f>
        <v>396.3</v>
      </c>
      <c r="AF191" s="267">
        <f>IF(IndividualLATest!$J$7=2014,(VLOOKUP($A191,Hshldprojections2014!$A$2:$AY$326,45,FALSE)-VLOOKUP($A191,Hshldprojections2014!$A$2:$AY$326,35,FALSE))/10,IF(IndividualLATest!$J$7=2016,(VLOOKUP($A191,Hshldprojections2016!$A$1:$AQ$322,35,FALSE)-VLOOKUP($A191,Hshldprojections2016!$A$1:$AQ$322,25,FALSE))/10,(VLOOKUP($A191,Hshldprojections2018!$A$1:$AQ$327,35,FALSE)-VLOOKUP($A191,Hshldprojections2018!$A$1:$AQ$327,25,FALSE))/10))</f>
        <v>398.4</v>
      </c>
      <c r="AG191" s="267">
        <f>IF(IndividualLATest!$J$7=2014,(VLOOKUP($A191,Hshldprojections2014!$A$2:$AY$326,46,FALSE)-VLOOKUP($A191,Hshldprojections2014!$A$2:$AY$326,36,FALSE))/10,IF(IndividualLATest!$J$7=2016,(VLOOKUP($A191,Hshldprojections2016!$A$1:$AQ$322,36,FALSE)-VLOOKUP($A191,Hshldprojections2016!$A$1:$AQ$322,26,FALSE))/10,(VLOOKUP($A191,Hshldprojections2018!$A$1:$AQ$327,36,FALSE)-VLOOKUP($A191,Hshldprojections2018!$A$1:$AQ$327,26,FALSE))/10))</f>
        <v>398</v>
      </c>
      <c r="AH191" s="267">
        <f>IF(IndividualLATest!$J$7=2014,(VLOOKUP($A191,Hshldprojections2014!$A$2:$AY$326,47,FALSE)-VLOOKUP($A191,Hshldprojections2014!$A$2:$AY$326,37,FALSE))/10,IF(IndividualLATest!$J$7=2016,(VLOOKUP($A191,Hshldprojections2016!$A$1:$AQ$322,37,FALSE)-VLOOKUP($A191,Hshldprojections2016!$A$1:$AQ$322,27,FALSE))/10,(VLOOKUP($A191,Hshldprojections2018!$A$1:$AQ$327,37,FALSE)-VLOOKUP($A191,Hshldprojections2018!$A$1:$AQ$327,27,FALSE))/10))</f>
        <v>399</v>
      </c>
      <c r="AI191" s="268">
        <f>VLOOKUP($A191,AffordabilityRatio!$A$2:$I$321,5,FALSE)</f>
        <v>7.28</v>
      </c>
      <c r="AJ191" s="268">
        <f>VLOOKUP($A191,AffordabilityRatio!$A$2:$I$321,6,FALSE)</f>
        <v>7.6</v>
      </c>
      <c r="AK191" s="268">
        <f>VLOOKUP($A191,AffordabilityRatio!$A$2:$I$321,7,FALSE)</f>
        <v>7.01</v>
      </c>
      <c r="AL191" s="268">
        <f>IF((VLOOKUP($A191,AffordabilityRatio!$A$2:$I$321,8,FALSE))="",AK191,VLOOKUP($A191,AffordabilityRatio!$A$2:$I$321,8,FALSE))</f>
        <v>7</v>
      </c>
      <c r="AM191" s="268">
        <f>IF((VLOOKUP($A191,AffordabilityRatio!$A$2:$I$321,9,FALSE))="",AL191,VLOOKUP($A191,AffordabilityRatio!$A$2:$I$321,9,FALSE))</f>
        <v>7</v>
      </c>
      <c r="AN191" s="268">
        <f>IF((VLOOKUP($A191,AffordabilityRatio!$A$2:$I$321,9,FALSE))="",AM191,VLOOKUP($A191,AffordabilityRatio!$A$2:$I$321,9,FALSE))</f>
        <v>7</v>
      </c>
      <c r="AO191" s="268">
        <f>IF((VLOOKUP($A191,AffordabilityRatio!$A$2:$I$321,9,FALSE))="",AN191,VLOOKUP($A191,AffordabilityRatio!$A$2:$I$321,9,FALSE))</f>
        <v>7</v>
      </c>
      <c r="AP191" s="268">
        <f>IF((VLOOKUP($A191,AffordabilityRatio!$A$2:$I$321,9,FALSE))="",AO191,VLOOKUP($A191,AffordabilityRatio!$A$2:$I$321,9,FALSE))</f>
        <v>7</v>
      </c>
      <c r="AQ191" s="267">
        <f t="shared" si="152"/>
        <v>1325</v>
      </c>
      <c r="AR191" s="267">
        <f t="shared" si="153"/>
        <v>1333</v>
      </c>
      <c r="AS191" s="267">
        <f t="shared" si="154"/>
        <v>1287</v>
      </c>
      <c r="AT191" s="267">
        <f t="shared" si="155"/>
        <v>471</v>
      </c>
      <c r="AU191" s="267">
        <f t="shared" si="156"/>
        <v>471</v>
      </c>
      <c r="AV191" s="267">
        <f t="shared" si="157"/>
        <v>473</v>
      </c>
      <c r="AW191" s="267">
        <f t="shared" si="158"/>
        <v>473</v>
      </c>
      <c r="AX191" s="267">
        <f t="shared" si="159"/>
        <v>474</v>
      </c>
      <c r="AY191" s="267">
        <f t="shared" si="160"/>
        <v>1325</v>
      </c>
      <c r="AZ191" s="267">
        <f t="shared" si="161"/>
        <v>1333</v>
      </c>
      <c r="BA191" s="267">
        <f t="shared" si="162"/>
        <v>1287</v>
      </c>
      <c r="BB191" s="267">
        <f t="shared" si="163"/>
        <v>471</v>
      </c>
      <c r="BC191" s="267">
        <f t="shared" si="164"/>
        <v>471</v>
      </c>
      <c r="BD191" s="267">
        <f t="shared" si="165"/>
        <v>473</v>
      </c>
      <c r="BE191" s="267">
        <f t="shared" si="166"/>
        <v>473</v>
      </c>
      <c r="BF191" s="267">
        <f t="shared" si="167"/>
        <v>474</v>
      </c>
      <c r="BG191" s="269">
        <f>AY191*VLOOKUP($B191,'Major Cities &amp; Towns'!$A$28:$B$345,2,FALSE)</f>
        <v>1325</v>
      </c>
      <c r="BH191" s="269">
        <f>AZ191*VLOOKUP($B191,'Major Cities &amp; Towns'!$A$28:$B$345,2,FALSE)</f>
        <v>1333</v>
      </c>
      <c r="BI191" s="269">
        <f>BA191*VLOOKUP($B191,'Major Cities &amp; Towns'!$A$28:$B$345,2,FALSE)</f>
        <v>1287</v>
      </c>
      <c r="BJ191" s="269">
        <f>BB191*VLOOKUP($B191,'Major Cities &amp; Towns'!$A$28:$B$345,2,FALSE)</f>
        <v>471</v>
      </c>
      <c r="BK191" s="269">
        <f>BC191*VLOOKUP($B191,'Major Cities &amp; Towns'!$A$28:$B$345,2,FALSE)</f>
        <v>471</v>
      </c>
      <c r="BL191" s="269">
        <f>BD191*VLOOKUP($B191,'Major Cities &amp; Towns'!$A$28:$B$345,2,FALSE)</f>
        <v>473</v>
      </c>
      <c r="BM191" s="269">
        <f>BE191*VLOOKUP($B191,'Major Cities &amp; Towns'!$A$28:$B$345,2,FALSE)</f>
        <v>473</v>
      </c>
      <c r="BN191" s="269">
        <f>BF191*VLOOKUP($B191,'Major Cities &amp; Towns'!$A$28:$B$345,2,FALSE)</f>
        <v>474</v>
      </c>
      <c r="BO191" s="270">
        <f t="shared" si="168"/>
        <v>1048.3333333333333</v>
      </c>
      <c r="BP191" s="270">
        <f t="shared" si="169"/>
        <v>1131.7835616438356</v>
      </c>
      <c r="BQ191" s="270">
        <f t="shared" si="170"/>
        <v>1287</v>
      </c>
      <c r="BR191" s="270">
        <f t="shared" si="171"/>
        <v>471</v>
      </c>
      <c r="BS191" s="270">
        <f t="shared" si="172"/>
        <v>471</v>
      </c>
      <c r="BT191" s="270">
        <f t="shared" si="173"/>
        <v>473</v>
      </c>
      <c r="BU191" s="270">
        <f t="shared" si="174"/>
        <v>473</v>
      </c>
      <c r="BV191" s="270">
        <f t="shared" si="175"/>
        <v>474</v>
      </c>
      <c r="BW191" s="39">
        <f>VLOOKUP($A191,NetAdditions!$A$2:$H$336,6,FALSE)</f>
        <v>589</v>
      </c>
      <c r="BX191" s="39">
        <f>VLOOKUP($A191,NetAdditions!$A$2:$H$336,7,FALSE)</f>
        <v>576</v>
      </c>
      <c r="BY191" s="39">
        <f>IF((VLOOKUP($C191,NetAdditions!$A$2:$H$336,8,FALSE))="",(AVERAGE(VLOOKUP($C191,NetAdditions!$A$2:$H$336,5,FALSE),VLOOKUP($C191,NetAdditions!$A$2:$H$336,6,FALSE),VLOOKUP($C191,NetAdditions!$A$2:$H$336,7,FALSE))),VLOOKUP($C191,NetAdditions!$A$2:$H$336,8,FALSE))</f>
        <v>677</v>
      </c>
      <c r="BZ191" s="39">
        <f t="shared" si="176"/>
        <v>614</v>
      </c>
      <c r="CA191" s="39">
        <f t="shared" si="177"/>
        <v>622.33333333333337</v>
      </c>
      <c r="CB191" s="39">
        <f t="shared" si="178"/>
        <v>637.77777777777783</v>
      </c>
      <c r="CC191" s="39">
        <f t="shared" si="179"/>
        <v>624.70370370370381</v>
      </c>
      <c r="CD191" s="39">
        <f t="shared" si="180"/>
        <v>628.27160493827171</v>
      </c>
      <c r="CE191" s="276">
        <f t="shared" si="137"/>
        <v>3467.1168949771691</v>
      </c>
      <c r="CF191" s="276">
        <f t="shared" si="138"/>
        <v>2889.7835616438356</v>
      </c>
      <c r="CG191" s="276">
        <f t="shared" si="139"/>
        <v>2229</v>
      </c>
      <c r="CH191" s="276">
        <f t="shared" si="140"/>
        <v>1415</v>
      </c>
      <c r="CI191" s="276">
        <f t="shared" si="141"/>
        <v>1417</v>
      </c>
      <c r="CJ191" s="276">
        <f t="shared" si="142"/>
        <v>1420</v>
      </c>
      <c r="CK191" s="276">
        <f t="shared" si="181"/>
        <v>2985.5728817858958</v>
      </c>
      <c r="CL191" s="276">
        <f t="shared" si="182"/>
        <v>2488.4247336377475</v>
      </c>
      <c r="CM191" s="276">
        <f t="shared" si="183"/>
        <v>2043.25</v>
      </c>
      <c r="CN191" s="276">
        <f t="shared" si="184"/>
        <v>1415</v>
      </c>
      <c r="CO191" s="276">
        <f t="shared" si="185"/>
        <v>1417</v>
      </c>
      <c r="CP191" s="276">
        <f t="shared" si="186"/>
        <v>1420</v>
      </c>
      <c r="CQ191" s="39">
        <f t="shared" si="143"/>
        <v>1842</v>
      </c>
      <c r="CR191" s="39">
        <f t="shared" si="144"/>
        <v>1867</v>
      </c>
      <c r="CS191" s="277">
        <f t="shared" si="145"/>
        <v>1913.3333333333335</v>
      </c>
      <c r="CT191" s="39">
        <f t="shared" si="146"/>
        <v>1874.1111111111113</v>
      </c>
      <c r="CU191" s="39">
        <f t="shared" si="147"/>
        <v>1884.8148148148152</v>
      </c>
      <c r="CV191" s="39">
        <f t="shared" si="187"/>
        <v>1890.7530864197533</v>
      </c>
      <c r="CW191" s="297">
        <f t="shared" si="148"/>
        <v>0.61696701870435033</v>
      </c>
      <c r="CX191" s="279" t="str">
        <f t="shared" si="188"/>
        <v>Buffer and Action Plan</v>
      </c>
      <c r="CY191" s="278">
        <f t="shared" si="149"/>
        <v>0.75027384785341411</v>
      </c>
      <c r="CZ191" s="279" t="str">
        <f t="shared" si="189"/>
        <v>Buffer and Action Plan</v>
      </c>
      <c r="DA191" s="278">
        <f t="shared" si="150"/>
        <v>0.93641665647049233</v>
      </c>
      <c r="DB191" s="292" t="str">
        <f t="shared" si="190"/>
        <v>Action Plan</v>
      </c>
      <c r="DC191" s="299">
        <f t="shared" si="191"/>
        <v>1.3244601491951318</v>
      </c>
      <c r="DD191" s="293" t="str">
        <f t="shared" si="192"/>
        <v>Pass</v>
      </c>
      <c r="DE191" s="299">
        <f t="shared" si="193"/>
        <v>1.3301445411537158</v>
      </c>
      <c r="DF191" s="293" t="str">
        <f t="shared" si="194"/>
        <v>Pass</v>
      </c>
      <c r="DG191" s="299">
        <f t="shared" si="195"/>
        <v>1.3315162580420798</v>
      </c>
      <c r="DH191" s="293" t="str">
        <f t="shared" si="196"/>
        <v>Pass</v>
      </c>
    </row>
    <row r="192" spans="1:112" ht="15" thickTop="1" thickBot="1">
      <c r="A192" s="38" t="s">
        <v>494</v>
      </c>
      <c r="B192" s="38" t="s">
        <v>495</v>
      </c>
      <c r="C192" s="38" t="s">
        <v>494</v>
      </c>
      <c r="D192" s="38" t="s">
        <v>259</v>
      </c>
      <c r="E192" s="38" t="str">
        <f>VLOOKUP(C192,PoliticalControl!A:K,11,FALSE)</f>
        <v>CON</v>
      </c>
      <c r="F192" s="38" t="str">
        <f>VLOOKUP(C192,UrbanRuralClassification!A:N,13,FALSE)</f>
        <v xml:space="preserve">Largely Rural (rural including hub towns 50-79%) </v>
      </c>
      <c r="G192" s="38" t="str">
        <f>VLOOKUP(C192,UrbanRuralClassification!A:N,14,FALSE)</f>
        <v>Predominantly Rural</v>
      </c>
      <c r="H192" s="258" t="str">
        <f>IF(ISBLANK((VLOOKUP($A192,'local-plan-data'!$C$1:$AD$566,27,FALSE)))=TRUE,"",VLOOKUP($A192,'local-plan-data'!$C$1:$AD$566,27,FALSE))</f>
        <v/>
      </c>
      <c r="I192" s="259">
        <f>VLOOKUP($A192,'local-plan-data'!$C$1:$AD$566,28,FALSE)</f>
        <v>885</v>
      </c>
      <c r="J192" s="260">
        <f t="shared" si="151"/>
        <v>885</v>
      </c>
      <c r="K192" s="259" t="str">
        <f t="shared" si="197"/>
        <v>-</v>
      </c>
      <c r="L192" s="259" t="str">
        <f t="shared" si="199"/>
        <v>-</v>
      </c>
      <c r="M192" s="259" t="str">
        <f t="shared" ref="L192:R228" si="201">IF(AND(ISNUMBER($H192),ISNUMBER($J192)),IF(($H192-M$1&gt;0),$J192,IF(DATEDIF($H192,M$1,"y")&lt;5,$J192,"-")),"-")</f>
        <v>-</v>
      </c>
      <c r="N192" s="259" t="str">
        <f t="shared" si="201"/>
        <v>-</v>
      </c>
      <c r="O192" s="259" t="str">
        <f t="shared" si="201"/>
        <v>-</v>
      </c>
      <c r="P192" s="259" t="str">
        <f t="shared" si="201"/>
        <v>-</v>
      </c>
      <c r="Q192" s="259" t="str">
        <f t="shared" si="201"/>
        <v>-</v>
      </c>
      <c r="R192" s="259" t="str">
        <f t="shared" si="201"/>
        <v>-</v>
      </c>
      <c r="S192" s="259" t="str">
        <f t="shared" si="198"/>
        <v>-</v>
      </c>
      <c r="T192" s="259" t="str">
        <f t="shared" si="200"/>
        <v>-</v>
      </c>
      <c r="U192" s="259" t="str">
        <f t="shared" ref="T192:Z228" si="202">IFERROR((EDATE($H192,60))-U$1,"-")</f>
        <v>-</v>
      </c>
      <c r="V192" s="259" t="str">
        <f t="shared" si="202"/>
        <v>-</v>
      </c>
      <c r="W192" s="259" t="str">
        <f t="shared" si="202"/>
        <v>-</v>
      </c>
      <c r="X192" s="259" t="str">
        <f t="shared" si="202"/>
        <v>-</v>
      </c>
      <c r="Y192" s="259" t="str">
        <f t="shared" si="202"/>
        <v>-</v>
      </c>
      <c r="Z192" s="259" t="str">
        <f t="shared" si="202"/>
        <v>-</v>
      </c>
      <c r="AA192" s="267">
        <f>(VLOOKUP(A192,Hshldprojections2014!$A$2:$AW$319,40, FALSE)-VLOOKUP(A192,Hshldprojections2014!$A$2:$AW$319,30, FALSE))/10</f>
        <v>597</v>
      </c>
      <c r="AB192" s="267">
        <f>(VLOOKUP(A192,Hshldprojections2014!$A$2:$AW$319,41, FALSE)-VLOOKUP(A192,Hshldprojections2014!$A$2:$AW$319,31, FALSE))/10</f>
        <v>580.9</v>
      </c>
      <c r="AC192" s="267">
        <f>(VLOOKUP(A192,Hshldprojections2014!$A$2:$AW$319,42, FALSE)-VLOOKUP(A192,Hshldprojections2014!$A$2:$AW$319,32, FALSE))/10</f>
        <v>563.1</v>
      </c>
      <c r="AD192" s="267">
        <f>IF(IndividualLATest!$J$7=2014,(VLOOKUP($A192,Hshldprojections2014!$A$2:$AY$326,43,FALSE)-VLOOKUP($A192,Hshldprojections2014!$A$2:$AY$326,33,FALSE))/10,IF(IndividualLATest!$J$7=2016,(VLOOKUP($A192,Hshldprojections2016!$A$1:$AQ$322,33,FALSE)-VLOOKUP($A192,Hshldprojections2016!$A$1:$AQ$322,23,FALSE))/10,(VLOOKUP($A192,Hshldprojections2018!$A$1:$AQ$327,33,FALSE)-VLOOKUP($A192,Hshldprojections2018!$A$1:$AQ$327,23,FALSE))/10))</f>
        <v>904.7</v>
      </c>
      <c r="AE192" s="267">
        <f>IF(IndividualLATest!$J$7=2014,(VLOOKUP($A192,Hshldprojections2014!$A$2:$AY$326,44,FALSE)-VLOOKUP($A192,Hshldprojections2014!$A$2:$AY$326,34,FALSE))/10,IF(IndividualLATest!$J$7=2016,(VLOOKUP($A192,Hshldprojections2016!$A$1:$AQ$322,34,FALSE)-VLOOKUP($A192,Hshldprojections2016!$A$1:$AQ$322,24,FALSE))/10,(VLOOKUP($A192,Hshldprojections2018!$A$1:$AQ$327,34,FALSE)-VLOOKUP($A192,Hshldprojections2018!$A$1:$AQ$327,24,FALSE))/10))</f>
        <v>867.3</v>
      </c>
      <c r="AF192" s="267">
        <f>IF(IndividualLATest!$J$7=2014,(VLOOKUP($A192,Hshldprojections2014!$A$2:$AY$326,45,FALSE)-VLOOKUP($A192,Hshldprojections2014!$A$2:$AY$326,35,FALSE))/10,IF(IndividualLATest!$J$7=2016,(VLOOKUP($A192,Hshldprojections2016!$A$1:$AQ$322,35,FALSE)-VLOOKUP($A192,Hshldprojections2016!$A$1:$AQ$322,25,FALSE))/10,(VLOOKUP($A192,Hshldprojections2018!$A$1:$AQ$327,35,FALSE)-VLOOKUP($A192,Hshldprojections2018!$A$1:$AQ$327,25,FALSE))/10))</f>
        <v>839</v>
      </c>
      <c r="AG192" s="267">
        <f>IF(IndividualLATest!$J$7=2014,(VLOOKUP($A192,Hshldprojections2014!$A$2:$AY$326,46,FALSE)-VLOOKUP($A192,Hshldprojections2014!$A$2:$AY$326,36,FALSE))/10,IF(IndividualLATest!$J$7=2016,(VLOOKUP($A192,Hshldprojections2016!$A$1:$AQ$322,36,FALSE)-VLOOKUP($A192,Hshldprojections2016!$A$1:$AQ$322,26,FALSE))/10,(VLOOKUP($A192,Hshldprojections2018!$A$1:$AQ$327,36,FALSE)-VLOOKUP($A192,Hshldprojections2018!$A$1:$AQ$327,26,FALSE))/10))</f>
        <v>808.6</v>
      </c>
      <c r="AH192" s="267">
        <f>IF(IndividualLATest!$J$7=2014,(VLOOKUP($A192,Hshldprojections2014!$A$2:$AY$326,47,FALSE)-VLOOKUP($A192,Hshldprojections2014!$A$2:$AY$326,37,FALSE))/10,IF(IndividualLATest!$J$7=2016,(VLOOKUP($A192,Hshldprojections2016!$A$1:$AQ$322,37,FALSE)-VLOOKUP($A192,Hshldprojections2016!$A$1:$AQ$322,27,FALSE))/10,(VLOOKUP($A192,Hshldprojections2018!$A$1:$AQ$327,37,FALSE)-VLOOKUP($A192,Hshldprojections2018!$A$1:$AQ$327,27,FALSE))/10))</f>
        <v>783.3</v>
      </c>
      <c r="AI192" s="268">
        <f>VLOOKUP($A192,AffordabilityRatio!$A$2:$I$321,5,FALSE)</f>
        <v>6.42</v>
      </c>
      <c r="AJ192" s="268">
        <f>VLOOKUP($A192,AffordabilityRatio!$A$2:$I$321,6,FALSE)</f>
        <v>6.59</v>
      </c>
      <c r="AK192" s="268">
        <f>VLOOKUP($A192,AffordabilityRatio!$A$2:$I$321,7,FALSE)</f>
        <v>6.56</v>
      </c>
      <c r="AL192" s="268">
        <f>IF((VLOOKUP($A192,AffordabilityRatio!$A$2:$I$321,8,FALSE))="",AK192,VLOOKUP($A192,AffordabilityRatio!$A$2:$I$321,8,FALSE))</f>
        <v>6.18</v>
      </c>
      <c r="AM192" s="268">
        <f>IF((VLOOKUP($A192,AffordabilityRatio!$A$2:$I$321,9,FALSE))="",AL192,VLOOKUP($A192,AffordabilityRatio!$A$2:$I$321,9,FALSE))</f>
        <v>6.77</v>
      </c>
      <c r="AN192" s="268">
        <f>IF((VLOOKUP($A192,AffordabilityRatio!$A$2:$I$321,9,FALSE))="",AM192,VLOOKUP($A192,AffordabilityRatio!$A$2:$I$321,9,FALSE))</f>
        <v>6.77</v>
      </c>
      <c r="AO192" s="268">
        <f>IF((VLOOKUP($A192,AffordabilityRatio!$A$2:$I$321,9,FALSE))="",AN192,VLOOKUP($A192,AffordabilityRatio!$A$2:$I$321,9,FALSE))</f>
        <v>6.77</v>
      </c>
      <c r="AP192" s="268">
        <f>IF((VLOOKUP($A192,AffordabilityRatio!$A$2:$I$321,9,FALSE))="",AO192,VLOOKUP($A192,AffordabilityRatio!$A$2:$I$321,9,FALSE))</f>
        <v>6.77</v>
      </c>
      <c r="AQ192" s="267">
        <f t="shared" si="152"/>
        <v>687</v>
      </c>
      <c r="AR192" s="267">
        <f t="shared" si="153"/>
        <v>675</v>
      </c>
      <c r="AS192" s="267">
        <f t="shared" si="154"/>
        <v>653</v>
      </c>
      <c r="AT192" s="267">
        <f t="shared" si="155"/>
        <v>1028</v>
      </c>
      <c r="AU192" s="267">
        <f t="shared" si="156"/>
        <v>1017</v>
      </c>
      <c r="AV192" s="267">
        <f t="shared" si="157"/>
        <v>984</v>
      </c>
      <c r="AW192" s="267">
        <f t="shared" si="158"/>
        <v>949</v>
      </c>
      <c r="AX192" s="267">
        <f t="shared" si="159"/>
        <v>919</v>
      </c>
      <c r="AY192" s="267">
        <f t="shared" si="160"/>
        <v>687</v>
      </c>
      <c r="AZ192" s="267">
        <f t="shared" si="161"/>
        <v>675</v>
      </c>
      <c r="BA192" s="267">
        <f t="shared" si="162"/>
        <v>653</v>
      </c>
      <c r="BB192" s="267">
        <f t="shared" si="163"/>
        <v>1028</v>
      </c>
      <c r="BC192" s="267">
        <f t="shared" si="164"/>
        <v>1017</v>
      </c>
      <c r="BD192" s="267">
        <f t="shared" si="165"/>
        <v>984</v>
      </c>
      <c r="BE192" s="267">
        <f t="shared" si="166"/>
        <v>949</v>
      </c>
      <c r="BF192" s="267">
        <f t="shared" si="167"/>
        <v>919</v>
      </c>
      <c r="BG192" s="269">
        <f>AY192*VLOOKUP($B192,'Major Cities &amp; Towns'!$A$28:$B$345,2,FALSE)</f>
        <v>687</v>
      </c>
      <c r="BH192" s="269">
        <f>AZ192*VLOOKUP($B192,'Major Cities &amp; Towns'!$A$28:$B$345,2,FALSE)</f>
        <v>675</v>
      </c>
      <c r="BI192" s="269">
        <f>BA192*VLOOKUP($B192,'Major Cities &amp; Towns'!$A$28:$B$345,2,FALSE)</f>
        <v>653</v>
      </c>
      <c r="BJ192" s="269">
        <f>BB192*VLOOKUP($B192,'Major Cities &amp; Towns'!$A$28:$B$345,2,FALSE)</f>
        <v>1028</v>
      </c>
      <c r="BK192" s="269">
        <f>BC192*VLOOKUP($B192,'Major Cities &amp; Towns'!$A$28:$B$345,2,FALSE)</f>
        <v>1017</v>
      </c>
      <c r="BL192" s="269">
        <f>BD192*VLOOKUP($B192,'Major Cities &amp; Towns'!$A$28:$B$345,2,FALSE)</f>
        <v>984</v>
      </c>
      <c r="BM192" s="269">
        <f>BE192*VLOOKUP($B192,'Major Cities &amp; Towns'!$A$28:$B$345,2,FALSE)</f>
        <v>949</v>
      </c>
      <c r="BN192" s="269">
        <f>BF192*VLOOKUP($B192,'Major Cities &amp; Towns'!$A$28:$B$345,2,FALSE)</f>
        <v>919</v>
      </c>
      <c r="BO192" s="270">
        <f t="shared" si="168"/>
        <v>687</v>
      </c>
      <c r="BP192" s="270">
        <f t="shared" si="169"/>
        <v>675</v>
      </c>
      <c r="BQ192" s="270">
        <f t="shared" si="170"/>
        <v>653</v>
      </c>
      <c r="BR192" s="270">
        <f t="shared" si="171"/>
        <v>1028</v>
      </c>
      <c r="BS192" s="270">
        <f t="shared" si="172"/>
        <v>1017</v>
      </c>
      <c r="BT192" s="270">
        <f t="shared" si="173"/>
        <v>984</v>
      </c>
      <c r="BU192" s="270">
        <f t="shared" si="174"/>
        <v>949</v>
      </c>
      <c r="BV192" s="270">
        <f t="shared" si="175"/>
        <v>919</v>
      </c>
      <c r="BW192" s="39">
        <f>VLOOKUP($A192,NetAdditions!$A$2:$H$336,6,FALSE)</f>
        <v>1802</v>
      </c>
      <c r="BX192" s="39">
        <f>VLOOKUP($A192,NetAdditions!$A$2:$H$336,7,FALSE)</f>
        <v>1744</v>
      </c>
      <c r="BY192" s="39">
        <f>IF((VLOOKUP($C192,NetAdditions!$A$2:$H$336,8,FALSE))="",(AVERAGE(VLOOKUP($C192,NetAdditions!$A$2:$H$336,5,FALSE),VLOOKUP($C192,NetAdditions!$A$2:$H$336,6,FALSE),VLOOKUP($C192,NetAdditions!$A$2:$H$336,7,FALSE))),VLOOKUP($C192,NetAdditions!$A$2:$H$336,8,FALSE))</f>
        <v>1279</v>
      </c>
      <c r="BZ192" s="39">
        <f t="shared" si="176"/>
        <v>1608.3333333333333</v>
      </c>
      <c r="CA192" s="39">
        <f t="shared" si="177"/>
        <v>1543.7777777777776</v>
      </c>
      <c r="CB192" s="39">
        <f t="shared" si="178"/>
        <v>1477.0370370370367</v>
      </c>
      <c r="CC192" s="39">
        <f t="shared" si="179"/>
        <v>1543.0493827160492</v>
      </c>
      <c r="CD192" s="39">
        <f t="shared" si="180"/>
        <v>1521.2880658436213</v>
      </c>
      <c r="CE192" s="276">
        <f t="shared" si="137"/>
        <v>2015</v>
      </c>
      <c r="CF192" s="276">
        <f t="shared" si="138"/>
        <v>2356</v>
      </c>
      <c r="CG192" s="276">
        <f t="shared" si="139"/>
        <v>2698</v>
      </c>
      <c r="CH192" s="276">
        <f t="shared" si="140"/>
        <v>3029</v>
      </c>
      <c r="CI192" s="276">
        <f t="shared" si="141"/>
        <v>2950</v>
      </c>
      <c r="CJ192" s="276">
        <f t="shared" si="142"/>
        <v>2852</v>
      </c>
      <c r="CK192" s="276">
        <f t="shared" si="181"/>
        <v>1735.1388888888889</v>
      </c>
      <c r="CL192" s="276">
        <f t="shared" si="182"/>
        <v>2028.7777777777778</v>
      </c>
      <c r="CM192" s="276">
        <f t="shared" si="183"/>
        <v>2473.1666666666665</v>
      </c>
      <c r="CN192" s="276">
        <f t="shared" si="184"/>
        <v>3029</v>
      </c>
      <c r="CO192" s="276">
        <f t="shared" si="185"/>
        <v>2950</v>
      </c>
      <c r="CP192" s="276">
        <f t="shared" si="186"/>
        <v>2852</v>
      </c>
      <c r="CQ192" s="39">
        <f t="shared" si="143"/>
        <v>4825</v>
      </c>
      <c r="CR192" s="39">
        <f t="shared" si="144"/>
        <v>4631.333333333333</v>
      </c>
      <c r="CS192" s="277">
        <f t="shared" si="145"/>
        <v>4431.1111111111104</v>
      </c>
      <c r="CT192" s="39">
        <f t="shared" si="146"/>
        <v>4629.1481481481478</v>
      </c>
      <c r="CU192" s="39">
        <f t="shared" si="147"/>
        <v>4563.8641975308637</v>
      </c>
      <c r="CV192" s="39">
        <f t="shared" si="187"/>
        <v>4541.374485596707</v>
      </c>
      <c r="CW192" s="297">
        <f t="shared" si="148"/>
        <v>2.7807572240454652</v>
      </c>
      <c r="CX192" s="279" t="str">
        <f t="shared" si="188"/>
        <v>Pass</v>
      </c>
      <c r="CY192" s="278">
        <f t="shared" si="149"/>
        <v>2.282819431513226</v>
      </c>
      <c r="CZ192" s="279" t="str">
        <f t="shared" si="189"/>
        <v>Pass</v>
      </c>
      <c r="DA192" s="278">
        <f t="shared" si="150"/>
        <v>1.7916750904148975</v>
      </c>
      <c r="DB192" s="292" t="str">
        <f t="shared" si="190"/>
        <v>Pass</v>
      </c>
      <c r="DC192" s="299">
        <f t="shared" si="191"/>
        <v>1.5282760475893522</v>
      </c>
      <c r="DD192" s="293" t="str">
        <f t="shared" si="192"/>
        <v>Pass</v>
      </c>
      <c r="DE192" s="299">
        <f t="shared" si="193"/>
        <v>1.5470726093324962</v>
      </c>
      <c r="DF192" s="293" t="str">
        <f t="shared" si="194"/>
        <v>Pass</v>
      </c>
      <c r="DG192" s="299">
        <f t="shared" si="195"/>
        <v>1.5923472950900095</v>
      </c>
      <c r="DH192" s="293" t="str">
        <f t="shared" si="196"/>
        <v>Pass</v>
      </c>
    </row>
    <row r="193" spans="1:112" ht="15" thickTop="1" thickBot="1">
      <c r="A193" s="38" t="s">
        <v>496</v>
      </c>
      <c r="B193" s="38" t="s">
        <v>497</v>
      </c>
      <c r="C193" s="38" t="s">
        <v>496</v>
      </c>
      <c r="D193" s="38" t="s">
        <v>128</v>
      </c>
      <c r="E193" s="38" t="str">
        <f>VLOOKUP(C193,PoliticalControl!A:K,11,FALSE)</f>
        <v>LAB</v>
      </c>
      <c r="F193" s="38" t="str">
        <f>VLOOKUP(C193,UrbanRuralClassification!A:N,13,FALSE)</f>
        <v>Urban with City and Town</v>
      </c>
      <c r="G193" s="38" t="str">
        <f>VLOOKUP(C193,UrbanRuralClassification!A:N,14,FALSE)</f>
        <v>Predominantly Urban</v>
      </c>
      <c r="H193" s="258">
        <f>IF(ISBLANK((VLOOKUP($A193,'local-plan-data'!$C$1:$AD$566,27,FALSE)))=TRUE,"",VLOOKUP($A193,'local-plan-data'!$C$1:$AD$566,27,FALSE))</f>
        <v>41649</v>
      </c>
      <c r="I193" s="259">
        <f>VLOOKUP($A193,'local-plan-data'!$C$1:$AD$566,28,FALSE)</f>
        <v>2045.5555555555557</v>
      </c>
      <c r="J193" s="260">
        <f t="shared" si="151"/>
        <v>2045.5555555555557</v>
      </c>
      <c r="K193" s="259">
        <f t="shared" si="197"/>
        <v>2045.5555555555557</v>
      </c>
      <c r="L193" s="259" t="str">
        <f t="shared" si="201"/>
        <v>-</v>
      </c>
      <c r="M193" s="259" t="str">
        <f t="shared" si="201"/>
        <v>-</v>
      </c>
      <c r="N193" s="259" t="str">
        <f t="shared" si="201"/>
        <v>-</v>
      </c>
      <c r="O193" s="259" t="str">
        <f t="shared" si="201"/>
        <v>-</v>
      </c>
      <c r="P193" s="259" t="str">
        <f t="shared" si="201"/>
        <v>-</v>
      </c>
      <c r="Q193" s="259" t="str">
        <f t="shared" si="201"/>
        <v>-</v>
      </c>
      <c r="R193" s="259" t="str">
        <f t="shared" si="201"/>
        <v>-</v>
      </c>
      <c r="S193" s="259">
        <f t="shared" si="198"/>
        <v>284</v>
      </c>
      <c r="T193" s="259">
        <f t="shared" si="202"/>
        <v>-81</v>
      </c>
      <c r="U193" s="259">
        <f t="shared" si="202"/>
        <v>-447</v>
      </c>
      <c r="V193" s="259">
        <f t="shared" si="202"/>
        <v>-812</v>
      </c>
      <c r="W193" s="259">
        <f t="shared" si="202"/>
        <v>-1177</v>
      </c>
      <c r="X193" s="259">
        <f t="shared" si="202"/>
        <v>-1542</v>
      </c>
      <c r="Y193" s="259">
        <f t="shared" si="202"/>
        <v>-1908</v>
      </c>
      <c r="Z193" s="259">
        <f t="shared" si="202"/>
        <v>-2273</v>
      </c>
      <c r="AA193" s="267">
        <f>(VLOOKUP(A193,Hshldprojections2014!$A$2:$AW$319,40, FALSE)-VLOOKUP(A193,Hshldprojections2014!$A$2:$AW$319,30, FALSE))/10</f>
        <v>509.8</v>
      </c>
      <c r="AB193" s="267">
        <f>(VLOOKUP(A193,Hshldprojections2014!$A$2:$AW$319,41, FALSE)-VLOOKUP(A193,Hshldprojections2014!$A$2:$AW$319,31, FALSE))/10</f>
        <v>504.9</v>
      </c>
      <c r="AC193" s="267">
        <f>(VLOOKUP(A193,Hshldprojections2014!$A$2:$AW$319,42, FALSE)-VLOOKUP(A193,Hshldprojections2014!$A$2:$AW$319,32, FALSE))/10</f>
        <v>504.5</v>
      </c>
      <c r="AD193" s="267">
        <f>IF(IndividualLATest!$J$7=2014,(VLOOKUP($A193,Hshldprojections2014!$A$2:$AY$326,43,FALSE)-VLOOKUP($A193,Hshldprojections2014!$A$2:$AY$326,33,FALSE))/10,IF(IndividualLATest!$J$7=2016,(VLOOKUP($A193,Hshldprojections2016!$A$1:$AQ$322,33,FALSE)-VLOOKUP($A193,Hshldprojections2016!$A$1:$AQ$322,23,FALSE))/10,(VLOOKUP($A193,Hshldprojections2018!$A$1:$AQ$327,33,FALSE)-VLOOKUP($A193,Hshldprojections2018!$A$1:$AQ$327,23,FALSE))/10))</f>
        <v>298.10000000000002</v>
      </c>
      <c r="AE193" s="267">
        <f>IF(IndividualLATest!$J$7=2014,(VLOOKUP($A193,Hshldprojections2014!$A$2:$AY$326,44,FALSE)-VLOOKUP($A193,Hshldprojections2014!$A$2:$AY$326,34,FALSE))/10,IF(IndividualLATest!$J$7=2016,(VLOOKUP($A193,Hshldprojections2016!$A$1:$AQ$322,34,FALSE)-VLOOKUP($A193,Hshldprojections2016!$A$1:$AQ$322,24,FALSE))/10,(VLOOKUP($A193,Hshldprojections2018!$A$1:$AQ$327,34,FALSE)-VLOOKUP($A193,Hshldprojections2018!$A$1:$AQ$327,24,FALSE))/10))</f>
        <v>311.60000000000002</v>
      </c>
      <c r="AF193" s="267">
        <f>IF(IndividualLATest!$J$7=2014,(VLOOKUP($A193,Hshldprojections2014!$A$2:$AY$326,45,FALSE)-VLOOKUP($A193,Hshldprojections2014!$A$2:$AY$326,35,FALSE))/10,IF(IndividualLATest!$J$7=2016,(VLOOKUP($A193,Hshldprojections2016!$A$1:$AQ$322,35,FALSE)-VLOOKUP($A193,Hshldprojections2016!$A$1:$AQ$322,25,FALSE))/10,(VLOOKUP($A193,Hshldprojections2018!$A$1:$AQ$327,35,FALSE)-VLOOKUP($A193,Hshldprojections2018!$A$1:$AQ$327,25,FALSE))/10))</f>
        <v>320.39999999999998</v>
      </c>
      <c r="AG193" s="267">
        <f>IF(IndividualLATest!$J$7=2014,(VLOOKUP($A193,Hshldprojections2014!$A$2:$AY$326,46,FALSE)-VLOOKUP($A193,Hshldprojections2014!$A$2:$AY$326,36,FALSE))/10,IF(IndividualLATest!$J$7=2016,(VLOOKUP($A193,Hshldprojections2016!$A$1:$AQ$322,36,FALSE)-VLOOKUP($A193,Hshldprojections2016!$A$1:$AQ$322,26,FALSE))/10,(VLOOKUP($A193,Hshldprojections2018!$A$1:$AQ$327,36,FALSE)-VLOOKUP($A193,Hshldprojections2018!$A$1:$AQ$327,26,FALSE))/10))</f>
        <v>321.7</v>
      </c>
      <c r="AH193" s="267">
        <f>IF(IndividualLATest!$J$7=2014,(VLOOKUP($A193,Hshldprojections2014!$A$2:$AY$326,47,FALSE)-VLOOKUP($A193,Hshldprojections2014!$A$2:$AY$326,37,FALSE))/10,IF(IndividualLATest!$J$7=2016,(VLOOKUP($A193,Hshldprojections2016!$A$1:$AQ$322,37,FALSE)-VLOOKUP($A193,Hshldprojections2016!$A$1:$AQ$322,27,FALSE))/10,(VLOOKUP($A193,Hshldprojections2018!$A$1:$AQ$327,37,FALSE)-VLOOKUP($A193,Hshldprojections2018!$A$1:$AQ$327,27,FALSE))/10))</f>
        <v>326.39999999999998</v>
      </c>
      <c r="AI193" s="268">
        <f>VLOOKUP($A193,AffordabilityRatio!$A$2:$I$321,5,FALSE)</f>
        <v>6.93</v>
      </c>
      <c r="AJ193" s="268">
        <f>VLOOKUP($A193,AffordabilityRatio!$A$2:$I$321,6,FALSE)</f>
        <v>7.01</v>
      </c>
      <c r="AK193" s="268">
        <f>VLOOKUP($A193,AffordabilityRatio!$A$2:$I$321,7,FALSE)</f>
        <v>7</v>
      </c>
      <c r="AL193" s="268">
        <f>IF((VLOOKUP($A193,AffordabilityRatio!$A$2:$I$321,8,FALSE))="",AK193,VLOOKUP($A193,AffordabilityRatio!$A$2:$I$321,8,FALSE))</f>
        <v>6.93</v>
      </c>
      <c r="AM193" s="268">
        <f>IF((VLOOKUP($A193,AffordabilityRatio!$A$2:$I$321,9,FALSE))="",AL193,VLOOKUP($A193,AffordabilityRatio!$A$2:$I$321,9,FALSE))</f>
        <v>7.12</v>
      </c>
      <c r="AN193" s="268">
        <f>IF((VLOOKUP($A193,AffordabilityRatio!$A$2:$I$321,9,FALSE))="",AM193,VLOOKUP($A193,AffordabilityRatio!$A$2:$I$321,9,FALSE))</f>
        <v>7.12</v>
      </c>
      <c r="AO193" s="268">
        <f>IF((VLOOKUP($A193,AffordabilityRatio!$A$2:$I$321,9,FALSE))="",AN193,VLOOKUP($A193,AffordabilityRatio!$A$2:$I$321,9,FALSE))</f>
        <v>7.12</v>
      </c>
      <c r="AP193" s="268">
        <f>IF((VLOOKUP($A193,AffordabilityRatio!$A$2:$I$321,9,FALSE))="",AO193,VLOOKUP($A193,AffordabilityRatio!$A$2:$I$321,9,FALSE))</f>
        <v>7.12</v>
      </c>
      <c r="AQ193" s="267">
        <f t="shared" si="152"/>
        <v>603</v>
      </c>
      <c r="AR193" s="267">
        <f t="shared" si="153"/>
        <v>600</v>
      </c>
      <c r="AS193" s="267">
        <f t="shared" si="154"/>
        <v>599</v>
      </c>
      <c r="AT193" s="267">
        <f t="shared" si="155"/>
        <v>353</v>
      </c>
      <c r="AU193" s="267">
        <f t="shared" si="156"/>
        <v>372</v>
      </c>
      <c r="AV193" s="267">
        <f t="shared" si="157"/>
        <v>383</v>
      </c>
      <c r="AW193" s="267">
        <f t="shared" si="158"/>
        <v>384</v>
      </c>
      <c r="AX193" s="267">
        <f t="shared" si="159"/>
        <v>390</v>
      </c>
      <c r="AY193" s="267">
        <f t="shared" si="160"/>
        <v>603</v>
      </c>
      <c r="AZ193" s="267">
        <f t="shared" si="161"/>
        <v>600</v>
      </c>
      <c r="BA193" s="267">
        <f t="shared" si="162"/>
        <v>599</v>
      </c>
      <c r="BB193" s="267">
        <f t="shared" si="163"/>
        <v>353</v>
      </c>
      <c r="BC193" s="267">
        <f t="shared" si="164"/>
        <v>372</v>
      </c>
      <c r="BD193" s="267">
        <f t="shared" si="165"/>
        <v>383</v>
      </c>
      <c r="BE193" s="267">
        <f t="shared" si="166"/>
        <v>384</v>
      </c>
      <c r="BF193" s="267">
        <f t="shared" si="167"/>
        <v>390</v>
      </c>
      <c r="BG193" s="269">
        <f>AY193*VLOOKUP($B193,'Major Cities &amp; Towns'!$A$28:$B$345,2,FALSE)</f>
        <v>603</v>
      </c>
      <c r="BH193" s="269">
        <f>AZ193*VLOOKUP($B193,'Major Cities &amp; Towns'!$A$28:$B$345,2,FALSE)</f>
        <v>600</v>
      </c>
      <c r="BI193" s="269">
        <f>BA193*VLOOKUP($B193,'Major Cities &amp; Towns'!$A$28:$B$345,2,FALSE)</f>
        <v>599</v>
      </c>
      <c r="BJ193" s="269">
        <f>BB193*VLOOKUP($B193,'Major Cities &amp; Towns'!$A$28:$B$345,2,FALSE)</f>
        <v>353</v>
      </c>
      <c r="BK193" s="269">
        <f>BC193*VLOOKUP($B193,'Major Cities &amp; Towns'!$A$28:$B$345,2,FALSE)</f>
        <v>372</v>
      </c>
      <c r="BL193" s="269">
        <f>BD193*VLOOKUP($B193,'Major Cities &amp; Towns'!$A$28:$B$345,2,FALSE)</f>
        <v>383</v>
      </c>
      <c r="BM193" s="269">
        <f>BE193*VLOOKUP($B193,'Major Cities &amp; Towns'!$A$28:$B$345,2,FALSE)</f>
        <v>384</v>
      </c>
      <c r="BN193" s="269">
        <f>BF193*VLOOKUP($B193,'Major Cities &amp; Towns'!$A$28:$B$345,2,FALSE)</f>
        <v>390</v>
      </c>
      <c r="BO193" s="270">
        <f t="shared" si="168"/>
        <v>603</v>
      </c>
      <c r="BP193" s="270">
        <f t="shared" si="169"/>
        <v>600</v>
      </c>
      <c r="BQ193" s="270">
        <f t="shared" si="170"/>
        <v>599</v>
      </c>
      <c r="BR193" s="270">
        <f t="shared" si="171"/>
        <v>353</v>
      </c>
      <c r="BS193" s="270">
        <f t="shared" si="172"/>
        <v>372</v>
      </c>
      <c r="BT193" s="270">
        <f t="shared" si="173"/>
        <v>383</v>
      </c>
      <c r="BU193" s="270">
        <f t="shared" si="174"/>
        <v>384</v>
      </c>
      <c r="BV193" s="270">
        <f t="shared" si="175"/>
        <v>390</v>
      </c>
      <c r="BW193" s="39">
        <f>VLOOKUP($A193,NetAdditions!$A$2:$H$336,6,FALSE)</f>
        <v>905</v>
      </c>
      <c r="BX193" s="39">
        <f>VLOOKUP($A193,NetAdditions!$A$2:$H$336,7,FALSE)</f>
        <v>509</v>
      </c>
      <c r="BY193" s="39">
        <f>IF((VLOOKUP($C193,NetAdditions!$A$2:$H$336,8,FALSE))="",(AVERAGE(VLOOKUP($C193,NetAdditions!$A$2:$H$336,5,FALSE),VLOOKUP($C193,NetAdditions!$A$2:$H$336,6,FALSE),VLOOKUP($C193,NetAdditions!$A$2:$H$336,7,FALSE))),VLOOKUP($C193,NetAdditions!$A$2:$H$336,8,FALSE))</f>
        <v>164</v>
      </c>
      <c r="BZ193" s="39">
        <f t="shared" si="176"/>
        <v>526</v>
      </c>
      <c r="CA193" s="39">
        <f t="shared" si="177"/>
        <v>399.66666666666669</v>
      </c>
      <c r="CB193" s="39">
        <f t="shared" si="178"/>
        <v>363.22222222222223</v>
      </c>
      <c r="CC193" s="39">
        <f t="shared" si="179"/>
        <v>429.62962962962962</v>
      </c>
      <c r="CD193" s="39">
        <f t="shared" si="180"/>
        <v>397.50617283950618</v>
      </c>
      <c r="CE193" s="276">
        <f t="shared" si="137"/>
        <v>1802</v>
      </c>
      <c r="CF193" s="276">
        <f t="shared" si="138"/>
        <v>1552</v>
      </c>
      <c r="CG193" s="276">
        <f t="shared" si="139"/>
        <v>1324</v>
      </c>
      <c r="CH193" s="276">
        <f t="shared" si="140"/>
        <v>1108</v>
      </c>
      <c r="CI193" s="276">
        <f t="shared" si="141"/>
        <v>1139</v>
      </c>
      <c r="CJ193" s="276">
        <f t="shared" si="142"/>
        <v>1157</v>
      </c>
      <c r="CK193" s="276">
        <f t="shared" si="181"/>
        <v>1551.7222222222224</v>
      </c>
      <c r="CL193" s="276">
        <f t="shared" si="182"/>
        <v>1336.4444444444446</v>
      </c>
      <c r="CM193" s="276">
        <f t="shared" si="183"/>
        <v>1213.6666666666665</v>
      </c>
      <c r="CN193" s="276">
        <f t="shared" si="184"/>
        <v>1108</v>
      </c>
      <c r="CO193" s="276">
        <f t="shared" si="185"/>
        <v>1139</v>
      </c>
      <c r="CP193" s="276">
        <f t="shared" si="186"/>
        <v>1157</v>
      </c>
      <c r="CQ193" s="39">
        <f t="shared" si="143"/>
        <v>1578</v>
      </c>
      <c r="CR193" s="39">
        <f t="shared" si="144"/>
        <v>1199</v>
      </c>
      <c r="CS193" s="277">
        <f t="shared" si="145"/>
        <v>1089.6666666666667</v>
      </c>
      <c r="CT193" s="39">
        <f t="shared" si="146"/>
        <v>1288.8888888888889</v>
      </c>
      <c r="CU193" s="39">
        <f t="shared" si="147"/>
        <v>1192.5185185185185</v>
      </c>
      <c r="CV193" s="39">
        <f t="shared" si="187"/>
        <v>1190.358024691358</v>
      </c>
      <c r="CW193" s="297">
        <f t="shared" si="148"/>
        <v>1.0169345888081343</v>
      </c>
      <c r="CX193" s="279" t="str">
        <f t="shared" si="188"/>
        <v>Pass</v>
      </c>
      <c r="CY193" s="278">
        <f t="shared" si="149"/>
        <v>0.89715663451945449</v>
      </c>
      <c r="CZ193" s="279" t="str">
        <f t="shared" si="189"/>
        <v>Action Plan</v>
      </c>
      <c r="DA193" s="278">
        <f t="shared" si="150"/>
        <v>0.89783026641032704</v>
      </c>
      <c r="DB193" s="292" t="str">
        <f t="shared" si="190"/>
        <v>Action Plan</v>
      </c>
      <c r="DC193" s="299">
        <f t="shared" si="191"/>
        <v>1.1632571199358204</v>
      </c>
      <c r="DD193" s="293" t="str">
        <f t="shared" si="192"/>
        <v>Pass</v>
      </c>
      <c r="DE193" s="299">
        <f t="shared" si="193"/>
        <v>1.0469872857932558</v>
      </c>
      <c r="DF193" s="293" t="str">
        <f t="shared" si="194"/>
        <v>Pass</v>
      </c>
      <c r="DG193" s="299">
        <f t="shared" si="195"/>
        <v>1.0288314820150026</v>
      </c>
      <c r="DH193" s="293" t="str">
        <f t="shared" si="196"/>
        <v>Pass</v>
      </c>
    </row>
    <row r="194" spans="1:112" ht="15" thickTop="1" thickBot="1">
      <c r="A194" s="38" t="s">
        <v>498</v>
      </c>
      <c r="B194" s="38" t="s">
        <v>499</v>
      </c>
      <c r="C194" s="38" t="s">
        <v>498</v>
      </c>
      <c r="D194" s="38" t="s">
        <v>119</v>
      </c>
      <c r="E194" s="38" t="str">
        <f>VLOOKUP(C194,PoliticalControl!A:K,11,FALSE)</f>
        <v>LAB</v>
      </c>
      <c r="F194" s="38" t="str">
        <f>VLOOKUP(C194,UrbanRuralClassification!A:N,13,FALSE)</f>
        <v>Urban with Minor Conurbation</v>
      </c>
      <c r="G194" s="38" t="str">
        <f>VLOOKUP(C194,UrbanRuralClassification!A:N,14,FALSE)</f>
        <v>Predominantly Urban</v>
      </c>
      <c r="H194" s="258">
        <f>IF(ISBLANK((VLOOKUP($A194,'local-plan-data'!$C$1:$AD$566,27,FALSE)))=TRUE,"",VLOOKUP($A194,'local-plan-data'!$C$1:$AD$566,27,FALSE))</f>
        <v>41899</v>
      </c>
      <c r="I194" s="259">
        <f>VLOOKUP($A194,'local-plan-data'!$C$1:$AD$566,28,FALSE)</f>
        <v>1008.8235294117648</v>
      </c>
      <c r="J194" s="260">
        <f t="shared" si="151"/>
        <v>1008.8235294117648</v>
      </c>
      <c r="K194" s="259">
        <f t="shared" si="197"/>
        <v>1008.8235294117648</v>
      </c>
      <c r="L194" s="259">
        <f t="shared" si="201"/>
        <v>1008.8235294117648</v>
      </c>
      <c r="M194" s="259" t="str">
        <f t="shared" si="201"/>
        <v>-</v>
      </c>
      <c r="N194" s="259" t="str">
        <f t="shared" si="201"/>
        <v>-</v>
      </c>
      <c r="O194" s="259" t="str">
        <f t="shared" si="201"/>
        <v>-</v>
      </c>
      <c r="P194" s="259" t="str">
        <f t="shared" si="201"/>
        <v>-</v>
      </c>
      <c r="Q194" s="259" t="str">
        <f t="shared" si="201"/>
        <v>-</v>
      </c>
      <c r="R194" s="259" t="str">
        <f t="shared" si="201"/>
        <v>-</v>
      </c>
      <c r="S194" s="259">
        <f t="shared" si="198"/>
        <v>534</v>
      </c>
      <c r="T194" s="259">
        <f t="shared" si="202"/>
        <v>169</v>
      </c>
      <c r="U194" s="259">
        <f t="shared" si="202"/>
        <v>-197</v>
      </c>
      <c r="V194" s="259">
        <f t="shared" si="202"/>
        <v>-562</v>
      </c>
      <c r="W194" s="259">
        <f t="shared" si="202"/>
        <v>-927</v>
      </c>
      <c r="X194" s="259">
        <f t="shared" si="202"/>
        <v>-1292</v>
      </c>
      <c r="Y194" s="259">
        <f t="shared" si="202"/>
        <v>-1658</v>
      </c>
      <c r="Z194" s="259">
        <f t="shared" si="202"/>
        <v>-2023</v>
      </c>
      <c r="AA194" s="267">
        <f>(VLOOKUP(A194,Hshldprojections2014!$A$2:$AW$319,40, FALSE)-VLOOKUP(A194,Hshldprojections2014!$A$2:$AW$319,30, FALSE))/10</f>
        <v>1016.3</v>
      </c>
      <c r="AB194" s="267">
        <f>(VLOOKUP(A194,Hshldprojections2014!$A$2:$AW$319,41, FALSE)-VLOOKUP(A194,Hshldprojections2014!$A$2:$AW$319,31, FALSE))/10</f>
        <v>1044.8</v>
      </c>
      <c r="AC194" s="267">
        <f>(VLOOKUP(A194,Hshldprojections2014!$A$2:$AW$319,42, FALSE)-VLOOKUP(A194,Hshldprojections2014!$A$2:$AW$319,32, FALSE))/10</f>
        <v>1085.5999999999999</v>
      </c>
      <c r="AD194" s="267">
        <f>IF(IndividualLATest!$J$7=2014,(VLOOKUP($A194,Hshldprojections2014!$A$2:$AY$326,43,FALSE)-VLOOKUP($A194,Hshldprojections2014!$A$2:$AY$326,33,FALSE))/10,IF(IndividualLATest!$J$7=2016,(VLOOKUP($A194,Hshldprojections2016!$A$1:$AQ$322,33,FALSE)-VLOOKUP($A194,Hshldprojections2016!$A$1:$AQ$322,23,FALSE))/10,(VLOOKUP($A194,Hshldprojections2018!$A$1:$AQ$327,33,FALSE)-VLOOKUP($A194,Hshldprojections2018!$A$1:$AQ$327,23,FALSE))/10))</f>
        <v>654.70000000000005</v>
      </c>
      <c r="AE194" s="267">
        <f>IF(IndividualLATest!$J$7=2014,(VLOOKUP($A194,Hshldprojections2014!$A$2:$AY$326,44,FALSE)-VLOOKUP($A194,Hshldprojections2014!$A$2:$AY$326,34,FALSE))/10,IF(IndividualLATest!$J$7=2016,(VLOOKUP($A194,Hshldprojections2016!$A$1:$AQ$322,34,FALSE)-VLOOKUP($A194,Hshldprojections2016!$A$1:$AQ$322,24,FALSE))/10,(VLOOKUP($A194,Hshldprojections2018!$A$1:$AQ$327,34,FALSE)-VLOOKUP($A194,Hshldprojections2018!$A$1:$AQ$327,24,FALSE))/10))</f>
        <v>705.9</v>
      </c>
      <c r="AF194" s="267">
        <f>IF(IndividualLATest!$J$7=2014,(VLOOKUP($A194,Hshldprojections2014!$A$2:$AY$326,45,FALSE)-VLOOKUP($A194,Hshldprojections2014!$A$2:$AY$326,35,FALSE))/10,IF(IndividualLATest!$J$7=2016,(VLOOKUP($A194,Hshldprojections2016!$A$1:$AQ$322,35,FALSE)-VLOOKUP($A194,Hshldprojections2016!$A$1:$AQ$322,25,FALSE))/10,(VLOOKUP($A194,Hshldprojections2018!$A$1:$AQ$327,35,FALSE)-VLOOKUP($A194,Hshldprojections2018!$A$1:$AQ$327,25,FALSE))/10))</f>
        <v>738.5</v>
      </c>
      <c r="AG194" s="267">
        <f>IF(IndividualLATest!$J$7=2014,(VLOOKUP($A194,Hshldprojections2014!$A$2:$AY$326,46,FALSE)-VLOOKUP($A194,Hshldprojections2014!$A$2:$AY$326,36,FALSE))/10,IF(IndividualLATest!$J$7=2016,(VLOOKUP($A194,Hshldprojections2016!$A$1:$AQ$322,36,FALSE)-VLOOKUP($A194,Hshldprojections2016!$A$1:$AQ$322,26,FALSE))/10,(VLOOKUP($A194,Hshldprojections2018!$A$1:$AQ$327,36,FALSE)-VLOOKUP($A194,Hshldprojections2018!$A$1:$AQ$327,26,FALSE))/10))</f>
        <v>749.3</v>
      </c>
      <c r="AH194" s="267">
        <f>IF(IndividualLATest!$J$7=2014,(VLOOKUP($A194,Hshldprojections2014!$A$2:$AY$326,47,FALSE)-VLOOKUP($A194,Hshldprojections2014!$A$2:$AY$326,37,FALSE))/10,IF(IndividualLATest!$J$7=2016,(VLOOKUP($A194,Hshldprojections2016!$A$1:$AQ$322,37,FALSE)-VLOOKUP($A194,Hshldprojections2016!$A$1:$AQ$322,27,FALSE))/10,(VLOOKUP($A194,Hshldprojections2018!$A$1:$AQ$327,37,FALSE)-VLOOKUP($A194,Hshldprojections2018!$A$1:$AQ$327,27,FALSE))/10))</f>
        <v>756.8</v>
      </c>
      <c r="AI194" s="268">
        <f>VLOOKUP($A194,AffordabilityRatio!$A$2:$I$321,5,FALSE)</f>
        <v>4.9800000000000004</v>
      </c>
      <c r="AJ194" s="268">
        <f>VLOOKUP($A194,AffordabilityRatio!$A$2:$I$321,6,FALSE)</f>
        <v>5.13</v>
      </c>
      <c r="AK194" s="268">
        <f>VLOOKUP($A194,AffordabilityRatio!$A$2:$I$321,7,FALSE)</f>
        <v>4.91</v>
      </c>
      <c r="AL194" s="268">
        <f>IF((VLOOKUP($A194,AffordabilityRatio!$A$2:$I$321,8,FALSE))="",AK194,VLOOKUP($A194,AffordabilityRatio!$A$2:$I$321,8,FALSE))</f>
        <v>5.2</v>
      </c>
      <c r="AM194" s="268">
        <f>IF((VLOOKUP($A194,AffordabilityRatio!$A$2:$I$321,9,FALSE))="",AL194,VLOOKUP($A194,AffordabilityRatio!$A$2:$I$321,9,FALSE))</f>
        <v>5.81</v>
      </c>
      <c r="AN194" s="268">
        <f>IF((VLOOKUP($A194,AffordabilityRatio!$A$2:$I$321,9,FALSE))="",AM194,VLOOKUP($A194,AffordabilityRatio!$A$2:$I$321,9,FALSE))</f>
        <v>5.81</v>
      </c>
      <c r="AO194" s="268">
        <f>IF((VLOOKUP($A194,AffordabilityRatio!$A$2:$I$321,9,FALSE))="",AN194,VLOOKUP($A194,AffordabilityRatio!$A$2:$I$321,9,FALSE))</f>
        <v>5.81</v>
      </c>
      <c r="AP194" s="268">
        <f>IF((VLOOKUP($A194,AffordabilityRatio!$A$2:$I$321,9,FALSE))="",AO194,VLOOKUP($A194,AffordabilityRatio!$A$2:$I$321,9,FALSE))</f>
        <v>5.81</v>
      </c>
      <c r="AQ194" s="267">
        <f t="shared" si="152"/>
        <v>1079</v>
      </c>
      <c r="AR194" s="267">
        <f t="shared" si="153"/>
        <v>1119</v>
      </c>
      <c r="AS194" s="267">
        <f t="shared" si="154"/>
        <v>1147</v>
      </c>
      <c r="AT194" s="267">
        <f t="shared" si="155"/>
        <v>704</v>
      </c>
      <c r="AU194" s="267">
        <f t="shared" si="156"/>
        <v>786</v>
      </c>
      <c r="AV194" s="267">
        <f t="shared" si="157"/>
        <v>822</v>
      </c>
      <c r="AW194" s="267">
        <f t="shared" si="158"/>
        <v>834</v>
      </c>
      <c r="AX194" s="267">
        <f t="shared" si="159"/>
        <v>842</v>
      </c>
      <c r="AY194" s="267">
        <f t="shared" si="160"/>
        <v>1079</v>
      </c>
      <c r="AZ194" s="267">
        <f t="shared" si="161"/>
        <v>1119</v>
      </c>
      <c r="BA194" s="267">
        <f t="shared" si="162"/>
        <v>1147</v>
      </c>
      <c r="BB194" s="267">
        <f t="shared" si="163"/>
        <v>704</v>
      </c>
      <c r="BC194" s="267">
        <f t="shared" si="164"/>
        <v>786</v>
      </c>
      <c r="BD194" s="267">
        <f t="shared" si="165"/>
        <v>822</v>
      </c>
      <c r="BE194" s="267">
        <f t="shared" si="166"/>
        <v>834</v>
      </c>
      <c r="BF194" s="267">
        <f t="shared" si="167"/>
        <v>842</v>
      </c>
      <c r="BG194" s="269">
        <f>AY194*VLOOKUP($B194,'Major Cities &amp; Towns'!$A$28:$B$345,2,FALSE)</f>
        <v>1456.65</v>
      </c>
      <c r="BH194" s="269">
        <f>AZ194*VLOOKUP($B194,'Major Cities &amp; Towns'!$A$28:$B$345,2,FALSE)</f>
        <v>1510.65</v>
      </c>
      <c r="BI194" s="269">
        <f>BA194*VLOOKUP($B194,'Major Cities &amp; Towns'!$A$28:$B$345,2,FALSE)</f>
        <v>1548.45</v>
      </c>
      <c r="BJ194" s="269">
        <f>BB194*VLOOKUP($B194,'Major Cities &amp; Towns'!$A$28:$B$345,2,FALSE)</f>
        <v>950.40000000000009</v>
      </c>
      <c r="BK194" s="269">
        <f>BC194*VLOOKUP($B194,'Major Cities &amp; Towns'!$A$28:$B$345,2,FALSE)</f>
        <v>1061.1000000000001</v>
      </c>
      <c r="BL194" s="269">
        <f>BD194*VLOOKUP($B194,'Major Cities &amp; Towns'!$A$28:$B$345,2,FALSE)</f>
        <v>1109.7</v>
      </c>
      <c r="BM194" s="269">
        <f>BE194*VLOOKUP($B194,'Major Cities &amp; Towns'!$A$28:$B$345,2,FALSE)</f>
        <v>1125.9000000000001</v>
      </c>
      <c r="BN194" s="269">
        <f>BF194*VLOOKUP($B194,'Major Cities &amp; Towns'!$A$28:$B$345,2,FALSE)</f>
        <v>1136.7</v>
      </c>
      <c r="BO194" s="270">
        <f t="shared" si="168"/>
        <v>1008.8235294117648</v>
      </c>
      <c r="BP194" s="270">
        <f t="shared" si="169"/>
        <v>1067.9867848509266</v>
      </c>
      <c r="BQ194" s="270">
        <f t="shared" si="170"/>
        <v>1147</v>
      </c>
      <c r="BR194" s="270">
        <f t="shared" si="171"/>
        <v>704</v>
      </c>
      <c r="BS194" s="270">
        <f t="shared" si="172"/>
        <v>786</v>
      </c>
      <c r="BT194" s="270">
        <f t="shared" si="173"/>
        <v>822</v>
      </c>
      <c r="BU194" s="270">
        <f t="shared" si="174"/>
        <v>834</v>
      </c>
      <c r="BV194" s="270">
        <f t="shared" si="175"/>
        <v>842</v>
      </c>
      <c r="BW194" s="39">
        <f>VLOOKUP($A194,NetAdditions!$A$2:$H$336,6,FALSE)</f>
        <v>1456</v>
      </c>
      <c r="BX194" s="39">
        <f>VLOOKUP($A194,NetAdditions!$A$2:$H$336,7,FALSE)</f>
        <v>1806</v>
      </c>
      <c r="BY194" s="39">
        <f>IF((VLOOKUP($C194,NetAdditions!$A$2:$H$336,8,FALSE))="",(AVERAGE(VLOOKUP($C194,NetAdditions!$A$2:$H$336,5,FALSE),VLOOKUP($C194,NetAdditions!$A$2:$H$336,6,FALSE),VLOOKUP($C194,NetAdditions!$A$2:$H$336,7,FALSE))),VLOOKUP($C194,NetAdditions!$A$2:$H$336,8,FALSE))</f>
        <v>1407</v>
      </c>
      <c r="BZ194" s="39">
        <f t="shared" si="176"/>
        <v>1556.3333333333333</v>
      </c>
      <c r="CA194" s="39">
        <f t="shared" si="177"/>
        <v>1589.7777777777776</v>
      </c>
      <c r="CB194" s="39">
        <f t="shared" si="178"/>
        <v>1517.7037037037035</v>
      </c>
      <c r="CC194" s="39">
        <f t="shared" si="179"/>
        <v>1554.6049382716046</v>
      </c>
      <c r="CD194" s="39">
        <f t="shared" si="180"/>
        <v>1554.0288065843617</v>
      </c>
      <c r="CE194" s="276">
        <f t="shared" si="137"/>
        <v>3223.8103142626915</v>
      </c>
      <c r="CF194" s="276">
        <f t="shared" si="138"/>
        <v>2918.9867848509266</v>
      </c>
      <c r="CG194" s="276">
        <f t="shared" si="139"/>
        <v>2637</v>
      </c>
      <c r="CH194" s="276">
        <f t="shared" si="140"/>
        <v>2312</v>
      </c>
      <c r="CI194" s="276">
        <f t="shared" si="141"/>
        <v>2442</v>
      </c>
      <c r="CJ194" s="276">
        <f t="shared" si="142"/>
        <v>2498</v>
      </c>
      <c r="CK194" s="276">
        <f t="shared" si="181"/>
        <v>2776.0588817262069</v>
      </c>
      <c r="CL194" s="276">
        <f t="shared" si="182"/>
        <v>2513.5719536216316</v>
      </c>
      <c r="CM194" s="276">
        <f t="shared" si="183"/>
        <v>2417.25</v>
      </c>
      <c r="CN194" s="276">
        <f t="shared" si="184"/>
        <v>2312</v>
      </c>
      <c r="CO194" s="276">
        <f t="shared" si="185"/>
        <v>2442</v>
      </c>
      <c r="CP194" s="276">
        <f t="shared" si="186"/>
        <v>2498</v>
      </c>
      <c r="CQ194" s="39">
        <f t="shared" si="143"/>
        <v>4669</v>
      </c>
      <c r="CR194" s="39">
        <f t="shared" si="144"/>
        <v>4769.333333333333</v>
      </c>
      <c r="CS194" s="277">
        <f t="shared" si="145"/>
        <v>4553.1111111111104</v>
      </c>
      <c r="CT194" s="39">
        <f t="shared" si="146"/>
        <v>4663.8148148148139</v>
      </c>
      <c r="CU194" s="39">
        <f t="shared" si="147"/>
        <v>4662.0864197530855</v>
      </c>
      <c r="CV194" s="39">
        <f t="shared" si="187"/>
        <v>4626.3374485596696</v>
      </c>
      <c r="CW194" s="297">
        <f t="shared" si="148"/>
        <v>1.6818807521462678</v>
      </c>
      <c r="CX194" s="279" t="str">
        <f t="shared" si="188"/>
        <v>Pass</v>
      </c>
      <c r="CY194" s="278">
        <f t="shared" si="149"/>
        <v>1.8974325865076316</v>
      </c>
      <c r="CZ194" s="279" t="str">
        <f t="shared" si="189"/>
        <v>Pass</v>
      </c>
      <c r="DA194" s="278">
        <f t="shared" si="150"/>
        <v>1.8835913170384158</v>
      </c>
      <c r="DB194" s="292" t="str">
        <f t="shared" si="190"/>
        <v>Pass</v>
      </c>
      <c r="DC194" s="299">
        <f t="shared" si="191"/>
        <v>2.0172209406638468</v>
      </c>
      <c r="DD194" s="293" t="str">
        <f t="shared" si="192"/>
        <v>Pass</v>
      </c>
      <c r="DE194" s="299">
        <f t="shared" si="193"/>
        <v>1.9091262980151864</v>
      </c>
      <c r="DF194" s="293" t="str">
        <f t="shared" si="194"/>
        <v>Pass</v>
      </c>
      <c r="DG194" s="299">
        <f t="shared" si="195"/>
        <v>1.8520165926980263</v>
      </c>
      <c r="DH194" s="293" t="str">
        <f t="shared" si="196"/>
        <v>Pass</v>
      </c>
    </row>
    <row r="195" spans="1:112" ht="15" thickTop="1" thickBot="1">
      <c r="A195" s="38" t="s">
        <v>500</v>
      </c>
      <c r="B195" s="38" t="s">
        <v>501</v>
      </c>
      <c r="C195" s="38" t="s">
        <v>500</v>
      </c>
      <c r="D195" s="38" t="s">
        <v>154</v>
      </c>
      <c r="E195" s="38" t="str">
        <f>VLOOKUP(C195,PoliticalControl!A:K,11,FALSE)</f>
        <v>CON</v>
      </c>
      <c r="F195" s="38" t="str">
        <f>VLOOKUP(C195,UrbanRuralClassification!A:N,13,FALSE)</f>
        <v>Urban with City and Town</v>
      </c>
      <c r="G195" s="38" t="str">
        <f>VLOOKUP(C195,UrbanRuralClassification!A:N,14,FALSE)</f>
        <v>Predominantly Urban</v>
      </c>
      <c r="H195" s="258">
        <f>IF(ISBLANK((VLOOKUP($A195,'local-plan-data'!$C$1:$AD$566,27,FALSE)))=TRUE,"",VLOOKUP($A195,'local-plan-data'!$C$1:$AD$566,27,FALSE))</f>
        <v>43627</v>
      </c>
      <c r="I195" s="259">
        <f>VLOOKUP($A195,'local-plan-data'!$C$1:$AD$566,28,FALSE)</f>
        <v>703</v>
      </c>
      <c r="J195" s="260">
        <f t="shared" si="151"/>
        <v>703</v>
      </c>
      <c r="K195" s="259">
        <f t="shared" si="197"/>
        <v>703</v>
      </c>
      <c r="L195" s="259">
        <f t="shared" si="201"/>
        <v>703</v>
      </c>
      <c r="M195" s="259">
        <f t="shared" si="201"/>
        <v>703</v>
      </c>
      <c r="N195" s="259">
        <f t="shared" si="201"/>
        <v>703</v>
      </c>
      <c r="O195" s="259">
        <f t="shared" si="201"/>
        <v>703</v>
      </c>
      <c r="P195" s="259">
        <f t="shared" si="201"/>
        <v>703</v>
      </c>
      <c r="Q195" s="259">
        <f t="shared" si="201"/>
        <v>703</v>
      </c>
      <c r="R195" s="259" t="str">
        <f t="shared" si="201"/>
        <v>-</v>
      </c>
      <c r="S195" s="259">
        <f t="shared" si="198"/>
        <v>2263</v>
      </c>
      <c r="T195" s="259">
        <f t="shared" si="202"/>
        <v>1898</v>
      </c>
      <c r="U195" s="259">
        <f t="shared" si="202"/>
        <v>1532</v>
      </c>
      <c r="V195" s="259">
        <f t="shared" si="202"/>
        <v>1167</v>
      </c>
      <c r="W195" s="259">
        <f t="shared" si="202"/>
        <v>802</v>
      </c>
      <c r="X195" s="259">
        <f t="shared" si="202"/>
        <v>437</v>
      </c>
      <c r="Y195" s="259">
        <f t="shared" si="202"/>
        <v>71</v>
      </c>
      <c r="Z195" s="259">
        <f t="shared" si="202"/>
        <v>-294</v>
      </c>
      <c r="AA195" s="267">
        <f>(VLOOKUP(A195,Hshldprojections2014!$A$2:$AW$319,40, FALSE)-VLOOKUP(A195,Hshldprojections2014!$A$2:$AW$319,30, FALSE))/10</f>
        <v>365.5</v>
      </c>
      <c r="AB195" s="267">
        <f>(VLOOKUP(A195,Hshldprojections2014!$A$2:$AW$319,41, FALSE)-VLOOKUP(A195,Hshldprojections2014!$A$2:$AW$319,31, FALSE))/10</f>
        <v>361.1</v>
      </c>
      <c r="AC195" s="267">
        <f>(VLOOKUP(A195,Hshldprojections2014!$A$2:$AW$319,42, FALSE)-VLOOKUP(A195,Hshldprojections2014!$A$2:$AW$319,32, FALSE))/10</f>
        <v>358</v>
      </c>
      <c r="AD195" s="267">
        <f>IF(IndividualLATest!$J$7=2014,(VLOOKUP($A195,Hshldprojections2014!$A$2:$AY$326,43,FALSE)-VLOOKUP($A195,Hshldprojections2014!$A$2:$AY$326,33,FALSE))/10,IF(IndividualLATest!$J$7=2016,(VLOOKUP($A195,Hshldprojections2016!$A$1:$AQ$322,33,FALSE)-VLOOKUP($A195,Hshldprojections2016!$A$1:$AQ$322,23,FALSE))/10,(VLOOKUP($A195,Hshldprojections2018!$A$1:$AQ$327,33,FALSE)-VLOOKUP($A195,Hshldprojections2018!$A$1:$AQ$327,23,FALSE))/10))</f>
        <v>387.7</v>
      </c>
      <c r="AE195" s="267">
        <f>IF(IndividualLATest!$J$7=2014,(VLOOKUP($A195,Hshldprojections2014!$A$2:$AY$326,44,FALSE)-VLOOKUP($A195,Hshldprojections2014!$A$2:$AY$326,34,FALSE))/10,IF(IndividualLATest!$J$7=2016,(VLOOKUP($A195,Hshldprojections2016!$A$1:$AQ$322,34,FALSE)-VLOOKUP($A195,Hshldprojections2016!$A$1:$AQ$322,24,FALSE))/10,(VLOOKUP($A195,Hshldprojections2018!$A$1:$AQ$327,34,FALSE)-VLOOKUP($A195,Hshldprojections2018!$A$1:$AQ$327,24,FALSE))/10))</f>
        <v>389.5</v>
      </c>
      <c r="AF195" s="267">
        <f>IF(IndividualLATest!$J$7=2014,(VLOOKUP($A195,Hshldprojections2014!$A$2:$AY$326,45,FALSE)-VLOOKUP($A195,Hshldprojections2014!$A$2:$AY$326,35,FALSE))/10,IF(IndividualLATest!$J$7=2016,(VLOOKUP($A195,Hshldprojections2016!$A$1:$AQ$322,35,FALSE)-VLOOKUP($A195,Hshldprojections2016!$A$1:$AQ$322,25,FALSE))/10,(VLOOKUP($A195,Hshldprojections2018!$A$1:$AQ$327,35,FALSE)-VLOOKUP($A195,Hshldprojections2018!$A$1:$AQ$327,25,FALSE))/10))</f>
        <v>391.6</v>
      </c>
      <c r="AG195" s="267">
        <f>IF(IndividualLATest!$J$7=2014,(VLOOKUP($A195,Hshldprojections2014!$A$2:$AY$326,46,FALSE)-VLOOKUP($A195,Hshldprojections2014!$A$2:$AY$326,36,FALSE))/10,IF(IndividualLATest!$J$7=2016,(VLOOKUP($A195,Hshldprojections2016!$A$1:$AQ$322,36,FALSE)-VLOOKUP($A195,Hshldprojections2016!$A$1:$AQ$322,26,FALSE))/10,(VLOOKUP($A195,Hshldprojections2018!$A$1:$AQ$327,36,FALSE)-VLOOKUP($A195,Hshldprojections2018!$A$1:$AQ$327,26,FALSE))/10))</f>
        <v>390.6</v>
      </c>
      <c r="AH195" s="267">
        <f>IF(IndividualLATest!$J$7=2014,(VLOOKUP($A195,Hshldprojections2014!$A$2:$AY$326,47,FALSE)-VLOOKUP($A195,Hshldprojections2014!$A$2:$AY$326,37,FALSE))/10,IF(IndividualLATest!$J$7=2016,(VLOOKUP($A195,Hshldprojections2016!$A$1:$AQ$322,37,FALSE)-VLOOKUP($A195,Hshldprojections2016!$A$1:$AQ$322,27,FALSE))/10,(VLOOKUP($A195,Hshldprojections2018!$A$1:$AQ$327,37,FALSE)-VLOOKUP($A195,Hshldprojections2018!$A$1:$AQ$327,27,FALSE))/10))</f>
        <v>391.1</v>
      </c>
      <c r="AI195" s="268">
        <f>VLOOKUP($A195,AffordabilityRatio!$A$2:$I$321,5,FALSE)</f>
        <v>6.74</v>
      </c>
      <c r="AJ195" s="268">
        <f>VLOOKUP($A195,AffordabilityRatio!$A$2:$I$321,6,FALSE)</f>
        <v>6.63</v>
      </c>
      <c r="AK195" s="268">
        <f>VLOOKUP($A195,AffordabilityRatio!$A$2:$I$321,7,FALSE)</f>
        <v>7.17</v>
      </c>
      <c r="AL195" s="268">
        <f>IF((VLOOKUP($A195,AffordabilityRatio!$A$2:$I$321,8,FALSE))="",AK195,VLOOKUP($A195,AffordabilityRatio!$A$2:$I$321,8,FALSE))</f>
        <v>7.41</v>
      </c>
      <c r="AM195" s="268">
        <f>IF((VLOOKUP($A195,AffordabilityRatio!$A$2:$I$321,9,FALSE))="",AL195,VLOOKUP($A195,AffordabilityRatio!$A$2:$I$321,9,FALSE))</f>
        <v>7.73</v>
      </c>
      <c r="AN195" s="268">
        <f>IF((VLOOKUP($A195,AffordabilityRatio!$A$2:$I$321,9,FALSE))="",AM195,VLOOKUP($A195,AffordabilityRatio!$A$2:$I$321,9,FALSE))</f>
        <v>7.73</v>
      </c>
      <c r="AO195" s="268">
        <f>IF((VLOOKUP($A195,AffordabilityRatio!$A$2:$I$321,9,FALSE))="",AN195,VLOOKUP($A195,AffordabilityRatio!$A$2:$I$321,9,FALSE))</f>
        <v>7.73</v>
      </c>
      <c r="AP195" s="268">
        <f>IF((VLOOKUP($A195,AffordabilityRatio!$A$2:$I$321,9,FALSE))="",AO195,VLOOKUP($A195,AffordabilityRatio!$A$2:$I$321,9,FALSE))</f>
        <v>7.73</v>
      </c>
      <c r="AQ195" s="267">
        <f t="shared" si="152"/>
        <v>428</v>
      </c>
      <c r="AR195" s="267">
        <f t="shared" si="153"/>
        <v>420</v>
      </c>
      <c r="AS195" s="267">
        <f t="shared" si="154"/>
        <v>429</v>
      </c>
      <c r="AT195" s="267">
        <f t="shared" si="155"/>
        <v>470</v>
      </c>
      <c r="AU195" s="267">
        <f t="shared" si="156"/>
        <v>480</v>
      </c>
      <c r="AV195" s="267">
        <f t="shared" si="157"/>
        <v>483</v>
      </c>
      <c r="AW195" s="267">
        <f t="shared" si="158"/>
        <v>482</v>
      </c>
      <c r="AX195" s="267">
        <f t="shared" si="159"/>
        <v>482</v>
      </c>
      <c r="AY195" s="267">
        <f t="shared" si="160"/>
        <v>428</v>
      </c>
      <c r="AZ195" s="267">
        <f t="shared" si="161"/>
        <v>420</v>
      </c>
      <c r="BA195" s="267">
        <f t="shared" si="162"/>
        <v>429</v>
      </c>
      <c r="BB195" s="267">
        <f t="shared" si="163"/>
        <v>470</v>
      </c>
      <c r="BC195" s="267">
        <f t="shared" si="164"/>
        <v>480</v>
      </c>
      <c r="BD195" s="267">
        <f t="shared" si="165"/>
        <v>483</v>
      </c>
      <c r="BE195" s="267">
        <f t="shared" si="166"/>
        <v>482</v>
      </c>
      <c r="BF195" s="267">
        <f t="shared" si="167"/>
        <v>482</v>
      </c>
      <c r="BG195" s="269">
        <f>AY195*VLOOKUP($B195,'Major Cities &amp; Towns'!$A$28:$B$345,2,FALSE)</f>
        <v>428</v>
      </c>
      <c r="BH195" s="269">
        <f>AZ195*VLOOKUP($B195,'Major Cities &amp; Towns'!$A$28:$B$345,2,FALSE)</f>
        <v>420</v>
      </c>
      <c r="BI195" s="269">
        <f>BA195*VLOOKUP($B195,'Major Cities &amp; Towns'!$A$28:$B$345,2,FALSE)</f>
        <v>429</v>
      </c>
      <c r="BJ195" s="269">
        <f>BB195*VLOOKUP($B195,'Major Cities &amp; Towns'!$A$28:$B$345,2,FALSE)</f>
        <v>470</v>
      </c>
      <c r="BK195" s="269">
        <f>BC195*VLOOKUP($B195,'Major Cities &amp; Towns'!$A$28:$B$345,2,FALSE)</f>
        <v>480</v>
      </c>
      <c r="BL195" s="269">
        <f>BD195*VLOOKUP($B195,'Major Cities &amp; Towns'!$A$28:$B$345,2,FALSE)</f>
        <v>483</v>
      </c>
      <c r="BM195" s="269">
        <f>BE195*VLOOKUP($B195,'Major Cities &amp; Towns'!$A$28:$B$345,2,FALSE)</f>
        <v>482</v>
      </c>
      <c r="BN195" s="269">
        <f>BF195*VLOOKUP($B195,'Major Cities &amp; Towns'!$A$28:$B$345,2,FALSE)</f>
        <v>482</v>
      </c>
      <c r="BO195" s="270">
        <f t="shared" si="168"/>
        <v>428</v>
      </c>
      <c r="BP195" s="270">
        <f t="shared" si="169"/>
        <v>420</v>
      </c>
      <c r="BQ195" s="270">
        <f t="shared" si="170"/>
        <v>429</v>
      </c>
      <c r="BR195" s="270">
        <f t="shared" si="171"/>
        <v>470</v>
      </c>
      <c r="BS195" s="270">
        <f t="shared" si="172"/>
        <v>480</v>
      </c>
      <c r="BT195" s="270">
        <f t="shared" si="173"/>
        <v>483</v>
      </c>
      <c r="BU195" s="270">
        <f t="shared" si="174"/>
        <v>482</v>
      </c>
      <c r="BV195" s="270">
        <f t="shared" si="175"/>
        <v>482</v>
      </c>
      <c r="BW195" s="39">
        <f>VLOOKUP($A195,NetAdditions!$A$2:$H$336,6,FALSE)</f>
        <v>648</v>
      </c>
      <c r="BX195" s="39">
        <f>VLOOKUP($A195,NetAdditions!$A$2:$H$336,7,FALSE)</f>
        <v>619</v>
      </c>
      <c r="BY195" s="39">
        <f>IF((VLOOKUP($C195,NetAdditions!$A$2:$H$336,8,FALSE))="",(AVERAGE(VLOOKUP($C195,NetAdditions!$A$2:$H$336,5,FALSE),VLOOKUP($C195,NetAdditions!$A$2:$H$336,6,FALSE),VLOOKUP($C195,NetAdditions!$A$2:$H$336,7,FALSE))),VLOOKUP($C195,NetAdditions!$A$2:$H$336,8,FALSE))</f>
        <v>601</v>
      </c>
      <c r="BZ195" s="39">
        <f t="shared" si="176"/>
        <v>622.66666666666663</v>
      </c>
      <c r="CA195" s="39">
        <f t="shared" si="177"/>
        <v>614.22222222222217</v>
      </c>
      <c r="CB195" s="39">
        <f t="shared" si="178"/>
        <v>612.62962962962956</v>
      </c>
      <c r="CC195" s="39">
        <f t="shared" si="179"/>
        <v>616.50617283950612</v>
      </c>
      <c r="CD195" s="39">
        <f t="shared" si="180"/>
        <v>614.45267489711932</v>
      </c>
      <c r="CE195" s="276">
        <f t="shared" si="137"/>
        <v>1277</v>
      </c>
      <c r="CF195" s="276">
        <f t="shared" si="138"/>
        <v>1319</v>
      </c>
      <c r="CG195" s="276">
        <f t="shared" si="139"/>
        <v>1379</v>
      </c>
      <c r="CH195" s="276">
        <f t="shared" si="140"/>
        <v>1433</v>
      </c>
      <c r="CI195" s="276">
        <f t="shared" si="141"/>
        <v>1445</v>
      </c>
      <c r="CJ195" s="276">
        <f t="shared" si="142"/>
        <v>1447</v>
      </c>
      <c r="CK195" s="276">
        <f t="shared" si="181"/>
        <v>1099.6388888888889</v>
      </c>
      <c r="CL195" s="276">
        <f t="shared" si="182"/>
        <v>1135.8055555555557</v>
      </c>
      <c r="CM195" s="276">
        <f t="shared" si="183"/>
        <v>1264.0833333333333</v>
      </c>
      <c r="CN195" s="276">
        <f t="shared" si="184"/>
        <v>1433</v>
      </c>
      <c r="CO195" s="276">
        <f t="shared" si="185"/>
        <v>1445</v>
      </c>
      <c r="CP195" s="276">
        <f t="shared" si="186"/>
        <v>1447</v>
      </c>
      <c r="CQ195" s="39">
        <f t="shared" si="143"/>
        <v>1868</v>
      </c>
      <c r="CR195" s="39">
        <f t="shared" si="144"/>
        <v>1842.6666666666665</v>
      </c>
      <c r="CS195" s="277">
        <f t="shared" si="145"/>
        <v>1837.8888888888887</v>
      </c>
      <c r="CT195" s="39">
        <f t="shared" si="146"/>
        <v>1849.5185185185182</v>
      </c>
      <c r="CU195" s="39">
        <f t="shared" si="147"/>
        <v>1843.358024691358</v>
      </c>
      <c r="CV195" s="39">
        <f t="shared" si="187"/>
        <v>1843.5884773662551</v>
      </c>
      <c r="CW195" s="297">
        <f t="shared" si="148"/>
        <v>1.6987394851845303</v>
      </c>
      <c r="CX195" s="279" t="str">
        <f t="shared" si="188"/>
        <v>Pass</v>
      </c>
      <c r="CY195" s="278">
        <f t="shared" si="149"/>
        <v>1.6223434175450608</v>
      </c>
      <c r="CZ195" s="279" t="str">
        <f t="shared" si="189"/>
        <v>Pass</v>
      </c>
      <c r="DA195" s="278">
        <f t="shared" si="150"/>
        <v>1.4539301645900631</v>
      </c>
      <c r="DB195" s="292" t="str">
        <f t="shared" si="190"/>
        <v>Pass</v>
      </c>
      <c r="DC195" s="299">
        <f t="shared" si="191"/>
        <v>1.2906619110387427</v>
      </c>
      <c r="DD195" s="293" t="str">
        <f t="shared" si="192"/>
        <v>Pass</v>
      </c>
      <c r="DE195" s="299">
        <f t="shared" si="193"/>
        <v>1.2756802939040539</v>
      </c>
      <c r="DF195" s="293" t="str">
        <f t="shared" si="194"/>
        <v>Pass</v>
      </c>
      <c r="DG195" s="299">
        <f t="shared" si="195"/>
        <v>1.2740763492510401</v>
      </c>
      <c r="DH195" s="293" t="str">
        <f t="shared" si="196"/>
        <v>Pass</v>
      </c>
    </row>
    <row r="196" spans="1:112" ht="15" thickTop="1" thickBot="1">
      <c r="A196" s="38" t="s">
        <v>502</v>
      </c>
      <c r="B196" s="38" t="s">
        <v>503</v>
      </c>
      <c r="C196" s="38" t="s">
        <v>502</v>
      </c>
      <c r="D196" s="38" t="s">
        <v>119</v>
      </c>
      <c r="E196" s="38" t="str">
        <f>VLOOKUP(C196,PoliticalControl!A:K,11,FALSE)</f>
        <v>LD</v>
      </c>
      <c r="F196" s="38" t="str">
        <f>VLOOKUP(C196,UrbanRuralClassification!A:N,13,FALSE)</f>
        <v>Urban with City and Town</v>
      </c>
      <c r="G196" s="38" t="str">
        <f>VLOOKUP(C196,UrbanRuralClassification!A:N,14,FALSE)</f>
        <v>Predominantly Urban</v>
      </c>
      <c r="H196" s="258">
        <f>IF(ISBLANK((VLOOKUP($A196,'local-plan-data'!$C$1:$AD$566,27,FALSE)))=TRUE,"",VLOOKUP($A196,'local-plan-data'!$C$1:$AD$566,27,FALSE))</f>
        <v>43571</v>
      </c>
      <c r="I196" s="259">
        <f>VLOOKUP($A196,'local-plan-data'!$C$1:$AD$566,28,FALSE)</f>
        <v>148</v>
      </c>
      <c r="J196" s="260">
        <f t="shared" si="151"/>
        <v>148</v>
      </c>
      <c r="K196" s="259">
        <f t="shared" si="197"/>
        <v>148</v>
      </c>
      <c r="L196" s="259">
        <f t="shared" si="201"/>
        <v>148</v>
      </c>
      <c r="M196" s="259">
        <f t="shared" si="201"/>
        <v>148</v>
      </c>
      <c r="N196" s="259">
        <f t="shared" si="201"/>
        <v>148</v>
      </c>
      <c r="O196" s="259">
        <f t="shared" si="201"/>
        <v>148</v>
      </c>
      <c r="P196" s="259">
        <f t="shared" si="201"/>
        <v>148</v>
      </c>
      <c r="Q196" s="259">
        <f t="shared" si="201"/>
        <v>148</v>
      </c>
      <c r="R196" s="259" t="str">
        <f t="shared" si="201"/>
        <v>-</v>
      </c>
      <c r="S196" s="259">
        <f t="shared" si="198"/>
        <v>2207</v>
      </c>
      <c r="T196" s="259">
        <f t="shared" si="202"/>
        <v>1842</v>
      </c>
      <c r="U196" s="259">
        <f t="shared" si="202"/>
        <v>1476</v>
      </c>
      <c r="V196" s="259">
        <f t="shared" si="202"/>
        <v>1111</v>
      </c>
      <c r="W196" s="259">
        <f t="shared" si="202"/>
        <v>746</v>
      </c>
      <c r="X196" s="259">
        <f t="shared" si="202"/>
        <v>381</v>
      </c>
      <c r="Y196" s="259">
        <f t="shared" si="202"/>
        <v>15</v>
      </c>
      <c r="Z196" s="259">
        <f t="shared" si="202"/>
        <v>-350</v>
      </c>
      <c r="AA196" s="267">
        <f>(VLOOKUP(A196,Hshldprojections2014!$A$2:$AW$319,40, FALSE)-VLOOKUP(A196,Hshldprojections2014!$A$2:$AW$319,30, FALSE))/10</f>
        <v>115.4</v>
      </c>
      <c r="AB196" s="267">
        <f>(VLOOKUP(A196,Hshldprojections2014!$A$2:$AW$319,41, FALSE)-VLOOKUP(A196,Hshldprojections2014!$A$2:$AW$319,31, FALSE))/10</f>
        <v>122.2</v>
      </c>
      <c r="AC196" s="267">
        <f>(VLOOKUP(A196,Hshldprojections2014!$A$2:$AW$319,42, FALSE)-VLOOKUP(A196,Hshldprojections2014!$A$2:$AW$319,32, FALSE))/10</f>
        <v>129</v>
      </c>
      <c r="AD196" s="267">
        <f>IF(IndividualLATest!$J$7=2014,(VLOOKUP($A196,Hshldprojections2014!$A$2:$AY$326,43,FALSE)-VLOOKUP($A196,Hshldprojections2014!$A$2:$AY$326,33,FALSE))/10,IF(IndividualLATest!$J$7=2016,(VLOOKUP($A196,Hshldprojections2016!$A$1:$AQ$322,33,FALSE)-VLOOKUP($A196,Hshldprojections2016!$A$1:$AQ$322,23,FALSE))/10,(VLOOKUP($A196,Hshldprojections2018!$A$1:$AQ$327,33,FALSE)-VLOOKUP($A196,Hshldprojections2018!$A$1:$AQ$327,23,FALSE))/10))</f>
        <v>77.099999999999994</v>
      </c>
      <c r="AE196" s="267">
        <f>IF(IndividualLATest!$J$7=2014,(VLOOKUP($A196,Hshldprojections2014!$A$2:$AY$326,44,FALSE)-VLOOKUP($A196,Hshldprojections2014!$A$2:$AY$326,34,FALSE))/10,IF(IndividualLATest!$J$7=2016,(VLOOKUP($A196,Hshldprojections2016!$A$1:$AQ$322,34,FALSE)-VLOOKUP($A196,Hshldprojections2016!$A$1:$AQ$322,24,FALSE))/10,(VLOOKUP($A196,Hshldprojections2018!$A$1:$AQ$327,34,FALSE)-VLOOKUP($A196,Hshldprojections2018!$A$1:$AQ$327,24,FALSE))/10))</f>
        <v>82</v>
      </c>
      <c r="AF196" s="267">
        <f>IF(IndividualLATest!$J$7=2014,(VLOOKUP($A196,Hshldprojections2014!$A$2:$AY$326,45,FALSE)-VLOOKUP($A196,Hshldprojections2014!$A$2:$AY$326,35,FALSE))/10,IF(IndividualLATest!$J$7=2016,(VLOOKUP($A196,Hshldprojections2016!$A$1:$AQ$322,35,FALSE)-VLOOKUP($A196,Hshldprojections2016!$A$1:$AQ$322,25,FALSE))/10,(VLOOKUP($A196,Hshldprojections2018!$A$1:$AQ$327,35,FALSE)-VLOOKUP($A196,Hshldprojections2018!$A$1:$AQ$327,25,FALSE))/10))</f>
        <v>86.3</v>
      </c>
      <c r="AG196" s="267">
        <f>IF(IndividualLATest!$J$7=2014,(VLOOKUP($A196,Hshldprojections2014!$A$2:$AY$326,46,FALSE)-VLOOKUP($A196,Hshldprojections2014!$A$2:$AY$326,36,FALSE))/10,IF(IndividualLATest!$J$7=2016,(VLOOKUP($A196,Hshldprojections2016!$A$1:$AQ$322,36,FALSE)-VLOOKUP($A196,Hshldprojections2016!$A$1:$AQ$322,26,FALSE))/10,(VLOOKUP($A196,Hshldprojections2018!$A$1:$AQ$327,36,FALSE)-VLOOKUP($A196,Hshldprojections2018!$A$1:$AQ$327,26,FALSE))/10))</f>
        <v>89.6</v>
      </c>
      <c r="AH196" s="267">
        <f>IF(IndividualLATest!$J$7=2014,(VLOOKUP($A196,Hshldprojections2014!$A$2:$AY$326,47,FALSE)-VLOOKUP($A196,Hshldprojections2014!$A$2:$AY$326,37,FALSE))/10,IF(IndividualLATest!$J$7=2016,(VLOOKUP($A196,Hshldprojections2016!$A$1:$AQ$322,37,FALSE)-VLOOKUP($A196,Hshldprojections2016!$A$1:$AQ$322,27,FALSE))/10,(VLOOKUP($A196,Hshldprojections2018!$A$1:$AQ$327,37,FALSE)-VLOOKUP($A196,Hshldprojections2018!$A$1:$AQ$327,27,FALSE))/10))</f>
        <v>92.8</v>
      </c>
      <c r="AI196" s="268">
        <f>VLOOKUP($A196,AffordabilityRatio!$A$2:$I$321,5,FALSE)</f>
        <v>7.82</v>
      </c>
      <c r="AJ196" s="268">
        <f>VLOOKUP($A196,AffordabilityRatio!$A$2:$I$321,6,FALSE)</f>
        <v>8.16</v>
      </c>
      <c r="AK196" s="268">
        <f>VLOOKUP($A196,AffordabilityRatio!$A$2:$I$321,7,FALSE)</f>
        <v>8.89</v>
      </c>
      <c r="AL196" s="268">
        <f>IF((VLOOKUP($A196,AffordabilityRatio!$A$2:$I$321,8,FALSE))="",AK196,VLOOKUP($A196,AffordabilityRatio!$A$2:$I$321,8,FALSE))</f>
        <v>9.6300000000000008</v>
      </c>
      <c r="AM196" s="268">
        <f>IF((VLOOKUP($A196,AffordabilityRatio!$A$2:$I$321,9,FALSE))="",AL196,VLOOKUP($A196,AffordabilityRatio!$A$2:$I$321,9,FALSE))</f>
        <v>10.14</v>
      </c>
      <c r="AN196" s="268">
        <f>IF((VLOOKUP($A196,AffordabilityRatio!$A$2:$I$321,9,FALSE))="",AM196,VLOOKUP($A196,AffordabilityRatio!$A$2:$I$321,9,FALSE))</f>
        <v>10.14</v>
      </c>
      <c r="AO196" s="268">
        <f>IF((VLOOKUP($A196,AffordabilityRatio!$A$2:$I$321,9,FALSE))="",AN196,VLOOKUP($A196,AffordabilityRatio!$A$2:$I$321,9,FALSE))</f>
        <v>10.14</v>
      </c>
      <c r="AP196" s="268">
        <f>IF((VLOOKUP($A196,AffordabilityRatio!$A$2:$I$321,9,FALSE))="",AO196,VLOOKUP($A196,AffordabilityRatio!$A$2:$I$321,9,FALSE))</f>
        <v>10.14</v>
      </c>
      <c r="AQ196" s="267">
        <f t="shared" si="152"/>
        <v>143</v>
      </c>
      <c r="AR196" s="267">
        <f t="shared" si="153"/>
        <v>154</v>
      </c>
      <c r="AS196" s="267">
        <f t="shared" si="154"/>
        <v>168</v>
      </c>
      <c r="AT196" s="267">
        <f t="shared" si="155"/>
        <v>104</v>
      </c>
      <c r="AU196" s="267">
        <f t="shared" si="156"/>
        <v>113</v>
      </c>
      <c r="AV196" s="267">
        <f t="shared" si="157"/>
        <v>119</v>
      </c>
      <c r="AW196" s="267">
        <f t="shared" si="158"/>
        <v>124</v>
      </c>
      <c r="AX196" s="267">
        <f t="shared" si="159"/>
        <v>128</v>
      </c>
      <c r="AY196" s="267">
        <f t="shared" si="160"/>
        <v>143</v>
      </c>
      <c r="AZ196" s="267">
        <f t="shared" si="161"/>
        <v>154</v>
      </c>
      <c r="BA196" s="267">
        <f t="shared" si="162"/>
        <v>168</v>
      </c>
      <c r="BB196" s="267">
        <f t="shared" si="163"/>
        <v>104</v>
      </c>
      <c r="BC196" s="267">
        <f t="shared" si="164"/>
        <v>113</v>
      </c>
      <c r="BD196" s="267">
        <f t="shared" si="165"/>
        <v>119</v>
      </c>
      <c r="BE196" s="267">
        <f t="shared" si="166"/>
        <v>124</v>
      </c>
      <c r="BF196" s="267">
        <f t="shared" si="167"/>
        <v>128</v>
      </c>
      <c r="BG196" s="269">
        <f>AY196*VLOOKUP($B196,'Major Cities &amp; Towns'!$A$28:$B$345,2,FALSE)</f>
        <v>143</v>
      </c>
      <c r="BH196" s="269">
        <f>AZ196*VLOOKUP($B196,'Major Cities &amp; Towns'!$A$28:$B$345,2,FALSE)</f>
        <v>154</v>
      </c>
      <c r="BI196" s="269">
        <f>BA196*VLOOKUP($B196,'Major Cities &amp; Towns'!$A$28:$B$345,2,FALSE)</f>
        <v>168</v>
      </c>
      <c r="BJ196" s="269">
        <f>BB196*VLOOKUP($B196,'Major Cities &amp; Towns'!$A$28:$B$345,2,FALSE)</f>
        <v>104</v>
      </c>
      <c r="BK196" s="269">
        <f>BC196*VLOOKUP($B196,'Major Cities &amp; Towns'!$A$28:$B$345,2,FALSE)</f>
        <v>113</v>
      </c>
      <c r="BL196" s="269">
        <f>BD196*VLOOKUP($B196,'Major Cities &amp; Towns'!$A$28:$B$345,2,FALSE)</f>
        <v>119</v>
      </c>
      <c r="BM196" s="269">
        <f>BE196*VLOOKUP($B196,'Major Cities &amp; Towns'!$A$28:$B$345,2,FALSE)</f>
        <v>124</v>
      </c>
      <c r="BN196" s="269">
        <f>BF196*VLOOKUP($B196,'Major Cities &amp; Towns'!$A$28:$B$345,2,FALSE)</f>
        <v>128</v>
      </c>
      <c r="BO196" s="270">
        <f t="shared" si="168"/>
        <v>143</v>
      </c>
      <c r="BP196" s="270">
        <f t="shared" si="169"/>
        <v>148</v>
      </c>
      <c r="BQ196" s="270">
        <f t="shared" si="170"/>
        <v>148</v>
      </c>
      <c r="BR196" s="270">
        <f t="shared" si="171"/>
        <v>104</v>
      </c>
      <c r="BS196" s="270">
        <f t="shared" si="172"/>
        <v>113</v>
      </c>
      <c r="BT196" s="270">
        <f t="shared" si="173"/>
        <v>119</v>
      </c>
      <c r="BU196" s="270">
        <f t="shared" si="174"/>
        <v>123.99999999999999</v>
      </c>
      <c r="BV196" s="270">
        <f t="shared" si="175"/>
        <v>128</v>
      </c>
      <c r="BW196" s="39">
        <f>VLOOKUP($A196,NetAdditions!$A$2:$H$336,6,FALSE)</f>
        <v>93</v>
      </c>
      <c r="BX196" s="39">
        <f>VLOOKUP($A196,NetAdditions!$A$2:$H$336,7,FALSE)</f>
        <v>170</v>
      </c>
      <c r="BY196" s="39">
        <f>IF((VLOOKUP($C196,NetAdditions!$A$2:$H$336,8,FALSE))="",(AVERAGE(VLOOKUP($C196,NetAdditions!$A$2:$H$336,5,FALSE),VLOOKUP($C196,NetAdditions!$A$2:$H$336,6,FALSE),VLOOKUP($C196,NetAdditions!$A$2:$H$336,7,FALSE))),VLOOKUP($C196,NetAdditions!$A$2:$H$336,8,FALSE))</f>
        <v>215</v>
      </c>
      <c r="BZ196" s="39">
        <f t="shared" si="176"/>
        <v>159.33333333333334</v>
      </c>
      <c r="CA196" s="39">
        <f t="shared" si="177"/>
        <v>181.44444444444446</v>
      </c>
      <c r="CB196" s="39">
        <f t="shared" si="178"/>
        <v>185.25925925925927</v>
      </c>
      <c r="CC196" s="39">
        <f t="shared" si="179"/>
        <v>175.3456790123457</v>
      </c>
      <c r="CD196" s="39">
        <f t="shared" si="180"/>
        <v>180.68312757201647</v>
      </c>
      <c r="CE196" s="276">
        <f t="shared" si="137"/>
        <v>439</v>
      </c>
      <c r="CF196" s="276">
        <f t="shared" si="138"/>
        <v>400</v>
      </c>
      <c r="CG196" s="276">
        <f t="shared" si="139"/>
        <v>365</v>
      </c>
      <c r="CH196" s="276">
        <f t="shared" si="140"/>
        <v>336</v>
      </c>
      <c r="CI196" s="276">
        <f t="shared" si="141"/>
        <v>356</v>
      </c>
      <c r="CJ196" s="276">
        <f t="shared" si="142"/>
        <v>371</v>
      </c>
      <c r="CK196" s="276">
        <f t="shared" si="181"/>
        <v>378.02777777777777</v>
      </c>
      <c r="CL196" s="276">
        <f t="shared" si="182"/>
        <v>344.44444444444446</v>
      </c>
      <c r="CM196" s="276">
        <f t="shared" si="183"/>
        <v>334.58333333333331</v>
      </c>
      <c r="CN196" s="276">
        <f t="shared" si="184"/>
        <v>336</v>
      </c>
      <c r="CO196" s="276">
        <f t="shared" si="185"/>
        <v>356</v>
      </c>
      <c r="CP196" s="276">
        <f t="shared" si="186"/>
        <v>371</v>
      </c>
      <c r="CQ196" s="39">
        <f t="shared" si="143"/>
        <v>478</v>
      </c>
      <c r="CR196" s="39">
        <f t="shared" si="144"/>
        <v>544.33333333333337</v>
      </c>
      <c r="CS196" s="277">
        <f t="shared" si="145"/>
        <v>555.77777777777783</v>
      </c>
      <c r="CT196" s="39">
        <f t="shared" si="146"/>
        <v>526.03703703703707</v>
      </c>
      <c r="CU196" s="39">
        <f t="shared" si="147"/>
        <v>542.04938271604942</v>
      </c>
      <c r="CV196" s="39">
        <f t="shared" si="187"/>
        <v>541.28806584362144</v>
      </c>
      <c r="CW196" s="297">
        <f t="shared" si="148"/>
        <v>1.2644573444044382</v>
      </c>
      <c r="CX196" s="279" t="str">
        <f t="shared" si="188"/>
        <v>Pass</v>
      </c>
      <c r="CY196" s="278">
        <f t="shared" si="149"/>
        <v>1.5803225806451613</v>
      </c>
      <c r="CZ196" s="279" t="str">
        <f t="shared" si="189"/>
        <v>Pass</v>
      </c>
      <c r="DA196" s="278">
        <f t="shared" si="150"/>
        <v>1.6611041926110421</v>
      </c>
      <c r="DB196" s="292" t="str">
        <f t="shared" si="190"/>
        <v>Pass</v>
      </c>
      <c r="DC196" s="299">
        <f t="shared" si="191"/>
        <v>1.5655864197530864</v>
      </c>
      <c r="DD196" s="293" t="str">
        <f t="shared" si="192"/>
        <v>Pass</v>
      </c>
      <c r="DE196" s="299">
        <f t="shared" si="193"/>
        <v>1.5226106256068803</v>
      </c>
      <c r="DF196" s="293" t="str">
        <f t="shared" si="194"/>
        <v>Pass</v>
      </c>
      <c r="DG196" s="299">
        <f t="shared" si="195"/>
        <v>1.4589974820582787</v>
      </c>
      <c r="DH196" s="293" t="str">
        <f t="shared" si="196"/>
        <v>Pass</v>
      </c>
    </row>
    <row r="197" spans="1:112" ht="15" thickTop="1" thickBot="1">
      <c r="A197" s="38" t="s">
        <v>504</v>
      </c>
      <c r="B197" s="38" t="s">
        <v>505</v>
      </c>
      <c r="C197" s="38" t="s">
        <v>504</v>
      </c>
      <c r="D197" s="38" t="s">
        <v>116</v>
      </c>
      <c r="E197" s="38" t="str">
        <f>VLOOKUP(C197,PoliticalControl!A:K,11,FALSE)</f>
        <v>LAB</v>
      </c>
      <c r="F197" s="38" t="str">
        <f>VLOOKUP(C197,UrbanRuralClassification!A:N,13,FALSE)</f>
        <v>Urban with Major Conurbation</v>
      </c>
      <c r="G197" s="38" t="str">
        <f>VLOOKUP(C197,UrbanRuralClassification!A:N,14,FALSE)</f>
        <v>Predominantly Urban</v>
      </c>
      <c r="H197" s="258">
        <f>IF(ISBLANK((VLOOKUP($A197,'local-plan-data'!$C$1:$AD$566,27,FALSE)))=TRUE,"",VLOOKUP($A197,'local-plan-data'!$C$1:$AD$566,27,FALSE))</f>
        <v>40856</v>
      </c>
      <c r="I197" s="259">
        <f>VLOOKUP($A197,'local-plan-data'!$C$1:$AD$566,28,FALSE)</f>
        <v>289</v>
      </c>
      <c r="J197" s="260">
        <f t="shared" si="151"/>
        <v>289</v>
      </c>
      <c r="K197" s="259" t="str">
        <f t="shared" si="197"/>
        <v>-</v>
      </c>
      <c r="L197" s="259" t="str">
        <f t="shared" si="201"/>
        <v>-</v>
      </c>
      <c r="M197" s="259" t="str">
        <f t="shared" si="201"/>
        <v>-</v>
      </c>
      <c r="N197" s="259" t="str">
        <f t="shared" si="201"/>
        <v>-</v>
      </c>
      <c r="O197" s="259" t="str">
        <f t="shared" si="201"/>
        <v>-</v>
      </c>
      <c r="P197" s="259" t="str">
        <f t="shared" si="201"/>
        <v>-</v>
      </c>
      <c r="Q197" s="259" t="str">
        <f t="shared" si="201"/>
        <v>-</v>
      </c>
      <c r="R197" s="259" t="str">
        <f t="shared" si="201"/>
        <v>-</v>
      </c>
      <c r="S197" s="259">
        <f t="shared" si="198"/>
        <v>-508</v>
      </c>
      <c r="T197" s="259">
        <f t="shared" si="202"/>
        <v>-873</v>
      </c>
      <c r="U197" s="259">
        <f t="shared" si="202"/>
        <v>-1239</v>
      </c>
      <c r="V197" s="259">
        <f t="shared" si="202"/>
        <v>-1604</v>
      </c>
      <c r="W197" s="259">
        <f t="shared" si="202"/>
        <v>-1969</v>
      </c>
      <c r="X197" s="259">
        <f t="shared" si="202"/>
        <v>-2334</v>
      </c>
      <c r="Y197" s="259">
        <f t="shared" si="202"/>
        <v>-2700</v>
      </c>
      <c r="Z197" s="259">
        <f t="shared" si="202"/>
        <v>-3065</v>
      </c>
      <c r="AA197" s="267">
        <f>(VLOOKUP(A197,Hshldprojections2014!$A$2:$AW$319,40, FALSE)-VLOOKUP(A197,Hshldprojections2014!$A$2:$AW$319,30, FALSE))/10</f>
        <v>653.20000000000005</v>
      </c>
      <c r="AB197" s="267">
        <f>(VLOOKUP(A197,Hshldprojections2014!$A$2:$AW$319,41, FALSE)-VLOOKUP(A197,Hshldprojections2014!$A$2:$AW$319,31, FALSE))/10</f>
        <v>646.4</v>
      </c>
      <c r="AC197" s="267">
        <f>(VLOOKUP(A197,Hshldprojections2014!$A$2:$AW$319,42, FALSE)-VLOOKUP(A197,Hshldprojections2014!$A$2:$AW$319,32, FALSE))/10</f>
        <v>639</v>
      </c>
      <c r="AD197" s="267">
        <f>IF(IndividualLATest!$J$7=2014,(VLOOKUP($A197,Hshldprojections2014!$A$2:$AY$326,43,FALSE)-VLOOKUP($A197,Hshldprojections2014!$A$2:$AY$326,33,FALSE))/10,IF(IndividualLATest!$J$7=2016,(VLOOKUP($A197,Hshldprojections2016!$A$1:$AQ$322,33,FALSE)-VLOOKUP($A197,Hshldprojections2016!$A$1:$AQ$322,23,FALSE))/10,(VLOOKUP($A197,Hshldprojections2018!$A$1:$AQ$327,33,FALSE)-VLOOKUP($A197,Hshldprojections2018!$A$1:$AQ$327,23,FALSE))/10))</f>
        <v>693.4</v>
      </c>
      <c r="AE197" s="267">
        <f>IF(IndividualLATest!$J$7=2014,(VLOOKUP($A197,Hshldprojections2014!$A$2:$AY$326,44,FALSE)-VLOOKUP($A197,Hshldprojections2014!$A$2:$AY$326,34,FALSE))/10,IF(IndividualLATest!$J$7=2016,(VLOOKUP($A197,Hshldprojections2016!$A$1:$AQ$322,34,FALSE)-VLOOKUP($A197,Hshldprojections2016!$A$1:$AQ$322,24,FALSE))/10,(VLOOKUP($A197,Hshldprojections2018!$A$1:$AQ$327,34,FALSE)-VLOOKUP($A197,Hshldprojections2018!$A$1:$AQ$327,24,FALSE))/10))</f>
        <v>678.3</v>
      </c>
      <c r="AF197" s="267">
        <f>IF(IndividualLATest!$J$7=2014,(VLOOKUP($A197,Hshldprojections2014!$A$2:$AY$326,45,FALSE)-VLOOKUP($A197,Hshldprojections2014!$A$2:$AY$326,35,FALSE))/10,IF(IndividualLATest!$J$7=2016,(VLOOKUP($A197,Hshldprojections2016!$A$1:$AQ$322,35,FALSE)-VLOOKUP($A197,Hshldprojections2016!$A$1:$AQ$322,25,FALSE))/10,(VLOOKUP($A197,Hshldprojections2018!$A$1:$AQ$327,35,FALSE)-VLOOKUP($A197,Hshldprojections2018!$A$1:$AQ$327,25,FALSE))/10))</f>
        <v>667.1</v>
      </c>
      <c r="AG197" s="267">
        <f>IF(IndividualLATest!$J$7=2014,(VLOOKUP($A197,Hshldprojections2014!$A$2:$AY$326,46,FALSE)-VLOOKUP($A197,Hshldprojections2014!$A$2:$AY$326,36,FALSE))/10,IF(IndividualLATest!$J$7=2016,(VLOOKUP($A197,Hshldprojections2016!$A$1:$AQ$322,36,FALSE)-VLOOKUP($A197,Hshldprojections2016!$A$1:$AQ$322,26,FALSE))/10,(VLOOKUP($A197,Hshldprojections2018!$A$1:$AQ$327,36,FALSE)-VLOOKUP($A197,Hshldprojections2018!$A$1:$AQ$327,26,FALSE))/10))</f>
        <v>660.7</v>
      </c>
      <c r="AH197" s="267">
        <f>IF(IndividualLATest!$J$7=2014,(VLOOKUP($A197,Hshldprojections2014!$A$2:$AY$326,47,FALSE)-VLOOKUP($A197,Hshldprojections2014!$A$2:$AY$326,37,FALSE))/10,IF(IndividualLATest!$J$7=2016,(VLOOKUP($A197,Hshldprojections2016!$A$1:$AQ$322,37,FALSE)-VLOOKUP($A197,Hshldprojections2016!$A$1:$AQ$322,27,FALSE))/10,(VLOOKUP($A197,Hshldprojections2018!$A$1:$AQ$327,37,FALSE)-VLOOKUP($A197,Hshldprojections2018!$A$1:$AQ$327,27,FALSE))/10))</f>
        <v>658.2</v>
      </c>
      <c r="AI197" s="268">
        <f>VLOOKUP($A197,AffordabilityRatio!$A$2:$I$321,5,FALSE)</f>
        <v>5.59</v>
      </c>
      <c r="AJ197" s="268">
        <f>VLOOKUP($A197,AffordabilityRatio!$A$2:$I$321,6,FALSE)</f>
        <v>5.1100000000000003</v>
      </c>
      <c r="AK197" s="268">
        <f>VLOOKUP($A197,AffordabilityRatio!$A$2:$I$321,7,FALSE)</f>
        <v>5.36</v>
      </c>
      <c r="AL197" s="268">
        <f>IF((VLOOKUP($A197,AffordabilityRatio!$A$2:$I$321,8,FALSE))="",AK197,VLOOKUP($A197,AffordabilityRatio!$A$2:$I$321,8,FALSE))</f>
        <v>5.07</v>
      </c>
      <c r="AM197" s="268">
        <f>IF((VLOOKUP($A197,AffordabilityRatio!$A$2:$I$321,9,FALSE))="",AL197,VLOOKUP($A197,AffordabilityRatio!$A$2:$I$321,9,FALSE))</f>
        <v>5.99</v>
      </c>
      <c r="AN197" s="268">
        <f>IF((VLOOKUP($A197,AffordabilityRatio!$A$2:$I$321,9,FALSE))="",AM197,VLOOKUP($A197,AffordabilityRatio!$A$2:$I$321,9,FALSE))</f>
        <v>5.99</v>
      </c>
      <c r="AO197" s="268">
        <f>IF((VLOOKUP($A197,AffordabilityRatio!$A$2:$I$321,9,FALSE))="",AN197,VLOOKUP($A197,AffordabilityRatio!$A$2:$I$321,9,FALSE))</f>
        <v>5.99</v>
      </c>
      <c r="AP197" s="268">
        <f>IF((VLOOKUP($A197,AffordabilityRatio!$A$2:$I$321,9,FALSE))="",AO197,VLOOKUP($A197,AffordabilityRatio!$A$2:$I$321,9,FALSE))</f>
        <v>5.99</v>
      </c>
      <c r="AQ197" s="267">
        <f t="shared" si="152"/>
        <v>718</v>
      </c>
      <c r="AR197" s="267">
        <f t="shared" si="153"/>
        <v>691</v>
      </c>
      <c r="AS197" s="267">
        <f t="shared" si="154"/>
        <v>693</v>
      </c>
      <c r="AT197" s="267">
        <f t="shared" si="155"/>
        <v>740</v>
      </c>
      <c r="AU197" s="267">
        <f t="shared" si="156"/>
        <v>763</v>
      </c>
      <c r="AV197" s="267">
        <f t="shared" si="157"/>
        <v>750</v>
      </c>
      <c r="AW197" s="267">
        <f t="shared" si="158"/>
        <v>743</v>
      </c>
      <c r="AX197" s="267">
        <f t="shared" si="159"/>
        <v>740</v>
      </c>
      <c r="AY197" s="267">
        <f t="shared" si="160"/>
        <v>718</v>
      </c>
      <c r="AZ197" s="267">
        <f t="shared" si="161"/>
        <v>691</v>
      </c>
      <c r="BA197" s="267">
        <f t="shared" si="162"/>
        <v>693</v>
      </c>
      <c r="BB197" s="267">
        <f t="shared" si="163"/>
        <v>740</v>
      </c>
      <c r="BC197" s="267">
        <f t="shared" si="164"/>
        <v>763</v>
      </c>
      <c r="BD197" s="267">
        <f t="shared" si="165"/>
        <v>750</v>
      </c>
      <c r="BE197" s="267">
        <f t="shared" si="166"/>
        <v>743</v>
      </c>
      <c r="BF197" s="267">
        <f t="shared" si="167"/>
        <v>740</v>
      </c>
      <c r="BG197" s="269">
        <f>AY197*VLOOKUP($B197,'Major Cities &amp; Towns'!$A$28:$B$345,2,FALSE)</f>
        <v>718</v>
      </c>
      <c r="BH197" s="269">
        <f>AZ197*VLOOKUP($B197,'Major Cities &amp; Towns'!$A$28:$B$345,2,FALSE)</f>
        <v>691</v>
      </c>
      <c r="BI197" s="269">
        <f>BA197*VLOOKUP($B197,'Major Cities &amp; Towns'!$A$28:$B$345,2,FALSE)</f>
        <v>693</v>
      </c>
      <c r="BJ197" s="269">
        <f>BB197*VLOOKUP($B197,'Major Cities &amp; Towns'!$A$28:$B$345,2,FALSE)</f>
        <v>740</v>
      </c>
      <c r="BK197" s="269">
        <f>BC197*VLOOKUP($B197,'Major Cities &amp; Towns'!$A$28:$B$345,2,FALSE)</f>
        <v>763</v>
      </c>
      <c r="BL197" s="269">
        <f>BD197*VLOOKUP($B197,'Major Cities &amp; Towns'!$A$28:$B$345,2,FALSE)</f>
        <v>750</v>
      </c>
      <c r="BM197" s="269">
        <f>BE197*VLOOKUP($B197,'Major Cities &amp; Towns'!$A$28:$B$345,2,FALSE)</f>
        <v>743</v>
      </c>
      <c r="BN197" s="269">
        <f>BF197*VLOOKUP($B197,'Major Cities &amp; Towns'!$A$28:$B$345,2,FALSE)</f>
        <v>740</v>
      </c>
      <c r="BO197" s="270">
        <f t="shared" si="168"/>
        <v>718</v>
      </c>
      <c r="BP197" s="270">
        <f t="shared" si="169"/>
        <v>691</v>
      </c>
      <c r="BQ197" s="270">
        <f t="shared" si="170"/>
        <v>693</v>
      </c>
      <c r="BR197" s="270">
        <f t="shared" si="171"/>
        <v>740</v>
      </c>
      <c r="BS197" s="270">
        <f t="shared" si="172"/>
        <v>763</v>
      </c>
      <c r="BT197" s="270">
        <f t="shared" si="173"/>
        <v>750</v>
      </c>
      <c r="BU197" s="270">
        <f t="shared" si="174"/>
        <v>743</v>
      </c>
      <c r="BV197" s="270">
        <f t="shared" si="175"/>
        <v>740</v>
      </c>
      <c r="BW197" s="39">
        <f>VLOOKUP($A197,NetAdditions!$A$2:$H$336,6,FALSE)</f>
        <v>529</v>
      </c>
      <c r="BX197" s="39">
        <f>VLOOKUP($A197,NetAdditions!$A$2:$H$336,7,FALSE)</f>
        <v>728</v>
      </c>
      <c r="BY197" s="39">
        <f>IF((VLOOKUP($C197,NetAdditions!$A$2:$H$336,8,FALSE))="",(AVERAGE(VLOOKUP($C197,NetAdditions!$A$2:$H$336,5,FALSE),VLOOKUP($C197,NetAdditions!$A$2:$H$336,6,FALSE),VLOOKUP($C197,NetAdditions!$A$2:$H$336,7,FALSE))),VLOOKUP($C197,NetAdditions!$A$2:$H$336,8,FALSE))</f>
        <v>380</v>
      </c>
      <c r="BZ197" s="39">
        <f t="shared" si="176"/>
        <v>545.66666666666663</v>
      </c>
      <c r="CA197" s="39">
        <f t="shared" si="177"/>
        <v>551.22222222222217</v>
      </c>
      <c r="CB197" s="39">
        <f t="shared" si="178"/>
        <v>492.29629629629625</v>
      </c>
      <c r="CC197" s="39">
        <f t="shared" si="179"/>
        <v>529.72839506172829</v>
      </c>
      <c r="CD197" s="39">
        <f t="shared" si="180"/>
        <v>524.41563786008226</v>
      </c>
      <c r="CE197" s="276">
        <f t="shared" ref="CE197:CE260" si="203">SUM(BO197:BQ197)</f>
        <v>2102</v>
      </c>
      <c r="CF197" s="276">
        <f t="shared" ref="CF197:CF260" si="204">SUM(BP197:BR197)</f>
        <v>2124</v>
      </c>
      <c r="CG197" s="276">
        <f t="shared" ref="CG197:CG260" si="205">SUM(BQ197:BS197)</f>
        <v>2196</v>
      </c>
      <c r="CH197" s="276">
        <f t="shared" ref="CH197:CH260" si="206">SUM(BR197:BT197)</f>
        <v>2253</v>
      </c>
      <c r="CI197" s="276">
        <f t="shared" ref="CI197:CI260" si="207">SUM(BS197:BU197)</f>
        <v>2256</v>
      </c>
      <c r="CJ197" s="276">
        <f t="shared" ref="CJ197:CJ260" si="208">SUM(BT197:BV197)</f>
        <v>2233</v>
      </c>
      <c r="CK197" s="276">
        <f t="shared" si="181"/>
        <v>1810.0555555555557</v>
      </c>
      <c r="CL197" s="276">
        <f t="shared" si="182"/>
        <v>1829</v>
      </c>
      <c r="CM197" s="276">
        <f t="shared" si="183"/>
        <v>2013</v>
      </c>
      <c r="CN197" s="276">
        <f t="shared" si="184"/>
        <v>2253</v>
      </c>
      <c r="CO197" s="276">
        <f t="shared" si="185"/>
        <v>2256</v>
      </c>
      <c r="CP197" s="276">
        <f t="shared" si="186"/>
        <v>2233</v>
      </c>
      <c r="CQ197" s="39">
        <f t="shared" ref="CQ197:CQ260" si="209">SUM(BW197:BY197)</f>
        <v>1637</v>
      </c>
      <c r="CR197" s="39">
        <f t="shared" ref="CR197:CR260" si="210">SUM(BX197:BZ197)</f>
        <v>1653.6666666666665</v>
      </c>
      <c r="CS197" s="277">
        <f t="shared" ref="CS197:CS260" si="211">SUM(BY197:CA197)</f>
        <v>1476.8888888888887</v>
      </c>
      <c r="CT197" s="39">
        <f t="shared" ref="CT197:CT260" si="212">SUM(BZ197:CB197)</f>
        <v>1589.185185185185</v>
      </c>
      <c r="CU197" s="39">
        <f t="shared" ref="CU197:CU260" si="213">SUM(CA197:CC197)</f>
        <v>1573.2469135802467</v>
      </c>
      <c r="CV197" s="39">
        <f t="shared" si="187"/>
        <v>1546.4403292181069</v>
      </c>
      <c r="CW197" s="297">
        <f t="shared" ref="CW197:CW260" si="214">IFERROR(CQ197/CK197,"-")</f>
        <v>0.90439213038273836</v>
      </c>
      <c r="CX197" s="279" t="str">
        <f t="shared" si="188"/>
        <v>Action Plan</v>
      </c>
      <c r="CY197" s="278">
        <f t="shared" ref="CY197:CY260" si="215">IFERROR(CR197/CL197,"-")</f>
        <v>0.90413705121195542</v>
      </c>
      <c r="CZ197" s="279" t="str">
        <f t="shared" si="189"/>
        <v>Action Plan</v>
      </c>
      <c r="DA197" s="278">
        <f t="shared" ref="DA197:DA260" si="216">IFERROR(CS197/CM197,"-")</f>
        <v>0.73367555334768442</v>
      </c>
      <c r="DB197" s="292" t="str">
        <f t="shared" si="190"/>
        <v>Presumption</v>
      </c>
      <c r="DC197" s="299">
        <f t="shared" si="191"/>
        <v>0.70536404136049047</v>
      </c>
      <c r="DD197" s="293" t="str">
        <f t="shared" si="192"/>
        <v>Presumption</v>
      </c>
      <c r="DE197" s="299">
        <f t="shared" si="193"/>
        <v>0.69736122055861993</v>
      </c>
      <c r="DF197" s="293" t="str">
        <f t="shared" si="194"/>
        <v>Presumption</v>
      </c>
      <c r="DG197" s="299">
        <f t="shared" si="195"/>
        <v>0.69253933238607557</v>
      </c>
      <c r="DH197" s="293" t="str">
        <f t="shared" si="196"/>
        <v>Presumption</v>
      </c>
    </row>
    <row r="198" spans="1:112" ht="15" thickTop="1" thickBot="1">
      <c r="A198" s="38" t="s">
        <v>506</v>
      </c>
      <c r="B198" s="38" t="s">
        <v>507</v>
      </c>
      <c r="C198" s="38" t="s">
        <v>506</v>
      </c>
      <c r="D198" s="38" t="s">
        <v>113</v>
      </c>
      <c r="E198" s="38" t="str">
        <f>VLOOKUP(C198,PoliticalControl!A:K,11,FALSE)</f>
        <v>LAB</v>
      </c>
      <c r="F198" s="38" t="str">
        <f>VLOOKUP(C198,UrbanRuralClassification!A:N,13,FALSE)</f>
        <v>Urban with City and Town</v>
      </c>
      <c r="G198" s="38" t="str">
        <f>VLOOKUP(C198,UrbanRuralClassification!A:N,14,FALSE)</f>
        <v>Predominantly Urban</v>
      </c>
      <c r="H198" s="258">
        <f>IF(ISBLANK((VLOOKUP($A198,'local-plan-data'!$C$1:$AD$566,27,FALSE)))=TRUE,"",VLOOKUP($A198,'local-plan-data'!$C$1:$AD$566,27,FALSE))</f>
        <v>43990</v>
      </c>
      <c r="I198" s="259">
        <f>VLOOKUP($A198,'local-plan-data'!$C$1:$AD$566,28,FALSE)</f>
        <v>544.20000000000005</v>
      </c>
      <c r="J198" s="260">
        <f t="shared" ref="J198:J261" si="217">IFERROR(IF(ISNUMBER(I198),I198,VALUE(LEFT(I198,FIND("-",I198)-1))),"-")</f>
        <v>544.20000000000005</v>
      </c>
      <c r="K198" s="259">
        <f t="shared" si="197"/>
        <v>544.20000000000005</v>
      </c>
      <c r="L198" s="259">
        <f t="shared" si="201"/>
        <v>544.20000000000005</v>
      </c>
      <c r="M198" s="259">
        <f t="shared" si="201"/>
        <v>544.20000000000005</v>
      </c>
      <c r="N198" s="259">
        <f t="shared" si="201"/>
        <v>544.20000000000005</v>
      </c>
      <c r="O198" s="259">
        <f t="shared" si="201"/>
        <v>544.20000000000005</v>
      </c>
      <c r="P198" s="259">
        <f t="shared" si="201"/>
        <v>544.20000000000005</v>
      </c>
      <c r="Q198" s="259">
        <f t="shared" si="201"/>
        <v>544.20000000000005</v>
      </c>
      <c r="R198" s="259">
        <f t="shared" si="201"/>
        <v>544.20000000000005</v>
      </c>
      <c r="S198" s="259">
        <f t="shared" si="198"/>
        <v>2625</v>
      </c>
      <c r="T198" s="259">
        <f t="shared" si="202"/>
        <v>2260</v>
      </c>
      <c r="U198" s="259">
        <f t="shared" si="202"/>
        <v>1894</v>
      </c>
      <c r="V198" s="259">
        <f t="shared" si="202"/>
        <v>1529</v>
      </c>
      <c r="W198" s="259">
        <f t="shared" si="202"/>
        <v>1164</v>
      </c>
      <c r="X198" s="259">
        <f t="shared" si="202"/>
        <v>799</v>
      </c>
      <c r="Y198" s="259">
        <f t="shared" si="202"/>
        <v>433</v>
      </c>
      <c r="Z198" s="259">
        <f t="shared" si="202"/>
        <v>68</v>
      </c>
      <c r="AA198" s="267">
        <f>(VLOOKUP(A198,Hshldprojections2014!$A$2:$AW$319,40, FALSE)-VLOOKUP(A198,Hshldprojections2014!$A$2:$AW$319,30, FALSE))/10</f>
        <v>530.6</v>
      </c>
      <c r="AB198" s="267">
        <f>(VLOOKUP(A198,Hshldprojections2014!$A$2:$AW$319,41, FALSE)-VLOOKUP(A198,Hshldprojections2014!$A$2:$AW$319,31, FALSE))/10</f>
        <v>534.79999999999995</v>
      </c>
      <c r="AC198" s="267">
        <f>(VLOOKUP(A198,Hshldprojections2014!$A$2:$AW$319,42, FALSE)-VLOOKUP(A198,Hshldprojections2014!$A$2:$AW$319,32, FALSE))/10</f>
        <v>542.5</v>
      </c>
      <c r="AD198" s="267">
        <f>IF(IndividualLATest!$J$7=2014,(VLOOKUP($A198,Hshldprojections2014!$A$2:$AY$326,43,FALSE)-VLOOKUP($A198,Hshldprojections2014!$A$2:$AY$326,33,FALSE))/10,IF(IndividualLATest!$J$7=2016,(VLOOKUP($A198,Hshldprojections2016!$A$1:$AQ$322,33,FALSE)-VLOOKUP($A198,Hshldprojections2016!$A$1:$AQ$322,23,FALSE))/10,(VLOOKUP($A198,Hshldprojections2018!$A$1:$AQ$327,33,FALSE)-VLOOKUP($A198,Hshldprojections2018!$A$1:$AQ$327,23,FALSE))/10))</f>
        <v>-73.400000000000006</v>
      </c>
      <c r="AE198" s="267">
        <f>IF(IndividualLATest!$J$7=2014,(VLOOKUP($A198,Hshldprojections2014!$A$2:$AY$326,44,FALSE)-VLOOKUP($A198,Hshldprojections2014!$A$2:$AY$326,34,FALSE))/10,IF(IndividualLATest!$J$7=2016,(VLOOKUP($A198,Hshldprojections2016!$A$1:$AQ$322,34,FALSE)-VLOOKUP($A198,Hshldprojections2016!$A$1:$AQ$322,24,FALSE))/10,(VLOOKUP($A198,Hshldprojections2018!$A$1:$AQ$327,34,FALSE)-VLOOKUP($A198,Hshldprojections2018!$A$1:$AQ$327,24,FALSE))/10))</f>
        <v>-35.6</v>
      </c>
      <c r="AF198" s="267">
        <f>IF(IndividualLATest!$J$7=2014,(VLOOKUP($A198,Hshldprojections2014!$A$2:$AY$326,45,FALSE)-VLOOKUP($A198,Hshldprojections2014!$A$2:$AY$326,35,FALSE))/10,IF(IndividualLATest!$J$7=2016,(VLOOKUP($A198,Hshldprojections2016!$A$1:$AQ$322,35,FALSE)-VLOOKUP($A198,Hshldprojections2016!$A$1:$AQ$322,25,FALSE))/10,(VLOOKUP($A198,Hshldprojections2018!$A$1:$AQ$327,35,FALSE)-VLOOKUP($A198,Hshldprojections2018!$A$1:$AQ$327,25,FALSE))/10))</f>
        <v>-8.3000000000000007</v>
      </c>
      <c r="AG198" s="267">
        <f>IF(IndividualLATest!$J$7=2014,(VLOOKUP($A198,Hshldprojections2014!$A$2:$AY$326,46,FALSE)-VLOOKUP($A198,Hshldprojections2014!$A$2:$AY$326,36,FALSE))/10,IF(IndividualLATest!$J$7=2016,(VLOOKUP($A198,Hshldprojections2016!$A$1:$AQ$322,36,FALSE)-VLOOKUP($A198,Hshldprojections2016!$A$1:$AQ$322,26,FALSE))/10,(VLOOKUP($A198,Hshldprojections2018!$A$1:$AQ$327,36,FALSE)-VLOOKUP($A198,Hshldprojections2018!$A$1:$AQ$327,26,FALSE))/10))</f>
        <v>11.2</v>
      </c>
      <c r="AH198" s="267">
        <f>IF(IndividualLATest!$J$7=2014,(VLOOKUP($A198,Hshldprojections2014!$A$2:$AY$326,47,FALSE)-VLOOKUP($A198,Hshldprojections2014!$A$2:$AY$326,37,FALSE))/10,IF(IndividualLATest!$J$7=2016,(VLOOKUP($A198,Hshldprojections2016!$A$1:$AQ$322,37,FALSE)-VLOOKUP($A198,Hshldprojections2016!$A$1:$AQ$322,27,FALSE))/10,(VLOOKUP($A198,Hshldprojections2018!$A$1:$AQ$327,37,FALSE)-VLOOKUP($A198,Hshldprojections2018!$A$1:$AQ$327,27,FALSE))/10))</f>
        <v>26</v>
      </c>
      <c r="AI198" s="268">
        <f>VLOOKUP($A198,AffordabilityRatio!$A$2:$I$321,5,FALSE)</f>
        <v>12.17</v>
      </c>
      <c r="AJ198" s="268">
        <f>VLOOKUP($A198,AffordabilityRatio!$A$2:$I$321,6,FALSE)</f>
        <v>11.08</v>
      </c>
      <c r="AK198" s="268">
        <f>VLOOKUP($A198,AffordabilityRatio!$A$2:$I$321,7,FALSE)</f>
        <v>11.31</v>
      </c>
      <c r="AL198" s="268">
        <f>IF((VLOOKUP($A198,AffordabilityRatio!$A$2:$I$321,8,FALSE))="",AK198,VLOOKUP($A198,AffordabilityRatio!$A$2:$I$321,8,FALSE))</f>
        <v>11.19</v>
      </c>
      <c r="AM198" s="268">
        <f>IF((VLOOKUP($A198,AffordabilityRatio!$A$2:$I$321,9,FALSE))="",AL198,VLOOKUP($A198,AffordabilityRatio!$A$2:$I$321,9,FALSE))</f>
        <v>12.05</v>
      </c>
      <c r="AN198" s="268">
        <f>IF((VLOOKUP($A198,AffordabilityRatio!$A$2:$I$321,9,FALSE))="",AM198,VLOOKUP($A198,AffordabilityRatio!$A$2:$I$321,9,FALSE))</f>
        <v>12.05</v>
      </c>
      <c r="AO198" s="268">
        <f>IF((VLOOKUP($A198,AffordabilityRatio!$A$2:$I$321,9,FALSE))="",AN198,VLOOKUP($A198,AffordabilityRatio!$A$2:$I$321,9,FALSE))</f>
        <v>12.05</v>
      </c>
      <c r="AP198" s="268">
        <f>IF((VLOOKUP($A198,AffordabilityRatio!$A$2:$I$321,9,FALSE))="",AO198,VLOOKUP($A198,AffordabilityRatio!$A$2:$I$321,9,FALSE))</f>
        <v>12.05</v>
      </c>
      <c r="AQ198" s="267">
        <f t="shared" ref="AQ198:AQ261" si="218">IF(AA198&lt;0,0,IF(AI198&gt;4,ROUND((1+((AI198-4)/4*0.25))*AA198,0),AA198))</f>
        <v>802</v>
      </c>
      <c r="AR198" s="267">
        <f t="shared" ref="AR198:AR261" si="219">IF(AB198&lt;0,0,IF(AJ198&gt;4,ROUND((1+((AJ198-4)/4*0.25))*AB198,0),AB198))</f>
        <v>771</v>
      </c>
      <c r="AS198" s="267">
        <f t="shared" ref="AS198:AS261" si="220">IF(AC198&lt;0,0,IF(AK198&gt;4,ROUND((1+((AK198-4)/4*0.25))*AC198,0),AC198))</f>
        <v>790</v>
      </c>
      <c r="AT198" s="267">
        <f t="shared" ref="AT198:AT261" si="221">IF(AD198&lt;0,0,IF(AL198&gt;4,ROUND((1+((AL198-4)/4*0.25))*AD198,0),AD198))</f>
        <v>0</v>
      </c>
      <c r="AU198" s="267">
        <f t="shared" ref="AU198:AU261" si="222">IF(AE198&lt;0,0,IF(AM198&gt;4,ROUND((1+((AM198-4)/4*0.25))*AE198,0),AE198))</f>
        <v>0</v>
      </c>
      <c r="AV198" s="267">
        <f t="shared" ref="AV198:AV261" si="223">IF(AF198&lt;0,0,IF(AN198&gt;4,ROUND((1+((AN198-4)/4*0.25))*AF198,0),AF198))</f>
        <v>0</v>
      </c>
      <c r="AW198" s="267">
        <f t="shared" ref="AW198:AW261" si="224">IF(AG198&lt;0,0,IF(AO198&gt;4,ROUND((1+((AO198-4)/4*0.25))*AG198,0),AG198))</f>
        <v>17</v>
      </c>
      <c r="AX198" s="267">
        <f t="shared" ref="AX198:AX261" si="225">IF(AH198&lt;0,0,IF(AP198&gt;4,ROUND((1+((AP198-4)/4*0.25))*AH198,0),AH198))</f>
        <v>39</v>
      </c>
      <c r="AY198" s="267">
        <f t="shared" ref="AY198:AY261" si="226">IF(AA198&lt;0,0,IF(K198="-",MIN((MAX(J198, AA198)+((MAX(J198, AA198))*0.4)),AQ198),MIN(K198+(K198*0.4),AQ198)))</f>
        <v>761.88000000000011</v>
      </c>
      <c r="AZ198" s="267">
        <f t="shared" ref="AZ198:AZ261" si="227">IF(AB198&lt;0,0,IF(L198="-",MIN((MAX(J198, AB198)+((MAX(J198, AB198))*0.4)),AR198),MIN(L198+(L198*0.4),AR198)))</f>
        <v>761.88000000000011</v>
      </c>
      <c r="BA198" s="267">
        <f t="shared" ref="BA198:BA261" si="228">IF(AC198&lt;0,0,IF(M198="-",MIN((MAX(J198, AC198)+((MAX(J198, AC198))*0.4)),AS198),MIN(M198+(M198*0.4),AS198)))</f>
        <v>761.88000000000011</v>
      </c>
      <c r="BB198" s="267">
        <f t="shared" ref="BB198:BB261" si="229">IF(AD198&lt;0,0,IF(N198="-",MIN((MAX(J198, AD198)+((MAX(J198, AD198))*0.4)),AT198),MIN(N198+(N198*0.4),AT198)))</f>
        <v>0</v>
      </c>
      <c r="BC198" s="267">
        <f t="shared" ref="BC198:BC261" si="230">IF(AE198&lt;0,0,IF(O198="-",MIN((MAX(J198, AE198)+((MAX(J198, AE198))*0.4)),AU198),MIN(O198+(O198*0.4),AU198)))</f>
        <v>0</v>
      </c>
      <c r="BD198" s="267">
        <f t="shared" ref="BD198:BD261" si="231">IF(AF198&lt;0,0,IF(P198="-",MIN((MAX(J198, AF198)+((MAX(J198, AF198))*0.4)),AV198),MIN(P198+(P198*0.4),AV198)))</f>
        <v>0</v>
      </c>
      <c r="BE198" s="267">
        <f t="shared" ref="BE198:BE261" si="232">IF(AG198&lt;0,0,IF(Q198="-",MIN((MAX(J198, AG198)+((MAX(J198, AG198))*0.4)),AW198),MIN(Q198+(Q198*0.4),AW198)))</f>
        <v>17</v>
      </c>
      <c r="BF198" s="267">
        <f t="shared" ref="BF198:BF261" si="233">IF(AH198&lt;0,0,IF(R198="-",MIN((MAX(J198, AH198)+((MAX(J198, AH198))*0.4)),AX198),MIN(R198+(R198*0.4),AX198)))</f>
        <v>39</v>
      </c>
      <c r="BG198" s="269">
        <f>AY198*VLOOKUP($B198,'Major Cities &amp; Towns'!$A$28:$B$345,2,FALSE)</f>
        <v>761.88000000000011</v>
      </c>
      <c r="BH198" s="269">
        <f>AZ198*VLOOKUP($B198,'Major Cities &amp; Towns'!$A$28:$B$345,2,FALSE)</f>
        <v>761.88000000000011</v>
      </c>
      <c r="BI198" s="269">
        <f>BA198*VLOOKUP($B198,'Major Cities &amp; Towns'!$A$28:$B$345,2,FALSE)</f>
        <v>761.88000000000011</v>
      </c>
      <c r="BJ198" s="269">
        <f>BB198*VLOOKUP($B198,'Major Cities &amp; Towns'!$A$28:$B$345,2,FALSE)</f>
        <v>0</v>
      </c>
      <c r="BK198" s="269">
        <f>BC198*VLOOKUP($B198,'Major Cities &amp; Towns'!$A$28:$B$345,2,FALSE)</f>
        <v>0</v>
      </c>
      <c r="BL198" s="269">
        <f>BD198*VLOOKUP($B198,'Major Cities &amp; Towns'!$A$28:$B$345,2,FALSE)</f>
        <v>0</v>
      </c>
      <c r="BM198" s="269">
        <f>BE198*VLOOKUP($B198,'Major Cities &amp; Towns'!$A$28:$B$345,2,FALSE)</f>
        <v>17</v>
      </c>
      <c r="BN198" s="269">
        <f>BF198*VLOOKUP($B198,'Major Cities &amp; Towns'!$A$28:$B$345,2,FALSE)</f>
        <v>39</v>
      </c>
      <c r="BO198" s="270">
        <f t="shared" ref="BO198:BO261" si="234">IFERROR(IF(AND(S198&lt;365,S198&gt;0),SUM(((S198/365)*(MIN(K198,BG198)))+(((365-S198)/365)*AQ198)),(MIN(K198,AQ198))),AQ198)</f>
        <v>544.20000000000005</v>
      </c>
      <c r="BP198" s="270">
        <f t="shared" ref="BP198:BP261" si="235">IFERROR(IF(AND(T198&lt;365,T198&gt;0),SUM(((T198/365)*(MIN(L198,BH198)))+(((365-T198)/365)*AR198)),(MIN(L198,AR198))),AR198)</f>
        <v>544.20000000000005</v>
      </c>
      <c r="BQ198" s="270">
        <f t="shared" ref="BQ198:BQ261" si="236">IFERROR(IF(AND(U198&lt;365,U198&gt;0),SUM(((U198/365)*(MIN(M198,BI198)))+(((365-U198)/365)*AS198)),(MIN(M198,AS198))),AS198)</f>
        <v>544.20000000000005</v>
      </c>
      <c r="BR198" s="270">
        <f t="shared" ref="BR198:BR261" si="237">IFERROR(IF(AND(V198&lt;365,V198&gt;0),SUM(((V198/365)*(MIN(N198,BJ198)))+(((365-V198)/365)*AT198)),(MIN(N198,AT198))),AT198)</f>
        <v>0</v>
      </c>
      <c r="BS198" s="270">
        <f t="shared" ref="BS198:BS261" si="238">IFERROR(IF(AND(W198&lt;365,W198&gt;0),SUM(((W198/365)*(MIN(O198,BK198)))+(((365-W198)/365)*AU198)),(MIN(O198,AU198))),AU198)</f>
        <v>0</v>
      </c>
      <c r="BT198" s="270">
        <f t="shared" ref="BT198:BT261" si="239">IFERROR(IF(AND(X198&lt;365,X198&gt;0),SUM(((X198/365)*(MIN(P198,BL198)))+(((365-X198)/365)*AV198)),(MIN(P198,AV198))),AV198)</f>
        <v>0</v>
      </c>
      <c r="BU198" s="270">
        <f t="shared" ref="BU198:BU261" si="240">IFERROR(IF(AND(Y198&lt;365,Y198&gt;0),SUM(((Y198/365)*(MIN(Q198,BM198)))+(((365-Y198)/365)*AW198)),(MIN(Q198,AW198))),AW198)</f>
        <v>17</v>
      </c>
      <c r="BV198" s="270">
        <f t="shared" ref="BV198:BV261" si="241">IFERROR(IF(AND(Z198&lt;365,Z198&gt;0),SUM(((Z198/365)*(MIN(R198,BN198)))+(((365-Z198)/365)*AX198)),(MIN(R198,AX198))),AX198)</f>
        <v>39</v>
      </c>
      <c r="BW198" s="39">
        <f>VLOOKUP($A198,NetAdditions!$A$2:$H$336,6,FALSE)</f>
        <v>250</v>
      </c>
      <c r="BX198" s="39">
        <f>VLOOKUP($A198,NetAdditions!$A$2:$H$336,7,FALSE)</f>
        <v>222</v>
      </c>
      <c r="BY198" s="39">
        <f>IF((VLOOKUP($C198,NetAdditions!$A$2:$H$336,8,FALSE))="",(AVERAGE(VLOOKUP($C198,NetAdditions!$A$2:$H$336,5,FALSE),VLOOKUP($C198,NetAdditions!$A$2:$H$336,6,FALSE),VLOOKUP($C198,NetAdditions!$A$2:$H$336,7,FALSE))),VLOOKUP($C198,NetAdditions!$A$2:$H$336,8,FALSE))</f>
        <v>464</v>
      </c>
      <c r="BZ198" s="39">
        <f t="shared" ref="BZ198:BZ261" si="242">AVERAGE(BW198:BY198)</f>
        <v>312</v>
      </c>
      <c r="CA198" s="39">
        <f t="shared" ref="CA198:CA261" si="243">AVERAGE(BX198:BZ198)</f>
        <v>332.66666666666669</v>
      </c>
      <c r="CB198" s="39">
        <f t="shared" ref="CB198:CB261" si="244">AVERAGE(BY198:CA198)</f>
        <v>369.5555555555556</v>
      </c>
      <c r="CC198" s="39">
        <f t="shared" ref="CC198:CC261" si="245">AVERAGE(BZ198:CB198)</f>
        <v>338.07407407407413</v>
      </c>
      <c r="CD198" s="39">
        <f t="shared" ref="CD198:CD261" si="246">AVERAGE(CA198:CC198)</f>
        <v>346.76543209876553</v>
      </c>
      <c r="CE198" s="276">
        <f t="shared" si="203"/>
        <v>1632.6000000000001</v>
      </c>
      <c r="CF198" s="276">
        <f t="shared" si="204"/>
        <v>1088.4000000000001</v>
      </c>
      <c r="CG198" s="276">
        <f t="shared" si="205"/>
        <v>544.20000000000005</v>
      </c>
      <c r="CH198" s="276">
        <f t="shared" si="206"/>
        <v>0</v>
      </c>
      <c r="CI198" s="276">
        <f t="shared" si="207"/>
        <v>17</v>
      </c>
      <c r="CJ198" s="276">
        <f t="shared" si="208"/>
        <v>56</v>
      </c>
      <c r="CK198" s="276">
        <f t="shared" ref="CK198:CK261" si="247">CE198*((24+7)/36)</f>
        <v>1405.8500000000001</v>
      </c>
      <c r="CL198" s="276">
        <f t="shared" ref="CL198:CL261" si="248">CF198*((24+7)/36)</f>
        <v>937.23333333333346</v>
      </c>
      <c r="CM198" s="276">
        <f t="shared" ref="CM198:CM261" si="249">CG198*((24+9)/36)</f>
        <v>498.85</v>
      </c>
      <c r="CN198" s="276">
        <f t="shared" ref="CN198:CN261" si="250">CH198</f>
        <v>0</v>
      </c>
      <c r="CO198" s="276">
        <f t="shared" ref="CO198:CO261" si="251">CI198</f>
        <v>17</v>
      </c>
      <c r="CP198" s="276">
        <f t="shared" ref="CP198:CP261" si="252">CJ198</f>
        <v>56</v>
      </c>
      <c r="CQ198" s="39">
        <f t="shared" si="209"/>
        <v>936</v>
      </c>
      <c r="CR198" s="39">
        <f t="shared" si="210"/>
        <v>998</v>
      </c>
      <c r="CS198" s="277">
        <f t="shared" si="211"/>
        <v>1108.6666666666667</v>
      </c>
      <c r="CT198" s="39">
        <f t="shared" si="212"/>
        <v>1014.2222222222224</v>
      </c>
      <c r="CU198" s="39">
        <f t="shared" si="213"/>
        <v>1040.2962962962965</v>
      </c>
      <c r="CV198" s="39">
        <f t="shared" ref="CV198:CV261" si="253">SUM(CB198:CD198)</f>
        <v>1054.3950617283954</v>
      </c>
      <c r="CW198" s="297">
        <f t="shared" si="214"/>
        <v>0.66578938009033672</v>
      </c>
      <c r="CX198" s="279" t="str">
        <f t="shared" ref="CX198:CX261" si="254">IF(CW198&lt;0.25, "Presumption", IF(CW198&lt;0.85, "Buffer and Action Plan", IF(CW198&lt;0.95, "Action Plan", "Pass")))</f>
        <v>Buffer and Action Plan</v>
      </c>
      <c r="CY198" s="278">
        <f t="shared" si="215"/>
        <v>1.0648362200803783</v>
      </c>
      <c r="CZ198" s="279" t="str">
        <f t="shared" ref="CZ198:CZ261" si="255">IF(CY198&lt;0.45, "Presumption", IF(CY198&lt;0.85, "Buffer and Action Plan", IF(CY198&lt;0.95, "Action Plan", "Pass")))</f>
        <v>Pass</v>
      </c>
      <c r="DA198" s="278">
        <f t="shared" si="216"/>
        <v>2.2224449567338214</v>
      </c>
      <c r="DB198" s="292" t="str">
        <f t="shared" ref="DB198:DB261" si="256">IF(DA198&lt;0.75, "Presumption", IF(DA198&lt;0.85, "Buffer and Action Plan", IF(DA198&lt;0.95, "Action Plan", "Pass")))</f>
        <v>Pass</v>
      </c>
      <c r="DC198" s="299" t="str">
        <f t="shared" ref="DC198:DC261" si="257">IFERROR(CT198/CN198,"-")</f>
        <v>-</v>
      </c>
      <c r="DD198" s="293" t="str">
        <f t="shared" ref="DD198:DD261" si="258">IF(DC198&lt;0.75, "Presumption", IF(DC198&lt;0.85, "Buffer and Action Plan", IF(DC198&lt;0.95, "Action Plan", "Pass")))</f>
        <v>Pass</v>
      </c>
      <c r="DE198" s="299">
        <f t="shared" ref="DE198:DE261" si="259">IFERROR(CU198/CO198,"-")</f>
        <v>61.193899782135091</v>
      </c>
      <c r="DF198" s="293" t="str">
        <f t="shared" ref="DF198:DF261" si="260">IF(DE198&lt;0.75, "Presumption", IF(DE198&lt;0.85, "Buffer and Action Plan", IF(DE198&lt;0.95, "Action Plan", "Pass")))</f>
        <v>Pass</v>
      </c>
      <c r="DG198" s="299">
        <f t="shared" ref="DG198:DG261" si="261">IFERROR(CV198/CP198,"-")</f>
        <v>18.828483245149918</v>
      </c>
      <c r="DH198" s="293" t="str">
        <f t="shared" ref="DH198:DH261" si="262">IF(DG198&lt;0.75, "Presumption", IF(DG198&lt;0.85, "Buffer and Action Plan", IF(DG198&lt;0.95, "Action Plan", "Pass")))</f>
        <v>Pass</v>
      </c>
    </row>
    <row r="199" spans="1:112" ht="15" thickTop="1" thickBot="1">
      <c r="A199" s="38" t="s">
        <v>508</v>
      </c>
      <c r="B199" s="38" t="s">
        <v>509</v>
      </c>
      <c r="C199" s="38" t="s">
        <v>508</v>
      </c>
      <c r="D199" s="38" t="s">
        <v>116</v>
      </c>
      <c r="E199" s="38" t="str">
        <f>VLOOKUP(C199,PoliticalControl!A:K,11,FALSE)</f>
        <v>CON</v>
      </c>
      <c r="F199" s="38" t="str">
        <f>VLOOKUP(C199,UrbanRuralClassification!A:N,13,FALSE)</f>
        <v>Urban with City and Town</v>
      </c>
      <c r="G199" s="38" t="str">
        <f>VLOOKUP(C199,UrbanRuralClassification!A:N,14,FALSE)</f>
        <v>Predominantly Urban</v>
      </c>
      <c r="H199" s="258">
        <f>IF(ISBLANK((VLOOKUP($A199,'local-plan-data'!$C$1:$AD$566,27,FALSE)))=TRUE,"",VLOOKUP($A199,'local-plan-data'!$C$1:$AD$566,27,FALSE))</f>
        <v>42355</v>
      </c>
      <c r="I199" s="259">
        <f>VLOOKUP($A199,'local-plan-data'!$C$1:$AD$566,28,FALSE)</f>
        <v>298</v>
      </c>
      <c r="J199" s="260">
        <f t="shared" si="217"/>
        <v>298</v>
      </c>
      <c r="K199" s="259">
        <f t="shared" si="197"/>
        <v>298</v>
      </c>
      <c r="L199" s="259">
        <f t="shared" si="201"/>
        <v>298</v>
      </c>
      <c r="M199" s="259">
        <f t="shared" si="201"/>
        <v>298</v>
      </c>
      <c r="N199" s="259" t="str">
        <f t="shared" si="201"/>
        <v>-</v>
      </c>
      <c r="O199" s="259" t="str">
        <f t="shared" si="201"/>
        <v>-</v>
      </c>
      <c r="P199" s="259" t="str">
        <f t="shared" si="201"/>
        <v>-</v>
      </c>
      <c r="Q199" s="259" t="str">
        <f t="shared" si="201"/>
        <v>-</v>
      </c>
      <c r="R199" s="259" t="str">
        <f t="shared" si="201"/>
        <v>-</v>
      </c>
      <c r="S199" s="259">
        <f t="shared" si="198"/>
        <v>991</v>
      </c>
      <c r="T199" s="259">
        <f t="shared" si="202"/>
        <v>626</v>
      </c>
      <c r="U199" s="259">
        <f t="shared" si="202"/>
        <v>260</v>
      </c>
      <c r="V199" s="259">
        <f t="shared" si="202"/>
        <v>-105</v>
      </c>
      <c r="W199" s="259">
        <f t="shared" si="202"/>
        <v>-470</v>
      </c>
      <c r="X199" s="259">
        <f t="shared" si="202"/>
        <v>-835</v>
      </c>
      <c r="Y199" s="259">
        <f t="shared" si="202"/>
        <v>-1201</v>
      </c>
      <c r="Z199" s="259">
        <f t="shared" si="202"/>
        <v>-1566</v>
      </c>
      <c r="AA199" s="267">
        <f>(VLOOKUP(A199,Hshldprojections2014!$A$2:$AW$319,40, FALSE)-VLOOKUP(A199,Hshldprojections2014!$A$2:$AW$319,30, FALSE))/10</f>
        <v>152.6</v>
      </c>
      <c r="AB199" s="267">
        <f>(VLOOKUP(A199,Hshldprojections2014!$A$2:$AW$319,41, FALSE)-VLOOKUP(A199,Hshldprojections2014!$A$2:$AW$319,31, FALSE))/10</f>
        <v>146.4</v>
      </c>
      <c r="AC199" s="267">
        <f>(VLOOKUP(A199,Hshldprojections2014!$A$2:$AW$319,42, FALSE)-VLOOKUP(A199,Hshldprojections2014!$A$2:$AW$319,32, FALSE))/10</f>
        <v>142.19999999999999</v>
      </c>
      <c r="AD199" s="267">
        <f>IF(IndividualLATest!$J$7=2014,(VLOOKUP($A199,Hshldprojections2014!$A$2:$AY$326,43,FALSE)-VLOOKUP($A199,Hshldprojections2014!$A$2:$AY$326,33,FALSE))/10,IF(IndividualLATest!$J$7=2016,(VLOOKUP($A199,Hshldprojections2016!$A$1:$AQ$322,33,FALSE)-VLOOKUP($A199,Hshldprojections2016!$A$1:$AQ$322,23,FALSE))/10,(VLOOKUP($A199,Hshldprojections2018!$A$1:$AQ$327,33,FALSE)-VLOOKUP($A199,Hshldprojections2018!$A$1:$AQ$327,23,FALSE))/10))</f>
        <v>187.5</v>
      </c>
      <c r="AE199" s="267">
        <f>IF(IndividualLATest!$J$7=2014,(VLOOKUP($A199,Hshldprojections2014!$A$2:$AY$326,44,FALSE)-VLOOKUP($A199,Hshldprojections2014!$A$2:$AY$326,34,FALSE))/10,IF(IndividualLATest!$J$7=2016,(VLOOKUP($A199,Hshldprojections2016!$A$1:$AQ$322,34,FALSE)-VLOOKUP($A199,Hshldprojections2016!$A$1:$AQ$322,24,FALSE))/10,(VLOOKUP($A199,Hshldprojections2018!$A$1:$AQ$327,34,FALSE)-VLOOKUP($A199,Hshldprojections2018!$A$1:$AQ$327,24,FALSE))/10))</f>
        <v>180.8</v>
      </c>
      <c r="AF199" s="267">
        <f>IF(IndividualLATest!$J$7=2014,(VLOOKUP($A199,Hshldprojections2014!$A$2:$AY$326,45,FALSE)-VLOOKUP($A199,Hshldprojections2014!$A$2:$AY$326,35,FALSE))/10,IF(IndividualLATest!$J$7=2016,(VLOOKUP($A199,Hshldprojections2016!$A$1:$AQ$322,35,FALSE)-VLOOKUP($A199,Hshldprojections2016!$A$1:$AQ$322,25,FALSE))/10,(VLOOKUP($A199,Hshldprojections2018!$A$1:$AQ$327,35,FALSE)-VLOOKUP($A199,Hshldprojections2018!$A$1:$AQ$327,25,FALSE))/10))</f>
        <v>178.1</v>
      </c>
      <c r="AG199" s="267">
        <f>IF(IndividualLATest!$J$7=2014,(VLOOKUP($A199,Hshldprojections2014!$A$2:$AY$326,46,FALSE)-VLOOKUP($A199,Hshldprojections2014!$A$2:$AY$326,36,FALSE))/10,IF(IndividualLATest!$J$7=2016,(VLOOKUP($A199,Hshldprojections2016!$A$1:$AQ$322,36,FALSE)-VLOOKUP($A199,Hshldprojections2016!$A$1:$AQ$322,26,FALSE))/10,(VLOOKUP($A199,Hshldprojections2018!$A$1:$AQ$327,36,FALSE)-VLOOKUP($A199,Hshldprojections2018!$A$1:$AQ$327,26,FALSE))/10))</f>
        <v>172.3</v>
      </c>
      <c r="AH199" s="267">
        <f>IF(IndividualLATest!$J$7=2014,(VLOOKUP($A199,Hshldprojections2014!$A$2:$AY$326,47,FALSE)-VLOOKUP($A199,Hshldprojections2014!$A$2:$AY$326,37,FALSE))/10,IF(IndividualLATest!$J$7=2016,(VLOOKUP($A199,Hshldprojections2016!$A$1:$AQ$322,37,FALSE)-VLOOKUP($A199,Hshldprojections2016!$A$1:$AQ$322,27,FALSE))/10,(VLOOKUP($A199,Hshldprojections2018!$A$1:$AQ$327,37,FALSE)-VLOOKUP($A199,Hshldprojections2018!$A$1:$AQ$327,27,FALSE))/10))</f>
        <v>169.5</v>
      </c>
      <c r="AI199" s="268">
        <f>VLOOKUP($A199,AffordabilityRatio!$A$2:$I$321,5,FALSE)</f>
        <v>4.04</v>
      </c>
      <c r="AJ199" s="268">
        <f>VLOOKUP($A199,AffordabilityRatio!$A$2:$I$321,6,FALSE)</f>
        <v>3.66</v>
      </c>
      <c r="AK199" s="268">
        <f>VLOOKUP($A199,AffordabilityRatio!$A$2:$I$321,7,FALSE)</f>
        <v>4.41</v>
      </c>
      <c r="AL199" s="268">
        <f>IF((VLOOKUP($A199,AffordabilityRatio!$A$2:$I$321,8,FALSE))="",AK199,VLOOKUP($A199,AffordabilityRatio!$A$2:$I$321,8,FALSE))</f>
        <v>4.97</v>
      </c>
      <c r="AM199" s="268">
        <f>IF((VLOOKUP($A199,AffordabilityRatio!$A$2:$I$321,9,FALSE))="",AL199,VLOOKUP($A199,AffordabilityRatio!$A$2:$I$321,9,FALSE))</f>
        <v>5.34</v>
      </c>
      <c r="AN199" s="268">
        <f>IF((VLOOKUP($A199,AffordabilityRatio!$A$2:$I$321,9,FALSE))="",AM199,VLOOKUP($A199,AffordabilityRatio!$A$2:$I$321,9,FALSE))</f>
        <v>5.34</v>
      </c>
      <c r="AO199" s="268">
        <f>IF((VLOOKUP($A199,AffordabilityRatio!$A$2:$I$321,9,FALSE))="",AN199,VLOOKUP($A199,AffordabilityRatio!$A$2:$I$321,9,FALSE))</f>
        <v>5.34</v>
      </c>
      <c r="AP199" s="268">
        <f>IF((VLOOKUP($A199,AffordabilityRatio!$A$2:$I$321,9,FALSE))="",AO199,VLOOKUP($A199,AffordabilityRatio!$A$2:$I$321,9,FALSE))</f>
        <v>5.34</v>
      </c>
      <c r="AQ199" s="267">
        <f t="shared" si="218"/>
        <v>153</v>
      </c>
      <c r="AR199" s="267">
        <f t="shared" si="219"/>
        <v>146.4</v>
      </c>
      <c r="AS199" s="267">
        <f t="shared" si="220"/>
        <v>146</v>
      </c>
      <c r="AT199" s="267">
        <f t="shared" si="221"/>
        <v>199</v>
      </c>
      <c r="AU199" s="267">
        <f t="shared" si="222"/>
        <v>196</v>
      </c>
      <c r="AV199" s="267">
        <f t="shared" si="223"/>
        <v>193</v>
      </c>
      <c r="AW199" s="267">
        <f t="shared" si="224"/>
        <v>187</v>
      </c>
      <c r="AX199" s="267">
        <f t="shared" si="225"/>
        <v>184</v>
      </c>
      <c r="AY199" s="267">
        <f t="shared" si="226"/>
        <v>153</v>
      </c>
      <c r="AZ199" s="267">
        <f t="shared" si="227"/>
        <v>146.4</v>
      </c>
      <c r="BA199" s="267">
        <f t="shared" si="228"/>
        <v>146</v>
      </c>
      <c r="BB199" s="267">
        <f t="shared" si="229"/>
        <v>199</v>
      </c>
      <c r="BC199" s="267">
        <f t="shared" si="230"/>
        <v>196</v>
      </c>
      <c r="BD199" s="267">
        <f t="shared" si="231"/>
        <v>193</v>
      </c>
      <c r="BE199" s="267">
        <f t="shared" si="232"/>
        <v>187</v>
      </c>
      <c r="BF199" s="267">
        <f t="shared" si="233"/>
        <v>184</v>
      </c>
      <c r="BG199" s="269">
        <f>AY199*VLOOKUP($B199,'Major Cities &amp; Towns'!$A$28:$B$345,2,FALSE)</f>
        <v>153</v>
      </c>
      <c r="BH199" s="269">
        <f>AZ199*VLOOKUP($B199,'Major Cities &amp; Towns'!$A$28:$B$345,2,FALSE)</f>
        <v>146.4</v>
      </c>
      <c r="BI199" s="269">
        <f>BA199*VLOOKUP($B199,'Major Cities &amp; Towns'!$A$28:$B$345,2,FALSE)</f>
        <v>146</v>
      </c>
      <c r="BJ199" s="269">
        <f>BB199*VLOOKUP($B199,'Major Cities &amp; Towns'!$A$28:$B$345,2,FALSE)</f>
        <v>199</v>
      </c>
      <c r="BK199" s="269">
        <f>BC199*VLOOKUP($B199,'Major Cities &amp; Towns'!$A$28:$B$345,2,FALSE)</f>
        <v>196</v>
      </c>
      <c r="BL199" s="269">
        <f>BD199*VLOOKUP($B199,'Major Cities &amp; Towns'!$A$28:$B$345,2,FALSE)</f>
        <v>193</v>
      </c>
      <c r="BM199" s="269">
        <f>BE199*VLOOKUP($B199,'Major Cities &amp; Towns'!$A$28:$B$345,2,FALSE)</f>
        <v>187</v>
      </c>
      <c r="BN199" s="269">
        <f>BF199*VLOOKUP($B199,'Major Cities &amp; Towns'!$A$28:$B$345,2,FALSE)</f>
        <v>184</v>
      </c>
      <c r="BO199" s="270">
        <f t="shared" si="234"/>
        <v>153</v>
      </c>
      <c r="BP199" s="270">
        <f t="shared" si="235"/>
        <v>146.4</v>
      </c>
      <c r="BQ199" s="270">
        <f t="shared" si="236"/>
        <v>146</v>
      </c>
      <c r="BR199" s="270">
        <f t="shared" si="237"/>
        <v>199</v>
      </c>
      <c r="BS199" s="270">
        <f t="shared" si="238"/>
        <v>196</v>
      </c>
      <c r="BT199" s="270">
        <f t="shared" si="239"/>
        <v>193</v>
      </c>
      <c r="BU199" s="270">
        <f t="shared" si="240"/>
        <v>187</v>
      </c>
      <c r="BV199" s="270">
        <f t="shared" si="241"/>
        <v>184</v>
      </c>
      <c r="BW199" s="39">
        <f>VLOOKUP($A199,NetAdditions!$A$2:$H$336,6,FALSE)</f>
        <v>314</v>
      </c>
      <c r="BX199" s="39">
        <f>VLOOKUP($A199,NetAdditions!$A$2:$H$336,7,FALSE)</f>
        <v>208</v>
      </c>
      <c r="BY199" s="39">
        <f>IF((VLOOKUP($C199,NetAdditions!$A$2:$H$336,8,FALSE))="",(AVERAGE(VLOOKUP($C199,NetAdditions!$A$2:$H$336,5,FALSE),VLOOKUP($C199,NetAdditions!$A$2:$H$336,6,FALSE),VLOOKUP($C199,NetAdditions!$A$2:$H$336,7,FALSE))),VLOOKUP($C199,NetAdditions!$A$2:$H$336,8,FALSE))</f>
        <v>342</v>
      </c>
      <c r="BZ199" s="39">
        <f t="shared" si="242"/>
        <v>288</v>
      </c>
      <c r="CA199" s="39">
        <f t="shared" si="243"/>
        <v>279.33333333333331</v>
      </c>
      <c r="CB199" s="39">
        <f t="shared" si="244"/>
        <v>303.11111111111109</v>
      </c>
      <c r="CC199" s="39">
        <f t="shared" si="245"/>
        <v>290.1481481481481</v>
      </c>
      <c r="CD199" s="39">
        <f t="shared" si="246"/>
        <v>290.86419753086415</v>
      </c>
      <c r="CE199" s="276">
        <f t="shared" si="203"/>
        <v>445.4</v>
      </c>
      <c r="CF199" s="276">
        <f t="shared" si="204"/>
        <v>491.4</v>
      </c>
      <c r="CG199" s="276">
        <f t="shared" si="205"/>
        <v>541</v>
      </c>
      <c r="CH199" s="276">
        <f t="shared" si="206"/>
        <v>588</v>
      </c>
      <c r="CI199" s="276">
        <f t="shared" si="207"/>
        <v>576</v>
      </c>
      <c r="CJ199" s="276">
        <f t="shared" si="208"/>
        <v>564</v>
      </c>
      <c r="CK199" s="276">
        <f t="shared" si="247"/>
        <v>383.53888888888889</v>
      </c>
      <c r="CL199" s="276">
        <f t="shared" si="248"/>
        <v>423.15</v>
      </c>
      <c r="CM199" s="276">
        <f t="shared" si="249"/>
        <v>495.91666666666663</v>
      </c>
      <c r="CN199" s="276">
        <f t="shared" si="250"/>
        <v>588</v>
      </c>
      <c r="CO199" s="276">
        <f t="shared" si="251"/>
        <v>576</v>
      </c>
      <c r="CP199" s="276">
        <f t="shared" si="252"/>
        <v>564</v>
      </c>
      <c r="CQ199" s="39">
        <f t="shared" si="209"/>
        <v>864</v>
      </c>
      <c r="CR199" s="39">
        <f t="shared" si="210"/>
        <v>838</v>
      </c>
      <c r="CS199" s="277">
        <f t="shared" si="211"/>
        <v>909.33333333333326</v>
      </c>
      <c r="CT199" s="39">
        <f t="shared" si="212"/>
        <v>870.44444444444434</v>
      </c>
      <c r="CU199" s="39">
        <f t="shared" si="213"/>
        <v>872.59259259259238</v>
      </c>
      <c r="CV199" s="39">
        <f t="shared" si="253"/>
        <v>884.12345679012333</v>
      </c>
      <c r="CW199" s="297">
        <f t="shared" si="214"/>
        <v>2.2527050711937076</v>
      </c>
      <c r="CX199" s="279" t="str">
        <f t="shared" si="254"/>
        <v>Pass</v>
      </c>
      <c r="CY199" s="278">
        <f t="shared" si="215"/>
        <v>1.9803852061916578</v>
      </c>
      <c r="CZ199" s="279" t="str">
        <f t="shared" si="255"/>
        <v>Pass</v>
      </c>
      <c r="DA199" s="278">
        <f t="shared" si="216"/>
        <v>1.8336414048059149</v>
      </c>
      <c r="DB199" s="292" t="str">
        <f t="shared" si="256"/>
        <v>Pass</v>
      </c>
      <c r="DC199" s="299">
        <f t="shared" si="257"/>
        <v>1.4803476946334087</v>
      </c>
      <c r="DD199" s="293" t="str">
        <f t="shared" si="258"/>
        <v>Pass</v>
      </c>
      <c r="DE199" s="299">
        <f t="shared" si="259"/>
        <v>1.5149176954732506</v>
      </c>
      <c r="DF199" s="293" t="str">
        <f t="shared" si="260"/>
        <v>Pass</v>
      </c>
      <c r="DG199" s="299">
        <f t="shared" si="261"/>
        <v>1.5675947815427718</v>
      </c>
      <c r="DH199" s="293" t="str">
        <f t="shared" si="262"/>
        <v>Pass</v>
      </c>
    </row>
    <row r="200" spans="1:112" ht="15" thickTop="1" thickBot="1">
      <c r="A200" s="38" t="s">
        <v>510</v>
      </c>
      <c r="B200" s="38" t="s">
        <v>511</v>
      </c>
      <c r="C200" s="38" t="s">
        <v>510</v>
      </c>
      <c r="D200" s="38" t="s">
        <v>128</v>
      </c>
      <c r="E200" s="38" t="str">
        <f>VLOOKUP(C200,PoliticalControl!A:K,11,FALSE)</f>
        <v>NOC</v>
      </c>
      <c r="F200" s="38" t="str">
        <f>VLOOKUP(C200,UrbanRuralClassification!A:N,13,FALSE)</f>
        <v>Urban with City and Town</v>
      </c>
      <c r="G200" s="38" t="str">
        <f>VLOOKUP(C200,UrbanRuralClassification!A:N,14,FALSE)</f>
        <v>Predominantly Urban</v>
      </c>
      <c r="H200" s="258">
        <f>IF(ISBLANK((VLOOKUP($A200,'local-plan-data'!$C$1:$AD$566,27,FALSE)))=TRUE,"",VLOOKUP($A200,'local-plan-data'!$C$1:$AD$566,27,FALSE))</f>
        <v>43670</v>
      </c>
      <c r="I200" s="259">
        <f>VLOOKUP($A200,'local-plan-data'!$C$1:$AD$566,28,FALSE)</f>
        <v>972</v>
      </c>
      <c r="J200" s="260">
        <f t="shared" si="217"/>
        <v>972</v>
      </c>
      <c r="K200" s="259">
        <f t="shared" si="197"/>
        <v>972</v>
      </c>
      <c r="L200" s="259">
        <f t="shared" si="201"/>
        <v>972</v>
      </c>
      <c r="M200" s="259">
        <f t="shared" si="201"/>
        <v>972</v>
      </c>
      <c r="N200" s="259">
        <f t="shared" si="201"/>
        <v>972</v>
      </c>
      <c r="O200" s="259">
        <f t="shared" si="201"/>
        <v>972</v>
      </c>
      <c r="P200" s="259">
        <f t="shared" si="201"/>
        <v>972</v>
      </c>
      <c r="Q200" s="259">
        <f t="shared" si="201"/>
        <v>972</v>
      </c>
      <c r="R200" s="259" t="str">
        <f t="shared" si="201"/>
        <v>-</v>
      </c>
      <c r="S200" s="259">
        <f t="shared" si="198"/>
        <v>2306</v>
      </c>
      <c r="T200" s="259">
        <f t="shared" si="202"/>
        <v>1941</v>
      </c>
      <c r="U200" s="259">
        <f t="shared" si="202"/>
        <v>1575</v>
      </c>
      <c r="V200" s="259">
        <f t="shared" si="202"/>
        <v>1210</v>
      </c>
      <c r="W200" s="259">
        <f t="shared" si="202"/>
        <v>845</v>
      </c>
      <c r="X200" s="259">
        <f t="shared" si="202"/>
        <v>480</v>
      </c>
      <c r="Y200" s="259">
        <f t="shared" si="202"/>
        <v>114</v>
      </c>
      <c r="Z200" s="259">
        <f t="shared" si="202"/>
        <v>-251</v>
      </c>
      <c r="AA200" s="267">
        <f>(VLOOKUP(A200,Hshldprojections2014!$A$2:$AW$319,40, FALSE)-VLOOKUP(A200,Hshldprojections2014!$A$2:$AW$319,30, FALSE))/10</f>
        <v>810.2</v>
      </c>
      <c r="AB200" s="267">
        <f>(VLOOKUP(A200,Hshldprojections2014!$A$2:$AW$319,41, FALSE)-VLOOKUP(A200,Hshldprojections2014!$A$2:$AW$319,31, FALSE))/10</f>
        <v>798.1</v>
      </c>
      <c r="AC200" s="267">
        <f>(VLOOKUP(A200,Hshldprojections2014!$A$2:$AW$319,42, FALSE)-VLOOKUP(A200,Hshldprojections2014!$A$2:$AW$319,32, FALSE))/10</f>
        <v>790.1</v>
      </c>
      <c r="AD200" s="267">
        <f>IF(IndividualLATest!$J$7=2014,(VLOOKUP($A200,Hshldprojections2014!$A$2:$AY$326,43,FALSE)-VLOOKUP($A200,Hshldprojections2014!$A$2:$AY$326,33,FALSE))/10,IF(IndividualLATest!$J$7=2016,(VLOOKUP($A200,Hshldprojections2016!$A$1:$AQ$322,33,FALSE)-VLOOKUP($A200,Hshldprojections2016!$A$1:$AQ$322,23,FALSE))/10,(VLOOKUP($A200,Hshldprojections2018!$A$1:$AQ$327,33,FALSE)-VLOOKUP($A200,Hshldprojections2018!$A$1:$AQ$327,23,FALSE))/10))</f>
        <v>832.3</v>
      </c>
      <c r="AE200" s="267">
        <f>IF(IndividualLATest!$J$7=2014,(VLOOKUP($A200,Hshldprojections2014!$A$2:$AY$326,44,FALSE)-VLOOKUP($A200,Hshldprojections2014!$A$2:$AY$326,34,FALSE))/10,IF(IndividualLATest!$J$7=2016,(VLOOKUP($A200,Hshldprojections2016!$A$1:$AQ$322,34,FALSE)-VLOOKUP($A200,Hshldprojections2016!$A$1:$AQ$322,24,FALSE))/10,(VLOOKUP($A200,Hshldprojections2018!$A$1:$AQ$327,34,FALSE)-VLOOKUP($A200,Hshldprojections2018!$A$1:$AQ$327,24,FALSE))/10))</f>
        <v>813.6</v>
      </c>
      <c r="AF200" s="267">
        <f>IF(IndividualLATest!$J$7=2014,(VLOOKUP($A200,Hshldprojections2014!$A$2:$AY$326,45,FALSE)-VLOOKUP($A200,Hshldprojections2014!$A$2:$AY$326,35,FALSE))/10,IF(IndividualLATest!$J$7=2016,(VLOOKUP($A200,Hshldprojections2016!$A$1:$AQ$322,35,FALSE)-VLOOKUP($A200,Hshldprojections2016!$A$1:$AQ$322,25,FALSE))/10,(VLOOKUP($A200,Hshldprojections2018!$A$1:$AQ$327,35,FALSE)-VLOOKUP($A200,Hshldprojections2018!$A$1:$AQ$327,25,FALSE))/10))</f>
        <v>798.3</v>
      </c>
      <c r="AG200" s="267">
        <f>IF(IndividualLATest!$J$7=2014,(VLOOKUP($A200,Hshldprojections2014!$A$2:$AY$326,46,FALSE)-VLOOKUP($A200,Hshldprojections2014!$A$2:$AY$326,36,FALSE))/10,IF(IndividualLATest!$J$7=2016,(VLOOKUP($A200,Hshldprojections2016!$A$1:$AQ$322,36,FALSE)-VLOOKUP($A200,Hshldprojections2016!$A$1:$AQ$322,26,FALSE))/10,(VLOOKUP($A200,Hshldprojections2018!$A$1:$AQ$327,36,FALSE)-VLOOKUP($A200,Hshldprojections2018!$A$1:$AQ$327,26,FALSE))/10))</f>
        <v>784.7</v>
      </c>
      <c r="AH200" s="267">
        <f>IF(IndividualLATest!$J$7=2014,(VLOOKUP($A200,Hshldprojections2014!$A$2:$AY$326,47,FALSE)-VLOOKUP($A200,Hshldprojections2014!$A$2:$AY$326,37,FALSE))/10,IF(IndividualLATest!$J$7=2016,(VLOOKUP($A200,Hshldprojections2016!$A$1:$AQ$322,37,FALSE)-VLOOKUP($A200,Hshldprojections2016!$A$1:$AQ$322,27,FALSE))/10,(VLOOKUP($A200,Hshldprojections2018!$A$1:$AQ$327,37,FALSE)-VLOOKUP($A200,Hshldprojections2018!$A$1:$AQ$327,27,FALSE))/10))</f>
        <v>771.8</v>
      </c>
      <c r="AI200" s="268">
        <f>VLOOKUP($A200,AffordabilityRatio!$A$2:$I$321,5,FALSE)</f>
        <v>6.67</v>
      </c>
      <c r="AJ200" s="268">
        <f>VLOOKUP($A200,AffordabilityRatio!$A$2:$I$321,6,FALSE)</f>
        <v>6.82</v>
      </c>
      <c r="AK200" s="268">
        <f>VLOOKUP($A200,AffordabilityRatio!$A$2:$I$321,7,FALSE)</f>
        <v>6.78</v>
      </c>
      <c r="AL200" s="268">
        <f>IF((VLOOKUP($A200,AffordabilityRatio!$A$2:$I$321,8,FALSE))="",AK200,VLOOKUP($A200,AffordabilityRatio!$A$2:$I$321,8,FALSE))</f>
        <v>7.03</v>
      </c>
      <c r="AM200" s="268">
        <f>IF((VLOOKUP($A200,AffordabilityRatio!$A$2:$I$321,9,FALSE))="",AL200,VLOOKUP($A200,AffordabilityRatio!$A$2:$I$321,9,FALSE))</f>
        <v>7.34</v>
      </c>
      <c r="AN200" s="268">
        <f>IF((VLOOKUP($A200,AffordabilityRatio!$A$2:$I$321,9,FALSE))="",AM200,VLOOKUP($A200,AffordabilityRatio!$A$2:$I$321,9,FALSE))</f>
        <v>7.34</v>
      </c>
      <c r="AO200" s="268">
        <f>IF((VLOOKUP($A200,AffordabilityRatio!$A$2:$I$321,9,FALSE))="",AN200,VLOOKUP($A200,AffordabilityRatio!$A$2:$I$321,9,FALSE))</f>
        <v>7.34</v>
      </c>
      <c r="AP200" s="268">
        <f>IF((VLOOKUP($A200,AffordabilityRatio!$A$2:$I$321,9,FALSE))="",AO200,VLOOKUP($A200,AffordabilityRatio!$A$2:$I$321,9,FALSE))</f>
        <v>7.34</v>
      </c>
      <c r="AQ200" s="267">
        <f t="shared" si="218"/>
        <v>945</v>
      </c>
      <c r="AR200" s="267">
        <f t="shared" si="219"/>
        <v>939</v>
      </c>
      <c r="AS200" s="267">
        <f t="shared" si="220"/>
        <v>927</v>
      </c>
      <c r="AT200" s="267">
        <f t="shared" si="221"/>
        <v>990</v>
      </c>
      <c r="AU200" s="267">
        <f t="shared" si="222"/>
        <v>983</v>
      </c>
      <c r="AV200" s="267">
        <f t="shared" si="223"/>
        <v>965</v>
      </c>
      <c r="AW200" s="267">
        <f t="shared" si="224"/>
        <v>949</v>
      </c>
      <c r="AX200" s="267">
        <f t="shared" si="225"/>
        <v>933</v>
      </c>
      <c r="AY200" s="267">
        <f t="shared" si="226"/>
        <v>945</v>
      </c>
      <c r="AZ200" s="267">
        <f t="shared" si="227"/>
        <v>939</v>
      </c>
      <c r="BA200" s="267">
        <f t="shared" si="228"/>
        <v>927</v>
      </c>
      <c r="BB200" s="267">
        <f t="shared" si="229"/>
        <v>990</v>
      </c>
      <c r="BC200" s="267">
        <f t="shared" si="230"/>
        <v>983</v>
      </c>
      <c r="BD200" s="267">
        <f t="shared" si="231"/>
        <v>965</v>
      </c>
      <c r="BE200" s="267">
        <f t="shared" si="232"/>
        <v>949</v>
      </c>
      <c r="BF200" s="267">
        <f t="shared" si="233"/>
        <v>933</v>
      </c>
      <c r="BG200" s="269">
        <f>AY200*VLOOKUP($B200,'Major Cities &amp; Towns'!$A$28:$B$345,2,FALSE)</f>
        <v>945</v>
      </c>
      <c r="BH200" s="269">
        <f>AZ200*VLOOKUP($B200,'Major Cities &amp; Towns'!$A$28:$B$345,2,FALSE)</f>
        <v>939</v>
      </c>
      <c r="BI200" s="269">
        <f>BA200*VLOOKUP($B200,'Major Cities &amp; Towns'!$A$28:$B$345,2,FALSE)</f>
        <v>927</v>
      </c>
      <c r="BJ200" s="269">
        <f>BB200*VLOOKUP($B200,'Major Cities &amp; Towns'!$A$28:$B$345,2,FALSE)</f>
        <v>990</v>
      </c>
      <c r="BK200" s="269">
        <f>BC200*VLOOKUP($B200,'Major Cities &amp; Towns'!$A$28:$B$345,2,FALSE)</f>
        <v>983</v>
      </c>
      <c r="BL200" s="269">
        <f>BD200*VLOOKUP($B200,'Major Cities &amp; Towns'!$A$28:$B$345,2,FALSE)</f>
        <v>965</v>
      </c>
      <c r="BM200" s="269">
        <f>BE200*VLOOKUP($B200,'Major Cities &amp; Towns'!$A$28:$B$345,2,FALSE)</f>
        <v>949</v>
      </c>
      <c r="BN200" s="269">
        <f>BF200*VLOOKUP($B200,'Major Cities &amp; Towns'!$A$28:$B$345,2,FALSE)</f>
        <v>933</v>
      </c>
      <c r="BO200" s="270">
        <f t="shared" si="234"/>
        <v>945</v>
      </c>
      <c r="BP200" s="270">
        <f t="shared" si="235"/>
        <v>939</v>
      </c>
      <c r="BQ200" s="270">
        <f t="shared" si="236"/>
        <v>927</v>
      </c>
      <c r="BR200" s="270">
        <f t="shared" si="237"/>
        <v>972</v>
      </c>
      <c r="BS200" s="270">
        <f t="shared" si="238"/>
        <v>972</v>
      </c>
      <c r="BT200" s="270">
        <f t="shared" si="239"/>
        <v>965</v>
      </c>
      <c r="BU200" s="270">
        <f t="shared" si="240"/>
        <v>948.99999999999989</v>
      </c>
      <c r="BV200" s="270">
        <f t="shared" si="241"/>
        <v>933</v>
      </c>
      <c r="BW200" s="39">
        <f>VLOOKUP($A200,NetAdditions!$A$2:$H$336,6,FALSE)</f>
        <v>1104</v>
      </c>
      <c r="BX200" s="39">
        <f>VLOOKUP($A200,NetAdditions!$A$2:$H$336,7,FALSE)</f>
        <v>1133</v>
      </c>
      <c r="BY200" s="39">
        <f>IF((VLOOKUP($C200,NetAdditions!$A$2:$H$336,8,FALSE))="",(AVERAGE(VLOOKUP($C200,NetAdditions!$A$2:$H$336,5,FALSE),VLOOKUP($C200,NetAdditions!$A$2:$H$336,6,FALSE),VLOOKUP($C200,NetAdditions!$A$2:$H$336,7,FALSE))),VLOOKUP($C200,NetAdditions!$A$2:$H$336,8,FALSE))</f>
        <v>1247</v>
      </c>
      <c r="BZ200" s="39">
        <f t="shared" si="242"/>
        <v>1161.3333333333333</v>
      </c>
      <c r="CA200" s="39">
        <f t="shared" si="243"/>
        <v>1180.4444444444443</v>
      </c>
      <c r="CB200" s="39">
        <f t="shared" si="244"/>
        <v>1196.2592592592591</v>
      </c>
      <c r="CC200" s="39">
        <f t="shared" si="245"/>
        <v>1179.3456790123455</v>
      </c>
      <c r="CD200" s="39">
        <f t="shared" si="246"/>
        <v>1185.349794238683</v>
      </c>
      <c r="CE200" s="276">
        <f t="shared" si="203"/>
        <v>2811</v>
      </c>
      <c r="CF200" s="276">
        <f t="shared" si="204"/>
        <v>2838</v>
      </c>
      <c r="CG200" s="276">
        <f t="shared" si="205"/>
        <v>2871</v>
      </c>
      <c r="CH200" s="276">
        <f t="shared" si="206"/>
        <v>2909</v>
      </c>
      <c r="CI200" s="276">
        <f t="shared" si="207"/>
        <v>2886</v>
      </c>
      <c r="CJ200" s="276">
        <f t="shared" si="208"/>
        <v>2847</v>
      </c>
      <c r="CK200" s="276">
        <f t="shared" si="247"/>
        <v>2420.5833333333335</v>
      </c>
      <c r="CL200" s="276">
        <f t="shared" si="248"/>
        <v>2443.8333333333335</v>
      </c>
      <c r="CM200" s="276">
        <f t="shared" si="249"/>
        <v>2631.75</v>
      </c>
      <c r="CN200" s="276">
        <f t="shared" si="250"/>
        <v>2909</v>
      </c>
      <c r="CO200" s="276">
        <f t="shared" si="251"/>
        <v>2886</v>
      </c>
      <c r="CP200" s="276">
        <f t="shared" si="252"/>
        <v>2847</v>
      </c>
      <c r="CQ200" s="39">
        <f t="shared" si="209"/>
        <v>3484</v>
      </c>
      <c r="CR200" s="39">
        <f t="shared" si="210"/>
        <v>3541.333333333333</v>
      </c>
      <c r="CS200" s="277">
        <f t="shared" si="211"/>
        <v>3588.7777777777774</v>
      </c>
      <c r="CT200" s="39">
        <f t="shared" si="212"/>
        <v>3538.0370370370365</v>
      </c>
      <c r="CU200" s="39">
        <f t="shared" si="213"/>
        <v>3556.049382716049</v>
      </c>
      <c r="CV200" s="39">
        <f t="shared" si="253"/>
        <v>3560.9547325102876</v>
      </c>
      <c r="CW200" s="297">
        <f t="shared" si="214"/>
        <v>1.4393224773642717</v>
      </c>
      <c r="CX200" s="279" t="str">
        <f t="shared" si="254"/>
        <v>Pass</v>
      </c>
      <c r="CY200" s="278">
        <f t="shared" si="215"/>
        <v>1.4490895451135508</v>
      </c>
      <c r="CZ200" s="279" t="str">
        <f t="shared" si="255"/>
        <v>Pass</v>
      </c>
      <c r="DA200" s="278">
        <f t="shared" si="216"/>
        <v>1.3636469185058526</v>
      </c>
      <c r="DB200" s="292" t="str">
        <f t="shared" si="256"/>
        <v>Pass</v>
      </c>
      <c r="DC200" s="299">
        <f t="shared" si="257"/>
        <v>1.2162382389264477</v>
      </c>
      <c r="DD200" s="293" t="str">
        <f t="shared" si="258"/>
        <v>Pass</v>
      </c>
      <c r="DE200" s="299">
        <f t="shared" si="259"/>
        <v>1.2321723432834542</v>
      </c>
      <c r="DF200" s="293" t="str">
        <f t="shared" si="260"/>
        <v>Pass</v>
      </c>
      <c r="DG200" s="299">
        <f t="shared" si="261"/>
        <v>1.2507744055181902</v>
      </c>
      <c r="DH200" s="293" t="str">
        <f t="shared" si="262"/>
        <v>Pass</v>
      </c>
    </row>
    <row r="201" spans="1:112" ht="15" thickTop="1" thickBot="1">
      <c r="A201" s="38" t="s">
        <v>512</v>
      </c>
      <c r="B201" s="38" t="s">
        <v>513</v>
      </c>
      <c r="C201" s="38" t="s">
        <v>512</v>
      </c>
      <c r="D201" s="38" t="s">
        <v>147</v>
      </c>
      <c r="E201" s="38" t="str">
        <f>VLOOKUP(C201,PoliticalControl!A:K,11,FALSE)</f>
        <v>NOC</v>
      </c>
      <c r="F201" s="38" t="str">
        <f>VLOOKUP(C201,UrbanRuralClassification!A:N,13,FALSE)</f>
        <v>Urban with City and Town</v>
      </c>
      <c r="G201" s="38" t="str">
        <f>VLOOKUP(C201,UrbanRuralClassification!A:N,14,FALSE)</f>
        <v>Predominantly Urban</v>
      </c>
      <c r="H201" s="258">
        <f>IF(ISBLANK((VLOOKUP($A201,'local-plan-data'!$C$1:$AD$566,27,FALSE)))=TRUE,"",VLOOKUP($A201,'local-plan-data'!$C$1:$AD$566,27,FALSE))</f>
        <v>43550</v>
      </c>
      <c r="I201" s="259">
        <f>VLOOKUP($A201,'local-plan-data'!$C$1:$AD$566,28,FALSE)</f>
        <v>1335</v>
      </c>
      <c r="J201" s="260">
        <f t="shared" si="217"/>
        <v>1335</v>
      </c>
      <c r="K201" s="259">
        <f t="shared" si="197"/>
        <v>1335</v>
      </c>
      <c r="L201" s="259">
        <f t="shared" si="201"/>
        <v>1335</v>
      </c>
      <c r="M201" s="259">
        <f t="shared" si="201"/>
        <v>1335</v>
      </c>
      <c r="N201" s="259">
        <f t="shared" si="201"/>
        <v>1335</v>
      </c>
      <c r="O201" s="259">
        <f t="shared" si="201"/>
        <v>1335</v>
      </c>
      <c r="P201" s="259">
        <f t="shared" si="201"/>
        <v>1335</v>
      </c>
      <c r="Q201" s="259" t="str">
        <f t="shared" si="201"/>
        <v>-</v>
      </c>
      <c r="R201" s="259" t="str">
        <f t="shared" si="201"/>
        <v>-</v>
      </c>
      <c r="S201" s="259">
        <f t="shared" si="198"/>
        <v>2186</v>
      </c>
      <c r="T201" s="259">
        <f t="shared" si="202"/>
        <v>1821</v>
      </c>
      <c r="U201" s="259">
        <f t="shared" si="202"/>
        <v>1455</v>
      </c>
      <c r="V201" s="259">
        <f t="shared" si="202"/>
        <v>1090</v>
      </c>
      <c r="W201" s="259">
        <f t="shared" si="202"/>
        <v>725</v>
      </c>
      <c r="X201" s="259">
        <f t="shared" si="202"/>
        <v>360</v>
      </c>
      <c r="Y201" s="259">
        <f t="shared" si="202"/>
        <v>-6</v>
      </c>
      <c r="Z201" s="259">
        <f t="shared" si="202"/>
        <v>-371</v>
      </c>
      <c r="AA201" s="267">
        <f>(VLOOKUP(A201,Hshldprojections2014!$A$2:$AW$319,40, FALSE)-VLOOKUP(A201,Hshldprojections2014!$A$2:$AW$319,30, FALSE))/10</f>
        <v>559.29999999999995</v>
      </c>
      <c r="AB201" s="267">
        <f>(VLOOKUP(A201,Hshldprojections2014!$A$2:$AW$319,41, FALSE)-VLOOKUP(A201,Hshldprojections2014!$A$2:$AW$319,31, FALSE))/10</f>
        <v>556.1</v>
      </c>
      <c r="AC201" s="267">
        <f>(VLOOKUP(A201,Hshldprojections2014!$A$2:$AW$319,42, FALSE)-VLOOKUP(A201,Hshldprojections2014!$A$2:$AW$319,32, FALSE))/10</f>
        <v>559.4</v>
      </c>
      <c r="AD201" s="267">
        <f>IF(IndividualLATest!$J$7=2014,(VLOOKUP($A201,Hshldprojections2014!$A$2:$AY$326,43,FALSE)-VLOOKUP($A201,Hshldprojections2014!$A$2:$AY$326,33,FALSE))/10,IF(IndividualLATest!$J$7=2016,(VLOOKUP($A201,Hshldprojections2016!$A$1:$AQ$322,33,FALSE)-VLOOKUP($A201,Hshldprojections2016!$A$1:$AQ$322,23,FALSE))/10,(VLOOKUP($A201,Hshldprojections2018!$A$1:$AQ$327,33,FALSE)-VLOOKUP($A201,Hshldprojections2018!$A$1:$AQ$327,23,FALSE))/10))</f>
        <v>382.6</v>
      </c>
      <c r="AE201" s="267">
        <f>IF(IndividualLATest!$J$7=2014,(VLOOKUP($A201,Hshldprojections2014!$A$2:$AY$326,44,FALSE)-VLOOKUP($A201,Hshldprojections2014!$A$2:$AY$326,34,FALSE))/10,IF(IndividualLATest!$J$7=2016,(VLOOKUP($A201,Hshldprojections2016!$A$1:$AQ$322,34,FALSE)-VLOOKUP($A201,Hshldprojections2016!$A$1:$AQ$322,24,FALSE))/10,(VLOOKUP($A201,Hshldprojections2018!$A$1:$AQ$327,34,FALSE)-VLOOKUP($A201,Hshldprojections2018!$A$1:$AQ$327,24,FALSE))/10))</f>
        <v>404.4</v>
      </c>
      <c r="AF201" s="267">
        <f>IF(IndividualLATest!$J$7=2014,(VLOOKUP($A201,Hshldprojections2014!$A$2:$AY$326,45,FALSE)-VLOOKUP($A201,Hshldprojections2014!$A$2:$AY$326,35,FALSE))/10,IF(IndividualLATest!$J$7=2016,(VLOOKUP($A201,Hshldprojections2016!$A$1:$AQ$322,35,FALSE)-VLOOKUP($A201,Hshldprojections2016!$A$1:$AQ$322,25,FALSE))/10,(VLOOKUP($A201,Hshldprojections2018!$A$1:$AQ$327,35,FALSE)-VLOOKUP($A201,Hshldprojections2018!$A$1:$AQ$327,25,FALSE))/10))</f>
        <v>416.6</v>
      </c>
      <c r="AG201" s="267">
        <f>IF(IndividualLATest!$J$7=2014,(VLOOKUP($A201,Hshldprojections2014!$A$2:$AY$326,46,FALSE)-VLOOKUP($A201,Hshldprojections2014!$A$2:$AY$326,36,FALSE))/10,IF(IndividualLATest!$J$7=2016,(VLOOKUP($A201,Hshldprojections2016!$A$1:$AQ$322,36,FALSE)-VLOOKUP($A201,Hshldprojections2016!$A$1:$AQ$322,26,FALSE))/10,(VLOOKUP($A201,Hshldprojections2018!$A$1:$AQ$327,36,FALSE)-VLOOKUP($A201,Hshldprojections2018!$A$1:$AQ$327,26,FALSE))/10))</f>
        <v>422</v>
      </c>
      <c r="AH201" s="267">
        <f>IF(IndividualLATest!$J$7=2014,(VLOOKUP($A201,Hshldprojections2014!$A$2:$AY$326,47,FALSE)-VLOOKUP($A201,Hshldprojections2014!$A$2:$AY$326,37,FALSE))/10,IF(IndividualLATest!$J$7=2016,(VLOOKUP($A201,Hshldprojections2016!$A$1:$AQ$322,37,FALSE)-VLOOKUP($A201,Hshldprojections2016!$A$1:$AQ$322,27,FALSE))/10,(VLOOKUP($A201,Hshldprojections2018!$A$1:$AQ$327,37,FALSE)-VLOOKUP($A201,Hshldprojections2018!$A$1:$AQ$327,27,FALSE))/10))</f>
        <v>427.7</v>
      </c>
      <c r="AI201" s="268">
        <f>VLOOKUP($A201,AffordabilityRatio!$A$2:$I$321,5,FALSE)</f>
        <v>6.05</v>
      </c>
      <c r="AJ201" s="268">
        <f>VLOOKUP($A201,AffordabilityRatio!$A$2:$I$321,6,FALSE)</f>
        <v>6.11</v>
      </c>
      <c r="AK201" s="268">
        <f>VLOOKUP($A201,AffordabilityRatio!$A$2:$I$321,7,FALSE)</f>
        <v>6.44</v>
      </c>
      <c r="AL201" s="268">
        <f>IF((VLOOKUP($A201,AffordabilityRatio!$A$2:$I$321,8,FALSE))="",AK201,VLOOKUP($A201,AffordabilityRatio!$A$2:$I$321,8,FALSE))</f>
        <v>6.14</v>
      </c>
      <c r="AM201" s="268">
        <f>IF((VLOOKUP($A201,AffordabilityRatio!$A$2:$I$321,9,FALSE))="",AL201,VLOOKUP($A201,AffordabilityRatio!$A$2:$I$321,9,FALSE))</f>
        <v>7.27</v>
      </c>
      <c r="AN201" s="268">
        <f>IF((VLOOKUP($A201,AffordabilityRatio!$A$2:$I$321,9,FALSE))="",AM201,VLOOKUP($A201,AffordabilityRatio!$A$2:$I$321,9,FALSE))</f>
        <v>7.27</v>
      </c>
      <c r="AO201" s="268">
        <f>IF((VLOOKUP($A201,AffordabilityRatio!$A$2:$I$321,9,FALSE))="",AN201,VLOOKUP($A201,AffordabilityRatio!$A$2:$I$321,9,FALSE))</f>
        <v>7.27</v>
      </c>
      <c r="AP201" s="268">
        <f>IF((VLOOKUP($A201,AffordabilityRatio!$A$2:$I$321,9,FALSE))="",AO201,VLOOKUP($A201,AffordabilityRatio!$A$2:$I$321,9,FALSE))</f>
        <v>7.27</v>
      </c>
      <c r="AQ201" s="267">
        <f t="shared" si="218"/>
        <v>631</v>
      </c>
      <c r="AR201" s="267">
        <f t="shared" si="219"/>
        <v>629</v>
      </c>
      <c r="AS201" s="267">
        <f t="shared" si="220"/>
        <v>645</v>
      </c>
      <c r="AT201" s="267">
        <f t="shared" si="221"/>
        <v>434</v>
      </c>
      <c r="AU201" s="267">
        <f t="shared" si="222"/>
        <v>487</v>
      </c>
      <c r="AV201" s="267">
        <f t="shared" si="223"/>
        <v>502</v>
      </c>
      <c r="AW201" s="267">
        <f t="shared" si="224"/>
        <v>508</v>
      </c>
      <c r="AX201" s="267">
        <f t="shared" si="225"/>
        <v>515</v>
      </c>
      <c r="AY201" s="267">
        <f t="shared" si="226"/>
        <v>631</v>
      </c>
      <c r="AZ201" s="267">
        <f t="shared" si="227"/>
        <v>629</v>
      </c>
      <c r="BA201" s="267">
        <f t="shared" si="228"/>
        <v>645</v>
      </c>
      <c r="BB201" s="267">
        <f t="shared" si="229"/>
        <v>434</v>
      </c>
      <c r="BC201" s="267">
        <f t="shared" si="230"/>
        <v>487</v>
      </c>
      <c r="BD201" s="267">
        <f t="shared" si="231"/>
        <v>502</v>
      </c>
      <c r="BE201" s="267">
        <f t="shared" si="232"/>
        <v>508</v>
      </c>
      <c r="BF201" s="267">
        <f t="shared" si="233"/>
        <v>515</v>
      </c>
      <c r="BG201" s="269">
        <f>AY201*VLOOKUP($B201,'Major Cities &amp; Towns'!$A$28:$B$345,2,FALSE)</f>
        <v>851.85</v>
      </c>
      <c r="BH201" s="269">
        <f>AZ201*VLOOKUP($B201,'Major Cities &amp; Towns'!$A$28:$B$345,2,FALSE)</f>
        <v>849.15000000000009</v>
      </c>
      <c r="BI201" s="269">
        <f>BA201*VLOOKUP($B201,'Major Cities &amp; Towns'!$A$28:$B$345,2,FALSE)</f>
        <v>870.75000000000011</v>
      </c>
      <c r="BJ201" s="269">
        <f>BB201*VLOOKUP($B201,'Major Cities &amp; Towns'!$A$28:$B$345,2,FALSE)</f>
        <v>585.90000000000009</v>
      </c>
      <c r="BK201" s="269">
        <f>BC201*VLOOKUP($B201,'Major Cities &amp; Towns'!$A$28:$B$345,2,FALSE)</f>
        <v>657.45</v>
      </c>
      <c r="BL201" s="269">
        <f>BD201*VLOOKUP($B201,'Major Cities &amp; Towns'!$A$28:$B$345,2,FALSE)</f>
        <v>677.7</v>
      </c>
      <c r="BM201" s="269">
        <f>BE201*VLOOKUP($B201,'Major Cities &amp; Towns'!$A$28:$B$345,2,FALSE)</f>
        <v>685.80000000000007</v>
      </c>
      <c r="BN201" s="269">
        <f>BF201*VLOOKUP($B201,'Major Cities &amp; Towns'!$A$28:$B$345,2,FALSE)</f>
        <v>695.25</v>
      </c>
      <c r="BO201" s="270">
        <f t="shared" si="234"/>
        <v>631</v>
      </c>
      <c r="BP201" s="270">
        <f t="shared" si="235"/>
        <v>629</v>
      </c>
      <c r="BQ201" s="270">
        <f t="shared" si="236"/>
        <v>645</v>
      </c>
      <c r="BR201" s="270">
        <f t="shared" si="237"/>
        <v>434</v>
      </c>
      <c r="BS201" s="270">
        <f t="shared" si="238"/>
        <v>487</v>
      </c>
      <c r="BT201" s="270">
        <f t="shared" si="239"/>
        <v>675.29315068493145</v>
      </c>
      <c r="BU201" s="270">
        <f t="shared" si="240"/>
        <v>508</v>
      </c>
      <c r="BV201" s="270">
        <f t="shared" si="241"/>
        <v>515</v>
      </c>
      <c r="BW201" s="39">
        <f>VLOOKUP($A201,NetAdditions!$A$2:$H$336,6,FALSE)</f>
        <v>869</v>
      </c>
      <c r="BX201" s="39">
        <f>VLOOKUP($A201,NetAdditions!$A$2:$H$336,7,FALSE)</f>
        <v>695</v>
      </c>
      <c r="BY201" s="39">
        <f>IF((VLOOKUP($C201,NetAdditions!$A$2:$H$336,8,FALSE))="",(AVERAGE(VLOOKUP($C201,NetAdditions!$A$2:$H$336,5,FALSE),VLOOKUP($C201,NetAdditions!$A$2:$H$336,6,FALSE),VLOOKUP($C201,NetAdditions!$A$2:$H$336,7,FALSE))),VLOOKUP($C201,NetAdditions!$A$2:$H$336,8,FALSE))</f>
        <v>537</v>
      </c>
      <c r="BZ201" s="39">
        <f t="shared" si="242"/>
        <v>700.33333333333337</v>
      </c>
      <c r="CA201" s="39">
        <f t="shared" si="243"/>
        <v>644.1111111111112</v>
      </c>
      <c r="CB201" s="39">
        <f t="shared" si="244"/>
        <v>627.14814814814827</v>
      </c>
      <c r="CC201" s="39">
        <f t="shared" si="245"/>
        <v>657.19753086419757</v>
      </c>
      <c r="CD201" s="39">
        <f t="shared" si="246"/>
        <v>642.81893004115238</v>
      </c>
      <c r="CE201" s="276">
        <f t="shared" si="203"/>
        <v>1905</v>
      </c>
      <c r="CF201" s="276">
        <f t="shared" si="204"/>
        <v>1708</v>
      </c>
      <c r="CG201" s="276">
        <f t="shared" si="205"/>
        <v>1566</v>
      </c>
      <c r="CH201" s="276">
        <f t="shared" si="206"/>
        <v>1596.2931506849313</v>
      </c>
      <c r="CI201" s="276">
        <f t="shared" si="207"/>
        <v>1670.2931506849313</v>
      </c>
      <c r="CJ201" s="276">
        <f t="shared" si="208"/>
        <v>1698.2931506849313</v>
      </c>
      <c r="CK201" s="276">
        <f t="shared" si="247"/>
        <v>1640.4166666666667</v>
      </c>
      <c r="CL201" s="276">
        <f t="shared" si="248"/>
        <v>1470.7777777777778</v>
      </c>
      <c r="CM201" s="276">
        <f t="shared" si="249"/>
        <v>1435.5</v>
      </c>
      <c r="CN201" s="276">
        <f t="shared" si="250"/>
        <v>1596.2931506849313</v>
      </c>
      <c r="CO201" s="276">
        <f t="shared" si="251"/>
        <v>1670.2931506849313</v>
      </c>
      <c r="CP201" s="276">
        <f t="shared" si="252"/>
        <v>1698.2931506849313</v>
      </c>
      <c r="CQ201" s="39">
        <f t="shared" si="209"/>
        <v>2101</v>
      </c>
      <c r="CR201" s="39">
        <f t="shared" si="210"/>
        <v>1932.3333333333335</v>
      </c>
      <c r="CS201" s="277">
        <f t="shared" si="211"/>
        <v>1881.4444444444448</v>
      </c>
      <c r="CT201" s="39">
        <f t="shared" si="212"/>
        <v>1971.5925925925928</v>
      </c>
      <c r="CU201" s="39">
        <f t="shared" si="213"/>
        <v>1928.4567901234573</v>
      </c>
      <c r="CV201" s="39">
        <f t="shared" si="253"/>
        <v>1927.1646090534982</v>
      </c>
      <c r="CW201" s="297">
        <f t="shared" si="214"/>
        <v>1.2807721615443231</v>
      </c>
      <c r="CX201" s="279" t="str">
        <f t="shared" si="254"/>
        <v>Pass</v>
      </c>
      <c r="CY201" s="278">
        <f t="shared" si="215"/>
        <v>1.313817330210773</v>
      </c>
      <c r="CZ201" s="279" t="str">
        <f t="shared" si="255"/>
        <v>Pass</v>
      </c>
      <c r="DA201" s="278">
        <f t="shared" si="216"/>
        <v>1.310654437091219</v>
      </c>
      <c r="DB201" s="292" t="str">
        <f t="shared" si="256"/>
        <v>Pass</v>
      </c>
      <c r="DC201" s="299">
        <f t="shared" si="257"/>
        <v>1.2351068422154348</v>
      </c>
      <c r="DD201" s="293" t="str">
        <f t="shared" si="258"/>
        <v>Pass</v>
      </c>
      <c r="DE201" s="299">
        <f t="shared" si="259"/>
        <v>1.1545618739636583</v>
      </c>
      <c r="DF201" s="293" t="str">
        <f t="shared" si="260"/>
        <v>Pass</v>
      </c>
      <c r="DG201" s="299">
        <f t="shared" si="261"/>
        <v>1.1347655781784562</v>
      </c>
      <c r="DH201" s="293" t="str">
        <f t="shared" si="262"/>
        <v>Pass</v>
      </c>
    </row>
    <row r="202" spans="1:112" ht="15" thickTop="1" thickBot="1">
      <c r="A202" s="38" t="s">
        <v>514</v>
      </c>
      <c r="B202" s="38" t="s">
        <v>515</v>
      </c>
      <c r="C202" s="38" t="s">
        <v>514</v>
      </c>
      <c r="D202" s="38" t="s">
        <v>113</v>
      </c>
      <c r="E202" s="38" t="str">
        <f>VLOOKUP(C202,PoliticalControl!A:K,11,FALSE)</f>
        <v>NOC</v>
      </c>
      <c r="F202" s="38" t="str">
        <f>VLOOKUP(C202,UrbanRuralClassification!A:N,13,FALSE)</f>
        <v>Urban with City and Town</v>
      </c>
      <c r="G202" s="38" t="str">
        <f>VLOOKUP(C202,UrbanRuralClassification!A:N,14,FALSE)</f>
        <v>Predominantly Urban</v>
      </c>
      <c r="H202" s="258">
        <f>IF(ISBLANK((VLOOKUP($A202,'local-plan-data'!$C$1:$AD$566,27,FALSE)))=TRUE,"",VLOOKUP($A202,'local-plan-data'!$C$1:$AD$566,27,FALSE))</f>
        <v>40932</v>
      </c>
      <c r="I202" s="259">
        <f>VLOOKUP($A202,'local-plan-data'!$C$1:$AD$566,28,FALSE)</f>
        <v>418.64705882352939</v>
      </c>
      <c r="J202" s="260">
        <f t="shared" si="217"/>
        <v>418.64705882352939</v>
      </c>
      <c r="K202" s="259" t="str">
        <f t="shared" si="197"/>
        <v>-</v>
      </c>
      <c r="L202" s="259" t="str">
        <f t="shared" si="201"/>
        <v>-</v>
      </c>
      <c r="M202" s="259" t="str">
        <f t="shared" si="201"/>
        <v>-</v>
      </c>
      <c r="N202" s="259" t="str">
        <f t="shared" si="201"/>
        <v>-</v>
      </c>
      <c r="O202" s="259" t="str">
        <f t="shared" si="201"/>
        <v>-</v>
      </c>
      <c r="P202" s="259" t="str">
        <f t="shared" si="201"/>
        <v>-</v>
      </c>
      <c r="Q202" s="259" t="str">
        <f t="shared" si="201"/>
        <v>-</v>
      </c>
      <c r="R202" s="259" t="str">
        <f t="shared" si="201"/>
        <v>-</v>
      </c>
      <c r="S202" s="259">
        <f t="shared" si="198"/>
        <v>-432</v>
      </c>
      <c r="T202" s="259">
        <f t="shared" si="202"/>
        <v>-797</v>
      </c>
      <c r="U202" s="259">
        <f t="shared" si="202"/>
        <v>-1163</v>
      </c>
      <c r="V202" s="259">
        <f t="shared" si="202"/>
        <v>-1528</v>
      </c>
      <c r="W202" s="259">
        <f t="shared" si="202"/>
        <v>-1893</v>
      </c>
      <c r="X202" s="259">
        <f t="shared" si="202"/>
        <v>-2258</v>
      </c>
      <c r="Y202" s="259">
        <f t="shared" si="202"/>
        <v>-2624</v>
      </c>
      <c r="Z202" s="259">
        <f t="shared" si="202"/>
        <v>-2989</v>
      </c>
      <c r="AA202" s="267">
        <f>(VLOOKUP(A202,Hshldprojections2014!$A$2:$AW$319,40, FALSE)-VLOOKUP(A202,Hshldprojections2014!$A$2:$AW$319,30, FALSE))/10</f>
        <v>718.7</v>
      </c>
      <c r="AB202" s="267">
        <f>(VLOOKUP(A202,Hshldprojections2014!$A$2:$AW$319,41, FALSE)-VLOOKUP(A202,Hshldprojections2014!$A$2:$AW$319,31, FALSE))/10</f>
        <v>723.8</v>
      </c>
      <c r="AC202" s="267">
        <f>(VLOOKUP(A202,Hshldprojections2014!$A$2:$AW$319,42, FALSE)-VLOOKUP(A202,Hshldprojections2014!$A$2:$AW$319,32, FALSE))/10</f>
        <v>728.3</v>
      </c>
      <c r="AD202" s="267">
        <f>IF(IndividualLATest!$J$7=2014,(VLOOKUP($A202,Hshldprojections2014!$A$2:$AY$326,43,FALSE)-VLOOKUP($A202,Hshldprojections2014!$A$2:$AY$326,33,FALSE))/10,IF(IndividualLATest!$J$7=2016,(VLOOKUP($A202,Hshldprojections2016!$A$1:$AQ$322,33,FALSE)-VLOOKUP($A202,Hshldprojections2016!$A$1:$AQ$322,23,FALSE))/10,(VLOOKUP($A202,Hshldprojections2018!$A$1:$AQ$327,33,FALSE)-VLOOKUP($A202,Hshldprojections2018!$A$1:$AQ$327,23,FALSE))/10))</f>
        <v>334.9</v>
      </c>
      <c r="AE202" s="267">
        <f>IF(IndividualLATest!$J$7=2014,(VLOOKUP($A202,Hshldprojections2014!$A$2:$AY$326,44,FALSE)-VLOOKUP($A202,Hshldprojections2014!$A$2:$AY$326,34,FALSE))/10,IF(IndividualLATest!$J$7=2016,(VLOOKUP($A202,Hshldprojections2016!$A$1:$AQ$322,34,FALSE)-VLOOKUP($A202,Hshldprojections2016!$A$1:$AQ$322,24,FALSE))/10,(VLOOKUP($A202,Hshldprojections2018!$A$1:$AQ$327,34,FALSE)-VLOOKUP($A202,Hshldprojections2018!$A$1:$AQ$327,24,FALSE))/10))</f>
        <v>347.5</v>
      </c>
      <c r="AF202" s="267">
        <f>IF(IndividualLATest!$J$7=2014,(VLOOKUP($A202,Hshldprojections2014!$A$2:$AY$326,45,FALSE)-VLOOKUP($A202,Hshldprojections2014!$A$2:$AY$326,35,FALSE))/10,IF(IndividualLATest!$J$7=2016,(VLOOKUP($A202,Hshldprojections2016!$A$1:$AQ$322,35,FALSE)-VLOOKUP($A202,Hshldprojections2016!$A$1:$AQ$322,25,FALSE))/10,(VLOOKUP($A202,Hshldprojections2018!$A$1:$AQ$327,35,FALSE)-VLOOKUP($A202,Hshldprojections2018!$A$1:$AQ$327,25,FALSE))/10))</f>
        <v>356.6</v>
      </c>
      <c r="AG202" s="267">
        <f>IF(IndividualLATest!$J$7=2014,(VLOOKUP($A202,Hshldprojections2014!$A$2:$AY$326,46,FALSE)-VLOOKUP($A202,Hshldprojections2014!$A$2:$AY$326,36,FALSE))/10,IF(IndividualLATest!$J$7=2016,(VLOOKUP($A202,Hshldprojections2016!$A$1:$AQ$322,36,FALSE)-VLOOKUP($A202,Hshldprojections2016!$A$1:$AQ$322,26,FALSE))/10,(VLOOKUP($A202,Hshldprojections2018!$A$1:$AQ$327,36,FALSE)-VLOOKUP($A202,Hshldprojections2018!$A$1:$AQ$327,26,FALSE))/10))</f>
        <v>359.8</v>
      </c>
      <c r="AH202" s="267">
        <f>IF(IndividualLATest!$J$7=2014,(VLOOKUP($A202,Hshldprojections2014!$A$2:$AY$326,47,FALSE)-VLOOKUP($A202,Hshldprojections2014!$A$2:$AY$326,37,FALSE))/10,IF(IndividualLATest!$J$7=2016,(VLOOKUP($A202,Hshldprojections2016!$A$1:$AQ$322,37,FALSE)-VLOOKUP($A202,Hshldprojections2016!$A$1:$AQ$322,27,FALSE))/10,(VLOOKUP($A202,Hshldprojections2018!$A$1:$AQ$327,37,FALSE)-VLOOKUP($A202,Hshldprojections2018!$A$1:$AQ$327,27,FALSE))/10))</f>
        <v>363.6</v>
      </c>
      <c r="AI202" s="268">
        <f>VLOOKUP($A202,AffordabilityRatio!$A$2:$I$321,5,FALSE)</f>
        <v>7.08</v>
      </c>
      <c r="AJ202" s="268">
        <f>VLOOKUP($A202,AffordabilityRatio!$A$2:$I$321,6,FALSE)</f>
        <v>7.1</v>
      </c>
      <c r="AK202" s="268">
        <f>VLOOKUP($A202,AffordabilityRatio!$A$2:$I$321,7,FALSE)</f>
        <v>6.78</v>
      </c>
      <c r="AL202" s="268">
        <f>IF((VLOOKUP($A202,AffordabilityRatio!$A$2:$I$321,8,FALSE))="",AK202,VLOOKUP($A202,AffordabilityRatio!$A$2:$I$321,8,FALSE))</f>
        <v>6.63</v>
      </c>
      <c r="AM202" s="268">
        <f>IF((VLOOKUP($A202,AffordabilityRatio!$A$2:$I$321,9,FALSE))="",AL202,VLOOKUP($A202,AffordabilityRatio!$A$2:$I$321,9,FALSE))</f>
        <v>7.54</v>
      </c>
      <c r="AN202" s="268">
        <f>IF((VLOOKUP($A202,AffordabilityRatio!$A$2:$I$321,9,FALSE))="",AM202,VLOOKUP($A202,AffordabilityRatio!$A$2:$I$321,9,FALSE))</f>
        <v>7.54</v>
      </c>
      <c r="AO202" s="268">
        <f>IF((VLOOKUP($A202,AffordabilityRatio!$A$2:$I$321,9,FALSE))="",AN202,VLOOKUP($A202,AffordabilityRatio!$A$2:$I$321,9,FALSE))</f>
        <v>7.54</v>
      </c>
      <c r="AP202" s="268">
        <f>IF((VLOOKUP($A202,AffordabilityRatio!$A$2:$I$321,9,FALSE))="",AO202,VLOOKUP($A202,AffordabilityRatio!$A$2:$I$321,9,FALSE))</f>
        <v>7.54</v>
      </c>
      <c r="AQ202" s="267">
        <f t="shared" si="218"/>
        <v>857</v>
      </c>
      <c r="AR202" s="267">
        <f t="shared" si="219"/>
        <v>864</v>
      </c>
      <c r="AS202" s="267">
        <f t="shared" si="220"/>
        <v>855</v>
      </c>
      <c r="AT202" s="267">
        <f t="shared" si="221"/>
        <v>390</v>
      </c>
      <c r="AU202" s="267">
        <f t="shared" si="222"/>
        <v>424</v>
      </c>
      <c r="AV202" s="267">
        <f t="shared" si="223"/>
        <v>435</v>
      </c>
      <c r="AW202" s="267">
        <f t="shared" si="224"/>
        <v>439</v>
      </c>
      <c r="AX202" s="267">
        <f t="shared" si="225"/>
        <v>444</v>
      </c>
      <c r="AY202" s="267">
        <f t="shared" si="226"/>
        <v>857</v>
      </c>
      <c r="AZ202" s="267">
        <f t="shared" si="227"/>
        <v>864</v>
      </c>
      <c r="BA202" s="267">
        <f t="shared" si="228"/>
        <v>855</v>
      </c>
      <c r="BB202" s="267">
        <f t="shared" si="229"/>
        <v>390</v>
      </c>
      <c r="BC202" s="267">
        <f t="shared" si="230"/>
        <v>424</v>
      </c>
      <c r="BD202" s="267">
        <f t="shared" si="231"/>
        <v>435</v>
      </c>
      <c r="BE202" s="267">
        <f t="shared" si="232"/>
        <v>439</v>
      </c>
      <c r="BF202" s="267">
        <f t="shared" si="233"/>
        <v>444</v>
      </c>
      <c r="BG202" s="269">
        <f>AY202*VLOOKUP($B202,'Major Cities &amp; Towns'!$A$28:$B$345,2,FALSE)</f>
        <v>857</v>
      </c>
      <c r="BH202" s="269">
        <f>AZ202*VLOOKUP($B202,'Major Cities &amp; Towns'!$A$28:$B$345,2,FALSE)</f>
        <v>864</v>
      </c>
      <c r="BI202" s="269">
        <f>BA202*VLOOKUP($B202,'Major Cities &amp; Towns'!$A$28:$B$345,2,FALSE)</f>
        <v>855</v>
      </c>
      <c r="BJ202" s="269">
        <f>BB202*VLOOKUP($B202,'Major Cities &amp; Towns'!$A$28:$B$345,2,FALSE)</f>
        <v>390</v>
      </c>
      <c r="BK202" s="269">
        <f>BC202*VLOOKUP($B202,'Major Cities &amp; Towns'!$A$28:$B$345,2,FALSE)</f>
        <v>424</v>
      </c>
      <c r="BL202" s="269">
        <f>BD202*VLOOKUP($B202,'Major Cities &amp; Towns'!$A$28:$B$345,2,FALSE)</f>
        <v>435</v>
      </c>
      <c r="BM202" s="269">
        <f>BE202*VLOOKUP($B202,'Major Cities &amp; Towns'!$A$28:$B$345,2,FALSE)</f>
        <v>439</v>
      </c>
      <c r="BN202" s="269">
        <f>BF202*VLOOKUP($B202,'Major Cities &amp; Towns'!$A$28:$B$345,2,FALSE)</f>
        <v>444</v>
      </c>
      <c r="BO202" s="270">
        <f t="shared" si="234"/>
        <v>857</v>
      </c>
      <c r="BP202" s="270">
        <f t="shared" si="235"/>
        <v>864</v>
      </c>
      <c r="BQ202" s="270">
        <f t="shared" si="236"/>
        <v>855</v>
      </c>
      <c r="BR202" s="270">
        <f t="shared" si="237"/>
        <v>390</v>
      </c>
      <c r="BS202" s="270">
        <f t="shared" si="238"/>
        <v>424</v>
      </c>
      <c r="BT202" s="270">
        <f t="shared" si="239"/>
        <v>435</v>
      </c>
      <c r="BU202" s="270">
        <f t="shared" si="240"/>
        <v>439</v>
      </c>
      <c r="BV202" s="270">
        <f t="shared" si="241"/>
        <v>444</v>
      </c>
      <c r="BW202" s="39">
        <f>VLOOKUP($A202,NetAdditions!$A$2:$H$336,6,FALSE)</f>
        <v>183</v>
      </c>
      <c r="BX202" s="39">
        <f>VLOOKUP($A202,NetAdditions!$A$2:$H$336,7,FALSE)</f>
        <v>168</v>
      </c>
      <c r="BY202" s="39">
        <f>IF((VLOOKUP($C202,NetAdditions!$A$2:$H$336,8,FALSE))="",(AVERAGE(VLOOKUP($C202,NetAdditions!$A$2:$H$336,5,FALSE),VLOOKUP($C202,NetAdditions!$A$2:$H$336,6,FALSE),VLOOKUP($C202,NetAdditions!$A$2:$H$336,7,FALSE))),VLOOKUP($C202,NetAdditions!$A$2:$H$336,8,FALSE))</f>
        <v>285</v>
      </c>
      <c r="BZ202" s="39">
        <f t="shared" si="242"/>
        <v>212</v>
      </c>
      <c r="CA202" s="39">
        <f t="shared" si="243"/>
        <v>221.66666666666666</v>
      </c>
      <c r="CB202" s="39">
        <f t="shared" si="244"/>
        <v>239.55555555555554</v>
      </c>
      <c r="CC202" s="39">
        <f t="shared" si="245"/>
        <v>224.40740740740739</v>
      </c>
      <c r="CD202" s="39">
        <f t="shared" si="246"/>
        <v>228.54320987654319</v>
      </c>
      <c r="CE202" s="276">
        <f t="shared" si="203"/>
        <v>2576</v>
      </c>
      <c r="CF202" s="276">
        <f t="shared" si="204"/>
        <v>2109</v>
      </c>
      <c r="CG202" s="276">
        <f t="shared" si="205"/>
        <v>1669</v>
      </c>
      <c r="CH202" s="276">
        <f t="shared" si="206"/>
        <v>1249</v>
      </c>
      <c r="CI202" s="276">
        <f t="shared" si="207"/>
        <v>1298</v>
      </c>
      <c r="CJ202" s="276">
        <f t="shared" si="208"/>
        <v>1318</v>
      </c>
      <c r="CK202" s="276">
        <f t="shared" si="247"/>
        <v>2218.2222222222222</v>
      </c>
      <c r="CL202" s="276">
        <f t="shared" si="248"/>
        <v>1816.0833333333335</v>
      </c>
      <c r="CM202" s="276">
        <f t="shared" si="249"/>
        <v>1529.9166666666665</v>
      </c>
      <c r="CN202" s="276">
        <f t="shared" si="250"/>
        <v>1249</v>
      </c>
      <c r="CO202" s="276">
        <f t="shared" si="251"/>
        <v>1298</v>
      </c>
      <c r="CP202" s="276">
        <f t="shared" si="252"/>
        <v>1318</v>
      </c>
      <c r="CQ202" s="39">
        <f t="shared" si="209"/>
        <v>636</v>
      </c>
      <c r="CR202" s="39">
        <f t="shared" si="210"/>
        <v>665</v>
      </c>
      <c r="CS202" s="277">
        <f t="shared" si="211"/>
        <v>718.66666666666663</v>
      </c>
      <c r="CT202" s="39">
        <f t="shared" si="212"/>
        <v>673.22222222222217</v>
      </c>
      <c r="CU202" s="39">
        <f t="shared" si="213"/>
        <v>685.62962962962956</v>
      </c>
      <c r="CV202" s="39">
        <f t="shared" si="253"/>
        <v>692.50617283950612</v>
      </c>
      <c r="CW202" s="297">
        <f t="shared" si="214"/>
        <v>0.28671608896012823</v>
      </c>
      <c r="CX202" s="279" t="str">
        <f t="shared" si="254"/>
        <v>Buffer and Action Plan</v>
      </c>
      <c r="CY202" s="278">
        <f t="shared" si="215"/>
        <v>0.36617262423714031</v>
      </c>
      <c r="CZ202" s="279" t="str">
        <f t="shared" si="255"/>
        <v>Presumption</v>
      </c>
      <c r="DA202" s="278">
        <f t="shared" si="216"/>
        <v>0.46974236069502701</v>
      </c>
      <c r="DB202" s="292" t="str">
        <f t="shared" si="256"/>
        <v>Presumption</v>
      </c>
      <c r="DC202" s="299">
        <f t="shared" si="257"/>
        <v>0.53900898496575034</v>
      </c>
      <c r="DD202" s="293" t="str">
        <f t="shared" si="258"/>
        <v>Presumption</v>
      </c>
      <c r="DE202" s="299">
        <f t="shared" si="259"/>
        <v>0.52822005364378244</v>
      </c>
      <c r="DF202" s="293" t="str">
        <f t="shared" si="260"/>
        <v>Presumption</v>
      </c>
      <c r="DG202" s="299">
        <f t="shared" si="261"/>
        <v>0.52542198242754634</v>
      </c>
      <c r="DH202" s="293" t="str">
        <f t="shared" si="262"/>
        <v>Presumption</v>
      </c>
    </row>
    <row r="203" spans="1:112" ht="15" thickTop="1" thickBot="1">
      <c r="A203" s="38" t="s">
        <v>516</v>
      </c>
      <c r="B203" s="38" t="s">
        <v>517</v>
      </c>
      <c r="C203" s="38" t="s">
        <v>516</v>
      </c>
      <c r="D203" s="38" t="s">
        <v>116</v>
      </c>
      <c r="E203" s="38" t="str">
        <f>VLOOKUP(C203,PoliticalControl!A:K,11,FALSE)</f>
        <v>LAB</v>
      </c>
      <c r="F203" s="38" t="str">
        <f>VLOOKUP(C203,UrbanRuralClassification!A:N,13,FALSE)</f>
        <v>Urban with City and Town</v>
      </c>
      <c r="G203" s="38" t="str">
        <f>VLOOKUP(C203,UrbanRuralClassification!A:N,14,FALSE)</f>
        <v>Predominantly Urban</v>
      </c>
      <c r="H203" s="258">
        <f>IF(ISBLANK((VLOOKUP($A203,'local-plan-data'!$C$1:$AD$566,27,FALSE)))=TRUE,"",VLOOKUP($A203,'local-plan-data'!$C$1:$AD$566,27,FALSE))</f>
        <v>41108</v>
      </c>
      <c r="I203" s="259">
        <f>VLOOKUP($A203,'local-plan-data'!$C$1:$AD$566,28,FALSE)</f>
        <v>507</v>
      </c>
      <c r="J203" s="260">
        <f t="shared" si="217"/>
        <v>507</v>
      </c>
      <c r="K203" s="259" t="str">
        <f t="shared" si="197"/>
        <v>-</v>
      </c>
      <c r="L203" s="259" t="str">
        <f t="shared" si="201"/>
        <v>-</v>
      </c>
      <c r="M203" s="259" t="str">
        <f t="shared" si="201"/>
        <v>-</v>
      </c>
      <c r="N203" s="259" t="str">
        <f t="shared" si="201"/>
        <v>-</v>
      </c>
      <c r="O203" s="259" t="str">
        <f t="shared" si="201"/>
        <v>-</v>
      </c>
      <c r="P203" s="259" t="str">
        <f t="shared" si="201"/>
        <v>-</v>
      </c>
      <c r="Q203" s="259" t="str">
        <f t="shared" si="201"/>
        <v>-</v>
      </c>
      <c r="R203" s="259" t="str">
        <f t="shared" si="201"/>
        <v>-</v>
      </c>
      <c r="S203" s="259">
        <f t="shared" si="198"/>
        <v>-257</v>
      </c>
      <c r="T203" s="259">
        <f t="shared" si="202"/>
        <v>-622</v>
      </c>
      <c r="U203" s="259">
        <f t="shared" si="202"/>
        <v>-988</v>
      </c>
      <c r="V203" s="259">
        <f t="shared" si="202"/>
        <v>-1353</v>
      </c>
      <c r="W203" s="259">
        <f t="shared" si="202"/>
        <v>-1718</v>
      </c>
      <c r="X203" s="259">
        <f t="shared" si="202"/>
        <v>-2083</v>
      </c>
      <c r="Y203" s="259">
        <f t="shared" si="202"/>
        <v>-2449</v>
      </c>
      <c r="Z203" s="259">
        <f t="shared" si="202"/>
        <v>-2814</v>
      </c>
      <c r="AA203" s="267">
        <f>(VLOOKUP(A203,Hshldprojections2014!$A$2:$AW$319,40, FALSE)-VLOOKUP(A203,Hshldprojections2014!$A$2:$AW$319,30, FALSE))/10</f>
        <v>217.8</v>
      </c>
      <c r="AB203" s="267">
        <f>(VLOOKUP(A203,Hshldprojections2014!$A$2:$AW$319,41, FALSE)-VLOOKUP(A203,Hshldprojections2014!$A$2:$AW$319,31, FALSE))/10</f>
        <v>224.6</v>
      </c>
      <c r="AC203" s="267">
        <f>(VLOOKUP(A203,Hshldprojections2014!$A$2:$AW$319,42, FALSE)-VLOOKUP(A203,Hshldprojections2014!$A$2:$AW$319,32, FALSE))/10</f>
        <v>230.9</v>
      </c>
      <c r="AD203" s="267">
        <f>IF(IndividualLATest!$J$7=2014,(VLOOKUP($A203,Hshldprojections2014!$A$2:$AY$326,43,FALSE)-VLOOKUP($A203,Hshldprojections2014!$A$2:$AY$326,33,FALSE))/10,IF(IndividualLATest!$J$7=2016,(VLOOKUP($A203,Hshldprojections2016!$A$1:$AQ$322,33,FALSE)-VLOOKUP($A203,Hshldprojections2016!$A$1:$AQ$322,23,FALSE))/10,(VLOOKUP($A203,Hshldprojections2018!$A$1:$AQ$327,33,FALSE)-VLOOKUP($A203,Hshldprojections2018!$A$1:$AQ$327,23,FALSE))/10))</f>
        <v>181.3</v>
      </c>
      <c r="AE203" s="267">
        <f>IF(IndividualLATest!$J$7=2014,(VLOOKUP($A203,Hshldprojections2014!$A$2:$AY$326,44,FALSE)-VLOOKUP($A203,Hshldprojections2014!$A$2:$AY$326,34,FALSE))/10,IF(IndividualLATest!$J$7=2016,(VLOOKUP($A203,Hshldprojections2016!$A$1:$AQ$322,34,FALSE)-VLOOKUP($A203,Hshldprojections2016!$A$1:$AQ$322,24,FALSE))/10,(VLOOKUP($A203,Hshldprojections2018!$A$1:$AQ$327,34,FALSE)-VLOOKUP($A203,Hshldprojections2018!$A$1:$AQ$327,24,FALSE))/10))</f>
        <v>192.9</v>
      </c>
      <c r="AF203" s="267">
        <f>IF(IndividualLATest!$J$7=2014,(VLOOKUP($A203,Hshldprojections2014!$A$2:$AY$326,45,FALSE)-VLOOKUP($A203,Hshldprojections2014!$A$2:$AY$326,35,FALSE))/10,IF(IndividualLATest!$J$7=2016,(VLOOKUP($A203,Hshldprojections2016!$A$1:$AQ$322,35,FALSE)-VLOOKUP($A203,Hshldprojections2016!$A$1:$AQ$322,25,FALSE))/10,(VLOOKUP($A203,Hshldprojections2018!$A$1:$AQ$327,35,FALSE)-VLOOKUP($A203,Hshldprojections2018!$A$1:$AQ$327,25,FALSE))/10))</f>
        <v>202.8</v>
      </c>
      <c r="AG203" s="267">
        <f>IF(IndividualLATest!$J$7=2014,(VLOOKUP($A203,Hshldprojections2014!$A$2:$AY$326,46,FALSE)-VLOOKUP($A203,Hshldprojections2014!$A$2:$AY$326,36,FALSE))/10,IF(IndividualLATest!$J$7=2016,(VLOOKUP($A203,Hshldprojections2016!$A$1:$AQ$322,36,FALSE)-VLOOKUP($A203,Hshldprojections2016!$A$1:$AQ$322,26,FALSE))/10,(VLOOKUP($A203,Hshldprojections2018!$A$1:$AQ$327,36,FALSE)-VLOOKUP($A203,Hshldprojections2018!$A$1:$AQ$327,26,FALSE))/10))</f>
        <v>208.5</v>
      </c>
      <c r="AH203" s="267">
        <f>IF(IndividualLATest!$J$7=2014,(VLOOKUP($A203,Hshldprojections2014!$A$2:$AY$326,47,FALSE)-VLOOKUP($A203,Hshldprojections2014!$A$2:$AY$326,37,FALSE))/10,IF(IndividualLATest!$J$7=2016,(VLOOKUP($A203,Hshldprojections2016!$A$1:$AQ$322,37,FALSE)-VLOOKUP($A203,Hshldprojections2016!$A$1:$AQ$322,27,FALSE))/10,(VLOOKUP($A203,Hshldprojections2018!$A$1:$AQ$327,37,FALSE)-VLOOKUP($A203,Hshldprojections2018!$A$1:$AQ$327,27,FALSE))/10))</f>
        <v>215.3</v>
      </c>
      <c r="AI203" s="268">
        <f>VLOOKUP($A203,AffordabilityRatio!$A$2:$I$321,5,FALSE)</f>
        <v>5.39</v>
      </c>
      <c r="AJ203" s="268">
        <f>VLOOKUP($A203,AffordabilityRatio!$A$2:$I$321,6,FALSE)</f>
        <v>5.21</v>
      </c>
      <c r="AK203" s="268">
        <f>VLOOKUP($A203,AffordabilityRatio!$A$2:$I$321,7,FALSE)</f>
        <v>5.31</v>
      </c>
      <c r="AL203" s="268">
        <f>IF((VLOOKUP($A203,AffordabilityRatio!$A$2:$I$321,8,FALSE))="",AK203,VLOOKUP($A203,AffordabilityRatio!$A$2:$I$321,8,FALSE))</f>
        <v>5.59</v>
      </c>
      <c r="AM203" s="268">
        <f>IF((VLOOKUP($A203,AffordabilityRatio!$A$2:$I$321,9,FALSE))="",AL203,VLOOKUP($A203,AffordabilityRatio!$A$2:$I$321,9,FALSE))</f>
        <v>5.54</v>
      </c>
      <c r="AN203" s="268">
        <f>IF((VLOOKUP($A203,AffordabilityRatio!$A$2:$I$321,9,FALSE))="",AM203,VLOOKUP($A203,AffordabilityRatio!$A$2:$I$321,9,FALSE))</f>
        <v>5.54</v>
      </c>
      <c r="AO203" s="268">
        <f>IF((VLOOKUP($A203,AffordabilityRatio!$A$2:$I$321,9,FALSE))="",AN203,VLOOKUP($A203,AffordabilityRatio!$A$2:$I$321,9,FALSE))</f>
        <v>5.54</v>
      </c>
      <c r="AP203" s="268">
        <f>IF((VLOOKUP($A203,AffordabilityRatio!$A$2:$I$321,9,FALSE))="",AO203,VLOOKUP($A203,AffordabilityRatio!$A$2:$I$321,9,FALSE))</f>
        <v>5.54</v>
      </c>
      <c r="AQ203" s="267">
        <f t="shared" si="218"/>
        <v>237</v>
      </c>
      <c r="AR203" s="267">
        <f t="shared" si="219"/>
        <v>242</v>
      </c>
      <c r="AS203" s="267">
        <f t="shared" si="220"/>
        <v>250</v>
      </c>
      <c r="AT203" s="267">
        <f t="shared" si="221"/>
        <v>199</v>
      </c>
      <c r="AU203" s="267">
        <f t="shared" si="222"/>
        <v>211</v>
      </c>
      <c r="AV203" s="267">
        <f t="shared" si="223"/>
        <v>222</v>
      </c>
      <c r="AW203" s="267">
        <f t="shared" si="224"/>
        <v>229</v>
      </c>
      <c r="AX203" s="267">
        <f t="shared" si="225"/>
        <v>236</v>
      </c>
      <c r="AY203" s="267">
        <f t="shared" si="226"/>
        <v>237</v>
      </c>
      <c r="AZ203" s="267">
        <f t="shared" si="227"/>
        <v>242</v>
      </c>
      <c r="BA203" s="267">
        <f t="shared" si="228"/>
        <v>250</v>
      </c>
      <c r="BB203" s="267">
        <f t="shared" si="229"/>
        <v>199</v>
      </c>
      <c r="BC203" s="267">
        <f t="shared" si="230"/>
        <v>211</v>
      </c>
      <c r="BD203" s="267">
        <f t="shared" si="231"/>
        <v>222</v>
      </c>
      <c r="BE203" s="267">
        <f t="shared" si="232"/>
        <v>229</v>
      </c>
      <c r="BF203" s="267">
        <f t="shared" si="233"/>
        <v>236</v>
      </c>
      <c r="BG203" s="269">
        <f>AY203*VLOOKUP($B203,'Major Cities &amp; Towns'!$A$28:$B$345,2,FALSE)</f>
        <v>237</v>
      </c>
      <c r="BH203" s="269">
        <f>AZ203*VLOOKUP($B203,'Major Cities &amp; Towns'!$A$28:$B$345,2,FALSE)</f>
        <v>242</v>
      </c>
      <c r="BI203" s="269">
        <f>BA203*VLOOKUP($B203,'Major Cities &amp; Towns'!$A$28:$B$345,2,FALSE)</f>
        <v>250</v>
      </c>
      <c r="BJ203" s="269">
        <f>BB203*VLOOKUP($B203,'Major Cities &amp; Towns'!$A$28:$B$345,2,FALSE)</f>
        <v>199</v>
      </c>
      <c r="BK203" s="269">
        <f>BC203*VLOOKUP($B203,'Major Cities &amp; Towns'!$A$28:$B$345,2,FALSE)</f>
        <v>211</v>
      </c>
      <c r="BL203" s="269">
        <f>BD203*VLOOKUP($B203,'Major Cities &amp; Towns'!$A$28:$B$345,2,FALSE)</f>
        <v>222</v>
      </c>
      <c r="BM203" s="269">
        <f>BE203*VLOOKUP($B203,'Major Cities &amp; Towns'!$A$28:$B$345,2,FALSE)</f>
        <v>229</v>
      </c>
      <c r="BN203" s="269">
        <f>BF203*VLOOKUP($B203,'Major Cities &amp; Towns'!$A$28:$B$345,2,FALSE)</f>
        <v>236</v>
      </c>
      <c r="BO203" s="270">
        <f t="shared" si="234"/>
        <v>237</v>
      </c>
      <c r="BP203" s="270">
        <f t="shared" si="235"/>
        <v>242</v>
      </c>
      <c r="BQ203" s="270">
        <f t="shared" si="236"/>
        <v>250</v>
      </c>
      <c r="BR203" s="270">
        <f t="shared" si="237"/>
        <v>199</v>
      </c>
      <c r="BS203" s="270">
        <f t="shared" si="238"/>
        <v>211</v>
      </c>
      <c r="BT203" s="270">
        <f t="shared" si="239"/>
        <v>222</v>
      </c>
      <c r="BU203" s="270">
        <f t="shared" si="240"/>
        <v>229</v>
      </c>
      <c r="BV203" s="270">
        <f t="shared" si="241"/>
        <v>236</v>
      </c>
      <c r="BW203" s="39">
        <f>VLOOKUP($A203,NetAdditions!$A$2:$H$336,6,FALSE)</f>
        <v>785</v>
      </c>
      <c r="BX203" s="39">
        <f>VLOOKUP($A203,NetAdditions!$A$2:$H$336,7,FALSE)</f>
        <v>747</v>
      </c>
      <c r="BY203" s="39">
        <f>IF((VLOOKUP($C203,NetAdditions!$A$2:$H$336,8,FALSE))="",(AVERAGE(VLOOKUP($C203,NetAdditions!$A$2:$H$336,5,FALSE),VLOOKUP($C203,NetAdditions!$A$2:$H$336,6,FALSE),VLOOKUP($C203,NetAdditions!$A$2:$H$336,7,FALSE))),VLOOKUP($C203,NetAdditions!$A$2:$H$336,8,FALSE))</f>
        <v>909</v>
      </c>
      <c r="BZ203" s="39">
        <f t="shared" si="242"/>
        <v>813.66666666666663</v>
      </c>
      <c r="CA203" s="39">
        <f t="shared" si="243"/>
        <v>823.22222222222217</v>
      </c>
      <c r="CB203" s="39">
        <f t="shared" si="244"/>
        <v>848.62962962962956</v>
      </c>
      <c r="CC203" s="39">
        <f t="shared" si="245"/>
        <v>828.50617283950612</v>
      </c>
      <c r="CD203" s="39">
        <f t="shared" si="246"/>
        <v>833.45267489711932</v>
      </c>
      <c r="CE203" s="276">
        <f t="shared" si="203"/>
        <v>729</v>
      </c>
      <c r="CF203" s="276">
        <f t="shared" si="204"/>
        <v>691</v>
      </c>
      <c r="CG203" s="276">
        <f t="shared" si="205"/>
        <v>660</v>
      </c>
      <c r="CH203" s="276">
        <f t="shared" si="206"/>
        <v>632</v>
      </c>
      <c r="CI203" s="276">
        <f t="shared" si="207"/>
        <v>662</v>
      </c>
      <c r="CJ203" s="276">
        <f t="shared" si="208"/>
        <v>687</v>
      </c>
      <c r="CK203" s="276">
        <f t="shared" si="247"/>
        <v>627.75</v>
      </c>
      <c r="CL203" s="276">
        <f t="shared" si="248"/>
        <v>595.02777777777783</v>
      </c>
      <c r="CM203" s="276">
        <f t="shared" si="249"/>
        <v>605</v>
      </c>
      <c r="CN203" s="276">
        <f t="shared" si="250"/>
        <v>632</v>
      </c>
      <c r="CO203" s="276">
        <f t="shared" si="251"/>
        <v>662</v>
      </c>
      <c r="CP203" s="276">
        <f t="shared" si="252"/>
        <v>687</v>
      </c>
      <c r="CQ203" s="39">
        <f t="shared" si="209"/>
        <v>2441</v>
      </c>
      <c r="CR203" s="39">
        <f t="shared" si="210"/>
        <v>2469.6666666666665</v>
      </c>
      <c r="CS203" s="277">
        <f t="shared" si="211"/>
        <v>2545.8888888888887</v>
      </c>
      <c r="CT203" s="39">
        <f t="shared" si="212"/>
        <v>2485.5185185185182</v>
      </c>
      <c r="CU203" s="39">
        <f t="shared" si="213"/>
        <v>2500.358024691358</v>
      </c>
      <c r="CV203" s="39">
        <f t="shared" si="253"/>
        <v>2510.5884773662551</v>
      </c>
      <c r="CW203" s="297">
        <f t="shared" si="214"/>
        <v>3.8884906411788132</v>
      </c>
      <c r="CX203" s="279" t="str">
        <f t="shared" si="254"/>
        <v>Pass</v>
      </c>
      <c r="CY203" s="278">
        <f t="shared" si="215"/>
        <v>4.1505065123010123</v>
      </c>
      <c r="CZ203" s="279" t="str">
        <f t="shared" si="255"/>
        <v>Pass</v>
      </c>
      <c r="DA203" s="278">
        <f t="shared" si="216"/>
        <v>4.2080808080808074</v>
      </c>
      <c r="DB203" s="292" t="str">
        <f t="shared" si="256"/>
        <v>Pass</v>
      </c>
      <c r="DC203" s="299">
        <f t="shared" si="257"/>
        <v>3.9327824660103139</v>
      </c>
      <c r="DD203" s="293" t="str">
        <f t="shared" si="258"/>
        <v>Pass</v>
      </c>
      <c r="DE203" s="299">
        <f t="shared" si="259"/>
        <v>3.7769758681138339</v>
      </c>
      <c r="DF203" s="293" t="str">
        <f t="shared" si="260"/>
        <v>Pass</v>
      </c>
      <c r="DG203" s="299">
        <f t="shared" si="261"/>
        <v>3.6544228200382172</v>
      </c>
      <c r="DH203" s="293" t="str">
        <f t="shared" si="262"/>
        <v>Pass</v>
      </c>
    </row>
    <row r="204" spans="1:112" ht="15" thickTop="1" thickBot="1">
      <c r="A204" s="38" t="s">
        <v>518</v>
      </c>
      <c r="B204" s="38" t="s">
        <v>519</v>
      </c>
      <c r="C204" s="38" t="s">
        <v>518</v>
      </c>
      <c r="D204" s="38" t="s">
        <v>113</v>
      </c>
      <c r="E204" s="38" t="str">
        <f>VLOOKUP(C204,PoliticalControl!A:K,11,FALSE)</f>
        <v>LAB</v>
      </c>
      <c r="F204" s="38" t="str">
        <f>VLOOKUP(C204,UrbanRuralClassification!A:N,13,FALSE)</f>
        <v>Urban with City and Town</v>
      </c>
      <c r="G204" s="38" t="str">
        <f>VLOOKUP(C204,UrbanRuralClassification!A:N,14,FALSE)</f>
        <v>Predominantly Urban</v>
      </c>
      <c r="H204" s="258">
        <f>IF(ISBLANK((VLOOKUP($A204,'local-plan-data'!$C$1:$AD$566,27,FALSE)))=TRUE,"",VLOOKUP($A204,'local-plan-data'!$C$1:$AD$566,27,FALSE))</f>
        <v>43773</v>
      </c>
      <c r="I204" s="259">
        <f>VLOOKUP($A204,'local-plan-data'!$C$1:$AD$566,28,FALSE)</f>
        <v>689</v>
      </c>
      <c r="J204" s="260">
        <f t="shared" si="217"/>
        <v>689</v>
      </c>
      <c r="K204" s="259">
        <f t="shared" si="197"/>
        <v>689</v>
      </c>
      <c r="L204" s="259">
        <f t="shared" si="201"/>
        <v>689</v>
      </c>
      <c r="M204" s="259">
        <f t="shared" si="201"/>
        <v>689</v>
      </c>
      <c r="N204" s="259">
        <f t="shared" si="201"/>
        <v>689</v>
      </c>
      <c r="O204" s="259">
        <f t="shared" si="201"/>
        <v>689</v>
      </c>
      <c r="P204" s="259">
        <f t="shared" si="201"/>
        <v>689</v>
      </c>
      <c r="Q204" s="259">
        <f t="shared" si="201"/>
        <v>689</v>
      </c>
      <c r="R204" s="259" t="str">
        <f t="shared" si="201"/>
        <v>-</v>
      </c>
      <c r="S204" s="259">
        <f t="shared" si="198"/>
        <v>2409</v>
      </c>
      <c r="T204" s="259">
        <f t="shared" si="202"/>
        <v>2044</v>
      </c>
      <c r="U204" s="259">
        <f t="shared" si="202"/>
        <v>1678</v>
      </c>
      <c r="V204" s="259">
        <f t="shared" si="202"/>
        <v>1313</v>
      </c>
      <c r="W204" s="259">
        <f t="shared" si="202"/>
        <v>948</v>
      </c>
      <c r="X204" s="259">
        <f t="shared" si="202"/>
        <v>583</v>
      </c>
      <c r="Y204" s="259">
        <f t="shared" si="202"/>
        <v>217</v>
      </c>
      <c r="Z204" s="259">
        <f t="shared" si="202"/>
        <v>-148</v>
      </c>
      <c r="AA204" s="267">
        <f>(VLOOKUP(A204,Hshldprojections2014!$A$2:$AW$319,40, FALSE)-VLOOKUP(A204,Hshldprojections2014!$A$2:$AW$319,30, FALSE))/10</f>
        <v>487.2</v>
      </c>
      <c r="AB204" s="267">
        <f>(VLOOKUP(A204,Hshldprojections2014!$A$2:$AW$319,41, FALSE)-VLOOKUP(A204,Hshldprojections2014!$A$2:$AW$319,31, FALSE))/10</f>
        <v>491.8</v>
      </c>
      <c r="AC204" s="267">
        <f>(VLOOKUP(A204,Hshldprojections2014!$A$2:$AW$319,42, FALSE)-VLOOKUP(A204,Hshldprojections2014!$A$2:$AW$319,32, FALSE))/10</f>
        <v>493</v>
      </c>
      <c r="AD204" s="267">
        <f>IF(IndividualLATest!$J$7=2014,(VLOOKUP($A204,Hshldprojections2014!$A$2:$AY$326,43,FALSE)-VLOOKUP($A204,Hshldprojections2014!$A$2:$AY$326,33,FALSE))/10,IF(IndividualLATest!$J$7=2016,(VLOOKUP($A204,Hshldprojections2016!$A$1:$AQ$322,33,FALSE)-VLOOKUP($A204,Hshldprojections2016!$A$1:$AQ$322,23,FALSE))/10,(VLOOKUP($A204,Hshldprojections2018!$A$1:$AQ$327,33,FALSE)-VLOOKUP($A204,Hshldprojections2018!$A$1:$AQ$327,23,FALSE))/10))</f>
        <v>144.30000000000001</v>
      </c>
      <c r="AE204" s="267">
        <f>IF(IndividualLATest!$J$7=2014,(VLOOKUP($A204,Hshldprojections2014!$A$2:$AY$326,44,FALSE)-VLOOKUP($A204,Hshldprojections2014!$A$2:$AY$326,34,FALSE))/10,IF(IndividualLATest!$J$7=2016,(VLOOKUP($A204,Hshldprojections2016!$A$1:$AQ$322,34,FALSE)-VLOOKUP($A204,Hshldprojections2016!$A$1:$AQ$322,24,FALSE))/10,(VLOOKUP($A204,Hshldprojections2018!$A$1:$AQ$327,34,FALSE)-VLOOKUP($A204,Hshldprojections2018!$A$1:$AQ$327,24,FALSE))/10))</f>
        <v>155.1</v>
      </c>
      <c r="AF204" s="267">
        <f>IF(IndividualLATest!$J$7=2014,(VLOOKUP($A204,Hshldprojections2014!$A$2:$AY$326,45,FALSE)-VLOOKUP($A204,Hshldprojections2014!$A$2:$AY$326,35,FALSE))/10,IF(IndividualLATest!$J$7=2016,(VLOOKUP($A204,Hshldprojections2016!$A$1:$AQ$322,35,FALSE)-VLOOKUP($A204,Hshldprojections2016!$A$1:$AQ$322,25,FALSE))/10,(VLOOKUP($A204,Hshldprojections2018!$A$1:$AQ$327,35,FALSE)-VLOOKUP($A204,Hshldprojections2018!$A$1:$AQ$327,25,FALSE))/10))</f>
        <v>167.1</v>
      </c>
      <c r="AG204" s="267">
        <f>IF(IndividualLATest!$J$7=2014,(VLOOKUP($A204,Hshldprojections2014!$A$2:$AY$326,46,FALSE)-VLOOKUP($A204,Hshldprojections2014!$A$2:$AY$326,36,FALSE))/10,IF(IndividualLATest!$J$7=2016,(VLOOKUP($A204,Hshldprojections2016!$A$1:$AQ$322,36,FALSE)-VLOOKUP($A204,Hshldprojections2016!$A$1:$AQ$322,26,FALSE))/10,(VLOOKUP($A204,Hshldprojections2018!$A$1:$AQ$327,36,FALSE)-VLOOKUP($A204,Hshldprojections2018!$A$1:$AQ$327,26,FALSE))/10))</f>
        <v>175</v>
      </c>
      <c r="AH204" s="267">
        <f>IF(IndividualLATest!$J$7=2014,(VLOOKUP($A204,Hshldprojections2014!$A$2:$AY$326,47,FALSE)-VLOOKUP($A204,Hshldprojections2014!$A$2:$AY$326,37,FALSE))/10,IF(IndividualLATest!$J$7=2016,(VLOOKUP($A204,Hshldprojections2016!$A$1:$AQ$322,37,FALSE)-VLOOKUP($A204,Hshldprojections2016!$A$1:$AQ$322,27,FALSE))/10,(VLOOKUP($A204,Hshldprojections2018!$A$1:$AQ$327,37,FALSE)-VLOOKUP($A204,Hshldprojections2018!$A$1:$AQ$327,27,FALSE))/10))</f>
        <v>184.2</v>
      </c>
      <c r="AI204" s="268">
        <f>VLOOKUP($A204,AffordabilityRatio!$A$2:$I$321,5,FALSE)</f>
        <v>8.17</v>
      </c>
      <c r="AJ204" s="268">
        <f>VLOOKUP($A204,AffordabilityRatio!$A$2:$I$321,6,FALSE)</f>
        <v>8.52</v>
      </c>
      <c r="AK204" s="268">
        <f>VLOOKUP($A204,AffordabilityRatio!$A$2:$I$321,7,FALSE)</f>
        <v>8.98</v>
      </c>
      <c r="AL204" s="268">
        <f>IF((VLOOKUP($A204,AffordabilityRatio!$A$2:$I$321,8,FALSE))="",AK204,VLOOKUP($A204,AffordabilityRatio!$A$2:$I$321,8,FALSE))</f>
        <v>8.82</v>
      </c>
      <c r="AM204" s="268">
        <f>IF((VLOOKUP($A204,AffordabilityRatio!$A$2:$I$321,9,FALSE))="",AL204,VLOOKUP($A204,AffordabilityRatio!$A$2:$I$321,9,FALSE))</f>
        <v>9.42</v>
      </c>
      <c r="AN204" s="268">
        <f>IF((VLOOKUP($A204,AffordabilityRatio!$A$2:$I$321,9,FALSE))="",AM204,VLOOKUP($A204,AffordabilityRatio!$A$2:$I$321,9,FALSE))</f>
        <v>9.42</v>
      </c>
      <c r="AO204" s="268">
        <f>IF((VLOOKUP($A204,AffordabilityRatio!$A$2:$I$321,9,FALSE))="",AN204,VLOOKUP($A204,AffordabilityRatio!$A$2:$I$321,9,FALSE))</f>
        <v>9.42</v>
      </c>
      <c r="AP204" s="268">
        <f>IF((VLOOKUP($A204,AffordabilityRatio!$A$2:$I$321,9,FALSE))="",AO204,VLOOKUP($A204,AffordabilityRatio!$A$2:$I$321,9,FALSE))</f>
        <v>9.42</v>
      </c>
      <c r="AQ204" s="267">
        <f t="shared" si="218"/>
        <v>614</v>
      </c>
      <c r="AR204" s="267">
        <f t="shared" si="219"/>
        <v>631</v>
      </c>
      <c r="AS204" s="267">
        <f t="shared" si="220"/>
        <v>646</v>
      </c>
      <c r="AT204" s="267">
        <f t="shared" si="221"/>
        <v>188</v>
      </c>
      <c r="AU204" s="267">
        <f t="shared" si="222"/>
        <v>208</v>
      </c>
      <c r="AV204" s="267">
        <f t="shared" si="223"/>
        <v>224</v>
      </c>
      <c r="AW204" s="267">
        <f t="shared" si="224"/>
        <v>234</v>
      </c>
      <c r="AX204" s="267">
        <f t="shared" si="225"/>
        <v>247</v>
      </c>
      <c r="AY204" s="267">
        <f t="shared" si="226"/>
        <v>614</v>
      </c>
      <c r="AZ204" s="267">
        <f t="shared" si="227"/>
        <v>631</v>
      </c>
      <c r="BA204" s="267">
        <f t="shared" si="228"/>
        <v>646</v>
      </c>
      <c r="BB204" s="267">
        <f t="shared" si="229"/>
        <v>188</v>
      </c>
      <c r="BC204" s="267">
        <f t="shared" si="230"/>
        <v>208</v>
      </c>
      <c r="BD204" s="267">
        <f t="shared" si="231"/>
        <v>224</v>
      </c>
      <c r="BE204" s="267">
        <f t="shared" si="232"/>
        <v>234</v>
      </c>
      <c r="BF204" s="267">
        <f t="shared" si="233"/>
        <v>247</v>
      </c>
      <c r="BG204" s="269">
        <f>AY204*VLOOKUP($B204,'Major Cities &amp; Towns'!$A$28:$B$345,2,FALSE)</f>
        <v>828.90000000000009</v>
      </c>
      <c r="BH204" s="269">
        <f>AZ204*VLOOKUP($B204,'Major Cities &amp; Towns'!$A$28:$B$345,2,FALSE)</f>
        <v>851.85</v>
      </c>
      <c r="BI204" s="269">
        <f>BA204*VLOOKUP($B204,'Major Cities &amp; Towns'!$A$28:$B$345,2,FALSE)</f>
        <v>872.1</v>
      </c>
      <c r="BJ204" s="269">
        <f>BB204*VLOOKUP($B204,'Major Cities &amp; Towns'!$A$28:$B$345,2,FALSE)</f>
        <v>253.8</v>
      </c>
      <c r="BK204" s="269">
        <f>BC204*VLOOKUP($B204,'Major Cities &amp; Towns'!$A$28:$B$345,2,FALSE)</f>
        <v>280.8</v>
      </c>
      <c r="BL204" s="269">
        <f>BD204*VLOOKUP($B204,'Major Cities &amp; Towns'!$A$28:$B$345,2,FALSE)</f>
        <v>302.40000000000003</v>
      </c>
      <c r="BM204" s="269">
        <f>BE204*VLOOKUP($B204,'Major Cities &amp; Towns'!$A$28:$B$345,2,FALSE)</f>
        <v>315.90000000000003</v>
      </c>
      <c r="BN204" s="269">
        <f>BF204*VLOOKUP($B204,'Major Cities &amp; Towns'!$A$28:$B$345,2,FALSE)</f>
        <v>333.45000000000005</v>
      </c>
      <c r="BO204" s="270">
        <f t="shared" si="234"/>
        <v>614</v>
      </c>
      <c r="BP204" s="270">
        <f t="shared" si="235"/>
        <v>631</v>
      </c>
      <c r="BQ204" s="270">
        <f t="shared" si="236"/>
        <v>646</v>
      </c>
      <c r="BR204" s="270">
        <f t="shared" si="237"/>
        <v>188</v>
      </c>
      <c r="BS204" s="270">
        <f t="shared" si="238"/>
        <v>208</v>
      </c>
      <c r="BT204" s="270">
        <f t="shared" si="239"/>
        <v>224</v>
      </c>
      <c r="BU204" s="270">
        <f t="shared" si="240"/>
        <v>282.69123287671232</v>
      </c>
      <c r="BV204" s="270">
        <f t="shared" si="241"/>
        <v>247</v>
      </c>
      <c r="BW204" s="39">
        <f>VLOOKUP($A204,NetAdditions!$A$2:$H$336,6,FALSE)</f>
        <v>910</v>
      </c>
      <c r="BX204" s="39">
        <f>VLOOKUP($A204,NetAdditions!$A$2:$H$336,7,FALSE)</f>
        <v>521</v>
      </c>
      <c r="BY204" s="39">
        <f>IF((VLOOKUP($C204,NetAdditions!$A$2:$H$336,8,FALSE))="",(AVERAGE(VLOOKUP($C204,NetAdditions!$A$2:$H$336,5,FALSE),VLOOKUP($C204,NetAdditions!$A$2:$H$336,6,FALSE),VLOOKUP($C204,NetAdditions!$A$2:$H$336,7,FALSE))),VLOOKUP($C204,NetAdditions!$A$2:$H$336,8,FALSE))</f>
        <v>408</v>
      </c>
      <c r="BZ204" s="39">
        <f t="shared" si="242"/>
        <v>613</v>
      </c>
      <c r="CA204" s="39">
        <f t="shared" si="243"/>
        <v>514</v>
      </c>
      <c r="CB204" s="39">
        <f t="shared" si="244"/>
        <v>511.66666666666669</v>
      </c>
      <c r="CC204" s="39">
        <f t="shared" si="245"/>
        <v>546.22222222222229</v>
      </c>
      <c r="CD204" s="39">
        <f t="shared" si="246"/>
        <v>523.96296296296305</v>
      </c>
      <c r="CE204" s="276">
        <f t="shared" si="203"/>
        <v>1891</v>
      </c>
      <c r="CF204" s="276">
        <f t="shared" si="204"/>
        <v>1465</v>
      </c>
      <c r="CG204" s="276">
        <f t="shared" si="205"/>
        <v>1042</v>
      </c>
      <c r="CH204" s="276">
        <f t="shared" si="206"/>
        <v>620</v>
      </c>
      <c r="CI204" s="276">
        <f t="shared" si="207"/>
        <v>714.69123287671232</v>
      </c>
      <c r="CJ204" s="276">
        <f t="shared" si="208"/>
        <v>753.69123287671232</v>
      </c>
      <c r="CK204" s="276">
        <f t="shared" si="247"/>
        <v>1628.3611111111113</v>
      </c>
      <c r="CL204" s="276">
        <f t="shared" si="248"/>
        <v>1261.5277777777778</v>
      </c>
      <c r="CM204" s="276">
        <f t="shared" si="249"/>
        <v>955.16666666666663</v>
      </c>
      <c r="CN204" s="276">
        <f t="shared" si="250"/>
        <v>620</v>
      </c>
      <c r="CO204" s="276">
        <f t="shared" si="251"/>
        <v>714.69123287671232</v>
      </c>
      <c r="CP204" s="276">
        <f t="shared" si="252"/>
        <v>753.69123287671232</v>
      </c>
      <c r="CQ204" s="39">
        <f t="shared" si="209"/>
        <v>1839</v>
      </c>
      <c r="CR204" s="39">
        <f t="shared" si="210"/>
        <v>1542</v>
      </c>
      <c r="CS204" s="277">
        <f t="shared" si="211"/>
        <v>1535</v>
      </c>
      <c r="CT204" s="39">
        <f t="shared" si="212"/>
        <v>1638.6666666666667</v>
      </c>
      <c r="CU204" s="39">
        <f t="shared" si="213"/>
        <v>1571.8888888888891</v>
      </c>
      <c r="CV204" s="39">
        <f t="shared" si="253"/>
        <v>1581.851851851852</v>
      </c>
      <c r="CW204" s="297">
        <f t="shared" si="214"/>
        <v>1.1293563739956669</v>
      </c>
      <c r="CX204" s="279" t="str">
        <f t="shared" si="254"/>
        <v>Pass</v>
      </c>
      <c r="CY204" s="278">
        <f t="shared" si="215"/>
        <v>1.2223274248596279</v>
      </c>
      <c r="CZ204" s="279" t="str">
        <f t="shared" si="255"/>
        <v>Pass</v>
      </c>
      <c r="DA204" s="278">
        <f t="shared" si="216"/>
        <v>1.6070493805618566</v>
      </c>
      <c r="DB204" s="292" t="str">
        <f t="shared" si="256"/>
        <v>Pass</v>
      </c>
      <c r="DC204" s="299">
        <f t="shared" si="257"/>
        <v>2.6430107526881721</v>
      </c>
      <c r="DD204" s="293" t="str">
        <f t="shared" si="258"/>
        <v>Pass</v>
      </c>
      <c r="DE204" s="299">
        <f t="shared" si="259"/>
        <v>2.1993957902097949</v>
      </c>
      <c r="DF204" s="293" t="str">
        <f t="shared" si="260"/>
        <v>Pass</v>
      </c>
      <c r="DG204" s="299">
        <f t="shared" si="261"/>
        <v>2.0988062257460394</v>
      </c>
      <c r="DH204" s="293" t="str">
        <f t="shared" si="262"/>
        <v>Pass</v>
      </c>
    </row>
    <row r="205" spans="1:112" customFormat="1" ht="15.5" thickTop="1" thickBot="1">
      <c r="A205" s="3" t="s">
        <v>520</v>
      </c>
      <c r="B205" s="3" t="s">
        <v>521</v>
      </c>
      <c r="C205" s="3" t="s">
        <v>520</v>
      </c>
      <c r="D205" s="3" t="s">
        <v>131</v>
      </c>
      <c r="E205" s="3" t="str">
        <f>VLOOKUP(C205,PoliticalControl!A:K,11,FALSE)</f>
        <v>LAB</v>
      </c>
      <c r="F205" s="3" t="str">
        <f>VLOOKUP(C205,UrbanRuralClassification!A:N,13,FALSE)</f>
        <v>Urban with Major Conurbation</v>
      </c>
      <c r="G205" s="3" t="str">
        <f>VLOOKUP(C205,UrbanRuralClassification!A:N,14,FALSE)</f>
        <v>Predominantly Urban</v>
      </c>
      <c r="H205" s="262">
        <f>IF(ISBLANK((VLOOKUP($A205,'local-plan-data'!$C$1:$AD$566,27,FALSE)))=TRUE,"",VLOOKUP($A205,'local-plan-data'!$C$1:$AD$566,27,FALSE))</f>
        <v>43174</v>
      </c>
      <c r="I205" s="263">
        <f>VLOOKUP($A205,'local-plan-data'!$C$1:$AD$566,28,FALSE)</f>
        <v>1123</v>
      </c>
      <c r="J205" s="264">
        <f t="shared" si="217"/>
        <v>1123</v>
      </c>
      <c r="K205" s="259">
        <f t="shared" si="197"/>
        <v>1123</v>
      </c>
      <c r="L205" s="259">
        <f t="shared" si="201"/>
        <v>1123</v>
      </c>
      <c r="M205" s="259">
        <f t="shared" si="201"/>
        <v>1123</v>
      </c>
      <c r="N205" s="259">
        <f t="shared" si="201"/>
        <v>1123</v>
      </c>
      <c r="O205" s="259">
        <f t="shared" si="201"/>
        <v>1123</v>
      </c>
      <c r="P205" s="259" t="str">
        <f t="shared" si="201"/>
        <v>-</v>
      </c>
      <c r="Q205" s="259" t="str">
        <f t="shared" si="201"/>
        <v>-</v>
      </c>
      <c r="R205" s="259" t="str">
        <f t="shared" si="201"/>
        <v>-</v>
      </c>
      <c r="S205" s="259">
        <f t="shared" si="198"/>
        <v>1809</v>
      </c>
      <c r="T205" s="259">
        <f t="shared" si="202"/>
        <v>1444</v>
      </c>
      <c r="U205" s="259">
        <f t="shared" si="202"/>
        <v>1078</v>
      </c>
      <c r="V205" s="259">
        <f t="shared" si="202"/>
        <v>713</v>
      </c>
      <c r="W205" s="259">
        <f t="shared" si="202"/>
        <v>348</v>
      </c>
      <c r="X205" s="259">
        <f t="shared" si="202"/>
        <v>-17</v>
      </c>
      <c r="Y205" s="259">
        <f t="shared" si="202"/>
        <v>-383</v>
      </c>
      <c r="Z205" s="259">
        <f t="shared" si="202"/>
        <v>-748</v>
      </c>
      <c r="AA205" s="267">
        <f>(VLOOKUP(A205,Hshldprojections2014!$A$2:$AW$319,40, FALSE)-VLOOKUP(A205,Hshldprojections2014!$A$2:$AW$319,30, FALSE))/10</f>
        <v>2093.5</v>
      </c>
      <c r="AB205" s="267">
        <f>(VLOOKUP(A205,Hshldprojections2014!$A$2:$AW$319,41, FALSE)-VLOOKUP(A205,Hshldprojections2014!$A$2:$AW$319,31, FALSE))/10</f>
        <v>2071.4</v>
      </c>
      <c r="AC205" s="267">
        <f>(VLOOKUP(A205,Hshldprojections2014!$A$2:$AW$319,42, FALSE)-VLOOKUP(A205,Hshldprojections2014!$A$2:$AW$319,32, FALSE))/10</f>
        <v>2043.6</v>
      </c>
      <c r="AD205" s="267">
        <f>IF(IndividualLATest!$J$7=2014,(VLOOKUP($A205,Hshldprojections2014!$A$2:$AY$326,43,FALSE)-VLOOKUP($A205,Hshldprojections2014!$A$2:$AY$326,33,FALSE))/10,IF(IndividualLATest!$J$7=2016,(VLOOKUP($A205,Hshldprojections2016!$A$1:$AQ$322,33,FALSE)-VLOOKUP($A205,Hshldprojections2016!$A$1:$AQ$322,23,FALSE))/10,(VLOOKUP($A205,Hshldprojections2018!$A$1:$AQ$327,33,FALSE)-VLOOKUP($A205,Hshldprojections2018!$A$1:$AQ$327,23,FALSE))/10))</f>
        <v>900.8</v>
      </c>
      <c r="AE205" s="267">
        <f>IF(IndividualLATest!$J$7=2014,(VLOOKUP($A205,Hshldprojections2014!$A$2:$AY$326,44,FALSE)-VLOOKUP($A205,Hshldprojections2014!$A$2:$AY$326,34,FALSE))/10,IF(IndividualLATest!$J$7=2016,(VLOOKUP($A205,Hshldprojections2016!$A$1:$AQ$322,34,FALSE)-VLOOKUP($A205,Hshldprojections2016!$A$1:$AQ$322,24,FALSE))/10,(VLOOKUP($A205,Hshldprojections2018!$A$1:$AQ$327,34,FALSE)-VLOOKUP($A205,Hshldprojections2018!$A$1:$AQ$327,24,FALSE))/10))</f>
        <v>875.4</v>
      </c>
      <c r="AF205" s="267">
        <f>IF(IndividualLATest!$J$7=2014,(VLOOKUP($A205,Hshldprojections2014!$A$2:$AY$326,45,FALSE)-VLOOKUP($A205,Hshldprojections2014!$A$2:$AY$326,35,FALSE))/10,IF(IndividualLATest!$J$7=2016,(VLOOKUP($A205,Hshldprojections2016!$A$1:$AQ$322,35,FALSE)-VLOOKUP($A205,Hshldprojections2016!$A$1:$AQ$322,25,FALSE))/10,(VLOOKUP($A205,Hshldprojections2018!$A$1:$AQ$327,35,FALSE)-VLOOKUP($A205,Hshldprojections2018!$A$1:$AQ$327,25,FALSE))/10))</f>
        <v>850.4</v>
      </c>
      <c r="AG205" s="267">
        <f>IF(IndividualLATest!$J$7=2014,(VLOOKUP($A205,Hshldprojections2014!$A$2:$AY$326,46,FALSE)-VLOOKUP($A205,Hshldprojections2014!$A$2:$AY$326,36,FALSE))/10,IF(IndividualLATest!$J$7=2016,(VLOOKUP($A205,Hshldprojections2016!$A$1:$AQ$322,36,FALSE)-VLOOKUP($A205,Hshldprojections2016!$A$1:$AQ$322,26,FALSE))/10,(VLOOKUP($A205,Hshldprojections2018!$A$1:$AQ$327,36,FALSE)-VLOOKUP($A205,Hshldprojections2018!$A$1:$AQ$327,26,FALSE))/10))</f>
        <v>833.4</v>
      </c>
      <c r="AH205" s="267">
        <f>IF(IndividualLATest!$J$7=2014,(VLOOKUP($A205,Hshldprojections2014!$A$2:$AY$326,47,FALSE)-VLOOKUP($A205,Hshldprojections2014!$A$2:$AY$326,37,FALSE))/10,IF(IndividualLATest!$J$7=2016,(VLOOKUP($A205,Hshldprojections2016!$A$1:$AQ$322,37,FALSE)-VLOOKUP($A205,Hshldprojections2016!$A$1:$AQ$322,27,FALSE))/10,(VLOOKUP($A205,Hshldprojections2018!$A$1:$AQ$327,37,FALSE)-VLOOKUP($A205,Hshldprojections2018!$A$1:$AQ$327,27,FALSE))/10))</f>
        <v>817.4</v>
      </c>
      <c r="AI205" s="268">
        <f>VLOOKUP($A205,AffordabilityRatio!$A$2:$I$321,5,FALSE)</f>
        <v>14.22</v>
      </c>
      <c r="AJ205" s="268">
        <f>VLOOKUP($A205,AffordabilityRatio!$A$2:$I$321,6,FALSE)</f>
        <v>15.74</v>
      </c>
      <c r="AK205" s="268">
        <f>VLOOKUP($A205,AffordabilityRatio!$A$2:$I$321,7,FALSE)</f>
        <v>14.22</v>
      </c>
      <c r="AL205" s="268">
        <f>IF((VLOOKUP($A205,AffordabilityRatio!$A$2:$I$321,8,FALSE))="",AK205,VLOOKUP($A205,AffordabilityRatio!$A$2:$I$321,8,FALSE))</f>
        <v>13.22</v>
      </c>
      <c r="AM205" s="268">
        <f>IF((VLOOKUP($A205,AffordabilityRatio!$A$2:$I$321,9,FALSE))="",AL205,VLOOKUP($A205,AffordabilityRatio!$A$2:$I$321,9,FALSE))</f>
        <v>15.84</v>
      </c>
      <c r="AN205" s="268">
        <f>IF((VLOOKUP($A205,AffordabilityRatio!$A$2:$I$321,9,FALSE))="",AM205,VLOOKUP($A205,AffordabilityRatio!$A$2:$I$321,9,FALSE))</f>
        <v>15.84</v>
      </c>
      <c r="AO205" s="268">
        <f>IF((VLOOKUP($A205,AffordabilityRatio!$A$2:$I$321,9,FALSE))="",AN205,VLOOKUP($A205,AffordabilityRatio!$A$2:$I$321,9,FALSE))</f>
        <v>15.84</v>
      </c>
      <c r="AP205" s="268">
        <f>IF((VLOOKUP($A205,AffordabilityRatio!$A$2:$I$321,9,FALSE))="",AO205,VLOOKUP($A205,AffordabilityRatio!$A$2:$I$321,9,FALSE))</f>
        <v>15.84</v>
      </c>
      <c r="AQ205" s="267">
        <f t="shared" si="218"/>
        <v>3431</v>
      </c>
      <c r="AR205" s="267">
        <f t="shared" si="219"/>
        <v>3591</v>
      </c>
      <c r="AS205" s="267">
        <f t="shared" si="220"/>
        <v>3349</v>
      </c>
      <c r="AT205" s="267">
        <f t="shared" si="221"/>
        <v>1420</v>
      </c>
      <c r="AU205" s="267">
        <f t="shared" si="222"/>
        <v>1523</v>
      </c>
      <c r="AV205" s="267">
        <f t="shared" si="223"/>
        <v>1480</v>
      </c>
      <c r="AW205" s="267">
        <f t="shared" si="224"/>
        <v>1450</v>
      </c>
      <c r="AX205" s="267">
        <f t="shared" si="225"/>
        <v>1422</v>
      </c>
      <c r="AY205" s="267">
        <f t="shared" si="226"/>
        <v>1572.2</v>
      </c>
      <c r="AZ205" s="267">
        <f t="shared" si="227"/>
        <v>1572.2</v>
      </c>
      <c r="BA205" s="267">
        <f t="shared" si="228"/>
        <v>1572.2</v>
      </c>
      <c r="BB205" s="267">
        <f t="shared" si="229"/>
        <v>1420</v>
      </c>
      <c r="BC205" s="267">
        <f t="shared" si="230"/>
        <v>1523</v>
      </c>
      <c r="BD205" s="267">
        <f t="shared" si="231"/>
        <v>1480</v>
      </c>
      <c r="BE205" s="267">
        <f t="shared" si="232"/>
        <v>1450</v>
      </c>
      <c r="BF205" s="267">
        <f t="shared" si="233"/>
        <v>1422</v>
      </c>
      <c r="BG205" s="269">
        <f>AY205*VLOOKUP($B205,'Major Cities &amp; Towns'!$A$28:$B$345,2,FALSE)</f>
        <v>2122.4700000000003</v>
      </c>
      <c r="BH205" s="269">
        <f>AZ205*VLOOKUP($B205,'Major Cities &amp; Towns'!$A$28:$B$345,2,FALSE)</f>
        <v>2122.4700000000003</v>
      </c>
      <c r="BI205" s="269">
        <f>BA205*VLOOKUP($B205,'Major Cities &amp; Towns'!$A$28:$B$345,2,FALSE)</f>
        <v>2122.4700000000003</v>
      </c>
      <c r="BJ205" s="269">
        <f>BB205*VLOOKUP($B205,'Major Cities &amp; Towns'!$A$28:$B$345,2,FALSE)</f>
        <v>1917.0000000000002</v>
      </c>
      <c r="BK205" s="269">
        <f>BC205*VLOOKUP($B205,'Major Cities &amp; Towns'!$A$28:$B$345,2,FALSE)</f>
        <v>2056.0500000000002</v>
      </c>
      <c r="BL205" s="269">
        <f>BD205*VLOOKUP($B205,'Major Cities &amp; Towns'!$A$28:$B$345,2,FALSE)</f>
        <v>1998.0000000000002</v>
      </c>
      <c r="BM205" s="269">
        <f>BE205*VLOOKUP($B205,'Major Cities &amp; Towns'!$A$28:$B$345,2,FALSE)</f>
        <v>1957.5000000000002</v>
      </c>
      <c r="BN205" s="269">
        <f>BF205*VLOOKUP($B205,'Major Cities &amp; Towns'!$A$28:$B$345,2,FALSE)</f>
        <v>1919.7</v>
      </c>
      <c r="BO205" s="270">
        <f t="shared" si="234"/>
        <v>1123</v>
      </c>
      <c r="BP205" s="270">
        <f t="shared" si="235"/>
        <v>1123</v>
      </c>
      <c r="BQ205" s="270">
        <f t="shared" si="236"/>
        <v>1123</v>
      </c>
      <c r="BR205" s="270">
        <f t="shared" si="237"/>
        <v>1123</v>
      </c>
      <c r="BS205" s="270">
        <f t="shared" si="238"/>
        <v>1141.6301369863013</v>
      </c>
      <c r="BT205" s="270">
        <f t="shared" si="239"/>
        <v>1480</v>
      </c>
      <c r="BU205" s="270">
        <f t="shared" si="240"/>
        <v>1450</v>
      </c>
      <c r="BV205" s="270">
        <f t="shared" si="241"/>
        <v>1422</v>
      </c>
      <c r="BW205" s="39">
        <f>VLOOKUP($A205,NetAdditions!$A$2:$H$336,6,FALSE)</f>
        <v>764</v>
      </c>
      <c r="BX205" s="39">
        <f>VLOOKUP($A205,NetAdditions!$A$2:$H$336,7,FALSE)</f>
        <v>624</v>
      </c>
      <c r="BY205" s="39">
        <f>IF((VLOOKUP($C205,NetAdditions!$A$2:$H$336,8,FALSE))="",(AVERAGE(VLOOKUP($C205,NetAdditions!$A$2:$H$336,5,FALSE),VLOOKUP($C205,NetAdditions!$A$2:$H$336,6,FALSE),VLOOKUP($C205,NetAdditions!$A$2:$H$336,7,FALSE))),VLOOKUP($C205,NetAdditions!$A$2:$H$336,8,FALSE))</f>
        <v>2441</v>
      </c>
      <c r="BZ205" s="39">
        <f t="shared" si="242"/>
        <v>1276.3333333333333</v>
      </c>
      <c r="CA205" s="39">
        <f t="shared" si="243"/>
        <v>1447.1111111111111</v>
      </c>
      <c r="CB205" s="39">
        <f t="shared" si="244"/>
        <v>1721.4814814814815</v>
      </c>
      <c r="CC205" s="39">
        <f t="shared" si="245"/>
        <v>1481.641975308642</v>
      </c>
      <c r="CD205" s="39">
        <f t="shared" si="246"/>
        <v>1550.0781893004114</v>
      </c>
      <c r="CE205" s="276">
        <f t="shared" si="203"/>
        <v>3369</v>
      </c>
      <c r="CF205" s="276">
        <f t="shared" si="204"/>
        <v>3369</v>
      </c>
      <c r="CG205" s="276">
        <f t="shared" si="205"/>
        <v>3387.6301369863013</v>
      </c>
      <c r="CH205" s="276">
        <f t="shared" si="206"/>
        <v>3744.6301369863013</v>
      </c>
      <c r="CI205" s="276">
        <f t="shared" si="207"/>
        <v>4071.6301369863013</v>
      </c>
      <c r="CJ205" s="276">
        <f t="shared" si="208"/>
        <v>4352</v>
      </c>
      <c r="CK205" s="276">
        <f t="shared" si="247"/>
        <v>2901.0833333333335</v>
      </c>
      <c r="CL205" s="276">
        <f t="shared" si="248"/>
        <v>2901.0833333333335</v>
      </c>
      <c r="CM205" s="276">
        <f t="shared" si="249"/>
        <v>3105.327625570776</v>
      </c>
      <c r="CN205" s="276">
        <f t="shared" si="250"/>
        <v>3744.6301369863013</v>
      </c>
      <c r="CO205" s="276">
        <f t="shared" si="251"/>
        <v>4071.6301369863013</v>
      </c>
      <c r="CP205" s="276">
        <f t="shared" si="252"/>
        <v>4352</v>
      </c>
      <c r="CQ205" s="39">
        <f t="shared" si="209"/>
        <v>3829</v>
      </c>
      <c r="CR205" s="39">
        <f t="shared" si="210"/>
        <v>4341.333333333333</v>
      </c>
      <c r="CS205" s="277">
        <f t="shared" si="211"/>
        <v>5164.4444444444443</v>
      </c>
      <c r="CT205" s="39">
        <f t="shared" si="212"/>
        <v>4444.9259259259261</v>
      </c>
      <c r="CU205" s="39">
        <f t="shared" si="213"/>
        <v>4650.2345679012342</v>
      </c>
      <c r="CV205" s="39">
        <f t="shared" si="253"/>
        <v>4753.2016460905352</v>
      </c>
      <c r="CW205" s="297">
        <f t="shared" si="214"/>
        <v>1.3198517795076552</v>
      </c>
      <c r="CX205" s="279" t="str">
        <f t="shared" si="254"/>
        <v>Pass</v>
      </c>
      <c r="CY205" s="278">
        <f t="shared" si="215"/>
        <v>1.4964524746502741</v>
      </c>
      <c r="CZ205" s="279" t="str">
        <f t="shared" si="255"/>
        <v>Pass</v>
      </c>
      <c r="DA205" s="278">
        <f t="shared" si="216"/>
        <v>1.6630916499495578</v>
      </c>
      <c r="DB205" s="292" t="str">
        <f t="shared" si="256"/>
        <v>Pass</v>
      </c>
      <c r="DC205" s="299">
        <f t="shared" si="257"/>
        <v>1.1870133399885594</v>
      </c>
      <c r="DD205" s="293" t="str">
        <f t="shared" si="258"/>
        <v>Pass</v>
      </c>
      <c r="DE205" s="299">
        <f t="shared" si="259"/>
        <v>1.1421063336914974</v>
      </c>
      <c r="DF205" s="293" t="str">
        <f t="shared" si="260"/>
        <v>Pass</v>
      </c>
      <c r="DG205" s="299">
        <f t="shared" si="261"/>
        <v>1.0921878782377148</v>
      </c>
      <c r="DH205" s="293" t="str">
        <f t="shared" si="262"/>
        <v>Pass</v>
      </c>
    </row>
    <row r="206" spans="1:112" ht="15" thickTop="1" thickBot="1">
      <c r="A206" s="38" t="s">
        <v>522</v>
      </c>
      <c r="B206" s="38" t="s">
        <v>523</v>
      </c>
      <c r="C206" s="38" t="s">
        <v>522</v>
      </c>
      <c r="D206" s="38" t="s">
        <v>259</v>
      </c>
      <c r="E206" s="38" t="str">
        <f>VLOOKUP(C206,PoliticalControl!A:K,11,FALSE)</f>
        <v>NOC</v>
      </c>
      <c r="F206" s="38" t="str">
        <f>VLOOKUP(C206,UrbanRuralClassification!A:N,13,FALSE)</f>
        <v>Urban with Significant Rural (rural including hub towns 26-49%)</v>
      </c>
      <c r="G206" s="38" t="str">
        <f>VLOOKUP(C206,UrbanRuralClassification!A:N,14,FALSE)</f>
        <v>Urban with Significant Rural</v>
      </c>
      <c r="H206" s="258">
        <f>IF(ISBLANK((VLOOKUP($A206,'local-plan-data'!$C$1:$AD$566,27,FALSE)))=TRUE,"",VLOOKUP($A206,'local-plan-data'!$C$1:$AD$566,27,FALSE))</f>
        <v>43244</v>
      </c>
      <c r="I206" s="259">
        <f>VLOOKUP($A206,'local-plan-data'!$C$1:$AD$566,28,FALSE)</f>
        <v>234</v>
      </c>
      <c r="J206" s="260">
        <f t="shared" si="217"/>
        <v>234</v>
      </c>
      <c r="K206" s="259">
        <f t="shared" si="197"/>
        <v>234</v>
      </c>
      <c r="L206" s="259">
        <f t="shared" si="201"/>
        <v>234</v>
      </c>
      <c r="M206" s="259">
        <f t="shared" si="201"/>
        <v>234</v>
      </c>
      <c r="N206" s="259">
        <f t="shared" si="201"/>
        <v>234</v>
      </c>
      <c r="O206" s="259">
        <f t="shared" si="201"/>
        <v>234</v>
      </c>
      <c r="P206" s="259">
        <f t="shared" si="201"/>
        <v>234</v>
      </c>
      <c r="Q206" s="259" t="str">
        <f t="shared" si="201"/>
        <v>-</v>
      </c>
      <c r="R206" s="259" t="str">
        <f t="shared" si="201"/>
        <v>-</v>
      </c>
      <c r="S206" s="259">
        <f t="shared" si="198"/>
        <v>1879</v>
      </c>
      <c r="T206" s="259">
        <f t="shared" si="202"/>
        <v>1514</v>
      </c>
      <c r="U206" s="259">
        <f t="shared" si="202"/>
        <v>1148</v>
      </c>
      <c r="V206" s="259">
        <f t="shared" si="202"/>
        <v>783</v>
      </c>
      <c r="W206" s="259">
        <f t="shared" si="202"/>
        <v>418</v>
      </c>
      <c r="X206" s="259">
        <f t="shared" si="202"/>
        <v>53</v>
      </c>
      <c r="Y206" s="259">
        <f t="shared" si="202"/>
        <v>-313</v>
      </c>
      <c r="Z206" s="259">
        <f t="shared" si="202"/>
        <v>-678</v>
      </c>
      <c r="AA206" s="267">
        <f>(VLOOKUP(A206,Hshldprojections2014!$A$2:$AW$319,40, FALSE)-VLOOKUP(A206,Hshldprojections2014!$A$2:$AW$319,30, FALSE))/10</f>
        <v>109.3</v>
      </c>
      <c r="AB206" s="267">
        <f>(VLOOKUP(A206,Hshldprojections2014!$A$2:$AW$319,41, FALSE)-VLOOKUP(A206,Hshldprojections2014!$A$2:$AW$319,31, FALSE))/10</f>
        <v>94.9</v>
      </c>
      <c r="AC206" s="267">
        <f>(VLOOKUP(A206,Hshldprojections2014!$A$2:$AW$319,42, FALSE)-VLOOKUP(A206,Hshldprojections2014!$A$2:$AW$319,32, FALSE))/10</f>
        <v>83.4</v>
      </c>
      <c r="AD206" s="267">
        <f>IF(IndividualLATest!$J$7=2014,(VLOOKUP($A206,Hshldprojections2014!$A$2:$AY$326,43,FALSE)-VLOOKUP($A206,Hshldprojections2014!$A$2:$AY$326,33,FALSE))/10,IF(IndividualLATest!$J$7=2016,(VLOOKUP($A206,Hshldprojections2016!$A$1:$AQ$322,33,FALSE)-VLOOKUP($A206,Hshldprojections2016!$A$1:$AQ$322,23,FALSE))/10,(VLOOKUP($A206,Hshldprojections2018!$A$1:$AQ$327,33,FALSE)-VLOOKUP($A206,Hshldprojections2018!$A$1:$AQ$327,23,FALSE))/10))</f>
        <v>267.10000000000002</v>
      </c>
      <c r="AE206" s="267">
        <f>IF(IndividualLATest!$J$7=2014,(VLOOKUP($A206,Hshldprojections2014!$A$2:$AY$326,44,FALSE)-VLOOKUP($A206,Hshldprojections2014!$A$2:$AY$326,34,FALSE))/10,IF(IndividualLATest!$J$7=2016,(VLOOKUP($A206,Hshldprojections2016!$A$1:$AQ$322,34,FALSE)-VLOOKUP($A206,Hshldprojections2016!$A$1:$AQ$322,24,FALSE))/10,(VLOOKUP($A206,Hshldprojections2018!$A$1:$AQ$327,34,FALSE)-VLOOKUP($A206,Hshldprojections2018!$A$1:$AQ$327,24,FALSE))/10))</f>
        <v>258.5</v>
      </c>
      <c r="AF206" s="267">
        <f>IF(IndividualLATest!$J$7=2014,(VLOOKUP($A206,Hshldprojections2014!$A$2:$AY$326,45,FALSE)-VLOOKUP($A206,Hshldprojections2014!$A$2:$AY$326,35,FALSE))/10,IF(IndividualLATest!$J$7=2016,(VLOOKUP($A206,Hshldprojections2016!$A$1:$AQ$322,35,FALSE)-VLOOKUP($A206,Hshldprojections2016!$A$1:$AQ$322,25,FALSE))/10,(VLOOKUP($A206,Hshldprojections2018!$A$1:$AQ$327,35,FALSE)-VLOOKUP($A206,Hshldprojections2018!$A$1:$AQ$327,25,FALSE))/10))</f>
        <v>258.60000000000002</v>
      </c>
      <c r="AG206" s="267">
        <f>IF(IndividualLATest!$J$7=2014,(VLOOKUP($A206,Hshldprojections2014!$A$2:$AY$326,46,FALSE)-VLOOKUP($A206,Hshldprojections2014!$A$2:$AY$326,36,FALSE))/10,IF(IndividualLATest!$J$7=2016,(VLOOKUP($A206,Hshldprojections2016!$A$1:$AQ$322,36,FALSE)-VLOOKUP($A206,Hshldprojections2016!$A$1:$AQ$322,26,FALSE))/10,(VLOOKUP($A206,Hshldprojections2018!$A$1:$AQ$327,36,FALSE)-VLOOKUP($A206,Hshldprojections2018!$A$1:$AQ$327,26,FALSE))/10))</f>
        <v>252.3</v>
      </c>
      <c r="AH206" s="267">
        <f>IF(IndividualLATest!$J$7=2014,(VLOOKUP($A206,Hshldprojections2014!$A$2:$AY$326,47,FALSE)-VLOOKUP($A206,Hshldprojections2014!$A$2:$AY$326,37,FALSE))/10,IF(IndividualLATest!$J$7=2016,(VLOOKUP($A206,Hshldprojections2016!$A$1:$AQ$322,37,FALSE)-VLOOKUP($A206,Hshldprojections2016!$A$1:$AQ$322,27,FALSE))/10,(VLOOKUP($A206,Hshldprojections2018!$A$1:$AQ$327,37,FALSE)-VLOOKUP($A206,Hshldprojections2018!$A$1:$AQ$327,27,FALSE))/10))</f>
        <v>249.4</v>
      </c>
      <c r="AI206" s="268">
        <f>VLOOKUP($A206,AffordabilityRatio!$A$2:$I$321,5,FALSE)</f>
        <v>5.1100000000000003</v>
      </c>
      <c r="AJ206" s="268">
        <f>VLOOKUP($A206,AffordabilityRatio!$A$2:$I$321,6,FALSE)</f>
        <v>5.12</v>
      </c>
      <c r="AK206" s="268">
        <f>VLOOKUP($A206,AffordabilityRatio!$A$2:$I$321,7,FALSE)</f>
        <v>5.03</v>
      </c>
      <c r="AL206" s="268">
        <f>IF((VLOOKUP($A206,AffordabilityRatio!$A$2:$I$321,8,FALSE))="",AK206,VLOOKUP($A206,AffordabilityRatio!$A$2:$I$321,8,FALSE))</f>
        <v>5.09</v>
      </c>
      <c r="AM206" s="268">
        <f>IF((VLOOKUP($A206,AffordabilityRatio!$A$2:$I$321,9,FALSE))="",AL206,VLOOKUP($A206,AffordabilityRatio!$A$2:$I$321,9,FALSE))</f>
        <v>5.61</v>
      </c>
      <c r="AN206" s="268">
        <f>IF((VLOOKUP($A206,AffordabilityRatio!$A$2:$I$321,9,FALSE))="",AM206,VLOOKUP($A206,AffordabilityRatio!$A$2:$I$321,9,FALSE))</f>
        <v>5.61</v>
      </c>
      <c r="AO206" s="268">
        <f>IF((VLOOKUP($A206,AffordabilityRatio!$A$2:$I$321,9,FALSE))="",AN206,VLOOKUP($A206,AffordabilityRatio!$A$2:$I$321,9,FALSE))</f>
        <v>5.61</v>
      </c>
      <c r="AP206" s="268">
        <f>IF((VLOOKUP($A206,AffordabilityRatio!$A$2:$I$321,9,FALSE))="",AO206,VLOOKUP($A206,AffordabilityRatio!$A$2:$I$321,9,FALSE))</f>
        <v>5.61</v>
      </c>
      <c r="AQ206" s="267">
        <f t="shared" si="218"/>
        <v>117</v>
      </c>
      <c r="AR206" s="267">
        <f t="shared" si="219"/>
        <v>102</v>
      </c>
      <c r="AS206" s="267">
        <f t="shared" si="220"/>
        <v>89</v>
      </c>
      <c r="AT206" s="267">
        <f t="shared" si="221"/>
        <v>285</v>
      </c>
      <c r="AU206" s="267">
        <f t="shared" si="222"/>
        <v>285</v>
      </c>
      <c r="AV206" s="267">
        <f t="shared" si="223"/>
        <v>285</v>
      </c>
      <c r="AW206" s="267">
        <f t="shared" si="224"/>
        <v>278</v>
      </c>
      <c r="AX206" s="267">
        <f t="shared" si="225"/>
        <v>274</v>
      </c>
      <c r="AY206" s="267">
        <f t="shared" si="226"/>
        <v>117</v>
      </c>
      <c r="AZ206" s="267">
        <f t="shared" si="227"/>
        <v>102</v>
      </c>
      <c r="BA206" s="267">
        <f t="shared" si="228"/>
        <v>89</v>
      </c>
      <c r="BB206" s="267">
        <f t="shared" si="229"/>
        <v>285</v>
      </c>
      <c r="BC206" s="267">
        <f t="shared" si="230"/>
        <v>285</v>
      </c>
      <c r="BD206" s="267">
        <f t="shared" si="231"/>
        <v>285</v>
      </c>
      <c r="BE206" s="267">
        <f t="shared" si="232"/>
        <v>278</v>
      </c>
      <c r="BF206" s="267">
        <f t="shared" si="233"/>
        <v>274</v>
      </c>
      <c r="BG206" s="269">
        <f>AY206*VLOOKUP($B206,'Major Cities &amp; Towns'!$A$28:$B$345,2,FALSE)</f>
        <v>117</v>
      </c>
      <c r="BH206" s="269">
        <f>AZ206*VLOOKUP($B206,'Major Cities &amp; Towns'!$A$28:$B$345,2,FALSE)</f>
        <v>102</v>
      </c>
      <c r="BI206" s="269">
        <f>BA206*VLOOKUP($B206,'Major Cities &amp; Towns'!$A$28:$B$345,2,FALSE)</f>
        <v>89</v>
      </c>
      <c r="BJ206" s="269">
        <f>BB206*VLOOKUP($B206,'Major Cities &amp; Towns'!$A$28:$B$345,2,FALSE)</f>
        <v>285</v>
      </c>
      <c r="BK206" s="269">
        <f>BC206*VLOOKUP($B206,'Major Cities &amp; Towns'!$A$28:$B$345,2,FALSE)</f>
        <v>285</v>
      </c>
      <c r="BL206" s="269">
        <f>BD206*VLOOKUP($B206,'Major Cities &amp; Towns'!$A$28:$B$345,2,FALSE)</f>
        <v>285</v>
      </c>
      <c r="BM206" s="269">
        <f>BE206*VLOOKUP($B206,'Major Cities &amp; Towns'!$A$28:$B$345,2,FALSE)</f>
        <v>278</v>
      </c>
      <c r="BN206" s="269">
        <f>BF206*VLOOKUP($B206,'Major Cities &amp; Towns'!$A$28:$B$345,2,FALSE)</f>
        <v>274</v>
      </c>
      <c r="BO206" s="270">
        <f t="shared" si="234"/>
        <v>117</v>
      </c>
      <c r="BP206" s="270">
        <f t="shared" si="235"/>
        <v>102</v>
      </c>
      <c r="BQ206" s="270">
        <f t="shared" si="236"/>
        <v>89</v>
      </c>
      <c r="BR206" s="270">
        <f t="shared" si="237"/>
        <v>234</v>
      </c>
      <c r="BS206" s="270">
        <f t="shared" si="238"/>
        <v>234</v>
      </c>
      <c r="BT206" s="270">
        <f t="shared" si="239"/>
        <v>277.59452054794519</v>
      </c>
      <c r="BU206" s="270">
        <f t="shared" si="240"/>
        <v>278</v>
      </c>
      <c r="BV206" s="270">
        <f t="shared" si="241"/>
        <v>274</v>
      </c>
      <c r="BW206" s="39">
        <f>VLOOKUP($A206,NetAdditions!$A$2:$H$336,6,FALSE)</f>
        <v>504</v>
      </c>
      <c r="BX206" s="39">
        <f>VLOOKUP($A206,NetAdditions!$A$2:$H$336,7,FALSE)</f>
        <v>376</v>
      </c>
      <c r="BY206" s="39">
        <f>IF((VLOOKUP($C206,NetAdditions!$A$2:$H$336,8,FALSE))="",(AVERAGE(VLOOKUP($C206,NetAdditions!$A$2:$H$336,5,FALSE),VLOOKUP($C206,NetAdditions!$A$2:$H$336,6,FALSE),VLOOKUP($C206,NetAdditions!$A$2:$H$336,7,FALSE))),VLOOKUP($C206,NetAdditions!$A$2:$H$336,8,FALSE))</f>
        <v>365</v>
      </c>
      <c r="BZ206" s="39">
        <f t="shared" si="242"/>
        <v>415</v>
      </c>
      <c r="CA206" s="39">
        <f t="shared" si="243"/>
        <v>385.33333333333331</v>
      </c>
      <c r="CB206" s="39">
        <f t="shared" si="244"/>
        <v>388.4444444444444</v>
      </c>
      <c r="CC206" s="39">
        <f t="shared" si="245"/>
        <v>396.25925925925918</v>
      </c>
      <c r="CD206" s="39">
        <f t="shared" si="246"/>
        <v>390.0123456790123</v>
      </c>
      <c r="CE206" s="276">
        <f t="shared" si="203"/>
        <v>308</v>
      </c>
      <c r="CF206" s="276">
        <f t="shared" si="204"/>
        <v>425</v>
      </c>
      <c r="CG206" s="276">
        <f t="shared" si="205"/>
        <v>557</v>
      </c>
      <c r="CH206" s="276">
        <f t="shared" si="206"/>
        <v>745.59452054794519</v>
      </c>
      <c r="CI206" s="276">
        <f t="shared" si="207"/>
        <v>789.59452054794519</v>
      </c>
      <c r="CJ206" s="276">
        <f t="shared" si="208"/>
        <v>829.59452054794519</v>
      </c>
      <c r="CK206" s="276">
        <f t="shared" si="247"/>
        <v>265.22222222222223</v>
      </c>
      <c r="CL206" s="276">
        <f t="shared" si="248"/>
        <v>365.97222222222223</v>
      </c>
      <c r="CM206" s="276">
        <f t="shared" si="249"/>
        <v>510.58333333333331</v>
      </c>
      <c r="CN206" s="276">
        <f t="shared" si="250"/>
        <v>745.59452054794519</v>
      </c>
      <c r="CO206" s="276">
        <f t="shared" si="251"/>
        <v>789.59452054794519</v>
      </c>
      <c r="CP206" s="276">
        <f t="shared" si="252"/>
        <v>829.59452054794519</v>
      </c>
      <c r="CQ206" s="39">
        <f t="shared" si="209"/>
        <v>1245</v>
      </c>
      <c r="CR206" s="39">
        <f t="shared" si="210"/>
        <v>1156</v>
      </c>
      <c r="CS206" s="277">
        <f t="shared" si="211"/>
        <v>1165.3333333333333</v>
      </c>
      <c r="CT206" s="39">
        <f t="shared" si="212"/>
        <v>1188.7777777777776</v>
      </c>
      <c r="CU206" s="39">
        <f t="shared" si="213"/>
        <v>1170.037037037037</v>
      </c>
      <c r="CV206" s="39">
        <f t="shared" si="253"/>
        <v>1174.7160493827159</v>
      </c>
      <c r="CW206" s="297">
        <f t="shared" si="214"/>
        <v>4.6941767909509844</v>
      </c>
      <c r="CX206" s="279" t="str">
        <f t="shared" si="254"/>
        <v>Pass</v>
      </c>
      <c r="CY206" s="278">
        <f t="shared" si="215"/>
        <v>3.1587096774193548</v>
      </c>
      <c r="CZ206" s="279" t="str">
        <f t="shared" si="255"/>
        <v>Pass</v>
      </c>
      <c r="DA206" s="278">
        <f t="shared" si="216"/>
        <v>2.2823567814591152</v>
      </c>
      <c r="DB206" s="292" t="str">
        <f t="shared" si="256"/>
        <v>Pass</v>
      </c>
      <c r="DC206" s="299">
        <f t="shared" si="257"/>
        <v>1.5944025137203697</v>
      </c>
      <c r="DD206" s="293" t="str">
        <f t="shared" si="258"/>
        <v>Pass</v>
      </c>
      <c r="DE206" s="299">
        <f t="shared" si="259"/>
        <v>1.4818201071419299</v>
      </c>
      <c r="DF206" s="293" t="str">
        <f t="shared" si="260"/>
        <v>Pass</v>
      </c>
      <c r="DG206" s="299">
        <f t="shared" si="261"/>
        <v>1.4160123051521831</v>
      </c>
      <c r="DH206" s="293" t="str">
        <f t="shared" si="262"/>
        <v>Pass</v>
      </c>
    </row>
    <row r="207" spans="1:112" ht="15" thickTop="1" thickBot="1">
      <c r="A207" s="38" t="s">
        <v>524</v>
      </c>
      <c r="B207" s="38" t="s">
        <v>525</v>
      </c>
      <c r="C207" s="38" t="s">
        <v>524</v>
      </c>
      <c r="D207" s="38" t="s">
        <v>154</v>
      </c>
      <c r="E207" s="38" t="str">
        <f>VLOOKUP(C207,PoliticalControl!A:K,11,FALSE)</f>
        <v>CON</v>
      </c>
      <c r="F207" s="38" t="str">
        <f>VLOOKUP(C207,UrbanRuralClassification!A:N,13,FALSE)</f>
        <v>Urban with City and Town</v>
      </c>
      <c r="G207" s="38" t="str">
        <f>VLOOKUP(C207,UrbanRuralClassification!A:N,14,FALSE)</f>
        <v>Predominantly Urban</v>
      </c>
      <c r="H207" s="258">
        <f>IF(ISBLANK((VLOOKUP($A207,'local-plan-data'!$C$1:$AD$566,27,FALSE)))=TRUE,"",VLOOKUP($A207,'local-plan-data'!$C$1:$AD$566,27,FALSE))</f>
        <v>42765</v>
      </c>
      <c r="I207" s="259">
        <f>VLOOKUP($A207,'local-plan-data'!$C$1:$AD$566,28,FALSE)</f>
        <v>157.89473684210526</v>
      </c>
      <c r="J207" s="260">
        <f t="shared" si="217"/>
        <v>157.89473684210526</v>
      </c>
      <c r="K207" s="259">
        <f t="shared" si="197"/>
        <v>157.89473684210526</v>
      </c>
      <c r="L207" s="259">
        <f t="shared" si="201"/>
        <v>157.89473684210526</v>
      </c>
      <c r="M207" s="259">
        <f t="shared" si="201"/>
        <v>157.89473684210526</v>
      </c>
      <c r="N207" s="259">
        <f t="shared" si="201"/>
        <v>157.89473684210526</v>
      </c>
      <c r="O207" s="259" t="str">
        <f t="shared" si="201"/>
        <v>-</v>
      </c>
      <c r="P207" s="259" t="str">
        <f t="shared" si="201"/>
        <v>-</v>
      </c>
      <c r="Q207" s="259" t="str">
        <f t="shared" si="201"/>
        <v>-</v>
      </c>
      <c r="R207" s="259" t="str">
        <f t="shared" si="201"/>
        <v>-</v>
      </c>
      <c r="S207" s="259">
        <f t="shared" si="198"/>
        <v>1400</v>
      </c>
      <c r="T207" s="259">
        <f t="shared" si="202"/>
        <v>1035</v>
      </c>
      <c r="U207" s="259">
        <f t="shared" si="202"/>
        <v>669</v>
      </c>
      <c r="V207" s="259">
        <f t="shared" si="202"/>
        <v>304</v>
      </c>
      <c r="W207" s="259">
        <f t="shared" si="202"/>
        <v>-61</v>
      </c>
      <c r="X207" s="259">
        <f t="shared" si="202"/>
        <v>-426</v>
      </c>
      <c r="Y207" s="259">
        <f t="shared" si="202"/>
        <v>-792</v>
      </c>
      <c r="Z207" s="259">
        <f t="shared" si="202"/>
        <v>-1157</v>
      </c>
      <c r="AA207" s="267">
        <f>(VLOOKUP(A207,Hshldprojections2014!$A$2:$AW$319,40, FALSE)-VLOOKUP(A207,Hshldprojections2014!$A$2:$AW$319,30, FALSE))/10</f>
        <v>145.9</v>
      </c>
      <c r="AB207" s="267">
        <f>(VLOOKUP(A207,Hshldprojections2014!$A$2:$AW$319,41, FALSE)-VLOOKUP(A207,Hshldprojections2014!$A$2:$AW$319,31, FALSE))/10</f>
        <v>141.19999999999999</v>
      </c>
      <c r="AC207" s="267">
        <f>(VLOOKUP(A207,Hshldprojections2014!$A$2:$AW$319,42, FALSE)-VLOOKUP(A207,Hshldprojections2014!$A$2:$AW$319,32, FALSE))/10</f>
        <v>136.1</v>
      </c>
      <c r="AD207" s="267">
        <f>IF(IndividualLATest!$J$7=2014,(VLOOKUP($A207,Hshldprojections2014!$A$2:$AY$326,43,FALSE)-VLOOKUP($A207,Hshldprojections2014!$A$2:$AY$326,33,FALSE))/10,IF(IndividualLATest!$J$7=2016,(VLOOKUP($A207,Hshldprojections2016!$A$1:$AQ$322,33,FALSE)-VLOOKUP($A207,Hshldprojections2016!$A$1:$AQ$322,23,FALSE))/10,(VLOOKUP($A207,Hshldprojections2018!$A$1:$AQ$327,33,FALSE)-VLOOKUP($A207,Hshldprojections2018!$A$1:$AQ$327,23,FALSE))/10))</f>
        <v>98.6</v>
      </c>
      <c r="AE207" s="267">
        <f>IF(IndividualLATest!$J$7=2014,(VLOOKUP($A207,Hshldprojections2014!$A$2:$AY$326,44,FALSE)-VLOOKUP($A207,Hshldprojections2014!$A$2:$AY$326,34,FALSE))/10,IF(IndividualLATest!$J$7=2016,(VLOOKUP($A207,Hshldprojections2016!$A$1:$AQ$322,34,FALSE)-VLOOKUP($A207,Hshldprojections2016!$A$1:$AQ$322,24,FALSE))/10,(VLOOKUP($A207,Hshldprojections2018!$A$1:$AQ$327,34,FALSE)-VLOOKUP($A207,Hshldprojections2018!$A$1:$AQ$327,24,FALSE))/10))</f>
        <v>96.2</v>
      </c>
      <c r="AF207" s="267">
        <f>IF(IndividualLATest!$J$7=2014,(VLOOKUP($A207,Hshldprojections2014!$A$2:$AY$326,45,FALSE)-VLOOKUP($A207,Hshldprojections2014!$A$2:$AY$326,35,FALSE))/10,IF(IndividualLATest!$J$7=2016,(VLOOKUP($A207,Hshldprojections2016!$A$1:$AQ$322,35,FALSE)-VLOOKUP($A207,Hshldprojections2016!$A$1:$AQ$322,25,FALSE))/10,(VLOOKUP($A207,Hshldprojections2018!$A$1:$AQ$327,35,FALSE)-VLOOKUP($A207,Hshldprojections2018!$A$1:$AQ$327,25,FALSE))/10))</f>
        <v>94.1</v>
      </c>
      <c r="AG207" s="267">
        <f>IF(IndividualLATest!$J$7=2014,(VLOOKUP($A207,Hshldprojections2014!$A$2:$AY$326,46,FALSE)-VLOOKUP($A207,Hshldprojections2014!$A$2:$AY$326,36,FALSE))/10,IF(IndividualLATest!$J$7=2016,(VLOOKUP($A207,Hshldprojections2016!$A$1:$AQ$322,36,FALSE)-VLOOKUP($A207,Hshldprojections2016!$A$1:$AQ$322,26,FALSE))/10,(VLOOKUP($A207,Hshldprojections2018!$A$1:$AQ$327,36,FALSE)-VLOOKUP($A207,Hshldprojections2018!$A$1:$AQ$327,26,FALSE))/10))</f>
        <v>89.9</v>
      </c>
      <c r="AH207" s="267">
        <f>IF(IndividualLATest!$J$7=2014,(VLOOKUP($A207,Hshldprojections2014!$A$2:$AY$326,47,FALSE)-VLOOKUP($A207,Hshldprojections2014!$A$2:$AY$326,37,FALSE))/10,IF(IndividualLATest!$J$7=2016,(VLOOKUP($A207,Hshldprojections2016!$A$1:$AQ$322,37,FALSE)-VLOOKUP($A207,Hshldprojections2016!$A$1:$AQ$322,27,FALSE))/10,(VLOOKUP($A207,Hshldprojections2018!$A$1:$AQ$327,37,FALSE)-VLOOKUP($A207,Hshldprojections2018!$A$1:$AQ$327,27,FALSE))/10))</f>
        <v>87.4</v>
      </c>
      <c r="AI207" s="268">
        <f>VLOOKUP($A207,AffordabilityRatio!$A$2:$I$321,5,FALSE)</f>
        <v>7.67</v>
      </c>
      <c r="AJ207" s="268">
        <f>VLOOKUP($A207,AffordabilityRatio!$A$2:$I$321,6,FALSE)</f>
        <v>8.25</v>
      </c>
      <c r="AK207" s="268">
        <f>VLOOKUP($A207,AffordabilityRatio!$A$2:$I$321,7,FALSE)</f>
        <v>8.44</v>
      </c>
      <c r="AL207" s="268">
        <f>IF((VLOOKUP($A207,AffordabilityRatio!$A$2:$I$321,8,FALSE))="",AK207,VLOOKUP($A207,AffordabilityRatio!$A$2:$I$321,8,FALSE))</f>
        <v>8.11</v>
      </c>
      <c r="AM207" s="268">
        <f>IF((VLOOKUP($A207,AffordabilityRatio!$A$2:$I$321,9,FALSE))="",AL207,VLOOKUP($A207,AffordabilityRatio!$A$2:$I$321,9,FALSE))</f>
        <v>7.57</v>
      </c>
      <c r="AN207" s="268">
        <f>IF((VLOOKUP($A207,AffordabilityRatio!$A$2:$I$321,9,FALSE))="",AM207,VLOOKUP($A207,AffordabilityRatio!$A$2:$I$321,9,FALSE))</f>
        <v>7.57</v>
      </c>
      <c r="AO207" s="268">
        <f>IF((VLOOKUP($A207,AffordabilityRatio!$A$2:$I$321,9,FALSE))="",AN207,VLOOKUP($A207,AffordabilityRatio!$A$2:$I$321,9,FALSE))</f>
        <v>7.57</v>
      </c>
      <c r="AP207" s="268">
        <f>IF((VLOOKUP($A207,AffordabilityRatio!$A$2:$I$321,9,FALSE))="",AO207,VLOOKUP($A207,AffordabilityRatio!$A$2:$I$321,9,FALSE))</f>
        <v>7.57</v>
      </c>
      <c r="AQ207" s="267">
        <f t="shared" si="218"/>
        <v>179</v>
      </c>
      <c r="AR207" s="267">
        <f t="shared" si="219"/>
        <v>179</v>
      </c>
      <c r="AS207" s="267">
        <f t="shared" si="220"/>
        <v>174</v>
      </c>
      <c r="AT207" s="267">
        <f t="shared" si="221"/>
        <v>124</v>
      </c>
      <c r="AU207" s="267">
        <f t="shared" si="222"/>
        <v>118</v>
      </c>
      <c r="AV207" s="267">
        <f t="shared" si="223"/>
        <v>115</v>
      </c>
      <c r="AW207" s="267">
        <f t="shared" si="224"/>
        <v>110</v>
      </c>
      <c r="AX207" s="267">
        <f t="shared" si="225"/>
        <v>107</v>
      </c>
      <c r="AY207" s="267">
        <f t="shared" si="226"/>
        <v>179</v>
      </c>
      <c r="AZ207" s="267">
        <f t="shared" si="227"/>
        <v>179</v>
      </c>
      <c r="BA207" s="267">
        <f t="shared" si="228"/>
        <v>174</v>
      </c>
      <c r="BB207" s="267">
        <f t="shared" si="229"/>
        <v>124</v>
      </c>
      <c r="BC207" s="267">
        <f t="shared" si="230"/>
        <v>118</v>
      </c>
      <c r="BD207" s="267">
        <f t="shared" si="231"/>
        <v>115</v>
      </c>
      <c r="BE207" s="267">
        <f t="shared" si="232"/>
        <v>110</v>
      </c>
      <c r="BF207" s="267">
        <f t="shared" si="233"/>
        <v>107</v>
      </c>
      <c r="BG207" s="269">
        <f>AY207*VLOOKUP($B207,'Major Cities &amp; Towns'!$A$28:$B$345,2,FALSE)</f>
        <v>179</v>
      </c>
      <c r="BH207" s="269">
        <f>AZ207*VLOOKUP($B207,'Major Cities &amp; Towns'!$A$28:$B$345,2,FALSE)</f>
        <v>179</v>
      </c>
      <c r="BI207" s="269">
        <f>BA207*VLOOKUP($B207,'Major Cities &amp; Towns'!$A$28:$B$345,2,FALSE)</f>
        <v>174</v>
      </c>
      <c r="BJ207" s="269">
        <f>BB207*VLOOKUP($B207,'Major Cities &amp; Towns'!$A$28:$B$345,2,FALSE)</f>
        <v>124</v>
      </c>
      <c r="BK207" s="269">
        <f>BC207*VLOOKUP($B207,'Major Cities &amp; Towns'!$A$28:$B$345,2,FALSE)</f>
        <v>118</v>
      </c>
      <c r="BL207" s="269">
        <f>BD207*VLOOKUP($B207,'Major Cities &amp; Towns'!$A$28:$B$345,2,FALSE)</f>
        <v>115</v>
      </c>
      <c r="BM207" s="269">
        <f>BE207*VLOOKUP($B207,'Major Cities &amp; Towns'!$A$28:$B$345,2,FALSE)</f>
        <v>110</v>
      </c>
      <c r="BN207" s="269">
        <f>BF207*VLOOKUP($B207,'Major Cities &amp; Towns'!$A$28:$B$345,2,FALSE)</f>
        <v>107</v>
      </c>
      <c r="BO207" s="270">
        <f t="shared" si="234"/>
        <v>157.89473684210526</v>
      </c>
      <c r="BP207" s="270">
        <f t="shared" si="235"/>
        <v>157.89473684210526</v>
      </c>
      <c r="BQ207" s="270">
        <f t="shared" si="236"/>
        <v>157.89473684210526</v>
      </c>
      <c r="BR207" s="270">
        <f t="shared" si="237"/>
        <v>124.00000000000001</v>
      </c>
      <c r="BS207" s="270">
        <f t="shared" si="238"/>
        <v>118</v>
      </c>
      <c r="BT207" s="270">
        <f t="shared" si="239"/>
        <v>115</v>
      </c>
      <c r="BU207" s="270">
        <f t="shared" si="240"/>
        <v>110</v>
      </c>
      <c r="BV207" s="270">
        <f t="shared" si="241"/>
        <v>107</v>
      </c>
      <c r="BW207" s="39">
        <f>VLOOKUP($A207,NetAdditions!$A$2:$H$336,6,FALSE)</f>
        <v>390</v>
      </c>
      <c r="BX207" s="39">
        <f>VLOOKUP($A207,NetAdditions!$A$2:$H$336,7,FALSE)</f>
        <v>279</v>
      </c>
      <c r="BY207" s="39">
        <f>IF((VLOOKUP($C207,NetAdditions!$A$2:$H$336,8,FALSE))="",(AVERAGE(VLOOKUP($C207,NetAdditions!$A$2:$H$336,5,FALSE),VLOOKUP($C207,NetAdditions!$A$2:$H$336,6,FALSE),VLOOKUP($C207,NetAdditions!$A$2:$H$336,7,FALSE))),VLOOKUP($C207,NetAdditions!$A$2:$H$336,8,FALSE))</f>
        <v>199</v>
      </c>
      <c r="BZ207" s="39">
        <f t="shared" si="242"/>
        <v>289.33333333333331</v>
      </c>
      <c r="CA207" s="39">
        <f t="shared" si="243"/>
        <v>255.77777777777774</v>
      </c>
      <c r="CB207" s="39">
        <f t="shared" si="244"/>
        <v>248.03703703703704</v>
      </c>
      <c r="CC207" s="39">
        <f t="shared" si="245"/>
        <v>264.38271604938274</v>
      </c>
      <c r="CD207" s="39">
        <f t="shared" si="246"/>
        <v>256.06584362139915</v>
      </c>
      <c r="CE207" s="276">
        <f t="shared" si="203"/>
        <v>473.68421052631578</v>
      </c>
      <c r="CF207" s="276">
        <f t="shared" si="204"/>
        <v>439.78947368421052</v>
      </c>
      <c r="CG207" s="276">
        <f t="shared" si="205"/>
        <v>399.89473684210526</v>
      </c>
      <c r="CH207" s="276">
        <f t="shared" si="206"/>
        <v>357</v>
      </c>
      <c r="CI207" s="276">
        <f t="shared" si="207"/>
        <v>343</v>
      </c>
      <c r="CJ207" s="276">
        <f t="shared" si="208"/>
        <v>332</v>
      </c>
      <c r="CK207" s="276">
        <f t="shared" si="247"/>
        <v>407.89473684210526</v>
      </c>
      <c r="CL207" s="276">
        <f t="shared" si="248"/>
        <v>378.70760233918128</v>
      </c>
      <c r="CM207" s="276">
        <f t="shared" si="249"/>
        <v>366.57017543859649</v>
      </c>
      <c r="CN207" s="276">
        <f t="shared" si="250"/>
        <v>357</v>
      </c>
      <c r="CO207" s="276">
        <f t="shared" si="251"/>
        <v>343</v>
      </c>
      <c r="CP207" s="276">
        <f t="shared" si="252"/>
        <v>332</v>
      </c>
      <c r="CQ207" s="39">
        <f t="shared" si="209"/>
        <v>868</v>
      </c>
      <c r="CR207" s="39">
        <f t="shared" si="210"/>
        <v>767.33333333333326</v>
      </c>
      <c r="CS207" s="277">
        <f t="shared" si="211"/>
        <v>744.11111111111109</v>
      </c>
      <c r="CT207" s="39">
        <f t="shared" si="212"/>
        <v>793.14814814814815</v>
      </c>
      <c r="CU207" s="39">
        <f t="shared" si="213"/>
        <v>768.19753086419746</v>
      </c>
      <c r="CV207" s="39">
        <f t="shared" si="253"/>
        <v>768.4855967078189</v>
      </c>
      <c r="CW207" s="297">
        <f t="shared" si="214"/>
        <v>2.1280000000000001</v>
      </c>
      <c r="CX207" s="279" t="str">
        <f t="shared" si="254"/>
        <v>Pass</v>
      </c>
      <c r="CY207" s="278">
        <f t="shared" si="215"/>
        <v>2.0261894099661824</v>
      </c>
      <c r="CZ207" s="279" t="str">
        <f t="shared" si="255"/>
        <v>Pass</v>
      </c>
      <c r="DA207" s="278">
        <f t="shared" si="216"/>
        <v>2.0299281310073622</v>
      </c>
      <c r="DB207" s="292" t="str">
        <f t="shared" si="256"/>
        <v>Pass</v>
      </c>
      <c r="DC207" s="299">
        <f t="shared" si="257"/>
        <v>2.2217034962133</v>
      </c>
      <c r="DD207" s="293" t="str">
        <f t="shared" si="258"/>
        <v>Pass</v>
      </c>
      <c r="DE207" s="299">
        <f t="shared" si="259"/>
        <v>2.2396429471259403</v>
      </c>
      <c r="DF207" s="293" t="str">
        <f t="shared" si="260"/>
        <v>Pass</v>
      </c>
      <c r="DG207" s="299">
        <f t="shared" si="261"/>
        <v>2.3147156527343942</v>
      </c>
      <c r="DH207" s="293" t="str">
        <f t="shared" si="262"/>
        <v>Pass</v>
      </c>
    </row>
    <row r="208" spans="1:112" ht="15" thickTop="1" thickBot="1">
      <c r="A208" s="38" t="s">
        <v>526</v>
      </c>
      <c r="B208" s="38" t="s">
        <v>527</v>
      </c>
      <c r="C208" s="38" t="s">
        <v>526</v>
      </c>
      <c r="D208" s="38" t="s">
        <v>113</v>
      </c>
      <c r="E208" s="38" t="str">
        <f>VLOOKUP(C208,PoliticalControl!A:K,11,FALSE)</f>
        <v>CON</v>
      </c>
      <c r="F208" s="38" t="str">
        <f>VLOOKUP(C208,UrbanRuralClassification!A:N,13,FALSE)</f>
        <v>Urban with City and Town</v>
      </c>
      <c r="G208" s="38" t="str">
        <f>VLOOKUP(C208,UrbanRuralClassification!A:N,14,FALSE)</f>
        <v>Predominantly Urban</v>
      </c>
      <c r="H208" s="258">
        <f>IF(ISBLANK((VLOOKUP($A208,'local-plan-data'!$C$1:$AD$566,27,FALSE)))=TRUE,"",VLOOKUP($A208,'local-plan-data'!$C$1:$AD$566,27,FALSE))</f>
        <v>41823</v>
      </c>
      <c r="I208" s="259">
        <f>VLOOKUP($A208,'local-plan-data'!$C$1:$AD$566,28,FALSE)</f>
        <v>460</v>
      </c>
      <c r="J208" s="260">
        <f t="shared" si="217"/>
        <v>460</v>
      </c>
      <c r="K208" s="259">
        <f t="shared" si="197"/>
        <v>460</v>
      </c>
      <c r="L208" s="259">
        <f t="shared" si="201"/>
        <v>460</v>
      </c>
      <c r="M208" s="259" t="str">
        <f t="shared" si="201"/>
        <v>-</v>
      </c>
      <c r="N208" s="259" t="str">
        <f t="shared" si="201"/>
        <v>-</v>
      </c>
      <c r="O208" s="259" t="str">
        <f t="shared" si="201"/>
        <v>-</v>
      </c>
      <c r="P208" s="259" t="str">
        <f t="shared" si="201"/>
        <v>-</v>
      </c>
      <c r="Q208" s="259" t="str">
        <f t="shared" si="201"/>
        <v>-</v>
      </c>
      <c r="R208" s="259" t="str">
        <f t="shared" si="201"/>
        <v>-</v>
      </c>
      <c r="S208" s="259">
        <f t="shared" si="198"/>
        <v>458</v>
      </c>
      <c r="T208" s="259">
        <f t="shared" si="202"/>
        <v>93</v>
      </c>
      <c r="U208" s="259">
        <f t="shared" si="202"/>
        <v>-273</v>
      </c>
      <c r="V208" s="259">
        <f t="shared" si="202"/>
        <v>-638</v>
      </c>
      <c r="W208" s="259">
        <f t="shared" si="202"/>
        <v>-1003</v>
      </c>
      <c r="X208" s="259">
        <f t="shared" si="202"/>
        <v>-1368</v>
      </c>
      <c r="Y208" s="259">
        <f t="shared" si="202"/>
        <v>-1734</v>
      </c>
      <c r="Z208" s="259">
        <f t="shared" si="202"/>
        <v>-2099</v>
      </c>
      <c r="AA208" s="267">
        <f>(VLOOKUP(A208,Hshldprojections2014!$A$2:$AW$319,40, FALSE)-VLOOKUP(A208,Hshldprojections2014!$A$2:$AW$319,30, FALSE))/10</f>
        <v>827.3</v>
      </c>
      <c r="AB208" s="267">
        <f>(VLOOKUP(A208,Hshldprojections2014!$A$2:$AW$319,41, FALSE)-VLOOKUP(A208,Hshldprojections2014!$A$2:$AW$319,31, FALSE))/10</f>
        <v>820.1</v>
      </c>
      <c r="AC208" s="267">
        <f>(VLOOKUP(A208,Hshldprojections2014!$A$2:$AW$319,42, FALSE)-VLOOKUP(A208,Hshldprojections2014!$A$2:$AW$319,32, FALSE))/10</f>
        <v>813.3</v>
      </c>
      <c r="AD208" s="267">
        <f>IF(IndividualLATest!$J$7=2014,(VLOOKUP($A208,Hshldprojections2014!$A$2:$AY$326,43,FALSE)-VLOOKUP($A208,Hshldprojections2014!$A$2:$AY$326,33,FALSE))/10,IF(IndividualLATest!$J$7=2016,(VLOOKUP($A208,Hshldprojections2016!$A$1:$AQ$322,33,FALSE)-VLOOKUP($A208,Hshldprojections2016!$A$1:$AQ$322,23,FALSE))/10,(VLOOKUP($A208,Hshldprojections2018!$A$1:$AQ$327,33,FALSE)-VLOOKUP($A208,Hshldprojections2018!$A$1:$AQ$327,23,FALSE))/10))</f>
        <v>416.1</v>
      </c>
      <c r="AE208" s="267">
        <f>IF(IndividualLATest!$J$7=2014,(VLOOKUP($A208,Hshldprojections2014!$A$2:$AY$326,44,FALSE)-VLOOKUP($A208,Hshldprojections2014!$A$2:$AY$326,34,FALSE))/10,IF(IndividualLATest!$J$7=2016,(VLOOKUP($A208,Hshldprojections2016!$A$1:$AQ$322,34,FALSE)-VLOOKUP($A208,Hshldprojections2016!$A$1:$AQ$322,24,FALSE))/10,(VLOOKUP($A208,Hshldprojections2018!$A$1:$AQ$327,34,FALSE)-VLOOKUP($A208,Hshldprojections2018!$A$1:$AQ$327,24,FALSE))/10))</f>
        <v>404.1</v>
      </c>
      <c r="AF208" s="267">
        <f>IF(IndividualLATest!$J$7=2014,(VLOOKUP($A208,Hshldprojections2014!$A$2:$AY$326,45,FALSE)-VLOOKUP($A208,Hshldprojections2014!$A$2:$AY$326,35,FALSE))/10,IF(IndividualLATest!$J$7=2016,(VLOOKUP($A208,Hshldprojections2016!$A$1:$AQ$322,35,FALSE)-VLOOKUP($A208,Hshldprojections2016!$A$1:$AQ$322,25,FALSE))/10,(VLOOKUP($A208,Hshldprojections2018!$A$1:$AQ$327,35,FALSE)-VLOOKUP($A208,Hshldprojections2018!$A$1:$AQ$327,25,FALSE))/10))</f>
        <v>394.2</v>
      </c>
      <c r="AG208" s="267">
        <f>IF(IndividualLATest!$J$7=2014,(VLOOKUP($A208,Hshldprojections2014!$A$2:$AY$326,46,FALSE)-VLOOKUP($A208,Hshldprojections2014!$A$2:$AY$326,36,FALSE))/10,IF(IndividualLATest!$J$7=2016,(VLOOKUP($A208,Hshldprojections2016!$A$1:$AQ$322,36,FALSE)-VLOOKUP($A208,Hshldprojections2016!$A$1:$AQ$322,26,FALSE))/10,(VLOOKUP($A208,Hshldprojections2018!$A$1:$AQ$327,36,FALSE)-VLOOKUP($A208,Hshldprojections2018!$A$1:$AQ$327,26,FALSE))/10))</f>
        <v>385.8</v>
      </c>
      <c r="AH208" s="267">
        <f>IF(IndividualLATest!$J$7=2014,(VLOOKUP($A208,Hshldprojections2014!$A$2:$AY$326,47,FALSE)-VLOOKUP($A208,Hshldprojections2014!$A$2:$AY$326,37,FALSE))/10,IF(IndividualLATest!$J$7=2016,(VLOOKUP($A208,Hshldprojections2016!$A$1:$AQ$322,37,FALSE)-VLOOKUP($A208,Hshldprojections2016!$A$1:$AQ$322,27,FALSE))/10,(VLOOKUP($A208,Hshldprojections2018!$A$1:$AQ$327,37,FALSE)-VLOOKUP($A208,Hshldprojections2018!$A$1:$AQ$327,27,FALSE))/10))</f>
        <v>378.9</v>
      </c>
      <c r="AI208" s="268">
        <f>VLOOKUP($A208,AffordabilityRatio!$A$2:$I$321,5,FALSE)</f>
        <v>11.48</v>
      </c>
      <c r="AJ208" s="268">
        <f>VLOOKUP($A208,AffordabilityRatio!$A$2:$I$321,6,FALSE)</f>
        <v>12.33</v>
      </c>
      <c r="AK208" s="268">
        <f>VLOOKUP($A208,AffordabilityRatio!$A$2:$I$321,7,FALSE)</f>
        <v>12.26</v>
      </c>
      <c r="AL208" s="268">
        <f>IF((VLOOKUP($A208,AffordabilityRatio!$A$2:$I$321,8,FALSE))="",AK208,VLOOKUP($A208,AffordabilityRatio!$A$2:$I$321,8,FALSE))</f>
        <v>12.17</v>
      </c>
      <c r="AM208" s="268">
        <f>IF((VLOOKUP($A208,AffordabilityRatio!$A$2:$I$321,9,FALSE))="",AL208,VLOOKUP($A208,AffordabilityRatio!$A$2:$I$321,9,FALSE))</f>
        <v>13.58</v>
      </c>
      <c r="AN208" s="268">
        <f>IF((VLOOKUP($A208,AffordabilityRatio!$A$2:$I$321,9,FALSE))="",AM208,VLOOKUP($A208,AffordabilityRatio!$A$2:$I$321,9,FALSE))</f>
        <v>13.58</v>
      </c>
      <c r="AO208" s="268">
        <f>IF((VLOOKUP($A208,AffordabilityRatio!$A$2:$I$321,9,FALSE))="",AN208,VLOOKUP($A208,AffordabilityRatio!$A$2:$I$321,9,FALSE))</f>
        <v>13.58</v>
      </c>
      <c r="AP208" s="268">
        <f>IF((VLOOKUP($A208,AffordabilityRatio!$A$2:$I$321,9,FALSE))="",AO208,VLOOKUP($A208,AffordabilityRatio!$A$2:$I$321,9,FALSE))</f>
        <v>13.58</v>
      </c>
      <c r="AQ208" s="267">
        <f t="shared" si="218"/>
        <v>1214</v>
      </c>
      <c r="AR208" s="267">
        <f t="shared" si="219"/>
        <v>1247</v>
      </c>
      <c r="AS208" s="267">
        <f t="shared" si="220"/>
        <v>1233</v>
      </c>
      <c r="AT208" s="267">
        <f t="shared" si="221"/>
        <v>629</v>
      </c>
      <c r="AU208" s="267">
        <f t="shared" si="222"/>
        <v>646</v>
      </c>
      <c r="AV208" s="267">
        <f t="shared" si="223"/>
        <v>630</v>
      </c>
      <c r="AW208" s="267">
        <f t="shared" si="224"/>
        <v>617</v>
      </c>
      <c r="AX208" s="267">
        <f t="shared" si="225"/>
        <v>606</v>
      </c>
      <c r="AY208" s="267">
        <f t="shared" si="226"/>
        <v>644</v>
      </c>
      <c r="AZ208" s="267">
        <f t="shared" si="227"/>
        <v>644</v>
      </c>
      <c r="BA208" s="267">
        <f t="shared" si="228"/>
        <v>1138.6199999999999</v>
      </c>
      <c r="BB208" s="267">
        <f t="shared" si="229"/>
        <v>629</v>
      </c>
      <c r="BC208" s="267">
        <f t="shared" si="230"/>
        <v>644</v>
      </c>
      <c r="BD208" s="267">
        <f t="shared" si="231"/>
        <v>630</v>
      </c>
      <c r="BE208" s="267">
        <f t="shared" si="232"/>
        <v>617</v>
      </c>
      <c r="BF208" s="267">
        <f t="shared" si="233"/>
        <v>606</v>
      </c>
      <c r="BG208" s="269">
        <f>AY208*VLOOKUP($B208,'Major Cities &amp; Towns'!$A$28:$B$345,2,FALSE)</f>
        <v>644</v>
      </c>
      <c r="BH208" s="269">
        <f>AZ208*VLOOKUP($B208,'Major Cities &amp; Towns'!$A$28:$B$345,2,FALSE)</f>
        <v>644</v>
      </c>
      <c r="BI208" s="269">
        <f>BA208*VLOOKUP($B208,'Major Cities &amp; Towns'!$A$28:$B$345,2,FALSE)</f>
        <v>1138.6199999999999</v>
      </c>
      <c r="BJ208" s="269">
        <f>BB208*VLOOKUP($B208,'Major Cities &amp; Towns'!$A$28:$B$345,2,FALSE)</f>
        <v>629</v>
      </c>
      <c r="BK208" s="269">
        <f>BC208*VLOOKUP($B208,'Major Cities &amp; Towns'!$A$28:$B$345,2,FALSE)</f>
        <v>644</v>
      </c>
      <c r="BL208" s="269">
        <f>BD208*VLOOKUP($B208,'Major Cities &amp; Towns'!$A$28:$B$345,2,FALSE)</f>
        <v>630</v>
      </c>
      <c r="BM208" s="269">
        <f>BE208*VLOOKUP($B208,'Major Cities &amp; Towns'!$A$28:$B$345,2,FALSE)</f>
        <v>617</v>
      </c>
      <c r="BN208" s="269">
        <f>BF208*VLOOKUP($B208,'Major Cities &amp; Towns'!$A$28:$B$345,2,FALSE)</f>
        <v>606</v>
      </c>
      <c r="BO208" s="270">
        <f t="shared" si="234"/>
        <v>460</v>
      </c>
      <c r="BP208" s="270">
        <f t="shared" si="235"/>
        <v>1046.4767123287672</v>
      </c>
      <c r="BQ208" s="270">
        <f t="shared" si="236"/>
        <v>1233</v>
      </c>
      <c r="BR208" s="270">
        <f t="shared" si="237"/>
        <v>629</v>
      </c>
      <c r="BS208" s="270">
        <f t="shared" si="238"/>
        <v>646</v>
      </c>
      <c r="BT208" s="270">
        <f t="shared" si="239"/>
        <v>630</v>
      </c>
      <c r="BU208" s="270">
        <f t="shared" si="240"/>
        <v>617</v>
      </c>
      <c r="BV208" s="270">
        <f t="shared" si="241"/>
        <v>606</v>
      </c>
      <c r="BW208" s="39">
        <f>VLOOKUP($A208,NetAdditions!$A$2:$H$336,6,FALSE)</f>
        <v>535</v>
      </c>
      <c r="BX208" s="39">
        <f>VLOOKUP($A208,NetAdditions!$A$2:$H$336,7,FALSE)</f>
        <v>459</v>
      </c>
      <c r="BY208" s="39">
        <f>IF((VLOOKUP($C208,NetAdditions!$A$2:$H$336,8,FALSE))="",(AVERAGE(VLOOKUP($C208,NetAdditions!$A$2:$H$336,5,FALSE),VLOOKUP($C208,NetAdditions!$A$2:$H$336,6,FALSE),VLOOKUP($C208,NetAdditions!$A$2:$H$336,7,FALSE))),VLOOKUP($C208,NetAdditions!$A$2:$H$336,8,FALSE))</f>
        <v>801</v>
      </c>
      <c r="BZ208" s="39">
        <f t="shared" si="242"/>
        <v>598.33333333333337</v>
      </c>
      <c r="CA208" s="39">
        <f t="shared" si="243"/>
        <v>619.44444444444446</v>
      </c>
      <c r="CB208" s="39">
        <f t="shared" si="244"/>
        <v>672.92592592592598</v>
      </c>
      <c r="CC208" s="39">
        <f t="shared" si="245"/>
        <v>630.23456790123464</v>
      </c>
      <c r="CD208" s="39">
        <f t="shared" si="246"/>
        <v>640.86831275720169</v>
      </c>
      <c r="CE208" s="276">
        <f t="shared" si="203"/>
        <v>2739.4767123287675</v>
      </c>
      <c r="CF208" s="276">
        <f t="shared" si="204"/>
        <v>2908.4767123287675</v>
      </c>
      <c r="CG208" s="276">
        <f t="shared" si="205"/>
        <v>2508</v>
      </c>
      <c r="CH208" s="276">
        <f t="shared" si="206"/>
        <v>1905</v>
      </c>
      <c r="CI208" s="276">
        <f t="shared" si="207"/>
        <v>1893</v>
      </c>
      <c r="CJ208" s="276">
        <f t="shared" si="208"/>
        <v>1853</v>
      </c>
      <c r="CK208" s="276">
        <f t="shared" si="247"/>
        <v>2358.9938356164389</v>
      </c>
      <c r="CL208" s="276">
        <f t="shared" si="248"/>
        <v>2504.5216133942167</v>
      </c>
      <c r="CM208" s="276">
        <f t="shared" si="249"/>
        <v>2299</v>
      </c>
      <c r="CN208" s="276">
        <f t="shared" si="250"/>
        <v>1905</v>
      </c>
      <c r="CO208" s="276">
        <f t="shared" si="251"/>
        <v>1893</v>
      </c>
      <c r="CP208" s="276">
        <f t="shared" si="252"/>
        <v>1853</v>
      </c>
      <c r="CQ208" s="39">
        <f t="shared" si="209"/>
        <v>1795</v>
      </c>
      <c r="CR208" s="39">
        <f t="shared" si="210"/>
        <v>1858.3333333333335</v>
      </c>
      <c r="CS208" s="277">
        <f t="shared" si="211"/>
        <v>2018.7777777777778</v>
      </c>
      <c r="CT208" s="39">
        <f t="shared" si="212"/>
        <v>1890.7037037037039</v>
      </c>
      <c r="CU208" s="39">
        <f t="shared" si="213"/>
        <v>1922.6049382716051</v>
      </c>
      <c r="CV208" s="39">
        <f t="shared" si="253"/>
        <v>1944.0288065843624</v>
      </c>
      <c r="CW208" s="297">
        <f t="shared" si="214"/>
        <v>0.76091763060115869</v>
      </c>
      <c r="CX208" s="279" t="str">
        <f t="shared" si="254"/>
        <v>Buffer and Action Plan</v>
      </c>
      <c r="CY208" s="278">
        <f t="shared" si="215"/>
        <v>0.74199133415137675</v>
      </c>
      <c r="CZ208" s="279" t="str">
        <f t="shared" si="255"/>
        <v>Buffer and Action Plan</v>
      </c>
      <c r="DA208" s="278">
        <f t="shared" si="216"/>
        <v>0.87811125610168672</v>
      </c>
      <c r="DB208" s="292" t="str">
        <f t="shared" si="256"/>
        <v>Action Plan</v>
      </c>
      <c r="DC208" s="299">
        <f t="shared" si="257"/>
        <v>0.99249538252162939</v>
      </c>
      <c r="DD208" s="293" t="str">
        <f t="shared" si="258"/>
        <v>Pass</v>
      </c>
      <c r="DE208" s="299">
        <f t="shared" si="259"/>
        <v>1.0156391644329663</v>
      </c>
      <c r="DF208" s="293" t="str">
        <f t="shared" si="260"/>
        <v>Pass</v>
      </c>
      <c r="DG208" s="299">
        <f t="shared" si="261"/>
        <v>1.049125097994799</v>
      </c>
      <c r="DH208" s="293" t="str">
        <f t="shared" si="262"/>
        <v>Pass</v>
      </c>
    </row>
    <row r="209" spans="1:112" ht="15" thickTop="1" thickBot="1">
      <c r="A209" s="38" t="s">
        <v>528</v>
      </c>
      <c r="B209" s="38" t="s">
        <v>529</v>
      </c>
      <c r="C209" s="38" t="s">
        <v>528</v>
      </c>
      <c r="D209" s="38" t="s">
        <v>116</v>
      </c>
      <c r="E209" s="38" t="str">
        <f>VLOOKUP(C209,PoliticalControl!A:K,11,FALSE)</f>
        <v>CON</v>
      </c>
      <c r="F209" s="38" t="str">
        <f>VLOOKUP(C209,UrbanRuralClassification!A:N,13,FALSE)</f>
        <v xml:space="preserve">Mainly Rural (rural including hub towns &gt;=80%) </v>
      </c>
      <c r="G209" s="38" t="str">
        <f>VLOOKUP(C209,UrbanRuralClassification!A:N,14,FALSE)</f>
        <v>Predominantly Rural</v>
      </c>
      <c r="H209" s="258">
        <f>IF(ISBLANK((VLOOKUP($A209,'local-plan-data'!$C$1:$AD$566,27,FALSE)))=TRUE,"",VLOOKUP($A209,'local-plan-data'!$C$1:$AD$566,27,FALSE))</f>
        <v>41989</v>
      </c>
      <c r="I209" s="259">
        <f>VLOOKUP($A209,'local-plan-data'!$C$1:$AD$566,28,FALSE)</f>
        <v>280</v>
      </c>
      <c r="J209" s="260">
        <f t="shared" si="217"/>
        <v>280</v>
      </c>
      <c r="K209" s="259">
        <f t="shared" si="197"/>
        <v>280</v>
      </c>
      <c r="L209" s="259">
        <f t="shared" si="201"/>
        <v>280</v>
      </c>
      <c r="M209" s="259" t="str">
        <f t="shared" si="201"/>
        <v>-</v>
      </c>
      <c r="N209" s="259" t="str">
        <f t="shared" si="201"/>
        <v>-</v>
      </c>
      <c r="O209" s="259" t="str">
        <f t="shared" si="201"/>
        <v>-</v>
      </c>
      <c r="P209" s="259" t="str">
        <f t="shared" si="201"/>
        <v>-</v>
      </c>
      <c r="Q209" s="259" t="str">
        <f t="shared" si="201"/>
        <v>-</v>
      </c>
      <c r="R209" s="259" t="str">
        <f t="shared" si="201"/>
        <v>-</v>
      </c>
      <c r="S209" s="259">
        <f t="shared" si="198"/>
        <v>624</v>
      </c>
      <c r="T209" s="259">
        <f t="shared" si="202"/>
        <v>259</v>
      </c>
      <c r="U209" s="259">
        <f t="shared" si="202"/>
        <v>-107</v>
      </c>
      <c r="V209" s="259">
        <f t="shared" si="202"/>
        <v>-472</v>
      </c>
      <c r="W209" s="259">
        <f t="shared" si="202"/>
        <v>-837</v>
      </c>
      <c r="X209" s="259">
        <f t="shared" si="202"/>
        <v>-1202</v>
      </c>
      <c r="Y209" s="259">
        <f t="shared" si="202"/>
        <v>-1568</v>
      </c>
      <c r="Z209" s="259">
        <f t="shared" si="202"/>
        <v>-1933</v>
      </c>
      <c r="AA209" s="267">
        <f>(VLOOKUP(A209,Hshldprojections2014!$A$2:$AW$319,40, FALSE)-VLOOKUP(A209,Hshldprojections2014!$A$2:$AW$319,30, FALSE))/10</f>
        <v>131.5</v>
      </c>
      <c r="AB209" s="267">
        <f>(VLOOKUP(A209,Hshldprojections2014!$A$2:$AW$319,41, FALSE)-VLOOKUP(A209,Hshldprojections2014!$A$2:$AW$319,31, FALSE))/10</f>
        <v>125.9</v>
      </c>
      <c r="AC209" s="267">
        <f>(VLOOKUP(A209,Hshldprojections2014!$A$2:$AW$319,42, FALSE)-VLOOKUP(A209,Hshldprojections2014!$A$2:$AW$319,32, FALSE))/10</f>
        <v>120.5</v>
      </c>
      <c r="AD209" s="267">
        <f>IF(IndividualLATest!$J$7=2014,(VLOOKUP($A209,Hshldprojections2014!$A$2:$AY$326,43,FALSE)-VLOOKUP($A209,Hshldprojections2014!$A$2:$AY$326,33,FALSE))/10,IF(IndividualLATest!$J$7=2016,(VLOOKUP($A209,Hshldprojections2016!$A$1:$AQ$322,33,FALSE)-VLOOKUP($A209,Hshldprojections2016!$A$1:$AQ$322,23,FALSE))/10,(VLOOKUP($A209,Hshldprojections2018!$A$1:$AQ$327,33,FALSE)-VLOOKUP($A209,Hshldprojections2018!$A$1:$AQ$327,23,FALSE))/10))</f>
        <v>244.5</v>
      </c>
      <c r="AE209" s="267">
        <f>IF(IndividualLATest!$J$7=2014,(VLOOKUP($A209,Hshldprojections2014!$A$2:$AY$326,44,FALSE)-VLOOKUP($A209,Hshldprojections2014!$A$2:$AY$326,34,FALSE))/10,IF(IndividualLATest!$J$7=2016,(VLOOKUP($A209,Hshldprojections2016!$A$1:$AQ$322,34,FALSE)-VLOOKUP($A209,Hshldprojections2016!$A$1:$AQ$322,24,FALSE))/10,(VLOOKUP($A209,Hshldprojections2018!$A$1:$AQ$327,34,FALSE)-VLOOKUP($A209,Hshldprojections2018!$A$1:$AQ$327,24,FALSE))/10))</f>
        <v>234.9</v>
      </c>
      <c r="AF209" s="267">
        <f>IF(IndividualLATest!$J$7=2014,(VLOOKUP($A209,Hshldprojections2014!$A$2:$AY$326,45,FALSE)-VLOOKUP($A209,Hshldprojections2014!$A$2:$AY$326,35,FALSE))/10,IF(IndividualLATest!$J$7=2016,(VLOOKUP($A209,Hshldprojections2016!$A$1:$AQ$322,35,FALSE)-VLOOKUP($A209,Hshldprojections2016!$A$1:$AQ$322,25,FALSE))/10,(VLOOKUP($A209,Hshldprojections2018!$A$1:$AQ$327,35,FALSE)-VLOOKUP($A209,Hshldprojections2018!$A$1:$AQ$327,25,FALSE))/10))</f>
        <v>225.9</v>
      </c>
      <c r="AG209" s="267">
        <f>IF(IndividualLATest!$J$7=2014,(VLOOKUP($A209,Hshldprojections2014!$A$2:$AY$326,46,FALSE)-VLOOKUP($A209,Hshldprojections2014!$A$2:$AY$326,36,FALSE))/10,IF(IndividualLATest!$J$7=2016,(VLOOKUP($A209,Hshldprojections2016!$A$1:$AQ$322,36,FALSE)-VLOOKUP($A209,Hshldprojections2016!$A$1:$AQ$322,26,FALSE))/10,(VLOOKUP($A209,Hshldprojections2018!$A$1:$AQ$327,36,FALSE)-VLOOKUP($A209,Hshldprojections2018!$A$1:$AQ$327,26,FALSE))/10))</f>
        <v>217.8</v>
      </c>
      <c r="AH209" s="267">
        <f>IF(IndividualLATest!$J$7=2014,(VLOOKUP($A209,Hshldprojections2014!$A$2:$AY$326,47,FALSE)-VLOOKUP($A209,Hshldprojections2014!$A$2:$AY$326,37,FALSE))/10,IF(IndividualLATest!$J$7=2016,(VLOOKUP($A209,Hshldprojections2016!$A$1:$AQ$322,37,FALSE)-VLOOKUP($A209,Hshldprojections2016!$A$1:$AQ$322,27,FALSE))/10,(VLOOKUP($A209,Hshldprojections2018!$A$1:$AQ$327,37,FALSE)-VLOOKUP($A209,Hshldprojections2018!$A$1:$AQ$327,27,FALSE))/10))</f>
        <v>212.3</v>
      </c>
      <c r="AI209" s="268">
        <f>VLOOKUP($A209,AffordabilityRatio!$A$2:$I$321,5,FALSE)</f>
        <v>6.76</v>
      </c>
      <c r="AJ209" s="268">
        <f>VLOOKUP($A209,AffordabilityRatio!$A$2:$I$321,6,FALSE)</f>
        <v>7.11</v>
      </c>
      <c r="AK209" s="268">
        <f>VLOOKUP($A209,AffordabilityRatio!$A$2:$I$321,7,FALSE)</f>
        <v>7.06</v>
      </c>
      <c r="AL209" s="268">
        <f>IF((VLOOKUP($A209,AffordabilityRatio!$A$2:$I$321,8,FALSE))="",AK209,VLOOKUP($A209,AffordabilityRatio!$A$2:$I$321,8,FALSE))</f>
        <v>6.08</v>
      </c>
      <c r="AM209" s="268">
        <f>IF((VLOOKUP($A209,AffordabilityRatio!$A$2:$I$321,9,FALSE))="",AL209,VLOOKUP($A209,AffordabilityRatio!$A$2:$I$321,9,FALSE))</f>
        <v>6.43</v>
      </c>
      <c r="AN209" s="268">
        <f>IF((VLOOKUP($A209,AffordabilityRatio!$A$2:$I$321,9,FALSE))="",AM209,VLOOKUP($A209,AffordabilityRatio!$A$2:$I$321,9,FALSE))</f>
        <v>6.43</v>
      </c>
      <c r="AO209" s="268">
        <f>IF((VLOOKUP($A209,AffordabilityRatio!$A$2:$I$321,9,FALSE))="",AN209,VLOOKUP($A209,AffordabilityRatio!$A$2:$I$321,9,FALSE))</f>
        <v>6.43</v>
      </c>
      <c r="AP209" s="268">
        <f>IF((VLOOKUP($A209,AffordabilityRatio!$A$2:$I$321,9,FALSE))="",AO209,VLOOKUP($A209,AffordabilityRatio!$A$2:$I$321,9,FALSE))</f>
        <v>6.43</v>
      </c>
      <c r="AQ209" s="267">
        <f t="shared" si="218"/>
        <v>154</v>
      </c>
      <c r="AR209" s="267">
        <f t="shared" si="219"/>
        <v>150</v>
      </c>
      <c r="AS209" s="267">
        <f t="shared" si="220"/>
        <v>144</v>
      </c>
      <c r="AT209" s="267">
        <f t="shared" si="221"/>
        <v>276</v>
      </c>
      <c r="AU209" s="267">
        <f t="shared" si="222"/>
        <v>271</v>
      </c>
      <c r="AV209" s="267">
        <f t="shared" si="223"/>
        <v>260</v>
      </c>
      <c r="AW209" s="267">
        <f t="shared" si="224"/>
        <v>251</v>
      </c>
      <c r="AX209" s="267">
        <f t="shared" si="225"/>
        <v>245</v>
      </c>
      <c r="AY209" s="267">
        <f t="shared" si="226"/>
        <v>154</v>
      </c>
      <c r="AZ209" s="267">
        <f t="shared" si="227"/>
        <v>150</v>
      </c>
      <c r="BA209" s="267">
        <f t="shared" si="228"/>
        <v>144</v>
      </c>
      <c r="BB209" s="267">
        <f t="shared" si="229"/>
        <v>276</v>
      </c>
      <c r="BC209" s="267">
        <f t="shared" si="230"/>
        <v>271</v>
      </c>
      <c r="BD209" s="267">
        <f t="shared" si="231"/>
        <v>260</v>
      </c>
      <c r="BE209" s="267">
        <f t="shared" si="232"/>
        <v>251</v>
      </c>
      <c r="BF209" s="267">
        <f t="shared" si="233"/>
        <v>245</v>
      </c>
      <c r="BG209" s="269">
        <f>AY209*VLOOKUP($B209,'Major Cities &amp; Towns'!$A$28:$B$345,2,FALSE)</f>
        <v>154</v>
      </c>
      <c r="BH209" s="269">
        <f>AZ209*VLOOKUP($B209,'Major Cities &amp; Towns'!$A$28:$B$345,2,FALSE)</f>
        <v>150</v>
      </c>
      <c r="BI209" s="269">
        <f>BA209*VLOOKUP($B209,'Major Cities &amp; Towns'!$A$28:$B$345,2,FALSE)</f>
        <v>144</v>
      </c>
      <c r="BJ209" s="269">
        <f>BB209*VLOOKUP($B209,'Major Cities &amp; Towns'!$A$28:$B$345,2,FALSE)</f>
        <v>276</v>
      </c>
      <c r="BK209" s="269">
        <f>BC209*VLOOKUP($B209,'Major Cities &amp; Towns'!$A$28:$B$345,2,FALSE)</f>
        <v>271</v>
      </c>
      <c r="BL209" s="269">
        <f>BD209*VLOOKUP($B209,'Major Cities &amp; Towns'!$A$28:$B$345,2,FALSE)</f>
        <v>260</v>
      </c>
      <c r="BM209" s="269">
        <f>BE209*VLOOKUP($B209,'Major Cities &amp; Towns'!$A$28:$B$345,2,FALSE)</f>
        <v>251</v>
      </c>
      <c r="BN209" s="269">
        <f>BF209*VLOOKUP($B209,'Major Cities &amp; Towns'!$A$28:$B$345,2,FALSE)</f>
        <v>245</v>
      </c>
      <c r="BO209" s="270">
        <f t="shared" si="234"/>
        <v>154</v>
      </c>
      <c r="BP209" s="270">
        <f t="shared" si="235"/>
        <v>150</v>
      </c>
      <c r="BQ209" s="270">
        <f t="shared" si="236"/>
        <v>144</v>
      </c>
      <c r="BR209" s="270">
        <f t="shared" si="237"/>
        <v>276</v>
      </c>
      <c r="BS209" s="270">
        <f t="shared" si="238"/>
        <v>271</v>
      </c>
      <c r="BT209" s="270">
        <f t="shared" si="239"/>
        <v>260</v>
      </c>
      <c r="BU209" s="270">
        <f t="shared" si="240"/>
        <v>251</v>
      </c>
      <c r="BV209" s="270">
        <f t="shared" si="241"/>
        <v>245</v>
      </c>
      <c r="BW209" s="39">
        <f>VLOOKUP($A209,NetAdditions!$A$2:$H$336,6,FALSE)</f>
        <v>403</v>
      </c>
      <c r="BX209" s="39">
        <f>VLOOKUP($A209,NetAdditions!$A$2:$H$336,7,FALSE)</f>
        <v>559</v>
      </c>
      <c r="BY209" s="39">
        <f>IF((VLOOKUP($C209,NetAdditions!$A$2:$H$336,8,FALSE))="",(AVERAGE(VLOOKUP($C209,NetAdditions!$A$2:$H$336,5,FALSE),VLOOKUP($C209,NetAdditions!$A$2:$H$336,6,FALSE),VLOOKUP($C209,NetAdditions!$A$2:$H$336,7,FALSE))),VLOOKUP($C209,NetAdditions!$A$2:$H$336,8,FALSE))</f>
        <v>453</v>
      </c>
      <c r="BZ209" s="39">
        <f t="shared" si="242"/>
        <v>471.66666666666669</v>
      </c>
      <c r="CA209" s="39">
        <f t="shared" si="243"/>
        <v>494.5555555555556</v>
      </c>
      <c r="CB209" s="39">
        <f t="shared" si="244"/>
        <v>473.07407407407413</v>
      </c>
      <c r="CC209" s="39">
        <f t="shared" si="245"/>
        <v>479.76543209876553</v>
      </c>
      <c r="CD209" s="39">
        <f t="shared" si="246"/>
        <v>482.46502057613179</v>
      </c>
      <c r="CE209" s="276">
        <f t="shared" si="203"/>
        <v>448</v>
      </c>
      <c r="CF209" s="276">
        <f t="shared" si="204"/>
        <v>570</v>
      </c>
      <c r="CG209" s="276">
        <f t="shared" si="205"/>
        <v>691</v>
      </c>
      <c r="CH209" s="276">
        <f t="shared" si="206"/>
        <v>807</v>
      </c>
      <c r="CI209" s="276">
        <f t="shared" si="207"/>
        <v>782</v>
      </c>
      <c r="CJ209" s="276">
        <f t="shared" si="208"/>
        <v>756</v>
      </c>
      <c r="CK209" s="276">
        <f t="shared" si="247"/>
        <v>385.77777777777783</v>
      </c>
      <c r="CL209" s="276">
        <f t="shared" si="248"/>
        <v>490.83333333333337</v>
      </c>
      <c r="CM209" s="276">
        <f t="shared" si="249"/>
        <v>633.41666666666663</v>
      </c>
      <c r="CN209" s="276">
        <f t="shared" si="250"/>
        <v>807</v>
      </c>
      <c r="CO209" s="276">
        <f t="shared" si="251"/>
        <v>782</v>
      </c>
      <c r="CP209" s="276">
        <f t="shared" si="252"/>
        <v>756</v>
      </c>
      <c r="CQ209" s="39">
        <f t="shared" si="209"/>
        <v>1415</v>
      </c>
      <c r="CR209" s="39">
        <f t="shared" si="210"/>
        <v>1483.6666666666667</v>
      </c>
      <c r="CS209" s="277">
        <f t="shared" si="211"/>
        <v>1419.2222222222224</v>
      </c>
      <c r="CT209" s="39">
        <f t="shared" si="212"/>
        <v>1439.2962962962965</v>
      </c>
      <c r="CU209" s="39">
        <f t="shared" si="213"/>
        <v>1447.3950617283954</v>
      </c>
      <c r="CV209" s="39">
        <f t="shared" si="253"/>
        <v>1435.3045267489715</v>
      </c>
      <c r="CW209" s="297">
        <f t="shared" si="214"/>
        <v>3.6679147465437785</v>
      </c>
      <c r="CX209" s="279" t="str">
        <f t="shared" si="254"/>
        <v>Pass</v>
      </c>
      <c r="CY209" s="278">
        <f t="shared" si="215"/>
        <v>3.0227504244482173</v>
      </c>
      <c r="CZ209" s="279" t="str">
        <f t="shared" si="255"/>
        <v>Pass</v>
      </c>
      <c r="DA209" s="278">
        <f t="shared" si="216"/>
        <v>2.2405823795114683</v>
      </c>
      <c r="DB209" s="292" t="str">
        <f t="shared" si="256"/>
        <v>Pass</v>
      </c>
      <c r="DC209" s="299">
        <f t="shared" si="257"/>
        <v>1.7835146174675298</v>
      </c>
      <c r="DD209" s="293" t="str">
        <f t="shared" si="258"/>
        <v>Pass</v>
      </c>
      <c r="DE209" s="299">
        <f t="shared" si="259"/>
        <v>1.8508888257396361</v>
      </c>
      <c r="DF209" s="293" t="str">
        <f t="shared" si="260"/>
        <v>Pass</v>
      </c>
      <c r="DG209" s="299">
        <f t="shared" si="261"/>
        <v>1.8985509613081635</v>
      </c>
      <c r="DH209" s="293" t="str">
        <f t="shared" si="262"/>
        <v>Pass</v>
      </c>
    </row>
    <row r="210" spans="1:112" customFormat="1" ht="15.5" thickTop="1" thickBot="1">
      <c r="A210" s="3" t="s">
        <v>530</v>
      </c>
      <c r="B210" s="3" t="s">
        <v>531</v>
      </c>
      <c r="C210" s="3" t="s">
        <v>530</v>
      </c>
      <c r="D210" s="3" t="s">
        <v>131</v>
      </c>
      <c r="E210" s="3" t="str">
        <f>VLOOKUP(C210,PoliticalControl!A:K,11,FALSE)</f>
        <v>LD</v>
      </c>
      <c r="F210" s="3" t="str">
        <f>VLOOKUP(C210,UrbanRuralClassification!A:N,13,FALSE)</f>
        <v>Urban with Major Conurbation</v>
      </c>
      <c r="G210" s="3" t="str">
        <f>VLOOKUP(C210,UrbanRuralClassification!A:N,14,FALSE)</f>
        <v>Predominantly Urban</v>
      </c>
      <c r="H210" s="262">
        <f>IF(ISBLANK((VLOOKUP($A210,'local-plan-data'!$C$1:$AD$566,27,FALSE)))=TRUE,"",VLOOKUP($A210,'local-plan-data'!$C$1:$AD$566,27,FALSE))</f>
        <v>43284</v>
      </c>
      <c r="I210" s="263">
        <f>VLOOKUP($A210,'local-plan-data'!$C$1:$AD$566,28,FALSE)</f>
        <v>315</v>
      </c>
      <c r="J210" s="264">
        <f t="shared" si="217"/>
        <v>315</v>
      </c>
      <c r="K210" s="259">
        <f t="shared" si="197"/>
        <v>315</v>
      </c>
      <c r="L210" s="259">
        <f t="shared" si="201"/>
        <v>315</v>
      </c>
      <c r="M210" s="259">
        <f t="shared" si="201"/>
        <v>315</v>
      </c>
      <c r="N210" s="259">
        <f t="shared" si="201"/>
        <v>315</v>
      </c>
      <c r="O210" s="259">
        <f t="shared" si="201"/>
        <v>315</v>
      </c>
      <c r="P210" s="259">
        <f t="shared" si="201"/>
        <v>315</v>
      </c>
      <c r="Q210" s="259" t="str">
        <f t="shared" si="201"/>
        <v>-</v>
      </c>
      <c r="R210" s="259" t="str">
        <f t="shared" si="201"/>
        <v>-</v>
      </c>
      <c r="S210" s="259">
        <f t="shared" si="198"/>
        <v>1919</v>
      </c>
      <c r="T210" s="259">
        <f t="shared" si="202"/>
        <v>1554</v>
      </c>
      <c r="U210" s="259">
        <f t="shared" si="202"/>
        <v>1188</v>
      </c>
      <c r="V210" s="259">
        <f t="shared" si="202"/>
        <v>823</v>
      </c>
      <c r="W210" s="259">
        <f t="shared" si="202"/>
        <v>458</v>
      </c>
      <c r="X210" s="259">
        <f t="shared" si="202"/>
        <v>93</v>
      </c>
      <c r="Y210" s="259">
        <f t="shared" si="202"/>
        <v>-273</v>
      </c>
      <c r="Z210" s="259">
        <f t="shared" si="202"/>
        <v>-638</v>
      </c>
      <c r="AA210" s="267">
        <f>(VLOOKUP(A210,Hshldprojections2014!$A$2:$AW$319,40, FALSE)-VLOOKUP(A210,Hshldprojections2014!$A$2:$AW$319,30, FALSE))/10</f>
        <v>1213.2</v>
      </c>
      <c r="AB210" s="267">
        <f>(VLOOKUP(A210,Hshldprojections2014!$A$2:$AW$319,41, FALSE)-VLOOKUP(A210,Hshldprojections2014!$A$2:$AW$319,31, FALSE))/10</f>
        <v>1203.8</v>
      </c>
      <c r="AC210" s="267">
        <f>(VLOOKUP(A210,Hshldprojections2014!$A$2:$AW$319,42, FALSE)-VLOOKUP(A210,Hshldprojections2014!$A$2:$AW$319,32, FALSE))/10</f>
        <v>1197.4000000000001</v>
      </c>
      <c r="AD210" s="267">
        <f>IF(IndividualLATest!$J$7=2014,(VLOOKUP($A210,Hshldprojections2014!$A$2:$AY$326,43,FALSE)-VLOOKUP($A210,Hshldprojections2014!$A$2:$AY$326,33,FALSE))/10,IF(IndividualLATest!$J$7=2016,(VLOOKUP($A210,Hshldprojections2016!$A$1:$AQ$322,33,FALSE)-VLOOKUP($A210,Hshldprojections2016!$A$1:$AQ$322,23,FALSE))/10,(VLOOKUP($A210,Hshldprojections2018!$A$1:$AQ$327,33,FALSE)-VLOOKUP($A210,Hshldprojections2018!$A$1:$AQ$327,23,FALSE))/10))</f>
        <v>609.29999999999995</v>
      </c>
      <c r="AE210" s="267">
        <f>IF(IndividualLATest!$J$7=2014,(VLOOKUP($A210,Hshldprojections2014!$A$2:$AY$326,44,FALSE)-VLOOKUP($A210,Hshldprojections2014!$A$2:$AY$326,34,FALSE))/10,IF(IndividualLATest!$J$7=2016,(VLOOKUP($A210,Hshldprojections2016!$A$1:$AQ$322,34,FALSE)-VLOOKUP($A210,Hshldprojections2016!$A$1:$AQ$322,24,FALSE))/10,(VLOOKUP($A210,Hshldprojections2018!$A$1:$AQ$327,34,FALSE)-VLOOKUP($A210,Hshldprojections2018!$A$1:$AQ$327,24,FALSE))/10))</f>
        <v>590.6</v>
      </c>
      <c r="AF210" s="267">
        <f>IF(IndividualLATest!$J$7=2014,(VLOOKUP($A210,Hshldprojections2014!$A$2:$AY$326,45,FALSE)-VLOOKUP($A210,Hshldprojections2014!$A$2:$AY$326,35,FALSE))/10,IF(IndividualLATest!$J$7=2016,(VLOOKUP($A210,Hshldprojections2016!$A$1:$AQ$322,35,FALSE)-VLOOKUP($A210,Hshldprojections2016!$A$1:$AQ$322,25,FALSE))/10,(VLOOKUP($A210,Hshldprojections2018!$A$1:$AQ$327,35,FALSE)-VLOOKUP($A210,Hshldprojections2018!$A$1:$AQ$327,25,FALSE))/10))</f>
        <v>567.5</v>
      </c>
      <c r="AG210" s="267">
        <f>IF(IndividualLATest!$J$7=2014,(VLOOKUP($A210,Hshldprojections2014!$A$2:$AY$326,46,FALSE)-VLOOKUP($A210,Hshldprojections2014!$A$2:$AY$326,36,FALSE))/10,IF(IndividualLATest!$J$7=2016,(VLOOKUP($A210,Hshldprojections2016!$A$1:$AQ$322,36,FALSE)-VLOOKUP($A210,Hshldprojections2016!$A$1:$AQ$322,26,FALSE))/10,(VLOOKUP($A210,Hshldprojections2018!$A$1:$AQ$327,36,FALSE)-VLOOKUP($A210,Hshldprojections2018!$A$1:$AQ$327,26,FALSE))/10))</f>
        <v>546.70000000000005</v>
      </c>
      <c r="AH210" s="267">
        <f>IF(IndividualLATest!$J$7=2014,(VLOOKUP($A210,Hshldprojections2014!$A$2:$AY$326,47,FALSE)-VLOOKUP($A210,Hshldprojections2014!$A$2:$AY$326,37,FALSE))/10,IF(IndividualLATest!$J$7=2016,(VLOOKUP($A210,Hshldprojections2016!$A$1:$AQ$322,37,FALSE)-VLOOKUP($A210,Hshldprojections2016!$A$1:$AQ$322,27,FALSE))/10,(VLOOKUP($A210,Hshldprojections2018!$A$1:$AQ$327,37,FALSE)-VLOOKUP($A210,Hshldprojections2018!$A$1:$AQ$327,27,FALSE))/10))</f>
        <v>529.6</v>
      </c>
      <c r="AI210" s="268">
        <f>VLOOKUP($A210,AffordabilityRatio!$A$2:$I$321,5,FALSE)</f>
        <v>19.91</v>
      </c>
      <c r="AJ210" s="268">
        <f>VLOOKUP($A210,AffordabilityRatio!$A$2:$I$321,6,FALSE)</f>
        <v>18.510000000000002</v>
      </c>
      <c r="AK210" s="268">
        <f>VLOOKUP($A210,AffordabilityRatio!$A$2:$I$321,7,FALSE)</f>
        <v>17.940000000000001</v>
      </c>
      <c r="AL210" s="268">
        <f>IF((VLOOKUP($A210,AffordabilityRatio!$A$2:$I$321,8,FALSE))="",AK210,VLOOKUP($A210,AffordabilityRatio!$A$2:$I$321,8,FALSE))</f>
        <v>18.829999999999998</v>
      </c>
      <c r="AM210" s="268">
        <f>IF((VLOOKUP($A210,AffordabilityRatio!$A$2:$I$321,9,FALSE))="",AL210,VLOOKUP($A210,AffordabilityRatio!$A$2:$I$321,9,FALSE))</f>
        <v>19.62</v>
      </c>
      <c r="AN210" s="268">
        <f>IF((VLOOKUP($A210,AffordabilityRatio!$A$2:$I$321,9,FALSE))="",AM210,VLOOKUP($A210,AffordabilityRatio!$A$2:$I$321,9,FALSE))</f>
        <v>19.62</v>
      </c>
      <c r="AO210" s="268">
        <f>IF((VLOOKUP($A210,AffordabilityRatio!$A$2:$I$321,9,FALSE))="",AN210,VLOOKUP($A210,AffordabilityRatio!$A$2:$I$321,9,FALSE))</f>
        <v>19.62</v>
      </c>
      <c r="AP210" s="268">
        <f>IF((VLOOKUP($A210,AffordabilityRatio!$A$2:$I$321,9,FALSE))="",AO210,VLOOKUP($A210,AffordabilityRatio!$A$2:$I$321,9,FALSE))</f>
        <v>19.62</v>
      </c>
      <c r="AQ210" s="267">
        <f t="shared" si="218"/>
        <v>2420</v>
      </c>
      <c r="AR210" s="267">
        <f t="shared" si="219"/>
        <v>2295</v>
      </c>
      <c r="AS210" s="267">
        <f t="shared" si="220"/>
        <v>2241</v>
      </c>
      <c r="AT210" s="267">
        <f t="shared" si="221"/>
        <v>1174</v>
      </c>
      <c r="AU210" s="267">
        <f t="shared" si="222"/>
        <v>1167</v>
      </c>
      <c r="AV210" s="267">
        <f t="shared" si="223"/>
        <v>1122</v>
      </c>
      <c r="AW210" s="267">
        <f t="shared" si="224"/>
        <v>1080</v>
      </c>
      <c r="AX210" s="267">
        <f t="shared" si="225"/>
        <v>1047</v>
      </c>
      <c r="AY210" s="267">
        <f t="shared" si="226"/>
        <v>441</v>
      </c>
      <c r="AZ210" s="267">
        <f t="shared" si="227"/>
        <v>441</v>
      </c>
      <c r="BA210" s="267">
        <f t="shared" si="228"/>
        <v>441</v>
      </c>
      <c r="BB210" s="267">
        <f t="shared" si="229"/>
        <v>441</v>
      </c>
      <c r="BC210" s="267">
        <f t="shared" si="230"/>
        <v>441</v>
      </c>
      <c r="BD210" s="267">
        <f t="shared" si="231"/>
        <v>441</v>
      </c>
      <c r="BE210" s="267">
        <f t="shared" si="232"/>
        <v>765.38000000000011</v>
      </c>
      <c r="BF210" s="267">
        <f t="shared" si="233"/>
        <v>741.44</v>
      </c>
      <c r="BG210" s="269">
        <f>AY210*VLOOKUP($B210,'Major Cities &amp; Towns'!$A$28:$B$345,2,FALSE)</f>
        <v>595.35</v>
      </c>
      <c r="BH210" s="269">
        <f>AZ210*VLOOKUP($B210,'Major Cities &amp; Towns'!$A$28:$B$345,2,FALSE)</f>
        <v>595.35</v>
      </c>
      <c r="BI210" s="269">
        <f>BA210*VLOOKUP($B210,'Major Cities &amp; Towns'!$A$28:$B$345,2,FALSE)</f>
        <v>595.35</v>
      </c>
      <c r="BJ210" s="269">
        <f>BB210*VLOOKUP($B210,'Major Cities &amp; Towns'!$A$28:$B$345,2,FALSE)</f>
        <v>595.35</v>
      </c>
      <c r="BK210" s="269">
        <f>BC210*VLOOKUP($B210,'Major Cities &amp; Towns'!$A$28:$B$345,2,FALSE)</f>
        <v>595.35</v>
      </c>
      <c r="BL210" s="269">
        <f>BD210*VLOOKUP($B210,'Major Cities &amp; Towns'!$A$28:$B$345,2,FALSE)</f>
        <v>595.35</v>
      </c>
      <c r="BM210" s="269">
        <f>BE210*VLOOKUP($B210,'Major Cities &amp; Towns'!$A$28:$B$345,2,FALSE)</f>
        <v>1033.2630000000001</v>
      </c>
      <c r="BN210" s="269">
        <f>BF210*VLOOKUP($B210,'Major Cities &amp; Towns'!$A$28:$B$345,2,FALSE)</f>
        <v>1000.9440000000002</v>
      </c>
      <c r="BO210" s="270">
        <f t="shared" si="234"/>
        <v>315</v>
      </c>
      <c r="BP210" s="270">
        <f t="shared" si="235"/>
        <v>315</v>
      </c>
      <c r="BQ210" s="270">
        <f t="shared" si="236"/>
        <v>315</v>
      </c>
      <c r="BR210" s="270">
        <f t="shared" si="237"/>
        <v>315</v>
      </c>
      <c r="BS210" s="270">
        <f t="shared" si="238"/>
        <v>315</v>
      </c>
      <c r="BT210" s="270">
        <f t="shared" si="239"/>
        <v>916.38082191780825</v>
      </c>
      <c r="BU210" s="270">
        <f t="shared" si="240"/>
        <v>1080</v>
      </c>
      <c r="BV210" s="270">
        <f t="shared" si="241"/>
        <v>1047</v>
      </c>
      <c r="BW210" s="39">
        <f>VLOOKUP($A210,NetAdditions!$A$2:$H$336,6,FALSE)</f>
        <v>423</v>
      </c>
      <c r="BX210" s="39">
        <f>VLOOKUP($A210,NetAdditions!$A$2:$H$336,7,FALSE)</f>
        <v>313</v>
      </c>
      <c r="BY210" s="39">
        <f>IF((VLOOKUP($C210,NetAdditions!$A$2:$H$336,8,FALSE))="",(AVERAGE(VLOOKUP($C210,NetAdditions!$A$2:$H$336,5,FALSE),VLOOKUP($C210,NetAdditions!$A$2:$H$336,6,FALSE),VLOOKUP($C210,NetAdditions!$A$2:$H$336,7,FALSE))),VLOOKUP($C210,NetAdditions!$A$2:$H$336,8,FALSE))</f>
        <v>1362</v>
      </c>
      <c r="BZ210" s="39">
        <f t="shared" si="242"/>
        <v>699.33333333333337</v>
      </c>
      <c r="CA210" s="39">
        <f t="shared" si="243"/>
        <v>791.44444444444446</v>
      </c>
      <c r="CB210" s="39">
        <f t="shared" si="244"/>
        <v>950.92592592592598</v>
      </c>
      <c r="CC210" s="39">
        <f t="shared" si="245"/>
        <v>813.90123456790127</v>
      </c>
      <c r="CD210" s="39">
        <f t="shared" si="246"/>
        <v>852.09053497942386</v>
      </c>
      <c r="CE210" s="276">
        <f t="shared" si="203"/>
        <v>945</v>
      </c>
      <c r="CF210" s="276">
        <f t="shared" si="204"/>
        <v>945</v>
      </c>
      <c r="CG210" s="276">
        <f t="shared" si="205"/>
        <v>945</v>
      </c>
      <c r="CH210" s="276">
        <f t="shared" si="206"/>
        <v>1546.3808219178081</v>
      </c>
      <c r="CI210" s="276">
        <f t="shared" si="207"/>
        <v>2311.3808219178081</v>
      </c>
      <c r="CJ210" s="276">
        <f t="shared" si="208"/>
        <v>3043.3808219178081</v>
      </c>
      <c r="CK210" s="276">
        <f t="shared" si="247"/>
        <v>813.75</v>
      </c>
      <c r="CL210" s="276">
        <f t="shared" si="248"/>
        <v>813.75</v>
      </c>
      <c r="CM210" s="276">
        <f t="shared" si="249"/>
        <v>866.25</v>
      </c>
      <c r="CN210" s="276">
        <f t="shared" si="250"/>
        <v>1546.3808219178081</v>
      </c>
      <c r="CO210" s="276">
        <f t="shared" si="251"/>
        <v>2311.3808219178081</v>
      </c>
      <c r="CP210" s="276">
        <f t="shared" si="252"/>
        <v>3043.3808219178081</v>
      </c>
      <c r="CQ210" s="39">
        <f t="shared" si="209"/>
        <v>2098</v>
      </c>
      <c r="CR210" s="39">
        <f t="shared" si="210"/>
        <v>2374.3333333333335</v>
      </c>
      <c r="CS210" s="277">
        <f t="shared" si="211"/>
        <v>2852.7777777777778</v>
      </c>
      <c r="CT210" s="39">
        <f t="shared" si="212"/>
        <v>2441.7037037037039</v>
      </c>
      <c r="CU210" s="39">
        <f t="shared" si="213"/>
        <v>2556.2716049382716</v>
      </c>
      <c r="CV210" s="39">
        <f t="shared" si="253"/>
        <v>2616.9176954732511</v>
      </c>
      <c r="CW210" s="297">
        <f t="shared" si="214"/>
        <v>2.5781874039938555</v>
      </c>
      <c r="CX210" s="279" t="str">
        <f t="shared" si="254"/>
        <v>Pass</v>
      </c>
      <c r="CY210" s="278">
        <f t="shared" si="215"/>
        <v>2.9177675371223759</v>
      </c>
      <c r="CZ210" s="279" t="str">
        <f t="shared" si="255"/>
        <v>Pass</v>
      </c>
      <c r="DA210" s="278">
        <f t="shared" si="216"/>
        <v>3.2932499599166265</v>
      </c>
      <c r="DB210" s="292" t="str">
        <f t="shared" si="256"/>
        <v>Pass</v>
      </c>
      <c r="DC210" s="299">
        <f t="shared" si="257"/>
        <v>1.5789795560679059</v>
      </c>
      <c r="DD210" s="293" t="str">
        <f t="shared" si="258"/>
        <v>Pass</v>
      </c>
      <c r="DE210" s="299">
        <f t="shared" si="259"/>
        <v>1.1059499934836665</v>
      </c>
      <c r="DF210" s="293" t="str">
        <f t="shared" si="260"/>
        <v>Pass</v>
      </c>
      <c r="DG210" s="299">
        <f t="shared" si="261"/>
        <v>0.85987191501856863</v>
      </c>
      <c r="DH210" s="293" t="str">
        <f t="shared" si="262"/>
        <v>Action Plan</v>
      </c>
    </row>
    <row r="211" spans="1:112" ht="15" thickTop="1" thickBot="1">
      <c r="A211" s="38" t="s">
        <v>532</v>
      </c>
      <c r="B211" s="38" t="s">
        <v>533</v>
      </c>
      <c r="C211" s="38" t="s">
        <v>532</v>
      </c>
      <c r="D211" s="38" t="s">
        <v>136</v>
      </c>
      <c r="E211" s="38" t="str">
        <f>VLOOKUP(C211,PoliticalControl!A:K,11,FALSE)</f>
        <v>NOC</v>
      </c>
      <c r="F211" s="38" t="str">
        <f>VLOOKUP(C211,UrbanRuralClassification!A:N,13,FALSE)</f>
        <v xml:space="preserve">Mainly Rural (rural including hub towns &gt;=80%) </v>
      </c>
      <c r="G211" s="38" t="str">
        <f>VLOOKUP(C211,UrbanRuralClassification!A:N,14,FALSE)</f>
        <v>Predominantly Rural</v>
      </c>
      <c r="H211" s="258">
        <f>IF(ISBLANK((VLOOKUP($A211,'local-plan-data'!$C$1:$AD$566,27,FALSE)))=TRUE,"",VLOOKUP($A211,'local-plan-data'!$C$1:$AD$566,27,FALSE))</f>
        <v>41982</v>
      </c>
      <c r="I211" s="259">
        <f>VLOOKUP($A211,'local-plan-data'!$C$1:$AD$566,28,FALSE)</f>
        <v>180</v>
      </c>
      <c r="J211" s="260">
        <f t="shared" si="217"/>
        <v>180</v>
      </c>
      <c r="K211" s="259">
        <f t="shared" ref="K211:R265" si="263">IF(AND(ISNUMBER($H211),ISNUMBER($J211)),IF(($H211-K$1&gt;0),$J211,IF(DATEDIF($H211,K$1,"y")&lt;5,$J211,"-")),"-")</f>
        <v>180</v>
      </c>
      <c r="L211" s="259">
        <f t="shared" si="201"/>
        <v>180</v>
      </c>
      <c r="M211" s="259" t="str">
        <f t="shared" si="201"/>
        <v>-</v>
      </c>
      <c r="N211" s="259" t="str">
        <f t="shared" si="201"/>
        <v>-</v>
      </c>
      <c r="O211" s="259" t="str">
        <f t="shared" si="201"/>
        <v>-</v>
      </c>
      <c r="P211" s="259" t="str">
        <f t="shared" si="201"/>
        <v>-</v>
      </c>
      <c r="Q211" s="259" t="str">
        <f t="shared" si="201"/>
        <v>-</v>
      </c>
      <c r="R211" s="259" t="str">
        <f t="shared" si="201"/>
        <v>-</v>
      </c>
      <c r="S211" s="259">
        <f t="shared" ref="S211:Z265" si="264">IFERROR((EDATE($H211,60))-S$1,"-")</f>
        <v>617</v>
      </c>
      <c r="T211" s="259">
        <f t="shared" si="202"/>
        <v>252</v>
      </c>
      <c r="U211" s="259">
        <f t="shared" si="202"/>
        <v>-114</v>
      </c>
      <c r="V211" s="259">
        <f t="shared" si="202"/>
        <v>-479</v>
      </c>
      <c r="W211" s="259">
        <f t="shared" si="202"/>
        <v>-844</v>
      </c>
      <c r="X211" s="259">
        <f t="shared" si="202"/>
        <v>-1209</v>
      </c>
      <c r="Y211" s="259">
        <f t="shared" si="202"/>
        <v>-1575</v>
      </c>
      <c r="Z211" s="259">
        <f t="shared" si="202"/>
        <v>-1940</v>
      </c>
      <c r="AA211" s="267">
        <f>(VLOOKUP(A211,Hshldprojections2014!$A$2:$AW$319,40, FALSE)-VLOOKUP(A211,Hshldprojections2014!$A$2:$AW$319,30, FALSE))/10</f>
        <v>9.3000000000000007</v>
      </c>
      <c r="AB211" s="267">
        <f>(VLOOKUP(A211,Hshldprojections2014!$A$2:$AW$319,41, FALSE)-VLOOKUP(A211,Hshldprojections2014!$A$2:$AW$319,31, FALSE))/10</f>
        <v>9.6</v>
      </c>
      <c r="AC211" s="267">
        <f>(VLOOKUP(A211,Hshldprojections2014!$A$2:$AW$319,42, FALSE)-VLOOKUP(A211,Hshldprojections2014!$A$2:$AW$319,32, FALSE))/10</f>
        <v>10</v>
      </c>
      <c r="AD211" s="267">
        <f>IF(IndividualLATest!$J$7=2014,(VLOOKUP($A211,Hshldprojections2014!$A$2:$AY$326,43,FALSE)-VLOOKUP($A211,Hshldprojections2014!$A$2:$AY$326,33,FALSE))/10,IF(IndividualLATest!$J$7=2016,(VLOOKUP($A211,Hshldprojections2016!$A$1:$AQ$322,33,FALSE)-VLOOKUP($A211,Hshldprojections2016!$A$1:$AQ$322,23,FALSE))/10,(VLOOKUP($A211,Hshldprojections2018!$A$1:$AQ$327,33,FALSE)-VLOOKUP($A211,Hshldprojections2018!$A$1:$AQ$327,23,FALSE))/10))</f>
        <v>53.9</v>
      </c>
      <c r="AE211" s="267">
        <f>IF(IndividualLATest!$J$7=2014,(VLOOKUP($A211,Hshldprojections2014!$A$2:$AY$326,44,FALSE)-VLOOKUP($A211,Hshldprojections2014!$A$2:$AY$326,34,FALSE))/10,IF(IndividualLATest!$J$7=2016,(VLOOKUP($A211,Hshldprojections2016!$A$1:$AQ$322,34,FALSE)-VLOOKUP($A211,Hshldprojections2016!$A$1:$AQ$322,24,FALSE))/10,(VLOOKUP($A211,Hshldprojections2018!$A$1:$AQ$327,34,FALSE)-VLOOKUP($A211,Hshldprojections2018!$A$1:$AQ$327,24,FALSE))/10))</f>
        <v>50.8</v>
      </c>
      <c r="AF211" s="267">
        <f>IF(IndividualLATest!$J$7=2014,(VLOOKUP($A211,Hshldprojections2014!$A$2:$AY$326,45,FALSE)-VLOOKUP($A211,Hshldprojections2014!$A$2:$AY$326,35,FALSE))/10,IF(IndividualLATest!$J$7=2016,(VLOOKUP($A211,Hshldprojections2016!$A$1:$AQ$322,35,FALSE)-VLOOKUP($A211,Hshldprojections2016!$A$1:$AQ$322,25,FALSE))/10,(VLOOKUP($A211,Hshldprojections2018!$A$1:$AQ$327,35,FALSE)-VLOOKUP($A211,Hshldprojections2018!$A$1:$AQ$327,25,FALSE))/10))</f>
        <v>49.1</v>
      </c>
      <c r="AG211" s="267">
        <f>IF(IndividualLATest!$J$7=2014,(VLOOKUP($A211,Hshldprojections2014!$A$2:$AY$326,46,FALSE)-VLOOKUP($A211,Hshldprojections2014!$A$2:$AY$326,36,FALSE))/10,IF(IndividualLATest!$J$7=2016,(VLOOKUP($A211,Hshldprojections2016!$A$1:$AQ$322,36,FALSE)-VLOOKUP($A211,Hshldprojections2016!$A$1:$AQ$322,26,FALSE))/10,(VLOOKUP($A211,Hshldprojections2018!$A$1:$AQ$327,36,FALSE)-VLOOKUP($A211,Hshldprojections2018!$A$1:$AQ$327,26,FALSE))/10))</f>
        <v>46.5</v>
      </c>
      <c r="AH211" s="267">
        <f>IF(IndividualLATest!$J$7=2014,(VLOOKUP($A211,Hshldprojections2014!$A$2:$AY$326,47,FALSE)-VLOOKUP($A211,Hshldprojections2014!$A$2:$AY$326,37,FALSE))/10,IF(IndividualLATest!$J$7=2016,(VLOOKUP($A211,Hshldprojections2016!$A$1:$AQ$322,37,FALSE)-VLOOKUP($A211,Hshldprojections2016!$A$1:$AQ$322,27,FALSE))/10,(VLOOKUP($A211,Hshldprojections2018!$A$1:$AQ$327,37,FALSE)-VLOOKUP($A211,Hshldprojections2018!$A$1:$AQ$327,27,FALSE))/10))</f>
        <v>45.1</v>
      </c>
      <c r="AI211" s="268">
        <f>VLOOKUP($A211,AffordabilityRatio!$A$2:$I$321,5,FALSE)</f>
        <v>7.25</v>
      </c>
      <c r="AJ211" s="268">
        <f>VLOOKUP($A211,AffordabilityRatio!$A$2:$I$321,6,FALSE)</f>
        <v>7.38</v>
      </c>
      <c r="AK211" s="268">
        <f>VLOOKUP($A211,AffordabilityRatio!$A$2:$I$321,7,FALSE)</f>
        <v>7.41</v>
      </c>
      <c r="AL211" s="268">
        <f>IF((VLOOKUP($A211,AffordabilityRatio!$A$2:$I$321,8,FALSE))="",AK211,VLOOKUP($A211,AffordabilityRatio!$A$2:$I$321,8,FALSE))</f>
        <v>7.7</v>
      </c>
      <c r="AM211" s="268">
        <f>IF((VLOOKUP($A211,AffordabilityRatio!$A$2:$I$321,9,FALSE))="",AL211,VLOOKUP($A211,AffordabilityRatio!$A$2:$I$321,9,FALSE))</f>
        <v>8.4600000000000009</v>
      </c>
      <c r="AN211" s="268">
        <f>IF((VLOOKUP($A211,AffordabilityRatio!$A$2:$I$321,9,FALSE))="",AM211,VLOOKUP($A211,AffordabilityRatio!$A$2:$I$321,9,FALSE))</f>
        <v>8.4600000000000009</v>
      </c>
      <c r="AO211" s="268">
        <f>IF((VLOOKUP($A211,AffordabilityRatio!$A$2:$I$321,9,FALSE))="",AN211,VLOOKUP($A211,AffordabilityRatio!$A$2:$I$321,9,FALSE))</f>
        <v>8.4600000000000009</v>
      </c>
      <c r="AP211" s="268">
        <f>IF((VLOOKUP($A211,AffordabilityRatio!$A$2:$I$321,9,FALSE))="",AO211,VLOOKUP($A211,AffordabilityRatio!$A$2:$I$321,9,FALSE))</f>
        <v>8.4600000000000009</v>
      </c>
      <c r="AQ211" s="267">
        <f t="shared" si="218"/>
        <v>11</v>
      </c>
      <c r="AR211" s="267">
        <f t="shared" si="219"/>
        <v>12</v>
      </c>
      <c r="AS211" s="267">
        <f t="shared" si="220"/>
        <v>12</v>
      </c>
      <c r="AT211" s="267">
        <f t="shared" si="221"/>
        <v>66</v>
      </c>
      <c r="AU211" s="267">
        <f t="shared" si="222"/>
        <v>65</v>
      </c>
      <c r="AV211" s="267">
        <f t="shared" si="223"/>
        <v>63</v>
      </c>
      <c r="AW211" s="267">
        <f t="shared" si="224"/>
        <v>59</v>
      </c>
      <c r="AX211" s="267">
        <f t="shared" si="225"/>
        <v>58</v>
      </c>
      <c r="AY211" s="267">
        <f t="shared" si="226"/>
        <v>11</v>
      </c>
      <c r="AZ211" s="267">
        <f t="shared" si="227"/>
        <v>12</v>
      </c>
      <c r="BA211" s="267">
        <f t="shared" si="228"/>
        <v>12</v>
      </c>
      <c r="BB211" s="267">
        <f t="shared" si="229"/>
        <v>66</v>
      </c>
      <c r="BC211" s="267">
        <f t="shared" si="230"/>
        <v>65</v>
      </c>
      <c r="BD211" s="267">
        <f t="shared" si="231"/>
        <v>63</v>
      </c>
      <c r="BE211" s="267">
        <f t="shared" si="232"/>
        <v>59</v>
      </c>
      <c r="BF211" s="267">
        <f t="shared" si="233"/>
        <v>58</v>
      </c>
      <c r="BG211" s="269">
        <f>AY211*VLOOKUP($B211,'Major Cities &amp; Towns'!$A$28:$B$345,2,FALSE)</f>
        <v>11</v>
      </c>
      <c r="BH211" s="269">
        <f>AZ211*VLOOKUP($B211,'Major Cities &amp; Towns'!$A$28:$B$345,2,FALSE)</f>
        <v>12</v>
      </c>
      <c r="BI211" s="269">
        <f>BA211*VLOOKUP($B211,'Major Cities &amp; Towns'!$A$28:$B$345,2,FALSE)</f>
        <v>12</v>
      </c>
      <c r="BJ211" s="269">
        <f>BB211*VLOOKUP($B211,'Major Cities &amp; Towns'!$A$28:$B$345,2,FALSE)</f>
        <v>66</v>
      </c>
      <c r="BK211" s="269">
        <f>BC211*VLOOKUP($B211,'Major Cities &amp; Towns'!$A$28:$B$345,2,FALSE)</f>
        <v>65</v>
      </c>
      <c r="BL211" s="269">
        <f>BD211*VLOOKUP($B211,'Major Cities &amp; Towns'!$A$28:$B$345,2,FALSE)</f>
        <v>63</v>
      </c>
      <c r="BM211" s="269">
        <f>BE211*VLOOKUP($B211,'Major Cities &amp; Towns'!$A$28:$B$345,2,FALSE)</f>
        <v>59</v>
      </c>
      <c r="BN211" s="269">
        <f>BF211*VLOOKUP($B211,'Major Cities &amp; Towns'!$A$28:$B$345,2,FALSE)</f>
        <v>58</v>
      </c>
      <c r="BO211" s="270">
        <f t="shared" si="234"/>
        <v>11</v>
      </c>
      <c r="BP211" s="270">
        <f t="shared" si="235"/>
        <v>12</v>
      </c>
      <c r="BQ211" s="270">
        <f t="shared" si="236"/>
        <v>12</v>
      </c>
      <c r="BR211" s="270">
        <f t="shared" si="237"/>
        <v>66</v>
      </c>
      <c r="BS211" s="270">
        <f t="shared" si="238"/>
        <v>65</v>
      </c>
      <c r="BT211" s="270">
        <f t="shared" si="239"/>
        <v>63</v>
      </c>
      <c r="BU211" s="270">
        <f t="shared" si="240"/>
        <v>59</v>
      </c>
      <c r="BV211" s="270">
        <f t="shared" si="241"/>
        <v>58</v>
      </c>
      <c r="BW211" s="39">
        <f>VLOOKUP($A211,NetAdditions!$A$2:$H$336,6,FALSE)</f>
        <v>201</v>
      </c>
      <c r="BX211" s="39">
        <f>VLOOKUP($A211,NetAdditions!$A$2:$H$336,7,FALSE)</f>
        <v>58</v>
      </c>
      <c r="BY211" s="39">
        <f>IF((VLOOKUP($C211,NetAdditions!$A$2:$H$336,8,FALSE))="",(AVERAGE(VLOOKUP($C211,NetAdditions!$A$2:$H$336,5,FALSE),VLOOKUP($C211,NetAdditions!$A$2:$H$336,6,FALSE),VLOOKUP($C211,NetAdditions!$A$2:$H$336,7,FALSE))),VLOOKUP($C211,NetAdditions!$A$2:$H$336,8,FALSE))</f>
        <v>99</v>
      </c>
      <c r="BZ211" s="39">
        <f t="shared" si="242"/>
        <v>119.33333333333333</v>
      </c>
      <c r="CA211" s="39">
        <f t="shared" si="243"/>
        <v>92.1111111111111</v>
      </c>
      <c r="CB211" s="39">
        <f t="shared" si="244"/>
        <v>103.48148148148147</v>
      </c>
      <c r="CC211" s="39">
        <f t="shared" si="245"/>
        <v>104.97530864197529</v>
      </c>
      <c r="CD211" s="39">
        <f t="shared" si="246"/>
        <v>100.18930041152261</v>
      </c>
      <c r="CE211" s="276">
        <f t="shared" si="203"/>
        <v>35</v>
      </c>
      <c r="CF211" s="276">
        <f t="shared" si="204"/>
        <v>90</v>
      </c>
      <c r="CG211" s="276">
        <f t="shared" si="205"/>
        <v>143</v>
      </c>
      <c r="CH211" s="276">
        <f t="shared" si="206"/>
        <v>194</v>
      </c>
      <c r="CI211" s="276">
        <f t="shared" si="207"/>
        <v>187</v>
      </c>
      <c r="CJ211" s="276">
        <f t="shared" si="208"/>
        <v>180</v>
      </c>
      <c r="CK211" s="276">
        <f t="shared" si="247"/>
        <v>30.138888888888889</v>
      </c>
      <c r="CL211" s="276">
        <f t="shared" si="248"/>
        <v>77.5</v>
      </c>
      <c r="CM211" s="276">
        <f t="shared" si="249"/>
        <v>131.08333333333331</v>
      </c>
      <c r="CN211" s="276">
        <f t="shared" si="250"/>
        <v>194</v>
      </c>
      <c r="CO211" s="276">
        <f t="shared" si="251"/>
        <v>187</v>
      </c>
      <c r="CP211" s="276">
        <f t="shared" si="252"/>
        <v>180</v>
      </c>
      <c r="CQ211" s="39">
        <f t="shared" si="209"/>
        <v>358</v>
      </c>
      <c r="CR211" s="39">
        <f t="shared" si="210"/>
        <v>276.33333333333331</v>
      </c>
      <c r="CS211" s="277">
        <f t="shared" si="211"/>
        <v>310.4444444444444</v>
      </c>
      <c r="CT211" s="39">
        <f t="shared" si="212"/>
        <v>314.92592592592587</v>
      </c>
      <c r="CU211" s="39">
        <f t="shared" si="213"/>
        <v>300.56790123456784</v>
      </c>
      <c r="CV211" s="39">
        <f t="shared" si="253"/>
        <v>308.64609053497935</v>
      </c>
      <c r="CW211" s="297">
        <f t="shared" si="214"/>
        <v>11.878341013824885</v>
      </c>
      <c r="CX211" s="279" t="str">
        <f t="shared" si="254"/>
        <v>Pass</v>
      </c>
      <c r="CY211" s="278">
        <f t="shared" si="215"/>
        <v>3.5655913978494622</v>
      </c>
      <c r="CZ211" s="279" t="str">
        <f t="shared" si="255"/>
        <v>Pass</v>
      </c>
      <c r="DA211" s="278">
        <f t="shared" si="216"/>
        <v>2.3682983682983685</v>
      </c>
      <c r="DB211" s="292" t="str">
        <f t="shared" si="256"/>
        <v>Pass</v>
      </c>
      <c r="DC211" s="299">
        <f t="shared" si="257"/>
        <v>1.6233295150820921</v>
      </c>
      <c r="DD211" s="293" t="str">
        <f t="shared" si="258"/>
        <v>Pass</v>
      </c>
      <c r="DE211" s="299">
        <f t="shared" si="259"/>
        <v>1.6073149798639992</v>
      </c>
      <c r="DF211" s="293" t="str">
        <f t="shared" si="260"/>
        <v>Pass</v>
      </c>
      <c r="DG211" s="299">
        <f t="shared" si="261"/>
        <v>1.7147005029721074</v>
      </c>
      <c r="DH211" s="293" t="str">
        <f t="shared" si="262"/>
        <v>Pass</v>
      </c>
    </row>
    <row r="212" spans="1:112" ht="15" thickTop="1" thickBot="1">
      <c r="A212" s="38" t="s">
        <v>534</v>
      </c>
      <c r="B212" s="38" t="s">
        <v>535</v>
      </c>
      <c r="C212" s="38" t="s">
        <v>534</v>
      </c>
      <c r="D212" s="38" t="s">
        <v>116</v>
      </c>
      <c r="E212" s="38" t="str">
        <f>VLOOKUP(C212,PoliticalControl!A:K,11,FALSE)</f>
        <v>LAB</v>
      </c>
      <c r="F212" s="38" t="str">
        <f>VLOOKUP(C212,UrbanRuralClassification!A:N,13,FALSE)</f>
        <v>Urban with Major Conurbation</v>
      </c>
      <c r="G212" s="38" t="str">
        <f>VLOOKUP(C212,UrbanRuralClassification!A:N,14,FALSE)</f>
        <v>Predominantly Urban</v>
      </c>
      <c r="H212" s="258">
        <f>IF(ISBLANK((VLOOKUP($A212,'local-plan-data'!$C$1:$AD$566,27,FALSE)))=TRUE,"",VLOOKUP($A212,'local-plan-data'!$C$1:$AD$566,27,FALSE))</f>
        <v>42662</v>
      </c>
      <c r="I212" s="259">
        <f>VLOOKUP($A212,'local-plan-data'!$C$1:$AD$566,28,FALSE)</f>
        <v>460</v>
      </c>
      <c r="J212" s="260">
        <f t="shared" si="217"/>
        <v>460</v>
      </c>
      <c r="K212" s="259">
        <f t="shared" si="263"/>
        <v>460</v>
      </c>
      <c r="L212" s="259">
        <f t="shared" si="201"/>
        <v>460</v>
      </c>
      <c r="M212" s="259">
        <f t="shared" si="201"/>
        <v>460</v>
      </c>
      <c r="N212" s="259">
        <f t="shared" si="201"/>
        <v>460</v>
      </c>
      <c r="O212" s="259" t="str">
        <f t="shared" si="201"/>
        <v>-</v>
      </c>
      <c r="P212" s="259" t="str">
        <f t="shared" si="201"/>
        <v>-</v>
      </c>
      <c r="Q212" s="259" t="str">
        <f t="shared" si="201"/>
        <v>-</v>
      </c>
      <c r="R212" s="259" t="str">
        <f t="shared" si="201"/>
        <v>-</v>
      </c>
      <c r="S212" s="259">
        <f t="shared" si="264"/>
        <v>1297</v>
      </c>
      <c r="T212" s="259">
        <f t="shared" si="202"/>
        <v>932</v>
      </c>
      <c r="U212" s="259">
        <f t="shared" si="202"/>
        <v>566</v>
      </c>
      <c r="V212" s="259">
        <f t="shared" si="202"/>
        <v>201</v>
      </c>
      <c r="W212" s="259">
        <f t="shared" si="202"/>
        <v>-164</v>
      </c>
      <c r="X212" s="259">
        <f t="shared" si="202"/>
        <v>-529</v>
      </c>
      <c r="Y212" s="259">
        <f t="shared" si="202"/>
        <v>-895</v>
      </c>
      <c r="Z212" s="259">
        <f t="shared" si="202"/>
        <v>-1260</v>
      </c>
      <c r="AA212" s="267">
        <f>(VLOOKUP(A212,Hshldprojections2014!$A$2:$AW$319,40, FALSE)-VLOOKUP(A212,Hshldprojections2014!$A$2:$AW$319,30, FALSE))/10</f>
        <v>466.7</v>
      </c>
      <c r="AB212" s="267">
        <f>(VLOOKUP(A212,Hshldprojections2014!$A$2:$AW$319,41, FALSE)-VLOOKUP(A212,Hshldprojections2014!$A$2:$AW$319,31, FALSE))/10</f>
        <v>462.4</v>
      </c>
      <c r="AC212" s="267">
        <f>(VLOOKUP(A212,Hshldprojections2014!$A$2:$AW$319,42, FALSE)-VLOOKUP(A212,Hshldprojections2014!$A$2:$AW$319,32, FALSE))/10</f>
        <v>459.4</v>
      </c>
      <c r="AD212" s="267">
        <f>IF(IndividualLATest!$J$7=2014,(VLOOKUP($A212,Hshldprojections2014!$A$2:$AY$326,43,FALSE)-VLOOKUP($A212,Hshldprojections2014!$A$2:$AY$326,33,FALSE))/10,IF(IndividualLATest!$J$7=2016,(VLOOKUP($A212,Hshldprojections2016!$A$1:$AQ$322,33,FALSE)-VLOOKUP($A212,Hshldprojections2016!$A$1:$AQ$322,23,FALSE))/10,(VLOOKUP($A212,Hshldprojections2018!$A$1:$AQ$327,33,FALSE)-VLOOKUP($A212,Hshldprojections2018!$A$1:$AQ$327,23,FALSE))/10))</f>
        <v>761.2</v>
      </c>
      <c r="AE212" s="267">
        <f>IF(IndividualLATest!$J$7=2014,(VLOOKUP($A212,Hshldprojections2014!$A$2:$AY$326,44,FALSE)-VLOOKUP($A212,Hshldprojections2014!$A$2:$AY$326,34,FALSE))/10,IF(IndividualLATest!$J$7=2016,(VLOOKUP($A212,Hshldprojections2016!$A$1:$AQ$322,34,FALSE)-VLOOKUP($A212,Hshldprojections2016!$A$1:$AQ$322,24,FALSE))/10,(VLOOKUP($A212,Hshldprojections2018!$A$1:$AQ$327,34,FALSE)-VLOOKUP($A212,Hshldprojections2018!$A$1:$AQ$327,24,FALSE))/10))</f>
        <v>752.4</v>
      </c>
      <c r="AF212" s="267">
        <f>IF(IndividualLATest!$J$7=2014,(VLOOKUP($A212,Hshldprojections2014!$A$2:$AY$326,45,FALSE)-VLOOKUP($A212,Hshldprojections2014!$A$2:$AY$326,35,FALSE))/10,IF(IndividualLATest!$J$7=2016,(VLOOKUP($A212,Hshldprojections2016!$A$1:$AQ$322,35,FALSE)-VLOOKUP($A212,Hshldprojections2016!$A$1:$AQ$322,25,FALSE))/10,(VLOOKUP($A212,Hshldprojections2018!$A$1:$AQ$327,35,FALSE)-VLOOKUP($A212,Hshldprojections2018!$A$1:$AQ$327,25,FALSE))/10))</f>
        <v>746.2</v>
      </c>
      <c r="AG212" s="267">
        <f>IF(IndividualLATest!$J$7=2014,(VLOOKUP($A212,Hshldprojections2014!$A$2:$AY$326,46,FALSE)-VLOOKUP($A212,Hshldprojections2014!$A$2:$AY$326,36,FALSE))/10,IF(IndividualLATest!$J$7=2016,(VLOOKUP($A212,Hshldprojections2016!$A$1:$AQ$322,36,FALSE)-VLOOKUP($A212,Hshldprojections2016!$A$1:$AQ$322,26,FALSE))/10,(VLOOKUP($A212,Hshldprojections2018!$A$1:$AQ$327,36,FALSE)-VLOOKUP($A212,Hshldprojections2018!$A$1:$AQ$327,26,FALSE))/10))</f>
        <v>740.8</v>
      </c>
      <c r="AH212" s="267">
        <f>IF(IndividualLATest!$J$7=2014,(VLOOKUP($A212,Hshldprojections2014!$A$2:$AY$326,47,FALSE)-VLOOKUP($A212,Hshldprojections2014!$A$2:$AY$326,37,FALSE))/10,IF(IndividualLATest!$J$7=2016,(VLOOKUP($A212,Hshldprojections2016!$A$1:$AQ$322,37,FALSE)-VLOOKUP($A212,Hshldprojections2016!$A$1:$AQ$322,27,FALSE))/10,(VLOOKUP($A212,Hshldprojections2018!$A$1:$AQ$327,37,FALSE)-VLOOKUP($A212,Hshldprojections2018!$A$1:$AQ$327,27,FALSE))/10))</f>
        <v>736.5</v>
      </c>
      <c r="AI212" s="268">
        <f>VLOOKUP($A212,AffordabilityRatio!$A$2:$I$321,5,FALSE)</f>
        <v>5.63</v>
      </c>
      <c r="AJ212" s="268">
        <f>VLOOKUP($A212,AffordabilityRatio!$A$2:$I$321,6,FALSE)</f>
        <v>5.53</v>
      </c>
      <c r="AK212" s="268">
        <f>VLOOKUP($A212,AffordabilityRatio!$A$2:$I$321,7,FALSE)</f>
        <v>5.58</v>
      </c>
      <c r="AL212" s="268">
        <f>IF((VLOOKUP($A212,AffordabilityRatio!$A$2:$I$321,8,FALSE))="",AK212,VLOOKUP($A212,AffordabilityRatio!$A$2:$I$321,8,FALSE))</f>
        <v>5.58</v>
      </c>
      <c r="AM212" s="268">
        <f>IF((VLOOKUP($A212,AffordabilityRatio!$A$2:$I$321,9,FALSE))="",AL212,VLOOKUP($A212,AffordabilityRatio!$A$2:$I$321,9,FALSE))</f>
        <v>6.23</v>
      </c>
      <c r="AN212" s="268">
        <f>IF((VLOOKUP($A212,AffordabilityRatio!$A$2:$I$321,9,FALSE))="",AM212,VLOOKUP($A212,AffordabilityRatio!$A$2:$I$321,9,FALSE))</f>
        <v>6.23</v>
      </c>
      <c r="AO212" s="268">
        <f>IF((VLOOKUP($A212,AffordabilityRatio!$A$2:$I$321,9,FALSE))="",AN212,VLOOKUP($A212,AffordabilityRatio!$A$2:$I$321,9,FALSE))</f>
        <v>6.23</v>
      </c>
      <c r="AP212" s="268">
        <f>IF((VLOOKUP($A212,AffordabilityRatio!$A$2:$I$321,9,FALSE))="",AO212,VLOOKUP($A212,AffordabilityRatio!$A$2:$I$321,9,FALSE))</f>
        <v>6.23</v>
      </c>
      <c r="AQ212" s="267">
        <f t="shared" si="218"/>
        <v>514</v>
      </c>
      <c r="AR212" s="267">
        <f t="shared" si="219"/>
        <v>507</v>
      </c>
      <c r="AS212" s="267">
        <f t="shared" si="220"/>
        <v>505</v>
      </c>
      <c r="AT212" s="267">
        <f t="shared" si="221"/>
        <v>836</v>
      </c>
      <c r="AU212" s="267">
        <f t="shared" si="222"/>
        <v>857</v>
      </c>
      <c r="AV212" s="267">
        <f t="shared" si="223"/>
        <v>850</v>
      </c>
      <c r="AW212" s="267">
        <f t="shared" si="224"/>
        <v>844</v>
      </c>
      <c r="AX212" s="267">
        <f t="shared" si="225"/>
        <v>839</v>
      </c>
      <c r="AY212" s="267">
        <f t="shared" si="226"/>
        <v>514</v>
      </c>
      <c r="AZ212" s="267">
        <f t="shared" si="227"/>
        <v>507</v>
      </c>
      <c r="BA212" s="267">
        <f t="shared" si="228"/>
        <v>505</v>
      </c>
      <c r="BB212" s="267">
        <f t="shared" si="229"/>
        <v>644</v>
      </c>
      <c r="BC212" s="267">
        <f t="shared" si="230"/>
        <v>857</v>
      </c>
      <c r="BD212" s="267">
        <f t="shared" si="231"/>
        <v>850</v>
      </c>
      <c r="BE212" s="267">
        <f t="shared" si="232"/>
        <v>844</v>
      </c>
      <c r="BF212" s="267">
        <f t="shared" si="233"/>
        <v>839</v>
      </c>
      <c r="BG212" s="269">
        <f>AY212*VLOOKUP($B212,'Major Cities &amp; Towns'!$A$28:$B$345,2,FALSE)</f>
        <v>514</v>
      </c>
      <c r="BH212" s="269">
        <f>AZ212*VLOOKUP($B212,'Major Cities &amp; Towns'!$A$28:$B$345,2,FALSE)</f>
        <v>507</v>
      </c>
      <c r="BI212" s="269">
        <f>BA212*VLOOKUP($B212,'Major Cities &amp; Towns'!$A$28:$B$345,2,FALSE)</f>
        <v>505</v>
      </c>
      <c r="BJ212" s="269">
        <f>BB212*VLOOKUP($B212,'Major Cities &amp; Towns'!$A$28:$B$345,2,FALSE)</f>
        <v>644</v>
      </c>
      <c r="BK212" s="269">
        <f>BC212*VLOOKUP($B212,'Major Cities &amp; Towns'!$A$28:$B$345,2,FALSE)</f>
        <v>857</v>
      </c>
      <c r="BL212" s="269">
        <f>BD212*VLOOKUP($B212,'Major Cities &amp; Towns'!$A$28:$B$345,2,FALSE)</f>
        <v>850</v>
      </c>
      <c r="BM212" s="269">
        <f>BE212*VLOOKUP($B212,'Major Cities &amp; Towns'!$A$28:$B$345,2,FALSE)</f>
        <v>844</v>
      </c>
      <c r="BN212" s="269">
        <f>BF212*VLOOKUP($B212,'Major Cities &amp; Towns'!$A$28:$B$345,2,FALSE)</f>
        <v>839</v>
      </c>
      <c r="BO212" s="270">
        <f t="shared" si="234"/>
        <v>460</v>
      </c>
      <c r="BP212" s="270">
        <f t="shared" si="235"/>
        <v>460</v>
      </c>
      <c r="BQ212" s="270">
        <f t="shared" si="236"/>
        <v>460</v>
      </c>
      <c r="BR212" s="270">
        <f t="shared" si="237"/>
        <v>628.94246575342459</v>
      </c>
      <c r="BS212" s="270">
        <f t="shared" si="238"/>
        <v>857</v>
      </c>
      <c r="BT212" s="270">
        <f t="shared" si="239"/>
        <v>850</v>
      </c>
      <c r="BU212" s="270">
        <f t="shared" si="240"/>
        <v>844</v>
      </c>
      <c r="BV212" s="270">
        <f t="shared" si="241"/>
        <v>839</v>
      </c>
      <c r="BW212" s="39">
        <f>VLOOKUP($A212,NetAdditions!$A$2:$H$336,6,FALSE)</f>
        <v>833</v>
      </c>
      <c r="BX212" s="39">
        <f>VLOOKUP($A212,NetAdditions!$A$2:$H$336,7,FALSE)</f>
        <v>650</v>
      </c>
      <c r="BY212" s="39">
        <f>IF((VLOOKUP($C212,NetAdditions!$A$2:$H$336,8,FALSE))="",(AVERAGE(VLOOKUP($C212,NetAdditions!$A$2:$H$336,5,FALSE),VLOOKUP($C212,NetAdditions!$A$2:$H$336,6,FALSE),VLOOKUP($C212,NetAdditions!$A$2:$H$336,7,FALSE))),VLOOKUP($C212,NetAdditions!$A$2:$H$336,8,FALSE))</f>
        <v>520</v>
      </c>
      <c r="BZ212" s="39">
        <f t="shared" si="242"/>
        <v>667.66666666666663</v>
      </c>
      <c r="CA212" s="39">
        <f t="shared" si="243"/>
        <v>612.55555555555554</v>
      </c>
      <c r="CB212" s="39">
        <f t="shared" si="244"/>
        <v>600.07407407407402</v>
      </c>
      <c r="CC212" s="39">
        <f t="shared" si="245"/>
        <v>626.76543209876536</v>
      </c>
      <c r="CD212" s="39">
        <f t="shared" si="246"/>
        <v>613.13168724279831</v>
      </c>
      <c r="CE212" s="276">
        <f t="shared" si="203"/>
        <v>1380</v>
      </c>
      <c r="CF212" s="276">
        <f t="shared" si="204"/>
        <v>1548.9424657534246</v>
      </c>
      <c r="CG212" s="276">
        <f t="shared" si="205"/>
        <v>1945.9424657534246</v>
      </c>
      <c r="CH212" s="276">
        <f t="shared" si="206"/>
        <v>2335.9424657534246</v>
      </c>
      <c r="CI212" s="276">
        <f t="shared" si="207"/>
        <v>2551</v>
      </c>
      <c r="CJ212" s="276">
        <f t="shared" si="208"/>
        <v>2533</v>
      </c>
      <c r="CK212" s="276">
        <f t="shared" si="247"/>
        <v>1188.3333333333335</v>
      </c>
      <c r="CL212" s="276">
        <f t="shared" si="248"/>
        <v>1333.8115677321157</v>
      </c>
      <c r="CM212" s="276">
        <f t="shared" si="249"/>
        <v>1783.7805936073057</v>
      </c>
      <c r="CN212" s="276">
        <f t="shared" si="250"/>
        <v>2335.9424657534246</v>
      </c>
      <c r="CO212" s="276">
        <f t="shared" si="251"/>
        <v>2551</v>
      </c>
      <c r="CP212" s="276">
        <f t="shared" si="252"/>
        <v>2533</v>
      </c>
      <c r="CQ212" s="39">
        <f t="shared" si="209"/>
        <v>2003</v>
      </c>
      <c r="CR212" s="39">
        <f t="shared" si="210"/>
        <v>1837.6666666666665</v>
      </c>
      <c r="CS212" s="277">
        <f t="shared" si="211"/>
        <v>1800.2222222222222</v>
      </c>
      <c r="CT212" s="39">
        <f t="shared" si="212"/>
        <v>1880.2962962962961</v>
      </c>
      <c r="CU212" s="39">
        <f t="shared" si="213"/>
        <v>1839.3950617283949</v>
      </c>
      <c r="CV212" s="39">
        <f t="shared" si="253"/>
        <v>1839.9711934156376</v>
      </c>
      <c r="CW212" s="297">
        <f t="shared" si="214"/>
        <v>1.6855539971949507</v>
      </c>
      <c r="CX212" s="279" t="str">
        <f t="shared" si="254"/>
        <v>Pass</v>
      </c>
      <c r="CY212" s="278">
        <f t="shared" si="215"/>
        <v>1.377755832325894</v>
      </c>
      <c r="CZ212" s="279" t="str">
        <f t="shared" si="255"/>
        <v>Pass</v>
      </c>
      <c r="DA212" s="278">
        <f t="shared" si="216"/>
        <v>1.0092172931322607</v>
      </c>
      <c r="DB212" s="292" t="str">
        <f t="shared" si="256"/>
        <v>Pass</v>
      </c>
      <c r="DC212" s="299">
        <f t="shared" si="257"/>
        <v>0.804941184923334</v>
      </c>
      <c r="DD212" s="293" t="str">
        <f t="shared" si="258"/>
        <v>Buffer and Action Plan</v>
      </c>
      <c r="DE212" s="299">
        <f t="shared" si="259"/>
        <v>0.72104863258659146</v>
      </c>
      <c r="DF212" s="293" t="str">
        <f t="shared" si="260"/>
        <v>Presumption</v>
      </c>
      <c r="DG212" s="299">
        <f t="shared" si="261"/>
        <v>0.72639999740056749</v>
      </c>
      <c r="DH212" s="293" t="str">
        <f t="shared" si="262"/>
        <v>Presumption</v>
      </c>
    </row>
    <row r="213" spans="1:112" ht="15" thickTop="1" thickBot="1">
      <c r="A213" s="38" t="s">
        <v>536</v>
      </c>
      <c r="B213" s="38" t="s">
        <v>537</v>
      </c>
      <c r="C213" s="38" t="s">
        <v>536</v>
      </c>
      <c r="D213" s="38" t="s">
        <v>128</v>
      </c>
      <c r="E213" s="38" t="str">
        <f>VLOOKUP(C213,PoliticalControl!A:K,11,FALSE)</f>
        <v>CON</v>
      </c>
      <c r="F213" s="38" t="str">
        <f>VLOOKUP(C213,UrbanRuralClassification!A:N,13,FALSE)</f>
        <v>Urban with City and Town</v>
      </c>
      <c r="G213" s="38" t="str">
        <f>VLOOKUP(C213,UrbanRuralClassification!A:N,14,FALSE)</f>
        <v>Predominantly Urban</v>
      </c>
      <c r="H213" s="258">
        <f>IF(ISBLANK((VLOOKUP($A213,'local-plan-data'!$C$1:$AD$566,27,FALSE)))=TRUE,"",VLOOKUP($A213,'local-plan-data'!$C$1:$AD$566,27,FALSE))</f>
        <v>40890</v>
      </c>
      <c r="I213" s="259">
        <f>VLOOKUP($A213,'local-plan-data'!$C$1:$AD$566,28,FALSE)</f>
        <v>250</v>
      </c>
      <c r="J213" s="260">
        <f t="shared" si="217"/>
        <v>250</v>
      </c>
      <c r="K213" s="259" t="str">
        <f t="shared" si="263"/>
        <v>-</v>
      </c>
      <c r="L213" s="259" t="str">
        <f t="shared" si="201"/>
        <v>-</v>
      </c>
      <c r="M213" s="259" t="str">
        <f t="shared" si="201"/>
        <v>-</v>
      </c>
      <c r="N213" s="259" t="str">
        <f t="shared" si="201"/>
        <v>-</v>
      </c>
      <c r="O213" s="259" t="str">
        <f t="shared" si="201"/>
        <v>-</v>
      </c>
      <c r="P213" s="259" t="str">
        <f t="shared" si="201"/>
        <v>-</v>
      </c>
      <c r="Q213" s="259" t="str">
        <f t="shared" si="201"/>
        <v>-</v>
      </c>
      <c r="R213" s="259" t="str">
        <f t="shared" si="201"/>
        <v>-</v>
      </c>
      <c r="S213" s="259">
        <f t="shared" si="264"/>
        <v>-474</v>
      </c>
      <c r="T213" s="259">
        <f t="shared" si="202"/>
        <v>-839</v>
      </c>
      <c r="U213" s="259">
        <f t="shared" si="202"/>
        <v>-1205</v>
      </c>
      <c r="V213" s="259">
        <f t="shared" si="202"/>
        <v>-1570</v>
      </c>
      <c r="W213" s="259">
        <f t="shared" si="202"/>
        <v>-1935</v>
      </c>
      <c r="X213" s="259">
        <f t="shared" si="202"/>
        <v>-2300</v>
      </c>
      <c r="Y213" s="259">
        <f t="shared" si="202"/>
        <v>-2666</v>
      </c>
      <c r="Z213" s="259">
        <f t="shared" si="202"/>
        <v>-3031</v>
      </c>
      <c r="AA213" s="267">
        <f>(VLOOKUP(A213,Hshldprojections2014!$A$2:$AW$319,40, FALSE)-VLOOKUP(A213,Hshldprojections2014!$A$2:$AW$319,30, FALSE))/10</f>
        <v>259.39999999999998</v>
      </c>
      <c r="AB213" s="267">
        <f>(VLOOKUP(A213,Hshldprojections2014!$A$2:$AW$319,41, FALSE)-VLOOKUP(A213,Hshldprojections2014!$A$2:$AW$319,31, FALSE))/10</f>
        <v>257.7</v>
      </c>
      <c r="AC213" s="267">
        <f>(VLOOKUP(A213,Hshldprojections2014!$A$2:$AW$319,42, FALSE)-VLOOKUP(A213,Hshldprojections2014!$A$2:$AW$319,32, FALSE))/10</f>
        <v>257.60000000000002</v>
      </c>
      <c r="AD213" s="267">
        <f>IF(IndividualLATest!$J$7=2014,(VLOOKUP($A213,Hshldprojections2014!$A$2:$AY$326,43,FALSE)-VLOOKUP($A213,Hshldprojections2014!$A$2:$AY$326,33,FALSE))/10,IF(IndividualLATest!$J$7=2016,(VLOOKUP($A213,Hshldprojections2016!$A$1:$AQ$322,33,FALSE)-VLOOKUP($A213,Hshldprojections2016!$A$1:$AQ$322,23,FALSE))/10,(VLOOKUP($A213,Hshldprojections2018!$A$1:$AQ$327,33,FALSE)-VLOOKUP($A213,Hshldprojections2018!$A$1:$AQ$327,23,FALSE))/10))</f>
        <v>296.8</v>
      </c>
      <c r="AE213" s="267">
        <f>IF(IndividualLATest!$J$7=2014,(VLOOKUP($A213,Hshldprojections2014!$A$2:$AY$326,44,FALSE)-VLOOKUP($A213,Hshldprojections2014!$A$2:$AY$326,34,FALSE))/10,IF(IndividualLATest!$J$7=2016,(VLOOKUP($A213,Hshldprojections2016!$A$1:$AQ$322,34,FALSE)-VLOOKUP($A213,Hshldprojections2016!$A$1:$AQ$322,24,FALSE))/10,(VLOOKUP($A213,Hshldprojections2018!$A$1:$AQ$327,34,FALSE)-VLOOKUP($A213,Hshldprojections2018!$A$1:$AQ$327,24,FALSE))/10))</f>
        <v>291.3</v>
      </c>
      <c r="AF213" s="267">
        <f>IF(IndividualLATest!$J$7=2014,(VLOOKUP($A213,Hshldprojections2014!$A$2:$AY$326,45,FALSE)-VLOOKUP($A213,Hshldprojections2014!$A$2:$AY$326,35,FALSE))/10,IF(IndividualLATest!$J$7=2016,(VLOOKUP($A213,Hshldprojections2016!$A$1:$AQ$322,35,FALSE)-VLOOKUP($A213,Hshldprojections2016!$A$1:$AQ$322,25,FALSE))/10,(VLOOKUP($A213,Hshldprojections2018!$A$1:$AQ$327,35,FALSE)-VLOOKUP($A213,Hshldprojections2018!$A$1:$AQ$327,25,FALSE))/10))</f>
        <v>286.3</v>
      </c>
      <c r="AG213" s="267">
        <f>IF(IndividualLATest!$J$7=2014,(VLOOKUP($A213,Hshldprojections2014!$A$2:$AY$326,46,FALSE)-VLOOKUP($A213,Hshldprojections2014!$A$2:$AY$326,36,FALSE))/10,IF(IndividualLATest!$J$7=2016,(VLOOKUP($A213,Hshldprojections2016!$A$1:$AQ$322,36,FALSE)-VLOOKUP($A213,Hshldprojections2016!$A$1:$AQ$322,26,FALSE))/10,(VLOOKUP($A213,Hshldprojections2018!$A$1:$AQ$327,36,FALSE)-VLOOKUP($A213,Hshldprojections2018!$A$1:$AQ$327,26,FALSE))/10))</f>
        <v>280.7</v>
      </c>
      <c r="AH213" s="267">
        <f>IF(IndividualLATest!$J$7=2014,(VLOOKUP($A213,Hshldprojections2014!$A$2:$AY$326,47,FALSE)-VLOOKUP($A213,Hshldprojections2014!$A$2:$AY$326,37,FALSE))/10,IF(IndividualLATest!$J$7=2016,(VLOOKUP($A213,Hshldprojections2016!$A$1:$AQ$322,37,FALSE)-VLOOKUP($A213,Hshldprojections2016!$A$1:$AQ$322,27,FALSE))/10,(VLOOKUP($A213,Hshldprojections2018!$A$1:$AQ$327,37,FALSE)-VLOOKUP($A213,Hshldprojections2018!$A$1:$AQ$327,27,FALSE))/10))</f>
        <v>276.7</v>
      </c>
      <c r="AI213" s="268">
        <f>VLOOKUP($A213,AffordabilityRatio!$A$2:$I$321,5,FALSE)</f>
        <v>11.91</v>
      </c>
      <c r="AJ213" s="268">
        <f>VLOOKUP($A213,AffordabilityRatio!$A$2:$I$321,6,FALSE)</f>
        <v>11.92</v>
      </c>
      <c r="AK213" s="268">
        <f>VLOOKUP($A213,AffordabilityRatio!$A$2:$I$321,7,FALSE)</f>
        <v>10.39</v>
      </c>
      <c r="AL213" s="268">
        <f>IF((VLOOKUP($A213,AffordabilityRatio!$A$2:$I$321,8,FALSE))="",AK213,VLOOKUP($A213,AffordabilityRatio!$A$2:$I$321,8,FALSE))</f>
        <v>11.72</v>
      </c>
      <c r="AM213" s="268">
        <f>IF((VLOOKUP($A213,AffordabilityRatio!$A$2:$I$321,9,FALSE))="",AL213,VLOOKUP($A213,AffordabilityRatio!$A$2:$I$321,9,FALSE))</f>
        <v>12.22</v>
      </c>
      <c r="AN213" s="268">
        <f>IF((VLOOKUP($A213,AffordabilityRatio!$A$2:$I$321,9,FALSE))="",AM213,VLOOKUP($A213,AffordabilityRatio!$A$2:$I$321,9,FALSE))</f>
        <v>12.22</v>
      </c>
      <c r="AO213" s="268">
        <f>IF((VLOOKUP($A213,AffordabilityRatio!$A$2:$I$321,9,FALSE))="",AN213,VLOOKUP($A213,AffordabilityRatio!$A$2:$I$321,9,FALSE))</f>
        <v>12.22</v>
      </c>
      <c r="AP213" s="268">
        <f>IF((VLOOKUP($A213,AffordabilityRatio!$A$2:$I$321,9,FALSE))="",AO213,VLOOKUP($A213,AffordabilityRatio!$A$2:$I$321,9,FALSE))</f>
        <v>12.22</v>
      </c>
      <c r="AQ213" s="267">
        <f t="shared" si="218"/>
        <v>388</v>
      </c>
      <c r="AR213" s="267">
        <f t="shared" si="219"/>
        <v>385</v>
      </c>
      <c r="AS213" s="267">
        <f t="shared" si="220"/>
        <v>360</v>
      </c>
      <c r="AT213" s="267">
        <f t="shared" si="221"/>
        <v>440</v>
      </c>
      <c r="AU213" s="267">
        <f t="shared" si="222"/>
        <v>441</v>
      </c>
      <c r="AV213" s="267">
        <f t="shared" si="223"/>
        <v>433</v>
      </c>
      <c r="AW213" s="267">
        <f t="shared" si="224"/>
        <v>425</v>
      </c>
      <c r="AX213" s="267">
        <f t="shared" si="225"/>
        <v>419</v>
      </c>
      <c r="AY213" s="267">
        <f t="shared" si="226"/>
        <v>363.15999999999997</v>
      </c>
      <c r="AZ213" s="267">
        <f t="shared" si="227"/>
        <v>360.78</v>
      </c>
      <c r="BA213" s="267">
        <f t="shared" si="228"/>
        <v>360</v>
      </c>
      <c r="BB213" s="267">
        <f t="shared" si="229"/>
        <v>415.52000000000004</v>
      </c>
      <c r="BC213" s="267">
        <f t="shared" si="230"/>
        <v>407.82000000000005</v>
      </c>
      <c r="BD213" s="267">
        <f t="shared" si="231"/>
        <v>400.82000000000005</v>
      </c>
      <c r="BE213" s="267">
        <f t="shared" si="232"/>
        <v>392.98</v>
      </c>
      <c r="BF213" s="267">
        <f t="shared" si="233"/>
        <v>387.38</v>
      </c>
      <c r="BG213" s="269">
        <f>AY213*VLOOKUP($B213,'Major Cities &amp; Towns'!$A$28:$B$345,2,FALSE)</f>
        <v>363.15999999999997</v>
      </c>
      <c r="BH213" s="269">
        <f>AZ213*VLOOKUP($B213,'Major Cities &amp; Towns'!$A$28:$B$345,2,FALSE)</f>
        <v>360.78</v>
      </c>
      <c r="BI213" s="269">
        <f>BA213*VLOOKUP($B213,'Major Cities &amp; Towns'!$A$28:$B$345,2,FALSE)</f>
        <v>360</v>
      </c>
      <c r="BJ213" s="269">
        <f>BB213*VLOOKUP($B213,'Major Cities &amp; Towns'!$A$28:$B$345,2,FALSE)</f>
        <v>415.52000000000004</v>
      </c>
      <c r="BK213" s="269">
        <f>BC213*VLOOKUP($B213,'Major Cities &amp; Towns'!$A$28:$B$345,2,FALSE)</f>
        <v>407.82000000000005</v>
      </c>
      <c r="BL213" s="269">
        <f>BD213*VLOOKUP($B213,'Major Cities &amp; Towns'!$A$28:$B$345,2,FALSE)</f>
        <v>400.82000000000005</v>
      </c>
      <c r="BM213" s="269">
        <f>BE213*VLOOKUP($B213,'Major Cities &amp; Towns'!$A$28:$B$345,2,FALSE)</f>
        <v>392.98</v>
      </c>
      <c r="BN213" s="269">
        <f>BF213*VLOOKUP($B213,'Major Cities &amp; Towns'!$A$28:$B$345,2,FALSE)</f>
        <v>387.38</v>
      </c>
      <c r="BO213" s="270">
        <f t="shared" si="234"/>
        <v>388</v>
      </c>
      <c r="BP213" s="270">
        <f t="shared" si="235"/>
        <v>385</v>
      </c>
      <c r="BQ213" s="270">
        <f t="shared" si="236"/>
        <v>360</v>
      </c>
      <c r="BR213" s="270">
        <f t="shared" si="237"/>
        <v>440</v>
      </c>
      <c r="BS213" s="270">
        <f t="shared" si="238"/>
        <v>441</v>
      </c>
      <c r="BT213" s="270">
        <f t="shared" si="239"/>
        <v>433</v>
      </c>
      <c r="BU213" s="270">
        <f t="shared" si="240"/>
        <v>425</v>
      </c>
      <c r="BV213" s="270">
        <f t="shared" si="241"/>
        <v>419</v>
      </c>
      <c r="BW213" s="39">
        <f>VLOOKUP($A213,NetAdditions!$A$2:$H$336,6,FALSE)</f>
        <v>262</v>
      </c>
      <c r="BX213" s="39">
        <f>VLOOKUP($A213,NetAdditions!$A$2:$H$336,7,FALSE)</f>
        <v>347</v>
      </c>
      <c r="BY213" s="39">
        <f>IF((VLOOKUP($C213,NetAdditions!$A$2:$H$336,8,FALSE))="",(AVERAGE(VLOOKUP($C213,NetAdditions!$A$2:$H$336,5,FALSE),VLOOKUP($C213,NetAdditions!$A$2:$H$336,6,FALSE),VLOOKUP($C213,NetAdditions!$A$2:$H$336,7,FALSE))),VLOOKUP($C213,NetAdditions!$A$2:$H$336,8,FALSE))</f>
        <v>349</v>
      </c>
      <c r="BZ213" s="39">
        <f t="shared" si="242"/>
        <v>319.33333333333331</v>
      </c>
      <c r="CA213" s="39">
        <f t="shared" si="243"/>
        <v>338.4444444444444</v>
      </c>
      <c r="CB213" s="39">
        <f t="shared" si="244"/>
        <v>335.59259259259255</v>
      </c>
      <c r="CC213" s="39">
        <f t="shared" si="245"/>
        <v>331.12345679012338</v>
      </c>
      <c r="CD213" s="39">
        <f t="shared" si="246"/>
        <v>335.05349794238674</v>
      </c>
      <c r="CE213" s="276">
        <f t="shared" si="203"/>
        <v>1133</v>
      </c>
      <c r="CF213" s="276">
        <f t="shared" si="204"/>
        <v>1185</v>
      </c>
      <c r="CG213" s="276">
        <f t="shared" si="205"/>
        <v>1241</v>
      </c>
      <c r="CH213" s="276">
        <f t="shared" si="206"/>
        <v>1314</v>
      </c>
      <c r="CI213" s="276">
        <f t="shared" si="207"/>
        <v>1299</v>
      </c>
      <c r="CJ213" s="276">
        <f t="shared" si="208"/>
        <v>1277</v>
      </c>
      <c r="CK213" s="276">
        <f t="shared" si="247"/>
        <v>975.63888888888891</v>
      </c>
      <c r="CL213" s="276">
        <f t="shared" si="248"/>
        <v>1020.4166666666667</v>
      </c>
      <c r="CM213" s="276">
        <f t="shared" si="249"/>
        <v>1137.5833333333333</v>
      </c>
      <c r="CN213" s="276">
        <f t="shared" si="250"/>
        <v>1314</v>
      </c>
      <c r="CO213" s="276">
        <f t="shared" si="251"/>
        <v>1299</v>
      </c>
      <c r="CP213" s="276">
        <f t="shared" si="252"/>
        <v>1277</v>
      </c>
      <c r="CQ213" s="39">
        <f t="shared" si="209"/>
        <v>958</v>
      </c>
      <c r="CR213" s="39">
        <f t="shared" si="210"/>
        <v>1015.3333333333333</v>
      </c>
      <c r="CS213" s="277">
        <f t="shared" si="211"/>
        <v>1006.7777777777776</v>
      </c>
      <c r="CT213" s="39">
        <f t="shared" si="212"/>
        <v>993.37037037037021</v>
      </c>
      <c r="CU213" s="39">
        <f t="shared" si="213"/>
        <v>1005.1604938271603</v>
      </c>
      <c r="CV213" s="39">
        <f t="shared" si="253"/>
        <v>1001.7695473251026</v>
      </c>
      <c r="CW213" s="297">
        <f t="shared" si="214"/>
        <v>0.98192067875750932</v>
      </c>
      <c r="CX213" s="279" t="str">
        <f t="shared" si="254"/>
        <v>Pass</v>
      </c>
      <c r="CY213" s="278">
        <f t="shared" si="215"/>
        <v>0.99501837484687616</v>
      </c>
      <c r="CZ213" s="279" t="str">
        <f t="shared" si="255"/>
        <v>Pass</v>
      </c>
      <c r="DA213" s="278">
        <f t="shared" si="216"/>
        <v>0.8850145288501452</v>
      </c>
      <c r="DB213" s="292" t="str">
        <f t="shared" si="256"/>
        <v>Action Plan</v>
      </c>
      <c r="DC213" s="299">
        <f t="shared" si="257"/>
        <v>0.75598962737471098</v>
      </c>
      <c r="DD213" s="293" t="str">
        <f t="shared" si="258"/>
        <v>Buffer and Action Plan</v>
      </c>
      <c r="DE213" s="299">
        <f t="shared" si="259"/>
        <v>0.77379560725724428</v>
      </c>
      <c r="DF213" s="293" t="str">
        <f t="shared" si="260"/>
        <v>Buffer and Action Plan</v>
      </c>
      <c r="DG213" s="299">
        <f t="shared" si="261"/>
        <v>0.78447106290141155</v>
      </c>
      <c r="DH213" s="293" t="str">
        <f t="shared" si="262"/>
        <v>Buffer and Action Plan</v>
      </c>
    </row>
    <row r="214" spans="1:112" ht="15" thickTop="1" thickBot="1">
      <c r="A214" s="38" t="s">
        <v>538</v>
      </c>
      <c r="B214" s="38" t="s">
        <v>539</v>
      </c>
      <c r="C214" s="38" t="s">
        <v>538</v>
      </c>
      <c r="D214" s="38" t="s">
        <v>116</v>
      </c>
      <c r="E214" s="38" t="str">
        <f>VLOOKUP(C214,PoliticalControl!A:K,11,FALSE)</f>
        <v>NOC</v>
      </c>
      <c r="F214" s="38" t="str">
        <f>VLOOKUP(C214,UrbanRuralClassification!A:N,13,FALSE)</f>
        <v>Urban with City and Town</v>
      </c>
      <c r="G214" s="38" t="str">
        <f>VLOOKUP(C214,UrbanRuralClassification!A:N,14,FALSE)</f>
        <v>Predominantly Urban</v>
      </c>
      <c r="H214" s="258">
        <f>IF(ISBLANK((VLOOKUP($A214,'local-plan-data'!$C$1:$AD$566,27,FALSE)))=TRUE,"",VLOOKUP($A214,'local-plan-data'!$C$1:$AD$566,27,FALSE))</f>
        <v>44545</v>
      </c>
      <c r="I214" s="259">
        <f>VLOOKUP($A214,'local-plan-data'!$C$1:$AD$566,28,FALSE)</f>
        <v>187.70588235294119</v>
      </c>
      <c r="J214" s="260">
        <f t="shared" si="217"/>
        <v>187.70588235294119</v>
      </c>
      <c r="K214" s="259">
        <f t="shared" si="263"/>
        <v>187.70588235294119</v>
      </c>
      <c r="L214" s="259">
        <f t="shared" si="201"/>
        <v>187.70588235294119</v>
      </c>
      <c r="M214" s="259">
        <f t="shared" si="201"/>
        <v>187.70588235294119</v>
      </c>
      <c r="N214" s="259">
        <f t="shared" si="201"/>
        <v>187.70588235294119</v>
      </c>
      <c r="O214" s="259">
        <f t="shared" si="201"/>
        <v>187.70588235294119</v>
      </c>
      <c r="P214" s="259">
        <f t="shared" si="201"/>
        <v>187.70588235294119</v>
      </c>
      <c r="Q214" s="259">
        <f t="shared" si="201"/>
        <v>187.70588235294119</v>
      </c>
      <c r="R214" s="259">
        <f t="shared" si="201"/>
        <v>187.70588235294119</v>
      </c>
      <c r="S214" s="259">
        <f t="shared" si="264"/>
        <v>3180</v>
      </c>
      <c r="T214" s="259">
        <f t="shared" si="202"/>
        <v>2815</v>
      </c>
      <c r="U214" s="259">
        <f t="shared" si="202"/>
        <v>2449</v>
      </c>
      <c r="V214" s="259">
        <f t="shared" si="202"/>
        <v>2084</v>
      </c>
      <c r="W214" s="259">
        <f t="shared" si="202"/>
        <v>1719</v>
      </c>
      <c r="X214" s="259">
        <f t="shared" si="202"/>
        <v>1354</v>
      </c>
      <c r="Y214" s="259">
        <f t="shared" si="202"/>
        <v>988</v>
      </c>
      <c r="Z214" s="259">
        <f t="shared" si="202"/>
        <v>623</v>
      </c>
      <c r="AA214" s="267">
        <f>(VLOOKUP(A214,Hshldprojections2014!$A$2:$AW$319,40, FALSE)-VLOOKUP(A214,Hshldprojections2014!$A$2:$AW$319,30, FALSE))/10</f>
        <v>180.4</v>
      </c>
      <c r="AB214" s="267">
        <f>(VLOOKUP(A214,Hshldprojections2014!$A$2:$AW$319,41, FALSE)-VLOOKUP(A214,Hshldprojections2014!$A$2:$AW$319,31, FALSE))/10</f>
        <v>176.6</v>
      </c>
      <c r="AC214" s="267">
        <f>(VLOOKUP(A214,Hshldprojections2014!$A$2:$AW$319,42, FALSE)-VLOOKUP(A214,Hshldprojections2014!$A$2:$AW$319,32, FALSE))/10</f>
        <v>172.8</v>
      </c>
      <c r="AD214" s="267">
        <f>IF(IndividualLATest!$J$7=2014,(VLOOKUP($A214,Hshldprojections2014!$A$2:$AY$326,43,FALSE)-VLOOKUP($A214,Hshldprojections2014!$A$2:$AY$326,33,FALSE))/10,IF(IndividualLATest!$J$7=2016,(VLOOKUP($A214,Hshldprojections2016!$A$1:$AQ$322,33,FALSE)-VLOOKUP($A214,Hshldprojections2016!$A$1:$AQ$322,23,FALSE))/10,(VLOOKUP($A214,Hshldprojections2018!$A$1:$AQ$327,33,FALSE)-VLOOKUP($A214,Hshldprojections2018!$A$1:$AQ$327,23,FALSE))/10))</f>
        <v>242.5</v>
      </c>
      <c r="AE214" s="267">
        <f>IF(IndividualLATest!$J$7=2014,(VLOOKUP($A214,Hshldprojections2014!$A$2:$AY$326,44,FALSE)-VLOOKUP($A214,Hshldprojections2014!$A$2:$AY$326,34,FALSE))/10,IF(IndividualLATest!$J$7=2016,(VLOOKUP($A214,Hshldprojections2016!$A$1:$AQ$322,34,FALSE)-VLOOKUP($A214,Hshldprojections2016!$A$1:$AQ$322,24,FALSE))/10,(VLOOKUP($A214,Hshldprojections2018!$A$1:$AQ$327,34,FALSE)-VLOOKUP($A214,Hshldprojections2018!$A$1:$AQ$327,24,FALSE))/10))</f>
        <v>237.7</v>
      </c>
      <c r="AF214" s="267">
        <f>IF(IndividualLATest!$J$7=2014,(VLOOKUP($A214,Hshldprojections2014!$A$2:$AY$326,45,FALSE)-VLOOKUP($A214,Hshldprojections2014!$A$2:$AY$326,35,FALSE))/10,IF(IndividualLATest!$J$7=2016,(VLOOKUP($A214,Hshldprojections2016!$A$1:$AQ$322,35,FALSE)-VLOOKUP($A214,Hshldprojections2016!$A$1:$AQ$322,25,FALSE))/10,(VLOOKUP($A214,Hshldprojections2018!$A$1:$AQ$327,35,FALSE)-VLOOKUP($A214,Hshldprojections2018!$A$1:$AQ$327,25,FALSE))/10))</f>
        <v>231.8</v>
      </c>
      <c r="AG214" s="267">
        <f>IF(IndividualLATest!$J$7=2014,(VLOOKUP($A214,Hshldprojections2014!$A$2:$AY$326,46,FALSE)-VLOOKUP($A214,Hshldprojections2014!$A$2:$AY$326,36,FALSE))/10,IF(IndividualLATest!$J$7=2016,(VLOOKUP($A214,Hshldprojections2016!$A$1:$AQ$322,36,FALSE)-VLOOKUP($A214,Hshldprojections2016!$A$1:$AQ$322,26,FALSE))/10,(VLOOKUP($A214,Hshldprojections2018!$A$1:$AQ$327,36,FALSE)-VLOOKUP($A214,Hshldprojections2018!$A$1:$AQ$327,26,FALSE))/10))</f>
        <v>225.5</v>
      </c>
      <c r="AH214" s="267">
        <f>IF(IndividualLATest!$J$7=2014,(VLOOKUP($A214,Hshldprojections2014!$A$2:$AY$326,47,FALSE)-VLOOKUP($A214,Hshldprojections2014!$A$2:$AY$326,37,FALSE))/10,IF(IndividualLATest!$J$7=2016,(VLOOKUP($A214,Hshldprojections2016!$A$1:$AQ$322,37,FALSE)-VLOOKUP($A214,Hshldprojections2016!$A$1:$AQ$322,27,FALSE))/10,(VLOOKUP($A214,Hshldprojections2018!$A$1:$AQ$327,37,FALSE)-VLOOKUP($A214,Hshldprojections2018!$A$1:$AQ$327,27,FALSE))/10))</f>
        <v>220.1</v>
      </c>
      <c r="AI214" s="268">
        <f>VLOOKUP($A214,AffordabilityRatio!$A$2:$I$321,5,FALSE)</f>
        <v>6.43</v>
      </c>
      <c r="AJ214" s="268">
        <f>VLOOKUP($A214,AffordabilityRatio!$A$2:$I$321,6,FALSE)</f>
        <v>5.88</v>
      </c>
      <c r="AK214" s="268">
        <f>VLOOKUP($A214,AffordabilityRatio!$A$2:$I$321,7,FALSE)</f>
        <v>5.63</v>
      </c>
      <c r="AL214" s="268">
        <f>IF((VLOOKUP($A214,AffordabilityRatio!$A$2:$I$321,8,FALSE))="",AK214,VLOOKUP($A214,AffordabilityRatio!$A$2:$I$321,8,FALSE))</f>
        <v>5.78</v>
      </c>
      <c r="AM214" s="268">
        <f>IF((VLOOKUP($A214,AffordabilityRatio!$A$2:$I$321,9,FALSE))="",AL214,VLOOKUP($A214,AffordabilityRatio!$A$2:$I$321,9,FALSE))</f>
        <v>7.12</v>
      </c>
      <c r="AN214" s="268">
        <f>IF((VLOOKUP($A214,AffordabilityRatio!$A$2:$I$321,9,FALSE))="",AM214,VLOOKUP($A214,AffordabilityRatio!$A$2:$I$321,9,FALSE))</f>
        <v>7.12</v>
      </c>
      <c r="AO214" s="268">
        <f>IF((VLOOKUP($A214,AffordabilityRatio!$A$2:$I$321,9,FALSE))="",AN214,VLOOKUP($A214,AffordabilityRatio!$A$2:$I$321,9,FALSE))</f>
        <v>7.12</v>
      </c>
      <c r="AP214" s="268">
        <f>IF((VLOOKUP($A214,AffordabilityRatio!$A$2:$I$321,9,FALSE))="",AO214,VLOOKUP($A214,AffordabilityRatio!$A$2:$I$321,9,FALSE))</f>
        <v>7.12</v>
      </c>
      <c r="AQ214" s="267">
        <f t="shared" si="218"/>
        <v>208</v>
      </c>
      <c r="AR214" s="267">
        <f t="shared" si="219"/>
        <v>197</v>
      </c>
      <c r="AS214" s="267">
        <f t="shared" si="220"/>
        <v>190</v>
      </c>
      <c r="AT214" s="267">
        <f t="shared" si="221"/>
        <v>269</v>
      </c>
      <c r="AU214" s="267">
        <f t="shared" si="222"/>
        <v>284</v>
      </c>
      <c r="AV214" s="267">
        <f t="shared" si="223"/>
        <v>277</v>
      </c>
      <c r="AW214" s="267">
        <f t="shared" si="224"/>
        <v>269</v>
      </c>
      <c r="AX214" s="267">
        <f t="shared" si="225"/>
        <v>263</v>
      </c>
      <c r="AY214" s="267">
        <f t="shared" si="226"/>
        <v>208</v>
      </c>
      <c r="AZ214" s="267">
        <f t="shared" si="227"/>
        <v>197</v>
      </c>
      <c r="BA214" s="267">
        <f t="shared" si="228"/>
        <v>190</v>
      </c>
      <c r="BB214" s="267">
        <f t="shared" si="229"/>
        <v>262.78823529411767</v>
      </c>
      <c r="BC214" s="267">
        <f t="shared" si="230"/>
        <v>262.78823529411767</v>
      </c>
      <c r="BD214" s="267">
        <f t="shared" si="231"/>
        <v>262.78823529411767</v>
      </c>
      <c r="BE214" s="267">
        <f t="shared" si="232"/>
        <v>262.78823529411767</v>
      </c>
      <c r="BF214" s="267">
        <f t="shared" si="233"/>
        <v>262.78823529411767</v>
      </c>
      <c r="BG214" s="269">
        <f>AY214*VLOOKUP($B214,'Major Cities &amp; Towns'!$A$28:$B$345,2,FALSE)</f>
        <v>208</v>
      </c>
      <c r="BH214" s="269">
        <f>AZ214*VLOOKUP($B214,'Major Cities &amp; Towns'!$A$28:$B$345,2,FALSE)</f>
        <v>197</v>
      </c>
      <c r="BI214" s="269">
        <f>BA214*VLOOKUP($B214,'Major Cities &amp; Towns'!$A$28:$B$345,2,FALSE)</f>
        <v>190</v>
      </c>
      <c r="BJ214" s="269">
        <f>BB214*VLOOKUP($B214,'Major Cities &amp; Towns'!$A$28:$B$345,2,FALSE)</f>
        <v>262.78823529411767</v>
      </c>
      <c r="BK214" s="269">
        <f>BC214*VLOOKUP($B214,'Major Cities &amp; Towns'!$A$28:$B$345,2,FALSE)</f>
        <v>262.78823529411767</v>
      </c>
      <c r="BL214" s="269">
        <f>BD214*VLOOKUP($B214,'Major Cities &amp; Towns'!$A$28:$B$345,2,FALSE)</f>
        <v>262.78823529411767</v>
      </c>
      <c r="BM214" s="269">
        <f>BE214*VLOOKUP($B214,'Major Cities &amp; Towns'!$A$28:$B$345,2,FALSE)</f>
        <v>262.78823529411767</v>
      </c>
      <c r="BN214" s="269">
        <f>BF214*VLOOKUP($B214,'Major Cities &amp; Towns'!$A$28:$B$345,2,FALSE)</f>
        <v>262.78823529411767</v>
      </c>
      <c r="BO214" s="270">
        <f t="shared" si="234"/>
        <v>187.70588235294119</v>
      </c>
      <c r="BP214" s="270">
        <f t="shared" si="235"/>
        <v>187.70588235294119</v>
      </c>
      <c r="BQ214" s="270">
        <f t="shared" si="236"/>
        <v>187.70588235294119</v>
      </c>
      <c r="BR214" s="270">
        <f t="shared" si="237"/>
        <v>187.70588235294119</v>
      </c>
      <c r="BS214" s="270">
        <f t="shared" si="238"/>
        <v>187.70588235294119</v>
      </c>
      <c r="BT214" s="270">
        <f t="shared" si="239"/>
        <v>187.70588235294119</v>
      </c>
      <c r="BU214" s="270">
        <f t="shared" si="240"/>
        <v>187.70588235294119</v>
      </c>
      <c r="BV214" s="270">
        <f t="shared" si="241"/>
        <v>187.70588235294119</v>
      </c>
      <c r="BW214" s="39">
        <f>VLOOKUP($A214,NetAdditions!$A$2:$H$336,6,FALSE)</f>
        <v>107</v>
      </c>
      <c r="BX214" s="39">
        <f>VLOOKUP($A214,NetAdditions!$A$2:$H$336,7,FALSE)</f>
        <v>94</v>
      </c>
      <c r="BY214" s="39">
        <f>IF((VLOOKUP($C214,NetAdditions!$A$2:$H$336,8,FALSE))="",(AVERAGE(VLOOKUP($C214,NetAdditions!$A$2:$H$336,5,FALSE),VLOOKUP($C214,NetAdditions!$A$2:$H$336,6,FALSE),VLOOKUP($C214,NetAdditions!$A$2:$H$336,7,FALSE))),VLOOKUP($C214,NetAdditions!$A$2:$H$336,8,FALSE))</f>
        <v>77</v>
      </c>
      <c r="BZ214" s="39">
        <f t="shared" si="242"/>
        <v>92.666666666666671</v>
      </c>
      <c r="CA214" s="39">
        <f t="shared" si="243"/>
        <v>87.8888888888889</v>
      </c>
      <c r="CB214" s="39">
        <f t="shared" si="244"/>
        <v>85.851851851851862</v>
      </c>
      <c r="CC214" s="39">
        <f t="shared" si="245"/>
        <v>88.802469135802482</v>
      </c>
      <c r="CD214" s="39">
        <f t="shared" si="246"/>
        <v>87.514403292181086</v>
      </c>
      <c r="CE214" s="276">
        <f t="shared" si="203"/>
        <v>563.11764705882354</v>
      </c>
      <c r="CF214" s="276">
        <f t="shared" si="204"/>
        <v>563.11764705882354</v>
      </c>
      <c r="CG214" s="276">
        <f t="shared" si="205"/>
        <v>563.11764705882354</v>
      </c>
      <c r="CH214" s="276">
        <f t="shared" si="206"/>
        <v>563.11764705882354</v>
      </c>
      <c r="CI214" s="276">
        <f t="shared" si="207"/>
        <v>563.11764705882354</v>
      </c>
      <c r="CJ214" s="276">
        <f t="shared" si="208"/>
        <v>563.11764705882354</v>
      </c>
      <c r="CK214" s="276">
        <f t="shared" si="247"/>
        <v>484.90686274509807</v>
      </c>
      <c r="CL214" s="276">
        <f t="shared" si="248"/>
        <v>484.90686274509807</v>
      </c>
      <c r="CM214" s="276">
        <f t="shared" si="249"/>
        <v>516.19117647058818</v>
      </c>
      <c r="CN214" s="276">
        <f t="shared" si="250"/>
        <v>563.11764705882354</v>
      </c>
      <c r="CO214" s="276">
        <f t="shared" si="251"/>
        <v>563.11764705882354</v>
      </c>
      <c r="CP214" s="276">
        <f t="shared" si="252"/>
        <v>563.11764705882354</v>
      </c>
      <c r="CQ214" s="39">
        <f t="shared" si="209"/>
        <v>278</v>
      </c>
      <c r="CR214" s="39">
        <f t="shared" si="210"/>
        <v>263.66666666666669</v>
      </c>
      <c r="CS214" s="277">
        <f t="shared" si="211"/>
        <v>257.5555555555556</v>
      </c>
      <c r="CT214" s="39">
        <f t="shared" si="212"/>
        <v>266.40740740740745</v>
      </c>
      <c r="CU214" s="39">
        <f t="shared" si="213"/>
        <v>262.54320987654324</v>
      </c>
      <c r="CV214" s="39">
        <f t="shared" si="253"/>
        <v>262.16872427983543</v>
      </c>
      <c r="CW214" s="297">
        <f t="shared" si="214"/>
        <v>0.57330597143174855</v>
      </c>
      <c r="CX214" s="279" t="str">
        <f t="shared" si="254"/>
        <v>Buffer and Action Plan</v>
      </c>
      <c r="CY214" s="278">
        <f t="shared" si="215"/>
        <v>0.54374703045864881</v>
      </c>
      <c r="CZ214" s="279" t="str">
        <f t="shared" si="255"/>
        <v>Buffer and Action Plan</v>
      </c>
      <c r="DA214" s="278">
        <f t="shared" si="216"/>
        <v>0.4989538126485793</v>
      </c>
      <c r="DB214" s="292" t="str">
        <f t="shared" si="256"/>
        <v>Presumption</v>
      </c>
      <c r="DC214" s="299">
        <f t="shared" si="257"/>
        <v>0.47309369329634665</v>
      </c>
      <c r="DD214" s="293" t="str">
        <f t="shared" si="258"/>
        <v>Presumption</v>
      </c>
      <c r="DE214" s="299">
        <f t="shared" si="259"/>
        <v>0.4662315437063862</v>
      </c>
      <c r="DF214" s="293" t="str">
        <f t="shared" si="260"/>
        <v>Presumption</v>
      </c>
      <c r="DG214" s="299">
        <f t="shared" si="261"/>
        <v>0.46556652175464353</v>
      </c>
      <c r="DH214" s="293" t="str">
        <f t="shared" si="262"/>
        <v>Presumption</v>
      </c>
    </row>
    <row r="215" spans="1:112" ht="15" thickTop="1" thickBot="1">
      <c r="A215" s="38" t="s">
        <v>540</v>
      </c>
      <c r="B215" s="38" t="s">
        <v>541</v>
      </c>
      <c r="C215" s="38" t="s">
        <v>540</v>
      </c>
      <c r="D215" s="38" t="s">
        <v>113</v>
      </c>
      <c r="E215" s="38" t="str">
        <f>VLOOKUP(C215,PoliticalControl!A:K,11,FALSE)</f>
        <v>NOC</v>
      </c>
      <c r="F215" s="38" t="str">
        <f>VLOOKUP(C215,UrbanRuralClassification!A:N,13,FALSE)</f>
        <v xml:space="preserve">Largely Rural (rural including hub towns 50-79%) </v>
      </c>
      <c r="G215" s="38" t="str">
        <f>VLOOKUP(C215,UrbanRuralClassification!A:N,14,FALSE)</f>
        <v>Predominantly Rural</v>
      </c>
      <c r="H215" s="258">
        <f>IF(ISBLANK((VLOOKUP($A215,'local-plan-data'!$C$1:$AD$566,27,FALSE)))=TRUE,"",VLOOKUP($A215,'local-plan-data'!$C$1:$AD$566,27,FALSE))</f>
        <v>41911</v>
      </c>
      <c r="I215" s="259">
        <f>VLOOKUP($A215,'local-plan-data'!$C$1:$AD$566,28,FALSE)</f>
        <v>335.29411764705884</v>
      </c>
      <c r="J215" s="260">
        <f t="shared" si="217"/>
        <v>335.29411764705884</v>
      </c>
      <c r="K215" s="259">
        <f t="shared" si="263"/>
        <v>335.29411764705884</v>
      </c>
      <c r="L215" s="259">
        <f t="shared" si="201"/>
        <v>335.29411764705884</v>
      </c>
      <c r="M215" s="259" t="str">
        <f t="shared" si="201"/>
        <v>-</v>
      </c>
      <c r="N215" s="259" t="str">
        <f t="shared" si="201"/>
        <v>-</v>
      </c>
      <c r="O215" s="259" t="str">
        <f t="shared" si="201"/>
        <v>-</v>
      </c>
      <c r="P215" s="259" t="str">
        <f t="shared" si="201"/>
        <v>-</v>
      </c>
      <c r="Q215" s="259" t="str">
        <f t="shared" si="201"/>
        <v>-</v>
      </c>
      <c r="R215" s="259" t="str">
        <f t="shared" si="201"/>
        <v>-</v>
      </c>
      <c r="S215" s="259">
        <f t="shared" si="264"/>
        <v>546</v>
      </c>
      <c r="T215" s="259">
        <f t="shared" si="202"/>
        <v>181</v>
      </c>
      <c r="U215" s="259">
        <f t="shared" si="202"/>
        <v>-185</v>
      </c>
      <c r="V215" s="259">
        <f t="shared" si="202"/>
        <v>-550</v>
      </c>
      <c r="W215" s="259">
        <f t="shared" si="202"/>
        <v>-915</v>
      </c>
      <c r="X215" s="259">
        <f t="shared" si="202"/>
        <v>-1280</v>
      </c>
      <c r="Y215" s="259">
        <f t="shared" si="202"/>
        <v>-1646</v>
      </c>
      <c r="Z215" s="259">
        <f t="shared" si="202"/>
        <v>-2011</v>
      </c>
      <c r="AA215" s="267">
        <f>(VLOOKUP(A215,Hshldprojections2014!$A$2:$AW$319,40, FALSE)-VLOOKUP(A215,Hshldprojections2014!$A$2:$AW$319,30, FALSE))/10</f>
        <v>513.9</v>
      </c>
      <c r="AB215" s="267">
        <f>(VLOOKUP(A215,Hshldprojections2014!$A$2:$AW$319,41, FALSE)-VLOOKUP(A215,Hshldprojections2014!$A$2:$AW$319,31, FALSE))/10</f>
        <v>519.29999999999995</v>
      </c>
      <c r="AC215" s="267">
        <f>(VLOOKUP(A215,Hshldprojections2014!$A$2:$AW$319,42, FALSE)-VLOOKUP(A215,Hshldprojections2014!$A$2:$AW$319,32, FALSE))/10</f>
        <v>525.5</v>
      </c>
      <c r="AD215" s="267">
        <f>IF(IndividualLATest!$J$7=2014,(VLOOKUP($A215,Hshldprojections2014!$A$2:$AY$326,43,FALSE)-VLOOKUP($A215,Hshldprojections2014!$A$2:$AY$326,33,FALSE))/10,IF(IndividualLATest!$J$7=2016,(VLOOKUP($A215,Hshldprojections2016!$A$1:$AQ$322,33,FALSE)-VLOOKUP($A215,Hshldprojections2016!$A$1:$AQ$322,23,FALSE))/10,(VLOOKUP($A215,Hshldprojections2018!$A$1:$AQ$327,33,FALSE)-VLOOKUP($A215,Hshldprojections2018!$A$1:$AQ$327,23,FALSE))/10))</f>
        <v>502.2</v>
      </c>
      <c r="AE215" s="267">
        <f>IF(IndividualLATest!$J$7=2014,(VLOOKUP($A215,Hshldprojections2014!$A$2:$AY$326,44,FALSE)-VLOOKUP($A215,Hshldprojections2014!$A$2:$AY$326,34,FALSE))/10,IF(IndividualLATest!$J$7=2016,(VLOOKUP($A215,Hshldprojections2016!$A$1:$AQ$322,34,FALSE)-VLOOKUP($A215,Hshldprojections2016!$A$1:$AQ$322,24,FALSE))/10,(VLOOKUP($A215,Hshldprojections2018!$A$1:$AQ$327,34,FALSE)-VLOOKUP($A215,Hshldprojections2018!$A$1:$AQ$327,24,FALSE))/10))</f>
        <v>487.3</v>
      </c>
      <c r="AF215" s="267">
        <f>IF(IndividualLATest!$J$7=2014,(VLOOKUP($A215,Hshldprojections2014!$A$2:$AY$326,45,FALSE)-VLOOKUP($A215,Hshldprojections2014!$A$2:$AY$326,35,FALSE))/10,IF(IndividualLATest!$J$7=2016,(VLOOKUP($A215,Hshldprojections2016!$A$1:$AQ$322,35,FALSE)-VLOOKUP($A215,Hshldprojections2016!$A$1:$AQ$322,25,FALSE))/10,(VLOOKUP($A215,Hshldprojections2018!$A$1:$AQ$327,35,FALSE)-VLOOKUP($A215,Hshldprojections2018!$A$1:$AQ$327,25,FALSE))/10))</f>
        <v>473.2</v>
      </c>
      <c r="AG215" s="267">
        <f>IF(IndividualLATest!$J$7=2014,(VLOOKUP($A215,Hshldprojections2014!$A$2:$AY$326,46,FALSE)-VLOOKUP($A215,Hshldprojections2014!$A$2:$AY$326,36,FALSE))/10,IF(IndividualLATest!$J$7=2016,(VLOOKUP($A215,Hshldprojections2016!$A$1:$AQ$322,36,FALSE)-VLOOKUP($A215,Hshldprojections2016!$A$1:$AQ$322,26,FALSE))/10,(VLOOKUP($A215,Hshldprojections2018!$A$1:$AQ$327,36,FALSE)-VLOOKUP($A215,Hshldprojections2018!$A$1:$AQ$327,26,FALSE))/10))</f>
        <v>460.8</v>
      </c>
      <c r="AH215" s="267">
        <f>IF(IndividualLATest!$J$7=2014,(VLOOKUP($A215,Hshldprojections2014!$A$2:$AY$326,47,FALSE)-VLOOKUP($A215,Hshldprojections2014!$A$2:$AY$326,37,FALSE))/10,IF(IndividualLATest!$J$7=2016,(VLOOKUP($A215,Hshldprojections2016!$A$1:$AQ$322,37,FALSE)-VLOOKUP($A215,Hshldprojections2016!$A$1:$AQ$322,27,FALSE))/10,(VLOOKUP($A215,Hshldprojections2018!$A$1:$AQ$327,37,FALSE)-VLOOKUP($A215,Hshldprojections2018!$A$1:$AQ$327,27,FALSE))/10))</f>
        <v>448.9</v>
      </c>
      <c r="AI215" s="268">
        <f>VLOOKUP($A215,AffordabilityRatio!$A$2:$I$321,5,FALSE)</f>
        <v>11.19</v>
      </c>
      <c r="AJ215" s="268">
        <f>VLOOKUP($A215,AffordabilityRatio!$A$2:$I$321,6,FALSE)</f>
        <v>12.74</v>
      </c>
      <c r="AK215" s="268">
        <f>VLOOKUP($A215,AffordabilityRatio!$A$2:$I$321,7,FALSE)</f>
        <v>12.31</v>
      </c>
      <c r="AL215" s="268">
        <f>IF((VLOOKUP($A215,AffordabilityRatio!$A$2:$I$321,8,FALSE))="",AK215,VLOOKUP($A215,AffordabilityRatio!$A$2:$I$321,8,FALSE))</f>
        <v>12.82</v>
      </c>
      <c r="AM215" s="268">
        <f>IF((VLOOKUP($A215,AffordabilityRatio!$A$2:$I$321,9,FALSE))="",AL215,VLOOKUP($A215,AffordabilityRatio!$A$2:$I$321,9,FALSE))</f>
        <v>13.82</v>
      </c>
      <c r="AN215" s="268">
        <f>IF((VLOOKUP($A215,AffordabilityRatio!$A$2:$I$321,9,FALSE))="",AM215,VLOOKUP($A215,AffordabilityRatio!$A$2:$I$321,9,FALSE))</f>
        <v>13.82</v>
      </c>
      <c r="AO215" s="268">
        <f>IF((VLOOKUP($A215,AffordabilityRatio!$A$2:$I$321,9,FALSE))="",AN215,VLOOKUP($A215,AffordabilityRatio!$A$2:$I$321,9,FALSE))</f>
        <v>13.82</v>
      </c>
      <c r="AP215" s="268">
        <f>IF((VLOOKUP($A215,AffordabilityRatio!$A$2:$I$321,9,FALSE))="",AO215,VLOOKUP($A215,AffordabilityRatio!$A$2:$I$321,9,FALSE))</f>
        <v>13.82</v>
      </c>
      <c r="AQ215" s="267">
        <f t="shared" si="218"/>
        <v>745</v>
      </c>
      <c r="AR215" s="267">
        <f t="shared" si="219"/>
        <v>803</v>
      </c>
      <c r="AS215" s="267">
        <f t="shared" si="220"/>
        <v>798</v>
      </c>
      <c r="AT215" s="267">
        <f t="shared" si="221"/>
        <v>779</v>
      </c>
      <c r="AU215" s="267">
        <f t="shared" si="222"/>
        <v>786</v>
      </c>
      <c r="AV215" s="267">
        <f t="shared" si="223"/>
        <v>764</v>
      </c>
      <c r="AW215" s="267">
        <f t="shared" si="224"/>
        <v>744</v>
      </c>
      <c r="AX215" s="267">
        <f t="shared" si="225"/>
        <v>724</v>
      </c>
      <c r="AY215" s="267">
        <f t="shared" si="226"/>
        <v>469.41176470588238</v>
      </c>
      <c r="AZ215" s="267">
        <f t="shared" si="227"/>
        <v>469.41176470588238</v>
      </c>
      <c r="BA215" s="267">
        <f t="shared" si="228"/>
        <v>735.7</v>
      </c>
      <c r="BB215" s="267">
        <f t="shared" si="229"/>
        <v>703.07999999999993</v>
      </c>
      <c r="BC215" s="267">
        <f t="shared" si="230"/>
        <v>682.22</v>
      </c>
      <c r="BD215" s="267">
        <f t="shared" si="231"/>
        <v>662.48</v>
      </c>
      <c r="BE215" s="267">
        <f t="shared" si="232"/>
        <v>645.12</v>
      </c>
      <c r="BF215" s="267">
        <f t="shared" si="233"/>
        <v>628.46</v>
      </c>
      <c r="BG215" s="269">
        <f>AY215*VLOOKUP($B215,'Major Cities &amp; Towns'!$A$28:$B$345,2,FALSE)</f>
        <v>469.41176470588238</v>
      </c>
      <c r="BH215" s="269">
        <f>AZ215*VLOOKUP($B215,'Major Cities &amp; Towns'!$A$28:$B$345,2,FALSE)</f>
        <v>469.41176470588238</v>
      </c>
      <c r="BI215" s="269">
        <f>BA215*VLOOKUP($B215,'Major Cities &amp; Towns'!$A$28:$B$345,2,FALSE)</f>
        <v>735.7</v>
      </c>
      <c r="BJ215" s="269">
        <f>BB215*VLOOKUP($B215,'Major Cities &amp; Towns'!$A$28:$B$345,2,FALSE)</f>
        <v>703.07999999999993</v>
      </c>
      <c r="BK215" s="269">
        <f>BC215*VLOOKUP($B215,'Major Cities &amp; Towns'!$A$28:$B$345,2,FALSE)</f>
        <v>682.22</v>
      </c>
      <c r="BL215" s="269">
        <f>BD215*VLOOKUP($B215,'Major Cities &amp; Towns'!$A$28:$B$345,2,FALSE)</f>
        <v>662.48</v>
      </c>
      <c r="BM215" s="269">
        <f>BE215*VLOOKUP($B215,'Major Cities &amp; Towns'!$A$28:$B$345,2,FALSE)</f>
        <v>645.12</v>
      </c>
      <c r="BN215" s="269">
        <f>BF215*VLOOKUP($B215,'Major Cities &amp; Towns'!$A$28:$B$345,2,FALSE)</f>
        <v>628.46</v>
      </c>
      <c r="BO215" s="270">
        <f t="shared" si="234"/>
        <v>335.29411764705884</v>
      </c>
      <c r="BP215" s="270">
        <f t="shared" si="235"/>
        <v>571.06913779210322</v>
      </c>
      <c r="BQ215" s="270">
        <f t="shared" si="236"/>
        <v>798</v>
      </c>
      <c r="BR215" s="270">
        <f t="shared" si="237"/>
        <v>779</v>
      </c>
      <c r="BS215" s="270">
        <f t="shared" si="238"/>
        <v>786</v>
      </c>
      <c r="BT215" s="270">
        <f t="shared" si="239"/>
        <v>764</v>
      </c>
      <c r="BU215" s="270">
        <f t="shared" si="240"/>
        <v>744</v>
      </c>
      <c r="BV215" s="270">
        <f t="shared" si="241"/>
        <v>724</v>
      </c>
      <c r="BW215" s="39">
        <f>VLOOKUP($A215,NetAdditions!$A$2:$H$336,6,FALSE)</f>
        <v>255</v>
      </c>
      <c r="BX215" s="39">
        <f>VLOOKUP($A215,NetAdditions!$A$2:$H$336,7,FALSE)</f>
        <v>247</v>
      </c>
      <c r="BY215" s="39">
        <f>IF((VLOOKUP($C215,NetAdditions!$A$2:$H$336,8,FALSE))="",(AVERAGE(VLOOKUP($C215,NetAdditions!$A$2:$H$336,5,FALSE),VLOOKUP($C215,NetAdditions!$A$2:$H$336,6,FALSE),VLOOKUP($C215,NetAdditions!$A$2:$H$336,7,FALSE))),VLOOKUP($C215,NetAdditions!$A$2:$H$336,8,FALSE))</f>
        <v>175</v>
      </c>
      <c r="BZ215" s="39">
        <f t="shared" si="242"/>
        <v>225.66666666666666</v>
      </c>
      <c r="CA215" s="39">
        <f t="shared" si="243"/>
        <v>215.88888888888889</v>
      </c>
      <c r="CB215" s="39">
        <f t="shared" si="244"/>
        <v>205.5185185185185</v>
      </c>
      <c r="CC215" s="39">
        <f t="shared" si="245"/>
        <v>215.69135802469134</v>
      </c>
      <c r="CD215" s="39">
        <f t="shared" si="246"/>
        <v>212.36625514403292</v>
      </c>
      <c r="CE215" s="276">
        <f t="shared" si="203"/>
        <v>1704.363255439162</v>
      </c>
      <c r="CF215" s="276">
        <f t="shared" si="204"/>
        <v>2148.069137792103</v>
      </c>
      <c r="CG215" s="276">
        <f t="shared" si="205"/>
        <v>2363</v>
      </c>
      <c r="CH215" s="276">
        <f t="shared" si="206"/>
        <v>2329</v>
      </c>
      <c r="CI215" s="276">
        <f t="shared" si="207"/>
        <v>2294</v>
      </c>
      <c r="CJ215" s="276">
        <f t="shared" si="208"/>
        <v>2232</v>
      </c>
      <c r="CK215" s="276">
        <f t="shared" si="247"/>
        <v>1467.6461366281674</v>
      </c>
      <c r="CL215" s="276">
        <f t="shared" si="248"/>
        <v>1849.7262019876443</v>
      </c>
      <c r="CM215" s="276">
        <f t="shared" si="249"/>
        <v>2166.083333333333</v>
      </c>
      <c r="CN215" s="276">
        <f t="shared" si="250"/>
        <v>2329</v>
      </c>
      <c r="CO215" s="276">
        <f t="shared" si="251"/>
        <v>2294</v>
      </c>
      <c r="CP215" s="276">
        <f t="shared" si="252"/>
        <v>2232</v>
      </c>
      <c r="CQ215" s="39">
        <f t="shared" si="209"/>
        <v>677</v>
      </c>
      <c r="CR215" s="39">
        <f t="shared" si="210"/>
        <v>647.66666666666663</v>
      </c>
      <c r="CS215" s="277">
        <f t="shared" si="211"/>
        <v>616.55555555555554</v>
      </c>
      <c r="CT215" s="39">
        <f t="shared" si="212"/>
        <v>647.07407407407402</v>
      </c>
      <c r="CU215" s="39">
        <f t="shared" si="213"/>
        <v>637.09876543209873</v>
      </c>
      <c r="CV215" s="39">
        <f t="shared" si="253"/>
        <v>633.57613168724276</v>
      </c>
      <c r="CW215" s="297">
        <f t="shared" si="214"/>
        <v>0.46128285497713267</v>
      </c>
      <c r="CX215" s="279" t="str">
        <f t="shared" si="254"/>
        <v>Buffer and Action Plan</v>
      </c>
      <c r="CY215" s="278">
        <f t="shared" si="215"/>
        <v>0.35014191071668282</v>
      </c>
      <c r="CZ215" s="279" t="str">
        <f t="shared" si="255"/>
        <v>Presumption</v>
      </c>
      <c r="DA215" s="278">
        <f t="shared" si="216"/>
        <v>0.28464073660857414</v>
      </c>
      <c r="DB215" s="292" t="str">
        <f t="shared" si="256"/>
        <v>Presumption</v>
      </c>
      <c r="DC215" s="299">
        <f t="shared" si="257"/>
        <v>0.27783343669990296</v>
      </c>
      <c r="DD215" s="293" t="str">
        <f t="shared" si="258"/>
        <v>Presumption</v>
      </c>
      <c r="DE215" s="299">
        <f t="shared" si="259"/>
        <v>0.27772396051965942</v>
      </c>
      <c r="DF215" s="293" t="str">
        <f t="shared" si="260"/>
        <v>Presumption</v>
      </c>
      <c r="DG215" s="299">
        <f t="shared" si="261"/>
        <v>0.28386027405342418</v>
      </c>
      <c r="DH215" s="293" t="str">
        <f t="shared" si="262"/>
        <v>Presumption</v>
      </c>
    </row>
    <row r="216" spans="1:112" ht="15" thickTop="1" thickBot="1">
      <c r="A216" s="38" t="s">
        <v>542</v>
      </c>
      <c r="B216" s="38" t="s">
        <v>543</v>
      </c>
      <c r="C216" s="38" t="s">
        <v>542</v>
      </c>
      <c r="D216" s="38" t="s">
        <v>136</v>
      </c>
      <c r="E216" s="38" t="str">
        <f>VLOOKUP(C216,PoliticalControl!A:K,11,FALSE)</f>
        <v>LAB</v>
      </c>
      <c r="F216" s="38" t="str">
        <f>VLOOKUP(C216,UrbanRuralClassification!A:N,13,FALSE)</f>
        <v>Urban with Minor Conurbation</v>
      </c>
      <c r="G216" s="38" t="str">
        <f>VLOOKUP(C216,UrbanRuralClassification!A:N,14,FALSE)</f>
        <v>Predominantly Urban</v>
      </c>
      <c r="H216" s="258">
        <f>IF(ISBLANK((VLOOKUP($A216,'local-plan-data'!$C$1:$AD$566,27,FALSE)))=TRUE,"",VLOOKUP($A216,'local-plan-data'!$C$1:$AD$566,27,FALSE))</f>
        <v>41892</v>
      </c>
      <c r="I216" s="259">
        <f>VLOOKUP($A216,'local-plan-data'!$C$1:$AD$566,28,FALSE)</f>
        <v>850</v>
      </c>
      <c r="J216" s="260">
        <f t="shared" si="217"/>
        <v>850</v>
      </c>
      <c r="K216" s="259">
        <f t="shared" si="263"/>
        <v>850</v>
      </c>
      <c r="L216" s="259">
        <f t="shared" si="201"/>
        <v>850</v>
      </c>
      <c r="M216" s="259" t="str">
        <f t="shared" si="201"/>
        <v>-</v>
      </c>
      <c r="N216" s="259" t="str">
        <f t="shared" si="201"/>
        <v>-</v>
      </c>
      <c r="O216" s="259" t="str">
        <f t="shared" si="201"/>
        <v>-</v>
      </c>
      <c r="P216" s="259" t="str">
        <f t="shared" si="201"/>
        <v>-</v>
      </c>
      <c r="Q216" s="259" t="str">
        <f t="shared" si="201"/>
        <v>-</v>
      </c>
      <c r="R216" s="259" t="str">
        <f t="shared" si="201"/>
        <v>-</v>
      </c>
      <c r="S216" s="259">
        <f t="shared" si="264"/>
        <v>527</v>
      </c>
      <c r="T216" s="259">
        <f t="shared" si="202"/>
        <v>162</v>
      </c>
      <c r="U216" s="259">
        <f t="shared" si="202"/>
        <v>-204</v>
      </c>
      <c r="V216" s="259">
        <f t="shared" si="202"/>
        <v>-569</v>
      </c>
      <c r="W216" s="259">
        <f t="shared" si="202"/>
        <v>-934</v>
      </c>
      <c r="X216" s="259">
        <f t="shared" si="202"/>
        <v>-1299</v>
      </c>
      <c r="Y216" s="259">
        <f t="shared" si="202"/>
        <v>-1665</v>
      </c>
      <c r="Z216" s="259">
        <f t="shared" si="202"/>
        <v>-2030</v>
      </c>
      <c r="AA216" s="267">
        <f>(VLOOKUP(A216,Hshldprojections2014!$A$2:$AW$319,40, FALSE)-VLOOKUP(A216,Hshldprojections2014!$A$2:$AW$319,30, FALSE))/10</f>
        <v>540.4</v>
      </c>
      <c r="AB216" s="267">
        <f>(VLOOKUP(A216,Hshldprojections2014!$A$2:$AW$319,41, FALSE)-VLOOKUP(A216,Hshldprojections2014!$A$2:$AW$319,31, FALSE))/10</f>
        <v>534.6</v>
      </c>
      <c r="AC216" s="267">
        <f>(VLOOKUP(A216,Hshldprojections2014!$A$2:$AW$319,42, FALSE)-VLOOKUP(A216,Hshldprojections2014!$A$2:$AW$319,32, FALSE))/10</f>
        <v>522.6</v>
      </c>
      <c r="AD216" s="267">
        <f>IF(IndividualLATest!$J$7=2014,(VLOOKUP($A216,Hshldprojections2014!$A$2:$AY$326,43,FALSE)-VLOOKUP($A216,Hshldprojections2014!$A$2:$AY$326,33,FALSE))/10,IF(IndividualLATest!$J$7=2016,(VLOOKUP($A216,Hshldprojections2016!$A$1:$AQ$322,33,FALSE)-VLOOKUP($A216,Hshldprojections2016!$A$1:$AQ$322,23,FALSE))/10,(VLOOKUP($A216,Hshldprojections2018!$A$1:$AQ$327,33,FALSE)-VLOOKUP($A216,Hshldprojections2018!$A$1:$AQ$327,23,FALSE))/10))</f>
        <v>613.70000000000005</v>
      </c>
      <c r="AE216" s="267">
        <f>IF(IndividualLATest!$J$7=2014,(VLOOKUP($A216,Hshldprojections2014!$A$2:$AY$326,44,FALSE)-VLOOKUP($A216,Hshldprojections2014!$A$2:$AY$326,34,FALSE))/10,IF(IndividualLATest!$J$7=2016,(VLOOKUP($A216,Hshldprojections2016!$A$1:$AQ$322,34,FALSE)-VLOOKUP($A216,Hshldprojections2016!$A$1:$AQ$322,24,FALSE))/10,(VLOOKUP($A216,Hshldprojections2018!$A$1:$AQ$327,34,FALSE)-VLOOKUP($A216,Hshldprojections2018!$A$1:$AQ$327,24,FALSE))/10))</f>
        <v>605.6</v>
      </c>
      <c r="AF216" s="267">
        <f>IF(IndividualLATest!$J$7=2014,(VLOOKUP($A216,Hshldprojections2014!$A$2:$AY$326,45,FALSE)-VLOOKUP($A216,Hshldprojections2014!$A$2:$AY$326,35,FALSE))/10,IF(IndividualLATest!$J$7=2016,(VLOOKUP($A216,Hshldprojections2016!$A$1:$AQ$322,35,FALSE)-VLOOKUP($A216,Hshldprojections2016!$A$1:$AQ$322,25,FALSE))/10,(VLOOKUP($A216,Hshldprojections2018!$A$1:$AQ$327,35,FALSE)-VLOOKUP($A216,Hshldprojections2018!$A$1:$AQ$327,25,FALSE))/10))</f>
        <v>600.79999999999995</v>
      </c>
      <c r="AG216" s="267">
        <f>IF(IndividualLATest!$J$7=2014,(VLOOKUP($A216,Hshldprojections2014!$A$2:$AY$326,46,FALSE)-VLOOKUP($A216,Hshldprojections2014!$A$2:$AY$326,36,FALSE))/10,IF(IndividualLATest!$J$7=2016,(VLOOKUP($A216,Hshldprojections2016!$A$1:$AQ$322,36,FALSE)-VLOOKUP($A216,Hshldprojections2016!$A$1:$AQ$322,26,FALSE))/10,(VLOOKUP($A216,Hshldprojections2018!$A$1:$AQ$327,36,FALSE)-VLOOKUP($A216,Hshldprojections2018!$A$1:$AQ$327,26,FALSE))/10))</f>
        <v>596</v>
      </c>
      <c r="AH216" s="267">
        <f>IF(IndividualLATest!$J$7=2014,(VLOOKUP($A216,Hshldprojections2014!$A$2:$AY$326,47,FALSE)-VLOOKUP($A216,Hshldprojections2014!$A$2:$AY$326,37,FALSE))/10,IF(IndividualLATest!$J$7=2016,(VLOOKUP($A216,Hshldprojections2016!$A$1:$AQ$322,37,FALSE)-VLOOKUP($A216,Hshldprojections2016!$A$1:$AQ$322,27,FALSE))/10,(VLOOKUP($A216,Hshldprojections2018!$A$1:$AQ$327,37,FALSE)-VLOOKUP($A216,Hshldprojections2018!$A$1:$AQ$327,27,FALSE))/10))</f>
        <v>591.79999999999995</v>
      </c>
      <c r="AI216" s="268">
        <f>VLOOKUP($A216,AffordabilityRatio!$A$2:$I$321,5,FALSE)</f>
        <v>5.22</v>
      </c>
      <c r="AJ216" s="268">
        <f>VLOOKUP($A216,AffordabilityRatio!$A$2:$I$321,6,FALSE)</f>
        <v>5.41</v>
      </c>
      <c r="AK216" s="268">
        <f>VLOOKUP($A216,AffordabilityRatio!$A$2:$I$321,7,FALSE)</f>
        <v>5.32</v>
      </c>
      <c r="AL216" s="268">
        <f>IF((VLOOKUP($A216,AffordabilityRatio!$A$2:$I$321,8,FALSE))="",AK216,VLOOKUP($A216,AffordabilityRatio!$A$2:$I$321,8,FALSE))</f>
        <v>5.19</v>
      </c>
      <c r="AM216" s="268">
        <f>IF((VLOOKUP($A216,AffordabilityRatio!$A$2:$I$321,9,FALSE))="",AL216,VLOOKUP($A216,AffordabilityRatio!$A$2:$I$321,9,FALSE))</f>
        <v>5.71</v>
      </c>
      <c r="AN216" s="268">
        <f>IF((VLOOKUP($A216,AffordabilityRatio!$A$2:$I$321,9,FALSE))="",AM216,VLOOKUP($A216,AffordabilityRatio!$A$2:$I$321,9,FALSE))</f>
        <v>5.71</v>
      </c>
      <c r="AO216" s="268">
        <f>IF((VLOOKUP($A216,AffordabilityRatio!$A$2:$I$321,9,FALSE))="",AN216,VLOOKUP($A216,AffordabilityRatio!$A$2:$I$321,9,FALSE))</f>
        <v>5.71</v>
      </c>
      <c r="AP216" s="268">
        <f>IF((VLOOKUP($A216,AffordabilityRatio!$A$2:$I$321,9,FALSE))="",AO216,VLOOKUP($A216,AffordabilityRatio!$A$2:$I$321,9,FALSE))</f>
        <v>5.71</v>
      </c>
      <c r="AQ216" s="267">
        <f t="shared" si="218"/>
        <v>582</v>
      </c>
      <c r="AR216" s="267">
        <f t="shared" si="219"/>
        <v>582</v>
      </c>
      <c r="AS216" s="267">
        <f t="shared" si="220"/>
        <v>566</v>
      </c>
      <c r="AT216" s="267">
        <f t="shared" si="221"/>
        <v>659</v>
      </c>
      <c r="AU216" s="267">
        <f t="shared" si="222"/>
        <v>670</v>
      </c>
      <c r="AV216" s="267">
        <f t="shared" si="223"/>
        <v>665</v>
      </c>
      <c r="AW216" s="267">
        <f t="shared" si="224"/>
        <v>660</v>
      </c>
      <c r="AX216" s="267">
        <f t="shared" si="225"/>
        <v>655</v>
      </c>
      <c r="AY216" s="267">
        <f t="shared" si="226"/>
        <v>582</v>
      </c>
      <c r="AZ216" s="267">
        <f t="shared" si="227"/>
        <v>582</v>
      </c>
      <c r="BA216" s="267">
        <f t="shared" si="228"/>
        <v>566</v>
      </c>
      <c r="BB216" s="267">
        <f t="shared" si="229"/>
        <v>659</v>
      </c>
      <c r="BC216" s="267">
        <f t="shared" si="230"/>
        <v>670</v>
      </c>
      <c r="BD216" s="267">
        <f t="shared" si="231"/>
        <v>665</v>
      </c>
      <c r="BE216" s="267">
        <f t="shared" si="232"/>
        <v>660</v>
      </c>
      <c r="BF216" s="267">
        <f t="shared" si="233"/>
        <v>655</v>
      </c>
      <c r="BG216" s="269">
        <f>AY216*VLOOKUP($B216,'Major Cities &amp; Towns'!$A$28:$B$345,2,FALSE)</f>
        <v>582</v>
      </c>
      <c r="BH216" s="269">
        <f>AZ216*VLOOKUP($B216,'Major Cities &amp; Towns'!$A$28:$B$345,2,FALSE)</f>
        <v>582</v>
      </c>
      <c r="BI216" s="269">
        <f>BA216*VLOOKUP($B216,'Major Cities &amp; Towns'!$A$28:$B$345,2,FALSE)</f>
        <v>566</v>
      </c>
      <c r="BJ216" s="269">
        <f>BB216*VLOOKUP($B216,'Major Cities &amp; Towns'!$A$28:$B$345,2,FALSE)</f>
        <v>659</v>
      </c>
      <c r="BK216" s="269">
        <f>BC216*VLOOKUP($B216,'Major Cities &amp; Towns'!$A$28:$B$345,2,FALSE)</f>
        <v>670</v>
      </c>
      <c r="BL216" s="269">
        <f>BD216*VLOOKUP($B216,'Major Cities &amp; Towns'!$A$28:$B$345,2,FALSE)</f>
        <v>665</v>
      </c>
      <c r="BM216" s="269">
        <f>BE216*VLOOKUP($B216,'Major Cities &amp; Towns'!$A$28:$B$345,2,FALSE)</f>
        <v>660</v>
      </c>
      <c r="BN216" s="269">
        <f>BF216*VLOOKUP($B216,'Major Cities &amp; Towns'!$A$28:$B$345,2,FALSE)</f>
        <v>655</v>
      </c>
      <c r="BO216" s="270">
        <f t="shared" si="234"/>
        <v>582</v>
      </c>
      <c r="BP216" s="270">
        <f t="shared" si="235"/>
        <v>582</v>
      </c>
      <c r="BQ216" s="270">
        <f t="shared" si="236"/>
        <v>566</v>
      </c>
      <c r="BR216" s="270">
        <f t="shared" si="237"/>
        <v>659</v>
      </c>
      <c r="BS216" s="270">
        <f t="shared" si="238"/>
        <v>670</v>
      </c>
      <c r="BT216" s="270">
        <f t="shared" si="239"/>
        <v>665</v>
      </c>
      <c r="BU216" s="270">
        <f t="shared" si="240"/>
        <v>660</v>
      </c>
      <c r="BV216" s="270">
        <f t="shared" si="241"/>
        <v>655</v>
      </c>
      <c r="BW216" s="39">
        <f>VLOOKUP($A216,NetAdditions!$A$2:$H$336,6,FALSE)</f>
        <v>422</v>
      </c>
      <c r="BX216" s="39">
        <f>VLOOKUP($A216,NetAdditions!$A$2:$H$336,7,FALSE)</f>
        <v>556</v>
      </c>
      <c r="BY216" s="39">
        <f>IF((VLOOKUP($C216,NetAdditions!$A$2:$H$336,8,FALSE))="",(AVERAGE(VLOOKUP($C216,NetAdditions!$A$2:$H$336,5,FALSE),VLOOKUP($C216,NetAdditions!$A$2:$H$336,6,FALSE),VLOOKUP($C216,NetAdditions!$A$2:$H$336,7,FALSE))),VLOOKUP($C216,NetAdditions!$A$2:$H$336,8,FALSE))</f>
        <v>566</v>
      </c>
      <c r="BZ216" s="39">
        <f t="shared" si="242"/>
        <v>514.66666666666663</v>
      </c>
      <c r="CA216" s="39">
        <f t="shared" si="243"/>
        <v>545.55555555555554</v>
      </c>
      <c r="CB216" s="39">
        <f t="shared" si="244"/>
        <v>542.07407407407402</v>
      </c>
      <c r="CC216" s="39">
        <f t="shared" si="245"/>
        <v>534.09876543209873</v>
      </c>
      <c r="CD216" s="39">
        <f t="shared" si="246"/>
        <v>540.57613168724276</v>
      </c>
      <c r="CE216" s="276">
        <f t="shared" si="203"/>
        <v>1730</v>
      </c>
      <c r="CF216" s="276">
        <f t="shared" si="204"/>
        <v>1807</v>
      </c>
      <c r="CG216" s="276">
        <f t="shared" si="205"/>
        <v>1895</v>
      </c>
      <c r="CH216" s="276">
        <f t="shared" si="206"/>
        <v>1994</v>
      </c>
      <c r="CI216" s="276">
        <f t="shared" si="207"/>
        <v>1995</v>
      </c>
      <c r="CJ216" s="276">
        <f t="shared" si="208"/>
        <v>1980</v>
      </c>
      <c r="CK216" s="276">
        <f t="shared" si="247"/>
        <v>1489.7222222222224</v>
      </c>
      <c r="CL216" s="276">
        <f t="shared" si="248"/>
        <v>1556.0277777777778</v>
      </c>
      <c r="CM216" s="276">
        <f t="shared" si="249"/>
        <v>1737.0833333333333</v>
      </c>
      <c r="CN216" s="276">
        <f t="shared" si="250"/>
        <v>1994</v>
      </c>
      <c r="CO216" s="276">
        <f t="shared" si="251"/>
        <v>1995</v>
      </c>
      <c r="CP216" s="276">
        <f t="shared" si="252"/>
        <v>1980</v>
      </c>
      <c r="CQ216" s="39">
        <f t="shared" si="209"/>
        <v>1544</v>
      </c>
      <c r="CR216" s="39">
        <f t="shared" si="210"/>
        <v>1636.6666666666665</v>
      </c>
      <c r="CS216" s="277">
        <f t="shared" si="211"/>
        <v>1626.2222222222222</v>
      </c>
      <c r="CT216" s="39">
        <f t="shared" si="212"/>
        <v>1602.2962962962961</v>
      </c>
      <c r="CU216" s="39">
        <f t="shared" si="213"/>
        <v>1621.7283950617284</v>
      </c>
      <c r="CV216" s="39">
        <f t="shared" si="253"/>
        <v>1616.7489711934154</v>
      </c>
      <c r="CW216" s="297">
        <f t="shared" si="214"/>
        <v>1.0364348312511653</v>
      </c>
      <c r="CX216" s="279" t="str">
        <f t="shared" si="254"/>
        <v>Pass</v>
      </c>
      <c r="CY216" s="278">
        <f t="shared" si="215"/>
        <v>1.0518235535640965</v>
      </c>
      <c r="CZ216" s="279" t="str">
        <f t="shared" si="255"/>
        <v>Pass</v>
      </c>
      <c r="DA216" s="278">
        <f t="shared" si="216"/>
        <v>0.93617973934596632</v>
      </c>
      <c r="DB216" s="292" t="str">
        <f t="shared" si="256"/>
        <v>Action Plan</v>
      </c>
      <c r="DC216" s="299">
        <f t="shared" si="257"/>
        <v>0.80355882462201411</v>
      </c>
      <c r="DD216" s="293" t="str">
        <f t="shared" si="258"/>
        <v>Buffer and Action Plan</v>
      </c>
      <c r="DE216" s="299">
        <f t="shared" si="259"/>
        <v>0.81289643862743277</v>
      </c>
      <c r="DF216" s="293" t="str">
        <f t="shared" si="260"/>
        <v>Buffer and Action Plan</v>
      </c>
      <c r="DG216" s="299">
        <f t="shared" si="261"/>
        <v>0.81653988444111891</v>
      </c>
      <c r="DH216" s="293" t="str">
        <f t="shared" si="262"/>
        <v>Buffer and Action Plan</v>
      </c>
    </row>
    <row r="217" spans="1:112" ht="15" thickTop="1" thickBot="1">
      <c r="A217" s="38" t="s">
        <v>544</v>
      </c>
      <c r="B217" s="38" t="s">
        <v>545</v>
      </c>
      <c r="C217" s="38" t="s">
        <v>544</v>
      </c>
      <c r="D217" s="38" t="s">
        <v>154</v>
      </c>
      <c r="E217" s="38" t="str">
        <f>VLOOKUP(C217,PoliticalControl!A:K,11,FALSE)</f>
        <v>CON</v>
      </c>
      <c r="F217" s="38" t="str">
        <f>VLOOKUP(C217,UrbanRuralClassification!A:N,13,FALSE)</f>
        <v>Urban with City and Town</v>
      </c>
      <c r="G217" s="38" t="str">
        <f>VLOOKUP(C217,UrbanRuralClassification!A:N,14,FALSE)</f>
        <v>Predominantly Urban</v>
      </c>
      <c r="H217" s="258">
        <f>IF(ISBLANK((VLOOKUP($A217,'local-plan-data'!$C$1:$AD$566,27,FALSE)))=TRUE,"",VLOOKUP($A217,'local-plan-data'!$C$1:$AD$566,27,FALSE))</f>
        <v>43620</v>
      </c>
      <c r="I217" s="259">
        <f>VLOOKUP($A217,'local-plan-data'!$C$1:$AD$566,28,FALSE)</f>
        <v>620</v>
      </c>
      <c r="J217" s="260">
        <f t="shared" si="217"/>
        <v>620</v>
      </c>
      <c r="K217" s="259">
        <f t="shared" si="263"/>
        <v>620</v>
      </c>
      <c r="L217" s="259">
        <f t="shared" si="201"/>
        <v>620</v>
      </c>
      <c r="M217" s="259">
        <f t="shared" si="201"/>
        <v>620</v>
      </c>
      <c r="N217" s="259">
        <f t="shared" si="201"/>
        <v>620</v>
      </c>
      <c r="O217" s="259">
        <f t="shared" si="201"/>
        <v>620</v>
      </c>
      <c r="P217" s="259">
        <f t="shared" si="201"/>
        <v>620</v>
      </c>
      <c r="Q217" s="259">
        <f t="shared" si="201"/>
        <v>620</v>
      </c>
      <c r="R217" s="259" t="str">
        <f t="shared" si="201"/>
        <v>-</v>
      </c>
      <c r="S217" s="259">
        <f t="shared" si="264"/>
        <v>2256</v>
      </c>
      <c r="T217" s="259">
        <f t="shared" si="202"/>
        <v>1891</v>
      </c>
      <c r="U217" s="259">
        <f t="shared" si="202"/>
        <v>1525</v>
      </c>
      <c r="V217" s="259">
        <f t="shared" si="202"/>
        <v>1160</v>
      </c>
      <c r="W217" s="259">
        <f t="shared" si="202"/>
        <v>795</v>
      </c>
      <c r="X217" s="259">
        <f t="shared" si="202"/>
        <v>430</v>
      </c>
      <c r="Y217" s="259">
        <f t="shared" si="202"/>
        <v>64</v>
      </c>
      <c r="Z217" s="259">
        <f t="shared" si="202"/>
        <v>-301</v>
      </c>
      <c r="AA217" s="267">
        <f>(VLOOKUP(A217,Hshldprojections2014!$A$2:$AW$319,40, FALSE)-VLOOKUP(A217,Hshldprojections2014!$A$2:$AW$319,30, FALSE))/10</f>
        <v>436.7</v>
      </c>
      <c r="AB217" s="267">
        <f>(VLOOKUP(A217,Hshldprojections2014!$A$2:$AW$319,41, FALSE)-VLOOKUP(A217,Hshldprojections2014!$A$2:$AW$319,31, FALSE))/10</f>
        <v>432.2</v>
      </c>
      <c r="AC217" s="267">
        <f>(VLOOKUP(A217,Hshldprojections2014!$A$2:$AW$319,42, FALSE)-VLOOKUP(A217,Hshldprojections2014!$A$2:$AW$319,32, FALSE))/10</f>
        <v>427.6</v>
      </c>
      <c r="AD217" s="267">
        <f>IF(IndividualLATest!$J$7=2014,(VLOOKUP($A217,Hshldprojections2014!$A$2:$AY$326,43,FALSE)-VLOOKUP($A217,Hshldprojections2014!$A$2:$AY$326,33,FALSE))/10,IF(IndividualLATest!$J$7=2016,(VLOOKUP($A217,Hshldprojections2016!$A$1:$AQ$322,33,FALSE)-VLOOKUP($A217,Hshldprojections2016!$A$1:$AQ$322,23,FALSE))/10,(VLOOKUP($A217,Hshldprojections2018!$A$1:$AQ$327,33,FALSE)-VLOOKUP($A217,Hshldprojections2018!$A$1:$AQ$327,23,FALSE))/10))</f>
        <v>399.2</v>
      </c>
      <c r="AE217" s="267">
        <f>IF(IndividualLATest!$J$7=2014,(VLOOKUP($A217,Hshldprojections2014!$A$2:$AY$326,44,FALSE)-VLOOKUP($A217,Hshldprojections2014!$A$2:$AY$326,34,FALSE))/10,IF(IndividualLATest!$J$7=2016,(VLOOKUP($A217,Hshldprojections2016!$A$1:$AQ$322,34,FALSE)-VLOOKUP($A217,Hshldprojections2016!$A$1:$AQ$322,24,FALSE))/10,(VLOOKUP($A217,Hshldprojections2018!$A$1:$AQ$327,34,FALSE)-VLOOKUP($A217,Hshldprojections2018!$A$1:$AQ$327,24,FALSE))/10))</f>
        <v>393.7</v>
      </c>
      <c r="AF217" s="267">
        <f>IF(IndividualLATest!$J$7=2014,(VLOOKUP($A217,Hshldprojections2014!$A$2:$AY$326,45,FALSE)-VLOOKUP($A217,Hshldprojections2014!$A$2:$AY$326,35,FALSE))/10,IF(IndividualLATest!$J$7=2016,(VLOOKUP($A217,Hshldprojections2016!$A$1:$AQ$322,35,FALSE)-VLOOKUP($A217,Hshldprojections2016!$A$1:$AQ$322,25,FALSE))/10,(VLOOKUP($A217,Hshldprojections2018!$A$1:$AQ$327,35,FALSE)-VLOOKUP($A217,Hshldprojections2018!$A$1:$AQ$327,25,FALSE))/10))</f>
        <v>388.7</v>
      </c>
      <c r="AG217" s="267">
        <f>IF(IndividualLATest!$J$7=2014,(VLOOKUP($A217,Hshldprojections2014!$A$2:$AY$326,46,FALSE)-VLOOKUP($A217,Hshldprojections2014!$A$2:$AY$326,36,FALSE))/10,IF(IndividualLATest!$J$7=2016,(VLOOKUP($A217,Hshldprojections2016!$A$1:$AQ$322,36,FALSE)-VLOOKUP($A217,Hshldprojections2016!$A$1:$AQ$322,26,FALSE))/10,(VLOOKUP($A217,Hshldprojections2018!$A$1:$AQ$327,36,FALSE)-VLOOKUP($A217,Hshldprojections2018!$A$1:$AQ$327,26,FALSE))/10))</f>
        <v>384.7</v>
      </c>
      <c r="AH217" s="267">
        <f>IF(IndividualLATest!$J$7=2014,(VLOOKUP($A217,Hshldprojections2014!$A$2:$AY$326,47,FALSE)-VLOOKUP($A217,Hshldprojections2014!$A$2:$AY$326,37,FALSE))/10,IF(IndividualLATest!$J$7=2016,(VLOOKUP($A217,Hshldprojections2016!$A$1:$AQ$322,37,FALSE)-VLOOKUP($A217,Hshldprojections2016!$A$1:$AQ$322,27,FALSE))/10,(VLOOKUP($A217,Hshldprojections2018!$A$1:$AQ$327,37,FALSE)-VLOOKUP($A217,Hshldprojections2018!$A$1:$AQ$327,27,FALSE))/10))</f>
        <v>384</v>
      </c>
      <c r="AI217" s="268">
        <f>VLOOKUP($A217,AffordabilityRatio!$A$2:$I$321,5,FALSE)</f>
        <v>6.74</v>
      </c>
      <c r="AJ217" s="268">
        <f>VLOOKUP($A217,AffordabilityRatio!$A$2:$I$321,6,FALSE)</f>
        <v>7.73</v>
      </c>
      <c r="AK217" s="268">
        <f>VLOOKUP($A217,AffordabilityRatio!$A$2:$I$321,7,FALSE)</f>
        <v>7.71</v>
      </c>
      <c r="AL217" s="268">
        <f>IF((VLOOKUP($A217,AffordabilityRatio!$A$2:$I$321,8,FALSE))="",AK217,VLOOKUP($A217,AffordabilityRatio!$A$2:$I$321,8,FALSE))</f>
        <v>7.34</v>
      </c>
      <c r="AM217" s="268">
        <f>IF((VLOOKUP($A217,AffordabilityRatio!$A$2:$I$321,9,FALSE))="",AL217,VLOOKUP($A217,AffordabilityRatio!$A$2:$I$321,9,FALSE))</f>
        <v>7.47</v>
      </c>
      <c r="AN217" s="268">
        <f>IF((VLOOKUP($A217,AffordabilityRatio!$A$2:$I$321,9,FALSE))="",AM217,VLOOKUP($A217,AffordabilityRatio!$A$2:$I$321,9,FALSE))</f>
        <v>7.47</v>
      </c>
      <c r="AO217" s="268">
        <f>IF((VLOOKUP($A217,AffordabilityRatio!$A$2:$I$321,9,FALSE))="",AN217,VLOOKUP($A217,AffordabilityRatio!$A$2:$I$321,9,FALSE))</f>
        <v>7.47</v>
      </c>
      <c r="AP217" s="268">
        <f>IF((VLOOKUP($A217,AffordabilityRatio!$A$2:$I$321,9,FALSE))="",AO217,VLOOKUP($A217,AffordabilityRatio!$A$2:$I$321,9,FALSE))</f>
        <v>7.47</v>
      </c>
      <c r="AQ217" s="267">
        <f t="shared" si="218"/>
        <v>511</v>
      </c>
      <c r="AR217" s="267">
        <f t="shared" si="219"/>
        <v>533</v>
      </c>
      <c r="AS217" s="267">
        <f t="shared" si="220"/>
        <v>527</v>
      </c>
      <c r="AT217" s="267">
        <f t="shared" si="221"/>
        <v>483</v>
      </c>
      <c r="AU217" s="267">
        <f t="shared" si="222"/>
        <v>479</v>
      </c>
      <c r="AV217" s="267">
        <f t="shared" si="223"/>
        <v>473</v>
      </c>
      <c r="AW217" s="267">
        <f t="shared" si="224"/>
        <v>468</v>
      </c>
      <c r="AX217" s="267">
        <f t="shared" si="225"/>
        <v>467</v>
      </c>
      <c r="AY217" s="267">
        <f t="shared" si="226"/>
        <v>511</v>
      </c>
      <c r="AZ217" s="267">
        <f t="shared" si="227"/>
        <v>533</v>
      </c>
      <c r="BA217" s="267">
        <f t="shared" si="228"/>
        <v>527</v>
      </c>
      <c r="BB217" s="267">
        <f t="shared" si="229"/>
        <v>483</v>
      </c>
      <c r="BC217" s="267">
        <f t="shared" si="230"/>
        <v>479</v>
      </c>
      <c r="BD217" s="267">
        <f t="shared" si="231"/>
        <v>473</v>
      </c>
      <c r="BE217" s="267">
        <f t="shared" si="232"/>
        <v>468</v>
      </c>
      <c r="BF217" s="267">
        <f t="shared" si="233"/>
        <v>467</v>
      </c>
      <c r="BG217" s="269">
        <f>AY217*VLOOKUP($B217,'Major Cities &amp; Towns'!$A$28:$B$345,2,FALSE)</f>
        <v>511</v>
      </c>
      <c r="BH217" s="269">
        <f>AZ217*VLOOKUP($B217,'Major Cities &amp; Towns'!$A$28:$B$345,2,FALSE)</f>
        <v>533</v>
      </c>
      <c r="BI217" s="269">
        <f>BA217*VLOOKUP($B217,'Major Cities &amp; Towns'!$A$28:$B$345,2,FALSE)</f>
        <v>527</v>
      </c>
      <c r="BJ217" s="269">
        <f>BB217*VLOOKUP($B217,'Major Cities &amp; Towns'!$A$28:$B$345,2,FALSE)</f>
        <v>483</v>
      </c>
      <c r="BK217" s="269">
        <f>BC217*VLOOKUP($B217,'Major Cities &amp; Towns'!$A$28:$B$345,2,FALSE)</f>
        <v>479</v>
      </c>
      <c r="BL217" s="269">
        <f>BD217*VLOOKUP($B217,'Major Cities &amp; Towns'!$A$28:$B$345,2,FALSE)</f>
        <v>473</v>
      </c>
      <c r="BM217" s="269">
        <f>BE217*VLOOKUP($B217,'Major Cities &amp; Towns'!$A$28:$B$345,2,FALSE)</f>
        <v>468</v>
      </c>
      <c r="BN217" s="269">
        <f>BF217*VLOOKUP($B217,'Major Cities &amp; Towns'!$A$28:$B$345,2,FALSE)</f>
        <v>467</v>
      </c>
      <c r="BO217" s="270">
        <f t="shared" si="234"/>
        <v>511</v>
      </c>
      <c r="BP217" s="270">
        <f t="shared" si="235"/>
        <v>533</v>
      </c>
      <c r="BQ217" s="270">
        <f t="shared" si="236"/>
        <v>527</v>
      </c>
      <c r="BR217" s="270">
        <f t="shared" si="237"/>
        <v>483</v>
      </c>
      <c r="BS217" s="270">
        <f t="shared" si="238"/>
        <v>479</v>
      </c>
      <c r="BT217" s="270">
        <f t="shared" si="239"/>
        <v>473</v>
      </c>
      <c r="BU217" s="270">
        <f t="shared" si="240"/>
        <v>468</v>
      </c>
      <c r="BV217" s="270">
        <f t="shared" si="241"/>
        <v>467</v>
      </c>
      <c r="BW217" s="39">
        <f>VLOOKUP($A217,NetAdditions!$A$2:$H$336,6,FALSE)</f>
        <v>939</v>
      </c>
      <c r="BX217" s="39">
        <f>VLOOKUP($A217,NetAdditions!$A$2:$H$336,7,FALSE)</f>
        <v>871</v>
      </c>
      <c r="BY217" s="39">
        <f>IF((VLOOKUP($C217,NetAdditions!$A$2:$H$336,8,FALSE))="",(AVERAGE(VLOOKUP($C217,NetAdditions!$A$2:$H$336,5,FALSE),VLOOKUP($C217,NetAdditions!$A$2:$H$336,6,FALSE),VLOOKUP($C217,NetAdditions!$A$2:$H$336,7,FALSE))),VLOOKUP($C217,NetAdditions!$A$2:$H$336,8,FALSE))</f>
        <v>832</v>
      </c>
      <c r="BZ217" s="39">
        <f t="shared" si="242"/>
        <v>880.66666666666663</v>
      </c>
      <c r="CA217" s="39">
        <f t="shared" si="243"/>
        <v>861.22222222222217</v>
      </c>
      <c r="CB217" s="39">
        <f t="shared" si="244"/>
        <v>857.96296296296293</v>
      </c>
      <c r="CC217" s="39">
        <f t="shared" si="245"/>
        <v>866.61728395061721</v>
      </c>
      <c r="CD217" s="39">
        <f t="shared" si="246"/>
        <v>861.93415637860073</v>
      </c>
      <c r="CE217" s="276">
        <f t="shared" si="203"/>
        <v>1571</v>
      </c>
      <c r="CF217" s="276">
        <f t="shared" si="204"/>
        <v>1543</v>
      </c>
      <c r="CG217" s="276">
        <f t="shared" si="205"/>
        <v>1489</v>
      </c>
      <c r="CH217" s="276">
        <f t="shared" si="206"/>
        <v>1435</v>
      </c>
      <c r="CI217" s="276">
        <f t="shared" si="207"/>
        <v>1420</v>
      </c>
      <c r="CJ217" s="276">
        <f t="shared" si="208"/>
        <v>1408</v>
      </c>
      <c r="CK217" s="276">
        <f t="shared" si="247"/>
        <v>1352.8055555555557</v>
      </c>
      <c r="CL217" s="276">
        <f t="shared" si="248"/>
        <v>1328.6944444444446</v>
      </c>
      <c r="CM217" s="276">
        <f t="shared" si="249"/>
        <v>1364.9166666666665</v>
      </c>
      <c r="CN217" s="276">
        <f t="shared" si="250"/>
        <v>1435</v>
      </c>
      <c r="CO217" s="276">
        <f t="shared" si="251"/>
        <v>1420</v>
      </c>
      <c r="CP217" s="276">
        <f t="shared" si="252"/>
        <v>1408</v>
      </c>
      <c r="CQ217" s="39">
        <f t="shared" si="209"/>
        <v>2642</v>
      </c>
      <c r="CR217" s="39">
        <f t="shared" si="210"/>
        <v>2583.6666666666665</v>
      </c>
      <c r="CS217" s="277">
        <f t="shared" si="211"/>
        <v>2573.8888888888887</v>
      </c>
      <c r="CT217" s="39">
        <f t="shared" si="212"/>
        <v>2599.8518518518517</v>
      </c>
      <c r="CU217" s="39">
        <f t="shared" si="213"/>
        <v>2585.8024691358023</v>
      </c>
      <c r="CV217" s="39">
        <f t="shared" si="253"/>
        <v>2586.5144032921808</v>
      </c>
      <c r="CW217" s="297">
        <f t="shared" si="214"/>
        <v>1.9529783782673866</v>
      </c>
      <c r="CX217" s="279" t="str">
        <f t="shared" si="254"/>
        <v>Pass</v>
      </c>
      <c r="CY217" s="278">
        <f t="shared" si="215"/>
        <v>1.9445152927894964</v>
      </c>
      <c r="CZ217" s="279" t="str">
        <f t="shared" si="255"/>
        <v>Pass</v>
      </c>
      <c r="DA217" s="278">
        <f t="shared" si="216"/>
        <v>1.8857480106640618</v>
      </c>
      <c r="DB217" s="292" t="str">
        <f t="shared" si="256"/>
        <v>Pass</v>
      </c>
      <c r="DC217" s="299">
        <f t="shared" si="257"/>
        <v>1.8117434507678409</v>
      </c>
      <c r="DD217" s="293" t="str">
        <f t="shared" si="258"/>
        <v>Pass</v>
      </c>
      <c r="DE217" s="299">
        <f t="shared" si="259"/>
        <v>1.8209876543209875</v>
      </c>
      <c r="DF217" s="293" t="str">
        <f t="shared" si="260"/>
        <v>Pass</v>
      </c>
      <c r="DG217" s="299">
        <f t="shared" si="261"/>
        <v>1.8370130705200147</v>
      </c>
      <c r="DH217" s="293" t="str">
        <f t="shared" si="262"/>
        <v>Pass</v>
      </c>
    </row>
    <row r="218" spans="1:112" ht="15" thickTop="1" thickBot="1">
      <c r="A218" s="38" t="s">
        <v>546</v>
      </c>
      <c r="B218" s="38" t="s">
        <v>547</v>
      </c>
      <c r="C218" s="38" t="s">
        <v>546</v>
      </c>
      <c r="D218" s="38" t="s">
        <v>113</v>
      </c>
      <c r="E218" s="38" t="str">
        <f>VLOOKUP(C218,PoliticalControl!A:K,11,FALSE)</f>
        <v>CON</v>
      </c>
      <c r="F218" s="38" t="str">
        <f>VLOOKUP(C218,UrbanRuralClassification!A:N,13,FALSE)</f>
        <v>Urban with Major Conurbation</v>
      </c>
      <c r="G218" s="38" t="str">
        <f>VLOOKUP(C218,UrbanRuralClassification!A:N,14,FALSE)</f>
        <v>Predominantly Urban</v>
      </c>
      <c r="H218" s="258">
        <f>IF(ISBLANK((VLOOKUP($A218,'local-plan-data'!$C$1:$AD$566,27,FALSE)))=TRUE,"",VLOOKUP($A218,'local-plan-data'!$C$1:$AD$566,27,FALSE))</f>
        <v>44028</v>
      </c>
      <c r="I218" s="259">
        <f>VLOOKUP($A218,'local-plan-data'!$C$1:$AD$566,28,FALSE)</f>
        <v>500.46666666666664</v>
      </c>
      <c r="J218" s="260">
        <f t="shared" si="217"/>
        <v>500.46666666666664</v>
      </c>
      <c r="K218" s="259">
        <f t="shared" si="263"/>
        <v>500.46666666666664</v>
      </c>
      <c r="L218" s="259">
        <f t="shared" si="201"/>
        <v>500.46666666666664</v>
      </c>
      <c r="M218" s="259">
        <f t="shared" si="201"/>
        <v>500.46666666666664</v>
      </c>
      <c r="N218" s="259">
        <f t="shared" si="201"/>
        <v>500.46666666666664</v>
      </c>
      <c r="O218" s="259">
        <f t="shared" si="201"/>
        <v>500.46666666666664</v>
      </c>
      <c r="P218" s="259">
        <f t="shared" si="201"/>
        <v>500.46666666666664</v>
      </c>
      <c r="Q218" s="259">
        <f t="shared" si="201"/>
        <v>500.46666666666664</v>
      </c>
      <c r="R218" s="259">
        <f t="shared" si="201"/>
        <v>500.46666666666664</v>
      </c>
      <c r="S218" s="259">
        <f t="shared" si="264"/>
        <v>2663</v>
      </c>
      <c r="T218" s="259">
        <f t="shared" si="202"/>
        <v>2298</v>
      </c>
      <c r="U218" s="259">
        <f t="shared" si="202"/>
        <v>1932</v>
      </c>
      <c r="V218" s="259">
        <f t="shared" si="202"/>
        <v>1567</v>
      </c>
      <c r="W218" s="259">
        <f t="shared" si="202"/>
        <v>1202</v>
      </c>
      <c r="X218" s="259">
        <f t="shared" si="202"/>
        <v>837</v>
      </c>
      <c r="Y218" s="259">
        <f t="shared" si="202"/>
        <v>471</v>
      </c>
      <c r="Z218" s="259">
        <f t="shared" si="202"/>
        <v>106</v>
      </c>
      <c r="AA218" s="267">
        <f>(VLOOKUP(A218,Hshldprojections2014!$A$2:$AW$319,40, FALSE)-VLOOKUP(A218,Hshldprojections2014!$A$2:$AW$319,30, FALSE))/10</f>
        <v>391.6</v>
      </c>
      <c r="AB218" s="267">
        <f>(VLOOKUP(A218,Hshldprojections2014!$A$2:$AW$319,41, FALSE)-VLOOKUP(A218,Hshldprojections2014!$A$2:$AW$319,31, FALSE))/10</f>
        <v>389.1</v>
      </c>
      <c r="AC218" s="267">
        <f>(VLOOKUP(A218,Hshldprojections2014!$A$2:$AW$319,42, FALSE)-VLOOKUP(A218,Hshldprojections2014!$A$2:$AW$319,32, FALSE))/10</f>
        <v>388.9</v>
      </c>
      <c r="AD218" s="267">
        <f>IF(IndividualLATest!$J$7=2014,(VLOOKUP($A218,Hshldprojections2014!$A$2:$AY$326,43,FALSE)-VLOOKUP($A218,Hshldprojections2014!$A$2:$AY$326,33,FALSE))/10,IF(IndividualLATest!$J$7=2016,(VLOOKUP($A218,Hshldprojections2016!$A$1:$AQ$322,33,FALSE)-VLOOKUP($A218,Hshldprojections2016!$A$1:$AQ$322,23,FALSE))/10,(VLOOKUP($A218,Hshldprojections2018!$A$1:$AQ$327,33,FALSE)-VLOOKUP($A218,Hshldprojections2018!$A$1:$AQ$327,23,FALSE))/10))</f>
        <v>107.5</v>
      </c>
      <c r="AE218" s="267">
        <f>IF(IndividualLATest!$J$7=2014,(VLOOKUP($A218,Hshldprojections2014!$A$2:$AY$326,44,FALSE)-VLOOKUP($A218,Hshldprojections2014!$A$2:$AY$326,34,FALSE))/10,IF(IndividualLATest!$J$7=2016,(VLOOKUP($A218,Hshldprojections2016!$A$1:$AQ$322,34,FALSE)-VLOOKUP($A218,Hshldprojections2016!$A$1:$AQ$322,24,FALSE))/10,(VLOOKUP($A218,Hshldprojections2018!$A$1:$AQ$327,34,FALSE)-VLOOKUP($A218,Hshldprojections2018!$A$1:$AQ$327,24,FALSE))/10))</f>
        <v>109.9</v>
      </c>
      <c r="AF218" s="267">
        <f>IF(IndividualLATest!$J$7=2014,(VLOOKUP($A218,Hshldprojections2014!$A$2:$AY$326,45,FALSE)-VLOOKUP($A218,Hshldprojections2014!$A$2:$AY$326,35,FALSE))/10,IF(IndividualLATest!$J$7=2016,(VLOOKUP($A218,Hshldprojections2016!$A$1:$AQ$322,35,FALSE)-VLOOKUP($A218,Hshldprojections2016!$A$1:$AQ$322,25,FALSE))/10,(VLOOKUP($A218,Hshldprojections2018!$A$1:$AQ$327,35,FALSE)-VLOOKUP($A218,Hshldprojections2018!$A$1:$AQ$327,25,FALSE))/10))</f>
        <v>110.4</v>
      </c>
      <c r="AG218" s="267">
        <f>IF(IndividualLATest!$J$7=2014,(VLOOKUP($A218,Hshldprojections2014!$A$2:$AY$326,46,FALSE)-VLOOKUP($A218,Hshldprojections2014!$A$2:$AY$326,36,FALSE))/10,IF(IndividualLATest!$J$7=2016,(VLOOKUP($A218,Hshldprojections2016!$A$1:$AQ$322,36,FALSE)-VLOOKUP($A218,Hshldprojections2016!$A$1:$AQ$322,26,FALSE))/10,(VLOOKUP($A218,Hshldprojections2018!$A$1:$AQ$327,36,FALSE)-VLOOKUP($A218,Hshldprojections2018!$A$1:$AQ$327,26,FALSE))/10))</f>
        <v>110.2</v>
      </c>
      <c r="AH218" s="267">
        <f>IF(IndividualLATest!$J$7=2014,(VLOOKUP($A218,Hshldprojections2014!$A$2:$AY$326,47,FALSE)-VLOOKUP($A218,Hshldprojections2014!$A$2:$AY$326,37,FALSE))/10,IF(IndividualLATest!$J$7=2016,(VLOOKUP($A218,Hshldprojections2016!$A$1:$AQ$322,37,FALSE)-VLOOKUP($A218,Hshldprojections2016!$A$1:$AQ$322,27,FALSE))/10,(VLOOKUP($A218,Hshldprojections2018!$A$1:$AQ$327,37,FALSE)-VLOOKUP($A218,Hshldprojections2018!$A$1:$AQ$327,27,FALSE))/10))</f>
        <v>111.4</v>
      </c>
      <c r="AI218" s="268">
        <f>VLOOKUP($A218,AffordabilityRatio!$A$2:$I$321,5,FALSE)</f>
        <v>10.78</v>
      </c>
      <c r="AJ218" s="268">
        <f>VLOOKUP($A218,AffordabilityRatio!$A$2:$I$321,6,FALSE)</f>
        <v>10.91</v>
      </c>
      <c r="AK218" s="268">
        <f>VLOOKUP($A218,AffordabilityRatio!$A$2:$I$321,7,FALSE)</f>
        <v>9.75</v>
      </c>
      <c r="AL218" s="268">
        <f>IF((VLOOKUP($A218,AffordabilityRatio!$A$2:$I$321,8,FALSE))="",AK218,VLOOKUP($A218,AffordabilityRatio!$A$2:$I$321,8,FALSE))</f>
        <v>10.26</v>
      </c>
      <c r="AM218" s="268">
        <f>IF((VLOOKUP($A218,AffordabilityRatio!$A$2:$I$321,9,FALSE))="",AL218,VLOOKUP($A218,AffordabilityRatio!$A$2:$I$321,9,FALSE))</f>
        <v>10.39</v>
      </c>
      <c r="AN218" s="268">
        <f>IF((VLOOKUP($A218,AffordabilityRatio!$A$2:$I$321,9,FALSE))="",AM218,VLOOKUP($A218,AffordabilityRatio!$A$2:$I$321,9,FALSE))</f>
        <v>10.39</v>
      </c>
      <c r="AO218" s="268">
        <f>IF((VLOOKUP($A218,AffordabilityRatio!$A$2:$I$321,9,FALSE))="",AN218,VLOOKUP($A218,AffordabilityRatio!$A$2:$I$321,9,FALSE))</f>
        <v>10.39</v>
      </c>
      <c r="AP218" s="268">
        <f>IF((VLOOKUP($A218,AffordabilityRatio!$A$2:$I$321,9,FALSE))="",AO218,VLOOKUP($A218,AffordabilityRatio!$A$2:$I$321,9,FALSE))</f>
        <v>10.39</v>
      </c>
      <c r="AQ218" s="267">
        <f t="shared" si="218"/>
        <v>558</v>
      </c>
      <c r="AR218" s="267">
        <f t="shared" si="219"/>
        <v>557</v>
      </c>
      <c r="AS218" s="267">
        <f t="shared" si="220"/>
        <v>529</v>
      </c>
      <c r="AT218" s="267">
        <f t="shared" si="221"/>
        <v>150</v>
      </c>
      <c r="AU218" s="267">
        <f t="shared" si="222"/>
        <v>154</v>
      </c>
      <c r="AV218" s="267">
        <f t="shared" si="223"/>
        <v>154</v>
      </c>
      <c r="AW218" s="267">
        <f t="shared" si="224"/>
        <v>154</v>
      </c>
      <c r="AX218" s="267">
        <f t="shared" si="225"/>
        <v>156</v>
      </c>
      <c r="AY218" s="267">
        <f t="shared" si="226"/>
        <v>558</v>
      </c>
      <c r="AZ218" s="267">
        <f t="shared" si="227"/>
        <v>557</v>
      </c>
      <c r="BA218" s="267">
        <f t="shared" si="228"/>
        <v>529</v>
      </c>
      <c r="BB218" s="267">
        <f t="shared" si="229"/>
        <v>150</v>
      </c>
      <c r="BC218" s="267">
        <f t="shared" si="230"/>
        <v>154</v>
      </c>
      <c r="BD218" s="267">
        <f t="shared" si="231"/>
        <v>154</v>
      </c>
      <c r="BE218" s="267">
        <f t="shared" si="232"/>
        <v>154</v>
      </c>
      <c r="BF218" s="267">
        <f t="shared" si="233"/>
        <v>156</v>
      </c>
      <c r="BG218" s="269">
        <f>AY218*VLOOKUP($B218,'Major Cities &amp; Towns'!$A$28:$B$345,2,FALSE)</f>
        <v>558</v>
      </c>
      <c r="BH218" s="269">
        <f>AZ218*VLOOKUP($B218,'Major Cities &amp; Towns'!$A$28:$B$345,2,FALSE)</f>
        <v>557</v>
      </c>
      <c r="BI218" s="269">
        <f>BA218*VLOOKUP($B218,'Major Cities &amp; Towns'!$A$28:$B$345,2,FALSE)</f>
        <v>529</v>
      </c>
      <c r="BJ218" s="269">
        <f>BB218*VLOOKUP($B218,'Major Cities &amp; Towns'!$A$28:$B$345,2,FALSE)</f>
        <v>150</v>
      </c>
      <c r="BK218" s="269">
        <f>BC218*VLOOKUP($B218,'Major Cities &amp; Towns'!$A$28:$B$345,2,FALSE)</f>
        <v>154</v>
      </c>
      <c r="BL218" s="269">
        <f>BD218*VLOOKUP($B218,'Major Cities &amp; Towns'!$A$28:$B$345,2,FALSE)</f>
        <v>154</v>
      </c>
      <c r="BM218" s="269">
        <f>BE218*VLOOKUP($B218,'Major Cities &amp; Towns'!$A$28:$B$345,2,FALSE)</f>
        <v>154</v>
      </c>
      <c r="BN218" s="269">
        <f>BF218*VLOOKUP($B218,'Major Cities &amp; Towns'!$A$28:$B$345,2,FALSE)</f>
        <v>156</v>
      </c>
      <c r="BO218" s="270">
        <f t="shared" si="234"/>
        <v>500.46666666666664</v>
      </c>
      <c r="BP218" s="270">
        <f t="shared" si="235"/>
        <v>500.46666666666664</v>
      </c>
      <c r="BQ218" s="270">
        <f t="shared" si="236"/>
        <v>500.46666666666664</v>
      </c>
      <c r="BR218" s="270">
        <f t="shared" si="237"/>
        <v>150</v>
      </c>
      <c r="BS218" s="270">
        <f t="shared" si="238"/>
        <v>154</v>
      </c>
      <c r="BT218" s="270">
        <f t="shared" si="239"/>
        <v>154</v>
      </c>
      <c r="BU218" s="270">
        <f t="shared" si="240"/>
        <v>154</v>
      </c>
      <c r="BV218" s="270">
        <f t="shared" si="241"/>
        <v>156</v>
      </c>
      <c r="BW218" s="39">
        <f>VLOOKUP($A218,NetAdditions!$A$2:$H$336,6,FALSE)</f>
        <v>428</v>
      </c>
      <c r="BX218" s="39">
        <f>VLOOKUP($A218,NetAdditions!$A$2:$H$336,7,FALSE)</f>
        <v>297</v>
      </c>
      <c r="BY218" s="39">
        <f>IF((VLOOKUP($C218,NetAdditions!$A$2:$H$336,8,FALSE))="",(AVERAGE(VLOOKUP($C218,NetAdditions!$A$2:$H$336,5,FALSE),VLOOKUP($C218,NetAdditions!$A$2:$H$336,6,FALSE),VLOOKUP($C218,NetAdditions!$A$2:$H$336,7,FALSE))),VLOOKUP($C218,NetAdditions!$A$2:$H$336,8,FALSE))</f>
        <v>269</v>
      </c>
      <c r="BZ218" s="39">
        <f t="shared" si="242"/>
        <v>331.33333333333331</v>
      </c>
      <c r="CA218" s="39">
        <f t="shared" si="243"/>
        <v>299.11111111111109</v>
      </c>
      <c r="CB218" s="39">
        <f t="shared" si="244"/>
        <v>299.81481481481478</v>
      </c>
      <c r="CC218" s="39">
        <f t="shared" si="245"/>
        <v>310.08641975308637</v>
      </c>
      <c r="CD218" s="39">
        <f t="shared" si="246"/>
        <v>303.00411522633743</v>
      </c>
      <c r="CE218" s="276">
        <f t="shared" si="203"/>
        <v>1501.3999999999999</v>
      </c>
      <c r="CF218" s="276">
        <f t="shared" si="204"/>
        <v>1150.9333333333334</v>
      </c>
      <c r="CG218" s="276">
        <f t="shared" si="205"/>
        <v>804.4666666666667</v>
      </c>
      <c r="CH218" s="276">
        <f t="shared" si="206"/>
        <v>458</v>
      </c>
      <c r="CI218" s="276">
        <f t="shared" si="207"/>
        <v>462</v>
      </c>
      <c r="CJ218" s="276">
        <f t="shared" si="208"/>
        <v>464</v>
      </c>
      <c r="CK218" s="276">
        <f t="shared" si="247"/>
        <v>1292.8722222222223</v>
      </c>
      <c r="CL218" s="276">
        <f t="shared" si="248"/>
        <v>991.08148148148155</v>
      </c>
      <c r="CM218" s="276">
        <f t="shared" si="249"/>
        <v>737.42777777777781</v>
      </c>
      <c r="CN218" s="276">
        <f t="shared" si="250"/>
        <v>458</v>
      </c>
      <c r="CO218" s="276">
        <f t="shared" si="251"/>
        <v>462</v>
      </c>
      <c r="CP218" s="276">
        <f t="shared" si="252"/>
        <v>464</v>
      </c>
      <c r="CQ218" s="39">
        <f t="shared" si="209"/>
        <v>994</v>
      </c>
      <c r="CR218" s="39">
        <f t="shared" si="210"/>
        <v>897.33333333333326</v>
      </c>
      <c r="CS218" s="277">
        <f t="shared" si="211"/>
        <v>899.44444444444434</v>
      </c>
      <c r="CT218" s="39">
        <f t="shared" si="212"/>
        <v>930.25925925925912</v>
      </c>
      <c r="CU218" s="39">
        <f t="shared" si="213"/>
        <v>909.01234567901224</v>
      </c>
      <c r="CV218" s="39">
        <f t="shared" si="253"/>
        <v>912.90534979423865</v>
      </c>
      <c r="CW218" s="297">
        <f t="shared" si="214"/>
        <v>0.76883081167254641</v>
      </c>
      <c r="CX218" s="279" t="str">
        <f t="shared" si="254"/>
        <v>Buffer and Action Plan</v>
      </c>
      <c r="CY218" s="278">
        <f t="shared" si="215"/>
        <v>0.90540823342999777</v>
      </c>
      <c r="CZ218" s="279" t="str">
        <f t="shared" si="255"/>
        <v>Action Plan</v>
      </c>
      <c r="DA218" s="278">
        <f t="shared" si="216"/>
        <v>1.2197051311992886</v>
      </c>
      <c r="DB218" s="292" t="str">
        <f t="shared" si="256"/>
        <v>Pass</v>
      </c>
      <c r="DC218" s="299">
        <f t="shared" si="257"/>
        <v>2.0311337538411771</v>
      </c>
      <c r="DD218" s="293" t="str">
        <f t="shared" si="258"/>
        <v>Pass</v>
      </c>
      <c r="DE218" s="299">
        <f t="shared" si="259"/>
        <v>1.9675591897814118</v>
      </c>
      <c r="DF218" s="293" t="str">
        <f t="shared" si="260"/>
        <v>Pass</v>
      </c>
      <c r="DG218" s="299">
        <f t="shared" si="261"/>
        <v>1.9674684262806867</v>
      </c>
      <c r="DH218" s="293" t="str">
        <f t="shared" si="262"/>
        <v>Pass</v>
      </c>
    </row>
    <row r="219" spans="1:112" ht="15" thickTop="1" thickBot="1">
      <c r="A219" s="38" t="s">
        <v>548</v>
      </c>
      <c r="B219" s="38" t="s">
        <v>549</v>
      </c>
      <c r="C219" s="38" t="s">
        <v>548</v>
      </c>
      <c r="D219" s="38" t="s">
        <v>119</v>
      </c>
      <c r="E219" s="38" t="str">
        <f>VLOOKUP(C219,PoliticalControl!A:K,11,FALSE)</f>
        <v>CON</v>
      </c>
      <c r="F219" s="38" t="str">
        <f>VLOOKUP(C219,UrbanRuralClassification!A:N,13,FALSE)</f>
        <v xml:space="preserve">Largely Rural (rural including hub towns 50-79%) </v>
      </c>
      <c r="G219" s="38" t="str">
        <f>VLOOKUP(C219,UrbanRuralClassification!A:N,14,FALSE)</f>
        <v>Predominantly Rural</v>
      </c>
      <c r="H219" s="258">
        <f>IF(ISBLANK((VLOOKUP($A219,'local-plan-data'!$C$1:$AD$566,27,FALSE)))=TRUE,"",VLOOKUP($A219,'local-plan-data'!$C$1:$AD$566,27,FALSE))</f>
        <v>41995</v>
      </c>
      <c r="I219" s="259">
        <f>VLOOKUP($A219,'local-plan-data'!$C$1:$AD$566,28,FALSE)</f>
        <v>773.52941176470586</v>
      </c>
      <c r="J219" s="260">
        <f t="shared" si="217"/>
        <v>773.52941176470586</v>
      </c>
      <c r="K219" s="259">
        <f t="shared" si="263"/>
        <v>773.52941176470586</v>
      </c>
      <c r="L219" s="259">
        <f t="shared" si="201"/>
        <v>773.52941176470586</v>
      </c>
      <c r="M219" s="259" t="str">
        <f t="shared" si="201"/>
        <v>-</v>
      </c>
      <c r="N219" s="259" t="str">
        <f t="shared" si="201"/>
        <v>-</v>
      </c>
      <c r="O219" s="259" t="str">
        <f t="shared" si="201"/>
        <v>-</v>
      </c>
      <c r="P219" s="259" t="str">
        <f t="shared" si="201"/>
        <v>-</v>
      </c>
      <c r="Q219" s="259" t="str">
        <f t="shared" si="201"/>
        <v>-</v>
      </c>
      <c r="R219" s="259" t="str">
        <f t="shared" si="201"/>
        <v>-</v>
      </c>
      <c r="S219" s="259">
        <f t="shared" si="264"/>
        <v>630</v>
      </c>
      <c r="T219" s="259">
        <f t="shared" si="202"/>
        <v>265</v>
      </c>
      <c r="U219" s="259">
        <f t="shared" si="202"/>
        <v>-101</v>
      </c>
      <c r="V219" s="259">
        <f t="shared" si="202"/>
        <v>-466</v>
      </c>
      <c r="W219" s="259">
        <f t="shared" si="202"/>
        <v>-831</v>
      </c>
      <c r="X219" s="259">
        <f t="shared" si="202"/>
        <v>-1196</v>
      </c>
      <c r="Y219" s="259">
        <f t="shared" si="202"/>
        <v>-1562</v>
      </c>
      <c r="Z219" s="259">
        <f t="shared" si="202"/>
        <v>-1927</v>
      </c>
      <c r="AA219" s="267">
        <f>(VLOOKUP(A219,Hshldprojections2014!$A$2:$AW$319,40, FALSE)-VLOOKUP(A219,Hshldprojections2014!$A$2:$AW$319,30, FALSE))/10</f>
        <v>454.6</v>
      </c>
      <c r="AB219" s="267">
        <f>(VLOOKUP(A219,Hshldprojections2014!$A$2:$AW$319,41, FALSE)-VLOOKUP(A219,Hshldprojections2014!$A$2:$AW$319,31, FALSE))/10</f>
        <v>452.6</v>
      </c>
      <c r="AC219" s="267">
        <f>(VLOOKUP(A219,Hshldprojections2014!$A$2:$AW$319,42, FALSE)-VLOOKUP(A219,Hshldprojections2014!$A$2:$AW$319,32, FALSE))/10</f>
        <v>450.6</v>
      </c>
      <c r="AD219" s="267">
        <f>IF(IndividualLATest!$J$7=2014,(VLOOKUP($A219,Hshldprojections2014!$A$2:$AY$326,43,FALSE)-VLOOKUP($A219,Hshldprojections2014!$A$2:$AY$326,33,FALSE))/10,IF(IndividualLATest!$J$7=2016,(VLOOKUP($A219,Hshldprojections2016!$A$1:$AQ$322,33,FALSE)-VLOOKUP($A219,Hshldprojections2016!$A$1:$AQ$322,23,FALSE))/10,(VLOOKUP($A219,Hshldprojections2018!$A$1:$AQ$327,33,FALSE)-VLOOKUP($A219,Hshldprojections2018!$A$1:$AQ$327,23,FALSE))/10))</f>
        <v>543.29999999999995</v>
      </c>
      <c r="AE219" s="267">
        <f>IF(IndividualLATest!$J$7=2014,(VLOOKUP($A219,Hshldprojections2014!$A$2:$AY$326,44,FALSE)-VLOOKUP($A219,Hshldprojections2014!$A$2:$AY$326,34,FALSE))/10,IF(IndividualLATest!$J$7=2016,(VLOOKUP($A219,Hshldprojections2016!$A$1:$AQ$322,34,FALSE)-VLOOKUP($A219,Hshldprojections2016!$A$1:$AQ$322,24,FALSE))/10,(VLOOKUP($A219,Hshldprojections2018!$A$1:$AQ$327,34,FALSE)-VLOOKUP($A219,Hshldprojections2018!$A$1:$AQ$327,24,FALSE))/10))</f>
        <v>529.1</v>
      </c>
      <c r="AF219" s="267">
        <f>IF(IndividualLATest!$J$7=2014,(VLOOKUP($A219,Hshldprojections2014!$A$2:$AY$326,45,FALSE)-VLOOKUP($A219,Hshldprojections2014!$A$2:$AY$326,35,FALSE))/10,IF(IndividualLATest!$J$7=2016,(VLOOKUP($A219,Hshldprojections2016!$A$1:$AQ$322,35,FALSE)-VLOOKUP($A219,Hshldprojections2016!$A$1:$AQ$322,25,FALSE))/10,(VLOOKUP($A219,Hshldprojections2018!$A$1:$AQ$327,35,FALSE)-VLOOKUP($A219,Hshldprojections2018!$A$1:$AQ$327,25,FALSE))/10))</f>
        <v>518.70000000000005</v>
      </c>
      <c r="AG219" s="267">
        <f>IF(IndividualLATest!$J$7=2014,(VLOOKUP($A219,Hshldprojections2014!$A$2:$AY$326,46,FALSE)-VLOOKUP($A219,Hshldprojections2014!$A$2:$AY$326,36,FALSE))/10,IF(IndividualLATest!$J$7=2016,(VLOOKUP($A219,Hshldprojections2016!$A$1:$AQ$322,36,FALSE)-VLOOKUP($A219,Hshldprojections2016!$A$1:$AQ$322,26,FALSE))/10,(VLOOKUP($A219,Hshldprojections2018!$A$1:$AQ$327,36,FALSE)-VLOOKUP($A219,Hshldprojections2018!$A$1:$AQ$327,26,FALSE))/10))</f>
        <v>506.5</v>
      </c>
      <c r="AH219" s="267">
        <f>IF(IndividualLATest!$J$7=2014,(VLOOKUP($A219,Hshldprojections2014!$A$2:$AY$326,47,FALSE)-VLOOKUP($A219,Hshldprojections2014!$A$2:$AY$326,37,FALSE))/10,IF(IndividualLATest!$J$7=2016,(VLOOKUP($A219,Hshldprojections2016!$A$1:$AQ$322,37,FALSE)-VLOOKUP($A219,Hshldprojections2016!$A$1:$AQ$322,27,FALSE))/10,(VLOOKUP($A219,Hshldprojections2018!$A$1:$AQ$327,37,FALSE)-VLOOKUP($A219,Hshldprojections2018!$A$1:$AQ$327,27,FALSE))/10))</f>
        <v>495.8</v>
      </c>
      <c r="AI219" s="268">
        <f>VLOOKUP($A219,AffordabilityRatio!$A$2:$I$321,5,FALSE)</f>
        <v>9.94</v>
      </c>
      <c r="AJ219" s="268">
        <f>VLOOKUP($A219,AffordabilityRatio!$A$2:$I$321,6,FALSE)</f>
        <v>8.98</v>
      </c>
      <c r="AK219" s="268">
        <f>VLOOKUP($A219,AffordabilityRatio!$A$2:$I$321,7,FALSE)</f>
        <v>9.2200000000000006</v>
      </c>
      <c r="AL219" s="268">
        <f>IF((VLOOKUP($A219,AffordabilityRatio!$A$2:$I$321,8,FALSE))="",AK219,VLOOKUP($A219,AffordabilityRatio!$A$2:$I$321,8,FALSE))</f>
        <v>9.43</v>
      </c>
      <c r="AM219" s="268">
        <f>IF((VLOOKUP($A219,AffordabilityRatio!$A$2:$I$321,9,FALSE))="",AL219,VLOOKUP($A219,AffordabilityRatio!$A$2:$I$321,9,FALSE))</f>
        <v>10.31</v>
      </c>
      <c r="AN219" s="268">
        <f>IF((VLOOKUP($A219,AffordabilityRatio!$A$2:$I$321,9,FALSE))="",AM219,VLOOKUP($A219,AffordabilityRatio!$A$2:$I$321,9,FALSE))</f>
        <v>10.31</v>
      </c>
      <c r="AO219" s="268">
        <f>IF((VLOOKUP($A219,AffordabilityRatio!$A$2:$I$321,9,FALSE))="",AN219,VLOOKUP($A219,AffordabilityRatio!$A$2:$I$321,9,FALSE))</f>
        <v>10.31</v>
      </c>
      <c r="AP219" s="268">
        <f>IF((VLOOKUP($A219,AffordabilityRatio!$A$2:$I$321,9,FALSE))="",AO219,VLOOKUP($A219,AffordabilityRatio!$A$2:$I$321,9,FALSE))</f>
        <v>10.31</v>
      </c>
      <c r="AQ219" s="267">
        <f t="shared" si="218"/>
        <v>623</v>
      </c>
      <c r="AR219" s="267">
        <f t="shared" si="219"/>
        <v>593</v>
      </c>
      <c r="AS219" s="267">
        <f t="shared" si="220"/>
        <v>598</v>
      </c>
      <c r="AT219" s="267">
        <f t="shared" si="221"/>
        <v>728</v>
      </c>
      <c r="AU219" s="267">
        <f t="shared" si="222"/>
        <v>738</v>
      </c>
      <c r="AV219" s="267">
        <f t="shared" si="223"/>
        <v>723</v>
      </c>
      <c r="AW219" s="267">
        <f t="shared" si="224"/>
        <v>706</v>
      </c>
      <c r="AX219" s="267">
        <f t="shared" si="225"/>
        <v>691</v>
      </c>
      <c r="AY219" s="267">
        <f t="shared" si="226"/>
        <v>623</v>
      </c>
      <c r="AZ219" s="267">
        <f t="shared" si="227"/>
        <v>593</v>
      </c>
      <c r="BA219" s="267">
        <f t="shared" si="228"/>
        <v>598</v>
      </c>
      <c r="BB219" s="267">
        <f t="shared" si="229"/>
        <v>728</v>
      </c>
      <c r="BC219" s="267">
        <f t="shared" si="230"/>
        <v>738</v>
      </c>
      <c r="BD219" s="267">
        <f t="shared" si="231"/>
        <v>723</v>
      </c>
      <c r="BE219" s="267">
        <f t="shared" si="232"/>
        <v>706</v>
      </c>
      <c r="BF219" s="267">
        <f t="shared" si="233"/>
        <v>691</v>
      </c>
      <c r="BG219" s="269">
        <f>AY219*VLOOKUP($B219,'Major Cities &amp; Towns'!$A$28:$B$345,2,FALSE)</f>
        <v>623</v>
      </c>
      <c r="BH219" s="269">
        <f>AZ219*VLOOKUP($B219,'Major Cities &amp; Towns'!$A$28:$B$345,2,FALSE)</f>
        <v>593</v>
      </c>
      <c r="BI219" s="269">
        <f>BA219*VLOOKUP($B219,'Major Cities &amp; Towns'!$A$28:$B$345,2,FALSE)</f>
        <v>598</v>
      </c>
      <c r="BJ219" s="269">
        <f>BB219*VLOOKUP($B219,'Major Cities &amp; Towns'!$A$28:$B$345,2,FALSE)</f>
        <v>728</v>
      </c>
      <c r="BK219" s="269">
        <f>BC219*VLOOKUP($B219,'Major Cities &amp; Towns'!$A$28:$B$345,2,FALSE)</f>
        <v>738</v>
      </c>
      <c r="BL219" s="269">
        <f>BD219*VLOOKUP($B219,'Major Cities &amp; Towns'!$A$28:$B$345,2,FALSE)</f>
        <v>723</v>
      </c>
      <c r="BM219" s="269">
        <f>BE219*VLOOKUP($B219,'Major Cities &amp; Towns'!$A$28:$B$345,2,FALSE)</f>
        <v>706</v>
      </c>
      <c r="BN219" s="269">
        <f>BF219*VLOOKUP($B219,'Major Cities &amp; Towns'!$A$28:$B$345,2,FALSE)</f>
        <v>691</v>
      </c>
      <c r="BO219" s="270">
        <f t="shared" si="234"/>
        <v>623</v>
      </c>
      <c r="BP219" s="270">
        <f t="shared" si="235"/>
        <v>593</v>
      </c>
      <c r="BQ219" s="270">
        <f t="shared" si="236"/>
        <v>598</v>
      </c>
      <c r="BR219" s="270">
        <f t="shared" si="237"/>
        <v>728</v>
      </c>
      <c r="BS219" s="270">
        <f t="shared" si="238"/>
        <v>738</v>
      </c>
      <c r="BT219" s="270">
        <f t="shared" si="239"/>
        <v>723</v>
      </c>
      <c r="BU219" s="270">
        <f t="shared" si="240"/>
        <v>706</v>
      </c>
      <c r="BV219" s="270">
        <f t="shared" si="241"/>
        <v>691</v>
      </c>
      <c r="BW219" s="39">
        <f>VLOOKUP($A219,NetAdditions!$A$2:$H$336,6,FALSE)</f>
        <v>763</v>
      </c>
      <c r="BX219" s="39">
        <f>VLOOKUP($A219,NetAdditions!$A$2:$H$336,7,FALSE)</f>
        <v>494</v>
      </c>
      <c r="BY219" s="39">
        <f>IF((VLOOKUP($C219,NetAdditions!$A$2:$H$336,8,FALSE))="",(AVERAGE(VLOOKUP($C219,NetAdditions!$A$2:$H$336,5,FALSE),VLOOKUP($C219,NetAdditions!$A$2:$H$336,6,FALSE),VLOOKUP($C219,NetAdditions!$A$2:$H$336,7,FALSE))),VLOOKUP($C219,NetAdditions!$A$2:$H$336,8,FALSE))</f>
        <v>611</v>
      </c>
      <c r="BZ219" s="39">
        <f t="shared" si="242"/>
        <v>622.66666666666663</v>
      </c>
      <c r="CA219" s="39">
        <f t="shared" si="243"/>
        <v>575.8888888888888</v>
      </c>
      <c r="CB219" s="39">
        <f t="shared" si="244"/>
        <v>603.18518518518511</v>
      </c>
      <c r="CC219" s="39">
        <f t="shared" si="245"/>
        <v>600.58024691358014</v>
      </c>
      <c r="CD219" s="39">
        <f t="shared" si="246"/>
        <v>593.21810699588468</v>
      </c>
      <c r="CE219" s="276">
        <f t="shared" si="203"/>
        <v>1814</v>
      </c>
      <c r="CF219" s="276">
        <f t="shared" si="204"/>
        <v>1919</v>
      </c>
      <c r="CG219" s="276">
        <f t="shared" si="205"/>
        <v>2064</v>
      </c>
      <c r="CH219" s="276">
        <f t="shared" si="206"/>
        <v>2189</v>
      </c>
      <c r="CI219" s="276">
        <f t="shared" si="207"/>
        <v>2167</v>
      </c>
      <c r="CJ219" s="276">
        <f t="shared" si="208"/>
        <v>2120</v>
      </c>
      <c r="CK219" s="276">
        <f t="shared" si="247"/>
        <v>1562.0555555555557</v>
      </c>
      <c r="CL219" s="276">
        <f t="shared" si="248"/>
        <v>1652.4722222222224</v>
      </c>
      <c r="CM219" s="276">
        <f t="shared" si="249"/>
        <v>1892</v>
      </c>
      <c r="CN219" s="276">
        <f t="shared" si="250"/>
        <v>2189</v>
      </c>
      <c r="CO219" s="276">
        <f t="shared" si="251"/>
        <v>2167</v>
      </c>
      <c r="CP219" s="276">
        <f t="shared" si="252"/>
        <v>2120</v>
      </c>
      <c r="CQ219" s="39">
        <f t="shared" si="209"/>
        <v>1868</v>
      </c>
      <c r="CR219" s="39">
        <f t="shared" si="210"/>
        <v>1727.6666666666665</v>
      </c>
      <c r="CS219" s="277">
        <f t="shared" si="211"/>
        <v>1809.5555555555552</v>
      </c>
      <c r="CT219" s="39">
        <f t="shared" si="212"/>
        <v>1801.7407407407404</v>
      </c>
      <c r="CU219" s="39">
        <f t="shared" si="213"/>
        <v>1779.654320987654</v>
      </c>
      <c r="CV219" s="39">
        <f t="shared" si="253"/>
        <v>1796.98353909465</v>
      </c>
      <c r="CW219" s="297">
        <f t="shared" si="214"/>
        <v>1.1958601557776434</v>
      </c>
      <c r="CX219" s="279" t="str">
        <f t="shared" si="254"/>
        <v>Pass</v>
      </c>
      <c r="CY219" s="278">
        <f t="shared" si="215"/>
        <v>1.0455042108625121</v>
      </c>
      <c r="CZ219" s="279" t="str">
        <f t="shared" si="255"/>
        <v>Pass</v>
      </c>
      <c r="DA219" s="278">
        <f t="shared" si="216"/>
        <v>0.95642471223866554</v>
      </c>
      <c r="DB219" s="292" t="str">
        <f t="shared" si="256"/>
        <v>Pass</v>
      </c>
      <c r="DC219" s="299">
        <f t="shared" si="257"/>
        <v>0.82308850650559173</v>
      </c>
      <c r="DD219" s="293" t="str">
        <f t="shared" si="258"/>
        <v>Buffer and Action Plan</v>
      </c>
      <c r="DE219" s="299">
        <f t="shared" si="259"/>
        <v>0.82125257082955883</v>
      </c>
      <c r="DF219" s="293" t="str">
        <f t="shared" si="260"/>
        <v>Buffer and Action Plan</v>
      </c>
      <c r="DG219" s="299">
        <f t="shared" si="261"/>
        <v>0.84763374485596699</v>
      </c>
      <c r="DH219" s="293" t="str">
        <f t="shared" si="262"/>
        <v>Buffer and Action Plan</v>
      </c>
    </row>
    <row r="220" spans="1:112" ht="15" thickTop="1" thickBot="1">
      <c r="A220" s="38" t="s">
        <v>550</v>
      </c>
      <c r="B220" s="38" t="s">
        <v>551</v>
      </c>
      <c r="C220" s="38" t="s">
        <v>550</v>
      </c>
      <c r="D220" s="38" t="s">
        <v>113</v>
      </c>
      <c r="E220" s="38" t="str">
        <f>VLOOKUP(C220,PoliticalControl!A:K,11,FALSE)</f>
        <v>CON</v>
      </c>
      <c r="F220" s="38" t="str">
        <f>VLOOKUP(C220,UrbanRuralClassification!A:N,13,FALSE)</f>
        <v>Urban with City and Town</v>
      </c>
      <c r="G220" s="38" t="str">
        <f>VLOOKUP(C220,UrbanRuralClassification!A:N,14,FALSE)</f>
        <v>Predominantly Urban</v>
      </c>
      <c r="H220" s="258">
        <f>IF(ISBLANK((VLOOKUP($A220,'local-plan-data'!$C$1:$AD$566,27,FALSE)))=TRUE,"",VLOOKUP($A220,'local-plan-data'!$C$1:$AD$566,27,FALSE))</f>
        <v>43517</v>
      </c>
      <c r="I220" s="259">
        <f>VLOOKUP($A220,'local-plan-data'!$C$1:$AD$566,28,FALSE)</f>
        <v>436.11111111111109</v>
      </c>
      <c r="J220" s="260">
        <f t="shared" si="217"/>
        <v>436.11111111111109</v>
      </c>
      <c r="K220" s="259">
        <f t="shared" si="263"/>
        <v>436.11111111111109</v>
      </c>
      <c r="L220" s="259">
        <f t="shared" si="201"/>
        <v>436.11111111111109</v>
      </c>
      <c r="M220" s="259">
        <f t="shared" si="201"/>
        <v>436.11111111111109</v>
      </c>
      <c r="N220" s="259">
        <f t="shared" si="201"/>
        <v>436.11111111111109</v>
      </c>
      <c r="O220" s="259">
        <f t="shared" si="201"/>
        <v>436.11111111111109</v>
      </c>
      <c r="P220" s="259">
        <f t="shared" si="201"/>
        <v>436.11111111111109</v>
      </c>
      <c r="Q220" s="259" t="str">
        <f t="shared" si="201"/>
        <v>-</v>
      </c>
      <c r="R220" s="259" t="str">
        <f t="shared" si="201"/>
        <v>-</v>
      </c>
      <c r="S220" s="259">
        <f t="shared" si="264"/>
        <v>2152</v>
      </c>
      <c r="T220" s="259">
        <f t="shared" si="202"/>
        <v>1787</v>
      </c>
      <c r="U220" s="259">
        <f t="shared" si="202"/>
        <v>1421</v>
      </c>
      <c r="V220" s="259">
        <f t="shared" si="202"/>
        <v>1056</v>
      </c>
      <c r="W220" s="259">
        <f t="shared" si="202"/>
        <v>691</v>
      </c>
      <c r="X220" s="259">
        <f t="shared" si="202"/>
        <v>326</v>
      </c>
      <c r="Y220" s="259">
        <f t="shared" si="202"/>
        <v>-40</v>
      </c>
      <c r="Z220" s="259">
        <f t="shared" si="202"/>
        <v>-405</v>
      </c>
      <c r="AA220" s="267">
        <f>(VLOOKUP(A220,Hshldprojections2014!$A$2:$AW$319,40, FALSE)-VLOOKUP(A220,Hshldprojections2014!$A$2:$AW$319,30, FALSE))/10</f>
        <v>212.7</v>
      </c>
      <c r="AB220" s="267">
        <f>(VLOOKUP(A220,Hshldprojections2014!$A$2:$AW$319,41, FALSE)-VLOOKUP(A220,Hshldprojections2014!$A$2:$AW$319,31, FALSE))/10</f>
        <v>210.6</v>
      </c>
      <c r="AC220" s="267">
        <f>(VLOOKUP(A220,Hshldprojections2014!$A$2:$AW$319,42, FALSE)-VLOOKUP(A220,Hshldprojections2014!$A$2:$AW$319,32, FALSE))/10</f>
        <v>207.2</v>
      </c>
      <c r="AD220" s="267">
        <f>IF(IndividualLATest!$J$7=2014,(VLOOKUP($A220,Hshldprojections2014!$A$2:$AY$326,43,FALSE)-VLOOKUP($A220,Hshldprojections2014!$A$2:$AY$326,33,FALSE))/10,IF(IndividualLATest!$J$7=2016,(VLOOKUP($A220,Hshldprojections2016!$A$1:$AQ$322,33,FALSE)-VLOOKUP($A220,Hshldprojections2016!$A$1:$AQ$322,23,FALSE))/10,(VLOOKUP($A220,Hshldprojections2018!$A$1:$AQ$327,33,FALSE)-VLOOKUP($A220,Hshldprojections2018!$A$1:$AQ$327,23,FALSE))/10))</f>
        <v>23.9</v>
      </c>
      <c r="AE220" s="267">
        <f>IF(IndividualLATest!$J$7=2014,(VLOOKUP($A220,Hshldprojections2014!$A$2:$AY$326,44,FALSE)-VLOOKUP($A220,Hshldprojections2014!$A$2:$AY$326,34,FALSE))/10,IF(IndividualLATest!$J$7=2016,(VLOOKUP($A220,Hshldprojections2016!$A$1:$AQ$322,34,FALSE)-VLOOKUP($A220,Hshldprojections2016!$A$1:$AQ$322,24,FALSE))/10,(VLOOKUP($A220,Hshldprojections2018!$A$1:$AQ$327,34,FALSE)-VLOOKUP($A220,Hshldprojections2018!$A$1:$AQ$327,24,FALSE))/10))</f>
        <v>23.9</v>
      </c>
      <c r="AF220" s="267">
        <f>IF(IndividualLATest!$J$7=2014,(VLOOKUP($A220,Hshldprojections2014!$A$2:$AY$326,45,FALSE)-VLOOKUP($A220,Hshldprojections2014!$A$2:$AY$326,35,FALSE))/10,IF(IndividualLATest!$J$7=2016,(VLOOKUP($A220,Hshldprojections2016!$A$1:$AQ$322,35,FALSE)-VLOOKUP($A220,Hshldprojections2016!$A$1:$AQ$322,25,FALSE))/10,(VLOOKUP($A220,Hshldprojections2018!$A$1:$AQ$327,35,FALSE)-VLOOKUP($A220,Hshldprojections2018!$A$1:$AQ$327,25,FALSE))/10))</f>
        <v>25.3</v>
      </c>
      <c r="AG220" s="267">
        <f>IF(IndividualLATest!$J$7=2014,(VLOOKUP($A220,Hshldprojections2014!$A$2:$AY$326,46,FALSE)-VLOOKUP($A220,Hshldprojections2014!$A$2:$AY$326,36,FALSE))/10,IF(IndividualLATest!$J$7=2016,(VLOOKUP($A220,Hshldprojections2016!$A$1:$AQ$322,36,FALSE)-VLOOKUP($A220,Hshldprojections2016!$A$1:$AQ$322,26,FALSE))/10,(VLOOKUP($A220,Hshldprojections2018!$A$1:$AQ$327,36,FALSE)-VLOOKUP($A220,Hshldprojections2018!$A$1:$AQ$327,26,FALSE))/10))</f>
        <v>28.2</v>
      </c>
      <c r="AH220" s="267">
        <f>IF(IndividualLATest!$J$7=2014,(VLOOKUP($A220,Hshldprojections2014!$A$2:$AY$326,47,FALSE)-VLOOKUP($A220,Hshldprojections2014!$A$2:$AY$326,37,FALSE))/10,IF(IndividualLATest!$J$7=2016,(VLOOKUP($A220,Hshldprojections2016!$A$1:$AQ$322,37,FALSE)-VLOOKUP($A220,Hshldprojections2016!$A$1:$AQ$322,27,FALSE))/10,(VLOOKUP($A220,Hshldprojections2018!$A$1:$AQ$327,37,FALSE)-VLOOKUP($A220,Hshldprojections2018!$A$1:$AQ$327,27,FALSE))/10))</f>
        <v>32.5</v>
      </c>
      <c r="AI220" s="268">
        <f>VLOOKUP($A220,AffordabilityRatio!$A$2:$I$321,5,FALSE)</f>
        <v>9.19</v>
      </c>
      <c r="AJ220" s="268">
        <f>VLOOKUP($A220,AffordabilityRatio!$A$2:$I$321,6,FALSE)</f>
        <v>8.18</v>
      </c>
      <c r="AK220" s="268">
        <f>VLOOKUP($A220,AffordabilityRatio!$A$2:$I$321,7,FALSE)</f>
        <v>8.11</v>
      </c>
      <c r="AL220" s="268">
        <f>IF((VLOOKUP($A220,AffordabilityRatio!$A$2:$I$321,8,FALSE))="",AK220,VLOOKUP($A220,AffordabilityRatio!$A$2:$I$321,8,FALSE))</f>
        <v>8.48</v>
      </c>
      <c r="AM220" s="268">
        <f>IF((VLOOKUP($A220,AffordabilityRatio!$A$2:$I$321,9,FALSE))="",AL220,VLOOKUP($A220,AffordabilityRatio!$A$2:$I$321,9,FALSE))</f>
        <v>9.74</v>
      </c>
      <c r="AN220" s="268">
        <f>IF((VLOOKUP($A220,AffordabilityRatio!$A$2:$I$321,9,FALSE))="",AM220,VLOOKUP($A220,AffordabilityRatio!$A$2:$I$321,9,FALSE))</f>
        <v>9.74</v>
      </c>
      <c r="AO220" s="268">
        <f>IF((VLOOKUP($A220,AffordabilityRatio!$A$2:$I$321,9,FALSE))="",AN220,VLOOKUP($A220,AffordabilityRatio!$A$2:$I$321,9,FALSE))</f>
        <v>9.74</v>
      </c>
      <c r="AP220" s="268">
        <f>IF((VLOOKUP($A220,AffordabilityRatio!$A$2:$I$321,9,FALSE))="",AO220,VLOOKUP($A220,AffordabilityRatio!$A$2:$I$321,9,FALSE))</f>
        <v>9.74</v>
      </c>
      <c r="AQ220" s="267">
        <f t="shared" si="218"/>
        <v>282</v>
      </c>
      <c r="AR220" s="267">
        <f t="shared" si="219"/>
        <v>266</v>
      </c>
      <c r="AS220" s="267">
        <f t="shared" si="220"/>
        <v>260</v>
      </c>
      <c r="AT220" s="267">
        <f t="shared" si="221"/>
        <v>31</v>
      </c>
      <c r="AU220" s="267">
        <f t="shared" si="222"/>
        <v>32</v>
      </c>
      <c r="AV220" s="267">
        <f t="shared" si="223"/>
        <v>34</v>
      </c>
      <c r="AW220" s="267">
        <f t="shared" si="224"/>
        <v>38</v>
      </c>
      <c r="AX220" s="267">
        <f t="shared" si="225"/>
        <v>44</v>
      </c>
      <c r="AY220" s="267">
        <f t="shared" si="226"/>
        <v>282</v>
      </c>
      <c r="AZ220" s="267">
        <f t="shared" si="227"/>
        <v>266</v>
      </c>
      <c r="BA220" s="267">
        <f t="shared" si="228"/>
        <v>260</v>
      </c>
      <c r="BB220" s="267">
        <f t="shared" si="229"/>
        <v>31</v>
      </c>
      <c r="BC220" s="267">
        <f t="shared" si="230"/>
        <v>32</v>
      </c>
      <c r="BD220" s="267">
        <f t="shared" si="231"/>
        <v>34</v>
      </c>
      <c r="BE220" s="267">
        <f t="shared" si="232"/>
        <v>38</v>
      </c>
      <c r="BF220" s="267">
        <f t="shared" si="233"/>
        <v>44</v>
      </c>
      <c r="BG220" s="269">
        <f>AY220*VLOOKUP($B220,'Major Cities &amp; Towns'!$A$28:$B$345,2,FALSE)</f>
        <v>282</v>
      </c>
      <c r="BH220" s="269">
        <f>AZ220*VLOOKUP($B220,'Major Cities &amp; Towns'!$A$28:$B$345,2,FALSE)</f>
        <v>266</v>
      </c>
      <c r="BI220" s="269">
        <f>BA220*VLOOKUP($B220,'Major Cities &amp; Towns'!$A$28:$B$345,2,FALSE)</f>
        <v>260</v>
      </c>
      <c r="BJ220" s="269">
        <f>BB220*VLOOKUP($B220,'Major Cities &amp; Towns'!$A$28:$B$345,2,FALSE)</f>
        <v>31</v>
      </c>
      <c r="BK220" s="269">
        <f>BC220*VLOOKUP($B220,'Major Cities &amp; Towns'!$A$28:$B$345,2,FALSE)</f>
        <v>32</v>
      </c>
      <c r="BL220" s="269">
        <f>BD220*VLOOKUP($B220,'Major Cities &amp; Towns'!$A$28:$B$345,2,FALSE)</f>
        <v>34</v>
      </c>
      <c r="BM220" s="269">
        <f>BE220*VLOOKUP($B220,'Major Cities &amp; Towns'!$A$28:$B$345,2,FALSE)</f>
        <v>38</v>
      </c>
      <c r="BN220" s="269">
        <f>BF220*VLOOKUP($B220,'Major Cities &amp; Towns'!$A$28:$B$345,2,FALSE)</f>
        <v>44</v>
      </c>
      <c r="BO220" s="270">
        <f t="shared" si="234"/>
        <v>282</v>
      </c>
      <c r="BP220" s="270">
        <f t="shared" si="235"/>
        <v>266</v>
      </c>
      <c r="BQ220" s="270">
        <f t="shared" si="236"/>
        <v>260</v>
      </c>
      <c r="BR220" s="270">
        <f t="shared" si="237"/>
        <v>31</v>
      </c>
      <c r="BS220" s="270">
        <f t="shared" si="238"/>
        <v>32</v>
      </c>
      <c r="BT220" s="270">
        <f t="shared" si="239"/>
        <v>34</v>
      </c>
      <c r="BU220" s="270">
        <f t="shared" si="240"/>
        <v>38</v>
      </c>
      <c r="BV220" s="270">
        <f t="shared" si="241"/>
        <v>44</v>
      </c>
      <c r="BW220" s="39">
        <f>VLOOKUP($A220,NetAdditions!$A$2:$H$336,6,FALSE)</f>
        <v>303</v>
      </c>
      <c r="BX220" s="39">
        <f>VLOOKUP($A220,NetAdditions!$A$2:$H$336,7,FALSE)</f>
        <v>730</v>
      </c>
      <c r="BY220" s="39">
        <f>IF((VLOOKUP($C220,NetAdditions!$A$2:$H$336,8,FALSE))="",(AVERAGE(VLOOKUP($C220,NetAdditions!$A$2:$H$336,5,FALSE),VLOOKUP($C220,NetAdditions!$A$2:$H$336,6,FALSE),VLOOKUP($C220,NetAdditions!$A$2:$H$336,7,FALSE))),VLOOKUP($C220,NetAdditions!$A$2:$H$336,8,FALSE))</f>
        <v>225</v>
      </c>
      <c r="BZ220" s="39">
        <f t="shared" si="242"/>
        <v>419.33333333333331</v>
      </c>
      <c r="CA220" s="39">
        <f t="shared" si="243"/>
        <v>458.11111111111109</v>
      </c>
      <c r="CB220" s="39">
        <f t="shared" si="244"/>
        <v>367.48148148148147</v>
      </c>
      <c r="CC220" s="39">
        <f t="shared" si="245"/>
        <v>414.97530864197529</v>
      </c>
      <c r="CD220" s="39">
        <f t="shared" si="246"/>
        <v>413.52263374485597</v>
      </c>
      <c r="CE220" s="276">
        <f t="shared" si="203"/>
        <v>808</v>
      </c>
      <c r="CF220" s="276">
        <f t="shared" si="204"/>
        <v>557</v>
      </c>
      <c r="CG220" s="276">
        <f t="shared" si="205"/>
        <v>323</v>
      </c>
      <c r="CH220" s="276">
        <f t="shared" si="206"/>
        <v>97</v>
      </c>
      <c r="CI220" s="276">
        <f t="shared" si="207"/>
        <v>104</v>
      </c>
      <c r="CJ220" s="276">
        <f t="shared" si="208"/>
        <v>116</v>
      </c>
      <c r="CK220" s="276">
        <f t="shared" si="247"/>
        <v>695.77777777777783</v>
      </c>
      <c r="CL220" s="276">
        <f t="shared" si="248"/>
        <v>479.63888888888891</v>
      </c>
      <c r="CM220" s="276">
        <f t="shared" si="249"/>
        <v>296.08333333333331</v>
      </c>
      <c r="CN220" s="276">
        <f t="shared" si="250"/>
        <v>97</v>
      </c>
      <c r="CO220" s="276">
        <f t="shared" si="251"/>
        <v>104</v>
      </c>
      <c r="CP220" s="276">
        <f t="shared" si="252"/>
        <v>116</v>
      </c>
      <c r="CQ220" s="39">
        <f t="shared" si="209"/>
        <v>1258</v>
      </c>
      <c r="CR220" s="39">
        <f t="shared" si="210"/>
        <v>1374.3333333333333</v>
      </c>
      <c r="CS220" s="277">
        <f t="shared" si="211"/>
        <v>1102.4444444444443</v>
      </c>
      <c r="CT220" s="39">
        <f t="shared" si="212"/>
        <v>1244.9259259259259</v>
      </c>
      <c r="CU220" s="39">
        <f t="shared" si="213"/>
        <v>1240.5679012345679</v>
      </c>
      <c r="CV220" s="39">
        <f t="shared" si="253"/>
        <v>1195.9794238683128</v>
      </c>
      <c r="CW220" s="297">
        <f t="shared" si="214"/>
        <v>1.8080485467901628</v>
      </c>
      <c r="CX220" s="279" t="str">
        <f t="shared" si="254"/>
        <v>Pass</v>
      </c>
      <c r="CY220" s="278">
        <f t="shared" si="215"/>
        <v>2.8653500897666064</v>
      </c>
      <c r="CZ220" s="279" t="str">
        <f t="shared" si="255"/>
        <v>Pass</v>
      </c>
      <c r="DA220" s="278">
        <f t="shared" si="216"/>
        <v>3.723426212590299</v>
      </c>
      <c r="DB220" s="292" t="str">
        <f t="shared" si="256"/>
        <v>Pass</v>
      </c>
      <c r="DC220" s="299">
        <f t="shared" si="257"/>
        <v>12.834287896143566</v>
      </c>
      <c r="DD220" s="293" t="str">
        <f t="shared" si="258"/>
        <v>Pass</v>
      </c>
      <c r="DE220" s="299">
        <f t="shared" si="259"/>
        <v>11.928537511870845</v>
      </c>
      <c r="DF220" s="293" t="str">
        <f t="shared" si="260"/>
        <v>Pass</v>
      </c>
      <c r="DG220" s="299">
        <f t="shared" si="261"/>
        <v>10.310167447140627</v>
      </c>
      <c r="DH220" s="293" t="str">
        <f t="shared" si="262"/>
        <v>Pass</v>
      </c>
    </row>
    <row r="221" spans="1:112" ht="15" thickTop="1" thickBot="1">
      <c r="A221" s="38" t="s">
        <v>552</v>
      </c>
      <c r="B221" s="38" t="s">
        <v>553</v>
      </c>
      <c r="C221" s="38" t="s">
        <v>552</v>
      </c>
      <c r="D221" s="38" t="s">
        <v>119</v>
      </c>
      <c r="E221" s="38" t="str">
        <f>VLOOKUP(C221,PoliticalControl!A:K,11,FALSE)</f>
        <v>CON</v>
      </c>
      <c r="F221" s="38" t="str">
        <f>VLOOKUP(C221,UrbanRuralClassification!A:N,13,FALSE)</f>
        <v xml:space="preserve">Mainly Rural (rural including hub towns &gt;=80%) </v>
      </c>
      <c r="G221" s="38" t="str">
        <f>VLOOKUP(C221,UrbanRuralClassification!A:N,14,FALSE)</f>
        <v>Predominantly Rural</v>
      </c>
      <c r="H221" s="258">
        <f>IF(ISBLANK((VLOOKUP($A221,'local-plan-data'!$C$1:$AD$566,27,FALSE)))=TRUE,"",VLOOKUP($A221,'local-plan-data'!$C$1:$AD$566,27,FALSE))</f>
        <v>40735</v>
      </c>
      <c r="I221" s="259">
        <f>VLOOKUP($A221,'local-plan-data'!$C$1:$AD$566,28,FALSE)</f>
        <v>150</v>
      </c>
      <c r="J221" s="260">
        <f t="shared" si="217"/>
        <v>150</v>
      </c>
      <c r="K221" s="259" t="str">
        <f t="shared" si="263"/>
        <v>-</v>
      </c>
      <c r="L221" s="259" t="str">
        <f t="shared" si="201"/>
        <v>-</v>
      </c>
      <c r="M221" s="259" t="str">
        <f t="shared" si="201"/>
        <v>-</v>
      </c>
      <c r="N221" s="259" t="str">
        <f t="shared" si="201"/>
        <v>-</v>
      </c>
      <c r="O221" s="259" t="str">
        <f t="shared" si="201"/>
        <v>-</v>
      </c>
      <c r="P221" s="259" t="str">
        <f t="shared" si="201"/>
        <v>-</v>
      </c>
      <c r="Q221" s="259" t="str">
        <f t="shared" si="201"/>
        <v>-</v>
      </c>
      <c r="R221" s="259" t="str">
        <f t="shared" si="201"/>
        <v>-</v>
      </c>
      <c r="S221" s="259">
        <f t="shared" si="264"/>
        <v>-629</v>
      </c>
      <c r="T221" s="259">
        <f t="shared" si="202"/>
        <v>-994</v>
      </c>
      <c r="U221" s="259">
        <f t="shared" si="202"/>
        <v>-1360</v>
      </c>
      <c r="V221" s="259">
        <f t="shared" si="202"/>
        <v>-1725</v>
      </c>
      <c r="W221" s="259">
        <f t="shared" si="202"/>
        <v>-2090</v>
      </c>
      <c r="X221" s="259">
        <f t="shared" si="202"/>
        <v>-2455</v>
      </c>
      <c r="Y221" s="259">
        <f t="shared" si="202"/>
        <v>-2821</v>
      </c>
      <c r="Z221" s="259">
        <f t="shared" si="202"/>
        <v>-3186</v>
      </c>
      <c r="AA221" s="267">
        <f>(VLOOKUP(A221,Hshldprojections2014!$A$2:$AW$319,40, FALSE)-VLOOKUP(A221,Hshldprojections2014!$A$2:$AW$319,30, FALSE))/10</f>
        <v>94.8</v>
      </c>
      <c r="AB221" s="267">
        <f>(VLOOKUP(A221,Hshldprojections2014!$A$2:$AW$319,41, FALSE)-VLOOKUP(A221,Hshldprojections2014!$A$2:$AW$319,31, FALSE))/10</f>
        <v>92.9</v>
      </c>
      <c r="AC221" s="267">
        <f>(VLOOKUP(A221,Hshldprojections2014!$A$2:$AW$319,42, FALSE)-VLOOKUP(A221,Hshldprojections2014!$A$2:$AW$319,32, FALSE))/10</f>
        <v>93.5</v>
      </c>
      <c r="AD221" s="267">
        <f>IF(IndividualLATest!$J$7=2014,(VLOOKUP($A221,Hshldprojections2014!$A$2:$AY$326,43,FALSE)-VLOOKUP($A221,Hshldprojections2014!$A$2:$AY$326,33,FALSE))/10,IF(IndividualLATest!$J$7=2016,(VLOOKUP($A221,Hshldprojections2016!$A$1:$AQ$322,33,FALSE)-VLOOKUP($A221,Hshldprojections2016!$A$1:$AQ$322,23,FALSE))/10,(VLOOKUP($A221,Hshldprojections2018!$A$1:$AQ$327,33,FALSE)-VLOOKUP($A221,Hshldprojections2018!$A$1:$AQ$327,23,FALSE))/10))</f>
        <v>187</v>
      </c>
      <c r="AE221" s="267">
        <f>IF(IndividualLATest!$J$7=2014,(VLOOKUP($A221,Hshldprojections2014!$A$2:$AY$326,44,FALSE)-VLOOKUP($A221,Hshldprojections2014!$A$2:$AY$326,34,FALSE))/10,IF(IndividualLATest!$J$7=2016,(VLOOKUP($A221,Hshldprojections2016!$A$1:$AQ$322,34,FALSE)-VLOOKUP($A221,Hshldprojections2016!$A$1:$AQ$322,24,FALSE))/10,(VLOOKUP($A221,Hshldprojections2018!$A$1:$AQ$327,34,FALSE)-VLOOKUP($A221,Hshldprojections2018!$A$1:$AQ$327,24,FALSE))/10))</f>
        <v>181.5</v>
      </c>
      <c r="AF221" s="267">
        <f>IF(IndividualLATest!$J$7=2014,(VLOOKUP($A221,Hshldprojections2014!$A$2:$AY$326,45,FALSE)-VLOOKUP($A221,Hshldprojections2014!$A$2:$AY$326,35,FALSE))/10,IF(IndividualLATest!$J$7=2016,(VLOOKUP($A221,Hshldprojections2016!$A$1:$AQ$322,35,FALSE)-VLOOKUP($A221,Hshldprojections2016!$A$1:$AQ$322,25,FALSE))/10,(VLOOKUP($A221,Hshldprojections2018!$A$1:$AQ$327,35,FALSE)-VLOOKUP($A221,Hshldprojections2018!$A$1:$AQ$327,25,FALSE))/10))</f>
        <v>175</v>
      </c>
      <c r="AG221" s="267">
        <f>IF(IndividualLATest!$J$7=2014,(VLOOKUP($A221,Hshldprojections2014!$A$2:$AY$326,46,FALSE)-VLOOKUP($A221,Hshldprojections2014!$A$2:$AY$326,36,FALSE))/10,IF(IndividualLATest!$J$7=2016,(VLOOKUP($A221,Hshldprojections2016!$A$1:$AQ$322,36,FALSE)-VLOOKUP($A221,Hshldprojections2016!$A$1:$AQ$322,26,FALSE))/10,(VLOOKUP($A221,Hshldprojections2018!$A$1:$AQ$327,36,FALSE)-VLOOKUP($A221,Hshldprojections2018!$A$1:$AQ$327,26,FALSE))/10))</f>
        <v>169</v>
      </c>
      <c r="AH221" s="267">
        <f>IF(IndividualLATest!$J$7=2014,(VLOOKUP($A221,Hshldprojections2014!$A$2:$AY$326,47,FALSE)-VLOOKUP($A221,Hshldprojections2014!$A$2:$AY$326,37,FALSE))/10,IF(IndividualLATest!$J$7=2016,(VLOOKUP($A221,Hshldprojections2016!$A$1:$AQ$322,37,FALSE)-VLOOKUP($A221,Hshldprojections2016!$A$1:$AQ$322,27,FALSE))/10,(VLOOKUP($A221,Hshldprojections2018!$A$1:$AQ$327,37,FALSE)-VLOOKUP($A221,Hshldprojections2018!$A$1:$AQ$327,27,FALSE))/10))</f>
        <v>164.9</v>
      </c>
      <c r="AI221" s="268">
        <f>VLOOKUP($A221,AffordabilityRatio!$A$2:$I$321,5,FALSE)</f>
        <v>9.7200000000000006</v>
      </c>
      <c r="AJ221" s="268">
        <f>VLOOKUP($A221,AffordabilityRatio!$A$2:$I$321,6,FALSE)</f>
        <v>9.91</v>
      </c>
      <c r="AK221" s="268">
        <f>VLOOKUP($A221,AffordabilityRatio!$A$2:$I$321,7,FALSE)</f>
        <v>8.93</v>
      </c>
      <c r="AL221" s="268">
        <f>IF((VLOOKUP($A221,AffordabilityRatio!$A$2:$I$321,8,FALSE))="",AK221,VLOOKUP($A221,AffordabilityRatio!$A$2:$I$321,8,FALSE))</f>
        <v>10.23</v>
      </c>
      <c r="AM221" s="268">
        <f>IF((VLOOKUP($A221,AffordabilityRatio!$A$2:$I$321,9,FALSE))="",AL221,VLOOKUP($A221,AffordabilityRatio!$A$2:$I$321,9,FALSE))</f>
        <v>12.12</v>
      </c>
      <c r="AN221" s="268">
        <f>IF((VLOOKUP($A221,AffordabilityRatio!$A$2:$I$321,9,FALSE))="",AM221,VLOOKUP($A221,AffordabilityRatio!$A$2:$I$321,9,FALSE))</f>
        <v>12.12</v>
      </c>
      <c r="AO221" s="268">
        <f>IF((VLOOKUP($A221,AffordabilityRatio!$A$2:$I$321,9,FALSE))="",AN221,VLOOKUP($A221,AffordabilityRatio!$A$2:$I$321,9,FALSE))</f>
        <v>12.12</v>
      </c>
      <c r="AP221" s="268">
        <f>IF((VLOOKUP($A221,AffordabilityRatio!$A$2:$I$321,9,FALSE))="",AO221,VLOOKUP($A221,AffordabilityRatio!$A$2:$I$321,9,FALSE))</f>
        <v>12.12</v>
      </c>
      <c r="AQ221" s="267">
        <f t="shared" si="218"/>
        <v>129</v>
      </c>
      <c r="AR221" s="267">
        <f t="shared" si="219"/>
        <v>127</v>
      </c>
      <c r="AS221" s="267">
        <f t="shared" si="220"/>
        <v>122</v>
      </c>
      <c r="AT221" s="267">
        <f t="shared" si="221"/>
        <v>260</v>
      </c>
      <c r="AU221" s="267">
        <f t="shared" si="222"/>
        <v>274</v>
      </c>
      <c r="AV221" s="267">
        <f t="shared" si="223"/>
        <v>264</v>
      </c>
      <c r="AW221" s="267">
        <f t="shared" si="224"/>
        <v>255</v>
      </c>
      <c r="AX221" s="267">
        <f t="shared" si="225"/>
        <v>249</v>
      </c>
      <c r="AY221" s="267">
        <f t="shared" si="226"/>
        <v>129</v>
      </c>
      <c r="AZ221" s="267">
        <f t="shared" si="227"/>
        <v>127</v>
      </c>
      <c r="BA221" s="267">
        <f t="shared" si="228"/>
        <v>122</v>
      </c>
      <c r="BB221" s="267">
        <f t="shared" si="229"/>
        <v>260</v>
      </c>
      <c r="BC221" s="267">
        <f t="shared" si="230"/>
        <v>254.10000000000002</v>
      </c>
      <c r="BD221" s="267">
        <f t="shared" si="231"/>
        <v>245</v>
      </c>
      <c r="BE221" s="267">
        <f t="shared" si="232"/>
        <v>236.60000000000002</v>
      </c>
      <c r="BF221" s="267">
        <f t="shared" si="233"/>
        <v>230.86</v>
      </c>
      <c r="BG221" s="269">
        <f>AY221*VLOOKUP($B221,'Major Cities &amp; Towns'!$A$28:$B$345,2,FALSE)</f>
        <v>129</v>
      </c>
      <c r="BH221" s="269">
        <f>AZ221*VLOOKUP($B221,'Major Cities &amp; Towns'!$A$28:$B$345,2,FALSE)</f>
        <v>127</v>
      </c>
      <c r="BI221" s="269">
        <f>BA221*VLOOKUP($B221,'Major Cities &amp; Towns'!$A$28:$B$345,2,FALSE)</f>
        <v>122</v>
      </c>
      <c r="BJ221" s="269">
        <f>BB221*VLOOKUP($B221,'Major Cities &amp; Towns'!$A$28:$B$345,2,FALSE)</f>
        <v>260</v>
      </c>
      <c r="BK221" s="269">
        <f>BC221*VLOOKUP($B221,'Major Cities &amp; Towns'!$A$28:$B$345,2,FALSE)</f>
        <v>254.10000000000002</v>
      </c>
      <c r="BL221" s="269">
        <f>BD221*VLOOKUP($B221,'Major Cities &amp; Towns'!$A$28:$B$345,2,FALSE)</f>
        <v>245</v>
      </c>
      <c r="BM221" s="269">
        <f>BE221*VLOOKUP($B221,'Major Cities &amp; Towns'!$A$28:$B$345,2,FALSE)</f>
        <v>236.60000000000002</v>
      </c>
      <c r="BN221" s="269">
        <f>BF221*VLOOKUP($B221,'Major Cities &amp; Towns'!$A$28:$B$345,2,FALSE)</f>
        <v>230.86</v>
      </c>
      <c r="BO221" s="270">
        <f t="shared" si="234"/>
        <v>129</v>
      </c>
      <c r="BP221" s="270">
        <f t="shared" si="235"/>
        <v>127</v>
      </c>
      <c r="BQ221" s="270">
        <f t="shared" si="236"/>
        <v>122</v>
      </c>
      <c r="BR221" s="270">
        <f t="shared" si="237"/>
        <v>260</v>
      </c>
      <c r="BS221" s="270">
        <f t="shared" si="238"/>
        <v>274</v>
      </c>
      <c r="BT221" s="270">
        <f t="shared" si="239"/>
        <v>264</v>
      </c>
      <c r="BU221" s="270">
        <f t="shared" si="240"/>
        <v>255</v>
      </c>
      <c r="BV221" s="270">
        <f t="shared" si="241"/>
        <v>249</v>
      </c>
      <c r="BW221" s="39">
        <f>VLOOKUP($A221,NetAdditions!$A$2:$H$336,6,FALSE)</f>
        <v>213</v>
      </c>
      <c r="BX221" s="39">
        <f>VLOOKUP($A221,NetAdditions!$A$2:$H$336,7,FALSE)</f>
        <v>188</v>
      </c>
      <c r="BY221" s="39">
        <f>IF((VLOOKUP($C221,NetAdditions!$A$2:$H$336,8,FALSE))="",(AVERAGE(VLOOKUP($C221,NetAdditions!$A$2:$H$336,5,FALSE),VLOOKUP($C221,NetAdditions!$A$2:$H$336,6,FALSE),VLOOKUP($C221,NetAdditions!$A$2:$H$336,7,FALSE))),VLOOKUP($C221,NetAdditions!$A$2:$H$336,8,FALSE))</f>
        <v>114</v>
      </c>
      <c r="BZ221" s="39">
        <f t="shared" si="242"/>
        <v>171.66666666666666</v>
      </c>
      <c r="CA221" s="39">
        <f t="shared" si="243"/>
        <v>157.88888888888889</v>
      </c>
      <c r="CB221" s="39">
        <f t="shared" si="244"/>
        <v>147.85185185185185</v>
      </c>
      <c r="CC221" s="39">
        <f t="shared" si="245"/>
        <v>159.1358024691358</v>
      </c>
      <c r="CD221" s="39">
        <f t="shared" si="246"/>
        <v>154.95884773662553</v>
      </c>
      <c r="CE221" s="276">
        <f t="shared" si="203"/>
        <v>378</v>
      </c>
      <c r="CF221" s="276">
        <f t="shared" si="204"/>
        <v>509</v>
      </c>
      <c r="CG221" s="276">
        <f t="shared" si="205"/>
        <v>656</v>
      </c>
      <c r="CH221" s="276">
        <f t="shared" si="206"/>
        <v>798</v>
      </c>
      <c r="CI221" s="276">
        <f t="shared" si="207"/>
        <v>793</v>
      </c>
      <c r="CJ221" s="276">
        <f t="shared" si="208"/>
        <v>768</v>
      </c>
      <c r="CK221" s="276">
        <f t="shared" si="247"/>
        <v>325.5</v>
      </c>
      <c r="CL221" s="276">
        <f t="shared" si="248"/>
        <v>438.3055555555556</v>
      </c>
      <c r="CM221" s="276">
        <f t="shared" si="249"/>
        <v>601.33333333333326</v>
      </c>
      <c r="CN221" s="276">
        <f t="shared" si="250"/>
        <v>798</v>
      </c>
      <c r="CO221" s="276">
        <f t="shared" si="251"/>
        <v>793</v>
      </c>
      <c r="CP221" s="276">
        <f t="shared" si="252"/>
        <v>768</v>
      </c>
      <c r="CQ221" s="39">
        <f t="shared" si="209"/>
        <v>515</v>
      </c>
      <c r="CR221" s="39">
        <f t="shared" si="210"/>
        <v>473.66666666666663</v>
      </c>
      <c r="CS221" s="277">
        <f t="shared" si="211"/>
        <v>443.55555555555554</v>
      </c>
      <c r="CT221" s="39">
        <f t="shared" si="212"/>
        <v>477.40740740740739</v>
      </c>
      <c r="CU221" s="39">
        <f t="shared" si="213"/>
        <v>464.87654320987656</v>
      </c>
      <c r="CV221" s="39">
        <f t="shared" si="253"/>
        <v>461.9465020576132</v>
      </c>
      <c r="CW221" s="297">
        <f t="shared" si="214"/>
        <v>1.5821812596006144</v>
      </c>
      <c r="CX221" s="279" t="str">
        <f t="shared" si="254"/>
        <v>Pass</v>
      </c>
      <c r="CY221" s="278">
        <f t="shared" si="215"/>
        <v>1.0806768489764875</v>
      </c>
      <c r="CZ221" s="279" t="str">
        <f t="shared" si="255"/>
        <v>Pass</v>
      </c>
      <c r="DA221" s="278">
        <f t="shared" si="216"/>
        <v>0.73762010347376206</v>
      </c>
      <c r="DB221" s="292" t="str">
        <f t="shared" si="256"/>
        <v>Presumption</v>
      </c>
      <c r="DC221" s="299">
        <f t="shared" si="257"/>
        <v>0.59825489650051056</v>
      </c>
      <c r="DD221" s="293" t="str">
        <f t="shared" si="258"/>
        <v>Presumption</v>
      </c>
      <c r="DE221" s="299">
        <f t="shared" si="259"/>
        <v>0.58622514906667911</v>
      </c>
      <c r="DF221" s="293" t="str">
        <f t="shared" si="260"/>
        <v>Presumption</v>
      </c>
      <c r="DG221" s="299">
        <f t="shared" si="261"/>
        <v>0.60149284122085056</v>
      </c>
      <c r="DH221" s="293" t="str">
        <f t="shared" si="262"/>
        <v>Presumption</v>
      </c>
    </row>
    <row r="222" spans="1:112" ht="15" thickTop="1" thickBot="1">
      <c r="A222" s="38" t="s">
        <v>554</v>
      </c>
      <c r="B222" s="38" t="s">
        <v>555</v>
      </c>
      <c r="C222" s="38" t="s">
        <v>554</v>
      </c>
      <c r="D222" s="38" t="s">
        <v>136</v>
      </c>
      <c r="E222" s="38" t="str">
        <f>VLOOKUP(C222,PoliticalControl!A:K,11,FALSE)</f>
        <v>NOC</v>
      </c>
      <c r="F222" s="38" t="str">
        <f>VLOOKUP(C222,UrbanRuralClassification!A:N,13,FALSE)</f>
        <v xml:space="preserve">Mainly Rural (rural including hub towns &gt;=80%) </v>
      </c>
      <c r="G222" s="38" t="str">
        <f>VLOOKUP(C222,UrbanRuralClassification!A:N,14,FALSE)</f>
        <v>Predominantly Rural</v>
      </c>
      <c r="H222" s="258">
        <f>IF(ISBLANK((VLOOKUP($A222,'local-plan-data'!$C$1:$AD$566,27,FALSE)))=TRUE,"",VLOOKUP($A222,'local-plan-data'!$C$1:$AD$566,27,FALSE))</f>
        <v>41522</v>
      </c>
      <c r="I222" s="259">
        <f>VLOOKUP($A222,'local-plan-data'!$C$1:$AD$566,28,FALSE)</f>
        <v>200</v>
      </c>
      <c r="J222" s="260">
        <f t="shared" si="217"/>
        <v>200</v>
      </c>
      <c r="K222" s="259">
        <f t="shared" si="263"/>
        <v>200</v>
      </c>
      <c r="L222" s="259" t="str">
        <f t="shared" si="201"/>
        <v>-</v>
      </c>
      <c r="M222" s="259" t="str">
        <f t="shared" si="201"/>
        <v>-</v>
      </c>
      <c r="N222" s="259" t="str">
        <f t="shared" si="201"/>
        <v>-</v>
      </c>
      <c r="O222" s="259" t="str">
        <f t="shared" si="201"/>
        <v>-</v>
      </c>
      <c r="P222" s="259" t="str">
        <f t="shared" si="201"/>
        <v>-</v>
      </c>
      <c r="Q222" s="259" t="str">
        <f t="shared" si="201"/>
        <v>-</v>
      </c>
      <c r="R222" s="259" t="str">
        <f t="shared" si="201"/>
        <v>-</v>
      </c>
      <c r="S222" s="259">
        <f t="shared" si="264"/>
        <v>157</v>
      </c>
      <c r="T222" s="259">
        <f t="shared" si="202"/>
        <v>-208</v>
      </c>
      <c r="U222" s="259">
        <f t="shared" si="202"/>
        <v>-574</v>
      </c>
      <c r="V222" s="259">
        <f t="shared" si="202"/>
        <v>-939</v>
      </c>
      <c r="W222" s="259">
        <f t="shared" si="202"/>
        <v>-1304</v>
      </c>
      <c r="X222" s="259">
        <f t="shared" si="202"/>
        <v>-1669</v>
      </c>
      <c r="Y222" s="259">
        <f t="shared" si="202"/>
        <v>-2035</v>
      </c>
      <c r="Z222" s="259">
        <f t="shared" si="202"/>
        <v>-2400</v>
      </c>
      <c r="AA222" s="267">
        <f>(VLOOKUP(A222,Hshldprojections2014!$A$2:$AW$319,40, FALSE)-VLOOKUP(A222,Hshldprojections2014!$A$2:$AW$319,30, FALSE))/10</f>
        <v>143.5</v>
      </c>
      <c r="AB222" s="267">
        <f>(VLOOKUP(A222,Hshldprojections2014!$A$2:$AW$319,41, FALSE)-VLOOKUP(A222,Hshldprojections2014!$A$2:$AW$319,31, FALSE))/10</f>
        <v>141.69999999999999</v>
      </c>
      <c r="AC222" s="267">
        <f>(VLOOKUP(A222,Hshldprojections2014!$A$2:$AW$319,42, FALSE)-VLOOKUP(A222,Hshldprojections2014!$A$2:$AW$319,32, FALSE))/10</f>
        <v>140.69999999999999</v>
      </c>
      <c r="AD222" s="267">
        <f>IF(IndividualLATest!$J$7=2014,(VLOOKUP($A222,Hshldprojections2014!$A$2:$AY$326,43,FALSE)-VLOOKUP($A222,Hshldprojections2014!$A$2:$AY$326,33,FALSE))/10,IF(IndividualLATest!$J$7=2016,(VLOOKUP($A222,Hshldprojections2016!$A$1:$AQ$322,33,FALSE)-VLOOKUP($A222,Hshldprojections2016!$A$1:$AQ$322,23,FALSE))/10,(VLOOKUP($A222,Hshldprojections2018!$A$1:$AQ$327,33,FALSE)-VLOOKUP($A222,Hshldprojections2018!$A$1:$AQ$327,23,FALSE))/10))</f>
        <v>239.6</v>
      </c>
      <c r="AE222" s="267">
        <f>IF(IndividualLATest!$J$7=2014,(VLOOKUP($A222,Hshldprojections2014!$A$2:$AY$326,44,FALSE)-VLOOKUP($A222,Hshldprojections2014!$A$2:$AY$326,34,FALSE))/10,IF(IndividualLATest!$J$7=2016,(VLOOKUP($A222,Hshldprojections2016!$A$1:$AQ$322,34,FALSE)-VLOOKUP($A222,Hshldprojections2016!$A$1:$AQ$322,24,FALSE))/10,(VLOOKUP($A222,Hshldprojections2018!$A$1:$AQ$327,34,FALSE)-VLOOKUP($A222,Hshldprojections2018!$A$1:$AQ$327,24,FALSE))/10))</f>
        <v>231.1</v>
      </c>
      <c r="AF222" s="267">
        <f>IF(IndividualLATest!$J$7=2014,(VLOOKUP($A222,Hshldprojections2014!$A$2:$AY$326,45,FALSE)-VLOOKUP($A222,Hshldprojections2014!$A$2:$AY$326,35,FALSE))/10,IF(IndividualLATest!$J$7=2016,(VLOOKUP($A222,Hshldprojections2016!$A$1:$AQ$322,35,FALSE)-VLOOKUP($A222,Hshldprojections2016!$A$1:$AQ$322,25,FALSE))/10,(VLOOKUP($A222,Hshldprojections2018!$A$1:$AQ$327,35,FALSE)-VLOOKUP($A222,Hshldprojections2018!$A$1:$AQ$327,25,FALSE))/10))</f>
        <v>221.5</v>
      </c>
      <c r="AG222" s="267">
        <f>IF(IndividualLATest!$J$7=2014,(VLOOKUP($A222,Hshldprojections2014!$A$2:$AY$326,46,FALSE)-VLOOKUP($A222,Hshldprojections2014!$A$2:$AY$326,36,FALSE))/10,IF(IndividualLATest!$J$7=2016,(VLOOKUP($A222,Hshldprojections2016!$A$1:$AQ$322,36,FALSE)-VLOOKUP($A222,Hshldprojections2016!$A$1:$AQ$322,26,FALSE))/10,(VLOOKUP($A222,Hshldprojections2018!$A$1:$AQ$327,36,FALSE)-VLOOKUP($A222,Hshldprojections2018!$A$1:$AQ$327,26,FALSE))/10))</f>
        <v>212.9</v>
      </c>
      <c r="AH222" s="267">
        <f>IF(IndividualLATest!$J$7=2014,(VLOOKUP($A222,Hshldprojections2014!$A$2:$AY$326,47,FALSE)-VLOOKUP($A222,Hshldprojections2014!$A$2:$AY$326,37,FALSE))/10,IF(IndividualLATest!$J$7=2016,(VLOOKUP($A222,Hshldprojections2016!$A$1:$AQ$322,37,FALSE)-VLOOKUP($A222,Hshldprojections2016!$A$1:$AQ$322,27,FALSE))/10,(VLOOKUP($A222,Hshldprojections2018!$A$1:$AQ$327,37,FALSE)-VLOOKUP($A222,Hshldprojections2018!$A$1:$AQ$327,27,FALSE))/10))</f>
        <v>204.6</v>
      </c>
      <c r="AI222" s="268">
        <f>VLOOKUP($A222,AffordabilityRatio!$A$2:$I$321,5,FALSE)</f>
        <v>8.9700000000000006</v>
      </c>
      <c r="AJ222" s="268">
        <f>VLOOKUP($A222,AffordabilityRatio!$A$2:$I$321,6,FALSE)</f>
        <v>9.36</v>
      </c>
      <c r="AK222" s="268">
        <f>VLOOKUP($A222,AffordabilityRatio!$A$2:$I$321,7,FALSE)</f>
        <v>8.94</v>
      </c>
      <c r="AL222" s="268">
        <f>IF((VLOOKUP($A222,AffordabilityRatio!$A$2:$I$321,8,FALSE))="",AK222,VLOOKUP($A222,AffordabilityRatio!$A$2:$I$321,8,FALSE))</f>
        <v>9.43</v>
      </c>
      <c r="AM222" s="268">
        <f>IF((VLOOKUP($A222,AffordabilityRatio!$A$2:$I$321,9,FALSE))="",AL222,VLOOKUP($A222,AffordabilityRatio!$A$2:$I$321,9,FALSE))</f>
        <v>9.4700000000000006</v>
      </c>
      <c r="AN222" s="268">
        <f>IF((VLOOKUP($A222,AffordabilityRatio!$A$2:$I$321,9,FALSE))="",AM222,VLOOKUP($A222,AffordabilityRatio!$A$2:$I$321,9,FALSE))</f>
        <v>9.4700000000000006</v>
      </c>
      <c r="AO222" s="268">
        <f>IF((VLOOKUP($A222,AffordabilityRatio!$A$2:$I$321,9,FALSE))="",AN222,VLOOKUP($A222,AffordabilityRatio!$A$2:$I$321,9,FALSE))</f>
        <v>9.4700000000000006</v>
      </c>
      <c r="AP222" s="268">
        <f>IF((VLOOKUP($A222,AffordabilityRatio!$A$2:$I$321,9,FALSE))="",AO222,VLOOKUP($A222,AffordabilityRatio!$A$2:$I$321,9,FALSE))</f>
        <v>9.4700000000000006</v>
      </c>
      <c r="AQ222" s="267">
        <f t="shared" si="218"/>
        <v>188</v>
      </c>
      <c r="AR222" s="267">
        <f t="shared" si="219"/>
        <v>189</v>
      </c>
      <c r="AS222" s="267">
        <f t="shared" si="220"/>
        <v>184</v>
      </c>
      <c r="AT222" s="267">
        <f t="shared" si="221"/>
        <v>321</v>
      </c>
      <c r="AU222" s="267">
        <f t="shared" si="222"/>
        <v>310</v>
      </c>
      <c r="AV222" s="267">
        <f t="shared" si="223"/>
        <v>297</v>
      </c>
      <c r="AW222" s="267">
        <f t="shared" si="224"/>
        <v>286</v>
      </c>
      <c r="AX222" s="267">
        <f t="shared" si="225"/>
        <v>275</v>
      </c>
      <c r="AY222" s="267">
        <f t="shared" si="226"/>
        <v>188</v>
      </c>
      <c r="AZ222" s="267">
        <f t="shared" si="227"/>
        <v>189</v>
      </c>
      <c r="BA222" s="267">
        <f t="shared" si="228"/>
        <v>184</v>
      </c>
      <c r="BB222" s="267">
        <f t="shared" si="229"/>
        <v>321</v>
      </c>
      <c r="BC222" s="267">
        <f t="shared" si="230"/>
        <v>310</v>
      </c>
      <c r="BD222" s="267">
        <f t="shared" si="231"/>
        <v>297</v>
      </c>
      <c r="BE222" s="267">
        <f t="shared" si="232"/>
        <v>286</v>
      </c>
      <c r="BF222" s="267">
        <f t="shared" si="233"/>
        <v>275</v>
      </c>
      <c r="BG222" s="269">
        <f>AY222*VLOOKUP($B222,'Major Cities &amp; Towns'!$A$28:$B$345,2,FALSE)</f>
        <v>188</v>
      </c>
      <c r="BH222" s="269">
        <f>AZ222*VLOOKUP($B222,'Major Cities &amp; Towns'!$A$28:$B$345,2,FALSE)</f>
        <v>189</v>
      </c>
      <c r="BI222" s="269">
        <f>BA222*VLOOKUP($B222,'Major Cities &amp; Towns'!$A$28:$B$345,2,FALSE)</f>
        <v>184</v>
      </c>
      <c r="BJ222" s="269">
        <f>BB222*VLOOKUP($B222,'Major Cities &amp; Towns'!$A$28:$B$345,2,FALSE)</f>
        <v>321</v>
      </c>
      <c r="BK222" s="269">
        <f>BC222*VLOOKUP($B222,'Major Cities &amp; Towns'!$A$28:$B$345,2,FALSE)</f>
        <v>310</v>
      </c>
      <c r="BL222" s="269">
        <f>BD222*VLOOKUP($B222,'Major Cities &amp; Towns'!$A$28:$B$345,2,FALSE)</f>
        <v>297</v>
      </c>
      <c r="BM222" s="269">
        <f>BE222*VLOOKUP($B222,'Major Cities &amp; Towns'!$A$28:$B$345,2,FALSE)</f>
        <v>286</v>
      </c>
      <c r="BN222" s="269">
        <f>BF222*VLOOKUP($B222,'Major Cities &amp; Towns'!$A$28:$B$345,2,FALSE)</f>
        <v>275</v>
      </c>
      <c r="BO222" s="270">
        <f t="shared" si="234"/>
        <v>188</v>
      </c>
      <c r="BP222" s="270">
        <f t="shared" si="235"/>
        <v>189</v>
      </c>
      <c r="BQ222" s="270">
        <f t="shared" si="236"/>
        <v>184</v>
      </c>
      <c r="BR222" s="270">
        <f t="shared" si="237"/>
        <v>321</v>
      </c>
      <c r="BS222" s="270">
        <f t="shared" si="238"/>
        <v>310</v>
      </c>
      <c r="BT222" s="270">
        <f t="shared" si="239"/>
        <v>297</v>
      </c>
      <c r="BU222" s="270">
        <f t="shared" si="240"/>
        <v>286</v>
      </c>
      <c r="BV222" s="270">
        <f t="shared" si="241"/>
        <v>275</v>
      </c>
      <c r="BW222" s="39">
        <f>VLOOKUP($A222,NetAdditions!$A$2:$H$336,6,FALSE)</f>
        <v>272</v>
      </c>
      <c r="BX222" s="39">
        <f>VLOOKUP($A222,NetAdditions!$A$2:$H$336,7,FALSE)</f>
        <v>452</v>
      </c>
      <c r="BY222" s="39">
        <f>IF((VLOOKUP($C222,NetAdditions!$A$2:$H$336,8,FALSE))="",(AVERAGE(VLOOKUP($C222,NetAdditions!$A$2:$H$336,5,FALSE),VLOOKUP($C222,NetAdditions!$A$2:$H$336,6,FALSE),VLOOKUP($C222,NetAdditions!$A$2:$H$336,7,FALSE))),VLOOKUP($C222,NetAdditions!$A$2:$H$336,8,FALSE))</f>
        <v>197</v>
      </c>
      <c r="BZ222" s="39">
        <f t="shared" si="242"/>
        <v>307</v>
      </c>
      <c r="CA222" s="39">
        <f t="shared" si="243"/>
        <v>318.66666666666669</v>
      </c>
      <c r="CB222" s="39">
        <f t="shared" si="244"/>
        <v>274.22222222222223</v>
      </c>
      <c r="CC222" s="39">
        <f t="shared" si="245"/>
        <v>299.96296296296299</v>
      </c>
      <c r="CD222" s="39">
        <f t="shared" si="246"/>
        <v>297.61728395061732</v>
      </c>
      <c r="CE222" s="276">
        <f t="shared" si="203"/>
        <v>561</v>
      </c>
      <c r="CF222" s="276">
        <f t="shared" si="204"/>
        <v>694</v>
      </c>
      <c r="CG222" s="276">
        <f t="shared" si="205"/>
        <v>815</v>
      </c>
      <c r="CH222" s="276">
        <f t="shared" si="206"/>
        <v>928</v>
      </c>
      <c r="CI222" s="276">
        <f t="shared" si="207"/>
        <v>893</v>
      </c>
      <c r="CJ222" s="276">
        <f t="shared" si="208"/>
        <v>858</v>
      </c>
      <c r="CK222" s="276">
        <f t="shared" si="247"/>
        <v>483.08333333333337</v>
      </c>
      <c r="CL222" s="276">
        <f t="shared" si="248"/>
        <v>597.6111111111112</v>
      </c>
      <c r="CM222" s="276">
        <f t="shared" si="249"/>
        <v>747.08333333333326</v>
      </c>
      <c r="CN222" s="276">
        <f t="shared" si="250"/>
        <v>928</v>
      </c>
      <c r="CO222" s="276">
        <f t="shared" si="251"/>
        <v>893</v>
      </c>
      <c r="CP222" s="276">
        <f t="shared" si="252"/>
        <v>858</v>
      </c>
      <c r="CQ222" s="39">
        <f t="shared" si="209"/>
        <v>921</v>
      </c>
      <c r="CR222" s="39">
        <f t="shared" si="210"/>
        <v>956</v>
      </c>
      <c r="CS222" s="277">
        <f t="shared" si="211"/>
        <v>822.66666666666674</v>
      </c>
      <c r="CT222" s="39">
        <f t="shared" si="212"/>
        <v>899.88888888888891</v>
      </c>
      <c r="CU222" s="39">
        <f t="shared" si="213"/>
        <v>892.85185185185196</v>
      </c>
      <c r="CV222" s="39">
        <f t="shared" si="253"/>
        <v>871.80246913580254</v>
      </c>
      <c r="CW222" s="297">
        <f t="shared" si="214"/>
        <v>1.9065033638088664</v>
      </c>
      <c r="CX222" s="279" t="str">
        <f t="shared" si="254"/>
        <v>Pass</v>
      </c>
      <c r="CY222" s="278">
        <f t="shared" si="215"/>
        <v>1.5997025192897645</v>
      </c>
      <c r="CZ222" s="279" t="str">
        <f t="shared" si="255"/>
        <v>Pass</v>
      </c>
      <c r="DA222" s="278">
        <f t="shared" si="216"/>
        <v>1.1011712214166205</v>
      </c>
      <c r="DB222" s="292" t="str">
        <f t="shared" si="256"/>
        <v>Pass</v>
      </c>
      <c r="DC222" s="299">
        <f t="shared" si="257"/>
        <v>0.96970785440613028</v>
      </c>
      <c r="DD222" s="293" t="str">
        <f t="shared" si="258"/>
        <v>Pass</v>
      </c>
      <c r="DE222" s="299">
        <f t="shared" si="259"/>
        <v>0.99983410061797529</v>
      </c>
      <c r="DF222" s="293" t="str">
        <f t="shared" si="260"/>
        <v>Pass</v>
      </c>
      <c r="DG222" s="299">
        <f t="shared" si="261"/>
        <v>1.0160867938645717</v>
      </c>
      <c r="DH222" s="293" t="str">
        <f t="shared" si="262"/>
        <v>Pass</v>
      </c>
    </row>
    <row r="223" spans="1:112" ht="15" thickTop="1" thickBot="1">
      <c r="A223" s="38" t="s">
        <v>556</v>
      </c>
      <c r="B223" s="38" t="s">
        <v>557</v>
      </c>
      <c r="C223" s="38" t="s">
        <v>556</v>
      </c>
      <c r="D223" s="38" t="s">
        <v>116</v>
      </c>
      <c r="E223" s="38" t="str">
        <f>VLOOKUP(C223,PoliticalControl!A:K,11,FALSE)</f>
        <v>LAB</v>
      </c>
      <c r="F223" s="38" t="str">
        <f>VLOOKUP(C223,UrbanRuralClassification!A:N,13,FALSE)</f>
        <v>Urban with Major Conurbation</v>
      </c>
      <c r="G223" s="38" t="str">
        <f>VLOOKUP(C223,UrbanRuralClassification!A:N,14,FALSE)</f>
        <v>Predominantly Urban</v>
      </c>
      <c r="H223" s="258" t="str">
        <f>IF(ISBLANK((VLOOKUP($A223,'local-plan-data'!$C$1:$AD$566,27,FALSE)))=TRUE,"",VLOOKUP($A223,'local-plan-data'!$C$1:$AD$566,27,FALSE))</f>
        <v/>
      </c>
      <c r="I223" s="259">
        <f>VLOOKUP($A223,'local-plan-data'!$C$1:$AD$566,28,FALSE)</f>
        <v>1658</v>
      </c>
      <c r="J223" s="260">
        <f t="shared" si="217"/>
        <v>1658</v>
      </c>
      <c r="K223" s="259" t="str">
        <f t="shared" si="263"/>
        <v>-</v>
      </c>
      <c r="L223" s="259" t="str">
        <f t="shared" si="201"/>
        <v>-</v>
      </c>
      <c r="M223" s="259" t="str">
        <f t="shared" si="201"/>
        <v>-</v>
      </c>
      <c r="N223" s="259" t="str">
        <f t="shared" si="201"/>
        <v>-</v>
      </c>
      <c r="O223" s="259" t="str">
        <f t="shared" si="201"/>
        <v>-</v>
      </c>
      <c r="P223" s="259" t="str">
        <f t="shared" si="201"/>
        <v>-</v>
      </c>
      <c r="Q223" s="259" t="str">
        <f t="shared" si="201"/>
        <v>-</v>
      </c>
      <c r="R223" s="259" t="str">
        <f t="shared" si="201"/>
        <v>-</v>
      </c>
      <c r="S223" s="259" t="str">
        <f t="shared" si="264"/>
        <v>-</v>
      </c>
      <c r="T223" s="259" t="str">
        <f t="shared" si="202"/>
        <v>-</v>
      </c>
      <c r="U223" s="259" t="str">
        <f t="shared" si="202"/>
        <v>-</v>
      </c>
      <c r="V223" s="259" t="str">
        <f t="shared" si="202"/>
        <v>-</v>
      </c>
      <c r="W223" s="259" t="str">
        <f t="shared" si="202"/>
        <v>-</v>
      </c>
      <c r="X223" s="259" t="str">
        <f t="shared" si="202"/>
        <v>-</v>
      </c>
      <c r="Y223" s="259" t="str">
        <f t="shared" si="202"/>
        <v>-</v>
      </c>
      <c r="Z223" s="259" t="str">
        <f t="shared" si="202"/>
        <v>-</v>
      </c>
      <c r="AA223" s="267">
        <f>(VLOOKUP(A223,Hshldprojections2014!$A$2:$AW$319,40, FALSE)-VLOOKUP(A223,Hshldprojections2014!$A$2:$AW$319,30, FALSE))/10</f>
        <v>1245.5</v>
      </c>
      <c r="AB223" s="267">
        <f>(VLOOKUP(A223,Hshldprojections2014!$A$2:$AW$319,41, FALSE)-VLOOKUP(A223,Hshldprojections2014!$A$2:$AW$319,31, FALSE))/10</f>
        <v>1228.4000000000001</v>
      </c>
      <c r="AC223" s="267">
        <f>(VLOOKUP(A223,Hshldprojections2014!$A$2:$AW$319,42, FALSE)-VLOOKUP(A223,Hshldprojections2014!$A$2:$AW$319,32, FALSE))/10</f>
        <v>1216.5999999999999</v>
      </c>
      <c r="AD223" s="267">
        <f>IF(IndividualLATest!$J$7=2014,(VLOOKUP($A223,Hshldprojections2014!$A$2:$AY$326,43,FALSE)-VLOOKUP($A223,Hshldprojections2014!$A$2:$AY$326,33,FALSE))/10,IF(IndividualLATest!$J$7=2016,(VLOOKUP($A223,Hshldprojections2016!$A$1:$AQ$322,33,FALSE)-VLOOKUP($A223,Hshldprojections2016!$A$1:$AQ$322,23,FALSE))/10,(VLOOKUP($A223,Hshldprojections2018!$A$1:$AQ$327,33,FALSE)-VLOOKUP($A223,Hshldprojections2018!$A$1:$AQ$327,23,FALSE))/10))</f>
        <v>982.5</v>
      </c>
      <c r="AE223" s="267">
        <f>IF(IndividualLATest!$J$7=2014,(VLOOKUP($A223,Hshldprojections2014!$A$2:$AY$326,44,FALSE)-VLOOKUP($A223,Hshldprojections2014!$A$2:$AY$326,34,FALSE))/10,IF(IndividualLATest!$J$7=2016,(VLOOKUP($A223,Hshldprojections2016!$A$1:$AQ$322,34,FALSE)-VLOOKUP($A223,Hshldprojections2016!$A$1:$AQ$322,24,FALSE))/10,(VLOOKUP($A223,Hshldprojections2018!$A$1:$AQ$327,34,FALSE)-VLOOKUP($A223,Hshldprojections2018!$A$1:$AQ$327,24,FALSE))/10))</f>
        <v>965.6</v>
      </c>
      <c r="AF223" s="267">
        <f>IF(IndividualLATest!$J$7=2014,(VLOOKUP($A223,Hshldprojections2014!$A$2:$AY$326,45,FALSE)-VLOOKUP($A223,Hshldprojections2014!$A$2:$AY$326,35,FALSE))/10,IF(IndividualLATest!$J$7=2016,(VLOOKUP($A223,Hshldprojections2016!$A$1:$AQ$322,35,FALSE)-VLOOKUP($A223,Hshldprojections2016!$A$1:$AQ$322,25,FALSE))/10,(VLOOKUP($A223,Hshldprojections2018!$A$1:$AQ$327,35,FALSE)-VLOOKUP($A223,Hshldprojections2018!$A$1:$AQ$327,25,FALSE))/10))</f>
        <v>956.5</v>
      </c>
      <c r="AG223" s="267">
        <f>IF(IndividualLATest!$J$7=2014,(VLOOKUP($A223,Hshldprojections2014!$A$2:$AY$326,46,FALSE)-VLOOKUP($A223,Hshldprojections2014!$A$2:$AY$326,36,FALSE))/10,IF(IndividualLATest!$J$7=2016,(VLOOKUP($A223,Hshldprojections2016!$A$1:$AQ$322,36,FALSE)-VLOOKUP($A223,Hshldprojections2016!$A$1:$AQ$322,26,FALSE))/10,(VLOOKUP($A223,Hshldprojections2018!$A$1:$AQ$327,36,FALSE)-VLOOKUP($A223,Hshldprojections2018!$A$1:$AQ$327,26,FALSE))/10))</f>
        <v>949.8</v>
      </c>
      <c r="AH223" s="267">
        <f>IF(IndividualLATest!$J$7=2014,(VLOOKUP($A223,Hshldprojections2014!$A$2:$AY$326,47,FALSE)-VLOOKUP($A223,Hshldprojections2014!$A$2:$AY$326,37,FALSE))/10,IF(IndividualLATest!$J$7=2016,(VLOOKUP($A223,Hshldprojections2016!$A$1:$AQ$322,37,FALSE)-VLOOKUP($A223,Hshldprojections2016!$A$1:$AQ$322,27,FALSE))/10,(VLOOKUP($A223,Hshldprojections2018!$A$1:$AQ$327,37,FALSE)-VLOOKUP($A223,Hshldprojections2018!$A$1:$AQ$327,27,FALSE))/10))</f>
        <v>948.1</v>
      </c>
      <c r="AI223" s="268">
        <f>VLOOKUP($A223,AffordabilityRatio!$A$2:$I$321,5,FALSE)</f>
        <v>5.64</v>
      </c>
      <c r="AJ223" s="268">
        <f>VLOOKUP($A223,AffordabilityRatio!$A$2:$I$321,6,FALSE)</f>
        <v>5.84</v>
      </c>
      <c r="AK223" s="268">
        <f>VLOOKUP($A223,AffordabilityRatio!$A$2:$I$321,7,FALSE)</f>
        <v>5.7</v>
      </c>
      <c r="AL223" s="268">
        <f>IF((VLOOKUP($A223,AffordabilityRatio!$A$2:$I$321,8,FALSE))="",AK223,VLOOKUP($A223,AffordabilityRatio!$A$2:$I$321,8,FALSE))</f>
        <v>5.62</v>
      </c>
      <c r="AM223" s="268">
        <f>IF((VLOOKUP($A223,AffordabilityRatio!$A$2:$I$321,9,FALSE))="",AL223,VLOOKUP($A223,AffordabilityRatio!$A$2:$I$321,9,FALSE))</f>
        <v>6.74</v>
      </c>
      <c r="AN223" s="268">
        <f>IF((VLOOKUP($A223,AffordabilityRatio!$A$2:$I$321,9,FALSE))="",AM223,VLOOKUP($A223,AffordabilityRatio!$A$2:$I$321,9,FALSE))</f>
        <v>6.74</v>
      </c>
      <c r="AO223" s="268">
        <f>IF((VLOOKUP($A223,AffordabilityRatio!$A$2:$I$321,9,FALSE))="",AN223,VLOOKUP($A223,AffordabilityRatio!$A$2:$I$321,9,FALSE))</f>
        <v>6.74</v>
      </c>
      <c r="AP223" s="268">
        <f>IF((VLOOKUP($A223,AffordabilityRatio!$A$2:$I$321,9,FALSE))="",AO223,VLOOKUP($A223,AffordabilityRatio!$A$2:$I$321,9,FALSE))</f>
        <v>6.74</v>
      </c>
      <c r="AQ223" s="267">
        <f t="shared" si="218"/>
        <v>1373</v>
      </c>
      <c r="AR223" s="267">
        <f t="shared" si="219"/>
        <v>1370</v>
      </c>
      <c r="AS223" s="267">
        <f t="shared" si="220"/>
        <v>1346</v>
      </c>
      <c r="AT223" s="267">
        <f t="shared" si="221"/>
        <v>1082</v>
      </c>
      <c r="AU223" s="267">
        <f t="shared" si="222"/>
        <v>1131</v>
      </c>
      <c r="AV223" s="267">
        <f t="shared" si="223"/>
        <v>1120</v>
      </c>
      <c r="AW223" s="267">
        <f t="shared" si="224"/>
        <v>1112</v>
      </c>
      <c r="AX223" s="267">
        <f t="shared" si="225"/>
        <v>1110</v>
      </c>
      <c r="AY223" s="267">
        <f t="shared" si="226"/>
        <v>1373</v>
      </c>
      <c r="AZ223" s="267">
        <f t="shared" si="227"/>
        <v>1370</v>
      </c>
      <c r="BA223" s="267">
        <f t="shared" si="228"/>
        <v>1346</v>
      </c>
      <c r="BB223" s="267">
        <f t="shared" si="229"/>
        <v>1082</v>
      </c>
      <c r="BC223" s="267">
        <f t="shared" si="230"/>
        <v>1131</v>
      </c>
      <c r="BD223" s="267">
        <f t="shared" si="231"/>
        <v>1120</v>
      </c>
      <c r="BE223" s="267">
        <f t="shared" si="232"/>
        <v>1112</v>
      </c>
      <c r="BF223" s="267">
        <f t="shared" si="233"/>
        <v>1110</v>
      </c>
      <c r="BG223" s="269">
        <f>AY223*VLOOKUP($B223,'Major Cities &amp; Towns'!$A$28:$B$345,2,FALSE)</f>
        <v>1373</v>
      </c>
      <c r="BH223" s="269">
        <f>AZ223*VLOOKUP($B223,'Major Cities &amp; Towns'!$A$28:$B$345,2,FALSE)</f>
        <v>1370</v>
      </c>
      <c r="BI223" s="269">
        <f>BA223*VLOOKUP($B223,'Major Cities &amp; Towns'!$A$28:$B$345,2,FALSE)</f>
        <v>1346</v>
      </c>
      <c r="BJ223" s="269">
        <f>BB223*VLOOKUP($B223,'Major Cities &amp; Towns'!$A$28:$B$345,2,FALSE)</f>
        <v>1082</v>
      </c>
      <c r="BK223" s="269">
        <f>BC223*VLOOKUP($B223,'Major Cities &amp; Towns'!$A$28:$B$345,2,FALSE)</f>
        <v>1131</v>
      </c>
      <c r="BL223" s="269">
        <f>BD223*VLOOKUP($B223,'Major Cities &amp; Towns'!$A$28:$B$345,2,FALSE)</f>
        <v>1120</v>
      </c>
      <c r="BM223" s="269">
        <f>BE223*VLOOKUP($B223,'Major Cities &amp; Towns'!$A$28:$B$345,2,FALSE)</f>
        <v>1112</v>
      </c>
      <c r="BN223" s="269">
        <f>BF223*VLOOKUP($B223,'Major Cities &amp; Towns'!$A$28:$B$345,2,FALSE)</f>
        <v>1110</v>
      </c>
      <c r="BO223" s="270">
        <f t="shared" si="234"/>
        <v>1373</v>
      </c>
      <c r="BP223" s="270">
        <f t="shared" si="235"/>
        <v>1370</v>
      </c>
      <c r="BQ223" s="270">
        <f t="shared" si="236"/>
        <v>1346</v>
      </c>
      <c r="BR223" s="270">
        <f t="shared" si="237"/>
        <v>1082</v>
      </c>
      <c r="BS223" s="270">
        <f t="shared" si="238"/>
        <v>1131</v>
      </c>
      <c r="BT223" s="270">
        <f t="shared" si="239"/>
        <v>1120</v>
      </c>
      <c r="BU223" s="270">
        <f t="shared" si="240"/>
        <v>1112</v>
      </c>
      <c r="BV223" s="270">
        <f t="shared" si="241"/>
        <v>1110</v>
      </c>
      <c r="BW223" s="39">
        <f>VLOOKUP($A223,NetAdditions!$A$2:$H$336,6,FALSE)</f>
        <v>3208</v>
      </c>
      <c r="BX223" s="39">
        <f>VLOOKUP($A223,NetAdditions!$A$2:$H$336,7,FALSE)</f>
        <v>3867</v>
      </c>
      <c r="BY223" s="39">
        <f>IF((VLOOKUP($C223,NetAdditions!$A$2:$H$336,8,FALSE))="",(AVERAGE(VLOOKUP($C223,NetAdditions!$A$2:$H$336,5,FALSE),VLOOKUP($C223,NetAdditions!$A$2:$H$336,6,FALSE),VLOOKUP($C223,NetAdditions!$A$2:$H$336,7,FALSE))),VLOOKUP($C223,NetAdditions!$A$2:$H$336,8,FALSE))</f>
        <v>3025</v>
      </c>
      <c r="BZ223" s="39">
        <f t="shared" si="242"/>
        <v>3366.6666666666665</v>
      </c>
      <c r="CA223" s="39">
        <f t="shared" si="243"/>
        <v>3419.5555555555552</v>
      </c>
      <c r="CB223" s="39">
        <f t="shared" si="244"/>
        <v>3270.4074074074069</v>
      </c>
      <c r="CC223" s="39">
        <f t="shared" si="245"/>
        <v>3352.2098765432092</v>
      </c>
      <c r="CD223" s="39">
        <f t="shared" si="246"/>
        <v>3347.390946502057</v>
      </c>
      <c r="CE223" s="276">
        <f t="shared" si="203"/>
        <v>4089</v>
      </c>
      <c r="CF223" s="276">
        <f t="shared" si="204"/>
        <v>3798</v>
      </c>
      <c r="CG223" s="276">
        <f t="shared" si="205"/>
        <v>3559</v>
      </c>
      <c r="CH223" s="276">
        <f t="shared" si="206"/>
        <v>3333</v>
      </c>
      <c r="CI223" s="276">
        <f t="shared" si="207"/>
        <v>3363</v>
      </c>
      <c r="CJ223" s="276">
        <f t="shared" si="208"/>
        <v>3342</v>
      </c>
      <c r="CK223" s="276">
        <f t="shared" si="247"/>
        <v>3521.0833333333335</v>
      </c>
      <c r="CL223" s="276">
        <f t="shared" si="248"/>
        <v>3270.5</v>
      </c>
      <c r="CM223" s="276">
        <f t="shared" si="249"/>
        <v>3262.4166666666665</v>
      </c>
      <c r="CN223" s="276">
        <f t="shared" si="250"/>
        <v>3333</v>
      </c>
      <c r="CO223" s="276">
        <f t="shared" si="251"/>
        <v>3363</v>
      </c>
      <c r="CP223" s="276">
        <f t="shared" si="252"/>
        <v>3342</v>
      </c>
      <c r="CQ223" s="39">
        <f t="shared" si="209"/>
        <v>10100</v>
      </c>
      <c r="CR223" s="39">
        <f t="shared" si="210"/>
        <v>10258.666666666666</v>
      </c>
      <c r="CS223" s="277">
        <f t="shared" si="211"/>
        <v>9811.2222222222208</v>
      </c>
      <c r="CT223" s="39">
        <f t="shared" si="212"/>
        <v>10056.629629629628</v>
      </c>
      <c r="CU223" s="39">
        <f t="shared" si="213"/>
        <v>10042.172839506171</v>
      </c>
      <c r="CV223" s="39">
        <f t="shared" si="253"/>
        <v>9970.0082304526732</v>
      </c>
      <c r="CW223" s="297">
        <f t="shared" si="214"/>
        <v>2.868435377369654</v>
      </c>
      <c r="CX223" s="279" t="str">
        <f t="shared" si="254"/>
        <v>Pass</v>
      </c>
      <c r="CY223" s="278">
        <f t="shared" si="215"/>
        <v>3.1367273097895323</v>
      </c>
      <c r="CZ223" s="279" t="str">
        <f t="shared" si="255"/>
        <v>Pass</v>
      </c>
      <c r="DA223" s="278">
        <f t="shared" si="216"/>
        <v>3.0073479952659494</v>
      </c>
      <c r="DB223" s="292" t="str">
        <f t="shared" si="256"/>
        <v>Pass</v>
      </c>
      <c r="DC223" s="299">
        <f t="shared" si="257"/>
        <v>3.0172906179506835</v>
      </c>
      <c r="DD223" s="293" t="str">
        <f t="shared" si="258"/>
        <v>Pass</v>
      </c>
      <c r="DE223" s="299">
        <f t="shared" si="259"/>
        <v>2.9860757774327</v>
      </c>
      <c r="DF223" s="293" t="str">
        <f t="shared" si="260"/>
        <v>Pass</v>
      </c>
      <c r="DG223" s="299">
        <f t="shared" si="261"/>
        <v>2.9832460294592078</v>
      </c>
      <c r="DH223" s="293" t="str">
        <f t="shared" si="262"/>
        <v>Pass</v>
      </c>
    </row>
    <row r="224" spans="1:112" ht="15" thickTop="1" thickBot="1">
      <c r="A224" s="38" t="s">
        <v>558</v>
      </c>
      <c r="B224" s="38" t="s">
        <v>559</v>
      </c>
      <c r="C224" s="38" t="s">
        <v>558</v>
      </c>
      <c r="D224" s="38" t="s">
        <v>154</v>
      </c>
      <c r="E224" s="38" t="str">
        <f>VLOOKUP(C224,PoliticalControl!A:K,11,FALSE)</f>
        <v>LAB</v>
      </c>
      <c r="F224" s="38" t="str">
        <f>VLOOKUP(C224,UrbanRuralClassification!A:N,13,FALSE)</f>
        <v>Urban with Major Conurbation</v>
      </c>
      <c r="G224" s="38" t="str">
        <f>VLOOKUP(C224,UrbanRuralClassification!A:N,14,FALSE)</f>
        <v>Predominantly Urban</v>
      </c>
      <c r="H224" s="258">
        <f>IF(ISBLANK((VLOOKUP($A224,'local-plan-data'!$C$1:$AD$566,27,FALSE)))=TRUE,"",VLOOKUP($A224,'local-plan-data'!$C$1:$AD$566,27,FALSE))</f>
        <v>40577</v>
      </c>
      <c r="I224" s="259">
        <f>VLOOKUP($A224,'local-plan-data'!$C$1:$AD$566,28,FALSE)</f>
        <v>1074.45</v>
      </c>
      <c r="J224" s="260">
        <f t="shared" si="217"/>
        <v>1074.45</v>
      </c>
      <c r="K224" s="259" t="str">
        <f t="shared" si="263"/>
        <v>-</v>
      </c>
      <c r="L224" s="259" t="str">
        <f t="shared" si="201"/>
        <v>-</v>
      </c>
      <c r="M224" s="259" t="str">
        <f t="shared" si="201"/>
        <v>-</v>
      </c>
      <c r="N224" s="259" t="str">
        <f t="shared" si="201"/>
        <v>-</v>
      </c>
      <c r="O224" s="259" t="str">
        <f t="shared" si="201"/>
        <v>-</v>
      </c>
      <c r="P224" s="259" t="str">
        <f t="shared" si="201"/>
        <v>-</v>
      </c>
      <c r="Q224" s="259" t="str">
        <f t="shared" si="201"/>
        <v>-</v>
      </c>
      <c r="R224" s="259" t="str">
        <f t="shared" si="201"/>
        <v>-</v>
      </c>
      <c r="S224" s="259">
        <f t="shared" si="264"/>
        <v>-788</v>
      </c>
      <c r="T224" s="259">
        <f t="shared" si="202"/>
        <v>-1153</v>
      </c>
      <c r="U224" s="259">
        <f t="shared" si="202"/>
        <v>-1519</v>
      </c>
      <c r="V224" s="259">
        <f t="shared" si="202"/>
        <v>-1884</v>
      </c>
      <c r="W224" s="259">
        <f t="shared" si="202"/>
        <v>-2249</v>
      </c>
      <c r="X224" s="259">
        <f t="shared" si="202"/>
        <v>-2614</v>
      </c>
      <c r="Y224" s="259">
        <f t="shared" si="202"/>
        <v>-2980</v>
      </c>
      <c r="Z224" s="259">
        <f t="shared" si="202"/>
        <v>-3345</v>
      </c>
      <c r="AA224" s="267">
        <f>(VLOOKUP(A224,Hshldprojections2014!$A$2:$AW$319,40, FALSE)-VLOOKUP(A224,Hshldprojections2014!$A$2:$AW$319,30, FALSE))/10</f>
        <v>1330.6</v>
      </c>
      <c r="AB224" s="267">
        <f>(VLOOKUP(A224,Hshldprojections2014!$A$2:$AW$319,41, FALSE)-VLOOKUP(A224,Hshldprojections2014!$A$2:$AW$319,31, FALSE))/10</f>
        <v>1335.7</v>
      </c>
      <c r="AC224" s="267">
        <f>(VLOOKUP(A224,Hshldprojections2014!$A$2:$AW$319,42, FALSE)-VLOOKUP(A224,Hshldprojections2014!$A$2:$AW$319,32, FALSE))/10</f>
        <v>1336</v>
      </c>
      <c r="AD224" s="267">
        <f>IF(IndividualLATest!$J$7=2014,(VLOOKUP($A224,Hshldprojections2014!$A$2:$AY$326,43,FALSE)-VLOOKUP($A224,Hshldprojections2014!$A$2:$AY$326,33,FALSE))/10,IF(IndividualLATest!$J$7=2016,(VLOOKUP($A224,Hshldprojections2016!$A$1:$AQ$322,33,FALSE)-VLOOKUP($A224,Hshldprojections2016!$A$1:$AQ$322,23,FALSE))/10,(VLOOKUP($A224,Hshldprojections2018!$A$1:$AQ$327,33,FALSE)-VLOOKUP($A224,Hshldprojections2018!$A$1:$AQ$327,23,FALSE))/10))</f>
        <v>862.4</v>
      </c>
      <c r="AE224" s="267">
        <f>IF(IndividualLATest!$J$7=2014,(VLOOKUP($A224,Hshldprojections2014!$A$2:$AY$326,44,FALSE)-VLOOKUP($A224,Hshldprojections2014!$A$2:$AY$326,34,FALSE))/10,IF(IndividualLATest!$J$7=2016,(VLOOKUP($A224,Hshldprojections2016!$A$1:$AQ$322,34,FALSE)-VLOOKUP($A224,Hshldprojections2016!$A$1:$AQ$322,24,FALSE))/10,(VLOOKUP($A224,Hshldprojections2018!$A$1:$AQ$327,34,FALSE)-VLOOKUP($A224,Hshldprojections2018!$A$1:$AQ$327,24,FALSE))/10))</f>
        <v>859.3</v>
      </c>
      <c r="AF224" s="267">
        <f>IF(IndividualLATest!$J$7=2014,(VLOOKUP($A224,Hshldprojections2014!$A$2:$AY$326,45,FALSE)-VLOOKUP($A224,Hshldprojections2014!$A$2:$AY$326,35,FALSE))/10,IF(IndividualLATest!$J$7=2016,(VLOOKUP($A224,Hshldprojections2016!$A$1:$AQ$322,35,FALSE)-VLOOKUP($A224,Hshldprojections2016!$A$1:$AQ$322,25,FALSE))/10,(VLOOKUP($A224,Hshldprojections2018!$A$1:$AQ$327,35,FALSE)-VLOOKUP($A224,Hshldprojections2018!$A$1:$AQ$327,25,FALSE))/10))</f>
        <v>862.6</v>
      </c>
      <c r="AG224" s="267">
        <f>IF(IndividualLATest!$J$7=2014,(VLOOKUP($A224,Hshldprojections2014!$A$2:$AY$326,46,FALSE)-VLOOKUP($A224,Hshldprojections2014!$A$2:$AY$326,36,FALSE))/10,IF(IndividualLATest!$J$7=2016,(VLOOKUP($A224,Hshldprojections2016!$A$1:$AQ$322,36,FALSE)-VLOOKUP($A224,Hshldprojections2016!$A$1:$AQ$322,26,FALSE))/10,(VLOOKUP($A224,Hshldprojections2018!$A$1:$AQ$327,36,FALSE)-VLOOKUP($A224,Hshldprojections2018!$A$1:$AQ$327,26,FALSE))/10))</f>
        <v>865.9</v>
      </c>
      <c r="AH224" s="267">
        <f>IF(IndividualLATest!$J$7=2014,(VLOOKUP($A224,Hshldprojections2014!$A$2:$AY$326,47,FALSE)-VLOOKUP($A224,Hshldprojections2014!$A$2:$AY$326,37,FALSE))/10,IF(IndividualLATest!$J$7=2016,(VLOOKUP($A224,Hshldprojections2016!$A$1:$AQ$322,37,FALSE)-VLOOKUP($A224,Hshldprojections2016!$A$1:$AQ$322,27,FALSE))/10,(VLOOKUP($A224,Hshldprojections2018!$A$1:$AQ$327,37,FALSE)-VLOOKUP($A224,Hshldprojections2018!$A$1:$AQ$327,27,FALSE))/10))</f>
        <v>871.6</v>
      </c>
      <c r="AI224" s="268">
        <f>VLOOKUP($A224,AffordabilityRatio!$A$2:$I$321,5,FALSE)</f>
        <v>5.4</v>
      </c>
      <c r="AJ224" s="268">
        <f>VLOOKUP($A224,AffordabilityRatio!$A$2:$I$321,6,FALSE)</f>
        <v>5.68</v>
      </c>
      <c r="AK224" s="268">
        <f>VLOOKUP($A224,AffordabilityRatio!$A$2:$I$321,7,FALSE)</f>
        <v>5.86</v>
      </c>
      <c r="AL224" s="268">
        <f>IF((VLOOKUP($A224,AffordabilityRatio!$A$2:$I$321,8,FALSE))="",AK224,VLOOKUP($A224,AffordabilityRatio!$A$2:$I$321,8,FALSE))</f>
        <v>5.61</v>
      </c>
      <c r="AM224" s="268">
        <f>IF((VLOOKUP($A224,AffordabilityRatio!$A$2:$I$321,9,FALSE))="",AL224,VLOOKUP($A224,AffordabilityRatio!$A$2:$I$321,9,FALSE))</f>
        <v>6.17</v>
      </c>
      <c r="AN224" s="268">
        <f>IF((VLOOKUP($A224,AffordabilityRatio!$A$2:$I$321,9,FALSE))="",AM224,VLOOKUP($A224,AffordabilityRatio!$A$2:$I$321,9,FALSE))</f>
        <v>6.17</v>
      </c>
      <c r="AO224" s="268">
        <f>IF((VLOOKUP($A224,AffordabilityRatio!$A$2:$I$321,9,FALSE))="",AN224,VLOOKUP($A224,AffordabilityRatio!$A$2:$I$321,9,FALSE))</f>
        <v>6.17</v>
      </c>
      <c r="AP224" s="268">
        <f>IF((VLOOKUP($A224,AffordabilityRatio!$A$2:$I$321,9,FALSE))="",AO224,VLOOKUP($A224,AffordabilityRatio!$A$2:$I$321,9,FALSE))</f>
        <v>6.17</v>
      </c>
      <c r="AQ224" s="267">
        <f t="shared" si="218"/>
        <v>1447</v>
      </c>
      <c r="AR224" s="267">
        <f t="shared" si="219"/>
        <v>1476</v>
      </c>
      <c r="AS224" s="267">
        <f t="shared" si="220"/>
        <v>1491</v>
      </c>
      <c r="AT224" s="267">
        <f t="shared" si="221"/>
        <v>949</v>
      </c>
      <c r="AU224" s="267">
        <f t="shared" si="222"/>
        <v>976</v>
      </c>
      <c r="AV224" s="267">
        <f t="shared" si="223"/>
        <v>980</v>
      </c>
      <c r="AW224" s="267">
        <f t="shared" si="224"/>
        <v>983</v>
      </c>
      <c r="AX224" s="267">
        <f t="shared" si="225"/>
        <v>990</v>
      </c>
      <c r="AY224" s="267">
        <f t="shared" si="226"/>
        <v>1447</v>
      </c>
      <c r="AZ224" s="267">
        <f t="shared" si="227"/>
        <v>1476</v>
      </c>
      <c r="BA224" s="267">
        <f t="shared" si="228"/>
        <v>1491</v>
      </c>
      <c r="BB224" s="267">
        <f t="shared" si="229"/>
        <v>949</v>
      </c>
      <c r="BC224" s="267">
        <f t="shared" si="230"/>
        <v>976</v>
      </c>
      <c r="BD224" s="267">
        <f t="shared" si="231"/>
        <v>980</v>
      </c>
      <c r="BE224" s="267">
        <f t="shared" si="232"/>
        <v>983</v>
      </c>
      <c r="BF224" s="267">
        <f t="shared" si="233"/>
        <v>990</v>
      </c>
      <c r="BG224" s="269">
        <f>AY224*VLOOKUP($B224,'Major Cities &amp; Towns'!$A$28:$B$345,2,FALSE)</f>
        <v>1447</v>
      </c>
      <c r="BH224" s="269">
        <f>AZ224*VLOOKUP($B224,'Major Cities &amp; Towns'!$A$28:$B$345,2,FALSE)</f>
        <v>1476</v>
      </c>
      <c r="BI224" s="269">
        <f>BA224*VLOOKUP($B224,'Major Cities &amp; Towns'!$A$28:$B$345,2,FALSE)</f>
        <v>1491</v>
      </c>
      <c r="BJ224" s="269">
        <f>BB224*VLOOKUP($B224,'Major Cities &amp; Towns'!$A$28:$B$345,2,FALSE)</f>
        <v>949</v>
      </c>
      <c r="BK224" s="269">
        <f>BC224*VLOOKUP($B224,'Major Cities &amp; Towns'!$A$28:$B$345,2,FALSE)</f>
        <v>976</v>
      </c>
      <c r="BL224" s="269">
        <f>BD224*VLOOKUP($B224,'Major Cities &amp; Towns'!$A$28:$B$345,2,FALSE)</f>
        <v>980</v>
      </c>
      <c r="BM224" s="269">
        <f>BE224*VLOOKUP($B224,'Major Cities &amp; Towns'!$A$28:$B$345,2,FALSE)</f>
        <v>983</v>
      </c>
      <c r="BN224" s="269">
        <f>BF224*VLOOKUP($B224,'Major Cities &amp; Towns'!$A$28:$B$345,2,FALSE)</f>
        <v>990</v>
      </c>
      <c r="BO224" s="270">
        <f t="shared" si="234"/>
        <v>1447</v>
      </c>
      <c r="BP224" s="270">
        <f t="shared" si="235"/>
        <v>1476</v>
      </c>
      <c r="BQ224" s="270">
        <f t="shared" si="236"/>
        <v>1491</v>
      </c>
      <c r="BR224" s="270">
        <f t="shared" si="237"/>
        <v>949</v>
      </c>
      <c r="BS224" s="270">
        <f t="shared" si="238"/>
        <v>976</v>
      </c>
      <c r="BT224" s="270">
        <f t="shared" si="239"/>
        <v>980</v>
      </c>
      <c r="BU224" s="270">
        <f t="shared" si="240"/>
        <v>983</v>
      </c>
      <c r="BV224" s="270">
        <f t="shared" si="241"/>
        <v>990</v>
      </c>
      <c r="BW224" s="39">
        <f>VLOOKUP($A224,NetAdditions!$A$2:$H$336,6,FALSE)</f>
        <v>794</v>
      </c>
      <c r="BX224" s="39">
        <f>VLOOKUP($A224,NetAdditions!$A$2:$H$336,7,FALSE)</f>
        <v>467</v>
      </c>
      <c r="BY224" s="39">
        <f>IF((VLOOKUP($C224,NetAdditions!$A$2:$H$336,8,FALSE))="",(AVERAGE(VLOOKUP($C224,NetAdditions!$A$2:$H$336,5,FALSE),VLOOKUP($C224,NetAdditions!$A$2:$H$336,6,FALSE),VLOOKUP($C224,NetAdditions!$A$2:$H$336,7,FALSE))),VLOOKUP($C224,NetAdditions!$A$2:$H$336,8,FALSE))</f>
        <v>654</v>
      </c>
      <c r="BZ224" s="39">
        <f t="shared" si="242"/>
        <v>638.33333333333337</v>
      </c>
      <c r="CA224" s="39">
        <f t="shared" si="243"/>
        <v>586.44444444444446</v>
      </c>
      <c r="CB224" s="39">
        <f t="shared" si="244"/>
        <v>626.25925925925924</v>
      </c>
      <c r="CC224" s="39">
        <f t="shared" si="245"/>
        <v>617.01234567901236</v>
      </c>
      <c r="CD224" s="39">
        <f t="shared" si="246"/>
        <v>609.90534979423865</v>
      </c>
      <c r="CE224" s="276">
        <f t="shared" si="203"/>
        <v>4414</v>
      </c>
      <c r="CF224" s="276">
        <f t="shared" si="204"/>
        <v>3916</v>
      </c>
      <c r="CG224" s="276">
        <f t="shared" si="205"/>
        <v>3416</v>
      </c>
      <c r="CH224" s="276">
        <f t="shared" si="206"/>
        <v>2905</v>
      </c>
      <c r="CI224" s="276">
        <f t="shared" si="207"/>
        <v>2939</v>
      </c>
      <c r="CJ224" s="276">
        <f t="shared" si="208"/>
        <v>2953</v>
      </c>
      <c r="CK224" s="276">
        <f t="shared" si="247"/>
        <v>3800.9444444444448</v>
      </c>
      <c r="CL224" s="276">
        <f t="shared" si="248"/>
        <v>3372.1111111111113</v>
      </c>
      <c r="CM224" s="276">
        <f t="shared" si="249"/>
        <v>3131.333333333333</v>
      </c>
      <c r="CN224" s="276">
        <f t="shared" si="250"/>
        <v>2905</v>
      </c>
      <c r="CO224" s="276">
        <f t="shared" si="251"/>
        <v>2939</v>
      </c>
      <c r="CP224" s="276">
        <f t="shared" si="252"/>
        <v>2953</v>
      </c>
      <c r="CQ224" s="39">
        <f t="shared" si="209"/>
        <v>1915</v>
      </c>
      <c r="CR224" s="39">
        <f t="shared" si="210"/>
        <v>1759.3333333333335</v>
      </c>
      <c r="CS224" s="277">
        <f t="shared" si="211"/>
        <v>1878.7777777777778</v>
      </c>
      <c r="CT224" s="39">
        <f t="shared" si="212"/>
        <v>1851.037037037037</v>
      </c>
      <c r="CU224" s="39">
        <f t="shared" si="213"/>
        <v>1829.7160493827159</v>
      </c>
      <c r="CV224" s="39">
        <f t="shared" si="253"/>
        <v>1853.1769547325102</v>
      </c>
      <c r="CW224" s="297">
        <f t="shared" si="214"/>
        <v>0.50382214946577597</v>
      </c>
      <c r="CX224" s="279" t="str">
        <f t="shared" si="254"/>
        <v>Buffer and Action Plan</v>
      </c>
      <c r="CY224" s="278">
        <f t="shared" si="215"/>
        <v>0.52173053477874065</v>
      </c>
      <c r="CZ224" s="279" t="str">
        <f t="shared" si="255"/>
        <v>Buffer and Action Plan</v>
      </c>
      <c r="DA224" s="278">
        <f t="shared" si="216"/>
        <v>0.59999290327159183</v>
      </c>
      <c r="DB224" s="292" t="str">
        <f t="shared" si="256"/>
        <v>Presumption</v>
      </c>
      <c r="DC224" s="299">
        <f t="shared" si="257"/>
        <v>0.63719002996111429</v>
      </c>
      <c r="DD224" s="293" t="str">
        <f t="shared" si="258"/>
        <v>Presumption</v>
      </c>
      <c r="DE224" s="299">
        <f t="shared" si="259"/>
        <v>0.62256415426427902</v>
      </c>
      <c r="DF224" s="293" t="str">
        <f t="shared" si="260"/>
        <v>Presumption</v>
      </c>
      <c r="DG224" s="299">
        <f t="shared" si="261"/>
        <v>0.62755738392567229</v>
      </c>
      <c r="DH224" s="293" t="str">
        <f t="shared" si="262"/>
        <v>Presumption</v>
      </c>
    </row>
    <row r="225" spans="1:112" ht="15" thickTop="1" thickBot="1">
      <c r="A225" s="38" t="s">
        <v>560</v>
      </c>
      <c r="B225" s="38" t="s">
        <v>561</v>
      </c>
      <c r="C225" s="38" t="s">
        <v>560</v>
      </c>
      <c r="D225" s="38" t="s">
        <v>136</v>
      </c>
      <c r="E225" s="38" t="str">
        <f>VLOOKUP(C225,PoliticalControl!A:K,11,FALSE)</f>
        <v>NOC</v>
      </c>
      <c r="F225" s="38" t="str">
        <f>VLOOKUP(C225,UrbanRuralClassification!A:N,13,FALSE)</f>
        <v>Urban with Significant Rural (rural including hub towns 26-49%)</v>
      </c>
      <c r="G225" s="38" t="str">
        <f>VLOOKUP(C225,UrbanRuralClassification!A:N,14,FALSE)</f>
        <v>Urban with Significant Rural</v>
      </c>
      <c r="H225" s="258">
        <f>IF(ISBLANK((VLOOKUP($A225,'local-plan-data'!$C$1:$AD$566,27,FALSE)))=TRUE,"",VLOOKUP($A225,'local-plan-data'!$C$1:$AD$566,27,FALSE))</f>
        <v>42919</v>
      </c>
      <c r="I225" s="259">
        <f>VLOOKUP($A225,'local-plan-data'!$C$1:$AD$566,28,FALSE)</f>
        <v>450</v>
      </c>
      <c r="J225" s="260">
        <f t="shared" si="217"/>
        <v>450</v>
      </c>
      <c r="K225" s="259">
        <f t="shared" si="263"/>
        <v>450</v>
      </c>
      <c r="L225" s="259">
        <f t="shared" si="201"/>
        <v>450</v>
      </c>
      <c r="M225" s="259">
        <f t="shared" si="201"/>
        <v>450</v>
      </c>
      <c r="N225" s="259">
        <f t="shared" si="201"/>
        <v>450</v>
      </c>
      <c r="O225" s="259">
        <f t="shared" si="201"/>
        <v>450</v>
      </c>
      <c r="P225" s="259" t="str">
        <f t="shared" si="201"/>
        <v>-</v>
      </c>
      <c r="Q225" s="259" t="str">
        <f t="shared" si="201"/>
        <v>-</v>
      </c>
      <c r="R225" s="259" t="str">
        <f t="shared" si="201"/>
        <v>-</v>
      </c>
      <c r="S225" s="259">
        <f t="shared" si="264"/>
        <v>1554</v>
      </c>
      <c r="T225" s="259">
        <f t="shared" si="202"/>
        <v>1189</v>
      </c>
      <c r="U225" s="259">
        <f t="shared" si="202"/>
        <v>823</v>
      </c>
      <c r="V225" s="259">
        <f t="shared" si="202"/>
        <v>458</v>
      </c>
      <c r="W225" s="259">
        <f t="shared" si="202"/>
        <v>93</v>
      </c>
      <c r="X225" s="259">
        <f t="shared" si="202"/>
        <v>-272</v>
      </c>
      <c r="Y225" s="259">
        <f t="shared" si="202"/>
        <v>-638</v>
      </c>
      <c r="Z225" s="259">
        <f t="shared" si="202"/>
        <v>-1003</v>
      </c>
      <c r="AA225" s="267">
        <f>(VLOOKUP(A225,Hshldprojections2014!$A$2:$AW$319,40, FALSE)-VLOOKUP(A225,Hshldprojections2014!$A$2:$AW$319,30, FALSE))/10</f>
        <v>149.1</v>
      </c>
      <c r="AB225" s="267">
        <f>(VLOOKUP(A225,Hshldprojections2014!$A$2:$AW$319,41, FALSE)-VLOOKUP(A225,Hshldprojections2014!$A$2:$AW$319,31, FALSE))/10</f>
        <v>149</v>
      </c>
      <c r="AC225" s="267">
        <f>(VLOOKUP(A225,Hshldprojections2014!$A$2:$AW$319,42, FALSE)-VLOOKUP(A225,Hshldprojections2014!$A$2:$AW$319,32, FALSE))/10</f>
        <v>151.1</v>
      </c>
      <c r="AD225" s="267">
        <f>IF(IndividualLATest!$J$7=2014,(VLOOKUP($A225,Hshldprojections2014!$A$2:$AY$326,43,FALSE)-VLOOKUP($A225,Hshldprojections2014!$A$2:$AY$326,33,FALSE))/10,IF(IndividualLATest!$J$7=2016,(VLOOKUP($A225,Hshldprojections2016!$A$1:$AQ$322,33,FALSE)-VLOOKUP($A225,Hshldprojections2016!$A$1:$AQ$322,23,FALSE))/10,(VLOOKUP($A225,Hshldprojections2018!$A$1:$AQ$327,33,FALSE)-VLOOKUP($A225,Hshldprojections2018!$A$1:$AQ$327,23,FALSE))/10))</f>
        <v>284.10000000000002</v>
      </c>
      <c r="AE225" s="267">
        <f>IF(IndividualLATest!$J$7=2014,(VLOOKUP($A225,Hshldprojections2014!$A$2:$AY$326,44,FALSE)-VLOOKUP($A225,Hshldprojections2014!$A$2:$AY$326,34,FALSE))/10,IF(IndividualLATest!$J$7=2016,(VLOOKUP($A225,Hshldprojections2016!$A$1:$AQ$322,34,FALSE)-VLOOKUP($A225,Hshldprojections2016!$A$1:$AQ$322,24,FALSE))/10,(VLOOKUP($A225,Hshldprojections2018!$A$1:$AQ$327,34,FALSE)-VLOOKUP($A225,Hshldprojections2018!$A$1:$AQ$327,24,FALSE))/10))</f>
        <v>276.89999999999998</v>
      </c>
      <c r="AF225" s="267">
        <f>IF(IndividualLATest!$J$7=2014,(VLOOKUP($A225,Hshldprojections2014!$A$2:$AY$326,45,FALSE)-VLOOKUP($A225,Hshldprojections2014!$A$2:$AY$326,35,FALSE))/10,IF(IndividualLATest!$J$7=2016,(VLOOKUP($A225,Hshldprojections2016!$A$1:$AQ$322,35,FALSE)-VLOOKUP($A225,Hshldprojections2016!$A$1:$AQ$322,25,FALSE))/10,(VLOOKUP($A225,Hshldprojections2018!$A$1:$AQ$327,35,FALSE)-VLOOKUP($A225,Hshldprojections2018!$A$1:$AQ$327,25,FALSE))/10))</f>
        <v>274.10000000000002</v>
      </c>
      <c r="AG225" s="267">
        <f>IF(IndividualLATest!$J$7=2014,(VLOOKUP($A225,Hshldprojections2014!$A$2:$AY$326,46,FALSE)-VLOOKUP($A225,Hshldprojections2014!$A$2:$AY$326,36,FALSE))/10,IF(IndividualLATest!$J$7=2016,(VLOOKUP($A225,Hshldprojections2016!$A$1:$AQ$322,36,FALSE)-VLOOKUP($A225,Hshldprojections2016!$A$1:$AQ$322,26,FALSE))/10,(VLOOKUP($A225,Hshldprojections2018!$A$1:$AQ$327,36,FALSE)-VLOOKUP($A225,Hshldprojections2018!$A$1:$AQ$327,26,FALSE))/10))</f>
        <v>267.5</v>
      </c>
      <c r="AH225" s="267">
        <f>IF(IndividualLATest!$J$7=2014,(VLOOKUP($A225,Hshldprojections2014!$A$2:$AY$326,47,FALSE)-VLOOKUP($A225,Hshldprojections2014!$A$2:$AY$326,37,FALSE))/10,IF(IndividualLATest!$J$7=2016,(VLOOKUP($A225,Hshldprojections2016!$A$1:$AQ$322,37,FALSE)-VLOOKUP($A225,Hshldprojections2016!$A$1:$AQ$322,27,FALSE))/10,(VLOOKUP($A225,Hshldprojections2018!$A$1:$AQ$327,37,FALSE)-VLOOKUP($A225,Hshldprojections2018!$A$1:$AQ$327,27,FALSE))/10))</f>
        <v>262.5</v>
      </c>
      <c r="AI225" s="268">
        <f>VLOOKUP($A225,AffordabilityRatio!$A$2:$I$321,5,FALSE)</f>
        <v>6.33</v>
      </c>
      <c r="AJ225" s="268">
        <f>VLOOKUP($A225,AffordabilityRatio!$A$2:$I$321,6,FALSE)</f>
        <v>6.66</v>
      </c>
      <c r="AK225" s="268">
        <f>VLOOKUP($A225,AffordabilityRatio!$A$2:$I$321,7,FALSE)</f>
        <v>6.17</v>
      </c>
      <c r="AL225" s="268">
        <f>IF((VLOOKUP($A225,AffordabilityRatio!$A$2:$I$321,8,FALSE))="",AK225,VLOOKUP($A225,AffordabilityRatio!$A$2:$I$321,8,FALSE))</f>
        <v>6.39</v>
      </c>
      <c r="AM225" s="268">
        <f>IF((VLOOKUP($A225,AffordabilityRatio!$A$2:$I$321,9,FALSE))="",AL225,VLOOKUP($A225,AffordabilityRatio!$A$2:$I$321,9,FALSE))</f>
        <v>6.98</v>
      </c>
      <c r="AN225" s="268">
        <f>IF((VLOOKUP($A225,AffordabilityRatio!$A$2:$I$321,9,FALSE))="",AM225,VLOOKUP($A225,AffordabilityRatio!$A$2:$I$321,9,FALSE))</f>
        <v>6.98</v>
      </c>
      <c r="AO225" s="268">
        <f>IF((VLOOKUP($A225,AffordabilityRatio!$A$2:$I$321,9,FALSE))="",AN225,VLOOKUP($A225,AffordabilityRatio!$A$2:$I$321,9,FALSE))</f>
        <v>6.98</v>
      </c>
      <c r="AP225" s="268">
        <f>IF((VLOOKUP($A225,AffordabilityRatio!$A$2:$I$321,9,FALSE))="",AO225,VLOOKUP($A225,AffordabilityRatio!$A$2:$I$321,9,FALSE))</f>
        <v>6.98</v>
      </c>
      <c r="AQ225" s="267">
        <f t="shared" si="218"/>
        <v>171</v>
      </c>
      <c r="AR225" s="267">
        <f t="shared" si="219"/>
        <v>174</v>
      </c>
      <c r="AS225" s="267">
        <f t="shared" si="220"/>
        <v>172</v>
      </c>
      <c r="AT225" s="267">
        <f t="shared" si="221"/>
        <v>327</v>
      </c>
      <c r="AU225" s="267">
        <f t="shared" si="222"/>
        <v>328</v>
      </c>
      <c r="AV225" s="267">
        <f t="shared" si="223"/>
        <v>325</v>
      </c>
      <c r="AW225" s="267">
        <f t="shared" si="224"/>
        <v>317</v>
      </c>
      <c r="AX225" s="267">
        <f t="shared" si="225"/>
        <v>311</v>
      </c>
      <c r="AY225" s="267">
        <f t="shared" si="226"/>
        <v>171</v>
      </c>
      <c r="AZ225" s="267">
        <f t="shared" si="227"/>
        <v>174</v>
      </c>
      <c r="BA225" s="267">
        <f t="shared" si="228"/>
        <v>172</v>
      </c>
      <c r="BB225" s="267">
        <f t="shared" si="229"/>
        <v>327</v>
      </c>
      <c r="BC225" s="267">
        <f t="shared" si="230"/>
        <v>328</v>
      </c>
      <c r="BD225" s="267">
        <f t="shared" si="231"/>
        <v>325</v>
      </c>
      <c r="BE225" s="267">
        <f t="shared" si="232"/>
        <v>317</v>
      </c>
      <c r="BF225" s="267">
        <f t="shared" si="233"/>
        <v>311</v>
      </c>
      <c r="BG225" s="269">
        <f>AY225*VLOOKUP($B225,'Major Cities &amp; Towns'!$A$28:$B$345,2,FALSE)</f>
        <v>171</v>
      </c>
      <c r="BH225" s="269">
        <f>AZ225*VLOOKUP($B225,'Major Cities &amp; Towns'!$A$28:$B$345,2,FALSE)</f>
        <v>174</v>
      </c>
      <c r="BI225" s="269">
        <f>BA225*VLOOKUP($B225,'Major Cities &amp; Towns'!$A$28:$B$345,2,FALSE)</f>
        <v>172</v>
      </c>
      <c r="BJ225" s="269">
        <f>BB225*VLOOKUP($B225,'Major Cities &amp; Towns'!$A$28:$B$345,2,FALSE)</f>
        <v>327</v>
      </c>
      <c r="BK225" s="269">
        <f>BC225*VLOOKUP($B225,'Major Cities &amp; Towns'!$A$28:$B$345,2,FALSE)</f>
        <v>328</v>
      </c>
      <c r="BL225" s="269">
        <f>BD225*VLOOKUP($B225,'Major Cities &amp; Towns'!$A$28:$B$345,2,FALSE)</f>
        <v>325</v>
      </c>
      <c r="BM225" s="269">
        <f>BE225*VLOOKUP($B225,'Major Cities &amp; Towns'!$A$28:$B$345,2,FALSE)</f>
        <v>317</v>
      </c>
      <c r="BN225" s="269">
        <f>BF225*VLOOKUP($B225,'Major Cities &amp; Towns'!$A$28:$B$345,2,FALSE)</f>
        <v>311</v>
      </c>
      <c r="BO225" s="270">
        <f t="shared" si="234"/>
        <v>171</v>
      </c>
      <c r="BP225" s="270">
        <f t="shared" si="235"/>
        <v>174</v>
      </c>
      <c r="BQ225" s="270">
        <f t="shared" si="236"/>
        <v>172</v>
      </c>
      <c r="BR225" s="270">
        <f t="shared" si="237"/>
        <v>327</v>
      </c>
      <c r="BS225" s="270">
        <f t="shared" si="238"/>
        <v>328</v>
      </c>
      <c r="BT225" s="270">
        <f t="shared" si="239"/>
        <v>325</v>
      </c>
      <c r="BU225" s="270">
        <f t="shared" si="240"/>
        <v>317</v>
      </c>
      <c r="BV225" s="270">
        <f t="shared" si="241"/>
        <v>311</v>
      </c>
      <c r="BW225" s="39">
        <f>VLOOKUP($A225,NetAdditions!$A$2:$H$336,6,FALSE)</f>
        <v>476</v>
      </c>
      <c r="BX225" s="39">
        <f>VLOOKUP($A225,NetAdditions!$A$2:$H$336,7,FALSE)</f>
        <v>508</v>
      </c>
      <c r="BY225" s="39">
        <f>IF((VLOOKUP($C225,NetAdditions!$A$2:$H$336,8,FALSE))="",(AVERAGE(VLOOKUP($C225,NetAdditions!$A$2:$H$336,5,FALSE),VLOOKUP($C225,NetAdditions!$A$2:$H$336,6,FALSE),VLOOKUP($C225,NetAdditions!$A$2:$H$336,7,FALSE))),VLOOKUP($C225,NetAdditions!$A$2:$H$336,8,FALSE))</f>
        <v>473</v>
      </c>
      <c r="BZ225" s="39">
        <f t="shared" si="242"/>
        <v>485.66666666666669</v>
      </c>
      <c r="CA225" s="39">
        <f t="shared" si="243"/>
        <v>488.88888888888891</v>
      </c>
      <c r="CB225" s="39">
        <f t="shared" si="244"/>
        <v>482.51851851851853</v>
      </c>
      <c r="CC225" s="39">
        <f t="shared" si="245"/>
        <v>485.6913580246914</v>
      </c>
      <c r="CD225" s="39">
        <f t="shared" si="246"/>
        <v>485.69958847736626</v>
      </c>
      <c r="CE225" s="276">
        <f t="shared" si="203"/>
        <v>517</v>
      </c>
      <c r="CF225" s="276">
        <f t="shared" si="204"/>
        <v>673</v>
      </c>
      <c r="CG225" s="276">
        <f t="shared" si="205"/>
        <v>827</v>
      </c>
      <c r="CH225" s="276">
        <f t="shared" si="206"/>
        <v>980</v>
      </c>
      <c r="CI225" s="276">
        <f t="shared" si="207"/>
        <v>970</v>
      </c>
      <c r="CJ225" s="276">
        <f t="shared" si="208"/>
        <v>953</v>
      </c>
      <c r="CK225" s="276">
        <f t="shared" si="247"/>
        <v>445.19444444444446</v>
      </c>
      <c r="CL225" s="276">
        <f t="shared" si="248"/>
        <v>579.52777777777783</v>
      </c>
      <c r="CM225" s="276">
        <f t="shared" si="249"/>
        <v>758.08333333333326</v>
      </c>
      <c r="CN225" s="276">
        <f t="shared" si="250"/>
        <v>980</v>
      </c>
      <c r="CO225" s="276">
        <f t="shared" si="251"/>
        <v>970</v>
      </c>
      <c r="CP225" s="276">
        <f t="shared" si="252"/>
        <v>953</v>
      </c>
      <c r="CQ225" s="39">
        <f t="shared" si="209"/>
        <v>1457</v>
      </c>
      <c r="CR225" s="39">
        <f t="shared" si="210"/>
        <v>1466.6666666666667</v>
      </c>
      <c r="CS225" s="277">
        <f t="shared" si="211"/>
        <v>1447.5555555555557</v>
      </c>
      <c r="CT225" s="39">
        <f t="shared" si="212"/>
        <v>1457.0740740740741</v>
      </c>
      <c r="CU225" s="39">
        <f t="shared" si="213"/>
        <v>1457.0987654320988</v>
      </c>
      <c r="CV225" s="39">
        <f t="shared" si="253"/>
        <v>1453.9094650205761</v>
      </c>
      <c r="CW225" s="297">
        <f t="shared" si="214"/>
        <v>3.2727272727272725</v>
      </c>
      <c r="CX225" s="279" t="str">
        <f t="shared" si="254"/>
        <v>Pass</v>
      </c>
      <c r="CY225" s="278">
        <f t="shared" si="215"/>
        <v>2.5307961462876865</v>
      </c>
      <c r="CZ225" s="279" t="str">
        <f t="shared" si="255"/>
        <v>Pass</v>
      </c>
      <c r="DA225" s="278">
        <f t="shared" si="216"/>
        <v>1.9094939723718445</v>
      </c>
      <c r="DB225" s="292" t="str">
        <f t="shared" si="256"/>
        <v>Pass</v>
      </c>
      <c r="DC225" s="299">
        <f t="shared" si="257"/>
        <v>1.4868102796674225</v>
      </c>
      <c r="DD225" s="293" t="str">
        <f t="shared" si="258"/>
        <v>Pass</v>
      </c>
      <c r="DE225" s="299">
        <f t="shared" si="259"/>
        <v>1.5021636757031946</v>
      </c>
      <c r="DF225" s="293" t="str">
        <f t="shared" si="260"/>
        <v>Pass</v>
      </c>
      <c r="DG225" s="299">
        <f t="shared" si="261"/>
        <v>1.5256132896333432</v>
      </c>
      <c r="DH225" s="293" t="str">
        <f t="shared" si="262"/>
        <v>Pass</v>
      </c>
    </row>
    <row r="226" spans="1:112" ht="15" thickTop="1" thickBot="1">
      <c r="A226" s="38" t="s">
        <v>562</v>
      </c>
      <c r="B226" s="38" t="s">
        <v>563</v>
      </c>
      <c r="C226" s="38" t="s">
        <v>562</v>
      </c>
      <c r="D226" s="38" t="s">
        <v>147</v>
      </c>
      <c r="E226" s="38" t="str">
        <f>VLOOKUP(C226,PoliticalControl!A:K,11,FALSE)</f>
        <v>CON</v>
      </c>
      <c r="F226" s="38" t="str">
        <f>VLOOKUP(C226,UrbanRuralClassification!A:N,13,FALSE)</f>
        <v xml:space="preserve">Largely Rural (rural including hub towns 50-79%) </v>
      </c>
      <c r="G226" s="38" t="str">
        <f>VLOOKUP(C226,UrbanRuralClassification!A:N,14,FALSE)</f>
        <v>Predominantly Rural</v>
      </c>
      <c r="H226" s="258">
        <f>IF(ISBLANK((VLOOKUP($A226,'local-plan-data'!$C$1:$AD$566,27,FALSE)))=TRUE,"",VLOOKUP($A226,'local-plan-data'!$C$1:$AD$566,27,FALSE))</f>
        <v>43516</v>
      </c>
      <c r="I226" s="259">
        <f>VLOOKUP($A226,'local-plan-data'!$C$1:$AD$566,28,FALSE)</f>
        <v>644.28571428571433</v>
      </c>
      <c r="J226" s="260">
        <f t="shared" si="217"/>
        <v>644.28571428571433</v>
      </c>
      <c r="K226" s="259">
        <f t="shared" si="263"/>
        <v>644.28571428571433</v>
      </c>
      <c r="L226" s="259">
        <f t="shared" si="201"/>
        <v>644.28571428571433</v>
      </c>
      <c r="M226" s="259">
        <f t="shared" si="201"/>
        <v>644.28571428571433</v>
      </c>
      <c r="N226" s="259">
        <f t="shared" si="201"/>
        <v>644.28571428571433</v>
      </c>
      <c r="O226" s="259">
        <f t="shared" si="201"/>
        <v>644.28571428571433</v>
      </c>
      <c r="P226" s="259">
        <f t="shared" si="201"/>
        <v>644.28571428571433</v>
      </c>
      <c r="Q226" s="259" t="str">
        <f t="shared" si="201"/>
        <v>-</v>
      </c>
      <c r="R226" s="259" t="str">
        <f t="shared" si="201"/>
        <v>-</v>
      </c>
      <c r="S226" s="259">
        <f t="shared" si="264"/>
        <v>2151</v>
      </c>
      <c r="T226" s="259">
        <f t="shared" si="202"/>
        <v>1786</v>
      </c>
      <c r="U226" s="259">
        <f t="shared" si="202"/>
        <v>1420</v>
      </c>
      <c r="V226" s="259">
        <f t="shared" si="202"/>
        <v>1055</v>
      </c>
      <c r="W226" s="259">
        <f t="shared" si="202"/>
        <v>690</v>
      </c>
      <c r="X226" s="259">
        <f t="shared" si="202"/>
        <v>325</v>
      </c>
      <c r="Y226" s="259">
        <f t="shared" si="202"/>
        <v>-41</v>
      </c>
      <c r="Z226" s="259">
        <f t="shared" si="202"/>
        <v>-406</v>
      </c>
      <c r="AA226" s="267">
        <f>(VLOOKUP(A226,Hshldprojections2014!$A$2:$AW$319,40, FALSE)-VLOOKUP(A226,Hshldprojections2014!$A$2:$AW$319,30, FALSE))/10</f>
        <v>579.29999999999995</v>
      </c>
      <c r="AB226" s="267">
        <f>(VLOOKUP(A226,Hshldprojections2014!$A$2:$AW$319,41, FALSE)-VLOOKUP(A226,Hshldprojections2014!$A$2:$AW$319,31, FALSE))/10</f>
        <v>574.29999999999995</v>
      </c>
      <c r="AC226" s="267">
        <f>(VLOOKUP(A226,Hshldprojections2014!$A$2:$AW$319,42, FALSE)-VLOOKUP(A226,Hshldprojections2014!$A$2:$AW$319,32, FALSE))/10</f>
        <v>569.4</v>
      </c>
      <c r="AD226" s="267">
        <f>IF(IndividualLATest!$J$7=2014,(VLOOKUP($A226,Hshldprojections2014!$A$2:$AY$326,43,FALSE)-VLOOKUP($A226,Hshldprojections2014!$A$2:$AY$326,33,FALSE))/10,IF(IndividualLATest!$J$7=2016,(VLOOKUP($A226,Hshldprojections2016!$A$1:$AQ$322,33,FALSE)-VLOOKUP($A226,Hshldprojections2016!$A$1:$AQ$322,23,FALSE))/10,(VLOOKUP($A226,Hshldprojections2018!$A$1:$AQ$327,33,FALSE)-VLOOKUP($A226,Hshldprojections2018!$A$1:$AQ$327,23,FALSE))/10))</f>
        <v>471.5</v>
      </c>
      <c r="AE226" s="267">
        <f>IF(IndividualLATest!$J$7=2014,(VLOOKUP($A226,Hshldprojections2014!$A$2:$AY$326,44,FALSE)-VLOOKUP($A226,Hshldprojections2014!$A$2:$AY$326,34,FALSE))/10,IF(IndividualLATest!$J$7=2016,(VLOOKUP($A226,Hshldprojections2016!$A$1:$AQ$322,34,FALSE)-VLOOKUP($A226,Hshldprojections2016!$A$1:$AQ$322,24,FALSE))/10,(VLOOKUP($A226,Hshldprojections2018!$A$1:$AQ$327,34,FALSE)-VLOOKUP($A226,Hshldprojections2018!$A$1:$AQ$327,24,FALSE))/10))</f>
        <v>459.9</v>
      </c>
      <c r="AF226" s="267">
        <f>IF(IndividualLATest!$J$7=2014,(VLOOKUP($A226,Hshldprojections2014!$A$2:$AY$326,45,FALSE)-VLOOKUP($A226,Hshldprojections2014!$A$2:$AY$326,35,FALSE))/10,IF(IndividualLATest!$J$7=2016,(VLOOKUP($A226,Hshldprojections2016!$A$1:$AQ$322,35,FALSE)-VLOOKUP($A226,Hshldprojections2016!$A$1:$AQ$322,25,FALSE))/10,(VLOOKUP($A226,Hshldprojections2018!$A$1:$AQ$327,35,FALSE)-VLOOKUP($A226,Hshldprojections2018!$A$1:$AQ$327,25,FALSE))/10))</f>
        <v>449.1</v>
      </c>
      <c r="AG226" s="267">
        <f>IF(IndividualLATest!$J$7=2014,(VLOOKUP($A226,Hshldprojections2014!$A$2:$AY$326,46,FALSE)-VLOOKUP($A226,Hshldprojections2014!$A$2:$AY$326,36,FALSE))/10,IF(IndividualLATest!$J$7=2016,(VLOOKUP($A226,Hshldprojections2016!$A$1:$AQ$322,36,FALSE)-VLOOKUP($A226,Hshldprojections2016!$A$1:$AQ$322,26,FALSE))/10,(VLOOKUP($A226,Hshldprojections2018!$A$1:$AQ$327,36,FALSE)-VLOOKUP($A226,Hshldprojections2018!$A$1:$AQ$327,26,FALSE))/10))</f>
        <v>440</v>
      </c>
      <c r="AH226" s="267">
        <f>IF(IndividualLATest!$J$7=2014,(VLOOKUP($A226,Hshldprojections2014!$A$2:$AY$326,47,FALSE)-VLOOKUP($A226,Hshldprojections2014!$A$2:$AY$326,37,FALSE))/10,IF(IndividualLATest!$J$7=2016,(VLOOKUP($A226,Hshldprojections2016!$A$1:$AQ$322,37,FALSE)-VLOOKUP($A226,Hshldprojections2016!$A$1:$AQ$322,27,FALSE))/10,(VLOOKUP($A226,Hshldprojections2018!$A$1:$AQ$327,37,FALSE)-VLOOKUP($A226,Hshldprojections2018!$A$1:$AQ$327,27,FALSE))/10))</f>
        <v>434.4</v>
      </c>
      <c r="AI226" s="268">
        <f>VLOOKUP($A226,AffordabilityRatio!$A$2:$I$321,5,FALSE)</f>
        <v>8.8699999999999992</v>
      </c>
      <c r="AJ226" s="268">
        <f>VLOOKUP($A226,AffordabilityRatio!$A$2:$I$321,6,FALSE)</f>
        <v>9.0500000000000007</v>
      </c>
      <c r="AK226" s="268">
        <f>VLOOKUP($A226,AffordabilityRatio!$A$2:$I$321,7,FALSE)</f>
        <v>8.76</v>
      </c>
      <c r="AL226" s="268">
        <f>IF((VLOOKUP($A226,AffordabilityRatio!$A$2:$I$321,8,FALSE))="",AK226,VLOOKUP($A226,AffordabilityRatio!$A$2:$I$321,8,FALSE))</f>
        <v>8.51</v>
      </c>
      <c r="AM226" s="268">
        <f>IF((VLOOKUP($A226,AffordabilityRatio!$A$2:$I$321,9,FALSE))="",AL226,VLOOKUP($A226,AffordabilityRatio!$A$2:$I$321,9,FALSE))</f>
        <v>9</v>
      </c>
      <c r="AN226" s="268">
        <f>IF((VLOOKUP($A226,AffordabilityRatio!$A$2:$I$321,9,FALSE))="",AM226,VLOOKUP($A226,AffordabilityRatio!$A$2:$I$321,9,FALSE))</f>
        <v>9</v>
      </c>
      <c r="AO226" s="268">
        <f>IF((VLOOKUP($A226,AffordabilityRatio!$A$2:$I$321,9,FALSE))="",AN226,VLOOKUP($A226,AffordabilityRatio!$A$2:$I$321,9,FALSE))</f>
        <v>9</v>
      </c>
      <c r="AP226" s="268">
        <f>IF((VLOOKUP($A226,AffordabilityRatio!$A$2:$I$321,9,FALSE))="",AO226,VLOOKUP($A226,AffordabilityRatio!$A$2:$I$321,9,FALSE))</f>
        <v>9</v>
      </c>
      <c r="AQ226" s="267">
        <f t="shared" si="218"/>
        <v>756</v>
      </c>
      <c r="AR226" s="267">
        <f t="shared" si="219"/>
        <v>756</v>
      </c>
      <c r="AS226" s="267">
        <f t="shared" si="220"/>
        <v>739</v>
      </c>
      <c r="AT226" s="267">
        <f t="shared" si="221"/>
        <v>604</v>
      </c>
      <c r="AU226" s="267">
        <f t="shared" si="222"/>
        <v>604</v>
      </c>
      <c r="AV226" s="267">
        <f t="shared" si="223"/>
        <v>589</v>
      </c>
      <c r="AW226" s="267">
        <f t="shared" si="224"/>
        <v>578</v>
      </c>
      <c r="AX226" s="267">
        <f t="shared" si="225"/>
        <v>570</v>
      </c>
      <c r="AY226" s="267">
        <f t="shared" si="226"/>
        <v>756</v>
      </c>
      <c r="AZ226" s="267">
        <f t="shared" si="227"/>
        <v>756</v>
      </c>
      <c r="BA226" s="267">
        <f t="shared" si="228"/>
        <v>739</v>
      </c>
      <c r="BB226" s="267">
        <f t="shared" si="229"/>
        <v>604</v>
      </c>
      <c r="BC226" s="267">
        <f t="shared" si="230"/>
        <v>604</v>
      </c>
      <c r="BD226" s="267">
        <f t="shared" si="231"/>
        <v>589</v>
      </c>
      <c r="BE226" s="267">
        <f t="shared" si="232"/>
        <v>578</v>
      </c>
      <c r="BF226" s="267">
        <f t="shared" si="233"/>
        <v>570</v>
      </c>
      <c r="BG226" s="269">
        <f>AY226*VLOOKUP($B226,'Major Cities &amp; Towns'!$A$28:$B$345,2,FALSE)</f>
        <v>756</v>
      </c>
      <c r="BH226" s="269">
        <f>AZ226*VLOOKUP($B226,'Major Cities &amp; Towns'!$A$28:$B$345,2,FALSE)</f>
        <v>756</v>
      </c>
      <c r="BI226" s="269">
        <f>BA226*VLOOKUP($B226,'Major Cities &amp; Towns'!$A$28:$B$345,2,FALSE)</f>
        <v>739</v>
      </c>
      <c r="BJ226" s="269">
        <f>BB226*VLOOKUP($B226,'Major Cities &amp; Towns'!$A$28:$B$345,2,FALSE)</f>
        <v>604</v>
      </c>
      <c r="BK226" s="269">
        <f>BC226*VLOOKUP($B226,'Major Cities &amp; Towns'!$A$28:$B$345,2,FALSE)</f>
        <v>604</v>
      </c>
      <c r="BL226" s="269">
        <f>BD226*VLOOKUP($B226,'Major Cities &amp; Towns'!$A$28:$B$345,2,FALSE)</f>
        <v>589</v>
      </c>
      <c r="BM226" s="269">
        <f>BE226*VLOOKUP($B226,'Major Cities &amp; Towns'!$A$28:$B$345,2,FALSE)</f>
        <v>578</v>
      </c>
      <c r="BN226" s="269">
        <f>BF226*VLOOKUP($B226,'Major Cities &amp; Towns'!$A$28:$B$345,2,FALSE)</f>
        <v>570</v>
      </c>
      <c r="BO226" s="270">
        <f t="shared" si="234"/>
        <v>644.28571428571433</v>
      </c>
      <c r="BP226" s="270">
        <f t="shared" si="235"/>
        <v>644.28571428571433</v>
      </c>
      <c r="BQ226" s="270">
        <f t="shared" si="236"/>
        <v>644.28571428571433</v>
      </c>
      <c r="BR226" s="270">
        <f t="shared" si="237"/>
        <v>604</v>
      </c>
      <c r="BS226" s="270">
        <f t="shared" si="238"/>
        <v>604</v>
      </c>
      <c r="BT226" s="270">
        <f t="shared" si="239"/>
        <v>589</v>
      </c>
      <c r="BU226" s="270">
        <f t="shared" si="240"/>
        <v>578</v>
      </c>
      <c r="BV226" s="270">
        <f t="shared" si="241"/>
        <v>570</v>
      </c>
      <c r="BW226" s="39">
        <f>VLOOKUP($A226,NetAdditions!$A$2:$H$336,6,FALSE)</f>
        <v>465</v>
      </c>
      <c r="BX226" s="39">
        <f>VLOOKUP($A226,NetAdditions!$A$2:$H$336,7,FALSE)</f>
        <v>544</v>
      </c>
      <c r="BY226" s="39">
        <f>IF((VLOOKUP($C226,NetAdditions!$A$2:$H$336,8,FALSE))="",(AVERAGE(VLOOKUP($C226,NetAdditions!$A$2:$H$336,5,FALSE),VLOOKUP($C226,NetAdditions!$A$2:$H$336,6,FALSE),VLOOKUP($C226,NetAdditions!$A$2:$H$336,7,FALSE))),VLOOKUP($C226,NetAdditions!$A$2:$H$336,8,FALSE))</f>
        <v>529</v>
      </c>
      <c r="BZ226" s="39">
        <f t="shared" si="242"/>
        <v>512.66666666666663</v>
      </c>
      <c r="CA226" s="39">
        <f t="shared" si="243"/>
        <v>528.55555555555554</v>
      </c>
      <c r="CB226" s="39">
        <f t="shared" si="244"/>
        <v>523.40740740740739</v>
      </c>
      <c r="CC226" s="39">
        <f t="shared" si="245"/>
        <v>521.54320987654319</v>
      </c>
      <c r="CD226" s="39">
        <f t="shared" si="246"/>
        <v>524.50205761316874</v>
      </c>
      <c r="CE226" s="276">
        <f t="shared" si="203"/>
        <v>1932.8571428571431</v>
      </c>
      <c r="CF226" s="276">
        <f t="shared" si="204"/>
        <v>1892.5714285714287</v>
      </c>
      <c r="CG226" s="276">
        <f t="shared" si="205"/>
        <v>1852.2857142857142</v>
      </c>
      <c r="CH226" s="276">
        <f t="shared" si="206"/>
        <v>1797</v>
      </c>
      <c r="CI226" s="276">
        <f t="shared" si="207"/>
        <v>1771</v>
      </c>
      <c r="CJ226" s="276">
        <f t="shared" si="208"/>
        <v>1737</v>
      </c>
      <c r="CK226" s="276">
        <f t="shared" si="247"/>
        <v>1664.4047619047622</v>
      </c>
      <c r="CL226" s="276">
        <f t="shared" si="248"/>
        <v>1629.7142857142858</v>
      </c>
      <c r="CM226" s="276">
        <f t="shared" si="249"/>
        <v>1697.9285714285713</v>
      </c>
      <c r="CN226" s="276">
        <f t="shared" si="250"/>
        <v>1797</v>
      </c>
      <c r="CO226" s="276">
        <f t="shared" si="251"/>
        <v>1771</v>
      </c>
      <c r="CP226" s="276">
        <f t="shared" si="252"/>
        <v>1737</v>
      </c>
      <c r="CQ226" s="39">
        <f t="shared" si="209"/>
        <v>1538</v>
      </c>
      <c r="CR226" s="39">
        <f t="shared" si="210"/>
        <v>1585.6666666666665</v>
      </c>
      <c r="CS226" s="277">
        <f t="shared" si="211"/>
        <v>1570.2222222222222</v>
      </c>
      <c r="CT226" s="39">
        <f t="shared" si="212"/>
        <v>1564.6296296296296</v>
      </c>
      <c r="CU226" s="39">
        <f t="shared" si="213"/>
        <v>1573.5061728395062</v>
      </c>
      <c r="CV226" s="39">
        <f t="shared" si="253"/>
        <v>1569.4526748971193</v>
      </c>
      <c r="CW226" s="297">
        <f t="shared" si="214"/>
        <v>0.92405407338530854</v>
      </c>
      <c r="CX226" s="279" t="str">
        <f t="shared" si="254"/>
        <v>Action Plan</v>
      </c>
      <c r="CY226" s="278">
        <f t="shared" si="215"/>
        <v>0.972972183263207</v>
      </c>
      <c r="CZ226" s="279" t="str">
        <f t="shared" si="255"/>
        <v>Pass</v>
      </c>
      <c r="DA226" s="278">
        <f t="shared" si="216"/>
        <v>0.92478697198734217</v>
      </c>
      <c r="DB226" s="292" t="str">
        <f t="shared" si="256"/>
        <v>Action Plan</v>
      </c>
      <c r="DC226" s="299">
        <f t="shared" si="257"/>
        <v>0.87068983284898693</v>
      </c>
      <c r="DD226" s="293" t="str">
        <f t="shared" si="258"/>
        <v>Action Plan</v>
      </c>
      <c r="DE226" s="299">
        <f t="shared" si="259"/>
        <v>0.88848456964398992</v>
      </c>
      <c r="DF226" s="293" t="str">
        <f t="shared" si="260"/>
        <v>Action Plan</v>
      </c>
      <c r="DG226" s="299">
        <f t="shared" si="261"/>
        <v>0.90354212717162885</v>
      </c>
      <c r="DH226" s="293" t="str">
        <f t="shared" si="262"/>
        <v>Action Plan</v>
      </c>
    </row>
    <row r="227" spans="1:112" ht="15" thickTop="1" thickBot="1">
      <c r="A227" s="38" t="s">
        <v>564</v>
      </c>
      <c r="B227" s="38" t="s">
        <v>565</v>
      </c>
      <c r="C227" s="38" t="s">
        <v>564</v>
      </c>
      <c r="D227" s="38" t="s">
        <v>116</v>
      </c>
      <c r="E227" s="38" t="str">
        <f>VLOOKUP(C227,PoliticalControl!A:K,11,FALSE)</f>
        <v>LAB</v>
      </c>
      <c r="F227" s="38" t="str">
        <f>VLOOKUP(C227,UrbanRuralClassification!A:N,13,FALSE)</f>
        <v>Urban with Major Conurbation</v>
      </c>
      <c r="G227" s="38" t="str">
        <f>VLOOKUP(C227,UrbanRuralClassification!A:N,14,FALSE)</f>
        <v>Predominantly Urban</v>
      </c>
      <c r="H227" s="258">
        <f>IF(ISBLANK((VLOOKUP($A227,'local-plan-data'!$C$1:$AD$566,27,FALSE)))=TRUE,"",VLOOKUP($A227,'local-plan-data'!$C$1:$AD$566,27,FALSE))</f>
        <v>42845</v>
      </c>
      <c r="I227" s="259">
        <f>VLOOKUP($A227,'local-plan-data'!$C$1:$AD$566,28,FALSE)</f>
        <v>640</v>
      </c>
      <c r="J227" s="260">
        <f t="shared" si="217"/>
        <v>640</v>
      </c>
      <c r="K227" s="259">
        <f t="shared" si="263"/>
        <v>640</v>
      </c>
      <c r="L227" s="259">
        <f t="shared" si="201"/>
        <v>640</v>
      </c>
      <c r="M227" s="259">
        <f t="shared" si="201"/>
        <v>640</v>
      </c>
      <c r="N227" s="259">
        <f t="shared" si="201"/>
        <v>640</v>
      </c>
      <c r="O227" s="259">
        <f t="shared" si="201"/>
        <v>640</v>
      </c>
      <c r="P227" s="259" t="str">
        <f t="shared" si="201"/>
        <v>-</v>
      </c>
      <c r="Q227" s="259" t="str">
        <f t="shared" si="201"/>
        <v>-</v>
      </c>
      <c r="R227" s="259" t="str">
        <f t="shared" si="201"/>
        <v>-</v>
      </c>
      <c r="S227" s="259">
        <f t="shared" si="264"/>
        <v>1480</v>
      </c>
      <c r="T227" s="259">
        <f t="shared" si="202"/>
        <v>1115</v>
      </c>
      <c r="U227" s="259">
        <f t="shared" si="202"/>
        <v>749</v>
      </c>
      <c r="V227" s="259">
        <f t="shared" si="202"/>
        <v>384</v>
      </c>
      <c r="W227" s="259">
        <f t="shared" si="202"/>
        <v>19</v>
      </c>
      <c r="X227" s="259">
        <f t="shared" si="202"/>
        <v>-346</v>
      </c>
      <c r="Y227" s="259">
        <f t="shared" si="202"/>
        <v>-712</v>
      </c>
      <c r="Z227" s="259">
        <f t="shared" si="202"/>
        <v>-1077</v>
      </c>
      <c r="AA227" s="267">
        <f>(VLOOKUP(A227,Hshldprojections2014!$A$2:$AW$319,40, FALSE)-VLOOKUP(A227,Hshldprojections2014!$A$2:$AW$319,30, FALSE))/10</f>
        <v>556.70000000000005</v>
      </c>
      <c r="AB227" s="267">
        <f>(VLOOKUP(A227,Hshldprojections2014!$A$2:$AW$319,41, FALSE)-VLOOKUP(A227,Hshldprojections2014!$A$2:$AW$319,31, FALSE))/10</f>
        <v>546.6</v>
      </c>
      <c r="AC227" s="267">
        <f>(VLOOKUP(A227,Hshldprojections2014!$A$2:$AW$319,42, FALSE)-VLOOKUP(A227,Hshldprojections2014!$A$2:$AW$319,32, FALSE))/10</f>
        <v>536.6</v>
      </c>
      <c r="AD227" s="267">
        <f>IF(IndividualLATest!$J$7=2014,(VLOOKUP($A227,Hshldprojections2014!$A$2:$AY$326,43,FALSE)-VLOOKUP($A227,Hshldprojections2014!$A$2:$AY$326,33,FALSE))/10,IF(IndividualLATest!$J$7=2016,(VLOOKUP($A227,Hshldprojections2016!$A$1:$AQ$322,33,FALSE)-VLOOKUP($A227,Hshldprojections2016!$A$1:$AQ$322,23,FALSE))/10,(VLOOKUP($A227,Hshldprojections2018!$A$1:$AQ$327,33,FALSE)-VLOOKUP($A227,Hshldprojections2018!$A$1:$AQ$327,23,FALSE))/10))</f>
        <v>510.9</v>
      </c>
      <c r="AE227" s="267">
        <f>IF(IndividualLATest!$J$7=2014,(VLOOKUP($A227,Hshldprojections2014!$A$2:$AY$326,44,FALSE)-VLOOKUP($A227,Hshldprojections2014!$A$2:$AY$326,34,FALSE))/10,IF(IndividualLATest!$J$7=2016,(VLOOKUP($A227,Hshldprojections2016!$A$1:$AQ$322,34,FALSE)-VLOOKUP($A227,Hshldprojections2016!$A$1:$AQ$322,24,FALSE))/10,(VLOOKUP($A227,Hshldprojections2018!$A$1:$AQ$327,34,FALSE)-VLOOKUP($A227,Hshldprojections2018!$A$1:$AQ$327,24,FALSE))/10))</f>
        <v>510.2</v>
      </c>
      <c r="AF227" s="267">
        <f>IF(IndividualLATest!$J$7=2014,(VLOOKUP($A227,Hshldprojections2014!$A$2:$AY$326,45,FALSE)-VLOOKUP($A227,Hshldprojections2014!$A$2:$AY$326,35,FALSE))/10,IF(IndividualLATest!$J$7=2016,(VLOOKUP($A227,Hshldprojections2016!$A$1:$AQ$322,35,FALSE)-VLOOKUP($A227,Hshldprojections2016!$A$1:$AQ$322,25,FALSE))/10,(VLOOKUP($A227,Hshldprojections2018!$A$1:$AQ$327,35,FALSE)-VLOOKUP($A227,Hshldprojections2018!$A$1:$AQ$327,25,FALSE))/10))</f>
        <v>515.5</v>
      </c>
      <c r="AG227" s="267">
        <f>IF(IndividualLATest!$J$7=2014,(VLOOKUP($A227,Hshldprojections2014!$A$2:$AY$326,46,FALSE)-VLOOKUP($A227,Hshldprojections2014!$A$2:$AY$326,36,FALSE))/10,IF(IndividualLATest!$J$7=2016,(VLOOKUP($A227,Hshldprojections2016!$A$1:$AQ$322,36,FALSE)-VLOOKUP($A227,Hshldprojections2016!$A$1:$AQ$322,26,FALSE))/10,(VLOOKUP($A227,Hshldprojections2018!$A$1:$AQ$327,36,FALSE)-VLOOKUP($A227,Hshldprojections2018!$A$1:$AQ$327,26,FALSE))/10))</f>
        <v>521.79999999999995</v>
      </c>
      <c r="AH227" s="267">
        <f>IF(IndividualLATest!$J$7=2014,(VLOOKUP($A227,Hshldprojections2014!$A$2:$AY$326,47,FALSE)-VLOOKUP($A227,Hshldprojections2014!$A$2:$AY$326,37,FALSE))/10,IF(IndividualLATest!$J$7=2016,(VLOOKUP($A227,Hshldprojections2016!$A$1:$AQ$322,37,FALSE)-VLOOKUP($A227,Hshldprojections2016!$A$1:$AQ$322,27,FALSE))/10,(VLOOKUP($A227,Hshldprojections2018!$A$1:$AQ$327,37,FALSE)-VLOOKUP($A227,Hshldprojections2018!$A$1:$AQ$327,27,FALSE))/10))</f>
        <v>532.79999999999995</v>
      </c>
      <c r="AI227" s="268">
        <f>VLOOKUP($A227,AffordabilityRatio!$A$2:$I$321,5,FALSE)</f>
        <v>6.56</v>
      </c>
      <c r="AJ227" s="268">
        <f>VLOOKUP($A227,AffordabilityRatio!$A$2:$I$321,6,FALSE)</f>
        <v>6.5</v>
      </c>
      <c r="AK227" s="268">
        <f>VLOOKUP($A227,AffordabilityRatio!$A$2:$I$321,7,FALSE)</f>
        <v>6.56</v>
      </c>
      <c r="AL227" s="268">
        <f>IF((VLOOKUP($A227,AffordabilityRatio!$A$2:$I$321,8,FALSE))="",AK227,VLOOKUP($A227,AffordabilityRatio!$A$2:$I$321,8,FALSE))</f>
        <v>6.48</v>
      </c>
      <c r="AM227" s="268">
        <f>IF((VLOOKUP($A227,AffordabilityRatio!$A$2:$I$321,9,FALSE))="",AL227,VLOOKUP($A227,AffordabilityRatio!$A$2:$I$321,9,FALSE))</f>
        <v>6.78</v>
      </c>
      <c r="AN227" s="268">
        <f>IF((VLOOKUP($A227,AffordabilityRatio!$A$2:$I$321,9,FALSE))="",AM227,VLOOKUP($A227,AffordabilityRatio!$A$2:$I$321,9,FALSE))</f>
        <v>6.78</v>
      </c>
      <c r="AO227" s="268">
        <f>IF((VLOOKUP($A227,AffordabilityRatio!$A$2:$I$321,9,FALSE))="",AN227,VLOOKUP($A227,AffordabilityRatio!$A$2:$I$321,9,FALSE))</f>
        <v>6.78</v>
      </c>
      <c r="AP227" s="268">
        <f>IF((VLOOKUP($A227,AffordabilityRatio!$A$2:$I$321,9,FALSE))="",AO227,VLOOKUP($A227,AffordabilityRatio!$A$2:$I$321,9,FALSE))</f>
        <v>6.78</v>
      </c>
      <c r="AQ227" s="267">
        <f t="shared" si="218"/>
        <v>646</v>
      </c>
      <c r="AR227" s="267">
        <f t="shared" si="219"/>
        <v>632</v>
      </c>
      <c r="AS227" s="267">
        <f t="shared" si="220"/>
        <v>622</v>
      </c>
      <c r="AT227" s="267">
        <f t="shared" si="221"/>
        <v>590</v>
      </c>
      <c r="AU227" s="267">
        <f t="shared" si="222"/>
        <v>599</v>
      </c>
      <c r="AV227" s="267">
        <f t="shared" si="223"/>
        <v>605</v>
      </c>
      <c r="AW227" s="267">
        <f t="shared" si="224"/>
        <v>612</v>
      </c>
      <c r="AX227" s="267">
        <f t="shared" si="225"/>
        <v>625</v>
      </c>
      <c r="AY227" s="267">
        <f t="shared" si="226"/>
        <v>646</v>
      </c>
      <c r="AZ227" s="267">
        <f t="shared" si="227"/>
        <v>632</v>
      </c>
      <c r="BA227" s="267">
        <f t="shared" si="228"/>
        <v>622</v>
      </c>
      <c r="BB227" s="267">
        <f t="shared" si="229"/>
        <v>590</v>
      </c>
      <c r="BC227" s="267">
        <f t="shared" si="230"/>
        <v>599</v>
      </c>
      <c r="BD227" s="267">
        <f t="shared" si="231"/>
        <v>605</v>
      </c>
      <c r="BE227" s="267">
        <f t="shared" si="232"/>
        <v>612</v>
      </c>
      <c r="BF227" s="267">
        <f t="shared" si="233"/>
        <v>625</v>
      </c>
      <c r="BG227" s="269">
        <f>AY227*VLOOKUP($B227,'Major Cities &amp; Towns'!$A$28:$B$345,2,FALSE)</f>
        <v>646</v>
      </c>
      <c r="BH227" s="269">
        <f>AZ227*VLOOKUP($B227,'Major Cities &amp; Towns'!$A$28:$B$345,2,FALSE)</f>
        <v>632</v>
      </c>
      <c r="BI227" s="269">
        <f>BA227*VLOOKUP($B227,'Major Cities &amp; Towns'!$A$28:$B$345,2,FALSE)</f>
        <v>622</v>
      </c>
      <c r="BJ227" s="269">
        <f>BB227*VLOOKUP($B227,'Major Cities &amp; Towns'!$A$28:$B$345,2,FALSE)</f>
        <v>590</v>
      </c>
      <c r="BK227" s="269">
        <f>BC227*VLOOKUP($B227,'Major Cities &amp; Towns'!$A$28:$B$345,2,FALSE)</f>
        <v>599</v>
      </c>
      <c r="BL227" s="269">
        <f>BD227*VLOOKUP($B227,'Major Cities &amp; Towns'!$A$28:$B$345,2,FALSE)</f>
        <v>605</v>
      </c>
      <c r="BM227" s="269">
        <f>BE227*VLOOKUP($B227,'Major Cities &amp; Towns'!$A$28:$B$345,2,FALSE)</f>
        <v>612</v>
      </c>
      <c r="BN227" s="269">
        <f>BF227*VLOOKUP($B227,'Major Cities &amp; Towns'!$A$28:$B$345,2,FALSE)</f>
        <v>625</v>
      </c>
      <c r="BO227" s="270">
        <f t="shared" si="234"/>
        <v>640</v>
      </c>
      <c r="BP227" s="270">
        <f t="shared" si="235"/>
        <v>632</v>
      </c>
      <c r="BQ227" s="270">
        <f t="shared" si="236"/>
        <v>622</v>
      </c>
      <c r="BR227" s="270">
        <f t="shared" si="237"/>
        <v>590</v>
      </c>
      <c r="BS227" s="270">
        <f t="shared" si="238"/>
        <v>599</v>
      </c>
      <c r="BT227" s="270">
        <f t="shared" si="239"/>
        <v>605</v>
      </c>
      <c r="BU227" s="270">
        <f t="shared" si="240"/>
        <v>612</v>
      </c>
      <c r="BV227" s="270">
        <f t="shared" si="241"/>
        <v>625</v>
      </c>
      <c r="BW227" s="39">
        <f>VLOOKUP($A227,NetAdditions!$A$2:$H$336,6,FALSE)</f>
        <v>577</v>
      </c>
      <c r="BX227" s="39">
        <f>VLOOKUP($A227,NetAdditions!$A$2:$H$336,7,FALSE)</f>
        <v>714</v>
      </c>
      <c r="BY227" s="39">
        <f>IF((VLOOKUP($C227,NetAdditions!$A$2:$H$336,8,FALSE))="",(AVERAGE(VLOOKUP($C227,NetAdditions!$A$2:$H$336,5,FALSE),VLOOKUP($C227,NetAdditions!$A$2:$H$336,6,FALSE),VLOOKUP($C227,NetAdditions!$A$2:$H$336,7,FALSE))),VLOOKUP($C227,NetAdditions!$A$2:$H$336,8,FALSE))</f>
        <v>721</v>
      </c>
      <c r="BZ227" s="39">
        <f t="shared" si="242"/>
        <v>670.66666666666663</v>
      </c>
      <c r="CA227" s="39">
        <f t="shared" si="243"/>
        <v>701.8888888888888</v>
      </c>
      <c r="CB227" s="39">
        <f t="shared" si="244"/>
        <v>697.85185185185173</v>
      </c>
      <c r="CC227" s="39">
        <f t="shared" si="245"/>
        <v>690.13580246913568</v>
      </c>
      <c r="CD227" s="39">
        <f t="shared" si="246"/>
        <v>696.62551440329207</v>
      </c>
      <c r="CE227" s="276">
        <f t="shared" si="203"/>
        <v>1894</v>
      </c>
      <c r="CF227" s="276">
        <f t="shared" si="204"/>
        <v>1844</v>
      </c>
      <c r="CG227" s="276">
        <f t="shared" si="205"/>
        <v>1811</v>
      </c>
      <c r="CH227" s="276">
        <f t="shared" si="206"/>
        <v>1794</v>
      </c>
      <c r="CI227" s="276">
        <f t="shared" si="207"/>
        <v>1816</v>
      </c>
      <c r="CJ227" s="276">
        <f t="shared" si="208"/>
        <v>1842</v>
      </c>
      <c r="CK227" s="276">
        <f t="shared" si="247"/>
        <v>1630.9444444444446</v>
      </c>
      <c r="CL227" s="276">
        <f t="shared" si="248"/>
        <v>1587.8888888888889</v>
      </c>
      <c r="CM227" s="276">
        <f t="shared" si="249"/>
        <v>1660.0833333333333</v>
      </c>
      <c r="CN227" s="276">
        <f t="shared" si="250"/>
        <v>1794</v>
      </c>
      <c r="CO227" s="276">
        <f t="shared" si="251"/>
        <v>1816</v>
      </c>
      <c r="CP227" s="276">
        <f t="shared" si="252"/>
        <v>1842</v>
      </c>
      <c r="CQ227" s="39">
        <f t="shared" si="209"/>
        <v>2012</v>
      </c>
      <c r="CR227" s="39">
        <f t="shared" si="210"/>
        <v>2105.6666666666665</v>
      </c>
      <c r="CS227" s="277">
        <f t="shared" si="211"/>
        <v>2093.5555555555552</v>
      </c>
      <c r="CT227" s="39">
        <f t="shared" si="212"/>
        <v>2070.4074074074069</v>
      </c>
      <c r="CU227" s="39">
        <f t="shared" si="213"/>
        <v>2089.8765432098762</v>
      </c>
      <c r="CV227" s="39">
        <f t="shared" si="253"/>
        <v>2084.6131687242796</v>
      </c>
      <c r="CW227" s="297">
        <f t="shared" si="214"/>
        <v>1.2336410396157644</v>
      </c>
      <c r="CX227" s="279" t="str">
        <f t="shared" si="254"/>
        <v>Pass</v>
      </c>
      <c r="CY227" s="278">
        <f t="shared" si="215"/>
        <v>1.3260793506402631</v>
      </c>
      <c r="CZ227" s="279" t="str">
        <f t="shared" si="255"/>
        <v>Pass</v>
      </c>
      <c r="DA227" s="278">
        <f t="shared" si="216"/>
        <v>1.2611147365426767</v>
      </c>
      <c r="DB227" s="292" t="str">
        <f t="shared" si="256"/>
        <v>Pass</v>
      </c>
      <c r="DC227" s="299">
        <f t="shared" si="257"/>
        <v>1.1540732482761467</v>
      </c>
      <c r="DD227" s="293" t="str">
        <f t="shared" si="258"/>
        <v>Pass</v>
      </c>
      <c r="DE227" s="299">
        <f t="shared" si="259"/>
        <v>1.1508130744547778</v>
      </c>
      <c r="DF227" s="293" t="str">
        <f t="shared" si="260"/>
        <v>Pass</v>
      </c>
      <c r="DG227" s="299">
        <f t="shared" si="261"/>
        <v>1.1317118179827794</v>
      </c>
      <c r="DH227" s="293" t="str">
        <f t="shared" si="262"/>
        <v>Pass</v>
      </c>
    </row>
    <row r="228" spans="1:112" ht="15" thickTop="1" thickBot="1">
      <c r="A228" s="38" t="s">
        <v>566</v>
      </c>
      <c r="B228" s="38" t="s">
        <v>567</v>
      </c>
      <c r="C228" s="38" t="s">
        <v>566</v>
      </c>
      <c r="D228" s="38" t="s">
        <v>136</v>
      </c>
      <c r="E228" s="38" t="str">
        <f>VLOOKUP(C228,PoliticalControl!A:K,11,FALSE)</f>
        <v>CON</v>
      </c>
      <c r="F228" s="38" t="str">
        <f>VLOOKUP(C228,UrbanRuralClassification!A:N,13,FALSE)</f>
        <v xml:space="preserve">Mainly Rural (rural including hub towns &gt;=80%) </v>
      </c>
      <c r="G228" s="38" t="str">
        <f>VLOOKUP(C228,UrbanRuralClassification!A:N,14,FALSE)</f>
        <v>Predominantly Rural</v>
      </c>
      <c r="H228" s="258">
        <f>IF(ISBLANK((VLOOKUP($A228,'local-plan-data'!$C$1:$AD$566,27,FALSE)))=TRUE,"",VLOOKUP($A228,'local-plan-data'!$C$1:$AD$566,27,FALSE))</f>
        <v>41569</v>
      </c>
      <c r="I228" s="259">
        <f>VLOOKUP($A228,'local-plan-data'!$C$1:$AD$566,28,FALSE)</f>
        <v>450</v>
      </c>
      <c r="J228" s="260">
        <f t="shared" si="217"/>
        <v>450</v>
      </c>
      <c r="K228" s="259">
        <f t="shared" si="263"/>
        <v>450</v>
      </c>
      <c r="L228" s="259" t="str">
        <f t="shared" si="201"/>
        <v>-</v>
      </c>
      <c r="M228" s="259" t="str">
        <f t="shared" si="201"/>
        <v>-</v>
      </c>
      <c r="N228" s="259" t="str">
        <f t="shared" si="201"/>
        <v>-</v>
      </c>
      <c r="O228" s="259" t="str">
        <f t="shared" si="201"/>
        <v>-</v>
      </c>
      <c r="P228" s="259" t="str">
        <f t="shared" ref="L228:R264" si="265">IF(AND(ISNUMBER($H228),ISNUMBER($J228)),IF(($H228-P$1&gt;0),$J228,IF(DATEDIF($H228,P$1,"y")&lt;5,$J228,"-")),"-")</f>
        <v>-</v>
      </c>
      <c r="Q228" s="259" t="str">
        <f t="shared" si="265"/>
        <v>-</v>
      </c>
      <c r="R228" s="259" t="str">
        <f t="shared" si="265"/>
        <v>-</v>
      </c>
      <c r="S228" s="259">
        <f t="shared" si="264"/>
        <v>204</v>
      </c>
      <c r="T228" s="259">
        <f t="shared" si="202"/>
        <v>-161</v>
      </c>
      <c r="U228" s="259">
        <f t="shared" si="202"/>
        <v>-527</v>
      </c>
      <c r="V228" s="259">
        <f t="shared" si="202"/>
        <v>-892</v>
      </c>
      <c r="W228" s="259">
        <f t="shared" si="202"/>
        <v>-1257</v>
      </c>
      <c r="X228" s="259">
        <f t="shared" ref="T228:Z264" si="266">IFERROR((EDATE($H228,60))-X$1,"-")</f>
        <v>-1622</v>
      </c>
      <c r="Y228" s="259">
        <f t="shared" si="266"/>
        <v>-1988</v>
      </c>
      <c r="Z228" s="259">
        <f t="shared" si="266"/>
        <v>-2353</v>
      </c>
      <c r="AA228" s="267">
        <f>(VLOOKUP(A228,Hshldprojections2014!$A$2:$AW$319,40, FALSE)-VLOOKUP(A228,Hshldprojections2014!$A$2:$AW$319,30, FALSE))/10</f>
        <v>311.2</v>
      </c>
      <c r="AB228" s="267">
        <f>(VLOOKUP(A228,Hshldprojections2014!$A$2:$AW$319,41, FALSE)-VLOOKUP(A228,Hshldprojections2014!$A$2:$AW$319,31, FALSE))/10</f>
        <v>300.89999999999998</v>
      </c>
      <c r="AC228" s="267">
        <f>(VLOOKUP(A228,Hshldprojections2014!$A$2:$AW$319,42, FALSE)-VLOOKUP(A228,Hshldprojections2014!$A$2:$AW$319,32, FALSE))/10</f>
        <v>292.60000000000002</v>
      </c>
      <c r="AD228" s="267">
        <f>IF(IndividualLATest!$J$7=2014,(VLOOKUP($A228,Hshldprojections2014!$A$2:$AY$326,43,FALSE)-VLOOKUP($A228,Hshldprojections2014!$A$2:$AY$326,33,FALSE))/10,IF(IndividualLATest!$J$7=2016,(VLOOKUP($A228,Hshldprojections2016!$A$1:$AQ$322,33,FALSE)-VLOOKUP($A228,Hshldprojections2016!$A$1:$AQ$322,23,FALSE))/10,(VLOOKUP($A228,Hshldprojections2018!$A$1:$AQ$327,33,FALSE)-VLOOKUP($A228,Hshldprojections2018!$A$1:$AQ$327,23,FALSE))/10))</f>
        <v>388.3</v>
      </c>
      <c r="AE228" s="267">
        <f>IF(IndividualLATest!$J$7=2014,(VLOOKUP($A228,Hshldprojections2014!$A$2:$AY$326,44,FALSE)-VLOOKUP($A228,Hshldprojections2014!$A$2:$AY$326,34,FALSE))/10,IF(IndividualLATest!$J$7=2016,(VLOOKUP($A228,Hshldprojections2016!$A$1:$AQ$322,34,FALSE)-VLOOKUP($A228,Hshldprojections2016!$A$1:$AQ$322,24,FALSE))/10,(VLOOKUP($A228,Hshldprojections2018!$A$1:$AQ$327,34,FALSE)-VLOOKUP($A228,Hshldprojections2018!$A$1:$AQ$327,24,FALSE))/10))</f>
        <v>374.9</v>
      </c>
      <c r="AF228" s="267">
        <f>IF(IndividualLATest!$J$7=2014,(VLOOKUP($A228,Hshldprojections2014!$A$2:$AY$326,45,FALSE)-VLOOKUP($A228,Hshldprojections2014!$A$2:$AY$326,35,FALSE))/10,IF(IndividualLATest!$J$7=2016,(VLOOKUP($A228,Hshldprojections2016!$A$1:$AQ$322,35,FALSE)-VLOOKUP($A228,Hshldprojections2016!$A$1:$AQ$322,25,FALSE))/10,(VLOOKUP($A228,Hshldprojections2018!$A$1:$AQ$327,35,FALSE)-VLOOKUP($A228,Hshldprojections2018!$A$1:$AQ$327,25,FALSE))/10))</f>
        <v>362.2</v>
      </c>
      <c r="AG228" s="267">
        <f>IF(IndividualLATest!$J$7=2014,(VLOOKUP($A228,Hshldprojections2014!$A$2:$AY$326,46,FALSE)-VLOOKUP($A228,Hshldprojections2014!$A$2:$AY$326,36,FALSE))/10,IF(IndividualLATest!$J$7=2016,(VLOOKUP($A228,Hshldprojections2016!$A$1:$AQ$322,36,FALSE)-VLOOKUP($A228,Hshldprojections2016!$A$1:$AQ$322,26,FALSE))/10,(VLOOKUP($A228,Hshldprojections2018!$A$1:$AQ$327,36,FALSE)-VLOOKUP($A228,Hshldprojections2018!$A$1:$AQ$327,26,FALSE))/10))</f>
        <v>349.4</v>
      </c>
      <c r="AH228" s="267">
        <f>IF(IndividualLATest!$J$7=2014,(VLOOKUP($A228,Hshldprojections2014!$A$2:$AY$326,47,FALSE)-VLOOKUP($A228,Hshldprojections2014!$A$2:$AY$326,37,FALSE))/10,IF(IndividualLATest!$J$7=2016,(VLOOKUP($A228,Hshldprojections2016!$A$1:$AQ$322,37,FALSE)-VLOOKUP($A228,Hshldprojections2016!$A$1:$AQ$322,27,FALSE))/10,(VLOOKUP($A228,Hshldprojections2018!$A$1:$AQ$327,37,FALSE)-VLOOKUP($A228,Hshldprojections2018!$A$1:$AQ$327,27,FALSE))/10))</f>
        <v>339</v>
      </c>
      <c r="AI228" s="268">
        <f>VLOOKUP($A228,AffordabilityRatio!$A$2:$I$321,5,FALSE)</f>
        <v>6.77</v>
      </c>
      <c r="AJ228" s="268">
        <f>VLOOKUP($A228,AffordabilityRatio!$A$2:$I$321,6,FALSE)</f>
        <v>6.68</v>
      </c>
      <c r="AK228" s="268">
        <f>VLOOKUP($A228,AffordabilityRatio!$A$2:$I$321,7,FALSE)</f>
        <v>6.72</v>
      </c>
      <c r="AL228" s="268">
        <f>IF((VLOOKUP($A228,AffordabilityRatio!$A$2:$I$321,8,FALSE))="",AK228,VLOOKUP($A228,AffordabilityRatio!$A$2:$I$321,8,FALSE))</f>
        <v>7.15</v>
      </c>
      <c r="AM228" s="268">
        <f>IF((VLOOKUP($A228,AffordabilityRatio!$A$2:$I$321,9,FALSE))="",AL228,VLOOKUP($A228,AffordabilityRatio!$A$2:$I$321,9,FALSE))</f>
        <v>7.07</v>
      </c>
      <c r="AN228" s="268">
        <f>IF((VLOOKUP($A228,AffordabilityRatio!$A$2:$I$321,9,FALSE))="",AM228,VLOOKUP($A228,AffordabilityRatio!$A$2:$I$321,9,FALSE))</f>
        <v>7.07</v>
      </c>
      <c r="AO228" s="268">
        <f>IF((VLOOKUP($A228,AffordabilityRatio!$A$2:$I$321,9,FALSE))="",AN228,VLOOKUP($A228,AffordabilityRatio!$A$2:$I$321,9,FALSE))</f>
        <v>7.07</v>
      </c>
      <c r="AP228" s="268">
        <f>IF((VLOOKUP($A228,AffordabilityRatio!$A$2:$I$321,9,FALSE))="",AO228,VLOOKUP($A228,AffordabilityRatio!$A$2:$I$321,9,FALSE))</f>
        <v>7.07</v>
      </c>
      <c r="AQ228" s="267">
        <f t="shared" si="218"/>
        <v>365</v>
      </c>
      <c r="AR228" s="267">
        <f t="shared" si="219"/>
        <v>351</v>
      </c>
      <c r="AS228" s="267">
        <f t="shared" si="220"/>
        <v>342</v>
      </c>
      <c r="AT228" s="267">
        <f t="shared" si="221"/>
        <v>465</v>
      </c>
      <c r="AU228" s="267">
        <f t="shared" si="222"/>
        <v>447</v>
      </c>
      <c r="AV228" s="267">
        <f t="shared" si="223"/>
        <v>432</v>
      </c>
      <c r="AW228" s="267">
        <f t="shared" si="224"/>
        <v>416</v>
      </c>
      <c r="AX228" s="267">
        <f t="shared" si="225"/>
        <v>404</v>
      </c>
      <c r="AY228" s="267">
        <f t="shared" si="226"/>
        <v>365</v>
      </c>
      <c r="AZ228" s="267">
        <f t="shared" si="227"/>
        <v>351</v>
      </c>
      <c r="BA228" s="267">
        <f t="shared" si="228"/>
        <v>342</v>
      </c>
      <c r="BB228" s="267">
        <f t="shared" si="229"/>
        <v>465</v>
      </c>
      <c r="BC228" s="267">
        <f t="shared" si="230"/>
        <v>447</v>
      </c>
      <c r="BD228" s="267">
        <f t="shared" si="231"/>
        <v>432</v>
      </c>
      <c r="BE228" s="267">
        <f t="shared" si="232"/>
        <v>416</v>
      </c>
      <c r="BF228" s="267">
        <f t="shared" si="233"/>
        <v>404</v>
      </c>
      <c r="BG228" s="269">
        <f>AY228*VLOOKUP($B228,'Major Cities &amp; Towns'!$A$28:$B$345,2,FALSE)</f>
        <v>365</v>
      </c>
      <c r="BH228" s="269">
        <f>AZ228*VLOOKUP($B228,'Major Cities &amp; Towns'!$A$28:$B$345,2,FALSE)</f>
        <v>351</v>
      </c>
      <c r="BI228" s="269">
        <f>BA228*VLOOKUP($B228,'Major Cities &amp; Towns'!$A$28:$B$345,2,FALSE)</f>
        <v>342</v>
      </c>
      <c r="BJ228" s="269">
        <f>BB228*VLOOKUP($B228,'Major Cities &amp; Towns'!$A$28:$B$345,2,FALSE)</f>
        <v>465</v>
      </c>
      <c r="BK228" s="269">
        <f>BC228*VLOOKUP($B228,'Major Cities &amp; Towns'!$A$28:$B$345,2,FALSE)</f>
        <v>447</v>
      </c>
      <c r="BL228" s="269">
        <f>BD228*VLOOKUP($B228,'Major Cities &amp; Towns'!$A$28:$B$345,2,FALSE)</f>
        <v>432</v>
      </c>
      <c r="BM228" s="269">
        <f>BE228*VLOOKUP($B228,'Major Cities &amp; Towns'!$A$28:$B$345,2,FALSE)</f>
        <v>416</v>
      </c>
      <c r="BN228" s="269">
        <f>BF228*VLOOKUP($B228,'Major Cities &amp; Towns'!$A$28:$B$345,2,FALSE)</f>
        <v>404</v>
      </c>
      <c r="BO228" s="270">
        <f t="shared" si="234"/>
        <v>365</v>
      </c>
      <c r="BP228" s="270">
        <f t="shared" si="235"/>
        <v>351</v>
      </c>
      <c r="BQ228" s="270">
        <f t="shared" si="236"/>
        <v>342</v>
      </c>
      <c r="BR228" s="270">
        <f t="shared" si="237"/>
        <v>465</v>
      </c>
      <c r="BS228" s="270">
        <f t="shared" si="238"/>
        <v>447</v>
      </c>
      <c r="BT228" s="270">
        <f t="shared" si="239"/>
        <v>432</v>
      </c>
      <c r="BU228" s="270">
        <f t="shared" si="240"/>
        <v>416</v>
      </c>
      <c r="BV228" s="270">
        <f t="shared" si="241"/>
        <v>404</v>
      </c>
      <c r="BW228" s="39">
        <f>VLOOKUP($A228,NetAdditions!$A$2:$H$336,6,FALSE)</f>
        <v>625</v>
      </c>
      <c r="BX228" s="39">
        <f>VLOOKUP($A228,NetAdditions!$A$2:$H$336,7,FALSE)</f>
        <v>492</v>
      </c>
      <c r="BY228" s="39">
        <f>IF((VLOOKUP($C228,NetAdditions!$A$2:$H$336,8,FALSE))="",(AVERAGE(VLOOKUP($C228,NetAdditions!$A$2:$H$336,5,FALSE),VLOOKUP($C228,NetAdditions!$A$2:$H$336,6,FALSE),VLOOKUP($C228,NetAdditions!$A$2:$H$336,7,FALSE))),VLOOKUP($C228,NetAdditions!$A$2:$H$336,8,FALSE))</f>
        <v>484</v>
      </c>
      <c r="BZ228" s="39">
        <f t="shared" si="242"/>
        <v>533.66666666666663</v>
      </c>
      <c r="CA228" s="39">
        <f t="shared" si="243"/>
        <v>503.22222222222217</v>
      </c>
      <c r="CB228" s="39">
        <f t="shared" si="244"/>
        <v>506.96296296296288</v>
      </c>
      <c r="CC228" s="39">
        <f t="shared" si="245"/>
        <v>514.61728395061721</v>
      </c>
      <c r="CD228" s="39">
        <f t="shared" si="246"/>
        <v>508.2674897119341</v>
      </c>
      <c r="CE228" s="276">
        <f t="shared" si="203"/>
        <v>1058</v>
      </c>
      <c r="CF228" s="276">
        <f t="shared" si="204"/>
        <v>1158</v>
      </c>
      <c r="CG228" s="276">
        <f t="shared" si="205"/>
        <v>1254</v>
      </c>
      <c r="CH228" s="276">
        <f t="shared" si="206"/>
        <v>1344</v>
      </c>
      <c r="CI228" s="276">
        <f t="shared" si="207"/>
        <v>1295</v>
      </c>
      <c r="CJ228" s="276">
        <f t="shared" si="208"/>
        <v>1252</v>
      </c>
      <c r="CK228" s="276">
        <f t="shared" si="247"/>
        <v>911.05555555555566</v>
      </c>
      <c r="CL228" s="276">
        <f t="shared" si="248"/>
        <v>997.16666666666674</v>
      </c>
      <c r="CM228" s="276">
        <f t="shared" si="249"/>
        <v>1149.5</v>
      </c>
      <c r="CN228" s="276">
        <f t="shared" si="250"/>
        <v>1344</v>
      </c>
      <c r="CO228" s="276">
        <f t="shared" si="251"/>
        <v>1295</v>
      </c>
      <c r="CP228" s="276">
        <f t="shared" si="252"/>
        <v>1252</v>
      </c>
      <c r="CQ228" s="39">
        <f t="shared" si="209"/>
        <v>1601</v>
      </c>
      <c r="CR228" s="39">
        <f t="shared" si="210"/>
        <v>1509.6666666666665</v>
      </c>
      <c r="CS228" s="277">
        <f t="shared" si="211"/>
        <v>1520.8888888888887</v>
      </c>
      <c r="CT228" s="39">
        <f t="shared" si="212"/>
        <v>1543.8518518518515</v>
      </c>
      <c r="CU228" s="39">
        <f t="shared" si="213"/>
        <v>1524.8024691358023</v>
      </c>
      <c r="CV228" s="39">
        <f t="shared" si="253"/>
        <v>1529.8477366255142</v>
      </c>
      <c r="CW228" s="297">
        <f t="shared" si="214"/>
        <v>1.7573022745289344</v>
      </c>
      <c r="CX228" s="279" t="str">
        <f t="shared" si="254"/>
        <v>Pass</v>
      </c>
      <c r="CY228" s="278">
        <f t="shared" si="215"/>
        <v>1.5139562092595684</v>
      </c>
      <c r="CZ228" s="279" t="str">
        <f t="shared" si="255"/>
        <v>Pass</v>
      </c>
      <c r="DA228" s="278">
        <f t="shared" si="216"/>
        <v>1.3230873326567105</v>
      </c>
      <c r="DB228" s="292" t="str">
        <f t="shared" si="256"/>
        <v>Pass</v>
      </c>
      <c r="DC228" s="299">
        <f t="shared" si="257"/>
        <v>1.1486992945326275</v>
      </c>
      <c r="DD228" s="293" t="str">
        <f t="shared" si="258"/>
        <v>Pass</v>
      </c>
      <c r="DE228" s="299">
        <f t="shared" si="259"/>
        <v>1.1774536441203107</v>
      </c>
      <c r="DF228" s="293" t="str">
        <f t="shared" si="260"/>
        <v>Pass</v>
      </c>
      <c r="DG228" s="299">
        <f t="shared" si="261"/>
        <v>1.2219231123206982</v>
      </c>
      <c r="DH228" s="293" t="str">
        <f t="shared" si="262"/>
        <v>Pass</v>
      </c>
    </row>
    <row r="229" spans="1:112" ht="15" thickTop="1" thickBot="1">
      <c r="A229" s="38" t="s">
        <v>568</v>
      </c>
      <c r="B229" s="38" t="s">
        <v>569</v>
      </c>
      <c r="C229" s="38" t="s">
        <v>568</v>
      </c>
      <c r="D229" s="38" t="s">
        <v>113</v>
      </c>
      <c r="E229" s="38" t="str">
        <f>VLOOKUP(C229,PoliticalControl!A:K,11,FALSE)</f>
        <v>CON</v>
      </c>
      <c r="F229" s="38" t="str">
        <f>VLOOKUP(C229,UrbanRuralClassification!A:N,13,FALSE)</f>
        <v xml:space="preserve">Largely Rural (rural including hub towns 50-79%) </v>
      </c>
      <c r="G229" s="38" t="str">
        <f>VLOOKUP(C229,UrbanRuralClassification!A:N,14,FALSE)</f>
        <v>Predominantly Rural</v>
      </c>
      <c r="H229" s="258">
        <f>IF(ISBLANK((VLOOKUP($A229,'local-plan-data'!$C$1:$AD$566,27,FALSE)))=TRUE,"",VLOOKUP($A229,'local-plan-data'!$C$1:$AD$566,27,FALSE))</f>
        <v>40596</v>
      </c>
      <c r="I229" s="259">
        <f>VLOOKUP($A229,'local-plan-data'!$C$1:$AD$566,28,FALSE)</f>
        <v>165</v>
      </c>
      <c r="J229" s="260">
        <f t="shared" si="217"/>
        <v>165</v>
      </c>
      <c r="K229" s="259" t="str">
        <f t="shared" si="263"/>
        <v>-</v>
      </c>
      <c r="L229" s="259" t="str">
        <f t="shared" si="265"/>
        <v>-</v>
      </c>
      <c r="M229" s="259" t="str">
        <f t="shared" si="265"/>
        <v>-</v>
      </c>
      <c r="N229" s="259" t="str">
        <f t="shared" si="265"/>
        <v>-</v>
      </c>
      <c r="O229" s="259" t="str">
        <f t="shared" si="265"/>
        <v>-</v>
      </c>
      <c r="P229" s="259" t="str">
        <f t="shared" si="265"/>
        <v>-</v>
      </c>
      <c r="Q229" s="259" t="str">
        <f t="shared" si="265"/>
        <v>-</v>
      </c>
      <c r="R229" s="259" t="str">
        <f t="shared" si="265"/>
        <v>-</v>
      </c>
      <c r="S229" s="259">
        <f t="shared" si="264"/>
        <v>-769</v>
      </c>
      <c r="T229" s="259">
        <f t="shared" si="266"/>
        <v>-1134</v>
      </c>
      <c r="U229" s="259">
        <f t="shared" si="266"/>
        <v>-1500</v>
      </c>
      <c r="V229" s="259">
        <f t="shared" si="266"/>
        <v>-1865</v>
      </c>
      <c r="W229" s="259">
        <f t="shared" si="266"/>
        <v>-2230</v>
      </c>
      <c r="X229" s="259">
        <f t="shared" si="266"/>
        <v>-2595</v>
      </c>
      <c r="Y229" s="259">
        <f t="shared" si="266"/>
        <v>-2961</v>
      </c>
      <c r="Z229" s="259">
        <f t="shared" si="266"/>
        <v>-3326</v>
      </c>
      <c r="AA229" s="267">
        <f>(VLOOKUP(A229,Hshldprojections2014!$A$2:$AW$319,40, FALSE)-VLOOKUP(A229,Hshldprojections2014!$A$2:$AW$319,30, FALSE))/10</f>
        <v>505.5</v>
      </c>
      <c r="AB229" s="267">
        <f>(VLOOKUP(A229,Hshldprojections2014!$A$2:$AW$319,41, FALSE)-VLOOKUP(A229,Hshldprojections2014!$A$2:$AW$319,31, FALSE))/10</f>
        <v>505.1</v>
      </c>
      <c r="AC229" s="267">
        <f>(VLOOKUP(A229,Hshldprojections2014!$A$2:$AW$319,42, FALSE)-VLOOKUP(A229,Hshldprojections2014!$A$2:$AW$319,32, FALSE))/10</f>
        <v>508.2</v>
      </c>
      <c r="AD229" s="267">
        <f>IF(IndividualLATest!$J$7=2014,(VLOOKUP($A229,Hshldprojections2014!$A$2:$AY$326,43,FALSE)-VLOOKUP($A229,Hshldprojections2014!$A$2:$AY$326,33,FALSE))/10,IF(IndividualLATest!$J$7=2016,(VLOOKUP($A229,Hshldprojections2016!$A$1:$AQ$322,33,FALSE)-VLOOKUP($A229,Hshldprojections2016!$A$1:$AQ$322,23,FALSE))/10,(VLOOKUP($A229,Hshldprojections2018!$A$1:$AQ$327,33,FALSE)-VLOOKUP($A229,Hshldprojections2018!$A$1:$AQ$327,23,FALSE))/10))</f>
        <v>315.60000000000002</v>
      </c>
      <c r="AE229" s="267">
        <f>IF(IndividualLATest!$J$7=2014,(VLOOKUP($A229,Hshldprojections2014!$A$2:$AY$326,44,FALSE)-VLOOKUP($A229,Hshldprojections2014!$A$2:$AY$326,34,FALSE))/10,IF(IndividualLATest!$J$7=2016,(VLOOKUP($A229,Hshldprojections2016!$A$1:$AQ$322,34,FALSE)-VLOOKUP($A229,Hshldprojections2016!$A$1:$AQ$322,24,FALSE))/10,(VLOOKUP($A229,Hshldprojections2018!$A$1:$AQ$327,34,FALSE)-VLOOKUP($A229,Hshldprojections2018!$A$1:$AQ$327,24,FALSE))/10))</f>
        <v>309.8</v>
      </c>
      <c r="AF229" s="267">
        <f>IF(IndividualLATest!$J$7=2014,(VLOOKUP($A229,Hshldprojections2014!$A$2:$AY$326,45,FALSE)-VLOOKUP($A229,Hshldprojections2014!$A$2:$AY$326,35,FALSE))/10,IF(IndividualLATest!$J$7=2016,(VLOOKUP($A229,Hshldprojections2016!$A$1:$AQ$322,35,FALSE)-VLOOKUP($A229,Hshldprojections2016!$A$1:$AQ$322,25,FALSE))/10,(VLOOKUP($A229,Hshldprojections2018!$A$1:$AQ$327,35,FALSE)-VLOOKUP($A229,Hshldprojections2018!$A$1:$AQ$327,25,FALSE))/10))</f>
        <v>301.7</v>
      </c>
      <c r="AG229" s="267">
        <f>IF(IndividualLATest!$J$7=2014,(VLOOKUP($A229,Hshldprojections2014!$A$2:$AY$326,46,FALSE)-VLOOKUP($A229,Hshldprojections2014!$A$2:$AY$326,36,FALSE))/10,IF(IndividualLATest!$J$7=2016,(VLOOKUP($A229,Hshldprojections2016!$A$1:$AQ$322,36,FALSE)-VLOOKUP($A229,Hshldprojections2016!$A$1:$AQ$322,26,FALSE))/10,(VLOOKUP($A229,Hshldprojections2018!$A$1:$AQ$327,36,FALSE)-VLOOKUP($A229,Hshldprojections2018!$A$1:$AQ$327,26,FALSE))/10))</f>
        <v>294.10000000000002</v>
      </c>
      <c r="AH229" s="267">
        <f>IF(IndividualLATest!$J$7=2014,(VLOOKUP($A229,Hshldprojections2014!$A$2:$AY$326,47,FALSE)-VLOOKUP($A229,Hshldprojections2014!$A$2:$AY$326,37,FALSE))/10,IF(IndividualLATest!$J$7=2016,(VLOOKUP($A229,Hshldprojections2016!$A$1:$AQ$322,37,FALSE)-VLOOKUP($A229,Hshldprojections2016!$A$1:$AQ$322,27,FALSE))/10,(VLOOKUP($A229,Hshldprojections2018!$A$1:$AQ$327,37,FALSE)-VLOOKUP($A229,Hshldprojections2018!$A$1:$AQ$327,27,FALSE))/10))</f>
        <v>292</v>
      </c>
      <c r="AI229" s="268">
        <f>VLOOKUP($A229,AffordabilityRatio!$A$2:$I$321,5,FALSE)</f>
        <v>14.73</v>
      </c>
      <c r="AJ229" s="268">
        <f>VLOOKUP($A229,AffordabilityRatio!$A$2:$I$321,6,FALSE)</f>
        <v>14.81</v>
      </c>
      <c r="AK229" s="268">
        <f>VLOOKUP($A229,AffordabilityRatio!$A$2:$I$321,7,FALSE)</f>
        <v>13.32</v>
      </c>
      <c r="AL229" s="268">
        <f>IF((VLOOKUP($A229,AffordabilityRatio!$A$2:$I$321,8,FALSE))="",AK229,VLOOKUP($A229,AffordabilityRatio!$A$2:$I$321,8,FALSE))</f>
        <v>12.43</v>
      </c>
      <c r="AM229" s="268">
        <f>IF((VLOOKUP($A229,AffordabilityRatio!$A$2:$I$321,9,FALSE))="",AL229,VLOOKUP($A229,AffordabilityRatio!$A$2:$I$321,9,FALSE))</f>
        <v>14.47</v>
      </c>
      <c r="AN229" s="268">
        <f>IF((VLOOKUP($A229,AffordabilityRatio!$A$2:$I$321,9,FALSE))="",AM229,VLOOKUP($A229,AffordabilityRatio!$A$2:$I$321,9,FALSE))</f>
        <v>14.47</v>
      </c>
      <c r="AO229" s="268">
        <f>IF((VLOOKUP($A229,AffordabilityRatio!$A$2:$I$321,9,FALSE))="",AN229,VLOOKUP($A229,AffordabilityRatio!$A$2:$I$321,9,FALSE))</f>
        <v>14.47</v>
      </c>
      <c r="AP229" s="268">
        <f>IF((VLOOKUP($A229,AffordabilityRatio!$A$2:$I$321,9,FALSE))="",AO229,VLOOKUP($A229,AffordabilityRatio!$A$2:$I$321,9,FALSE))</f>
        <v>14.47</v>
      </c>
      <c r="AQ229" s="267">
        <f t="shared" si="218"/>
        <v>845</v>
      </c>
      <c r="AR229" s="267">
        <f t="shared" si="219"/>
        <v>846</v>
      </c>
      <c r="AS229" s="267">
        <f t="shared" si="220"/>
        <v>804</v>
      </c>
      <c r="AT229" s="267">
        <f t="shared" si="221"/>
        <v>482</v>
      </c>
      <c r="AU229" s="267">
        <f t="shared" si="222"/>
        <v>513</v>
      </c>
      <c r="AV229" s="267">
        <f t="shared" si="223"/>
        <v>499</v>
      </c>
      <c r="AW229" s="267">
        <f t="shared" si="224"/>
        <v>487</v>
      </c>
      <c r="AX229" s="267">
        <f t="shared" si="225"/>
        <v>483</v>
      </c>
      <c r="AY229" s="267">
        <f t="shared" si="226"/>
        <v>707.7</v>
      </c>
      <c r="AZ229" s="267">
        <f t="shared" si="227"/>
        <v>707.1400000000001</v>
      </c>
      <c r="BA229" s="267">
        <f t="shared" si="228"/>
        <v>711.48</v>
      </c>
      <c r="BB229" s="267">
        <f t="shared" si="229"/>
        <v>441.84000000000003</v>
      </c>
      <c r="BC229" s="267">
        <f t="shared" si="230"/>
        <v>433.72</v>
      </c>
      <c r="BD229" s="267">
        <f t="shared" si="231"/>
        <v>422.38</v>
      </c>
      <c r="BE229" s="267">
        <f t="shared" si="232"/>
        <v>411.74</v>
      </c>
      <c r="BF229" s="267">
        <f t="shared" si="233"/>
        <v>408.8</v>
      </c>
      <c r="BG229" s="269">
        <f>AY229*VLOOKUP($B229,'Major Cities &amp; Towns'!$A$28:$B$345,2,FALSE)</f>
        <v>707.7</v>
      </c>
      <c r="BH229" s="269">
        <f>AZ229*VLOOKUP($B229,'Major Cities &amp; Towns'!$A$28:$B$345,2,FALSE)</f>
        <v>707.1400000000001</v>
      </c>
      <c r="BI229" s="269">
        <f>BA229*VLOOKUP($B229,'Major Cities &amp; Towns'!$A$28:$B$345,2,FALSE)</f>
        <v>711.48</v>
      </c>
      <c r="BJ229" s="269">
        <f>BB229*VLOOKUP($B229,'Major Cities &amp; Towns'!$A$28:$B$345,2,FALSE)</f>
        <v>441.84000000000003</v>
      </c>
      <c r="BK229" s="269">
        <f>BC229*VLOOKUP($B229,'Major Cities &amp; Towns'!$A$28:$B$345,2,FALSE)</f>
        <v>433.72</v>
      </c>
      <c r="BL229" s="269">
        <f>BD229*VLOOKUP($B229,'Major Cities &amp; Towns'!$A$28:$B$345,2,FALSE)</f>
        <v>422.38</v>
      </c>
      <c r="BM229" s="269">
        <f>BE229*VLOOKUP($B229,'Major Cities &amp; Towns'!$A$28:$B$345,2,FALSE)</f>
        <v>411.74</v>
      </c>
      <c r="BN229" s="269">
        <f>BF229*VLOOKUP($B229,'Major Cities &amp; Towns'!$A$28:$B$345,2,FALSE)</f>
        <v>408.8</v>
      </c>
      <c r="BO229" s="270">
        <f t="shared" si="234"/>
        <v>845</v>
      </c>
      <c r="BP229" s="270">
        <f t="shared" si="235"/>
        <v>846</v>
      </c>
      <c r="BQ229" s="270">
        <f t="shared" si="236"/>
        <v>804</v>
      </c>
      <c r="BR229" s="270">
        <f t="shared" si="237"/>
        <v>482</v>
      </c>
      <c r="BS229" s="270">
        <f t="shared" si="238"/>
        <v>513</v>
      </c>
      <c r="BT229" s="270">
        <f t="shared" si="239"/>
        <v>499</v>
      </c>
      <c r="BU229" s="270">
        <f t="shared" si="240"/>
        <v>487</v>
      </c>
      <c r="BV229" s="270">
        <f t="shared" si="241"/>
        <v>483</v>
      </c>
      <c r="BW229" s="39">
        <f>VLOOKUP($A229,NetAdditions!$A$2:$H$336,6,FALSE)</f>
        <v>255</v>
      </c>
      <c r="BX229" s="39">
        <f>VLOOKUP($A229,NetAdditions!$A$2:$H$336,7,FALSE)</f>
        <v>433</v>
      </c>
      <c r="BY229" s="39">
        <f>IF((VLOOKUP($C229,NetAdditions!$A$2:$H$336,8,FALSE))="",(AVERAGE(VLOOKUP($C229,NetAdditions!$A$2:$H$336,5,FALSE),VLOOKUP($C229,NetAdditions!$A$2:$H$336,6,FALSE),VLOOKUP($C229,NetAdditions!$A$2:$H$336,7,FALSE))),VLOOKUP($C229,NetAdditions!$A$2:$H$336,8,FALSE))</f>
        <v>216</v>
      </c>
      <c r="BZ229" s="39">
        <f t="shared" si="242"/>
        <v>301.33333333333331</v>
      </c>
      <c r="CA229" s="39">
        <f t="shared" si="243"/>
        <v>316.77777777777777</v>
      </c>
      <c r="CB229" s="39">
        <f t="shared" si="244"/>
        <v>278.03703703703701</v>
      </c>
      <c r="CC229" s="39">
        <f t="shared" si="245"/>
        <v>298.71604938271599</v>
      </c>
      <c r="CD229" s="39">
        <f t="shared" si="246"/>
        <v>297.84362139917693</v>
      </c>
      <c r="CE229" s="276">
        <f t="shared" si="203"/>
        <v>2495</v>
      </c>
      <c r="CF229" s="276">
        <f t="shared" si="204"/>
        <v>2132</v>
      </c>
      <c r="CG229" s="276">
        <f t="shared" si="205"/>
        <v>1799</v>
      </c>
      <c r="CH229" s="276">
        <f t="shared" si="206"/>
        <v>1494</v>
      </c>
      <c r="CI229" s="276">
        <f t="shared" si="207"/>
        <v>1499</v>
      </c>
      <c r="CJ229" s="276">
        <f t="shared" si="208"/>
        <v>1469</v>
      </c>
      <c r="CK229" s="276">
        <f t="shared" si="247"/>
        <v>2148.4722222222222</v>
      </c>
      <c r="CL229" s="276">
        <f t="shared" si="248"/>
        <v>1835.8888888888889</v>
      </c>
      <c r="CM229" s="276">
        <f t="shared" si="249"/>
        <v>1649.0833333333333</v>
      </c>
      <c r="CN229" s="276">
        <f t="shared" si="250"/>
        <v>1494</v>
      </c>
      <c r="CO229" s="276">
        <f t="shared" si="251"/>
        <v>1499</v>
      </c>
      <c r="CP229" s="276">
        <f t="shared" si="252"/>
        <v>1469</v>
      </c>
      <c r="CQ229" s="39">
        <f t="shared" si="209"/>
        <v>904</v>
      </c>
      <c r="CR229" s="39">
        <f t="shared" si="210"/>
        <v>950.33333333333326</v>
      </c>
      <c r="CS229" s="277">
        <f t="shared" si="211"/>
        <v>834.11111111111109</v>
      </c>
      <c r="CT229" s="39">
        <f t="shared" si="212"/>
        <v>896.14814814814804</v>
      </c>
      <c r="CU229" s="39">
        <f t="shared" si="213"/>
        <v>893.53086419753072</v>
      </c>
      <c r="CV229" s="39">
        <f t="shared" si="253"/>
        <v>874.59670781892987</v>
      </c>
      <c r="CW229" s="297">
        <f t="shared" si="214"/>
        <v>0.42076410886288707</v>
      </c>
      <c r="CX229" s="279" t="str">
        <f t="shared" si="254"/>
        <v>Buffer and Action Plan</v>
      </c>
      <c r="CY229" s="278">
        <f t="shared" si="215"/>
        <v>0.5176420746837741</v>
      </c>
      <c r="CZ229" s="279" t="str">
        <f t="shared" si="255"/>
        <v>Buffer and Action Plan</v>
      </c>
      <c r="DA229" s="278">
        <f t="shared" si="216"/>
        <v>0.50580288712584431</v>
      </c>
      <c r="DB229" s="292" t="str">
        <f t="shared" si="256"/>
        <v>Presumption</v>
      </c>
      <c r="DC229" s="299">
        <f t="shared" si="257"/>
        <v>0.59983142446328519</v>
      </c>
      <c r="DD229" s="293" t="str">
        <f t="shared" si="258"/>
        <v>Presumption</v>
      </c>
      <c r="DE229" s="299">
        <f t="shared" si="259"/>
        <v>0.59608463255338939</v>
      </c>
      <c r="DF229" s="293" t="str">
        <f t="shared" si="260"/>
        <v>Presumption</v>
      </c>
      <c r="DG229" s="299">
        <f t="shared" si="261"/>
        <v>0.59536875957721569</v>
      </c>
      <c r="DH229" s="293" t="str">
        <f t="shared" si="262"/>
        <v>Presumption</v>
      </c>
    </row>
    <row r="230" spans="1:112" ht="15" thickTop="1" thickBot="1">
      <c r="A230" s="38" t="s">
        <v>570</v>
      </c>
      <c r="B230" s="38" t="s">
        <v>571</v>
      </c>
      <c r="C230" s="38" t="s">
        <v>570</v>
      </c>
      <c r="D230" s="38" t="s">
        <v>136</v>
      </c>
      <c r="E230" s="38" t="str">
        <f>VLOOKUP(C230,PoliticalControl!A:K,11,FALSE)</f>
        <v>NOC</v>
      </c>
      <c r="F230" s="38" t="str">
        <f>VLOOKUP(C230,UrbanRuralClassification!A:N,13,FALSE)</f>
        <v>Urban with Minor Conurbation</v>
      </c>
      <c r="G230" s="38" t="str">
        <f>VLOOKUP(C230,UrbanRuralClassification!A:N,14,FALSE)</f>
        <v>Predominantly Urban</v>
      </c>
      <c r="H230" s="258">
        <f>IF(ISBLANK((VLOOKUP($A230,'local-plan-data'!$C$1:$AD$566,27,FALSE)))=TRUE,"",VLOOKUP($A230,'local-plan-data'!$C$1:$AD$566,27,FALSE))</f>
        <v>39876</v>
      </c>
      <c r="I230" s="259">
        <f>VLOOKUP($A230,'local-plan-data'!$C$1:$AD$566,28,FALSE)</f>
        <v>1352.2727272727273</v>
      </c>
      <c r="J230" s="260">
        <f t="shared" si="217"/>
        <v>1352.2727272727273</v>
      </c>
      <c r="K230" s="259" t="str">
        <f t="shared" si="263"/>
        <v>-</v>
      </c>
      <c r="L230" s="259" t="str">
        <f t="shared" si="265"/>
        <v>-</v>
      </c>
      <c r="M230" s="259" t="str">
        <f t="shared" si="265"/>
        <v>-</v>
      </c>
      <c r="N230" s="259" t="str">
        <f t="shared" si="265"/>
        <v>-</v>
      </c>
      <c r="O230" s="259" t="str">
        <f t="shared" si="265"/>
        <v>-</v>
      </c>
      <c r="P230" s="259" t="str">
        <f t="shared" si="265"/>
        <v>-</v>
      </c>
      <c r="Q230" s="259" t="str">
        <f t="shared" si="265"/>
        <v>-</v>
      </c>
      <c r="R230" s="259" t="str">
        <f t="shared" si="265"/>
        <v>-</v>
      </c>
      <c r="S230" s="259">
        <f t="shared" si="264"/>
        <v>-1489</v>
      </c>
      <c r="T230" s="259">
        <f t="shared" si="266"/>
        <v>-1854</v>
      </c>
      <c r="U230" s="259">
        <f t="shared" si="266"/>
        <v>-2220</v>
      </c>
      <c r="V230" s="259">
        <f t="shared" si="266"/>
        <v>-2585</v>
      </c>
      <c r="W230" s="259">
        <f t="shared" si="266"/>
        <v>-2950</v>
      </c>
      <c r="X230" s="259">
        <f t="shared" si="266"/>
        <v>-3315</v>
      </c>
      <c r="Y230" s="259">
        <f t="shared" si="266"/>
        <v>-3681</v>
      </c>
      <c r="Z230" s="259">
        <f t="shared" si="266"/>
        <v>-4046</v>
      </c>
      <c r="AA230" s="267">
        <f>(VLOOKUP(A230,Hshldprojections2014!$A$2:$AW$319,40, FALSE)-VLOOKUP(A230,Hshldprojections2014!$A$2:$AW$319,30, FALSE))/10</f>
        <v>1916.9</v>
      </c>
      <c r="AB230" s="267">
        <f>(VLOOKUP(A230,Hshldprojections2014!$A$2:$AW$319,41, FALSE)-VLOOKUP(A230,Hshldprojections2014!$A$2:$AW$319,31, FALSE))/10</f>
        <v>1919.9</v>
      </c>
      <c r="AC230" s="267">
        <f>(VLOOKUP(A230,Hshldprojections2014!$A$2:$AW$319,42, FALSE)-VLOOKUP(A230,Hshldprojections2014!$A$2:$AW$319,32, FALSE))/10</f>
        <v>1932</v>
      </c>
      <c r="AD230" s="267">
        <f>IF(IndividualLATest!$J$7=2014,(VLOOKUP($A230,Hshldprojections2014!$A$2:$AY$326,43,FALSE)-VLOOKUP($A230,Hshldprojections2014!$A$2:$AY$326,33,FALSE))/10,IF(IndividualLATest!$J$7=2016,(VLOOKUP($A230,Hshldprojections2016!$A$1:$AQ$322,33,FALSE)-VLOOKUP($A230,Hshldprojections2016!$A$1:$AQ$322,23,FALSE))/10,(VLOOKUP($A230,Hshldprojections2018!$A$1:$AQ$327,33,FALSE)-VLOOKUP($A230,Hshldprojections2018!$A$1:$AQ$327,23,FALSE))/10))</f>
        <v>1403.1</v>
      </c>
      <c r="AE230" s="267">
        <f>IF(IndividualLATest!$J$7=2014,(VLOOKUP($A230,Hshldprojections2014!$A$2:$AY$326,44,FALSE)-VLOOKUP($A230,Hshldprojections2014!$A$2:$AY$326,34,FALSE))/10,IF(IndividualLATest!$J$7=2016,(VLOOKUP($A230,Hshldprojections2016!$A$1:$AQ$322,34,FALSE)-VLOOKUP($A230,Hshldprojections2016!$A$1:$AQ$322,24,FALSE))/10,(VLOOKUP($A230,Hshldprojections2018!$A$1:$AQ$327,34,FALSE)-VLOOKUP($A230,Hshldprojections2018!$A$1:$AQ$327,24,FALSE))/10))</f>
        <v>1415.5</v>
      </c>
      <c r="AF230" s="267">
        <f>IF(IndividualLATest!$J$7=2014,(VLOOKUP($A230,Hshldprojections2014!$A$2:$AY$326,45,FALSE)-VLOOKUP($A230,Hshldprojections2014!$A$2:$AY$326,35,FALSE))/10,IF(IndividualLATest!$J$7=2016,(VLOOKUP($A230,Hshldprojections2016!$A$1:$AQ$322,35,FALSE)-VLOOKUP($A230,Hshldprojections2016!$A$1:$AQ$322,25,FALSE))/10,(VLOOKUP($A230,Hshldprojections2018!$A$1:$AQ$327,35,FALSE)-VLOOKUP($A230,Hshldprojections2018!$A$1:$AQ$327,25,FALSE))/10))</f>
        <v>1425.7</v>
      </c>
      <c r="AG230" s="267">
        <f>IF(IndividualLATest!$J$7=2014,(VLOOKUP($A230,Hshldprojections2014!$A$2:$AY$326,46,FALSE)-VLOOKUP($A230,Hshldprojections2014!$A$2:$AY$326,36,FALSE))/10,IF(IndividualLATest!$J$7=2016,(VLOOKUP($A230,Hshldprojections2016!$A$1:$AQ$322,36,FALSE)-VLOOKUP($A230,Hshldprojections2016!$A$1:$AQ$322,26,FALSE))/10,(VLOOKUP($A230,Hshldprojections2018!$A$1:$AQ$327,36,FALSE)-VLOOKUP($A230,Hshldprojections2018!$A$1:$AQ$327,26,FALSE))/10))</f>
        <v>1428.6</v>
      </c>
      <c r="AH230" s="267">
        <f>IF(IndividualLATest!$J$7=2014,(VLOOKUP($A230,Hshldprojections2014!$A$2:$AY$326,47,FALSE)-VLOOKUP($A230,Hshldprojections2014!$A$2:$AY$326,37,FALSE))/10,IF(IndividualLATest!$J$7=2016,(VLOOKUP($A230,Hshldprojections2016!$A$1:$AQ$322,37,FALSE)-VLOOKUP($A230,Hshldprojections2016!$A$1:$AQ$322,27,FALSE))/10,(VLOOKUP($A230,Hshldprojections2018!$A$1:$AQ$327,37,FALSE)-VLOOKUP($A230,Hshldprojections2018!$A$1:$AQ$327,27,FALSE))/10))</f>
        <v>1432.7</v>
      </c>
      <c r="AI230" s="268">
        <f>VLOOKUP($A230,AffordabilityRatio!$A$2:$I$321,5,FALSE)</f>
        <v>5.52</v>
      </c>
      <c r="AJ230" s="268">
        <f>VLOOKUP($A230,AffordabilityRatio!$A$2:$I$321,6,FALSE)</f>
        <v>5.66</v>
      </c>
      <c r="AK230" s="268">
        <f>VLOOKUP($A230,AffordabilityRatio!$A$2:$I$321,7,FALSE)</f>
        <v>5.65</v>
      </c>
      <c r="AL230" s="268">
        <f>IF((VLOOKUP($A230,AffordabilityRatio!$A$2:$I$321,8,FALSE))="",AK230,VLOOKUP($A230,AffordabilityRatio!$A$2:$I$321,8,FALSE))</f>
        <v>5.78</v>
      </c>
      <c r="AM230" s="268">
        <f>IF((VLOOKUP($A230,AffordabilityRatio!$A$2:$I$321,9,FALSE))="",AL230,VLOOKUP($A230,AffordabilityRatio!$A$2:$I$321,9,FALSE))</f>
        <v>6.14</v>
      </c>
      <c r="AN230" s="268">
        <f>IF((VLOOKUP($A230,AffordabilityRatio!$A$2:$I$321,9,FALSE))="",AM230,VLOOKUP($A230,AffordabilityRatio!$A$2:$I$321,9,FALSE))</f>
        <v>6.14</v>
      </c>
      <c r="AO230" s="268">
        <f>IF((VLOOKUP($A230,AffordabilityRatio!$A$2:$I$321,9,FALSE))="",AN230,VLOOKUP($A230,AffordabilityRatio!$A$2:$I$321,9,FALSE))</f>
        <v>6.14</v>
      </c>
      <c r="AP230" s="268">
        <f>IF((VLOOKUP($A230,AffordabilityRatio!$A$2:$I$321,9,FALSE))="",AO230,VLOOKUP($A230,AffordabilityRatio!$A$2:$I$321,9,FALSE))</f>
        <v>6.14</v>
      </c>
      <c r="AQ230" s="267">
        <f t="shared" si="218"/>
        <v>2099</v>
      </c>
      <c r="AR230" s="267">
        <f t="shared" si="219"/>
        <v>2119</v>
      </c>
      <c r="AS230" s="267">
        <f t="shared" si="220"/>
        <v>2131</v>
      </c>
      <c r="AT230" s="267">
        <f t="shared" si="221"/>
        <v>1559</v>
      </c>
      <c r="AU230" s="267">
        <f t="shared" si="222"/>
        <v>1605</v>
      </c>
      <c r="AV230" s="267">
        <f t="shared" si="223"/>
        <v>1616</v>
      </c>
      <c r="AW230" s="267">
        <f t="shared" si="224"/>
        <v>1620</v>
      </c>
      <c r="AX230" s="267">
        <f t="shared" si="225"/>
        <v>1624</v>
      </c>
      <c r="AY230" s="267">
        <f t="shared" si="226"/>
        <v>2099</v>
      </c>
      <c r="AZ230" s="267">
        <f t="shared" si="227"/>
        <v>2119</v>
      </c>
      <c r="BA230" s="267">
        <f t="shared" si="228"/>
        <v>2131</v>
      </c>
      <c r="BB230" s="267">
        <f t="shared" si="229"/>
        <v>1559</v>
      </c>
      <c r="BC230" s="267">
        <f t="shared" si="230"/>
        <v>1605</v>
      </c>
      <c r="BD230" s="267">
        <f t="shared" si="231"/>
        <v>1616</v>
      </c>
      <c r="BE230" s="267">
        <f t="shared" si="232"/>
        <v>1620</v>
      </c>
      <c r="BF230" s="267">
        <f t="shared" si="233"/>
        <v>1624</v>
      </c>
      <c r="BG230" s="269">
        <f>AY230*VLOOKUP($B230,'Major Cities &amp; Towns'!$A$28:$B$345,2,FALSE)</f>
        <v>2833.65</v>
      </c>
      <c r="BH230" s="269">
        <f>AZ230*VLOOKUP($B230,'Major Cities &amp; Towns'!$A$28:$B$345,2,FALSE)</f>
        <v>2860.65</v>
      </c>
      <c r="BI230" s="269">
        <f>BA230*VLOOKUP($B230,'Major Cities &amp; Towns'!$A$28:$B$345,2,FALSE)</f>
        <v>2876.8500000000004</v>
      </c>
      <c r="BJ230" s="269">
        <f>BB230*VLOOKUP($B230,'Major Cities &amp; Towns'!$A$28:$B$345,2,FALSE)</f>
        <v>2104.65</v>
      </c>
      <c r="BK230" s="269">
        <f>BC230*VLOOKUP($B230,'Major Cities &amp; Towns'!$A$28:$B$345,2,FALSE)</f>
        <v>2166.75</v>
      </c>
      <c r="BL230" s="269">
        <f>BD230*VLOOKUP($B230,'Major Cities &amp; Towns'!$A$28:$B$345,2,FALSE)</f>
        <v>2181.6000000000004</v>
      </c>
      <c r="BM230" s="269">
        <f>BE230*VLOOKUP($B230,'Major Cities &amp; Towns'!$A$28:$B$345,2,FALSE)</f>
        <v>2187</v>
      </c>
      <c r="BN230" s="269">
        <f>BF230*VLOOKUP($B230,'Major Cities &amp; Towns'!$A$28:$B$345,2,FALSE)</f>
        <v>2192.4</v>
      </c>
      <c r="BO230" s="270">
        <f t="shared" si="234"/>
        <v>2099</v>
      </c>
      <c r="BP230" s="270">
        <f t="shared" si="235"/>
        <v>2119</v>
      </c>
      <c r="BQ230" s="270">
        <f t="shared" si="236"/>
        <v>2131</v>
      </c>
      <c r="BR230" s="270">
        <f t="shared" si="237"/>
        <v>1559</v>
      </c>
      <c r="BS230" s="270">
        <f t="shared" si="238"/>
        <v>1605</v>
      </c>
      <c r="BT230" s="270">
        <f t="shared" si="239"/>
        <v>1616</v>
      </c>
      <c r="BU230" s="270">
        <f t="shared" si="240"/>
        <v>1620</v>
      </c>
      <c r="BV230" s="270">
        <f t="shared" si="241"/>
        <v>1624</v>
      </c>
      <c r="BW230" s="39">
        <f>VLOOKUP($A230,NetAdditions!$A$2:$H$336,6,FALSE)</f>
        <v>1976</v>
      </c>
      <c r="BX230" s="39">
        <f>VLOOKUP($A230,NetAdditions!$A$2:$H$336,7,FALSE)</f>
        <v>3083</v>
      </c>
      <c r="BY230" s="39">
        <f>IF((VLOOKUP($C230,NetAdditions!$A$2:$H$336,8,FALSE))="",(AVERAGE(VLOOKUP($C230,NetAdditions!$A$2:$H$336,5,FALSE),VLOOKUP($C230,NetAdditions!$A$2:$H$336,6,FALSE),VLOOKUP($C230,NetAdditions!$A$2:$H$336,7,FALSE))),VLOOKUP($C230,NetAdditions!$A$2:$H$336,8,FALSE))</f>
        <v>1850</v>
      </c>
      <c r="BZ230" s="39">
        <f t="shared" si="242"/>
        <v>2303</v>
      </c>
      <c r="CA230" s="39">
        <f t="shared" si="243"/>
        <v>2412</v>
      </c>
      <c r="CB230" s="39">
        <f t="shared" si="244"/>
        <v>2188.3333333333335</v>
      </c>
      <c r="CC230" s="39">
        <f t="shared" si="245"/>
        <v>2301.1111111111113</v>
      </c>
      <c r="CD230" s="39">
        <f t="shared" si="246"/>
        <v>2300.4814814814818</v>
      </c>
      <c r="CE230" s="276">
        <f t="shared" si="203"/>
        <v>6349</v>
      </c>
      <c r="CF230" s="276">
        <f t="shared" si="204"/>
        <v>5809</v>
      </c>
      <c r="CG230" s="276">
        <f t="shared" si="205"/>
        <v>5295</v>
      </c>
      <c r="CH230" s="276">
        <f t="shared" si="206"/>
        <v>4780</v>
      </c>
      <c r="CI230" s="276">
        <f t="shared" si="207"/>
        <v>4841</v>
      </c>
      <c r="CJ230" s="276">
        <f t="shared" si="208"/>
        <v>4860</v>
      </c>
      <c r="CK230" s="276">
        <f t="shared" si="247"/>
        <v>5467.1944444444443</v>
      </c>
      <c r="CL230" s="276">
        <f t="shared" si="248"/>
        <v>5002.1944444444443</v>
      </c>
      <c r="CM230" s="276">
        <f t="shared" si="249"/>
        <v>4853.75</v>
      </c>
      <c r="CN230" s="276">
        <f t="shared" si="250"/>
        <v>4780</v>
      </c>
      <c r="CO230" s="276">
        <f t="shared" si="251"/>
        <v>4841</v>
      </c>
      <c r="CP230" s="276">
        <f t="shared" si="252"/>
        <v>4860</v>
      </c>
      <c r="CQ230" s="39">
        <f t="shared" si="209"/>
        <v>6909</v>
      </c>
      <c r="CR230" s="39">
        <f t="shared" si="210"/>
        <v>7236</v>
      </c>
      <c r="CS230" s="277">
        <f t="shared" si="211"/>
        <v>6565</v>
      </c>
      <c r="CT230" s="39">
        <f t="shared" si="212"/>
        <v>6903.3333333333339</v>
      </c>
      <c r="CU230" s="39">
        <f t="shared" si="213"/>
        <v>6901.4444444444453</v>
      </c>
      <c r="CV230" s="39">
        <f t="shared" si="253"/>
        <v>6789.925925925927</v>
      </c>
      <c r="CW230" s="297">
        <f t="shared" si="214"/>
        <v>1.2637194579791586</v>
      </c>
      <c r="CX230" s="279" t="str">
        <f t="shared" si="254"/>
        <v>Pass</v>
      </c>
      <c r="CY230" s="278">
        <f t="shared" si="215"/>
        <v>1.4465651186423736</v>
      </c>
      <c r="CZ230" s="279" t="str">
        <f t="shared" si="255"/>
        <v>Pass</v>
      </c>
      <c r="DA230" s="278">
        <f t="shared" si="216"/>
        <v>1.3525624517125934</v>
      </c>
      <c r="DB230" s="292" t="str">
        <f t="shared" si="256"/>
        <v>Pass</v>
      </c>
      <c r="DC230" s="299">
        <f t="shared" si="257"/>
        <v>1.4442119944211995</v>
      </c>
      <c r="DD230" s="293" t="str">
        <f t="shared" si="258"/>
        <v>Pass</v>
      </c>
      <c r="DE230" s="299">
        <f t="shared" si="259"/>
        <v>1.425623723289495</v>
      </c>
      <c r="DF230" s="293" t="str">
        <f t="shared" si="260"/>
        <v>Pass</v>
      </c>
      <c r="DG230" s="299">
        <f t="shared" si="261"/>
        <v>1.3971040999847586</v>
      </c>
      <c r="DH230" s="293" t="str">
        <f t="shared" si="262"/>
        <v>Pass</v>
      </c>
    </row>
    <row r="231" spans="1:112" ht="15" thickTop="1" thickBot="1">
      <c r="A231" s="38" t="s">
        <v>572</v>
      </c>
      <c r="B231" s="38" t="s">
        <v>573</v>
      </c>
      <c r="C231" s="38" t="s">
        <v>572</v>
      </c>
      <c r="D231" s="38" t="s">
        <v>154</v>
      </c>
      <c r="E231" s="38" t="str">
        <f>VLOOKUP(C231,PoliticalControl!A:K,11,FALSE)</f>
        <v>CON</v>
      </c>
      <c r="F231" s="38" t="str">
        <f>VLOOKUP(C231,UrbanRuralClassification!A:N,13,FALSE)</f>
        <v xml:space="preserve">Largely Rural (rural including hub towns 50-79%) </v>
      </c>
      <c r="G231" s="38" t="str">
        <f>VLOOKUP(C231,UrbanRuralClassification!A:N,14,FALSE)</f>
        <v>Predominantly Rural</v>
      </c>
      <c r="H231" s="258">
        <f>IF(ISBLANK((VLOOKUP($A231,'local-plan-data'!$C$1:$AD$566,27,FALSE)))=TRUE,"",VLOOKUP($A231,'local-plan-data'!$C$1:$AD$566,27,FALSE))</f>
        <v>40598</v>
      </c>
      <c r="I231" s="259">
        <f>VLOOKUP($A231,'local-plan-data'!$C$1:$AD$566,28,FALSE)</f>
        <v>1375</v>
      </c>
      <c r="J231" s="260">
        <f t="shared" si="217"/>
        <v>1375</v>
      </c>
      <c r="K231" s="259" t="str">
        <f t="shared" si="263"/>
        <v>-</v>
      </c>
      <c r="L231" s="259" t="str">
        <f t="shared" si="265"/>
        <v>-</v>
      </c>
      <c r="M231" s="259" t="str">
        <f t="shared" si="265"/>
        <v>-</v>
      </c>
      <c r="N231" s="259" t="str">
        <f t="shared" si="265"/>
        <v>-</v>
      </c>
      <c r="O231" s="259" t="str">
        <f t="shared" si="265"/>
        <v>-</v>
      </c>
      <c r="P231" s="259" t="str">
        <f t="shared" si="265"/>
        <v>-</v>
      </c>
      <c r="Q231" s="259" t="str">
        <f t="shared" si="265"/>
        <v>-</v>
      </c>
      <c r="R231" s="259" t="str">
        <f t="shared" si="265"/>
        <v>-</v>
      </c>
      <c r="S231" s="259">
        <f t="shared" si="264"/>
        <v>-767</v>
      </c>
      <c r="T231" s="259">
        <f t="shared" si="266"/>
        <v>-1132</v>
      </c>
      <c r="U231" s="259">
        <f t="shared" si="266"/>
        <v>-1498</v>
      </c>
      <c r="V231" s="259">
        <f t="shared" si="266"/>
        <v>-1863</v>
      </c>
      <c r="W231" s="259">
        <f t="shared" si="266"/>
        <v>-2228</v>
      </c>
      <c r="X231" s="259">
        <f t="shared" si="266"/>
        <v>-2593</v>
      </c>
      <c r="Y231" s="259">
        <f t="shared" si="266"/>
        <v>-2959</v>
      </c>
      <c r="Z231" s="259">
        <f t="shared" si="266"/>
        <v>-3324</v>
      </c>
      <c r="AA231" s="267">
        <f>(VLOOKUP(A231,Hshldprojections2014!$A$2:$AW$319,40, FALSE)-VLOOKUP(A231,Hshldprojections2014!$A$2:$AW$319,30, FALSE))/10</f>
        <v>990.8</v>
      </c>
      <c r="AB231" s="267">
        <f>(VLOOKUP(A231,Hshldprojections2014!$A$2:$AW$319,41, FALSE)-VLOOKUP(A231,Hshldprojections2014!$A$2:$AW$319,31, FALSE))/10</f>
        <v>964.6</v>
      </c>
      <c r="AC231" s="267">
        <f>(VLOOKUP(A231,Hshldprojections2014!$A$2:$AW$319,42, FALSE)-VLOOKUP(A231,Hshldprojections2014!$A$2:$AW$319,32, FALSE))/10</f>
        <v>943</v>
      </c>
      <c r="AD231" s="267">
        <f>IF(IndividualLATest!$J$7=2014,(VLOOKUP($A231,Hshldprojections2014!$A$2:$AY$326,43,FALSE)-VLOOKUP($A231,Hshldprojections2014!$A$2:$AY$326,33,FALSE))/10,IF(IndividualLATest!$J$7=2016,(VLOOKUP($A231,Hshldprojections2016!$A$1:$AQ$322,33,FALSE)-VLOOKUP($A231,Hshldprojections2016!$A$1:$AQ$322,23,FALSE))/10,(VLOOKUP($A231,Hshldprojections2018!$A$1:$AQ$327,33,FALSE)-VLOOKUP($A231,Hshldprojections2018!$A$1:$AQ$327,23,FALSE))/10))</f>
        <v>1713.3</v>
      </c>
      <c r="AE231" s="267">
        <f>IF(IndividualLATest!$J$7=2014,(VLOOKUP($A231,Hshldprojections2014!$A$2:$AY$326,44,FALSE)-VLOOKUP($A231,Hshldprojections2014!$A$2:$AY$326,34,FALSE))/10,IF(IndividualLATest!$J$7=2016,(VLOOKUP($A231,Hshldprojections2016!$A$1:$AQ$322,34,FALSE)-VLOOKUP($A231,Hshldprojections2016!$A$1:$AQ$322,24,FALSE))/10,(VLOOKUP($A231,Hshldprojections2018!$A$1:$AQ$327,34,FALSE)-VLOOKUP($A231,Hshldprojections2018!$A$1:$AQ$327,24,FALSE))/10))</f>
        <v>1669.8</v>
      </c>
      <c r="AF231" s="267">
        <f>IF(IndividualLATest!$J$7=2014,(VLOOKUP($A231,Hshldprojections2014!$A$2:$AY$326,45,FALSE)-VLOOKUP($A231,Hshldprojections2014!$A$2:$AY$326,35,FALSE))/10,IF(IndividualLATest!$J$7=2016,(VLOOKUP($A231,Hshldprojections2016!$A$1:$AQ$322,35,FALSE)-VLOOKUP($A231,Hshldprojections2016!$A$1:$AQ$322,25,FALSE))/10,(VLOOKUP($A231,Hshldprojections2018!$A$1:$AQ$327,35,FALSE)-VLOOKUP($A231,Hshldprojections2018!$A$1:$AQ$327,25,FALSE))/10))</f>
        <v>1630.6</v>
      </c>
      <c r="AG231" s="267">
        <f>IF(IndividualLATest!$J$7=2014,(VLOOKUP($A231,Hshldprojections2014!$A$2:$AY$326,46,FALSE)-VLOOKUP($A231,Hshldprojections2014!$A$2:$AY$326,36,FALSE))/10,IF(IndividualLATest!$J$7=2016,(VLOOKUP($A231,Hshldprojections2016!$A$1:$AQ$322,36,FALSE)-VLOOKUP($A231,Hshldprojections2016!$A$1:$AQ$322,26,FALSE))/10,(VLOOKUP($A231,Hshldprojections2018!$A$1:$AQ$327,36,FALSE)-VLOOKUP($A231,Hshldprojections2018!$A$1:$AQ$327,26,FALSE))/10))</f>
        <v>1588.7</v>
      </c>
      <c r="AH231" s="267">
        <f>IF(IndividualLATest!$J$7=2014,(VLOOKUP($A231,Hshldprojections2014!$A$2:$AY$326,47,FALSE)-VLOOKUP($A231,Hshldprojections2014!$A$2:$AY$326,37,FALSE))/10,IF(IndividualLATest!$J$7=2016,(VLOOKUP($A231,Hshldprojections2016!$A$1:$AQ$322,37,FALSE)-VLOOKUP($A231,Hshldprojections2016!$A$1:$AQ$322,27,FALSE))/10,(VLOOKUP($A231,Hshldprojections2018!$A$1:$AQ$327,37,FALSE)-VLOOKUP($A231,Hshldprojections2018!$A$1:$AQ$327,27,FALSE))/10))</f>
        <v>1555.9</v>
      </c>
      <c r="AI231" s="268">
        <f>VLOOKUP($A231,AffordabilityRatio!$A$2:$I$321,5,FALSE)</f>
        <v>8.52</v>
      </c>
      <c r="AJ231" s="268">
        <f>VLOOKUP($A231,AffordabilityRatio!$A$2:$I$321,6,FALSE)</f>
        <v>8.11</v>
      </c>
      <c r="AK231" s="268">
        <f>VLOOKUP($A231,AffordabilityRatio!$A$2:$I$321,7,FALSE)</f>
        <v>8</v>
      </c>
      <c r="AL231" s="268">
        <f>IF((VLOOKUP($A231,AffordabilityRatio!$A$2:$I$321,8,FALSE))="",AK231,VLOOKUP($A231,AffordabilityRatio!$A$2:$I$321,8,FALSE))</f>
        <v>7.97</v>
      </c>
      <c r="AM231" s="268">
        <f>IF((VLOOKUP($A231,AffordabilityRatio!$A$2:$I$321,9,FALSE))="",AL231,VLOOKUP($A231,AffordabilityRatio!$A$2:$I$321,9,FALSE))</f>
        <v>9.0500000000000007</v>
      </c>
      <c r="AN231" s="268">
        <f>IF((VLOOKUP($A231,AffordabilityRatio!$A$2:$I$321,9,FALSE))="",AM231,VLOOKUP($A231,AffordabilityRatio!$A$2:$I$321,9,FALSE))</f>
        <v>9.0500000000000007</v>
      </c>
      <c r="AO231" s="268">
        <f>IF((VLOOKUP($A231,AffordabilityRatio!$A$2:$I$321,9,FALSE))="",AN231,VLOOKUP($A231,AffordabilityRatio!$A$2:$I$321,9,FALSE))</f>
        <v>9.0500000000000007</v>
      </c>
      <c r="AP231" s="268">
        <f>IF((VLOOKUP($A231,AffordabilityRatio!$A$2:$I$321,9,FALSE))="",AO231,VLOOKUP($A231,AffordabilityRatio!$A$2:$I$321,9,FALSE))</f>
        <v>9.0500000000000007</v>
      </c>
      <c r="AQ231" s="267">
        <f t="shared" si="218"/>
        <v>1271</v>
      </c>
      <c r="AR231" s="267">
        <f t="shared" si="219"/>
        <v>1212</v>
      </c>
      <c r="AS231" s="267">
        <f t="shared" si="220"/>
        <v>1179</v>
      </c>
      <c r="AT231" s="267">
        <f t="shared" si="221"/>
        <v>2138</v>
      </c>
      <c r="AU231" s="267">
        <f t="shared" si="222"/>
        <v>2197</v>
      </c>
      <c r="AV231" s="267">
        <f t="shared" si="223"/>
        <v>2145</v>
      </c>
      <c r="AW231" s="267">
        <f t="shared" si="224"/>
        <v>2090</v>
      </c>
      <c r="AX231" s="267">
        <f t="shared" si="225"/>
        <v>2047</v>
      </c>
      <c r="AY231" s="267">
        <f t="shared" si="226"/>
        <v>1271</v>
      </c>
      <c r="AZ231" s="267">
        <f t="shared" si="227"/>
        <v>1212</v>
      </c>
      <c r="BA231" s="267">
        <f t="shared" si="228"/>
        <v>1179</v>
      </c>
      <c r="BB231" s="267">
        <f t="shared" si="229"/>
        <v>2138</v>
      </c>
      <c r="BC231" s="267">
        <f t="shared" si="230"/>
        <v>2197</v>
      </c>
      <c r="BD231" s="267">
        <f t="shared" si="231"/>
        <v>2145</v>
      </c>
      <c r="BE231" s="267">
        <f t="shared" si="232"/>
        <v>2090</v>
      </c>
      <c r="BF231" s="267">
        <f t="shared" si="233"/>
        <v>2047</v>
      </c>
      <c r="BG231" s="269">
        <f>AY231*VLOOKUP($B231,'Major Cities &amp; Towns'!$A$28:$B$345,2,FALSE)</f>
        <v>1271</v>
      </c>
      <c r="BH231" s="269">
        <f>AZ231*VLOOKUP($B231,'Major Cities &amp; Towns'!$A$28:$B$345,2,FALSE)</f>
        <v>1212</v>
      </c>
      <c r="BI231" s="269">
        <f>BA231*VLOOKUP($B231,'Major Cities &amp; Towns'!$A$28:$B$345,2,FALSE)</f>
        <v>1179</v>
      </c>
      <c r="BJ231" s="269">
        <f>BB231*VLOOKUP($B231,'Major Cities &amp; Towns'!$A$28:$B$345,2,FALSE)</f>
        <v>2138</v>
      </c>
      <c r="BK231" s="269">
        <f>BC231*VLOOKUP($B231,'Major Cities &amp; Towns'!$A$28:$B$345,2,FALSE)</f>
        <v>2197</v>
      </c>
      <c r="BL231" s="269">
        <f>BD231*VLOOKUP($B231,'Major Cities &amp; Towns'!$A$28:$B$345,2,FALSE)</f>
        <v>2145</v>
      </c>
      <c r="BM231" s="269">
        <f>BE231*VLOOKUP($B231,'Major Cities &amp; Towns'!$A$28:$B$345,2,FALSE)</f>
        <v>2090</v>
      </c>
      <c r="BN231" s="269">
        <f>BF231*VLOOKUP($B231,'Major Cities &amp; Towns'!$A$28:$B$345,2,FALSE)</f>
        <v>2047</v>
      </c>
      <c r="BO231" s="270">
        <f t="shared" si="234"/>
        <v>1271</v>
      </c>
      <c r="BP231" s="270">
        <f t="shared" si="235"/>
        <v>1212</v>
      </c>
      <c r="BQ231" s="270">
        <f t="shared" si="236"/>
        <v>1179</v>
      </c>
      <c r="BR231" s="270">
        <f t="shared" si="237"/>
        <v>2138</v>
      </c>
      <c r="BS231" s="270">
        <f t="shared" si="238"/>
        <v>2197</v>
      </c>
      <c r="BT231" s="270">
        <f t="shared" si="239"/>
        <v>2145</v>
      </c>
      <c r="BU231" s="270">
        <f t="shared" si="240"/>
        <v>2090</v>
      </c>
      <c r="BV231" s="270">
        <f t="shared" si="241"/>
        <v>2047</v>
      </c>
      <c r="BW231" s="39">
        <f>VLOOKUP($A231,NetAdditions!$A$2:$H$336,6,FALSE)</f>
        <v>1816</v>
      </c>
      <c r="BX231" s="39">
        <f>VLOOKUP($A231,NetAdditions!$A$2:$H$336,7,FALSE)</f>
        <v>1542</v>
      </c>
      <c r="BY231" s="39">
        <f>IF((VLOOKUP($C231,NetAdditions!$A$2:$H$336,8,FALSE))="",(AVERAGE(VLOOKUP($C231,NetAdditions!$A$2:$H$336,5,FALSE),VLOOKUP($C231,NetAdditions!$A$2:$H$336,6,FALSE),VLOOKUP($C231,NetAdditions!$A$2:$H$336,7,FALSE))),VLOOKUP($C231,NetAdditions!$A$2:$H$336,8,FALSE))</f>
        <v>1582</v>
      </c>
      <c r="BZ231" s="39">
        <f t="shared" si="242"/>
        <v>1646.6666666666667</v>
      </c>
      <c r="CA231" s="39">
        <f t="shared" si="243"/>
        <v>1590.2222222222224</v>
      </c>
      <c r="CB231" s="39">
        <f t="shared" si="244"/>
        <v>1606.2962962962965</v>
      </c>
      <c r="CC231" s="39">
        <f t="shared" si="245"/>
        <v>1614.3950617283954</v>
      </c>
      <c r="CD231" s="39">
        <f t="shared" si="246"/>
        <v>1603.6378600823048</v>
      </c>
      <c r="CE231" s="276">
        <f t="shared" si="203"/>
        <v>3662</v>
      </c>
      <c r="CF231" s="276">
        <f t="shared" si="204"/>
        <v>4529</v>
      </c>
      <c r="CG231" s="276">
        <f t="shared" si="205"/>
        <v>5514</v>
      </c>
      <c r="CH231" s="276">
        <f t="shared" si="206"/>
        <v>6480</v>
      </c>
      <c r="CI231" s="276">
        <f t="shared" si="207"/>
        <v>6432</v>
      </c>
      <c r="CJ231" s="276">
        <f t="shared" si="208"/>
        <v>6282</v>
      </c>
      <c r="CK231" s="276">
        <f t="shared" si="247"/>
        <v>3153.3888888888891</v>
      </c>
      <c r="CL231" s="276">
        <f t="shared" si="248"/>
        <v>3899.9722222222226</v>
      </c>
      <c r="CM231" s="276">
        <f t="shared" si="249"/>
        <v>5054.5</v>
      </c>
      <c r="CN231" s="276">
        <f t="shared" si="250"/>
        <v>6480</v>
      </c>
      <c r="CO231" s="276">
        <f t="shared" si="251"/>
        <v>6432</v>
      </c>
      <c r="CP231" s="276">
        <f t="shared" si="252"/>
        <v>6282</v>
      </c>
      <c r="CQ231" s="39">
        <f t="shared" si="209"/>
        <v>4940</v>
      </c>
      <c r="CR231" s="39">
        <f t="shared" si="210"/>
        <v>4770.666666666667</v>
      </c>
      <c r="CS231" s="277">
        <f t="shared" si="211"/>
        <v>4818.8888888888896</v>
      </c>
      <c r="CT231" s="39">
        <f t="shared" si="212"/>
        <v>4843.1851851851861</v>
      </c>
      <c r="CU231" s="39">
        <f t="shared" si="213"/>
        <v>4810.9135802469145</v>
      </c>
      <c r="CV231" s="39">
        <f t="shared" si="253"/>
        <v>4824.3292181069964</v>
      </c>
      <c r="CW231" s="297">
        <f t="shared" si="214"/>
        <v>1.5665685946336392</v>
      </c>
      <c r="CX231" s="279" t="str">
        <f t="shared" si="254"/>
        <v>Pass</v>
      </c>
      <c r="CY231" s="278">
        <f t="shared" si="215"/>
        <v>1.2232565759015377</v>
      </c>
      <c r="CZ231" s="279" t="str">
        <f t="shared" si="255"/>
        <v>Pass</v>
      </c>
      <c r="DA231" s="278">
        <f t="shared" si="216"/>
        <v>0.95338587177542577</v>
      </c>
      <c r="DB231" s="292" t="str">
        <f t="shared" si="256"/>
        <v>Pass</v>
      </c>
      <c r="DC231" s="299">
        <f t="shared" si="257"/>
        <v>0.74740512117055347</v>
      </c>
      <c r="DD231" s="293" t="str">
        <f t="shared" si="258"/>
        <v>Presumption</v>
      </c>
      <c r="DE231" s="299">
        <f t="shared" si="259"/>
        <v>0.74796541981450781</v>
      </c>
      <c r="DF231" s="293" t="str">
        <f t="shared" si="260"/>
        <v>Presumption</v>
      </c>
      <c r="DG231" s="299">
        <f t="shared" si="261"/>
        <v>0.76796071603104055</v>
      </c>
      <c r="DH231" s="293" t="str">
        <f t="shared" si="262"/>
        <v>Buffer and Action Plan</v>
      </c>
    </row>
    <row r="232" spans="1:112" ht="15" thickTop="1" thickBot="1">
      <c r="A232" s="38" t="s">
        <v>574</v>
      </c>
      <c r="B232" s="38" t="s">
        <v>575</v>
      </c>
      <c r="C232" s="38" t="s">
        <v>574</v>
      </c>
      <c r="D232" s="38" t="s">
        <v>113</v>
      </c>
      <c r="E232" s="38" t="str">
        <f>VLOOKUP(C232,PoliticalControl!A:K,11,FALSE)</f>
        <v>LAB</v>
      </c>
      <c r="F232" s="38" t="str">
        <f>VLOOKUP(C232,UrbanRuralClassification!A:N,13,FALSE)</f>
        <v>Urban with City and Town</v>
      </c>
      <c r="G232" s="38" t="str">
        <f>VLOOKUP(C232,UrbanRuralClassification!A:N,14,FALSE)</f>
        <v>Predominantly Urban</v>
      </c>
      <c r="H232" s="258">
        <f>IF(ISBLANK((VLOOKUP($A232,'local-plan-data'!$C$1:$AD$566,27,FALSE)))=TRUE,"",VLOOKUP($A232,'local-plan-data'!$C$1:$AD$566,27,FALSE))</f>
        <v>39798</v>
      </c>
      <c r="I232" s="259">
        <f>VLOOKUP($A232,'local-plan-data'!$C$1:$AD$566,28,FALSE)</f>
        <v>312.5</v>
      </c>
      <c r="J232" s="260">
        <f t="shared" si="217"/>
        <v>312.5</v>
      </c>
      <c r="K232" s="259" t="str">
        <f t="shared" si="263"/>
        <v>-</v>
      </c>
      <c r="L232" s="259" t="str">
        <f t="shared" si="265"/>
        <v>-</v>
      </c>
      <c r="M232" s="259" t="str">
        <f t="shared" si="265"/>
        <v>-</v>
      </c>
      <c r="N232" s="259" t="str">
        <f t="shared" si="265"/>
        <v>-</v>
      </c>
      <c r="O232" s="259" t="str">
        <f t="shared" si="265"/>
        <v>-</v>
      </c>
      <c r="P232" s="259" t="str">
        <f t="shared" si="265"/>
        <v>-</v>
      </c>
      <c r="Q232" s="259" t="str">
        <f t="shared" si="265"/>
        <v>-</v>
      </c>
      <c r="R232" s="259" t="str">
        <f t="shared" si="265"/>
        <v>-</v>
      </c>
      <c r="S232" s="259">
        <f t="shared" si="264"/>
        <v>-1567</v>
      </c>
      <c r="T232" s="259">
        <f t="shared" si="266"/>
        <v>-1932</v>
      </c>
      <c r="U232" s="259">
        <f t="shared" si="266"/>
        <v>-2298</v>
      </c>
      <c r="V232" s="259">
        <f t="shared" si="266"/>
        <v>-2663</v>
      </c>
      <c r="W232" s="259">
        <f t="shared" si="266"/>
        <v>-3028</v>
      </c>
      <c r="X232" s="259">
        <f t="shared" si="266"/>
        <v>-3393</v>
      </c>
      <c r="Y232" s="259">
        <f t="shared" si="266"/>
        <v>-3759</v>
      </c>
      <c r="Z232" s="259">
        <f t="shared" si="266"/>
        <v>-4124</v>
      </c>
      <c r="AA232" s="267">
        <f>(VLOOKUP(A232,Hshldprojections2014!$A$2:$AW$319,40, FALSE)-VLOOKUP(A232,Hshldprojections2014!$A$2:$AW$319,30, FALSE))/10</f>
        <v>679</v>
      </c>
      <c r="AB232" s="267">
        <f>(VLOOKUP(A232,Hshldprojections2014!$A$2:$AW$319,41, FALSE)-VLOOKUP(A232,Hshldprojections2014!$A$2:$AW$319,31, FALSE))/10</f>
        <v>667.9</v>
      </c>
      <c r="AC232" s="267">
        <f>(VLOOKUP(A232,Hshldprojections2014!$A$2:$AW$319,42, FALSE)-VLOOKUP(A232,Hshldprojections2014!$A$2:$AW$319,32, FALSE))/10</f>
        <v>659.1</v>
      </c>
      <c r="AD232" s="267">
        <f>IF(IndividualLATest!$J$7=2014,(VLOOKUP($A232,Hshldprojections2014!$A$2:$AY$326,43,FALSE)-VLOOKUP($A232,Hshldprojections2014!$A$2:$AY$326,33,FALSE))/10,IF(IndividualLATest!$J$7=2016,(VLOOKUP($A232,Hshldprojections2016!$A$1:$AQ$322,33,FALSE)-VLOOKUP($A232,Hshldprojections2016!$A$1:$AQ$322,23,FALSE))/10,(VLOOKUP($A232,Hshldprojections2018!$A$1:$AQ$327,33,FALSE)-VLOOKUP($A232,Hshldprojections2018!$A$1:$AQ$327,23,FALSE))/10))</f>
        <v>262.7</v>
      </c>
      <c r="AE232" s="267">
        <f>IF(IndividualLATest!$J$7=2014,(VLOOKUP($A232,Hshldprojections2014!$A$2:$AY$326,44,FALSE)-VLOOKUP($A232,Hshldprojections2014!$A$2:$AY$326,34,FALSE))/10,IF(IndividualLATest!$J$7=2016,(VLOOKUP($A232,Hshldprojections2016!$A$1:$AQ$322,34,FALSE)-VLOOKUP($A232,Hshldprojections2016!$A$1:$AQ$322,24,FALSE))/10,(VLOOKUP($A232,Hshldprojections2018!$A$1:$AQ$327,34,FALSE)-VLOOKUP($A232,Hshldprojections2018!$A$1:$AQ$327,24,FALSE))/10))</f>
        <v>248.6</v>
      </c>
      <c r="AF232" s="267">
        <f>IF(IndividualLATest!$J$7=2014,(VLOOKUP($A232,Hshldprojections2014!$A$2:$AY$326,45,FALSE)-VLOOKUP($A232,Hshldprojections2014!$A$2:$AY$326,35,FALSE))/10,IF(IndividualLATest!$J$7=2016,(VLOOKUP($A232,Hshldprojections2016!$A$1:$AQ$322,35,FALSE)-VLOOKUP($A232,Hshldprojections2016!$A$1:$AQ$322,25,FALSE))/10,(VLOOKUP($A232,Hshldprojections2018!$A$1:$AQ$327,35,FALSE)-VLOOKUP($A232,Hshldprojections2018!$A$1:$AQ$327,25,FALSE))/10))</f>
        <v>235.6</v>
      </c>
      <c r="AG232" s="267">
        <f>IF(IndividualLATest!$J$7=2014,(VLOOKUP($A232,Hshldprojections2014!$A$2:$AY$326,46,FALSE)-VLOOKUP($A232,Hshldprojections2014!$A$2:$AY$326,36,FALSE))/10,IF(IndividualLATest!$J$7=2016,(VLOOKUP($A232,Hshldprojections2016!$A$1:$AQ$322,36,FALSE)-VLOOKUP($A232,Hshldprojections2016!$A$1:$AQ$322,26,FALSE))/10,(VLOOKUP($A232,Hshldprojections2018!$A$1:$AQ$327,36,FALSE)-VLOOKUP($A232,Hshldprojections2018!$A$1:$AQ$327,26,FALSE))/10))</f>
        <v>224.4</v>
      </c>
      <c r="AH232" s="267">
        <f>IF(IndividualLATest!$J$7=2014,(VLOOKUP($A232,Hshldprojections2014!$A$2:$AY$326,47,FALSE)-VLOOKUP($A232,Hshldprojections2014!$A$2:$AY$326,37,FALSE))/10,IF(IndividualLATest!$J$7=2016,(VLOOKUP($A232,Hshldprojections2016!$A$1:$AQ$322,37,FALSE)-VLOOKUP($A232,Hshldprojections2016!$A$1:$AQ$322,27,FALSE))/10,(VLOOKUP($A232,Hshldprojections2018!$A$1:$AQ$327,37,FALSE)-VLOOKUP($A232,Hshldprojections2018!$A$1:$AQ$327,27,FALSE))/10))</f>
        <v>214.7</v>
      </c>
      <c r="AI232" s="268">
        <f>VLOOKUP($A232,AffordabilityRatio!$A$2:$I$321,5,FALSE)</f>
        <v>9.83</v>
      </c>
      <c r="AJ232" s="268">
        <f>VLOOKUP($A232,AffordabilityRatio!$A$2:$I$321,6,FALSE)</f>
        <v>9.58</v>
      </c>
      <c r="AK232" s="268">
        <f>VLOOKUP($A232,AffordabilityRatio!$A$2:$I$321,7,FALSE)</f>
        <v>8.84</v>
      </c>
      <c r="AL232" s="268">
        <f>IF((VLOOKUP($A232,AffordabilityRatio!$A$2:$I$321,8,FALSE))="",AK232,VLOOKUP($A232,AffordabilityRatio!$A$2:$I$321,8,FALSE))</f>
        <v>9.34</v>
      </c>
      <c r="AM232" s="268">
        <f>IF((VLOOKUP($A232,AffordabilityRatio!$A$2:$I$321,9,FALSE))="",AL232,VLOOKUP($A232,AffordabilityRatio!$A$2:$I$321,9,FALSE))</f>
        <v>8.99</v>
      </c>
      <c r="AN232" s="268">
        <f>IF((VLOOKUP($A232,AffordabilityRatio!$A$2:$I$321,9,FALSE))="",AM232,VLOOKUP($A232,AffordabilityRatio!$A$2:$I$321,9,FALSE))</f>
        <v>8.99</v>
      </c>
      <c r="AO232" s="268">
        <f>IF((VLOOKUP($A232,AffordabilityRatio!$A$2:$I$321,9,FALSE))="",AN232,VLOOKUP($A232,AffordabilityRatio!$A$2:$I$321,9,FALSE))</f>
        <v>8.99</v>
      </c>
      <c r="AP232" s="268">
        <f>IF((VLOOKUP($A232,AffordabilityRatio!$A$2:$I$321,9,FALSE))="",AO232,VLOOKUP($A232,AffordabilityRatio!$A$2:$I$321,9,FALSE))</f>
        <v>8.99</v>
      </c>
      <c r="AQ232" s="267">
        <f t="shared" si="218"/>
        <v>926</v>
      </c>
      <c r="AR232" s="267">
        <f t="shared" si="219"/>
        <v>901</v>
      </c>
      <c r="AS232" s="267">
        <f t="shared" si="220"/>
        <v>858</v>
      </c>
      <c r="AT232" s="267">
        <f t="shared" si="221"/>
        <v>350</v>
      </c>
      <c r="AU232" s="267">
        <f t="shared" si="222"/>
        <v>326</v>
      </c>
      <c r="AV232" s="267">
        <f t="shared" si="223"/>
        <v>309</v>
      </c>
      <c r="AW232" s="267">
        <f t="shared" si="224"/>
        <v>294</v>
      </c>
      <c r="AX232" s="267">
        <f t="shared" si="225"/>
        <v>282</v>
      </c>
      <c r="AY232" s="267">
        <f t="shared" si="226"/>
        <v>926</v>
      </c>
      <c r="AZ232" s="267">
        <f t="shared" si="227"/>
        <v>901</v>
      </c>
      <c r="BA232" s="267">
        <f t="shared" si="228"/>
        <v>858</v>
      </c>
      <c r="BB232" s="267">
        <f t="shared" si="229"/>
        <v>350</v>
      </c>
      <c r="BC232" s="267">
        <f t="shared" si="230"/>
        <v>326</v>
      </c>
      <c r="BD232" s="267">
        <f t="shared" si="231"/>
        <v>309</v>
      </c>
      <c r="BE232" s="267">
        <f t="shared" si="232"/>
        <v>294</v>
      </c>
      <c r="BF232" s="267">
        <f t="shared" si="233"/>
        <v>282</v>
      </c>
      <c r="BG232" s="269">
        <f>AY232*VLOOKUP($B232,'Major Cities &amp; Towns'!$A$28:$B$345,2,FALSE)</f>
        <v>926</v>
      </c>
      <c r="BH232" s="269">
        <f>AZ232*VLOOKUP($B232,'Major Cities &amp; Towns'!$A$28:$B$345,2,FALSE)</f>
        <v>901</v>
      </c>
      <c r="BI232" s="269">
        <f>BA232*VLOOKUP($B232,'Major Cities &amp; Towns'!$A$28:$B$345,2,FALSE)</f>
        <v>858</v>
      </c>
      <c r="BJ232" s="269">
        <f>BB232*VLOOKUP($B232,'Major Cities &amp; Towns'!$A$28:$B$345,2,FALSE)</f>
        <v>350</v>
      </c>
      <c r="BK232" s="269">
        <f>BC232*VLOOKUP($B232,'Major Cities &amp; Towns'!$A$28:$B$345,2,FALSE)</f>
        <v>326</v>
      </c>
      <c r="BL232" s="269">
        <f>BD232*VLOOKUP($B232,'Major Cities &amp; Towns'!$A$28:$B$345,2,FALSE)</f>
        <v>309</v>
      </c>
      <c r="BM232" s="269">
        <f>BE232*VLOOKUP($B232,'Major Cities &amp; Towns'!$A$28:$B$345,2,FALSE)</f>
        <v>294</v>
      </c>
      <c r="BN232" s="269">
        <f>BF232*VLOOKUP($B232,'Major Cities &amp; Towns'!$A$28:$B$345,2,FALSE)</f>
        <v>282</v>
      </c>
      <c r="BO232" s="270">
        <f t="shared" si="234"/>
        <v>926</v>
      </c>
      <c r="BP232" s="270">
        <f t="shared" si="235"/>
        <v>901</v>
      </c>
      <c r="BQ232" s="270">
        <f t="shared" si="236"/>
        <v>858</v>
      </c>
      <c r="BR232" s="270">
        <f t="shared" si="237"/>
        <v>350</v>
      </c>
      <c r="BS232" s="270">
        <f t="shared" si="238"/>
        <v>326</v>
      </c>
      <c r="BT232" s="270">
        <f t="shared" si="239"/>
        <v>309</v>
      </c>
      <c r="BU232" s="270">
        <f t="shared" si="240"/>
        <v>294</v>
      </c>
      <c r="BV232" s="270">
        <f t="shared" si="241"/>
        <v>282</v>
      </c>
      <c r="BW232" s="39">
        <f>VLOOKUP($A232,NetAdditions!$A$2:$H$336,6,FALSE)</f>
        <v>534</v>
      </c>
      <c r="BX232" s="39">
        <f>VLOOKUP($A232,NetAdditions!$A$2:$H$336,7,FALSE)</f>
        <v>503</v>
      </c>
      <c r="BY232" s="39">
        <f>IF((VLOOKUP($C232,NetAdditions!$A$2:$H$336,8,FALSE))="",(AVERAGE(VLOOKUP($C232,NetAdditions!$A$2:$H$336,5,FALSE),VLOOKUP($C232,NetAdditions!$A$2:$H$336,6,FALSE),VLOOKUP($C232,NetAdditions!$A$2:$H$336,7,FALSE))),VLOOKUP($C232,NetAdditions!$A$2:$H$336,8,FALSE))</f>
        <v>501</v>
      </c>
      <c r="BZ232" s="39">
        <f t="shared" si="242"/>
        <v>512.66666666666663</v>
      </c>
      <c r="CA232" s="39">
        <f t="shared" si="243"/>
        <v>505.55555555555549</v>
      </c>
      <c r="CB232" s="39">
        <f t="shared" si="244"/>
        <v>506.40740740740739</v>
      </c>
      <c r="CC232" s="39">
        <f t="shared" si="245"/>
        <v>508.20987654320987</v>
      </c>
      <c r="CD232" s="39">
        <f t="shared" si="246"/>
        <v>506.72427983539092</v>
      </c>
      <c r="CE232" s="276">
        <f t="shared" si="203"/>
        <v>2685</v>
      </c>
      <c r="CF232" s="276">
        <f t="shared" si="204"/>
        <v>2109</v>
      </c>
      <c r="CG232" s="276">
        <f t="shared" si="205"/>
        <v>1534</v>
      </c>
      <c r="CH232" s="276">
        <f t="shared" si="206"/>
        <v>985</v>
      </c>
      <c r="CI232" s="276">
        <f t="shared" si="207"/>
        <v>929</v>
      </c>
      <c r="CJ232" s="276">
        <f t="shared" si="208"/>
        <v>885</v>
      </c>
      <c r="CK232" s="276">
        <f t="shared" si="247"/>
        <v>2312.0833333333335</v>
      </c>
      <c r="CL232" s="276">
        <f t="shared" si="248"/>
        <v>1816.0833333333335</v>
      </c>
      <c r="CM232" s="276">
        <f t="shared" si="249"/>
        <v>1406.1666666666665</v>
      </c>
      <c r="CN232" s="276">
        <f t="shared" si="250"/>
        <v>985</v>
      </c>
      <c r="CO232" s="276">
        <f t="shared" si="251"/>
        <v>929</v>
      </c>
      <c r="CP232" s="276">
        <f t="shared" si="252"/>
        <v>885</v>
      </c>
      <c r="CQ232" s="39">
        <f t="shared" si="209"/>
        <v>1538</v>
      </c>
      <c r="CR232" s="39">
        <f t="shared" si="210"/>
        <v>1516.6666666666665</v>
      </c>
      <c r="CS232" s="277">
        <f t="shared" si="211"/>
        <v>1519.2222222222222</v>
      </c>
      <c r="CT232" s="39">
        <f t="shared" si="212"/>
        <v>1524.6296296296296</v>
      </c>
      <c r="CU232" s="39">
        <f t="shared" si="213"/>
        <v>1520.1728395061727</v>
      </c>
      <c r="CV232" s="39">
        <f t="shared" si="253"/>
        <v>1521.3415637860082</v>
      </c>
      <c r="CW232" s="297">
        <f t="shared" si="214"/>
        <v>0.66520093710578476</v>
      </c>
      <c r="CX232" s="279" t="str">
        <f t="shared" si="254"/>
        <v>Buffer and Action Plan</v>
      </c>
      <c r="CY232" s="278">
        <f t="shared" si="215"/>
        <v>0.83513054650575858</v>
      </c>
      <c r="CZ232" s="279" t="str">
        <f t="shared" si="255"/>
        <v>Buffer and Action Plan</v>
      </c>
      <c r="DA232" s="278">
        <f t="shared" si="216"/>
        <v>1.080399826162538</v>
      </c>
      <c r="DB232" s="292" t="str">
        <f t="shared" si="256"/>
        <v>Pass</v>
      </c>
      <c r="DC232" s="299">
        <f t="shared" si="257"/>
        <v>1.5478473397255121</v>
      </c>
      <c r="DD232" s="293" t="str">
        <f t="shared" si="258"/>
        <v>Pass</v>
      </c>
      <c r="DE232" s="299">
        <f t="shared" si="259"/>
        <v>1.6363539714813484</v>
      </c>
      <c r="DF232" s="293" t="str">
        <f t="shared" si="260"/>
        <v>Pass</v>
      </c>
      <c r="DG232" s="299">
        <f t="shared" si="261"/>
        <v>1.7190300155774105</v>
      </c>
      <c r="DH232" s="293" t="str">
        <f t="shared" si="262"/>
        <v>Pass</v>
      </c>
    </row>
    <row r="233" spans="1:112" ht="15" thickTop="1" thickBot="1">
      <c r="A233" s="38" t="s">
        <v>576</v>
      </c>
      <c r="B233" s="38" t="s">
        <v>577</v>
      </c>
      <c r="C233" s="38" t="s">
        <v>576</v>
      </c>
      <c r="D233" s="38" t="s">
        <v>154</v>
      </c>
      <c r="E233" s="38" t="str">
        <f>VLOOKUP(C233,PoliticalControl!A:K,11,FALSE)</f>
        <v>CON</v>
      </c>
      <c r="F233" s="38" t="str">
        <f>VLOOKUP(C233,UrbanRuralClassification!A:N,13,FALSE)</f>
        <v>Urban with Major Conurbation</v>
      </c>
      <c r="G233" s="38" t="str">
        <f>VLOOKUP(C233,UrbanRuralClassification!A:N,14,FALSE)</f>
        <v>Predominantly Urban</v>
      </c>
      <c r="H233" s="258">
        <f>IF(ISBLANK((VLOOKUP($A233,'local-plan-data'!$C$1:$AD$566,27,FALSE)))=TRUE,"",VLOOKUP($A233,'local-plan-data'!$C$1:$AD$566,27,FALSE))</f>
        <v>41611</v>
      </c>
      <c r="I233" s="259">
        <f>VLOOKUP($A233,'local-plan-data'!$C$1:$AD$566,28,FALSE)</f>
        <v>0</v>
      </c>
      <c r="J233" s="260">
        <f t="shared" si="217"/>
        <v>0</v>
      </c>
      <c r="K233" s="259">
        <f t="shared" si="263"/>
        <v>0</v>
      </c>
      <c r="L233" s="259" t="str">
        <f t="shared" si="265"/>
        <v>-</v>
      </c>
      <c r="M233" s="259" t="str">
        <f t="shared" si="265"/>
        <v>-</v>
      </c>
      <c r="N233" s="259" t="str">
        <f t="shared" si="265"/>
        <v>-</v>
      </c>
      <c r="O233" s="259" t="str">
        <f t="shared" si="265"/>
        <v>-</v>
      </c>
      <c r="P233" s="259" t="str">
        <f t="shared" si="265"/>
        <v>-</v>
      </c>
      <c r="Q233" s="259" t="str">
        <f t="shared" si="265"/>
        <v>-</v>
      </c>
      <c r="R233" s="259" t="str">
        <f t="shared" si="265"/>
        <v>-</v>
      </c>
      <c r="S233" s="259">
        <f t="shared" si="264"/>
        <v>246</v>
      </c>
      <c r="T233" s="259">
        <f t="shared" si="266"/>
        <v>-119</v>
      </c>
      <c r="U233" s="259">
        <f t="shared" si="266"/>
        <v>-485</v>
      </c>
      <c r="V233" s="259">
        <f t="shared" si="266"/>
        <v>-850</v>
      </c>
      <c r="W233" s="259">
        <f t="shared" si="266"/>
        <v>-1215</v>
      </c>
      <c r="X233" s="259">
        <f t="shared" si="266"/>
        <v>-1580</v>
      </c>
      <c r="Y233" s="259">
        <f t="shared" si="266"/>
        <v>-1946</v>
      </c>
      <c r="Z233" s="259">
        <f t="shared" si="266"/>
        <v>-2311</v>
      </c>
      <c r="AA233" s="267">
        <f>(VLOOKUP(A233,Hshldprojections2014!$A$2:$AW$319,40, FALSE)-VLOOKUP(A233,Hshldprojections2014!$A$2:$AW$319,30, FALSE))/10</f>
        <v>620.5</v>
      </c>
      <c r="AB233" s="267">
        <f>(VLOOKUP(A233,Hshldprojections2014!$A$2:$AW$319,41, FALSE)-VLOOKUP(A233,Hshldprojections2014!$A$2:$AW$319,31, FALSE))/10</f>
        <v>628.6</v>
      </c>
      <c r="AC233" s="267">
        <f>(VLOOKUP(A233,Hshldprojections2014!$A$2:$AW$319,42, FALSE)-VLOOKUP(A233,Hshldprojections2014!$A$2:$AW$319,32, FALSE))/10</f>
        <v>632.20000000000005</v>
      </c>
      <c r="AD233" s="267">
        <f>IF(IndividualLATest!$J$7=2014,(VLOOKUP($A233,Hshldprojections2014!$A$2:$AY$326,43,FALSE)-VLOOKUP($A233,Hshldprojections2014!$A$2:$AY$326,33,FALSE))/10,IF(IndividualLATest!$J$7=2016,(VLOOKUP($A233,Hshldprojections2016!$A$1:$AQ$322,33,FALSE)-VLOOKUP($A233,Hshldprojections2016!$A$1:$AQ$322,23,FALSE))/10,(VLOOKUP($A233,Hshldprojections2018!$A$1:$AQ$327,33,FALSE)-VLOOKUP($A233,Hshldprojections2018!$A$1:$AQ$327,23,FALSE))/10))</f>
        <v>554.20000000000005</v>
      </c>
      <c r="AE233" s="267">
        <f>IF(IndividualLATest!$J$7=2014,(VLOOKUP($A233,Hshldprojections2014!$A$2:$AY$326,44,FALSE)-VLOOKUP($A233,Hshldprojections2014!$A$2:$AY$326,34,FALSE))/10,IF(IndividualLATest!$J$7=2016,(VLOOKUP($A233,Hshldprojections2016!$A$1:$AQ$322,34,FALSE)-VLOOKUP($A233,Hshldprojections2016!$A$1:$AQ$322,24,FALSE))/10,(VLOOKUP($A233,Hshldprojections2018!$A$1:$AQ$327,34,FALSE)-VLOOKUP($A233,Hshldprojections2018!$A$1:$AQ$327,24,FALSE))/10))</f>
        <v>558.4</v>
      </c>
      <c r="AF233" s="267">
        <f>IF(IndividualLATest!$J$7=2014,(VLOOKUP($A233,Hshldprojections2014!$A$2:$AY$326,45,FALSE)-VLOOKUP($A233,Hshldprojections2014!$A$2:$AY$326,35,FALSE))/10,IF(IndividualLATest!$J$7=2016,(VLOOKUP($A233,Hshldprojections2016!$A$1:$AQ$322,35,FALSE)-VLOOKUP($A233,Hshldprojections2016!$A$1:$AQ$322,25,FALSE))/10,(VLOOKUP($A233,Hshldprojections2018!$A$1:$AQ$327,35,FALSE)-VLOOKUP($A233,Hshldprojections2018!$A$1:$AQ$327,25,FALSE))/10))</f>
        <v>559.9</v>
      </c>
      <c r="AG233" s="267">
        <f>IF(IndividualLATest!$J$7=2014,(VLOOKUP($A233,Hshldprojections2014!$A$2:$AY$326,46,FALSE)-VLOOKUP($A233,Hshldprojections2014!$A$2:$AY$326,36,FALSE))/10,IF(IndividualLATest!$J$7=2016,(VLOOKUP($A233,Hshldprojections2016!$A$1:$AQ$322,36,FALSE)-VLOOKUP($A233,Hshldprojections2016!$A$1:$AQ$322,26,FALSE))/10,(VLOOKUP($A233,Hshldprojections2018!$A$1:$AQ$327,36,FALSE)-VLOOKUP($A233,Hshldprojections2018!$A$1:$AQ$327,26,FALSE))/10))</f>
        <v>559.6</v>
      </c>
      <c r="AH233" s="267">
        <f>IF(IndividualLATest!$J$7=2014,(VLOOKUP($A233,Hshldprojections2014!$A$2:$AY$326,47,FALSE)-VLOOKUP($A233,Hshldprojections2014!$A$2:$AY$326,37,FALSE))/10,IF(IndividualLATest!$J$7=2016,(VLOOKUP($A233,Hshldprojections2016!$A$1:$AQ$322,37,FALSE)-VLOOKUP($A233,Hshldprojections2016!$A$1:$AQ$322,27,FALSE))/10,(VLOOKUP($A233,Hshldprojections2018!$A$1:$AQ$327,37,FALSE)-VLOOKUP($A233,Hshldprojections2018!$A$1:$AQ$327,27,FALSE))/10))</f>
        <v>562.70000000000005</v>
      </c>
      <c r="AI233" s="268">
        <f>VLOOKUP($A233,AffordabilityRatio!$A$2:$I$321,5,FALSE)</f>
        <v>7.74</v>
      </c>
      <c r="AJ233" s="268">
        <f>VLOOKUP($A233,AffordabilityRatio!$A$2:$I$321,6,FALSE)</f>
        <v>7.62</v>
      </c>
      <c r="AK233" s="268">
        <f>VLOOKUP($A233,AffordabilityRatio!$A$2:$I$321,7,FALSE)</f>
        <v>8.44</v>
      </c>
      <c r="AL233" s="268">
        <f>IF((VLOOKUP($A233,AffordabilityRatio!$A$2:$I$321,8,FALSE))="",AK233,VLOOKUP($A233,AffordabilityRatio!$A$2:$I$321,8,FALSE))</f>
        <v>9.25</v>
      </c>
      <c r="AM233" s="268">
        <f>IF((VLOOKUP($A233,AffordabilityRatio!$A$2:$I$321,9,FALSE))="",AL233,VLOOKUP($A233,AffordabilityRatio!$A$2:$I$321,9,FALSE))</f>
        <v>9.15</v>
      </c>
      <c r="AN233" s="268">
        <f>IF((VLOOKUP($A233,AffordabilityRatio!$A$2:$I$321,9,FALSE))="",AM233,VLOOKUP($A233,AffordabilityRatio!$A$2:$I$321,9,FALSE))</f>
        <v>9.15</v>
      </c>
      <c r="AO233" s="268">
        <f>IF((VLOOKUP($A233,AffordabilityRatio!$A$2:$I$321,9,FALSE))="",AN233,VLOOKUP($A233,AffordabilityRatio!$A$2:$I$321,9,FALSE))</f>
        <v>9.15</v>
      </c>
      <c r="AP233" s="268">
        <f>IF((VLOOKUP($A233,AffordabilityRatio!$A$2:$I$321,9,FALSE))="",AO233,VLOOKUP($A233,AffordabilityRatio!$A$2:$I$321,9,FALSE))</f>
        <v>9.15</v>
      </c>
      <c r="AQ233" s="267">
        <f t="shared" si="218"/>
        <v>766</v>
      </c>
      <c r="AR233" s="267">
        <f t="shared" si="219"/>
        <v>771</v>
      </c>
      <c r="AS233" s="267">
        <f t="shared" si="220"/>
        <v>808</v>
      </c>
      <c r="AT233" s="267">
        <f t="shared" si="221"/>
        <v>736</v>
      </c>
      <c r="AU233" s="267">
        <f t="shared" si="222"/>
        <v>738</v>
      </c>
      <c r="AV233" s="267">
        <f t="shared" si="223"/>
        <v>740</v>
      </c>
      <c r="AW233" s="267">
        <f t="shared" si="224"/>
        <v>740</v>
      </c>
      <c r="AX233" s="267">
        <f t="shared" si="225"/>
        <v>744</v>
      </c>
      <c r="AY233" s="267">
        <f t="shared" si="226"/>
        <v>0</v>
      </c>
      <c r="AZ233" s="267">
        <f t="shared" si="227"/>
        <v>771</v>
      </c>
      <c r="BA233" s="267">
        <f t="shared" si="228"/>
        <v>808</v>
      </c>
      <c r="BB233" s="267">
        <f t="shared" si="229"/>
        <v>736</v>
      </c>
      <c r="BC233" s="267">
        <f t="shared" si="230"/>
        <v>738</v>
      </c>
      <c r="BD233" s="267">
        <f t="shared" si="231"/>
        <v>740</v>
      </c>
      <c r="BE233" s="267">
        <f t="shared" si="232"/>
        <v>740</v>
      </c>
      <c r="BF233" s="267">
        <f t="shared" si="233"/>
        <v>744</v>
      </c>
      <c r="BG233" s="269">
        <f>AY233*VLOOKUP($B233,'Major Cities &amp; Towns'!$A$28:$B$345,2,FALSE)</f>
        <v>0</v>
      </c>
      <c r="BH233" s="269">
        <f>AZ233*VLOOKUP($B233,'Major Cities &amp; Towns'!$A$28:$B$345,2,FALSE)</f>
        <v>771</v>
      </c>
      <c r="BI233" s="269">
        <f>BA233*VLOOKUP($B233,'Major Cities &amp; Towns'!$A$28:$B$345,2,FALSE)</f>
        <v>808</v>
      </c>
      <c r="BJ233" s="269">
        <f>BB233*VLOOKUP($B233,'Major Cities &amp; Towns'!$A$28:$B$345,2,FALSE)</f>
        <v>736</v>
      </c>
      <c r="BK233" s="269">
        <f>BC233*VLOOKUP($B233,'Major Cities &amp; Towns'!$A$28:$B$345,2,FALSE)</f>
        <v>738</v>
      </c>
      <c r="BL233" s="269">
        <f>BD233*VLOOKUP($B233,'Major Cities &amp; Towns'!$A$28:$B$345,2,FALSE)</f>
        <v>740</v>
      </c>
      <c r="BM233" s="269">
        <f>BE233*VLOOKUP($B233,'Major Cities &amp; Towns'!$A$28:$B$345,2,FALSE)</f>
        <v>740</v>
      </c>
      <c r="BN233" s="269">
        <f>BF233*VLOOKUP($B233,'Major Cities &amp; Towns'!$A$28:$B$345,2,FALSE)</f>
        <v>744</v>
      </c>
      <c r="BO233" s="270">
        <f t="shared" si="234"/>
        <v>249.73698630136985</v>
      </c>
      <c r="BP233" s="270">
        <f t="shared" si="235"/>
        <v>771</v>
      </c>
      <c r="BQ233" s="270">
        <f t="shared" si="236"/>
        <v>808</v>
      </c>
      <c r="BR233" s="270">
        <f t="shared" si="237"/>
        <v>736</v>
      </c>
      <c r="BS233" s="270">
        <f t="shared" si="238"/>
        <v>738</v>
      </c>
      <c r="BT233" s="270">
        <f t="shared" si="239"/>
        <v>740</v>
      </c>
      <c r="BU233" s="270">
        <f t="shared" si="240"/>
        <v>740</v>
      </c>
      <c r="BV233" s="270">
        <f t="shared" si="241"/>
        <v>744</v>
      </c>
      <c r="BW233" s="39">
        <f>VLOOKUP($A233,NetAdditions!$A$2:$H$336,6,FALSE)</f>
        <v>798</v>
      </c>
      <c r="BX233" s="39">
        <f>VLOOKUP($A233,NetAdditions!$A$2:$H$336,7,FALSE)</f>
        <v>640</v>
      </c>
      <c r="BY233" s="39">
        <f>IF((VLOOKUP($C233,NetAdditions!$A$2:$H$336,8,FALSE))="",(AVERAGE(VLOOKUP($C233,NetAdditions!$A$2:$H$336,5,FALSE),VLOOKUP($C233,NetAdditions!$A$2:$H$336,6,FALSE),VLOOKUP($C233,NetAdditions!$A$2:$H$336,7,FALSE))),VLOOKUP($C233,NetAdditions!$A$2:$H$336,8,FALSE))</f>
        <v>664</v>
      </c>
      <c r="BZ233" s="39">
        <f t="shared" si="242"/>
        <v>700.66666666666663</v>
      </c>
      <c r="CA233" s="39">
        <f t="shared" si="243"/>
        <v>668.22222222222217</v>
      </c>
      <c r="CB233" s="39">
        <f t="shared" si="244"/>
        <v>677.62962962962956</v>
      </c>
      <c r="CC233" s="39">
        <f t="shared" si="245"/>
        <v>682.17283950617275</v>
      </c>
      <c r="CD233" s="39">
        <f t="shared" si="246"/>
        <v>676.00823045267487</v>
      </c>
      <c r="CE233" s="276">
        <f t="shared" si="203"/>
        <v>1828.7369863013698</v>
      </c>
      <c r="CF233" s="276">
        <f t="shared" si="204"/>
        <v>2315</v>
      </c>
      <c r="CG233" s="276">
        <f t="shared" si="205"/>
        <v>2282</v>
      </c>
      <c r="CH233" s="276">
        <f t="shared" si="206"/>
        <v>2214</v>
      </c>
      <c r="CI233" s="276">
        <f t="shared" si="207"/>
        <v>2218</v>
      </c>
      <c r="CJ233" s="276">
        <f t="shared" si="208"/>
        <v>2224</v>
      </c>
      <c r="CK233" s="276">
        <f t="shared" si="247"/>
        <v>1574.7457382039574</v>
      </c>
      <c r="CL233" s="276">
        <f t="shared" si="248"/>
        <v>1993.4722222222224</v>
      </c>
      <c r="CM233" s="276">
        <f t="shared" si="249"/>
        <v>2091.833333333333</v>
      </c>
      <c r="CN233" s="276">
        <f t="shared" si="250"/>
        <v>2214</v>
      </c>
      <c r="CO233" s="276">
        <f t="shared" si="251"/>
        <v>2218</v>
      </c>
      <c r="CP233" s="276">
        <f t="shared" si="252"/>
        <v>2224</v>
      </c>
      <c r="CQ233" s="39">
        <f t="shared" si="209"/>
        <v>2102</v>
      </c>
      <c r="CR233" s="39">
        <f t="shared" si="210"/>
        <v>2004.6666666666665</v>
      </c>
      <c r="CS233" s="277">
        <f t="shared" si="211"/>
        <v>2032.8888888888887</v>
      </c>
      <c r="CT233" s="39">
        <f t="shared" si="212"/>
        <v>2046.5185185185182</v>
      </c>
      <c r="CU233" s="39">
        <f t="shared" si="213"/>
        <v>2028.0246913580245</v>
      </c>
      <c r="CV233" s="39">
        <f t="shared" si="253"/>
        <v>2035.8106995884773</v>
      </c>
      <c r="CW233" s="297">
        <f t="shared" si="214"/>
        <v>1.3348186624701657</v>
      </c>
      <c r="CX233" s="279" t="str">
        <f t="shared" si="254"/>
        <v>Pass</v>
      </c>
      <c r="CY233" s="278">
        <f t="shared" si="215"/>
        <v>1.0056155507559394</v>
      </c>
      <c r="CZ233" s="279" t="str">
        <f t="shared" si="255"/>
        <v>Pass</v>
      </c>
      <c r="DA233" s="278">
        <f t="shared" si="216"/>
        <v>0.97182163439832159</v>
      </c>
      <c r="DB233" s="292" t="str">
        <f t="shared" si="256"/>
        <v>Pass</v>
      </c>
      <c r="DC233" s="299">
        <f t="shared" si="257"/>
        <v>0.92435344106527473</v>
      </c>
      <c r="DD233" s="293" t="str">
        <f t="shared" si="258"/>
        <v>Action Plan</v>
      </c>
      <c r="DE233" s="299">
        <f t="shared" si="259"/>
        <v>0.91434837301984873</v>
      </c>
      <c r="DF233" s="293" t="str">
        <f t="shared" si="260"/>
        <v>Action Plan</v>
      </c>
      <c r="DG233" s="299">
        <f t="shared" si="261"/>
        <v>0.91538250880776861</v>
      </c>
      <c r="DH233" s="293" t="str">
        <f t="shared" si="262"/>
        <v>Action Plan</v>
      </c>
    </row>
    <row r="234" spans="1:112" ht="15" thickTop="1" thickBot="1">
      <c r="A234" s="38" t="s">
        <v>578</v>
      </c>
      <c r="B234" s="38" t="s">
        <v>579</v>
      </c>
      <c r="C234" s="38" t="s">
        <v>578</v>
      </c>
      <c r="D234" s="38" t="s">
        <v>147</v>
      </c>
      <c r="E234" s="38" t="str">
        <f>VLOOKUP(C234,PoliticalControl!A:K,11,FALSE)</f>
        <v>LD</v>
      </c>
      <c r="F234" s="38" t="str">
        <f>VLOOKUP(C234,UrbanRuralClassification!A:N,13,FALSE)</f>
        <v xml:space="preserve">Largely Rural (rural including hub towns 50-79%) </v>
      </c>
      <c r="G234" s="38" t="str">
        <f>VLOOKUP(C234,UrbanRuralClassification!A:N,14,FALSE)</f>
        <v>Predominantly Rural</v>
      </c>
      <c r="H234" s="258" t="str">
        <f>IF(ISBLANK((VLOOKUP($A234,'local-plan-data'!$C$1:$AD$566,27,FALSE)))=TRUE,"",VLOOKUP($A234,'local-plan-data'!$C$1:$AD$566,27,FALSE))</f>
        <v/>
      </c>
      <c r="I234" s="259">
        <f>VLOOKUP($A234,'local-plan-data'!$C$1:$AD$566,28,FALSE)</f>
        <v>995</v>
      </c>
      <c r="J234" s="260">
        <f t="shared" si="217"/>
        <v>995</v>
      </c>
      <c r="K234" s="259" t="str">
        <f t="shared" si="263"/>
        <v>-</v>
      </c>
      <c r="L234" s="259" t="str">
        <f t="shared" si="265"/>
        <v>-</v>
      </c>
      <c r="M234" s="259" t="str">
        <f t="shared" si="265"/>
        <v>-</v>
      </c>
      <c r="N234" s="259" t="str">
        <f t="shared" si="265"/>
        <v>-</v>
      </c>
      <c r="O234" s="259" t="str">
        <f t="shared" si="265"/>
        <v>-</v>
      </c>
      <c r="P234" s="259" t="str">
        <f t="shared" si="265"/>
        <v>-</v>
      </c>
      <c r="Q234" s="259" t="str">
        <f t="shared" si="265"/>
        <v>-</v>
      </c>
      <c r="R234" s="259" t="str">
        <f t="shared" si="265"/>
        <v>-</v>
      </c>
      <c r="S234" s="259" t="str">
        <f t="shared" si="264"/>
        <v>-</v>
      </c>
      <c r="T234" s="259" t="str">
        <f t="shared" si="266"/>
        <v>-</v>
      </c>
      <c r="U234" s="259" t="str">
        <f t="shared" si="266"/>
        <v>-</v>
      </c>
      <c r="V234" s="259" t="str">
        <f t="shared" si="266"/>
        <v>-</v>
      </c>
      <c r="W234" s="259" t="str">
        <f t="shared" si="266"/>
        <v>-</v>
      </c>
      <c r="X234" s="259" t="str">
        <f t="shared" si="266"/>
        <v>-</v>
      </c>
      <c r="Y234" s="259" t="str">
        <f t="shared" si="266"/>
        <v>-</v>
      </c>
      <c r="Z234" s="259" t="str">
        <f t="shared" si="266"/>
        <v>-</v>
      </c>
      <c r="AA234" s="267">
        <f>(VLOOKUP(A234,Hshldprojections2014!$A$2:$AW$319,40, FALSE)-VLOOKUP(A234,Hshldprojections2014!$A$2:$AW$319,30, FALSE))/10</f>
        <v>563.29999999999995</v>
      </c>
      <c r="AB234" s="267">
        <f>(VLOOKUP(A234,Hshldprojections2014!$A$2:$AW$319,41, FALSE)-VLOOKUP(A234,Hshldprojections2014!$A$2:$AW$319,31, FALSE))/10</f>
        <v>558.29999999999995</v>
      </c>
      <c r="AC234" s="267">
        <f>(VLOOKUP(A234,Hshldprojections2014!$A$2:$AW$319,42, FALSE)-VLOOKUP(A234,Hshldprojections2014!$A$2:$AW$319,32, FALSE))/10</f>
        <v>555.29999999999995</v>
      </c>
      <c r="AD234" s="267">
        <f>IF(IndividualLATest!$J$7=2014,(VLOOKUP($A234,Hshldprojections2014!$A$2:$AY$326,43,FALSE)-VLOOKUP($A234,Hshldprojections2014!$A$2:$AY$326,33,FALSE))/10,IF(IndividualLATest!$J$7=2016,(VLOOKUP($A234,Hshldprojections2016!$A$1:$AQ$322,33,FALSE)-VLOOKUP($A234,Hshldprojections2016!$A$1:$AQ$322,23,FALSE))/10,(VLOOKUP($A234,Hshldprojections2018!$A$1:$AQ$327,33,FALSE)-VLOOKUP($A234,Hshldprojections2018!$A$1:$AQ$327,23,FALSE))/10))</f>
        <v>858.3</v>
      </c>
      <c r="AE234" s="267">
        <f>IF(IndividualLATest!$J$7=2014,(VLOOKUP($A234,Hshldprojections2014!$A$2:$AY$326,44,FALSE)-VLOOKUP($A234,Hshldprojections2014!$A$2:$AY$326,34,FALSE))/10,IF(IndividualLATest!$J$7=2016,(VLOOKUP($A234,Hshldprojections2016!$A$1:$AQ$322,34,FALSE)-VLOOKUP($A234,Hshldprojections2016!$A$1:$AQ$322,24,FALSE))/10,(VLOOKUP($A234,Hshldprojections2018!$A$1:$AQ$327,34,FALSE)-VLOOKUP($A234,Hshldprojections2018!$A$1:$AQ$327,24,FALSE))/10))</f>
        <v>842.8</v>
      </c>
      <c r="AF234" s="267">
        <f>IF(IndividualLATest!$J$7=2014,(VLOOKUP($A234,Hshldprojections2014!$A$2:$AY$326,45,FALSE)-VLOOKUP($A234,Hshldprojections2014!$A$2:$AY$326,35,FALSE))/10,IF(IndividualLATest!$J$7=2016,(VLOOKUP($A234,Hshldprojections2016!$A$1:$AQ$322,35,FALSE)-VLOOKUP($A234,Hshldprojections2016!$A$1:$AQ$322,25,FALSE))/10,(VLOOKUP($A234,Hshldprojections2018!$A$1:$AQ$327,35,FALSE)-VLOOKUP($A234,Hshldprojections2018!$A$1:$AQ$327,25,FALSE))/10))</f>
        <v>826.2</v>
      </c>
      <c r="AG234" s="267">
        <f>IF(IndividualLATest!$J$7=2014,(VLOOKUP($A234,Hshldprojections2014!$A$2:$AY$326,46,FALSE)-VLOOKUP($A234,Hshldprojections2014!$A$2:$AY$326,36,FALSE))/10,IF(IndividualLATest!$J$7=2016,(VLOOKUP($A234,Hshldprojections2016!$A$1:$AQ$322,36,FALSE)-VLOOKUP($A234,Hshldprojections2016!$A$1:$AQ$322,26,FALSE))/10,(VLOOKUP($A234,Hshldprojections2018!$A$1:$AQ$327,36,FALSE)-VLOOKUP($A234,Hshldprojections2018!$A$1:$AQ$327,26,FALSE))/10))</f>
        <v>810.9</v>
      </c>
      <c r="AH234" s="267">
        <f>IF(IndividualLATest!$J$7=2014,(VLOOKUP($A234,Hshldprojections2014!$A$2:$AY$326,47,FALSE)-VLOOKUP($A234,Hshldprojections2014!$A$2:$AY$326,37,FALSE))/10,IF(IndividualLATest!$J$7=2016,(VLOOKUP($A234,Hshldprojections2016!$A$1:$AQ$322,37,FALSE)-VLOOKUP($A234,Hshldprojections2016!$A$1:$AQ$322,27,FALSE))/10,(VLOOKUP($A234,Hshldprojections2018!$A$1:$AQ$327,37,FALSE)-VLOOKUP($A234,Hshldprojections2018!$A$1:$AQ$327,27,FALSE))/10))</f>
        <v>799.1</v>
      </c>
      <c r="AI234" s="268">
        <f>VLOOKUP($A234,AffordabilityRatio!$A$2:$I$321,5,FALSE)</f>
        <v>8.33</v>
      </c>
      <c r="AJ234" s="268">
        <f>VLOOKUP($A234,AffordabilityRatio!$A$2:$I$321,6,FALSE)</f>
        <v>8.4499999999999993</v>
      </c>
      <c r="AK234" s="268">
        <f>VLOOKUP($A234,AffordabilityRatio!$A$2:$I$321,7,FALSE)</f>
        <v>7.92</v>
      </c>
      <c r="AL234" s="268">
        <f>IF((VLOOKUP($A234,AffordabilityRatio!$A$2:$I$321,8,FALSE))="",AK234,VLOOKUP($A234,AffordabilityRatio!$A$2:$I$321,8,FALSE))</f>
        <v>8.1300000000000008</v>
      </c>
      <c r="AM234" s="268">
        <f>IF((VLOOKUP($A234,AffordabilityRatio!$A$2:$I$321,9,FALSE))="",AL234,VLOOKUP($A234,AffordabilityRatio!$A$2:$I$321,9,FALSE))</f>
        <v>9.16</v>
      </c>
      <c r="AN234" s="268">
        <f>IF((VLOOKUP($A234,AffordabilityRatio!$A$2:$I$321,9,FALSE))="",AM234,VLOOKUP($A234,AffordabilityRatio!$A$2:$I$321,9,FALSE))</f>
        <v>9.16</v>
      </c>
      <c r="AO234" s="268">
        <f>IF((VLOOKUP($A234,AffordabilityRatio!$A$2:$I$321,9,FALSE))="",AN234,VLOOKUP($A234,AffordabilityRatio!$A$2:$I$321,9,FALSE))</f>
        <v>9.16</v>
      </c>
      <c r="AP234" s="268">
        <f>IF((VLOOKUP($A234,AffordabilityRatio!$A$2:$I$321,9,FALSE))="",AO234,VLOOKUP($A234,AffordabilityRatio!$A$2:$I$321,9,FALSE))</f>
        <v>9.16</v>
      </c>
      <c r="AQ234" s="267">
        <f t="shared" si="218"/>
        <v>716</v>
      </c>
      <c r="AR234" s="267">
        <f t="shared" si="219"/>
        <v>714</v>
      </c>
      <c r="AS234" s="267">
        <f t="shared" si="220"/>
        <v>691</v>
      </c>
      <c r="AT234" s="267">
        <f t="shared" si="221"/>
        <v>1080</v>
      </c>
      <c r="AU234" s="267">
        <f t="shared" si="222"/>
        <v>1115</v>
      </c>
      <c r="AV234" s="267">
        <f t="shared" si="223"/>
        <v>1093</v>
      </c>
      <c r="AW234" s="267">
        <f t="shared" si="224"/>
        <v>1072</v>
      </c>
      <c r="AX234" s="267">
        <f t="shared" si="225"/>
        <v>1057</v>
      </c>
      <c r="AY234" s="267">
        <f t="shared" si="226"/>
        <v>716</v>
      </c>
      <c r="AZ234" s="267">
        <f t="shared" si="227"/>
        <v>714</v>
      </c>
      <c r="BA234" s="267">
        <f t="shared" si="228"/>
        <v>691</v>
      </c>
      <c r="BB234" s="267">
        <f t="shared" si="229"/>
        <v>1080</v>
      </c>
      <c r="BC234" s="267">
        <f t="shared" si="230"/>
        <v>1115</v>
      </c>
      <c r="BD234" s="267">
        <f t="shared" si="231"/>
        <v>1093</v>
      </c>
      <c r="BE234" s="267">
        <f t="shared" si="232"/>
        <v>1072</v>
      </c>
      <c r="BF234" s="267">
        <f t="shared" si="233"/>
        <v>1057</v>
      </c>
      <c r="BG234" s="269">
        <f>AY234*VLOOKUP($B234,'Major Cities &amp; Towns'!$A$28:$B$345,2,FALSE)</f>
        <v>716</v>
      </c>
      <c r="BH234" s="269">
        <f>AZ234*VLOOKUP($B234,'Major Cities &amp; Towns'!$A$28:$B$345,2,FALSE)</f>
        <v>714</v>
      </c>
      <c r="BI234" s="269">
        <f>BA234*VLOOKUP($B234,'Major Cities &amp; Towns'!$A$28:$B$345,2,FALSE)</f>
        <v>691</v>
      </c>
      <c r="BJ234" s="269">
        <f>BB234*VLOOKUP($B234,'Major Cities &amp; Towns'!$A$28:$B$345,2,FALSE)</f>
        <v>1080</v>
      </c>
      <c r="BK234" s="269">
        <f>BC234*VLOOKUP($B234,'Major Cities &amp; Towns'!$A$28:$B$345,2,FALSE)</f>
        <v>1115</v>
      </c>
      <c r="BL234" s="269">
        <f>BD234*VLOOKUP($B234,'Major Cities &amp; Towns'!$A$28:$B$345,2,FALSE)</f>
        <v>1093</v>
      </c>
      <c r="BM234" s="269">
        <f>BE234*VLOOKUP($B234,'Major Cities &amp; Towns'!$A$28:$B$345,2,FALSE)</f>
        <v>1072</v>
      </c>
      <c r="BN234" s="269">
        <f>BF234*VLOOKUP($B234,'Major Cities &amp; Towns'!$A$28:$B$345,2,FALSE)</f>
        <v>1057</v>
      </c>
      <c r="BO234" s="270">
        <f t="shared" si="234"/>
        <v>716</v>
      </c>
      <c r="BP234" s="270">
        <f t="shared" si="235"/>
        <v>714</v>
      </c>
      <c r="BQ234" s="270">
        <f t="shared" si="236"/>
        <v>691</v>
      </c>
      <c r="BR234" s="270">
        <f t="shared" si="237"/>
        <v>1080</v>
      </c>
      <c r="BS234" s="270">
        <f t="shared" si="238"/>
        <v>1115</v>
      </c>
      <c r="BT234" s="270">
        <f t="shared" si="239"/>
        <v>1093</v>
      </c>
      <c r="BU234" s="270">
        <f t="shared" si="240"/>
        <v>1072</v>
      </c>
      <c r="BV234" s="270">
        <f t="shared" si="241"/>
        <v>1057</v>
      </c>
      <c r="BW234" s="39" t="str">
        <f>VLOOKUP($A234,NetAdditions!$A$2:$H$336,6,FALSE)</f>
        <v>Not Applicable</v>
      </c>
      <c r="BX234" s="39">
        <f>VLOOKUP($A234,NetAdditions!$A$2:$H$336,7,FALSE)</f>
        <v>487</v>
      </c>
      <c r="BY234" s="39">
        <f>IF((VLOOKUP($C234,NetAdditions!$A$2:$H$336,8,FALSE))="",(AVERAGE(VLOOKUP($C234,NetAdditions!$A$2:$H$336,5,FALSE),VLOOKUP($C234,NetAdditions!$A$2:$H$336,6,FALSE),VLOOKUP($C234,NetAdditions!$A$2:$H$336,7,FALSE))),VLOOKUP($C234,NetAdditions!$A$2:$H$336,8,FALSE))</f>
        <v>440</v>
      </c>
      <c r="BZ234" s="39">
        <f t="shared" si="242"/>
        <v>463.5</v>
      </c>
      <c r="CA234" s="39">
        <f t="shared" si="243"/>
        <v>463.5</v>
      </c>
      <c r="CB234" s="39">
        <f t="shared" si="244"/>
        <v>455.66666666666669</v>
      </c>
      <c r="CC234" s="39">
        <f t="shared" si="245"/>
        <v>460.88888888888891</v>
      </c>
      <c r="CD234" s="39">
        <f t="shared" si="246"/>
        <v>460.01851851851853</v>
      </c>
      <c r="CE234" s="276">
        <f t="shared" si="203"/>
        <v>2121</v>
      </c>
      <c r="CF234" s="276">
        <f t="shared" si="204"/>
        <v>2485</v>
      </c>
      <c r="CG234" s="276">
        <f t="shared" si="205"/>
        <v>2886</v>
      </c>
      <c r="CH234" s="276">
        <f t="shared" si="206"/>
        <v>3288</v>
      </c>
      <c r="CI234" s="276">
        <f t="shared" si="207"/>
        <v>3280</v>
      </c>
      <c r="CJ234" s="276">
        <f t="shared" si="208"/>
        <v>3222</v>
      </c>
      <c r="CK234" s="276">
        <f t="shared" si="247"/>
        <v>1826.4166666666667</v>
      </c>
      <c r="CL234" s="276">
        <f t="shared" si="248"/>
        <v>2139.8611111111113</v>
      </c>
      <c r="CM234" s="276">
        <f t="shared" si="249"/>
        <v>2645.5</v>
      </c>
      <c r="CN234" s="276">
        <f t="shared" si="250"/>
        <v>3288</v>
      </c>
      <c r="CO234" s="276">
        <f t="shared" si="251"/>
        <v>3280</v>
      </c>
      <c r="CP234" s="276">
        <f t="shared" si="252"/>
        <v>3222</v>
      </c>
      <c r="CQ234" s="39">
        <f t="shared" si="209"/>
        <v>927</v>
      </c>
      <c r="CR234" s="39">
        <f t="shared" si="210"/>
        <v>1390.5</v>
      </c>
      <c r="CS234" s="277">
        <f t="shared" si="211"/>
        <v>1367</v>
      </c>
      <c r="CT234" s="39">
        <f t="shared" si="212"/>
        <v>1382.6666666666667</v>
      </c>
      <c r="CU234" s="39">
        <f t="shared" si="213"/>
        <v>1380.0555555555557</v>
      </c>
      <c r="CV234" s="39">
        <f t="shared" si="253"/>
        <v>1376.5740740740741</v>
      </c>
      <c r="CW234" s="297">
        <f t="shared" si="214"/>
        <v>0.50755121595108821</v>
      </c>
      <c r="CX234" s="279" t="str">
        <f t="shared" si="254"/>
        <v>Buffer and Action Plan</v>
      </c>
      <c r="CY234" s="278">
        <f t="shared" si="215"/>
        <v>0.64980852859090021</v>
      </c>
      <c r="CZ234" s="279" t="str">
        <f t="shared" si="255"/>
        <v>Buffer and Action Plan</v>
      </c>
      <c r="DA234" s="278">
        <f t="shared" si="216"/>
        <v>0.5167265167265167</v>
      </c>
      <c r="DB234" s="292" t="str">
        <f t="shared" si="256"/>
        <v>Presumption</v>
      </c>
      <c r="DC234" s="299">
        <f t="shared" si="257"/>
        <v>0.42051905920519062</v>
      </c>
      <c r="DD234" s="293" t="str">
        <f t="shared" si="258"/>
        <v>Presumption</v>
      </c>
      <c r="DE234" s="299">
        <f t="shared" si="259"/>
        <v>0.42074864498644987</v>
      </c>
      <c r="DF234" s="293" t="str">
        <f t="shared" si="260"/>
        <v>Presumption</v>
      </c>
      <c r="DG234" s="299">
        <f t="shared" si="261"/>
        <v>0.42724210865117135</v>
      </c>
      <c r="DH234" s="293" t="str">
        <f t="shared" si="262"/>
        <v>Presumption</v>
      </c>
    </row>
    <row r="235" spans="1:112" ht="15" thickTop="1" thickBot="1">
      <c r="A235" s="38" t="s">
        <v>580</v>
      </c>
      <c r="B235" s="38" t="s">
        <v>581</v>
      </c>
      <c r="C235" s="38" t="s">
        <v>580</v>
      </c>
      <c r="D235" s="38" t="s">
        <v>128</v>
      </c>
      <c r="E235" s="38" t="str">
        <f>VLOOKUP(C235,PoliticalControl!A:K,11,FALSE)</f>
        <v>LD</v>
      </c>
      <c r="F235" s="38" t="str">
        <f>VLOOKUP(C235,UrbanRuralClassification!A:N,13,FALSE)</f>
        <v xml:space="preserve">Largely Rural (rural including hub towns 50-79%) </v>
      </c>
      <c r="G235" s="38" t="str">
        <f>VLOOKUP(C235,UrbanRuralClassification!A:N,14,FALSE)</f>
        <v>Predominantly Rural</v>
      </c>
      <c r="H235" s="258">
        <f>IF(ISBLANK((VLOOKUP($A235,'local-plan-data'!$C$1:$AD$566,27,FALSE)))=TRUE,"",VLOOKUP($A235,'local-plan-data'!$C$1:$AD$566,27,FALSE))</f>
        <v>43370</v>
      </c>
      <c r="I235" s="259">
        <f>VLOOKUP($A235,'local-plan-data'!$C$1:$AD$566,28,FALSE)</f>
        <v>975</v>
      </c>
      <c r="J235" s="260">
        <f t="shared" si="217"/>
        <v>975</v>
      </c>
      <c r="K235" s="259">
        <f t="shared" si="263"/>
        <v>975</v>
      </c>
      <c r="L235" s="259">
        <f t="shared" si="265"/>
        <v>975</v>
      </c>
      <c r="M235" s="259">
        <f t="shared" si="265"/>
        <v>975</v>
      </c>
      <c r="N235" s="259">
        <f t="shared" si="265"/>
        <v>975</v>
      </c>
      <c r="O235" s="259">
        <f t="shared" si="265"/>
        <v>975</v>
      </c>
      <c r="P235" s="259">
        <f t="shared" si="265"/>
        <v>975</v>
      </c>
      <c r="Q235" s="259" t="str">
        <f t="shared" si="265"/>
        <v>-</v>
      </c>
      <c r="R235" s="259" t="str">
        <f t="shared" si="265"/>
        <v>-</v>
      </c>
      <c r="S235" s="259">
        <f t="shared" si="264"/>
        <v>2005</v>
      </c>
      <c r="T235" s="259">
        <f t="shared" si="266"/>
        <v>1640</v>
      </c>
      <c r="U235" s="259">
        <f t="shared" si="266"/>
        <v>1274</v>
      </c>
      <c r="V235" s="259">
        <f t="shared" si="266"/>
        <v>909</v>
      </c>
      <c r="W235" s="259">
        <f t="shared" si="266"/>
        <v>544</v>
      </c>
      <c r="X235" s="259">
        <f t="shared" si="266"/>
        <v>179</v>
      </c>
      <c r="Y235" s="259">
        <f t="shared" si="266"/>
        <v>-187</v>
      </c>
      <c r="Z235" s="259">
        <f t="shared" si="266"/>
        <v>-552</v>
      </c>
      <c r="AA235" s="267">
        <f>(VLOOKUP(A235,Hshldprojections2014!$A$2:$AW$319,40, FALSE)-VLOOKUP(A235,Hshldprojections2014!$A$2:$AW$319,30, FALSE))/10</f>
        <v>826.1</v>
      </c>
      <c r="AB235" s="267">
        <f>(VLOOKUP(A235,Hshldprojections2014!$A$2:$AW$319,41, FALSE)-VLOOKUP(A235,Hshldprojections2014!$A$2:$AW$319,31, FALSE))/10</f>
        <v>811.5</v>
      </c>
      <c r="AC235" s="267">
        <f>(VLOOKUP(A235,Hshldprojections2014!$A$2:$AW$319,42, FALSE)-VLOOKUP(A235,Hshldprojections2014!$A$2:$AW$319,32, FALSE))/10</f>
        <v>796.7</v>
      </c>
      <c r="AD235" s="267">
        <f>IF(IndividualLATest!$J$7=2014,(VLOOKUP($A235,Hshldprojections2014!$A$2:$AY$326,43,FALSE)-VLOOKUP($A235,Hshldprojections2014!$A$2:$AY$326,33,FALSE))/10,IF(IndividualLATest!$J$7=2016,(VLOOKUP($A235,Hshldprojections2016!$A$1:$AQ$322,33,FALSE)-VLOOKUP($A235,Hshldprojections2016!$A$1:$AQ$322,23,FALSE))/10,(VLOOKUP($A235,Hshldprojections2018!$A$1:$AQ$327,33,FALSE)-VLOOKUP($A235,Hshldprojections2018!$A$1:$AQ$327,23,FALSE))/10))</f>
        <v>353.7</v>
      </c>
      <c r="AE235" s="267">
        <f>IF(IndividualLATest!$J$7=2014,(VLOOKUP($A235,Hshldprojections2014!$A$2:$AY$326,44,FALSE)-VLOOKUP($A235,Hshldprojections2014!$A$2:$AY$326,34,FALSE))/10,IF(IndividualLATest!$J$7=2016,(VLOOKUP($A235,Hshldprojections2016!$A$1:$AQ$322,34,FALSE)-VLOOKUP($A235,Hshldprojections2016!$A$1:$AQ$322,24,FALSE))/10,(VLOOKUP($A235,Hshldprojections2018!$A$1:$AQ$327,34,FALSE)-VLOOKUP($A235,Hshldprojections2018!$A$1:$AQ$327,24,FALSE))/10))</f>
        <v>335.1</v>
      </c>
      <c r="AF235" s="267">
        <f>IF(IndividualLATest!$J$7=2014,(VLOOKUP($A235,Hshldprojections2014!$A$2:$AY$326,45,FALSE)-VLOOKUP($A235,Hshldprojections2014!$A$2:$AY$326,35,FALSE))/10,IF(IndividualLATest!$J$7=2016,(VLOOKUP($A235,Hshldprojections2016!$A$1:$AQ$322,35,FALSE)-VLOOKUP($A235,Hshldprojections2016!$A$1:$AQ$322,25,FALSE))/10,(VLOOKUP($A235,Hshldprojections2018!$A$1:$AQ$327,35,FALSE)-VLOOKUP($A235,Hshldprojections2018!$A$1:$AQ$327,25,FALSE))/10))</f>
        <v>319.10000000000002</v>
      </c>
      <c r="AG235" s="267">
        <f>IF(IndividualLATest!$J$7=2014,(VLOOKUP($A235,Hshldprojections2014!$A$2:$AY$326,46,FALSE)-VLOOKUP($A235,Hshldprojections2014!$A$2:$AY$326,36,FALSE))/10,IF(IndividualLATest!$J$7=2016,(VLOOKUP($A235,Hshldprojections2016!$A$1:$AQ$322,36,FALSE)-VLOOKUP($A235,Hshldprojections2016!$A$1:$AQ$322,26,FALSE))/10,(VLOOKUP($A235,Hshldprojections2018!$A$1:$AQ$327,36,FALSE)-VLOOKUP($A235,Hshldprojections2018!$A$1:$AQ$327,26,FALSE))/10))</f>
        <v>306.5</v>
      </c>
      <c r="AH235" s="267">
        <f>IF(IndividualLATest!$J$7=2014,(VLOOKUP($A235,Hshldprojections2014!$A$2:$AY$326,47,FALSE)-VLOOKUP($A235,Hshldprojections2014!$A$2:$AY$326,37,FALSE))/10,IF(IndividualLATest!$J$7=2016,(VLOOKUP($A235,Hshldprojections2016!$A$1:$AQ$322,37,FALSE)-VLOOKUP($A235,Hshldprojections2016!$A$1:$AQ$322,27,FALSE))/10,(VLOOKUP($A235,Hshldprojections2018!$A$1:$AQ$327,37,FALSE)-VLOOKUP($A235,Hshldprojections2018!$A$1:$AQ$327,27,FALSE))/10))</f>
        <v>294.7</v>
      </c>
      <c r="AI235" s="268">
        <f>VLOOKUP($A235,AffordabilityRatio!$A$2:$I$321,5,FALSE)</f>
        <v>10.98</v>
      </c>
      <c r="AJ235" s="268">
        <f>VLOOKUP($A235,AffordabilityRatio!$A$2:$I$321,6,FALSE)</f>
        <v>10.34</v>
      </c>
      <c r="AK235" s="268">
        <f>VLOOKUP($A235,AffordabilityRatio!$A$2:$I$321,7,FALSE)</f>
        <v>9.8000000000000007</v>
      </c>
      <c r="AL235" s="268">
        <f>IF((VLOOKUP($A235,AffordabilityRatio!$A$2:$I$321,8,FALSE))="",AK235,VLOOKUP($A235,AffordabilityRatio!$A$2:$I$321,8,FALSE))</f>
        <v>10.31</v>
      </c>
      <c r="AM235" s="268">
        <f>IF((VLOOKUP($A235,AffordabilityRatio!$A$2:$I$321,9,FALSE))="",AL235,VLOOKUP($A235,AffordabilityRatio!$A$2:$I$321,9,FALSE))</f>
        <v>10.55</v>
      </c>
      <c r="AN235" s="268">
        <f>IF((VLOOKUP($A235,AffordabilityRatio!$A$2:$I$321,9,FALSE))="",AM235,VLOOKUP($A235,AffordabilityRatio!$A$2:$I$321,9,FALSE))</f>
        <v>10.55</v>
      </c>
      <c r="AO235" s="268">
        <f>IF((VLOOKUP($A235,AffordabilityRatio!$A$2:$I$321,9,FALSE))="",AN235,VLOOKUP($A235,AffordabilityRatio!$A$2:$I$321,9,FALSE))</f>
        <v>10.55</v>
      </c>
      <c r="AP235" s="268">
        <f>IF((VLOOKUP($A235,AffordabilityRatio!$A$2:$I$321,9,FALSE))="",AO235,VLOOKUP($A235,AffordabilityRatio!$A$2:$I$321,9,FALSE))</f>
        <v>10.55</v>
      </c>
      <c r="AQ235" s="267">
        <f t="shared" si="218"/>
        <v>1186</v>
      </c>
      <c r="AR235" s="267">
        <f t="shared" si="219"/>
        <v>1133</v>
      </c>
      <c r="AS235" s="267">
        <f t="shared" si="220"/>
        <v>1086</v>
      </c>
      <c r="AT235" s="267">
        <f t="shared" si="221"/>
        <v>493</v>
      </c>
      <c r="AU235" s="267">
        <f t="shared" si="222"/>
        <v>472</v>
      </c>
      <c r="AV235" s="267">
        <f t="shared" si="223"/>
        <v>450</v>
      </c>
      <c r="AW235" s="267">
        <f t="shared" si="224"/>
        <v>432</v>
      </c>
      <c r="AX235" s="267">
        <f t="shared" si="225"/>
        <v>415</v>
      </c>
      <c r="AY235" s="267">
        <f t="shared" si="226"/>
        <v>1186</v>
      </c>
      <c r="AZ235" s="267">
        <f t="shared" si="227"/>
        <v>1133</v>
      </c>
      <c r="BA235" s="267">
        <f t="shared" si="228"/>
        <v>1086</v>
      </c>
      <c r="BB235" s="267">
        <f t="shared" si="229"/>
        <v>493</v>
      </c>
      <c r="BC235" s="267">
        <f t="shared" si="230"/>
        <v>472</v>
      </c>
      <c r="BD235" s="267">
        <f t="shared" si="231"/>
        <v>450</v>
      </c>
      <c r="BE235" s="267">
        <f t="shared" si="232"/>
        <v>432</v>
      </c>
      <c r="BF235" s="267">
        <f t="shared" si="233"/>
        <v>415</v>
      </c>
      <c r="BG235" s="269">
        <f>AY235*VLOOKUP($B235,'Major Cities &amp; Towns'!$A$28:$B$345,2,FALSE)</f>
        <v>1186</v>
      </c>
      <c r="BH235" s="269">
        <f>AZ235*VLOOKUP($B235,'Major Cities &amp; Towns'!$A$28:$B$345,2,FALSE)</f>
        <v>1133</v>
      </c>
      <c r="BI235" s="269">
        <f>BA235*VLOOKUP($B235,'Major Cities &amp; Towns'!$A$28:$B$345,2,FALSE)</f>
        <v>1086</v>
      </c>
      <c r="BJ235" s="269">
        <f>BB235*VLOOKUP($B235,'Major Cities &amp; Towns'!$A$28:$B$345,2,FALSE)</f>
        <v>493</v>
      </c>
      <c r="BK235" s="269">
        <f>BC235*VLOOKUP($B235,'Major Cities &amp; Towns'!$A$28:$B$345,2,FALSE)</f>
        <v>472</v>
      </c>
      <c r="BL235" s="269">
        <f>BD235*VLOOKUP($B235,'Major Cities &amp; Towns'!$A$28:$B$345,2,FALSE)</f>
        <v>450</v>
      </c>
      <c r="BM235" s="269">
        <f>BE235*VLOOKUP($B235,'Major Cities &amp; Towns'!$A$28:$B$345,2,FALSE)</f>
        <v>432</v>
      </c>
      <c r="BN235" s="269">
        <f>BF235*VLOOKUP($B235,'Major Cities &amp; Towns'!$A$28:$B$345,2,FALSE)</f>
        <v>415</v>
      </c>
      <c r="BO235" s="270">
        <f t="shared" si="234"/>
        <v>975</v>
      </c>
      <c r="BP235" s="270">
        <f t="shared" si="235"/>
        <v>975</v>
      </c>
      <c r="BQ235" s="270">
        <f t="shared" si="236"/>
        <v>975</v>
      </c>
      <c r="BR235" s="270">
        <f t="shared" si="237"/>
        <v>493</v>
      </c>
      <c r="BS235" s="270">
        <f t="shared" si="238"/>
        <v>472</v>
      </c>
      <c r="BT235" s="270">
        <f t="shared" si="239"/>
        <v>450</v>
      </c>
      <c r="BU235" s="270">
        <f t="shared" si="240"/>
        <v>432</v>
      </c>
      <c r="BV235" s="270">
        <f t="shared" si="241"/>
        <v>415</v>
      </c>
      <c r="BW235" s="39">
        <f>VLOOKUP($A235,NetAdditions!$A$2:$H$336,6,FALSE)</f>
        <v>1154</v>
      </c>
      <c r="BX235" s="39">
        <f>VLOOKUP($A235,NetAdditions!$A$2:$H$336,7,FALSE)</f>
        <v>1068</v>
      </c>
      <c r="BY235" s="39">
        <f>IF((VLOOKUP($C235,NetAdditions!$A$2:$H$336,8,FALSE))="",(AVERAGE(VLOOKUP($C235,NetAdditions!$A$2:$H$336,5,FALSE),VLOOKUP($C235,NetAdditions!$A$2:$H$336,6,FALSE),VLOOKUP($C235,NetAdditions!$A$2:$H$336,7,FALSE))),VLOOKUP($C235,NetAdditions!$A$2:$H$336,8,FALSE))</f>
        <v>1335</v>
      </c>
      <c r="BZ235" s="39">
        <f t="shared" si="242"/>
        <v>1185.6666666666667</v>
      </c>
      <c r="CA235" s="39">
        <f t="shared" si="243"/>
        <v>1196.2222222222224</v>
      </c>
      <c r="CB235" s="39">
        <f t="shared" si="244"/>
        <v>1238.9629629629633</v>
      </c>
      <c r="CC235" s="39">
        <f t="shared" si="245"/>
        <v>1206.9506172839508</v>
      </c>
      <c r="CD235" s="39">
        <f t="shared" si="246"/>
        <v>1214.0452674897122</v>
      </c>
      <c r="CE235" s="276">
        <f t="shared" si="203"/>
        <v>2925</v>
      </c>
      <c r="CF235" s="276">
        <f t="shared" si="204"/>
        <v>2443</v>
      </c>
      <c r="CG235" s="276">
        <f t="shared" si="205"/>
        <v>1940</v>
      </c>
      <c r="CH235" s="276">
        <f t="shared" si="206"/>
        <v>1415</v>
      </c>
      <c r="CI235" s="276">
        <f t="shared" si="207"/>
        <v>1354</v>
      </c>
      <c r="CJ235" s="276">
        <f t="shared" si="208"/>
        <v>1297</v>
      </c>
      <c r="CK235" s="276">
        <f t="shared" si="247"/>
        <v>2518.75</v>
      </c>
      <c r="CL235" s="276">
        <f t="shared" si="248"/>
        <v>2103.6944444444443</v>
      </c>
      <c r="CM235" s="276">
        <f t="shared" si="249"/>
        <v>1778.3333333333333</v>
      </c>
      <c r="CN235" s="276">
        <f t="shared" si="250"/>
        <v>1415</v>
      </c>
      <c r="CO235" s="276">
        <f t="shared" si="251"/>
        <v>1354</v>
      </c>
      <c r="CP235" s="276">
        <f t="shared" si="252"/>
        <v>1297</v>
      </c>
      <c r="CQ235" s="39">
        <f t="shared" si="209"/>
        <v>3557</v>
      </c>
      <c r="CR235" s="39">
        <f t="shared" si="210"/>
        <v>3588.666666666667</v>
      </c>
      <c r="CS235" s="277">
        <f t="shared" si="211"/>
        <v>3716.8888888888896</v>
      </c>
      <c r="CT235" s="39">
        <f t="shared" si="212"/>
        <v>3620.8518518518522</v>
      </c>
      <c r="CU235" s="39">
        <f t="shared" si="213"/>
        <v>3642.1358024691363</v>
      </c>
      <c r="CV235" s="39">
        <f t="shared" si="253"/>
        <v>3659.958847736626</v>
      </c>
      <c r="CW235" s="297">
        <f t="shared" si="214"/>
        <v>1.4122084367245658</v>
      </c>
      <c r="CX235" s="279" t="str">
        <f t="shared" si="254"/>
        <v>Pass</v>
      </c>
      <c r="CY235" s="278">
        <f t="shared" si="215"/>
        <v>1.7058877899990759</v>
      </c>
      <c r="CZ235" s="279" t="str">
        <f t="shared" si="255"/>
        <v>Pass</v>
      </c>
      <c r="DA235" s="278">
        <f t="shared" si="216"/>
        <v>2.0900968447360206</v>
      </c>
      <c r="DB235" s="292" t="str">
        <f t="shared" si="256"/>
        <v>Pass</v>
      </c>
      <c r="DC235" s="299">
        <f t="shared" si="257"/>
        <v>2.5589059023688003</v>
      </c>
      <c r="DD235" s="293" t="str">
        <f t="shared" si="258"/>
        <v>Pass</v>
      </c>
      <c r="DE235" s="299">
        <f t="shared" si="259"/>
        <v>2.6899082736108837</v>
      </c>
      <c r="DF235" s="293" t="str">
        <f t="shared" si="260"/>
        <v>Pass</v>
      </c>
      <c r="DG235" s="299">
        <f t="shared" si="261"/>
        <v>2.8218649558493647</v>
      </c>
      <c r="DH235" s="293" t="str">
        <f t="shared" si="262"/>
        <v>Pass</v>
      </c>
    </row>
    <row r="236" spans="1:112" ht="15" thickTop="1" thickBot="1">
      <c r="A236" s="38" t="s">
        <v>582</v>
      </c>
      <c r="B236" s="38" t="s">
        <v>583</v>
      </c>
      <c r="C236" s="38" t="s">
        <v>582</v>
      </c>
      <c r="D236" s="38" t="s">
        <v>119</v>
      </c>
      <c r="E236" s="38" t="str">
        <f>VLOOKUP(C236,PoliticalControl!A:K,11,FALSE)</f>
        <v>NOC</v>
      </c>
      <c r="F236" s="38" t="str">
        <f>VLOOKUP(C236,UrbanRuralClassification!A:N,13,FALSE)</f>
        <v>Urban with Significant Rural (rural including hub towns 26-49%)</v>
      </c>
      <c r="G236" s="38" t="str">
        <f>VLOOKUP(C236,UrbanRuralClassification!A:N,14,FALSE)</f>
        <v>Urban with Significant Rural</v>
      </c>
      <c r="H236" s="258">
        <f>IF(ISBLANK((VLOOKUP($A236,'local-plan-data'!$C$1:$AD$566,27,FALSE)))=TRUE,"",VLOOKUP($A236,'local-plan-data'!$C$1:$AD$566,27,FALSE))</f>
        <v>42534</v>
      </c>
      <c r="I236" s="259">
        <f>VLOOKUP($A236,'local-plan-data'!$C$1:$AD$566,28,FALSE)</f>
        <v>742.23529411764707</v>
      </c>
      <c r="J236" s="260">
        <f t="shared" si="217"/>
        <v>742.23529411764707</v>
      </c>
      <c r="K236" s="259">
        <f t="shared" si="263"/>
        <v>742.23529411764707</v>
      </c>
      <c r="L236" s="259">
        <f t="shared" si="265"/>
        <v>742.23529411764707</v>
      </c>
      <c r="M236" s="259">
        <f t="shared" si="265"/>
        <v>742.23529411764707</v>
      </c>
      <c r="N236" s="259">
        <f t="shared" si="265"/>
        <v>742.23529411764707</v>
      </c>
      <c r="O236" s="259" t="str">
        <f t="shared" si="265"/>
        <v>-</v>
      </c>
      <c r="P236" s="259" t="str">
        <f t="shared" si="265"/>
        <v>-</v>
      </c>
      <c r="Q236" s="259" t="str">
        <f t="shared" si="265"/>
        <v>-</v>
      </c>
      <c r="R236" s="259" t="str">
        <f t="shared" si="265"/>
        <v>-</v>
      </c>
      <c r="S236" s="259">
        <f t="shared" si="264"/>
        <v>1169</v>
      </c>
      <c r="T236" s="259">
        <f t="shared" si="266"/>
        <v>804</v>
      </c>
      <c r="U236" s="259">
        <f t="shared" si="266"/>
        <v>438</v>
      </c>
      <c r="V236" s="259">
        <f t="shared" si="266"/>
        <v>73</v>
      </c>
      <c r="W236" s="259">
        <f t="shared" si="266"/>
        <v>-292</v>
      </c>
      <c r="X236" s="259">
        <f t="shared" si="266"/>
        <v>-657</v>
      </c>
      <c r="Y236" s="259">
        <f t="shared" si="266"/>
        <v>-1023</v>
      </c>
      <c r="Z236" s="259">
        <f t="shared" si="266"/>
        <v>-1388</v>
      </c>
      <c r="AA236" s="267">
        <f>(VLOOKUP(A236,Hshldprojections2014!$A$2:$AW$319,40, FALSE)-VLOOKUP(A236,Hshldprojections2014!$A$2:$AW$319,30, FALSE))/10</f>
        <v>476.1</v>
      </c>
      <c r="AB236" s="267">
        <f>(VLOOKUP(A236,Hshldprojections2014!$A$2:$AW$319,41, FALSE)-VLOOKUP(A236,Hshldprojections2014!$A$2:$AW$319,31, FALSE))/10</f>
        <v>466</v>
      </c>
      <c r="AC236" s="267">
        <f>(VLOOKUP(A236,Hshldprojections2014!$A$2:$AW$319,42, FALSE)-VLOOKUP(A236,Hshldprojections2014!$A$2:$AW$319,32, FALSE))/10</f>
        <v>457.4</v>
      </c>
      <c r="AD236" s="267">
        <f>IF(IndividualLATest!$J$7=2014,(VLOOKUP($A236,Hshldprojections2014!$A$2:$AY$326,43,FALSE)-VLOOKUP($A236,Hshldprojections2014!$A$2:$AY$326,33,FALSE))/10,IF(IndividualLATest!$J$7=2016,(VLOOKUP($A236,Hshldprojections2016!$A$1:$AQ$322,33,FALSE)-VLOOKUP($A236,Hshldprojections2016!$A$1:$AQ$322,23,FALSE))/10,(VLOOKUP($A236,Hshldprojections2018!$A$1:$AQ$327,33,FALSE)-VLOOKUP($A236,Hshldprojections2018!$A$1:$AQ$327,23,FALSE))/10))</f>
        <v>733.6</v>
      </c>
      <c r="AE236" s="267">
        <f>IF(IndividualLATest!$J$7=2014,(VLOOKUP($A236,Hshldprojections2014!$A$2:$AY$326,44,FALSE)-VLOOKUP($A236,Hshldprojections2014!$A$2:$AY$326,34,FALSE))/10,IF(IndividualLATest!$J$7=2016,(VLOOKUP($A236,Hshldprojections2016!$A$1:$AQ$322,34,FALSE)-VLOOKUP($A236,Hshldprojections2016!$A$1:$AQ$322,24,FALSE))/10,(VLOOKUP($A236,Hshldprojections2018!$A$1:$AQ$327,34,FALSE)-VLOOKUP($A236,Hshldprojections2018!$A$1:$AQ$327,24,FALSE))/10))</f>
        <v>709.9</v>
      </c>
      <c r="AF236" s="267">
        <f>IF(IndividualLATest!$J$7=2014,(VLOOKUP($A236,Hshldprojections2014!$A$2:$AY$326,45,FALSE)-VLOOKUP($A236,Hshldprojections2014!$A$2:$AY$326,35,FALSE))/10,IF(IndividualLATest!$J$7=2016,(VLOOKUP($A236,Hshldprojections2016!$A$1:$AQ$322,35,FALSE)-VLOOKUP($A236,Hshldprojections2016!$A$1:$AQ$322,25,FALSE))/10,(VLOOKUP($A236,Hshldprojections2018!$A$1:$AQ$327,35,FALSE)-VLOOKUP($A236,Hshldprojections2018!$A$1:$AQ$327,25,FALSE))/10))</f>
        <v>687.1</v>
      </c>
      <c r="AG236" s="267">
        <f>IF(IndividualLATest!$J$7=2014,(VLOOKUP($A236,Hshldprojections2014!$A$2:$AY$326,46,FALSE)-VLOOKUP($A236,Hshldprojections2014!$A$2:$AY$326,36,FALSE))/10,IF(IndividualLATest!$J$7=2016,(VLOOKUP($A236,Hshldprojections2016!$A$1:$AQ$322,36,FALSE)-VLOOKUP($A236,Hshldprojections2016!$A$1:$AQ$322,26,FALSE))/10,(VLOOKUP($A236,Hshldprojections2018!$A$1:$AQ$327,36,FALSE)-VLOOKUP($A236,Hshldprojections2018!$A$1:$AQ$327,26,FALSE))/10))</f>
        <v>665.6</v>
      </c>
      <c r="AH236" s="267">
        <f>IF(IndividualLATest!$J$7=2014,(VLOOKUP($A236,Hshldprojections2014!$A$2:$AY$326,47,FALSE)-VLOOKUP($A236,Hshldprojections2014!$A$2:$AY$326,37,FALSE))/10,IF(IndividualLATest!$J$7=2016,(VLOOKUP($A236,Hshldprojections2016!$A$1:$AQ$322,37,FALSE)-VLOOKUP($A236,Hshldprojections2016!$A$1:$AQ$322,27,FALSE))/10,(VLOOKUP($A236,Hshldprojections2018!$A$1:$AQ$327,37,FALSE)-VLOOKUP($A236,Hshldprojections2018!$A$1:$AQ$327,27,FALSE))/10))</f>
        <v>648.5</v>
      </c>
      <c r="AI236" s="268">
        <f>VLOOKUP($A236,AffordabilityRatio!$A$2:$I$321,5,FALSE)</f>
        <v>7.45</v>
      </c>
      <c r="AJ236" s="268">
        <f>VLOOKUP($A236,AffordabilityRatio!$A$2:$I$321,6,FALSE)</f>
        <v>7.13</v>
      </c>
      <c r="AK236" s="268">
        <f>VLOOKUP($A236,AffordabilityRatio!$A$2:$I$321,7,FALSE)</f>
        <v>7.29</v>
      </c>
      <c r="AL236" s="268">
        <f>IF((VLOOKUP($A236,AffordabilityRatio!$A$2:$I$321,8,FALSE))="",AK236,VLOOKUP($A236,AffordabilityRatio!$A$2:$I$321,8,FALSE))</f>
        <v>7.21</v>
      </c>
      <c r="AM236" s="268">
        <f>IF((VLOOKUP($A236,AffordabilityRatio!$A$2:$I$321,9,FALSE))="",AL236,VLOOKUP($A236,AffordabilityRatio!$A$2:$I$321,9,FALSE))</f>
        <v>7.35</v>
      </c>
      <c r="AN236" s="268">
        <f>IF((VLOOKUP($A236,AffordabilityRatio!$A$2:$I$321,9,FALSE))="",AM236,VLOOKUP($A236,AffordabilityRatio!$A$2:$I$321,9,FALSE))</f>
        <v>7.35</v>
      </c>
      <c r="AO236" s="268">
        <f>IF((VLOOKUP($A236,AffordabilityRatio!$A$2:$I$321,9,FALSE))="",AN236,VLOOKUP($A236,AffordabilityRatio!$A$2:$I$321,9,FALSE))</f>
        <v>7.35</v>
      </c>
      <c r="AP236" s="268">
        <f>IF((VLOOKUP($A236,AffordabilityRatio!$A$2:$I$321,9,FALSE))="",AO236,VLOOKUP($A236,AffordabilityRatio!$A$2:$I$321,9,FALSE))</f>
        <v>7.35</v>
      </c>
      <c r="AQ236" s="267">
        <f t="shared" si="218"/>
        <v>579</v>
      </c>
      <c r="AR236" s="267">
        <f t="shared" si="219"/>
        <v>557</v>
      </c>
      <c r="AS236" s="267">
        <f t="shared" si="220"/>
        <v>551</v>
      </c>
      <c r="AT236" s="267">
        <f t="shared" si="221"/>
        <v>881</v>
      </c>
      <c r="AU236" s="267">
        <f t="shared" si="222"/>
        <v>859</v>
      </c>
      <c r="AV236" s="267">
        <f t="shared" si="223"/>
        <v>831</v>
      </c>
      <c r="AW236" s="267">
        <f t="shared" si="224"/>
        <v>805</v>
      </c>
      <c r="AX236" s="267">
        <f t="shared" si="225"/>
        <v>784</v>
      </c>
      <c r="AY236" s="267">
        <f t="shared" si="226"/>
        <v>579</v>
      </c>
      <c r="AZ236" s="267">
        <f t="shared" si="227"/>
        <v>557</v>
      </c>
      <c r="BA236" s="267">
        <f t="shared" si="228"/>
        <v>551</v>
      </c>
      <c r="BB236" s="267">
        <f t="shared" si="229"/>
        <v>881</v>
      </c>
      <c r="BC236" s="267">
        <f t="shared" si="230"/>
        <v>859</v>
      </c>
      <c r="BD236" s="267">
        <f t="shared" si="231"/>
        <v>831</v>
      </c>
      <c r="BE236" s="267">
        <f t="shared" si="232"/>
        <v>805</v>
      </c>
      <c r="BF236" s="267">
        <f t="shared" si="233"/>
        <v>784</v>
      </c>
      <c r="BG236" s="269">
        <f>AY236*VLOOKUP($B236,'Major Cities &amp; Towns'!$A$28:$B$345,2,FALSE)</f>
        <v>579</v>
      </c>
      <c r="BH236" s="269">
        <f>AZ236*VLOOKUP($B236,'Major Cities &amp; Towns'!$A$28:$B$345,2,FALSE)</f>
        <v>557</v>
      </c>
      <c r="BI236" s="269">
        <f>BA236*VLOOKUP($B236,'Major Cities &amp; Towns'!$A$28:$B$345,2,FALSE)</f>
        <v>551</v>
      </c>
      <c r="BJ236" s="269">
        <f>BB236*VLOOKUP($B236,'Major Cities &amp; Towns'!$A$28:$B$345,2,FALSE)</f>
        <v>881</v>
      </c>
      <c r="BK236" s="269">
        <f>BC236*VLOOKUP($B236,'Major Cities &amp; Towns'!$A$28:$B$345,2,FALSE)</f>
        <v>859</v>
      </c>
      <c r="BL236" s="269">
        <f>BD236*VLOOKUP($B236,'Major Cities &amp; Towns'!$A$28:$B$345,2,FALSE)</f>
        <v>831</v>
      </c>
      <c r="BM236" s="269">
        <f>BE236*VLOOKUP($B236,'Major Cities &amp; Towns'!$A$28:$B$345,2,FALSE)</f>
        <v>805</v>
      </c>
      <c r="BN236" s="269">
        <f>BF236*VLOOKUP($B236,'Major Cities &amp; Towns'!$A$28:$B$345,2,FALSE)</f>
        <v>784</v>
      </c>
      <c r="BO236" s="270">
        <f t="shared" si="234"/>
        <v>579</v>
      </c>
      <c r="BP236" s="270">
        <f t="shared" si="235"/>
        <v>557</v>
      </c>
      <c r="BQ236" s="270">
        <f t="shared" si="236"/>
        <v>551</v>
      </c>
      <c r="BR236" s="270">
        <f t="shared" si="237"/>
        <v>853.24705882352953</v>
      </c>
      <c r="BS236" s="270">
        <f t="shared" si="238"/>
        <v>859</v>
      </c>
      <c r="BT236" s="270">
        <f t="shared" si="239"/>
        <v>831</v>
      </c>
      <c r="BU236" s="270">
        <f t="shared" si="240"/>
        <v>805</v>
      </c>
      <c r="BV236" s="270">
        <f t="shared" si="241"/>
        <v>784</v>
      </c>
      <c r="BW236" s="39">
        <f>VLOOKUP($A236,NetAdditions!$A$2:$H$336,6,FALSE)</f>
        <v>1218</v>
      </c>
      <c r="BX236" s="39">
        <f>VLOOKUP($A236,NetAdditions!$A$2:$H$336,7,FALSE)</f>
        <v>1285</v>
      </c>
      <c r="BY236" s="39">
        <f>IF((VLOOKUP($C236,NetAdditions!$A$2:$H$336,8,FALSE))="",(AVERAGE(VLOOKUP($C236,NetAdditions!$A$2:$H$336,5,FALSE),VLOOKUP($C236,NetAdditions!$A$2:$H$336,6,FALSE),VLOOKUP($C236,NetAdditions!$A$2:$H$336,7,FALSE))),VLOOKUP($C236,NetAdditions!$A$2:$H$336,8,FALSE))</f>
        <v>1029</v>
      </c>
      <c r="BZ236" s="39">
        <f t="shared" si="242"/>
        <v>1177.3333333333333</v>
      </c>
      <c r="CA236" s="39">
        <f t="shared" si="243"/>
        <v>1163.7777777777776</v>
      </c>
      <c r="CB236" s="39">
        <f t="shared" si="244"/>
        <v>1123.3703703703702</v>
      </c>
      <c r="CC236" s="39">
        <f t="shared" si="245"/>
        <v>1154.827160493827</v>
      </c>
      <c r="CD236" s="39">
        <f t="shared" si="246"/>
        <v>1147.3251028806583</v>
      </c>
      <c r="CE236" s="276">
        <f t="shared" si="203"/>
        <v>1687</v>
      </c>
      <c r="CF236" s="276">
        <f t="shared" si="204"/>
        <v>1961.2470588235296</v>
      </c>
      <c r="CG236" s="276">
        <f t="shared" si="205"/>
        <v>2263.2470588235296</v>
      </c>
      <c r="CH236" s="276">
        <f t="shared" si="206"/>
        <v>2543.2470588235296</v>
      </c>
      <c r="CI236" s="276">
        <f t="shared" si="207"/>
        <v>2495</v>
      </c>
      <c r="CJ236" s="276">
        <f t="shared" si="208"/>
        <v>2420</v>
      </c>
      <c r="CK236" s="276">
        <f t="shared" si="247"/>
        <v>1452.6944444444446</v>
      </c>
      <c r="CL236" s="276">
        <f t="shared" si="248"/>
        <v>1688.8516339869284</v>
      </c>
      <c r="CM236" s="276">
        <f t="shared" si="249"/>
        <v>2074.6431372549023</v>
      </c>
      <c r="CN236" s="276">
        <f t="shared" si="250"/>
        <v>2543.2470588235296</v>
      </c>
      <c r="CO236" s="276">
        <f t="shared" si="251"/>
        <v>2495</v>
      </c>
      <c r="CP236" s="276">
        <f t="shared" si="252"/>
        <v>2420</v>
      </c>
      <c r="CQ236" s="39">
        <f t="shared" si="209"/>
        <v>3532</v>
      </c>
      <c r="CR236" s="39">
        <f t="shared" si="210"/>
        <v>3491.333333333333</v>
      </c>
      <c r="CS236" s="277">
        <f t="shared" si="211"/>
        <v>3370.1111111111104</v>
      </c>
      <c r="CT236" s="39">
        <f t="shared" si="212"/>
        <v>3464.4814814814808</v>
      </c>
      <c r="CU236" s="39">
        <f t="shared" si="213"/>
        <v>3441.9753086419751</v>
      </c>
      <c r="CV236" s="39">
        <f t="shared" si="253"/>
        <v>3425.5226337448557</v>
      </c>
      <c r="CW236" s="297">
        <f t="shared" si="214"/>
        <v>2.4313440541522455</v>
      </c>
      <c r="CX236" s="279" t="str">
        <f t="shared" si="254"/>
        <v>Pass</v>
      </c>
      <c r="CY236" s="278">
        <f t="shared" si="215"/>
        <v>2.0672824439238786</v>
      </c>
      <c r="CZ236" s="279" t="str">
        <f t="shared" si="255"/>
        <v>Pass</v>
      </c>
      <c r="DA236" s="278">
        <f t="shared" si="216"/>
        <v>1.6244293057409032</v>
      </c>
      <c r="DB236" s="292" t="str">
        <f t="shared" si="256"/>
        <v>Pass</v>
      </c>
      <c r="DC236" s="299">
        <f t="shared" si="257"/>
        <v>1.3622276567515628</v>
      </c>
      <c r="DD236" s="293" t="str">
        <f t="shared" si="258"/>
        <v>Pass</v>
      </c>
      <c r="DE236" s="299">
        <f t="shared" si="259"/>
        <v>1.3795492219005911</v>
      </c>
      <c r="DF236" s="293" t="str">
        <f t="shared" si="260"/>
        <v>Pass</v>
      </c>
      <c r="DG236" s="299">
        <f t="shared" si="261"/>
        <v>1.4155052205557255</v>
      </c>
      <c r="DH236" s="293" t="str">
        <f t="shared" si="262"/>
        <v>Pass</v>
      </c>
    </row>
    <row r="237" spans="1:112" ht="15" thickTop="1" thickBot="1">
      <c r="A237" s="38" t="s">
        <v>584</v>
      </c>
      <c r="B237" s="38" t="s">
        <v>585</v>
      </c>
      <c r="C237" s="38" t="s">
        <v>584</v>
      </c>
      <c r="D237" s="38" t="s">
        <v>147</v>
      </c>
      <c r="E237" s="38" t="str">
        <f>VLOOKUP(C237,PoliticalControl!A:K,11,FALSE)</f>
        <v>CON</v>
      </c>
      <c r="F237" s="38" t="str">
        <f>VLOOKUP(C237,UrbanRuralClassification!A:N,13,FALSE)</f>
        <v>Urban with City and Town</v>
      </c>
      <c r="G237" s="38" t="str">
        <f>VLOOKUP(C237,UrbanRuralClassification!A:N,14,FALSE)</f>
        <v>Predominantly Urban</v>
      </c>
      <c r="H237" s="258">
        <f>IF(ISBLANK((VLOOKUP($A237,'local-plan-data'!$C$1:$AD$566,27,FALSE)))=TRUE,"",VLOOKUP($A237,'local-plan-data'!$C$1:$AD$566,27,FALSE))</f>
        <v>41619</v>
      </c>
      <c r="I237" s="259">
        <f>VLOOKUP($A237,'local-plan-data'!$C$1:$AD$566,28,FALSE)</f>
        <v>1350.2380952380952</v>
      </c>
      <c r="J237" s="260">
        <f t="shared" si="217"/>
        <v>1350.2380952380952</v>
      </c>
      <c r="K237" s="259">
        <f t="shared" si="263"/>
        <v>1350.2380952380952</v>
      </c>
      <c r="L237" s="259" t="str">
        <f t="shared" si="265"/>
        <v>-</v>
      </c>
      <c r="M237" s="259" t="str">
        <f t="shared" si="265"/>
        <v>-</v>
      </c>
      <c r="N237" s="259" t="str">
        <f t="shared" si="265"/>
        <v>-</v>
      </c>
      <c r="O237" s="259" t="str">
        <f t="shared" si="265"/>
        <v>-</v>
      </c>
      <c r="P237" s="259" t="str">
        <f t="shared" si="265"/>
        <v>-</v>
      </c>
      <c r="Q237" s="259" t="str">
        <f t="shared" si="265"/>
        <v>-</v>
      </c>
      <c r="R237" s="259" t="str">
        <f t="shared" si="265"/>
        <v>-</v>
      </c>
      <c r="S237" s="259">
        <f t="shared" si="264"/>
        <v>254</v>
      </c>
      <c r="T237" s="259">
        <f t="shared" si="266"/>
        <v>-111</v>
      </c>
      <c r="U237" s="259">
        <f t="shared" si="266"/>
        <v>-477</v>
      </c>
      <c r="V237" s="259">
        <f t="shared" si="266"/>
        <v>-842</v>
      </c>
      <c r="W237" s="259">
        <f t="shared" si="266"/>
        <v>-1207</v>
      </c>
      <c r="X237" s="259">
        <f t="shared" si="266"/>
        <v>-1572</v>
      </c>
      <c r="Y237" s="259">
        <f t="shared" si="266"/>
        <v>-1938</v>
      </c>
      <c r="Z237" s="259">
        <f t="shared" si="266"/>
        <v>-2303</v>
      </c>
      <c r="AA237" s="267">
        <f>(VLOOKUP(A237,Hshldprojections2014!$A$2:$AW$319,40, FALSE)-VLOOKUP(A237,Hshldprojections2014!$A$2:$AW$319,30, FALSE))/10</f>
        <v>1122.9000000000001</v>
      </c>
      <c r="AB237" s="267">
        <f>(VLOOKUP(A237,Hshldprojections2014!$A$2:$AW$319,41, FALSE)-VLOOKUP(A237,Hshldprojections2014!$A$2:$AW$319,31, FALSE))/10</f>
        <v>1103</v>
      </c>
      <c r="AC237" s="267">
        <f>(VLOOKUP(A237,Hshldprojections2014!$A$2:$AW$319,42, FALSE)-VLOOKUP(A237,Hshldprojections2014!$A$2:$AW$319,32, FALSE))/10</f>
        <v>1087.8</v>
      </c>
      <c r="AD237" s="267">
        <f>IF(IndividualLATest!$J$7=2014,(VLOOKUP($A237,Hshldprojections2014!$A$2:$AY$326,43,FALSE)-VLOOKUP($A237,Hshldprojections2014!$A$2:$AY$326,33,FALSE))/10,IF(IndividualLATest!$J$7=2016,(VLOOKUP($A237,Hshldprojections2016!$A$1:$AQ$322,33,FALSE)-VLOOKUP($A237,Hshldprojections2016!$A$1:$AQ$322,23,FALSE))/10,(VLOOKUP($A237,Hshldprojections2018!$A$1:$AQ$327,33,FALSE)-VLOOKUP($A237,Hshldprojections2018!$A$1:$AQ$327,23,FALSE))/10))</f>
        <v>1280.4000000000001</v>
      </c>
      <c r="AE237" s="267">
        <f>IF(IndividualLATest!$J$7=2014,(VLOOKUP($A237,Hshldprojections2014!$A$2:$AY$326,44,FALSE)-VLOOKUP($A237,Hshldprojections2014!$A$2:$AY$326,34,FALSE))/10,IF(IndividualLATest!$J$7=2016,(VLOOKUP($A237,Hshldprojections2016!$A$1:$AQ$322,34,FALSE)-VLOOKUP($A237,Hshldprojections2016!$A$1:$AQ$322,24,FALSE))/10,(VLOOKUP($A237,Hshldprojections2018!$A$1:$AQ$327,34,FALSE)-VLOOKUP($A237,Hshldprojections2018!$A$1:$AQ$327,24,FALSE))/10))</f>
        <v>1262.9000000000001</v>
      </c>
      <c r="AF237" s="267">
        <f>IF(IndividualLATest!$J$7=2014,(VLOOKUP($A237,Hshldprojections2014!$A$2:$AY$326,45,FALSE)-VLOOKUP($A237,Hshldprojections2014!$A$2:$AY$326,35,FALSE))/10,IF(IndividualLATest!$J$7=2016,(VLOOKUP($A237,Hshldprojections2016!$A$1:$AQ$322,35,FALSE)-VLOOKUP($A237,Hshldprojections2016!$A$1:$AQ$322,25,FALSE))/10,(VLOOKUP($A237,Hshldprojections2018!$A$1:$AQ$327,35,FALSE)-VLOOKUP($A237,Hshldprojections2018!$A$1:$AQ$327,25,FALSE))/10))</f>
        <v>1251.5999999999999</v>
      </c>
      <c r="AG237" s="267">
        <f>IF(IndividualLATest!$J$7=2014,(VLOOKUP($A237,Hshldprojections2014!$A$2:$AY$326,46,FALSE)-VLOOKUP($A237,Hshldprojections2014!$A$2:$AY$326,36,FALSE))/10,IF(IndividualLATest!$J$7=2016,(VLOOKUP($A237,Hshldprojections2016!$A$1:$AQ$322,36,FALSE)-VLOOKUP($A237,Hshldprojections2016!$A$1:$AQ$322,26,FALSE))/10,(VLOOKUP($A237,Hshldprojections2018!$A$1:$AQ$327,36,FALSE)-VLOOKUP($A237,Hshldprojections2018!$A$1:$AQ$327,26,FALSE))/10))</f>
        <v>1236.3</v>
      </c>
      <c r="AH237" s="267">
        <f>IF(IndividualLATest!$J$7=2014,(VLOOKUP($A237,Hshldprojections2014!$A$2:$AY$326,47,FALSE)-VLOOKUP($A237,Hshldprojections2014!$A$2:$AY$326,37,FALSE))/10,IF(IndividualLATest!$J$7=2016,(VLOOKUP($A237,Hshldprojections2016!$A$1:$AQ$322,37,FALSE)-VLOOKUP($A237,Hshldprojections2016!$A$1:$AQ$322,27,FALSE))/10,(VLOOKUP($A237,Hshldprojections2018!$A$1:$AQ$327,37,FALSE)-VLOOKUP($A237,Hshldprojections2018!$A$1:$AQ$327,27,FALSE))/10))</f>
        <v>1227.8</v>
      </c>
      <c r="AI237" s="268">
        <f>VLOOKUP($A237,AffordabilityRatio!$A$2:$I$321,5,FALSE)</f>
        <v>8.01</v>
      </c>
      <c r="AJ237" s="268">
        <f>VLOOKUP($A237,AffordabilityRatio!$A$2:$I$321,6,FALSE)</f>
        <v>8.19</v>
      </c>
      <c r="AK237" s="268">
        <f>VLOOKUP($A237,AffordabilityRatio!$A$2:$I$321,7,FALSE)</f>
        <v>8.75</v>
      </c>
      <c r="AL237" s="268">
        <f>IF((VLOOKUP($A237,AffordabilityRatio!$A$2:$I$321,8,FALSE))="",AK237,VLOOKUP($A237,AffordabilityRatio!$A$2:$I$321,8,FALSE))</f>
        <v>8.18</v>
      </c>
      <c r="AM237" s="268">
        <f>IF((VLOOKUP($A237,AffordabilityRatio!$A$2:$I$321,9,FALSE))="",AL237,VLOOKUP($A237,AffordabilityRatio!$A$2:$I$321,9,FALSE))</f>
        <v>8.82</v>
      </c>
      <c r="AN237" s="268">
        <f>IF((VLOOKUP($A237,AffordabilityRatio!$A$2:$I$321,9,FALSE))="",AM237,VLOOKUP($A237,AffordabilityRatio!$A$2:$I$321,9,FALSE))</f>
        <v>8.82</v>
      </c>
      <c r="AO237" s="268">
        <f>IF((VLOOKUP($A237,AffordabilityRatio!$A$2:$I$321,9,FALSE))="",AN237,VLOOKUP($A237,AffordabilityRatio!$A$2:$I$321,9,FALSE))</f>
        <v>8.82</v>
      </c>
      <c r="AP237" s="268">
        <f>IF((VLOOKUP($A237,AffordabilityRatio!$A$2:$I$321,9,FALSE))="",AO237,VLOOKUP($A237,AffordabilityRatio!$A$2:$I$321,9,FALSE))</f>
        <v>8.82</v>
      </c>
      <c r="AQ237" s="267">
        <f t="shared" si="218"/>
        <v>1404</v>
      </c>
      <c r="AR237" s="267">
        <f t="shared" si="219"/>
        <v>1392</v>
      </c>
      <c r="AS237" s="267">
        <f t="shared" si="220"/>
        <v>1411</v>
      </c>
      <c r="AT237" s="267">
        <f t="shared" si="221"/>
        <v>1615</v>
      </c>
      <c r="AU237" s="267">
        <f t="shared" si="222"/>
        <v>1643</v>
      </c>
      <c r="AV237" s="267">
        <f t="shared" si="223"/>
        <v>1629</v>
      </c>
      <c r="AW237" s="267">
        <f t="shared" si="224"/>
        <v>1609</v>
      </c>
      <c r="AX237" s="267">
        <f t="shared" si="225"/>
        <v>1598</v>
      </c>
      <c r="AY237" s="267">
        <f t="shared" si="226"/>
        <v>1404</v>
      </c>
      <c r="AZ237" s="267">
        <f t="shared" si="227"/>
        <v>1392</v>
      </c>
      <c r="BA237" s="267">
        <f t="shared" si="228"/>
        <v>1411</v>
      </c>
      <c r="BB237" s="267">
        <f t="shared" si="229"/>
        <v>1615</v>
      </c>
      <c r="BC237" s="267">
        <f t="shared" si="230"/>
        <v>1643</v>
      </c>
      <c r="BD237" s="267">
        <f t="shared" si="231"/>
        <v>1629</v>
      </c>
      <c r="BE237" s="267">
        <f t="shared" si="232"/>
        <v>1609</v>
      </c>
      <c r="BF237" s="267">
        <f t="shared" si="233"/>
        <v>1598</v>
      </c>
      <c r="BG237" s="269">
        <f>AY237*VLOOKUP($B237,'Major Cities &amp; Towns'!$A$28:$B$345,2,FALSE)</f>
        <v>1404</v>
      </c>
      <c r="BH237" s="269">
        <f>AZ237*VLOOKUP($B237,'Major Cities &amp; Towns'!$A$28:$B$345,2,FALSE)</f>
        <v>1392</v>
      </c>
      <c r="BI237" s="269">
        <f>BA237*VLOOKUP($B237,'Major Cities &amp; Towns'!$A$28:$B$345,2,FALSE)</f>
        <v>1411</v>
      </c>
      <c r="BJ237" s="269">
        <f>BB237*VLOOKUP($B237,'Major Cities &amp; Towns'!$A$28:$B$345,2,FALSE)</f>
        <v>1615</v>
      </c>
      <c r="BK237" s="269">
        <f>BC237*VLOOKUP($B237,'Major Cities &amp; Towns'!$A$28:$B$345,2,FALSE)</f>
        <v>1643</v>
      </c>
      <c r="BL237" s="269">
        <f>BD237*VLOOKUP($B237,'Major Cities &amp; Towns'!$A$28:$B$345,2,FALSE)</f>
        <v>1629</v>
      </c>
      <c r="BM237" s="269">
        <f>BE237*VLOOKUP($B237,'Major Cities &amp; Towns'!$A$28:$B$345,2,FALSE)</f>
        <v>1609</v>
      </c>
      <c r="BN237" s="269">
        <f>BF237*VLOOKUP($B237,'Major Cities &amp; Towns'!$A$28:$B$345,2,FALSE)</f>
        <v>1598</v>
      </c>
      <c r="BO237" s="270">
        <f>IFERROR(IF(AND(S237&lt;365,S237&gt;0),SUM(((S237/365)*(MIN(K237,BG237)))+(((365-S237)/365)*AQ237)),(MIN(K237,AQ237))),AQ237)</f>
        <v>1366.5876060013047</v>
      </c>
      <c r="BP237" s="270">
        <f t="shared" si="235"/>
        <v>1392</v>
      </c>
      <c r="BQ237" s="270">
        <f t="shared" si="236"/>
        <v>1411</v>
      </c>
      <c r="BR237" s="270">
        <f t="shared" si="237"/>
        <v>1615</v>
      </c>
      <c r="BS237" s="270">
        <f t="shared" si="238"/>
        <v>1643</v>
      </c>
      <c r="BT237" s="270">
        <f t="shared" si="239"/>
        <v>1629</v>
      </c>
      <c r="BU237" s="270">
        <f t="shared" si="240"/>
        <v>1609</v>
      </c>
      <c r="BV237" s="270">
        <f t="shared" si="241"/>
        <v>1598</v>
      </c>
      <c r="BW237" s="39">
        <f>VLOOKUP($A237,NetAdditions!$A$2:$H$336,6,FALSE)</f>
        <v>1573</v>
      </c>
      <c r="BX237" s="39">
        <f>VLOOKUP($A237,NetAdditions!$A$2:$H$336,7,FALSE)</f>
        <v>1514</v>
      </c>
      <c r="BY237" s="39">
        <f>IF((VLOOKUP($C237,NetAdditions!$A$2:$H$336,8,FALSE))="",(AVERAGE(VLOOKUP($C237,NetAdditions!$A$2:$H$336,5,FALSE),VLOOKUP($C237,NetAdditions!$A$2:$H$336,6,FALSE),VLOOKUP($C237,NetAdditions!$A$2:$H$336,7,FALSE))),VLOOKUP($C237,NetAdditions!$A$2:$H$336,8,FALSE))</f>
        <v>1641</v>
      </c>
      <c r="BZ237" s="39">
        <f t="shared" si="242"/>
        <v>1576</v>
      </c>
      <c r="CA237" s="39">
        <f t="shared" si="243"/>
        <v>1577</v>
      </c>
      <c r="CB237" s="39">
        <f t="shared" si="244"/>
        <v>1598</v>
      </c>
      <c r="CC237" s="39">
        <f t="shared" si="245"/>
        <v>1583.6666666666667</v>
      </c>
      <c r="CD237" s="39">
        <f t="shared" si="246"/>
        <v>1586.2222222222224</v>
      </c>
      <c r="CE237" s="276">
        <f t="shared" si="203"/>
        <v>4169.5876060013052</v>
      </c>
      <c r="CF237" s="276">
        <f t="shared" si="204"/>
        <v>4418</v>
      </c>
      <c r="CG237" s="276">
        <f t="shared" si="205"/>
        <v>4669</v>
      </c>
      <c r="CH237" s="276">
        <f t="shared" si="206"/>
        <v>4887</v>
      </c>
      <c r="CI237" s="276">
        <f t="shared" si="207"/>
        <v>4881</v>
      </c>
      <c r="CJ237" s="276">
        <f t="shared" si="208"/>
        <v>4836</v>
      </c>
      <c r="CK237" s="276">
        <f t="shared" si="247"/>
        <v>3590.478216278902</v>
      </c>
      <c r="CL237" s="276">
        <f t="shared" si="248"/>
        <v>3804.3888888888891</v>
      </c>
      <c r="CM237" s="276">
        <f t="shared" si="249"/>
        <v>4279.9166666666661</v>
      </c>
      <c r="CN237" s="276">
        <f t="shared" si="250"/>
        <v>4887</v>
      </c>
      <c r="CO237" s="276">
        <f t="shared" si="251"/>
        <v>4881</v>
      </c>
      <c r="CP237" s="276">
        <f t="shared" si="252"/>
        <v>4836</v>
      </c>
      <c r="CQ237" s="39">
        <f t="shared" si="209"/>
        <v>4728</v>
      </c>
      <c r="CR237" s="39">
        <f t="shared" si="210"/>
        <v>4731</v>
      </c>
      <c r="CS237" s="277">
        <f t="shared" si="211"/>
        <v>4794</v>
      </c>
      <c r="CT237" s="39">
        <f t="shared" si="212"/>
        <v>4751</v>
      </c>
      <c r="CU237" s="39">
        <f t="shared" si="213"/>
        <v>4758.666666666667</v>
      </c>
      <c r="CV237" s="39">
        <f t="shared" si="253"/>
        <v>4767.8888888888896</v>
      </c>
      <c r="CW237" s="297">
        <f t="shared" si="214"/>
        <v>1.3168162331590476</v>
      </c>
      <c r="CX237" s="279" t="str">
        <f t="shared" si="254"/>
        <v>Pass</v>
      </c>
      <c r="CY237" s="278">
        <f t="shared" si="215"/>
        <v>1.2435637202646066</v>
      </c>
      <c r="CZ237" s="279" t="str">
        <f t="shared" si="255"/>
        <v>Pass</v>
      </c>
      <c r="DA237" s="278">
        <f t="shared" si="216"/>
        <v>1.120115267041804</v>
      </c>
      <c r="DB237" s="292" t="str">
        <f t="shared" si="256"/>
        <v>Pass</v>
      </c>
      <c r="DC237" s="299">
        <f t="shared" si="257"/>
        <v>0.97217106609371806</v>
      </c>
      <c r="DD237" s="293" t="str">
        <f t="shared" si="258"/>
        <v>Pass</v>
      </c>
      <c r="DE237" s="299">
        <f t="shared" si="259"/>
        <v>0.97493682988458652</v>
      </c>
      <c r="DF237" s="293" t="str">
        <f t="shared" si="260"/>
        <v>Pass</v>
      </c>
      <c r="DG237" s="299">
        <f t="shared" si="261"/>
        <v>0.98591581656097804</v>
      </c>
      <c r="DH237" s="293" t="str">
        <f t="shared" si="262"/>
        <v>Pass</v>
      </c>
    </row>
    <row r="238" spans="1:112" ht="15" thickTop="1" thickBot="1">
      <c r="A238" s="38" t="s">
        <v>586</v>
      </c>
      <c r="B238" s="38" t="s">
        <v>587</v>
      </c>
      <c r="C238" s="38" t="s">
        <v>586</v>
      </c>
      <c r="D238" s="38" t="s">
        <v>147</v>
      </c>
      <c r="E238" s="38" t="str">
        <f>VLOOKUP(C238,PoliticalControl!A:K,11,FALSE)</f>
        <v>CON</v>
      </c>
      <c r="F238" s="38" t="str">
        <f>VLOOKUP(C238,UrbanRuralClassification!A:N,13,FALSE)</f>
        <v xml:space="preserve">Mainly Rural (rural including hub towns &gt;=80%) </v>
      </c>
      <c r="G238" s="38" t="str">
        <f>VLOOKUP(C238,UrbanRuralClassification!A:N,14,FALSE)</f>
        <v>Predominantly Rural</v>
      </c>
      <c r="H238" s="258">
        <f>IF(ISBLANK((VLOOKUP($A238,'local-plan-data'!$C$1:$AD$566,27,FALSE)))=TRUE,"",VLOOKUP($A238,'local-plan-data'!$C$1:$AD$566,27,FALSE))</f>
        <v>43550</v>
      </c>
      <c r="I238" s="259">
        <f>VLOOKUP($A238,'local-plan-data'!$C$1:$AD$566,28,FALSE)</f>
        <v>1335</v>
      </c>
      <c r="J238" s="260">
        <f t="shared" si="217"/>
        <v>1335</v>
      </c>
      <c r="K238" s="259">
        <f t="shared" si="263"/>
        <v>1335</v>
      </c>
      <c r="L238" s="259">
        <f t="shared" si="265"/>
        <v>1335</v>
      </c>
      <c r="M238" s="259">
        <f t="shared" si="265"/>
        <v>1335</v>
      </c>
      <c r="N238" s="259">
        <f t="shared" si="265"/>
        <v>1335</v>
      </c>
      <c r="O238" s="259">
        <f t="shared" si="265"/>
        <v>1335</v>
      </c>
      <c r="P238" s="259">
        <f t="shared" si="265"/>
        <v>1335</v>
      </c>
      <c r="Q238" s="259" t="str">
        <f t="shared" si="265"/>
        <v>-</v>
      </c>
      <c r="R238" s="259" t="str">
        <f t="shared" si="265"/>
        <v>-</v>
      </c>
      <c r="S238" s="259">
        <f t="shared" si="264"/>
        <v>2186</v>
      </c>
      <c r="T238" s="259">
        <f t="shared" si="266"/>
        <v>1821</v>
      </c>
      <c r="U238" s="259">
        <f t="shared" si="266"/>
        <v>1455</v>
      </c>
      <c r="V238" s="259">
        <f t="shared" si="266"/>
        <v>1090</v>
      </c>
      <c r="W238" s="259">
        <f t="shared" si="266"/>
        <v>725</v>
      </c>
      <c r="X238" s="259">
        <f t="shared" si="266"/>
        <v>360</v>
      </c>
      <c r="Y238" s="259">
        <f t="shared" si="266"/>
        <v>-6</v>
      </c>
      <c r="Z238" s="259">
        <f t="shared" si="266"/>
        <v>-371</v>
      </c>
      <c r="AA238" s="267">
        <f>(VLOOKUP(A238,Hshldprojections2014!$A$2:$AW$319,40, FALSE)-VLOOKUP(A238,Hshldprojections2014!$A$2:$AW$319,30, FALSE))/10</f>
        <v>242.3</v>
      </c>
      <c r="AB238" s="267">
        <f>(VLOOKUP(A238,Hshldprojections2014!$A$2:$AW$319,41, FALSE)-VLOOKUP(A238,Hshldprojections2014!$A$2:$AW$319,31, FALSE))/10</f>
        <v>241.1</v>
      </c>
      <c r="AC238" s="267">
        <f>(VLOOKUP(A238,Hshldprojections2014!$A$2:$AW$319,42, FALSE)-VLOOKUP(A238,Hshldprojections2014!$A$2:$AW$319,32, FALSE))/10</f>
        <v>240.2</v>
      </c>
      <c r="AD238" s="267">
        <f>IF(IndividualLATest!$J$7=2014,(VLOOKUP($A238,Hshldprojections2014!$A$2:$AY$326,43,FALSE)-VLOOKUP($A238,Hshldprojections2014!$A$2:$AY$326,33,FALSE))/10,IF(IndividualLATest!$J$7=2016,(VLOOKUP($A238,Hshldprojections2016!$A$1:$AQ$322,33,FALSE)-VLOOKUP($A238,Hshldprojections2016!$A$1:$AQ$322,23,FALSE))/10,(VLOOKUP($A238,Hshldprojections2018!$A$1:$AQ$327,33,FALSE)-VLOOKUP($A238,Hshldprojections2018!$A$1:$AQ$327,23,FALSE))/10))</f>
        <v>389.5</v>
      </c>
      <c r="AE238" s="267">
        <f>IF(IndividualLATest!$J$7=2014,(VLOOKUP($A238,Hshldprojections2014!$A$2:$AY$326,44,FALSE)-VLOOKUP($A238,Hshldprojections2014!$A$2:$AY$326,34,FALSE))/10,IF(IndividualLATest!$J$7=2016,(VLOOKUP($A238,Hshldprojections2016!$A$1:$AQ$322,34,FALSE)-VLOOKUP($A238,Hshldprojections2016!$A$1:$AQ$322,24,FALSE))/10,(VLOOKUP($A238,Hshldprojections2018!$A$1:$AQ$327,34,FALSE)-VLOOKUP($A238,Hshldprojections2018!$A$1:$AQ$327,24,FALSE))/10))</f>
        <v>376.7</v>
      </c>
      <c r="AF238" s="267">
        <f>IF(IndividualLATest!$J$7=2014,(VLOOKUP($A238,Hshldprojections2014!$A$2:$AY$326,45,FALSE)-VLOOKUP($A238,Hshldprojections2014!$A$2:$AY$326,35,FALSE))/10,IF(IndividualLATest!$J$7=2016,(VLOOKUP($A238,Hshldprojections2016!$A$1:$AQ$322,35,FALSE)-VLOOKUP($A238,Hshldprojections2016!$A$1:$AQ$322,25,FALSE))/10,(VLOOKUP($A238,Hshldprojections2018!$A$1:$AQ$327,35,FALSE)-VLOOKUP($A238,Hshldprojections2018!$A$1:$AQ$327,25,FALSE))/10))</f>
        <v>364.4</v>
      </c>
      <c r="AG238" s="267">
        <f>IF(IndividualLATest!$J$7=2014,(VLOOKUP($A238,Hshldprojections2014!$A$2:$AY$326,46,FALSE)-VLOOKUP($A238,Hshldprojections2014!$A$2:$AY$326,36,FALSE))/10,IF(IndividualLATest!$J$7=2016,(VLOOKUP($A238,Hshldprojections2016!$A$1:$AQ$322,36,FALSE)-VLOOKUP($A238,Hshldprojections2016!$A$1:$AQ$322,26,FALSE))/10,(VLOOKUP($A238,Hshldprojections2018!$A$1:$AQ$327,36,FALSE)-VLOOKUP($A238,Hshldprojections2018!$A$1:$AQ$327,26,FALSE))/10))</f>
        <v>351</v>
      </c>
      <c r="AH238" s="267">
        <f>IF(IndividualLATest!$J$7=2014,(VLOOKUP($A238,Hshldprojections2014!$A$2:$AY$326,47,FALSE)-VLOOKUP($A238,Hshldprojections2014!$A$2:$AY$326,37,FALSE))/10,IF(IndividualLATest!$J$7=2016,(VLOOKUP($A238,Hshldprojections2016!$A$1:$AQ$322,37,FALSE)-VLOOKUP($A238,Hshldprojections2016!$A$1:$AQ$322,27,FALSE))/10,(VLOOKUP($A238,Hshldprojections2018!$A$1:$AQ$327,37,FALSE)-VLOOKUP($A238,Hshldprojections2018!$A$1:$AQ$327,27,FALSE))/10))</f>
        <v>339.2</v>
      </c>
      <c r="AI238" s="268">
        <f>VLOOKUP($A238,AffordabilityRatio!$A$2:$I$321,5,FALSE)</f>
        <v>11.88</v>
      </c>
      <c r="AJ238" s="268">
        <f>VLOOKUP($A238,AffordabilityRatio!$A$2:$I$321,6,FALSE)</f>
        <v>11.71</v>
      </c>
      <c r="AK238" s="268">
        <f>VLOOKUP($A238,AffordabilityRatio!$A$2:$I$321,7,FALSE)</f>
        <v>11.8</v>
      </c>
      <c r="AL238" s="268">
        <f>IF((VLOOKUP($A238,AffordabilityRatio!$A$2:$I$321,8,FALSE))="",AK238,VLOOKUP($A238,AffordabilityRatio!$A$2:$I$321,8,FALSE))</f>
        <v>11.58</v>
      </c>
      <c r="AM238" s="268">
        <f>IF((VLOOKUP($A238,AffordabilityRatio!$A$2:$I$321,9,FALSE))="",AL238,VLOOKUP($A238,AffordabilityRatio!$A$2:$I$321,9,FALSE))</f>
        <v>12.56</v>
      </c>
      <c r="AN238" s="268">
        <f>IF((VLOOKUP($A238,AffordabilityRatio!$A$2:$I$321,9,FALSE))="",AM238,VLOOKUP($A238,AffordabilityRatio!$A$2:$I$321,9,FALSE))</f>
        <v>12.56</v>
      </c>
      <c r="AO238" s="268">
        <f>IF((VLOOKUP($A238,AffordabilityRatio!$A$2:$I$321,9,FALSE))="",AN238,VLOOKUP($A238,AffordabilityRatio!$A$2:$I$321,9,FALSE))</f>
        <v>12.56</v>
      </c>
      <c r="AP238" s="268">
        <f>IF((VLOOKUP($A238,AffordabilityRatio!$A$2:$I$321,9,FALSE))="",AO238,VLOOKUP($A238,AffordabilityRatio!$A$2:$I$321,9,FALSE))</f>
        <v>12.56</v>
      </c>
      <c r="AQ238" s="267">
        <f t="shared" si="218"/>
        <v>362</v>
      </c>
      <c r="AR238" s="267">
        <f t="shared" si="219"/>
        <v>357</v>
      </c>
      <c r="AS238" s="267">
        <f t="shared" si="220"/>
        <v>357</v>
      </c>
      <c r="AT238" s="267">
        <f t="shared" si="221"/>
        <v>574</v>
      </c>
      <c r="AU238" s="267">
        <f t="shared" si="222"/>
        <v>578</v>
      </c>
      <c r="AV238" s="267">
        <f t="shared" si="223"/>
        <v>559</v>
      </c>
      <c r="AW238" s="267">
        <f t="shared" si="224"/>
        <v>539</v>
      </c>
      <c r="AX238" s="267">
        <f t="shared" si="225"/>
        <v>521</v>
      </c>
      <c r="AY238" s="267">
        <f t="shared" si="226"/>
        <v>362</v>
      </c>
      <c r="AZ238" s="267">
        <f t="shared" si="227"/>
        <v>357</v>
      </c>
      <c r="BA238" s="267">
        <f t="shared" si="228"/>
        <v>357</v>
      </c>
      <c r="BB238" s="267">
        <f t="shared" si="229"/>
        <v>574</v>
      </c>
      <c r="BC238" s="267">
        <f t="shared" si="230"/>
        <v>578</v>
      </c>
      <c r="BD238" s="267">
        <f t="shared" si="231"/>
        <v>559</v>
      </c>
      <c r="BE238" s="267">
        <f t="shared" si="232"/>
        <v>539</v>
      </c>
      <c r="BF238" s="267">
        <f t="shared" si="233"/>
        <v>521</v>
      </c>
      <c r="BG238" s="269">
        <f>AY238*VLOOKUP($B238,'Major Cities &amp; Towns'!$A$28:$B$345,2,FALSE)</f>
        <v>362</v>
      </c>
      <c r="BH238" s="269">
        <f>AZ238*VLOOKUP($B238,'Major Cities &amp; Towns'!$A$28:$B$345,2,FALSE)</f>
        <v>357</v>
      </c>
      <c r="BI238" s="269">
        <f>BA238*VLOOKUP($B238,'Major Cities &amp; Towns'!$A$28:$B$345,2,FALSE)</f>
        <v>357</v>
      </c>
      <c r="BJ238" s="269">
        <f>BB238*VLOOKUP($B238,'Major Cities &amp; Towns'!$A$28:$B$345,2,FALSE)</f>
        <v>574</v>
      </c>
      <c r="BK238" s="269">
        <f>BC238*VLOOKUP($B238,'Major Cities &amp; Towns'!$A$28:$B$345,2,FALSE)</f>
        <v>578</v>
      </c>
      <c r="BL238" s="269">
        <f>BD238*VLOOKUP($B238,'Major Cities &amp; Towns'!$A$28:$B$345,2,FALSE)</f>
        <v>559</v>
      </c>
      <c r="BM238" s="269">
        <f>BE238*VLOOKUP($B238,'Major Cities &amp; Towns'!$A$28:$B$345,2,FALSE)</f>
        <v>539</v>
      </c>
      <c r="BN238" s="269">
        <f>BF238*VLOOKUP($B238,'Major Cities &amp; Towns'!$A$28:$B$345,2,FALSE)</f>
        <v>521</v>
      </c>
      <c r="BO238" s="270">
        <f t="shared" si="234"/>
        <v>362</v>
      </c>
      <c r="BP238" s="270">
        <f t="shared" si="235"/>
        <v>357</v>
      </c>
      <c r="BQ238" s="270">
        <f t="shared" si="236"/>
        <v>357</v>
      </c>
      <c r="BR238" s="270">
        <f t="shared" si="237"/>
        <v>574</v>
      </c>
      <c r="BS238" s="270">
        <f t="shared" si="238"/>
        <v>578</v>
      </c>
      <c r="BT238" s="270">
        <f t="shared" si="239"/>
        <v>559</v>
      </c>
      <c r="BU238" s="270">
        <f t="shared" si="240"/>
        <v>539</v>
      </c>
      <c r="BV238" s="270">
        <f t="shared" si="241"/>
        <v>521</v>
      </c>
      <c r="BW238" s="39">
        <f>VLOOKUP($A238,NetAdditions!$A$2:$H$336,6,FALSE)</f>
        <v>471</v>
      </c>
      <c r="BX238" s="39">
        <f>VLOOKUP($A238,NetAdditions!$A$2:$H$336,7,FALSE)</f>
        <v>506</v>
      </c>
      <c r="BY238" s="39">
        <f>IF((VLOOKUP($C238,NetAdditions!$A$2:$H$336,8,FALSE))="",(AVERAGE(VLOOKUP($C238,NetAdditions!$A$2:$H$336,5,FALSE),VLOOKUP($C238,NetAdditions!$A$2:$H$336,6,FALSE),VLOOKUP($C238,NetAdditions!$A$2:$H$336,7,FALSE))),VLOOKUP($C238,NetAdditions!$A$2:$H$336,8,FALSE))</f>
        <v>545</v>
      </c>
      <c r="BZ238" s="39">
        <f t="shared" si="242"/>
        <v>507.33333333333331</v>
      </c>
      <c r="CA238" s="39">
        <f t="shared" si="243"/>
        <v>519.44444444444446</v>
      </c>
      <c r="CB238" s="39">
        <f t="shared" si="244"/>
        <v>523.92592592592598</v>
      </c>
      <c r="CC238" s="39">
        <f t="shared" si="245"/>
        <v>516.90123456790127</v>
      </c>
      <c r="CD238" s="39">
        <f t="shared" si="246"/>
        <v>520.09053497942386</v>
      </c>
      <c r="CE238" s="276">
        <f t="shared" si="203"/>
        <v>1076</v>
      </c>
      <c r="CF238" s="276">
        <f t="shared" si="204"/>
        <v>1288</v>
      </c>
      <c r="CG238" s="276">
        <f t="shared" si="205"/>
        <v>1509</v>
      </c>
      <c r="CH238" s="276">
        <f t="shared" si="206"/>
        <v>1711</v>
      </c>
      <c r="CI238" s="276">
        <f t="shared" si="207"/>
        <v>1676</v>
      </c>
      <c r="CJ238" s="276">
        <f t="shared" si="208"/>
        <v>1619</v>
      </c>
      <c r="CK238" s="276">
        <f t="shared" si="247"/>
        <v>926.55555555555566</v>
      </c>
      <c r="CL238" s="276">
        <f t="shared" si="248"/>
        <v>1109.1111111111111</v>
      </c>
      <c r="CM238" s="276">
        <f t="shared" si="249"/>
        <v>1383.25</v>
      </c>
      <c r="CN238" s="276">
        <f t="shared" si="250"/>
        <v>1711</v>
      </c>
      <c r="CO238" s="276">
        <f t="shared" si="251"/>
        <v>1676</v>
      </c>
      <c r="CP238" s="276">
        <f t="shared" si="252"/>
        <v>1619</v>
      </c>
      <c r="CQ238" s="39">
        <f t="shared" si="209"/>
        <v>1522</v>
      </c>
      <c r="CR238" s="39">
        <f t="shared" si="210"/>
        <v>1558.3333333333333</v>
      </c>
      <c r="CS238" s="277">
        <f t="shared" si="211"/>
        <v>1571.7777777777778</v>
      </c>
      <c r="CT238" s="39">
        <f t="shared" si="212"/>
        <v>1550.7037037037039</v>
      </c>
      <c r="CU238" s="39">
        <f t="shared" si="213"/>
        <v>1560.2716049382716</v>
      </c>
      <c r="CV238" s="39">
        <f t="shared" si="253"/>
        <v>1560.9176954732511</v>
      </c>
      <c r="CW238" s="297">
        <f t="shared" si="214"/>
        <v>1.6426430027581242</v>
      </c>
      <c r="CX238" s="279" t="str">
        <f t="shared" si="254"/>
        <v>Pass</v>
      </c>
      <c r="CY238" s="278">
        <f t="shared" si="215"/>
        <v>1.4050290522941293</v>
      </c>
      <c r="CZ238" s="279" t="str">
        <f t="shared" si="255"/>
        <v>Pass</v>
      </c>
      <c r="DA238" s="278">
        <f t="shared" si="216"/>
        <v>1.1362933510050806</v>
      </c>
      <c r="DB238" s="292" t="str">
        <f t="shared" si="256"/>
        <v>Pass</v>
      </c>
      <c r="DC238" s="299">
        <f t="shared" si="257"/>
        <v>0.90631426283091987</v>
      </c>
      <c r="DD238" s="293" t="str">
        <f t="shared" si="258"/>
        <v>Action Plan</v>
      </c>
      <c r="DE238" s="299">
        <f t="shared" si="259"/>
        <v>0.930949644951236</v>
      </c>
      <c r="DF238" s="293" t="str">
        <f t="shared" si="260"/>
        <v>Action Plan</v>
      </c>
      <c r="DG238" s="299">
        <f t="shared" si="261"/>
        <v>0.9641245802799574</v>
      </c>
      <c r="DH238" s="293" t="str">
        <f t="shared" si="262"/>
        <v>Pass</v>
      </c>
    </row>
    <row r="239" spans="1:112" ht="15" thickTop="1" thickBot="1">
      <c r="A239" s="38" t="s">
        <v>588</v>
      </c>
      <c r="B239" s="38" t="s">
        <v>589</v>
      </c>
      <c r="C239" s="38" t="s">
        <v>588</v>
      </c>
      <c r="D239" s="38" t="s">
        <v>119</v>
      </c>
      <c r="E239" s="38" t="str">
        <f>VLOOKUP(C239,PoliticalControl!A:K,11,FALSE)</f>
        <v>CON</v>
      </c>
      <c r="F239" s="38" t="str">
        <f>VLOOKUP(C239,UrbanRuralClassification!A:N,13,FALSE)</f>
        <v xml:space="preserve">Largely Rural (rural including hub towns 50-79%) </v>
      </c>
      <c r="G239" s="38" t="str">
        <f>VLOOKUP(C239,UrbanRuralClassification!A:N,14,FALSE)</f>
        <v>Predominantly Rural</v>
      </c>
      <c r="H239" s="258">
        <f>IF(ISBLANK((VLOOKUP($A239,'local-plan-data'!$C$1:$AD$566,27,FALSE)))=TRUE,"",VLOOKUP($A239,'local-plan-data'!$C$1:$AD$566,27,FALSE))</f>
        <v>43532</v>
      </c>
      <c r="I239" s="259">
        <f>VLOOKUP($A239,'local-plan-data'!$C$1:$AD$566,28,FALSE)</f>
        <v>467.24</v>
      </c>
      <c r="J239" s="260">
        <f t="shared" si="217"/>
        <v>467.24</v>
      </c>
      <c r="K239" s="259">
        <f t="shared" si="263"/>
        <v>467.24</v>
      </c>
      <c r="L239" s="259">
        <f t="shared" si="265"/>
        <v>467.24</v>
      </c>
      <c r="M239" s="259">
        <f t="shared" si="265"/>
        <v>467.24</v>
      </c>
      <c r="N239" s="259">
        <f t="shared" si="265"/>
        <v>467.24</v>
      </c>
      <c r="O239" s="259">
        <f t="shared" si="265"/>
        <v>467.24</v>
      </c>
      <c r="P239" s="259">
        <f t="shared" si="265"/>
        <v>467.24</v>
      </c>
      <c r="Q239" s="259" t="str">
        <f t="shared" si="265"/>
        <v>-</v>
      </c>
      <c r="R239" s="259" t="str">
        <f t="shared" si="265"/>
        <v>-</v>
      </c>
      <c r="S239" s="259">
        <f t="shared" si="264"/>
        <v>2168</v>
      </c>
      <c r="T239" s="259">
        <f t="shared" si="266"/>
        <v>1803</v>
      </c>
      <c r="U239" s="259">
        <f t="shared" si="266"/>
        <v>1437</v>
      </c>
      <c r="V239" s="259">
        <f t="shared" si="266"/>
        <v>1072</v>
      </c>
      <c r="W239" s="259">
        <f t="shared" si="266"/>
        <v>707</v>
      </c>
      <c r="X239" s="259">
        <f t="shared" si="266"/>
        <v>342</v>
      </c>
      <c r="Y239" s="259">
        <f t="shared" si="266"/>
        <v>-24</v>
      </c>
      <c r="Z239" s="259">
        <f t="shared" si="266"/>
        <v>-389</v>
      </c>
      <c r="AA239" s="267">
        <f>(VLOOKUP(A239,Hshldprojections2014!$A$2:$AW$319,40, FALSE)-VLOOKUP(A239,Hshldprojections2014!$A$2:$AW$319,30, FALSE))/10</f>
        <v>348.3</v>
      </c>
      <c r="AB239" s="267">
        <f>(VLOOKUP(A239,Hshldprojections2014!$A$2:$AW$319,41, FALSE)-VLOOKUP(A239,Hshldprojections2014!$A$2:$AW$319,31, FALSE))/10</f>
        <v>346.4</v>
      </c>
      <c r="AC239" s="267">
        <f>(VLOOKUP(A239,Hshldprojections2014!$A$2:$AW$319,42, FALSE)-VLOOKUP(A239,Hshldprojections2014!$A$2:$AW$319,32, FALSE))/10</f>
        <v>344.7</v>
      </c>
      <c r="AD239" s="267">
        <f>IF(IndividualLATest!$J$7=2014,(VLOOKUP($A239,Hshldprojections2014!$A$2:$AY$326,43,FALSE)-VLOOKUP($A239,Hshldprojections2014!$A$2:$AY$326,33,FALSE))/10,IF(IndividualLATest!$J$7=2016,(VLOOKUP($A239,Hshldprojections2016!$A$1:$AQ$322,33,FALSE)-VLOOKUP($A239,Hshldprojections2016!$A$1:$AQ$322,23,FALSE))/10,(VLOOKUP($A239,Hshldprojections2018!$A$1:$AQ$327,33,FALSE)-VLOOKUP($A239,Hshldprojections2018!$A$1:$AQ$327,23,FALSE))/10))</f>
        <v>377.8</v>
      </c>
      <c r="AE239" s="267">
        <f>IF(IndividualLATest!$J$7=2014,(VLOOKUP($A239,Hshldprojections2014!$A$2:$AY$326,44,FALSE)-VLOOKUP($A239,Hshldprojections2014!$A$2:$AY$326,34,FALSE))/10,IF(IndividualLATest!$J$7=2016,(VLOOKUP($A239,Hshldprojections2016!$A$1:$AQ$322,34,FALSE)-VLOOKUP($A239,Hshldprojections2016!$A$1:$AQ$322,24,FALSE))/10,(VLOOKUP($A239,Hshldprojections2018!$A$1:$AQ$327,34,FALSE)-VLOOKUP($A239,Hshldprojections2018!$A$1:$AQ$327,24,FALSE))/10))</f>
        <v>372.1</v>
      </c>
      <c r="AF239" s="267">
        <f>IF(IndividualLATest!$J$7=2014,(VLOOKUP($A239,Hshldprojections2014!$A$2:$AY$326,45,FALSE)-VLOOKUP($A239,Hshldprojections2014!$A$2:$AY$326,35,FALSE))/10,IF(IndividualLATest!$J$7=2016,(VLOOKUP($A239,Hshldprojections2016!$A$1:$AQ$322,35,FALSE)-VLOOKUP($A239,Hshldprojections2016!$A$1:$AQ$322,25,FALSE))/10,(VLOOKUP($A239,Hshldprojections2018!$A$1:$AQ$327,35,FALSE)-VLOOKUP($A239,Hshldprojections2018!$A$1:$AQ$327,25,FALSE))/10))</f>
        <v>366.4</v>
      </c>
      <c r="AG239" s="267">
        <f>IF(IndividualLATest!$J$7=2014,(VLOOKUP($A239,Hshldprojections2014!$A$2:$AY$326,46,FALSE)-VLOOKUP($A239,Hshldprojections2014!$A$2:$AY$326,36,FALSE))/10,IF(IndividualLATest!$J$7=2016,(VLOOKUP($A239,Hshldprojections2016!$A$1:$AQ$322,36,FALSE)-VLOOKUP($A239,Hshldprojections2016!$A$1:$AQ$322,26,FALSE))/10,(VLOOKUP($A239,Hshldprojections2018!$A$1:$AQ$327,36,FALSE)-VLOOKUP($A239,Hshldprojections2018!$A$1:$AQ$327,26,FALSE))/10))</f>
        <v>362.8</v>
      </c>
      <c r="AH239" s="267">
        <f>IF(IndividualLATest!$J$7=2014,(VLOOKUP($A239,Hshldprojections2014!$A$2:$AY$326,47,FALSE)-VLOOKUP($A239,Hshldprojections2014!$A$2:$AY$326,37,FALSE))/10,IF(IndividualLATest!$J$7=2016,(VLOOKUP($A239,Hshldprojections2016!$A$1:$AQ$322,37,FALSE)-VLOOKUP($A239,Hshldprojections2016!$A$1:$AQ$322,27,FALSE))/10,(VLOOKUP($A239,Hshldprojections2018!$A$1:$AQ$327,37,FALSE)-VLOOKUP($A239,Hshldprojections2018!$A$1:$AQ$327,27,FALSE))/10))</f>
        <v>360.5</v>
      </c>
      <c r="AI239" s="268">
        <f>VLOOKUP($A239,AffordabilityRatio!$A$2:$I$321,5,FALSE)</f>
        <v>7.09</v>
      </c>
      <c r="AJ239" s="268">
        <f>VLOOKUP($A239,AffordabilityRatio!$A$2:$I$321,6,FALSE)</f>
        <v>7.77</v>
      </c>
      <c r="AK239" s="268">
        <f>VLOOKUP($A239,AffordabilityRatio!$A$2:$I$321,7,FALSE)</f>
        <v>7.37</v>
      </c>
      <c r="AL239" s="268">
        <f>IF((VLOOKUP($A239,AffordabilityRatio!$A$2:$I$321,8,FALSE))="",AK239,VLOOKUP($A239,AffordabilityRatio!$A$2:$I$321,8,FALSE))</f>
        <v>7.31</v>
      </c>
      <c r="AM239" s="268">
        <f>IF((VLOOKUP($A239,AffordabilityRatio!$A$2:$I$321,9,FALSE))="",AL239,VLOOKUP($A239,AffordabilityRatio!$A$2:$I$321,9,FALSE))</f>
        <v>8.5299999999999994</v>
      </c>
      <c r="AN239" s="268">
        <f>IF((VLOOKUP($A239,AffordabilityRatio!$A$2:$I$321,9,FALSE))="",AM239,VLOOKUP($A239,AffordabilityRatio!$A$2:$I$321,9,FALSE))</f>
        <v>8.5299999999999994</v>
      </c>
      <c r="AO239" s="268">
        <f>IF((VLOOKUP($A239,AffordabilityRatio!$A$2:$I$321,9,FALSE))="",AN239,VLOOKUP($A239,AffordabilityRatio!$A$2:$I$321,9,FALSE))</f>
        <v>8.5299999999999994</v>
      </c>
      <c r="AP239" s="268">
        <f>IF((VLOOKUP($A239,AffordabilityRatio!$A$2:$I$321,9,FALSE))="",AO239,VLOOKUP($A239,AffordabilityRatio!$A$2:$I$321,9,FALSE))</f>
        <v>8.5299999999999994</v>
      </c>
      <c r="AQ239" s="267">
        <f t="shared" si="218"/>
        <v>416</v>
      </c>
      <c r="AR239" s="267">
        <f t="shared" si="219"/>
        <v>428</v>
      </c>
      <c r="AS239" s="267">
        <f t="shared" si="220"/>
        <v>417</v>
      </c>
      <c r="AT239" s="267">
        <f t="shared" si="221"/>
        <v>456</v>
      </c>
      <c r="AU239" s="267">
        <f t="shared" si="222"/>
        <v>477</v>
      </c>
      <c r="AV239" s="267">
        <f t="shared" si="223"/>
        <v>470</v>
      </c>
      <c r="AW239" s="267">
        <f t="shared" si="224"/>
        <v>466</v>
      </c>
      <c r="AX239" s="267">
        <f t="shared" si="225"/>
        <v>463</v>
      </c>
      <c r="AY239" s="267">
        <f t="shared" si="226"/>
        <v>416</v>
      </c>
      <c r="AZ239" s="267">
        <f t="shared" si="227"/>
        <v>428</v>
      </c>
      <c r="BA239" s="267">
        <f t="shared" si="228"/>
        <v>417</v>
      </c>
      <c r="BB239" s="267">
        <f t="shared" si="229"/>
        <v>456</v>
      </c>
      <c r="BC239" s="267">
        <f t="shared" si="230"/>
        <v>477</v>
      </c>
      <c r="BD239" s="267">
        <f t="shared" si="231"/>
        <v>470</v>
      </c>
      <c r="BE239" s="267">
        <f t="shared" si="232"/>
        <v>466</v>
      </c>
      <c r="BF239" s="267">
        <f t="shared" si="233"/>
        <v>463</v>
      </c>
      <c r="BG239" s="269">
        <f>AY239*VLOOKUP($B239,'Major Cities &amp; Towns'!$A$28:$B$345,2,FALSE)</f>
        <v>416</v>
      </c>
      <c r="BH239" s="269">
        <f>AZ239*VLOOKUP($B239,'Major Cities &amp; Towns'!$A$28:$B$345,2,FALSE)</f>
        <v>428</v>
      </c>
      <c r="BI239" s="269">
        <f>BA239*VLOOKUP($B239,'Major Cities &amp; Towns'!$A$28:$B$345,2,FALSE)</f>
        <v>417</v>
      </c>
      <c r="BJ239" s="269">
        <f>BB239*VLOOKUP($B239,'Major Cities &amp; Towns'!$A$28:$B$345,2,FALSE)</f>
        <v>456</v>
      </c>
      <c r="BK239" s="269">
        <f>BC239*VLOOKUP($B239,'Major Cities &amp; Towns'!$A$28:$B$345,2,FALSE)</f>
        <v>477</v>
      </c>
      <c r="BL239" s="269">
        <f>BD239*VLOOKUP($B239,'Major Cities &amp; Towns'!$A$28:$B$345,2,FALSE)</f>
        <v>470</v>
      </c>
      <c r="BM239" s="269">
        <f>BE239*VLOOKUP($B239,'Major Cities &amp; Towns'!$A$28:$B$345,2,FALSE)</f>
        <v>466</v>
      </c>
      <c r="BN239" s="269">
        <f>BF239*VLOOKUP($B239,'Major Cities &amp; Towns'!$A$28:$B$345,2,FALSE)</f>
        <v>463</v>
      </c>
      <c r="BO239" s="270">
        <f t="shared" si="234"/>
        <v>416</v>
      </c>
      <c r="BP239" s="270">
        <f t="shared" si="235"/>
        <v>428</v>
      </c>
      <c r="BQ239" s="270">
        <f t="shared" si="236"/>
        <v>417</v>
      </c>
      <c r="BR239" s="270">
        <f t="shared" si="237"/>
        <v>456</v>
      </c>
      <c r="BS239" s="270">
        <f t="shared" si="238"/>
        <v>467.24</v>
      </c>
      <c r="BT239" s="270">
        <f t="shared" si="239"/>
        <v>467.4139178082192</v>
      </c>
      <c r="BU239" s="270">
        <f t="shared" si="240"/>
        <v>466</v>
      </c>
      <c r="BV239" s="270">
        <f t="shared" si="241"/>
        <v>463</v>
      </c>
      <c r="BW239" s="39">
        <f>VLOOKUP($A239,NetAdditions!$A$2:$H$336,6,FALSE)</f>
        <v>828</v>
      </c>
      <c r="BX239" s="39">
        <f>VLOOKUP($A239,NetAdditions!$A$2:$H$336,7,FALSE)</f>
        <v>517</v>
      </c>
      <c r="BY239" s="39">
        <f>IF((VLOOKUP($C239,NetAdditions!$A$2:$H$336,8,FALSE))="",(AVERAGE(VLOOKUP($C239,NetAdditions!$A$2:$H$336,5,FALSE),VLOOKUP($C239,NetAdditions!$A$2:$H$336,6,FALSE),VLOOKUP($C239,NetAdditions!$A$2:$H$336,7,FALSE))),VLOOKUP($C239,NetAdditions!$A$2:$H$336,8,FALSE))</f>
        <v>571</v>
      </c>
      <c r="BZ239" s="39">
        <f t="shared" si="242"/>
        <v>638.66666666666663</v>
      </c>
      <c r="CA239" s="39">
        <f t="shared" si="243"/>
        <v>575.55555555555554</v>
      </c>
      <c r="CB239" s="39">
        <f t="shared" si="244"/>
        <v>595.07407407407402</v>
      </c>
      <c r="CC239" s="39">
        <f t="shared" si="245"/>
        <v>603.09876543209873</v>
      </c>
      <c r="CD239" s="39">
        <f t="shared" si="246"/>
        <v>591.24279835390951</v>
      </c>
      <c r="CE239" s="276">
        <f t="shared" si="203"/>
        <v>1261</v>
      </c>
      <c r="CF239" s="276">
        <f t="shared" si="204"/>
        <v>1301</v>
      </c>
      <c r="CG239" s="276">
        <f t="shared" si="205"/>
        <v>1340.24</v>
      </c>
      <c r="CH239" s="276">
        <f t="shared" si="206"/>
        <v>1390.6539178082191</v>
      </c>
      <c r="CI239" s="276">
        <f t="shared" si="207"/>
        <v>1400.6539178082191</v>
      </c>
      <c r="CJ239" s="276">
        <f t="shared" si="208"/>
        <v>1396.4139178082191</v>
      </c>
      <c r="CK239" s="276">
        <f t="shared" si="247"/>
        <v>1085.8611111111111</v>
      </c>
      <c r="CL239" s="276">
        <f t="shared" si="248"/>
        <v>1120.3055555555557</v>
      </c>
      <c r="CM239" s="276">
        <f t="shared" si="249"/>
        <v>1228.5533333333333</v>
      </c>
      <c r="CN239" s="276">
        <f t="shared" si="250"/>
        <v>1390.6539178082191</v>
      </c>
      <c r="CO239" s="276">
        <f t="shared" si="251"/>
        <v>1400.6539178082191</v>
      </c>
      <c r="CP239" s="276">
        <f t="shared" si="252"/>
        <v>1396.4139178082191</v>
      </c>
      <c r="CQ239" s="39">
        <f t="shared" si="209"/>
        <v>1916</v>
      </c>
      <c r="CR239" s="39">
        <f t="shared" si="210"/>
        <v>1726.6666666666665</v>
      </c>
      <c r="CS239" s="277">
        <f t="shared" si="211"/>
        <v>1785.2222222222222</v>
      </c>
      <c r="CT239" s="39">
        <f t="shared" si="212"/>
        <v>1809.2962962962961</v>
      </c>
      <c r="CU239" s="39">
        <f t="shared" si="213"/>
        <v>1773.7283950617284</v>
      </c>
      <c r="CV239" s="39">
        <f t="shared" si="253"/>
        <v>1789.4156378600824</v>
      </c>
      <c r="CW239" s="297">
        <f t="shared" si="214"/>
        <v>1.7644982220971579</v>
      </c>
      <c r="CX239" s="279" t="str">
        <f t="shared" si="254"/>
        <v>Pass</v>
      </c>
      <c r="CY239" s="278">
        <f t="shared" si="215"/>
        <v>1.541246187795988</v>
      </c>
      <c r="CZ239" s="279" t="str">
        <f t="shared" si="255"/>
        <v>Pass</v>
      </c>
      <c r="DA239" s="278">
        <f t="shared" si="216"/>
        <v>1.4531092576815732</v>
      </c>
      <c r="DB239" s="292" t="str">
        <f t="shared" si="256"/>
        <v>Pass</v>
      </c>
      <c r="DC239" s="299">
        <f t="shared" si="257"/>
        <v>1.3010399446814851</v>
      </c>
      <c r="DD239" s="293" t="str">
        <f t="shared" si="258"/>
        <v>Pass</v>
      </c>
      <c r="DE239" s="299">
        <f t="shared" si="259"/>
        <v>1.2663573581668954</v>
      </c>
      <c r="DF239" s="293" t="str">
        <f t="shared" si="260"/>
        <v>Pass</v>
      </c>
      <c r="DG239" s="299">
        <f t="shared" si="261"/>
        <v>1.2814364101073341</v>
      </c>
      <c r="DH239" s="293" t="str">
        <f t="shared" si="262"/>
        <v>Pass</v>
      </c>
    </row>
    <row r="240" spans="1:112" ht="15" thickTop="1" thickBot="1">
      <c r="A240" s="38" t="s">
        <v>590</v>
      </c>
      <c r="B240" s="38" t="s">
        <v>591</v>
      </c>
      <c r="C240" s="38" t="s">
        <v>590</v>
      </c>
      <c r="D240" s="38" t="s">
        <v>119</v>
      </c>
      <c r="E240" s="38" t="str">
        <f>VLOOKUP(C240,PoliticalControl!A:K,11,FALSE)</f>
        <v>CON</v>
      </c>
      <c r="F240" s="38" t="str">
        <f>VLOOKUP(C240,UrbanRuralClassification!A:N,13,FALSE)</f>
        <v xml:space="preserve">Largely Rural (rural including hub towns 50-79%) </v>
      </c>
      <c r="G240" s="38" t="str">
        <f>VLOOKUP(C240,UrbanRuralClassification!A:N,14,FALSE)</f>
        <v>Predominantly Rural</v>
      </c>
      <c r="H240" s="258">
        <f>IF(ISBLANK((VLOOKUP($A240,'local-plan-data'!$C$1:$AD$566,27,FALSE)))=TRUE,"",VLOOKUP($A240,'local-plan-data'!$C$1:$AD$566,27,FALSE))</f>
        <v>43860</v>
      </c>
      <c r="I240" s="259">
        <f>VLOOKUP($A240,'local-plan-data'!$C$1:$AD$566,28,FALSE)</f>
        <v>645</v>
      </c>
      <c r="J240" s="260">
        <f t="shared" si="217"/>
        <v>645</v>
      </c>
      <c r="K240" s="259">
        <f t="shared" si="263"/>
        <v>645</v>
      </c>
      <c r="L240" s="259">
        <f t="shared" si="265"/>
        <v>645</v>
      </c>
      <c r="M240" s="259">
        <f t="shared" si="265"/>
        <v>645</v>
      </c>
      <c r="N240" s="259">
        <f t="shared" si="265"/>
        <v>645</v>
      </c>
      <c r="O240" s="259">
        <f t="shared" si="265"/>
        <v>645</v>
      </c>
      <c r="P240" s="259">
        <f t="shared" si="265"/>
        <v>645</v>
      </c>
      <c r="Q240" s="259">
        <f t="shared" si="265"/>
        <v>645</v>
      </c>
      <c r="R240" s="259" t="str">
        <f t="shared" si="265"/>
        <v>-</v>
      </c>
      <c r="S240" s="259">
        <f t="shared" si="264"/>
        <v>2496</v>
      </c>
      <c r="T240" s="259">
        <f t="shared" si="266"/>
        <v>2131</v>
      </c>
      <c r="U240" s="259">
        <f t="shared" si="266"/>
        <v>1765</v>
      </c>
      <c r="V240" s="259">
        <f t="shared" si="266"/>
        <v>1400</v>
      </c>
      <c r="W240" s="259">
        <f t="shared" si="266"/>
        <v>1035</v>
      </c>
      <c r="X240" s="259">
        <f t="shared" si="266"/>
        <v>670</v>
      </c>
      <c r="Y240" s="259">
        <f t="shared" si="266"/>
        <v>304</v>
      </c>
      <c r="Z240" s="259">
        <f t="shared" si="266"/>
        <v>-61</v>
      </c>
      <c r="AA240" s="267">
        <f>(VLOOKUP(A240,Hshldprojections2014!$A$2:$AW$319,40, FALSE)-VLOOKUP(A240,Hshldprojections2014!$A$2:$AW$319,30, FALSE))/10</f>
        <v>597.20000000000005</v>
      </c>
      <c r="AB240" s="267">
        <f>(VLOOKUP(A240,Hshldprojections2014!$A$2:$AW$319,41, FALSE)-VLOOKUP(A240,Hshldprojections2014!$A$2:$AW$319,31, FALSE))/10</f>
        <v>584.1</v>
      </c>
      <c r="AC240" s="267">
        <f>(VLOOKUP(A240,Hshldprojections2014!$A$2:$AW$319,42, FALSE)-VLOOKUP(A240,Hshldprojections2014!$A$2:$AW$319,32, FALSE))/10</f>
        <v>573.79999999999995</v>
      </c>
      <c r="AD240" s="267">
        <f>IF(IndividualLATest!$J$7=2014,(VLOOKUP($A240,Hshldprojections2014!$A$2:$AY$326,43,FALSE)-VLOOKUP($A240,Hshldprojections2014!$A$2:$AY$326,33,FALSE))/10,IF(IndividualLATest!$J$7=2016,(VLOOKUP($A240,Hshldprojections2016!$A$1:$AQ$322,33,FALSE)-VLOOKUP($A240,Hshldprojections2016!$A$1:$AQ$322,23,FALSE))/10,(VLOOKUP($A240,Hshldprojections2018!$A$1:$AQ$327,33,FALSE)-VLOOKUP($A240,Hshldprojections2018!$A$1:$AQ$327,23,FALSE))/10))</f>
        <v>460.3</v>
      </c>
      <c r="AE240" s="267">
        <f>IF(IndividualLATest!$J$7=2014,(VLOOKUP($A240,Hshldprojections2014!$A$2:$AY$326,44,FALSE)-VLOOKUP($A240,Hshldprojections2014!$A$2:$AY$326,34,FALSE))/10,IF(IndividualLATest!$J$7=2016,(VLOOKUP($A240,Hshldprojections2016!$A$1:$AQ$322,34,FALSE)-VLOOKUP($A240,Hshldprojections2016!$A$1:$AQ$322,24,FALSE))/10,(VLOOKUP($A240,Hshldprojections2018!$A$1:$AQ$327,34,FALSE)-VLOOKUP($A240,Hshldprojections2018!$A$1:$AQ$327,24,FALSE))/10))</f>
        <v>450</v>
      </c>
      <c r="AF240" s="267">
        <f>IF(IndividualLATest!$J$7=2014,(VLOOKUP($A240,Hshldprojections2014!$A$2:$AY$326,45,FALSE)-VLOOKUP($A240,Hshldprojections2014!$A$2:$AY$326,35,FALSE))/10,IF(IndividualLATest!$J$7=2016,(VLOOKUP($A240,Hshldprojections2016!$A$1:$AQ$322,35,FALSE)-VLOOKUP($A240,Hshldprojections2016!$A$1:$AQ$322,25,FALSE))/10,(VLOOKUP($A240,Hshldprojections2018!$A$1:$AQ$327,35,FALSE)-VLOOKUP($A240,Hshldprojections2018!$A$1:$AQ$327,25,FALSE))/10))</f>
        <v>443.5</v>
      </c>
      <c r="AG240" s="267">
        <f>IF(IndividualLATest!$J$7=2014,(VLOOKUP($A240,Hshldprojections2014!$A$2:$AY$326,46,FALSE)-VLOOKUP($A240,Hshldprojections2014!$A$2:$AY$326,36,FALSE))/10,IF(IndividualLATest!$J$7=2016,(VLOOKUP($A240,Hshldprojections2016!$A$1:$AQ$322,36,FALSE)-VLOOKUP($A240,Hshldprojections2016!$A$1:$AQ$322,26,FALSE))/10,(VLOOKUP($A240,Hshldprojections2018!$A$1:$AQ$327,36,FALSE)-VLOOKUP($A240,Hshldprojections2018!$A$1:$AQ$327,26,FALSE))/10))</f>
        <v>437.2</v>
      </c>
      <c r="AH240" s="267">
        <f>IF(IndividualLATest!$J$7=2014,(VLOOKUP($A240,Hshldprojections2014!$A$2:$AY$326,47,FALSE)-VLOOKUP($A240,Hshldprojections2014!$A$2:$AY$326,37,FALSE))/10,IF(IndividualLATest!$J$7=2016,(VLOOKUP($A240,Hshldprojections2016!$A$1:$AQ$322,37,FALSE)-VLOOKUP($A240,Hshldprojections2016!$A$1:$AQ$322,27,FALSE))/10,(VLOOKUP($A240,Hshldprojections2018!$A$1:$AQ$327,37,FALSE)-VLOOKUP($A240,Hshldprojections2018!$A$1:$AQ$327,27,FALSE))/10))</f>
        <v>431.9</v>
      </c>
      <c r="AI240" s="268">
        <f>VLOOKUP($A240,AffordabilityRatio!$A$2:$I$321,5,FALSE)</f>
        <v>8.76</v>
      </c>
      <c r="AJ240" s="268">
        <f>VLOOKUP($A240,AffordabilityRatio!$A$2:$I$321,6,FALSE)</f>
        <v>9.02</v>
      </c>
      <c r="AK240" s="268">
        <f>VLOOKUP($A240,AffordabilityRatio!$A$2:$I$321,7,FALSE)</f>
        <v>8.52</v>
      </c>
      <c r="AL240" s="268">
        <f>IF((VLOOKUP($A240,AffordabilityRatio!$A$2:$I$321,8,FALSE))="",AK240,VLOOKUP($A240,AffordabilityRatio!$A$2:$I$321,8,FALSE))</f>
        <v>8.09</v>
      </c>
      <c r="AM240" s="268">
        <f>IF((VLOOKUP($A240,AffordabilityRatio!$A$2:$I$321,9,FALSE))="",AL240,VLOOKUP($A240,AffordabilityRatio!$A$2:$I$321,9,FALSE))</f>
        <v>9.01</v>
      </c>
      <c r="AN240" s="268">
        <f>IF((VLOOKUP($A240,AffordabilityRatio!$A$2:$I$321,9,FALSE))="",AM240,VLOOKUP($A240,AffordabilityRatio!$A$2:$I$321,9,FALSE))</f>
        <v>9.01</v>
      </c>
      <c r="AO240" s="268">
        <f>IF((VLOOKUP($A240,AffordabilityRatio!$A$2:$I$321,9,FALSE))="",AN240,VLOOKUP($A240,AffordabilityRatio!$A$2:$I$321,9,FALSE))</f>
        <v>9.01</v>
      </c>
      <c r="AP240" s="268">
        <f>IF((VLOOKUP($A240,AffordabilityRatio!$A$2:$I$321,9,FALSE))="",AO240,VLOOKUP($A240,AffordabilityRatio!$A$2:$I$321,9,FALSE))</f>
        <v>9.01</v>
      </c>
      <c r="AQ240" s="267">
        <f t="shared" si="218"/>
        <v>775</v>
      </c>
      <c r="AR240" s="267">
        <f t="shared" si="219"/>
        <v>767</v>
      </c>
      <c r="AS240" s="267">
        <f t="shared" si="220"/>
        <v>736</v>
      </c>
      <c r="AT240" s="267">
        <f t="shared" si="221"/>
        <v>578</v>
      </c>
      <c r="AU240" s="267">
        <f t="shared" si="222"/>
        <v>591</v>
      </c>
      <c r="AV240" s="267">
        <f t="shared" si="223"/>
        <v>582</v>
      </c>
      <c r="AW240" s="267">
        <f t="shared" si="224"/>
        <v>574</v>
      </c>
      <c r="AX240" s="267">
        <f t="shared" si="225"/>
        <v>567</v>
      </c>
      <c r="AY240" s="267">
        <f t="shared" si="226"/>
        <v>775</v>
      </c>
      <c r="AZ240" s="267">
        <f t="shared" si="227"/>
        <v>767</v>
      </c>
      <c r="BA240" s="267">
        <f t="shared" si="228"/>
        <v>736</v>
      </c>
      <c r="BB240" s="267">
        <f t="shared" si="229"/>
        <v>578</v>
      </c>
      <c r="BC240" s="267">
        <f t="shared" si="230"/>
        <v>591</v>
      </c>
      <c r="BD240" s="267">
        <f t="shared" si="231"/>
        <v>582</v>
      </c>
      <c r="BE240" s="267">
        <f t="shared" si="232"/>
        <v>574</v>
      </c>
      <c r="BF240" s="267">
        <f t="shared" si="233"/>
        <v>567</v>
      </c>
      <c r="BG240" s="269">
        <f>AY240*VLOOKUP($B240,'Major Cities &amp; Towns'!$A$28:$B$345,2,FALSE)</f>
        <v>775</v>
      </c>
      <c r="BH240" s="269">
        <f>AZ240*VLOOKUP($B240,'Major Cities &amp; Towns'!$A$28:$B$345,2,FALSE)</f>
        <v>767</v>
      </c>
      <c r="BI240" s="269">
        <f>BA240*VLOOKUP($B240,'Major Cities &amp; Towns'!$A$28:$B$345,2,FALSE)</f>
        <v>736</v>
      </c>
      <c r="BJ240" s="269">
        <f>BB240*VLOOKUP($B240,'Major Cities &amp; Towns'!$A$28:$B$345,2,FALSE)</f>
        <v>578</v>
      </c>
      <c r="BK240" s="269">
        <f>BC240*VLOOKUP($B240,'Major Cities &amp; Towns'!$A$28:$B$345,2,FALSE)</f>
        <v>591</v>
      </c>
      <c r="BL240" s="269">
        <f>BD240*VLOOKUP($B240,'Major Cities &amp; Towns'!$A$28:$B$345,2,FALSE)</f>
        <v>582</v>
      </c>
      <c r="BM240" s="269">
        <f>BE240*VLOOKUP($B240,'Major Cities &amp; Towns'!$A$28:$B$345,2,FALSE)</f>
        <v>574</v>
      </c>
      <c r="BN240" s="269">
        <f>BF240*VLOOKUP($B240,'Major Cities &amp; Towns'!$A$28:$B$345,2,FALSE)</f>
        <v>567</v>
      </c>
      <c r="BO240" s="270">
        <f t="shared" si="234"/>
        <v>645</v>
      </c>
      <c r="BP240" s="270">
        <f t="shared" si="235"/>
        <v>645</v>
      </c>
      <c r="BQ240" s="270">
        <f t="shared" si="236"/>
        <v>645</v>
      </c>
      <c r="BR240" s="270">
        <f t="shared" si="237"/>
        <v>578</v>
      </c>
      <c r="BS240" s="270">
        <f t="shared" si="238"/>
        <v>591</v>
      </c>
      <c r="BT240" s="270">
        <f t="shared" si="239"/>
        <v>582</v>
      </c>
      <c r="BU240" s="270">
        <f t="shared" si="240"/>
        <v>574</v>
      </c>
      <c r="BV240" s="270">
        <f t="shared" si="241"/>
        <v>567</v>
      </c>
      <c r="BW240" s="39">
        <f>VLOOKUP($A240,NetAdditions!$A$2:$H$336,6,FALSE)</f>
        <v>676</v>
      </c>
      <c r="BX240" s="39">
        <f>VLOOKUP($A240,NetAdditions!$A$2:$H$336,7,FALSE)</f>
        <v>729</v>
      </c>
      <c r="BY240" s="39">
        <f>IF((VLOOKUP($C240,NetAdditions!$A$2:$H$336,8,FALSE))="",(AVERAGE(VLOOKUP($C240,NetAdditions!$A$2:$H$336,5,FALSE),VLOOKUP($C240,NetAdditions!$A$2:$H$336,6,FALSE),VLOOKUP($C240,NetAdditions!$A$2:$H$336,7,FALSE))),VLOOKUP($C240,NetAdditions!$A$2:$H$336,8,FALSE))</f>
        <v>446</v>
      </c>
      <c r="BZ240" s="39">
        <f t="shared" si="242"/>
        <v>617</v>
      </c>
      <c r="CA240" s="39">
        <f t="shared" si="243"/>
        <v>597.33333333333337</v>
      </c>
      <c r="CB240" s="39">
        <f t="shared" si="244"/>
        <v>553.44444444444446</v>
      </c>
      <c r="CC240" s="39">
        <f t="shared" si="245"/>
        <v>589.25925925925924</v>
      </c>
      <c r="CD240" s="39">
        <f t="shared" si="246"/>
        <v>580.01234567901236</v>
      </c>
      <c r="CE240" s="276">
        <f t="shared" si="203"/>
        <v>1935</v>
      </c>
      <c r="CF240" s="276">
        <f t="shared" si="204"/>
        <v>1868</v>
      </c>
      <c r="CG240" s="276">
        <f t="shared" si="205"/>
        <v>1814</v>
      </c>
      <c r="CH240" s="276">
        <f t="shared" si="206"/>
        <v>1751</v>
      </c>
      <c r="CI240" s="276">
        <f t="shared" si="207"/>
        <v>1747</v>
      </c>
      <c r="CJ240" s="276">
        <f t="shared" si="208"/>
        <v>1723</v>
      </c>
      <c r="CK240" s="276">
        <f t="shared" si="247"/>
        <v>1666.25</v>
      </c>
      <c r="CL240" s="276">
        <f t="shared" si="248"/>
        <v>1608.5555555555557</v>
      </c>
      <c r="CM240" s="276">
        <f t="shared" si="249"/>
        <v>1662.8333333333333</v>
      </c>
      <c r="CN240" s="276">
        <f t="shared" si="250"/>
        <v>1751</v>
      </c>
      <c r="CO240" s="276">
        <f t="shared" si="251"/>
        <v>1747</v>
      </c>
      <c r="CP240" s="276">
        <f t="shared" si="252"/>
        <v>1723</v>
      </c>
      <c r="CQ240" s="39">
        <f t="shared" si="209"/>
        <v>1851</v>
      </c>
      <c r="CR240" s="39">
        <f t="shared" si="210"/>
        <v>1792</v>
      </c>
      <c r="CS240" s="277">
        <f t="shared" si="211"/>
        <v>1660.3333333333335</v>
      </c>
      <c r="CT240" s="39">
        <f t="shared" si="212"/>
        <v>1767.7777777777778</v>
      </c>
      <c r="CU240" s="39">
        <f t="shared" si="213"/>
        <v>1740.037037037037</v>
      </c>
      <c r="CV240" s="39">
        <f t="shared" si="253"/>
        <v>1722.7160493827159</v>
      </c>
      <c r="CW240" s="297">
        <f t="shared" si="214"/>
        <v>1.1108777194298574</v>
      </c>
      <c r="CX240" s="279" t="str">
        <f t="shared" si="254"/>
        <v>Pass</v>
      </c>
      <c r="CY240" s="278">
        <f t="shared" si="215"/>
        <v>1.1140429647026318</v>
      </c>
      <c r="CZ240" s="279" t="str">
        <f t="shared" si="255"/>
        <v>Pass</v>
      </c>
      <c r="DA240" s="278">
        <f t="shared" si="216"/>
        <v>0.99849654204670757</v>
      </c>
      <c r="DB240" s="292" t="str">
        <f t="shared" si="256"/>
        <v>Pass</v>
      </c>
      <c r="DC240" s="299">
        <f t="shared" si="257"/>
        <v>1.0095818262580114</v>
      </c>
      <c r="DD240" s="293" t="str">
        <f t="shared" si="258"/>
        <v>Pass</v>
      </c>
      <c r="DE240" s="299">
        <f t="shared" si="259"/>
        <v>0.99601433144650087</v>
      </c>
      <c r="DF240" s="293" t="str">
        <f t="shared" si="260"/>
        <v>Pass</v>
      </c>
      <c r="DG240" s="299">
        <f t="shared" si="261"/>
        <v>0.99983519987389202</v>
      </c>
      <c r="DH240" s="293" t="str">
        <f t="shared" si="262"/>
        <v>Pass</v>
      </c>
    </row>
    <row r="241" spans="1:112" ht="15" thickTop="1" thickBot="1">
      <c r="A241" s="38" t="s">
        <v>592</v>
      </c>
      <c r="B241" s="38" t="s">
        <v>593</v>
      </c>
      <c r="C241" s="38" t="s">
        <v>592</v>
      </c>
      <c r="D241" s="38" t="s">
        <v>116</v>
      </c>
      <c r="E241" s="38" t="str">
        <f>VLOOKUP(C241,PoliticalControl!A:K,11,FALSE)</f>
        <v>LD</v>
      </c>
      <c r="F241" s="38" t="str">
        <f>VLOOKUP(C241,UrbanRuralClassification!A:N,13,FALSE)</f>
        <v xml:space="preserve">Mainly Rural (rural including hub towns &gt;=80%) </v>
      </c>
      <c r="G241" s="38" t="str">
        <f>VLOOKUP(C241,UrbanRuralClassification!A:N,14,FALSE)</f>
        <v>Predominantly Rural</v>
      </c>
      <c r="H241" s="258">
        <f>IF(ISBLANK((VLOOKUP($A241,'local-plan-data'!$C$1:$AD$566,27,FALSE)))=TRUE,"",VLOOKUP($A241,'local-plan-data'!$C$1:$AD$566,27,FALSE))</f>
        <v>40471</v>
      </c>
      <c r="I241" s="259">
        <f>VLOOKUP($A241,'local-plan-data'!$C$1:$AD$566,28,FALSE)</f>
        <v>400</v>
      </c>
      <c r="J241" s="260">
        <f t="shared" si="217"/>
        <v>400</v>
      </c>
      <c r="K241" s="259" t="str">
        <f t="shared" si="263"/>
        <v>-</v>
      </c>
      <c r="L241" s="259" t="str">
        <f t="shared" si="265"/>
        <v>-</v>
      </c>
      <c r="M241" s="259" t="str">
        <f t="shared" si="265"/>
        <v>-</v>
      </c>
      <c r="N241" s="259" t="str">
        <f t="shared" si="265"/>
        <v>-</v>
      </c>
      <c r="O241" s="259" t="str">
        <f t="shared" si="265"/>
        <v>-</v>
      </c>
      <c r="P241" s="259" t="str">
        <f t="shared" si="265"/>
        <v>-</v>
      </c>
      <c r="Q241" s="259" t="str">
        <f t="shared" si="265"/>
        <v>-</v>
      </c>
      <c r="R241" s="259" t="str">
        <f t="shared" si="265"/>
        <v>-</v>
      </c>
      <c r="S241" s="259">
        <f t="shared" si="264"/>
        <v>-894</v>
      </c>
      <c r="T241" s="259">
        <f t="shared" si="266"/>
        <v>-1259</v>
      </c>
      <c r="U241" s="259">
        <f t="shared" si="266"/>
        <v>-1625</v>
      </c>
      <c r="V241" s="259">
        <f t="shared" si="266"/>
        <v>-1990</v>
      </c>
      <c r="W241" s="259">
        <f t="shared" si="266"/>
        <v>-2355</v>
      </c>
      <c r="X241" s="259">
        <f t="shared" si="266"/>
        <v>-2720</v>
      </c>
      <c r="Y241" s="259">
        <f t="shared" si="266"/>
        <v>-3086</v>
      </c>
      <c r="Z241" s="259">
        <f t="shared" si="266"/>
        <v>-3451</v>
      </c>
      <c r="AA241" s="267">
        <f>(VLOOKUP(A241,Hshldprojections2014!$A$2:$AW$319,40, FALSE)-VLOOKUP(A241,Hshldprojections2014!$A$2:$AW$319,30, FALSE))/10</f>
        <v>156.4</v>
      </c>
      <c r="AB241" s="267">
        <f>(VLOOKUP(A241,Hshldprojections2014!$A$2:$AW$319,41, FALSE)-VLOOKUP(A241,Hshldprojections2014!$A$2:$AW$319,31, FALSE))/10</f>
        <v>151.30000000000001</v>
      </c>
      <c r="AC241" s="267">
        <f>(VLOOKUP(A241,Hshldprojections2014!$A$2:$AW$319,42, FALSE)-VLOOKUP(A241,Hshldprojections2014!$A$2:$AW$319,32, FALSE))/10</f>
        <v>147.5</v>
      </c>
      <c r="AD241" s="267">
        <f>IF(IndividualLATest!$J$7=2014,(VLOOKUP($A241,Hshldprojections2014!$A$2:$AY$326,43,FALSE)-VLOOKUP($A241,Hshldprojections2014!$A$2:$AY$326,33,FALSE))/10,IF(IndividualLATest!$J$7=2016,(VLOOKUP($A241,Hshldprojections2016!$A$1:$AQ$322,33,FALSE)-VLOOKUP($A241,Hshldprojections2016!$A$1:$AQ$322,23,FALSE))/10,(VLOOKUP($A241,Hshldprojections2018!$A$1:$AQ$327,33,FALSE)-VLOOKUP($A241,Hshldprojections2018!$A$1:$AQ$327,23,FALSE))/10))</f>
        <v>221.1</v>
      </c>
      <c r="AE241" s="267">
        <f>IF(IndividualLATest!$J$7=2014,(VLOOKUP($A241,Hshldprojections2014!$A$2:$AY$326,44,FALSE)-VLOOKUP($A241,Hshldprojections2014!$A$2:$AY$326,34,FALSE))/10,IF(IndividualLATest!$J$7=2016,(VLOOKUP($A241,Hshldprojections2016!$A$1:$AQ$322,34,FALSE)-VLOOKUP($A241,Hshldprojections2016!$A$1:$AQ$322,24,FALSE))/10,(VLOOKUP($A241,Hshldprojections2018!$A$1:$AQ$327,34,FALSE)-VLOOKUP($A241,Hshldprojections2018!$A$1:$AQ$327,24,FALSE))/10))</f>
        <v>209.9</v>
      </c>
      <c r="AF241" s="267">
        <f>IF(IndividualLATest!$J$7=2014,(VLOOKUP($A241,Hshldprojections2014!$A$2:$AY$326,45,FALSE)-VLOOKUP($A241,Hshldprojections2014!$A$2:$AY$326,35,FALSE))/10,IF(IndividualLATest!$J$7=2016,(VLOOKUP($A241,Hshldprojections2016!$A$1:$AQ$322,35,FALSE)-VLOOKUP($A241,Hshldprojections2016!$A$1:$AQ$322,25,FALSE))/10,(VLOOKUP($A241,Hshldprojections2018!$A$1:$AQ$327,35,FALSE)-VLOOKUP($A241,Hshldprojections2018!$A$1:$AQ$327,25,FALSE))/10))</f>
        <v>200.4</v>
      </c>
      <c r="AG241" s="267">
        <f>IF(IndividualLATest!$J$7=2014,(VLOOKUP($A241,Hshldprojections2014!$A$2:$AY$326,46,FALSE)-VLOOKUP($A241,Hshldprojections2014!$A$2:$AY$326,36,FALSE))/10,IF(IndividualLATest!$J$7=2016,(VLOOKUP($A241,Hshldprojections2016!$A$1:$AQ$322,36,FALSE)-VLOOKUP($A241,Hshldprojections2016!$A$1:$AQ$322,26,FALSE))/10,(VLOOKUP($A241,Hshldprojections2018!$A$1:$AQ$327,36,FALSE)-VLOOKUP($A241,Hshldprojections2018!$A$1:$AQ$327,26,FALSE))/10))</f>
        <v>191.1</v>
      </c>
      <c r="AH241" s="267">
        <f>IF(IndividualLATest!$J$7=2014,(VLOOKUP($A241,Hshldprojections2014!$A$2:$AY$326,47,FALSE)-VLOOKUP($A241,Hshldprojections2014!$A$2:$AY$326,37,FALSE))/10,IF(IndividualLATest!$J$7=2016,(VLOOKUP($A241,Hshldprojections2016!$A$1:$AQ$322,37,FALSE)-VLOOKUP($A241,Hshldprojections2016!$A$1:$AQ$322,27,FALSE))/10,(VLOOKUP($A241,Hshldprojections2018!$A$1:$AQ$327,37,FALSE)-VLOOKUP($A241,Hshldprojections2018!$A$1:$AQ$327,27,FALSE))/10))</f>
        <v>183.7</v>
      </c>
      <c r="AI241" s="268">
        <f>VLOOKUP($A241,AffordabilityRatio!$A$2:$I$321,5,FALSE)</f>
        <v>9.7100000000000009</v>
      </c>
      <c r="AJ241" s="268">
        <f>VLOOKUP($A241,AffordabilityRatio!$A$2:$I$321,6,FALSE)</f>
        <v>8.32</v>
      </c>
      <c r="AK241" s="268">
        <f>VLOOKUP($A241,AffordabilityRatio!$A$2:$I$321,7,FALSE)</f>
        <v>9.91</v>
      </c>
      <c r="AL241" s="268">
        <f>IF((VLOOKUP($A241,AffordabilityRatio!$A$2:$I$321,8,FALSE))="",AK241,VLOOKUP($A241,AffordabilityRatio!$A$2:$I$321,8,FALSE))</f>
        <v>10.1</v>
      </c>
      <c r="AM241" s="268">
        <f>IF((VLOOKUP($A241,AffordabilityRatio!$A$2:$I$321,9,FALSE))="",AL241,VLOOKUP($A241,AffordabilityRatio!$A$2:$I$321,9,FALSE))</f>
        <v>10.119999999999999</v>
      </c>
      <c r="AN241" s="268">
        <f>IF((VLOOKUP($A241,AffordabilityRatio!$A$2:$I$321,9,FALSE))="",AM241,VLOOKUP($A241,AffordabilityRatio!$A$2:$I$321,9,FALSE))</f>
        <v>10.119999999999999</v>
      </c>
      <c r="AO241" s="268">
        <f>IF((VLOOKUP($A241,AffordabilityRatio!$A$2:$I$321,9,FALSE))="",AN241,VLOOKUP($A241,AffordabilityRatio!$A$2:$I$321,9,FALSE))</f>
        <v>10.119999999999999</v>
      </c>
      <c r="AP241" s="268">
        <f>IF((VLOOKUP($A241,AffordabilityRatio!$A$2:$I$321,9,FALSE))="",AO241,VLOOKUP($A241,AffordabilityRatio!$A$2:$I$321,9,FALSE))</f>
        <v>10.119999999999999</v>
      </c>
      <c r="AQ241" s="267">
        <f t="shared" si="218"/>
        <v>212</v>
      </c>
      <c r="AR241" s="267">
        <f t="shared" si="219"/>
        <v>192</v>
      </c>
      <c r="AS241" s="267">
        <f t="shared" si="220"/>
        <v>202</v>
      </c>
      <c r="AT241" s="267">
        <f t="shared" si="221"/>
        <v>305</v>
      </c>
      <c r="AU241" s="267">
        <f t="shared" si="222"/>
        <v>290</v>
      </c>
      <c r="AV241" s="267">
        <f t="shared" si="223"/>
        <v>277</v>
      </c>
      <c r="AW241" s="267">
        <f t="shared" si="224"/>
        <v>264</v>
      </c>
      <c r="AX241" s="267">
        <f t="shared" si="225"/>
        <v>254</v>
      </c>
      <c r="AY241" s="267">
        <f t="shared" si="226"/>
        <v>212</v>
      </c>
      <c r="AZ241" s="267">
        <f t="shared" si="227"/>
        <v>192</v>
      </c>
      <c r="BA241" s="267">
        <f t="shared" si="228"/>
        <v>202</v>
      </c>
      <c r="BB241" s="267">
        <f t="shared" si="229"/>
        <v>305</v>
      </c>
      <c r="BC241" s="267">
        <f t="shared" si="230"/>
        <v>290</v>
      </c>
      <c r="BD241" s="267">
        <f t="shared" si="231"/>
        <v>277</v>
      </c>
      <c r="BE241" s="267">
        <f t="shared" si="232"/>
        <v>264</v>
      </c>
      <c r="BF241" s="267">
        <f t="shared" si="233"/>
        <v>254</v>
      </c>
      <c r="BG241" s="269">
        <f>AY241*VLOOKUP($B241,'Major Cities &amp; Towns'!$A$28:$B$345,2,FALSE)</f>
        <v>212</v>
      </c>
      <c r="BH241" s="269">
        <f>AZ241*VLOOKUP($B241,'Major Cities &amp; Towns'!$A$28:$B$345,2,FALSE)</f>
        <v>192</v>
      </c>
      <c r="BI241" s="269">
        <f>BA241*VLOOKUP($B241,'Major Cities &amp; Towns'!$A$28:$B$345,2,FALSE)</f>
        <v>202</v>
      </c>
      <c r="BJ241" s="269">
        <f>BB241*VLOOKUP($B241,'Major Cities &amp; Towns'!$A$28:$B$345,2,FALSE)</f>
        <v>305</v>
      </c>
      <c r="BK241" s="269">
        <f>BC241*VLOOKUP($B241,'Major Cities &amp; Towns'!$A$28:$B$345,2,FALSE)</f>
        <v>290</v>
      </c>
      <c r="BL241" s="269">
        <f>BD241*VLOOKUP($B241,'Major Cities &amp; Towns'!$A$28:$B$345,2,FALSE)</f>
        <v>277</v>
      </c>
      <c r="BM241" s="269">
        <f>BE241*VLOOKUP($B241,'Major Cities &amp; Towns'!$A$28:$B$345,2,FALSE)</f>
        <v>264</v>
      </c>
      <c r="BN241" s="269">
        <f>BF241*VLOOKUP($B241,'Major Cities &amp; Towns'!$A$28:$B$345,2,FALSE)</f>
        <v>254</v>
      </c>
      <c r="BO241" s="270">
        <f t="shared" si="234"/>
        <v>212</v>
      </c>
      <c r="BP241" s="270">
        <f t="shared" si="235"/>
        <v>192</v>
      </c>
      <c r="BQ241" s="270">
        <f t="shared" si="236"/>
        <v>202</v>
      </c>
      <c r="BR241" s="270">
        <f t="shared" si="237"/>
        <v>305</v>
      </c>
      <c r="BS241" s="270">
        <f t="shared" si="238"/>
        <v>290</v>
      </c>
      <c r="BT241" s="270">
        <f t="shared" si="239"/>
        <v>277</v>
      </c>
      <c r="BU241" s="270">
        <f t="shared" si="240"/>
        <v>264</v>
      </c>
      <c r="BV241" s="270">
        <f t="shared" si="241"/>
        <v>254</v>
      </c>
      <c r="BW241" s="39">
        <f>VLOOKUP($A241,NetAdditions!$A$2:$H$336,6,FALSE)</f>
        <v>326</v>
      </c>
      <c r="BX241" s="39">
        <f>VLOOKUP($A241,NetAdditions!$A$2:$H$336,7,FALSE)</f>
        <v>278</v>
      </c>
      <c r="BY241" s="39">
        <f>IF((VLOOKUP($C241,NetAdditions!$A$2:$H$336,8,FALSE))="",(AVERAGE(VLOOKUP($C241,NetAdditions!$A$2:$H$336,5,FALSE),VLOOKUP($C241,NetAdditions!$A$2:$H$336,6,FALSE),VLOOKUP($C241,NetAdditions!$A$2:$H$336,7,FALSE))),VLOOKUP($C241,NetAdditions!$A$2:$H$336,8,FALSE))</f>
        <v>197</v>
      </c>
      <c r="BZ241" s="39">
        <f t="shared" si="242"/>
        <v>267</v>
      </c>
      <c r="CA241" s="39">
        <f t="shared" si="243"/>
        <v>247.33333333333334</v>
      </c>
      <c r="CB241" s="39">
        <f t="shared" si="244"/>
        <v>237.11111111111111</v>
      </c>
      <c r="CC241" s="39">
        <f t="shared" si="245"/>
        <v>250.4814814814815</v>
      </c>
      <c r="CD241" s="39">
        <f t="shared" si="246"/>
        <v>244.97530864197532</v>
      </c>
      <c r="CE241" s="276">
        <f t="shared" si="203"/>
        <v>606</v>
      </c>
      <c r="CF241" s="276">
        <f t="shared" si="204"/>
        <v>699</v>
      </c>
      <c r="CG241" s="276">
        <f t="shared" si="205"/>
        <v>797</v>
      </c>
      <c r="CH241" s="276">
        <f t="shared" si="206"/>
        <v>872</v>
      </c>
      <c r="CI241" s="276">
        <f t="shared" si="207"/>
        <v>831</v>
      </c>
      <c r="CJ241" s="276">
        <f t="shared" si="208"/>
        <v>795</v>
      </c>
      <c r="CK241" s="276">
        <f t="shared" si="247"/>
        <v>521.83333333333337</v>
      </c>
      <c r="CL241" s="276">
        <f t="shared" si="248"/>
        <v>601.91666666666674</v>
      </c>
      <c r="CM241" s="276">
        <f t="shared" si="249"/>
        <v>730.58333333333326</v>
      </c>
      <c r="CN241" s="276">
        <f t="shared" si="250"/>
        <v>872</v>
      </c>
      <c r="CO241" s="276">
        <f t="shared" si="251"/>
        <v>831</v>
      </c>
      <c r="CP241" s="276">
        <f t="shared" si="252"/>
        <v>795</v>
      </c>
      <c r="CQ241" s="39">
        <f t="shared" si="209"/>
        <v>801</v>
      </c>
      <c r="CR241" s="39">
        <f t="shared" si="210"/>
        <v>742</v>
      </c>
      <c r="CS241" s="277">
        <f t="shared" si="211"/>
        <v>711.33333333333337</v>
      </c>
      <c r="CT241" s="39">
        <f t="shared" si="212"/>
        <v>751.44444444444446</v>
      </c>
      <c r="CU241" s="39">
        <f t="shared" si="213"/>
        <v>734.92592592592598</v>
      </c>
      <c r="CV241" s="39">
        <f t="shared" si="253"/>
        <v>732.5679012345679</v>
      </c>
      <c r="CW241" s="297">
        <f t="shared" si="214"/>
        <v>1.5349728521239219</v>
      </c>
      <c r="CX241" s="279" t="str">
        <f t="shared" si="254"/>
        <v>Pass</v>
      </c>
      <c r="CY241" s="278">
        <f t="shared" si="215"/>
        <v>1.2327287830541325</v>
      </c>
      <c r="CZ241" s="279" t="str">
        <f t="shared" si="255"/>
        <v>Pass</v>
      </c>
      <c r="DA241" s="278">
        <f t="shared" si="216"/>
        <v>0.97365119196988725</v>
      </c>
      <c r="DB241" s="292" t="str">
        <f t="shared" si="256"/>
        <v>Pass</v>
      </c>
      <c r="DC241" s="299">
        <f t="shared" si="257"/>
        <v>0.86174821610601426</v>
      </c>
      <c r="DD241" s="293" t="str">
        <f t="shared" si="258"/>
        <v>Action Plan</v>
      </c>
      <c r="DE241" s="299">
        <f t="shared" si="259"/>
        <v>0.88438739581940551</v>
      </c>
      <c r="DF241" s="293" t="str">
        <f t="shared" si="260"/>
        <v>Action Plan</v>
      </c>
      <c r="DG241" s="299">
        <f t="shared" si="261"/>
        <v>0.92146905815668922</v>
      </c>
      <c r="DH241" s="293" t="str">
        <f t="shared" si="262"/>
        <v>Action Plan</v>
      </c>
    </row>
    <row r="242" spans="1:112" ht="15" thickTop="1" thickBot="1">
      <c r="A242" s="38" t="s">
        <v>594</v>
      </c>
      <c r="B242" s="38" t="s">
        <v>595</v>
      </c>
      <c r="C242" s="38" t="s">
        <v>594</v>
      </c>
      <c r="D242" s="38" t="s">
        <v>128</v>
      </c>
      <c r="E242" s="38" t="str">
        <f>VLOOKUP(C242,PoliticalControl!A:K,11,FALSE)</f>
        <v>CON</v>
      </c>
      <c r="F242" s="38" t="str">
        <f>VLOOKUP(C242,UrbanRuralClassification!A:N,13,FALSE)</f>
        <v xml:space="preserve">Mainly Rural (rural including hub towns &gt;=80%) </v>
      </c>
      <c r="G242" s="38" t="str">
        <f>VLOOKUP(C242,UrbanRuralClassification!A:N,14,FALSE)</f>
        <v>Predominantly Rural</v>
      </c>
      <c r="H242" s="258">
        <f>IF(ISBLANK((VLOOKUP($A242,'local-plan-data'!$C$1:$AD$566,27,FALSE)))=TRUE,"",VLOOKUP($A242,'local-plan-data'!$C$1:$AD$566,27,FALSE))</f>
        <v>41649</v>
      </c>
      <c r="I242" s="259">
        <f>VLOOKUP($A242,'local-plan-data'!$C$1:$AD$566,28,FALSE)</f>
        <v>2045.5555555555557</v>
      </c>
      <c r="J242" s="260">
        <f t="shared" si="217"/>
        <v>2045.5555555555557</v>
      </c>
      <c r="K242" s="259">
        <f t="shared" si="263"/>
        <v>2045.5555555555557</v>
      </c>
      <c r="L242" s="259" t="str">
        <f t="shared" si="265"/>
        <v>-</v>
      </c>
      <c r="M242" s="259" t="str">
        <f t="shared" si="265"/>
        <v>-</v>
      </c>
      <c r="N242" s="259" t="str">
        <f t="shared" si="265"/>
        <v>-</v>
      </c>
      <c r="O242" s="259" t="str">
        <f t="shared" si="265"/>
        <v>-</v>
      </c>
      <c r="P242" s="259" t="str">
        <f t="shared" si="265"/>
        <v>-</v>
      </c>
      <c r="Q242" s="259" t="str">
        <f t="shared" si="265"/>
        <v>-</v>
      </c>
      <c r="R242" s="259" t="str">
        <f t="shared" si="265"/>
        <v>-</v>
      </c>
      <c r="S242" s="259">
        <f t="shared" si="264"/>
        <v>284</v>
      </c>
      <c r="T242" s="259">
        <f t="shared" si="266"/>
        <v>-81</v>
      </c>
      <c r="U242" s="259">
        <f t="shared" si="266"/>
        <v>-447</v>
      </c>
      <c r="V242" s="259">
        <f t="shared" si="266"/>
        <v>-812</v>
      </c>
      <c r="W242" s="259">
        <f t="shared" si="266"/>
        <v>-1177</v>
      </c>
      <c r="X242" s="259">
        <f t="shared" si="266"/>
        <v>-1542</v>
      </c>
      <c r="Y242" s="259">
        <f t="shared" si="266"/>
        <v>-1908</v>
      </c>
      <c r="Z242" s="259">
        <f t="shared" si="266"/>
        <v>-2273</v>
      </c>
      <c r="AA242" s="267">
        <f>(VLOOKUP(A242,Hshldprojections2014!$A$2:$AW$319,40, FALSE)-VLOOKUP(A242,Hshldprojections2014!$A$2:$AW$319,30, FALSE))/10</f>
        <v>704</v>
      </c>
      <c r="AB242" s="267">
        <f>(VLOOKUP(A242,Hshldprojections2014!$A$2:$AW$319,41, FALSE)-VLOOKUP(A242,Hshldprojections2014!$A$2:$AW$319,31, FALSE))/10</f>
        <v>690.8</v>
      </c>
      <c r="AC242" s="267">
        <f>(VLOOKUP(A242,Hshldprojections2014!$A$2:$AW$319,42, FALSE)-VLOOKUP(A242,Hshldprojections2014!$A$2:$AW$319,32, FALSE))/10</f>
        <v>679.9</v>
      </c>
      <c r="AD242" s="267">
        <f>IF(IndividualLATest!$J$7=2014,(VLOOKUP($A242,Hshldprojections2014!$A$2:$AY$326,43,FALSE)-VLOOKUP($A242,Hshldprojections2014!$A$2:$AY$326,33,FALSE))/10,IF(IndividualLATest!$J$7=2016,(VLOOKUP($A242,Hshldprojections2016!$A$1:$AQ$322,33,FALSE)-VLOOKUP($A242,Hshldprojections2016!$A$1:$AQ$322,23,FALSE))/10,(VLOOKUP($A242,Hshldprojections2018!$A$1:$AQ$327,33,FALSE)-VLOOKUP($A242,Hshldprojections2018!$A$1:$AQ$327,23,FALSE))/10))</f>
        <v>921.9</v>
      </c>
      <c r="AE242" s="267">
        <f>IF(IndividualLATest!$J$7=2014,(VLOOKUP($A242,Hshldprojections2014!$A$2:$AY$326,44,FALSE)-VLOOKUP($A242,Hshldprojections2014!$A$2:$AY$326,34,FALSE))/10,IF(IndividualLATest!$J$7=2016,(VLOOKUP($A242,Hshldprojections2016!$A$1:$AQ$322,34,FALSE)-VLOOKUP($A242,Hshldprojections2016!$A$1:$AQ$322,24,FALSE))/10,(VLOOKUP($A242,Hshldprojections2018!$A$1:$AQ$327,34,FALSE)-VLOOKUP($A242,Hshldprojections2018!$A$1:$AQ$327,24,FALSE))/10))</f>
        <v>896.8</v>
      </c>
      <c r="AF242" s="267">
        <f>IF(IndividualLATest!$J$7=2014,(VLOOKUP($A242,Hshldprojections2014!$A$2:$AY$326,45,FALSE)-VLOOKUP($A242,Hshldprojections2014!$A$2:$AY$326,35,FALSE))/10,IF(IndividualLATest!$J$7=2016,(VLOOKUP($A242,Hshldprojections2016!$A$1:$AQ$322,35,FALSE)-VLOOKUP($A242,Hshldprojections2016!$A$1:$AQ$322,25,FALSE))/10,(VLOOKUP($A242,Hshldprojections2018!$A$1:$AQ$327,35,FALSE)-VLOOKUP($A242,Hshldprojections2018!$A$1:$AQ$327,25,FALSE))/10))</f>
        <v>872.9</v>
      </c>
      <c r="AG242" s="267">
        <f>IF(IndividualLATest!$J$7=2014,(VLOOKUP($A242,Hshldprojections2014!$A$2:$AY$326,46,FALSE)-VLOOKUP($A242,Hshldprojections2014!$A$2:$AY$326,36,FALSE))/10,IF(IndividualLATest!$J$7=2016,(VLOOKUP($A242,Hshldprojections2016!$A$1:$AQ$322,36,FALSE)-VLOOKUP($A242,Hshldprojections2016!$A$1:$AQ$322,26,FALSE))/10,(VLOOKUP($A242,Hshldprojections2018!$A$1:$AQ$327,36,FALSE)-VLOOKUP($A242,Hshldprojections2018!$A$1:$AQ$327,26,FALSE))/10))</f>
        <v>847.7</v>
      </c>
      <c r="AH242" s="267">
        <f>IF(IndividualLATest!$J$7=2014,(VLOOKUP($A242,Hshldprojections2014!$A$2:$AY$326,47,FALSE)-VLOOKUP($A242,Hshldprojections2014!$A$2:$AY$326,37,FALSE))/10,IF(IndividualLATest!$J$7=2016,(VLOOKUP($A242,Hshldprojections2016!$A$1:$AQ$322,37,FALSE)-VLOOKUP($A242,Hshldprojections2016!$A$1:$AQ$322,27,FALSE))/10,(VLOOKUP($A242,Hshldprojections2018!$A$1:$AQ$327,37,FALSE)-VLOOKUP($A242,Hshldprojections2018!$A$1:$AQ$327,27,FALSE))/10))</f>
        <v>826.8</v>
      </c>
      <c r="AI242" s="268">
        <f>VLOOKUP($A242,AffordabilityRatio!$A$2:$I$321,5,FALSE)</f>
        <v>8.93</v>
      </c>
      <c r="AJ242" s="268">
        <f>VLOOKUP($A242,AffordabilityRatio!$A$2:$I$321,6,FALSE)</f>
        <v>8.74</v>
      </c>
      <c r="AK242" s="268">
        <f>VLOOKUP($A242,AffordabilityRatio!$A$2:$I$321,7,FALSE)</f>
        <v>9.07</v>
      </c>
      <c r="AL242" s="268">
        <f>IF((VLOOKUP($A242,AffordabilityRatio!$A$2:$I$321,8,FALSE))="",AK242,VLOOKUP($A242,AffordabilityRatio!$A$2:$I$321,8,FALSE))</f>
        <v>8.94</v>
      </c>
      <c r="AM242" s="268">
        <f>IF((VLOOKUP($A242,AffordabilityRatio!$A$2:$I$321,9,FALSE))="",AL242,VLOOKUP($A242,AffordabilityRatio!$A$2:$I$321,9,FALSE))</f>
        <v>9.0500000000000007</v>
      </c>
      <c r="AN242" s="268">
        <f>IF((VLOOKUP($A242,AffordabilityRatio!$A$2:$I$321,9,FALSE))="",AM242,VLOOKUP($A242,AffordabilityRatio!$A$2:$I$321,9,FALSE))</f>
        <v>9.0500000000000007</v>
      </c>
      <c r="AO242" s="268">
        <f>IF((VLOOKUP($A242,AffordabilityRatio!$A$2:$I$321,9,FALSE))="",AN242,VLOOKUP($A242,AffordabilityRatio!$A$2:$I$321,9,FALSE))</f>
        <v>9.0500000000000007</v>
      </c>
      <c r="AP242" s="268">
        <f>IF((VLOOKUP($A242,AffordabilityRatio!$A$2:$I$321,9,FALSE))="",AO242,VLOOKUP($A242,AffordabilityRatio!$A$2:$I$321,9,FALSE))</f>
        <v>9.0500000000000007</v>
      </c>
      <c r="AQ242" s="267">
        <f t="shared" si="218"/>
        <v>921</v>
      </c>
      <c r="AR242" s="267">
        <f t="shared" si="219"/>
        <v>895</v>
      </c>
      <c r="AS242" s="267">
        <f t="shared" si="220"/>
        <v>895</v>
      </c>
      <c r="AT242" s="267">
        <f t="shared" si="221"/>
        <v>1207</v>
      </c>
      <c r="AU242" s="267">
        <f t="shared" si="222"/>
        <v>1180</v>
      </c>
      <c r="AV242" s="267">
        <f t="shared" si="223"/>
        <v>1148</v>
      </c>
      <c r="AW242" s="267">
        <f t="shared" si="224"/>
        <v>1115</v>
      </c>
      <c r="AX242" s="267">
        <f t="shared" si="225"/>
        <v>1088</v>
      </c>
      <c r="AY242" s="267">
        <f t="shared" si="226"/>
        <v>921</v>
      </c>
      <c r="AZ242" s="267">
        <f t="shared" si="227"/>
        <v>895</v>
      </c>
      <c r="BA242" s="267">
        <f t="shared" si="228"/>
        <v>895</v>
      </c>
      <c r="BB242" s="267">
        <f t="shared" si="229"/>
        <v>1207</v>
      </c>
      <c r="BC242" s="267">
        <f t="shared" si="230"/>
        <v>1180</v>
      </c>
      <c r="BD242" s="267">
        <f t="shared" si="231"/>
        <v>1148</v>
      </c>
      <c r="BE242" s="267">
        <f t="shared" si="232"/>
        <v>1115</v>
      </c>
      <c r="BF242" s="267">
        <f t="shared" si="233"/>
        <v>1088</v>
      </c>
      <c r="BG242" s="269">
        <f>AY242*VLOOKUP($B242,'Major Cities &amp; Towns'!$A$28:$B$345,2,FALSE)</f>
        <v>921</v>
      </c>
      <c r="BH242" s="269">
        <f>AZ242*VLOOKUP($B242,'Major Cities &amp; Towns'!$A$28:$B$345,2,FALSE)</f>
        <v>895</v>
      </c>
      <c r="BI242" s="269">
        <f>BA242*VLOOKUP($B242,'Major Cities &amp; Towns'!$A$28:$B$345,2,FALSE)</f>
        <v>895</v>
      </c>
      <c r="BJ242" s="269">
        <f>BB242*VLOOKUP($B242,'Major Cities &amp; Towns'!$A$28:$B$345,2,FALSE)</f>
        <v>1207</v>
      </c>
      <c r="BK242" s="269">
        <f>BC242*VLOOKUP($B242,'Major Cities &amp; Towns'!$A$28:$B$345,2,FALSE)</f>
        <v>1180</v>
      </c>
      <c r="BL242" s="269">
        <f>BD242*VLOOKUP($B242,'Major Cities &amp; Towns'!$A$28:$B$345,2,FALSE)</f>
        <v>1148</v>
      </c>
      <c r="BM242" s="269">
        <f>BE242*VLOOKUP($B242,'Major Cities &amp; Towns'!$A$28:$B$345,2,FALSE)</f>
        <v>1115</v>
      </c>
      <c r="BN242" s="269">
        <f>BF242*VLOOKUP($B242,'Major Cities &amp; Towns'!$A$28:$B$345,2,FALSE)</f>
        <v>1088</v>
      </c>
      <c r="BO242" s="270">
        <f t="shared" si="234"/>
        <v>921</v>
      </c>
      <c r="BP242" s="270">
        <f t="shared" si="235"/>
        <v>895</v>
      </c>
      <c r="BQ242" s="270">
        <f t="shared" si="236"/>
        <v>895</v>
      </c>
      <c r="BR242" s="270">
        <f t="shared" si="237"/>
        <v>1207</v>
      </c>
      <c r="BS242" s="270">
        <f t="shared" si="238"/>
        <v>1180</v>
      </c>
      <c r="BT242" s="270">
        <f t="shared" si="239"/>
        <v>1148</v>
      </c>
      <c r="BU242" s="270">
        <f t="shared" si="240"/>
        <v>1115</v>
      </c>
      <c r="BV242" s="270">
        <f t="shared" si="241"/>
        <v>1088</v>
      </c>
      <c r="BW242" s="39">
        <f>VLOOKUP($A242,NetAdditions!$A$2:$H$336,6,FALSE)</f>
        <v>1212</v>
      </c>
      <c r="BX242" s="39">
        <f>VLOOKUP($A242,NetAdditions!$A$2:$H$336,7,FALSE)</f>
        <v>984</v>
      </c>
      <c r="BY242" s="39">
        <f>IF((VLOOKUP($C242,NetAdditions!$A$2:$H$336,8,FALSE))="",(AVERAGE(VLOOKUP($C242,NetAdditions!$A$2:$H$336,5,FALSE),VLOOKUP($C242,NetAdditions!$A$2:$H$336,6,FALSE),VLOOKUP($C242,NetAdditions!$A$2:$H$336,7,FALSE))),VLOOKUP($C242,NetAdditions!$A$2:$H$336,8,FALSE))</f>
        <v>803</v>
      </c>
      <c r="BZ242" s="39">
        <f t="shared" si="242"/>
        <v>999.66666666666663</v>
      </c>
      <c r="CA242" s="39">
        <f t="shared" si="243"/>
        <v>928.8888888888888</v>
      </c>
      <c r="CB242" s="39">
        <f t="shared" si="244"/>
        <v>910.51851851851836</v>
      </c>
      <c r="CC242" s="39">
        <f t="shared" si="245"/>
        <v>946.35802469135797</v>
      </c>
      <c r="CD242" s="39">
        <f t="shared" si="246"/>
        <v>928.58847736625501</v>
      </c>
      <c r="CE242" s="276">
        <f t="shared" si="203"/>
        <v>2711</v>
      </c>
      <c r="CF242" s="276">
        <f t="shared" si="204"/>
        <v>2997</v>
      </c>
      <c r="CG242" s="276">
        <f t="shared" si="205"/>
        <v>3282</v>
      </c>
      <c r="CH242" s="276">
        <f t="shared" si="206"/>
        <v>3535</v>
      </c>
      <c r="CI242" s="276">
        <f t="shared" si="207"/>
        <v>3443</v>
      </c>
      <c r="CJ242" s="276">
        <f t="shared" si="208"/>
        <v>3351</v>
      </c>
      <c r="CK242" s="276">
        <f t="shared" si="247"/>
        <v>2334.4722222222222</v>
      </c>
      <c r="CL242" s="276">
        <f t="shared" si="248"/>
        <v>2580.75</v>
      </c>
      <c r="CM242" s="276">
        <f t="shared" si="249"/>
        <v>3008.5</v>
      </c>
      <c r="CN242" s="276">
        <f t="shared" si="250"/>
        <v>3535</v>
      </c>
      <c r="CO242" s="276">
        <f t="shared" si="251"/>
        <v>3443</v>
      </c>
      <c r="CP242" s="276">
        <f t="shared" si="252"/>
        <v>3351</v>
      </c>
      <c r="CQ242" s="39">
        <f t="shared" si="209"/>
        <v>2999</v>
      </c>
      <c r="CR242" s="39">
        <f t="shared" si="210"/>
        <v>2786.6666666666665</v>
      </c>
      <c r="CS242" s="277">
        <f t="shared" si="211"/>
        <v>2731.5555555555552</v>
      </c>
      <c r="CT242" s="39">
        <f t="shared" si="212"/>
        <v>2839.0740740740739</v>
      </c>
      <c r="CU242" s="39">
        <f t="shared" si="213"/>
        <v>2785.7654320987649</v>
      </c>
      <c r="CV242" s="39">
        <f t="shared" si="253"/>
        <v>2785.4650205761313</v>
      </c>
      <c r="CW242" s="297">
        <f t="shared" si="214"/>
        <v>1.2846586785021596</v>
      </c>
      <c r="CX242" s="279" t="str">
        <f t="shared" si="254"/>
        <v>Pass</v>
      </c>
      <c r="CY242" s="278">
        <f t="shared" si="215"/>
        <v>1.0797894668862411</v>
      </c>
      <c r="CZ242" s="279" t="str">
        <f t="shared" si="255"/>
        <v>Pass</v>
      </c>
      <c r="DA242" s="278">
        <f t="shared" si="216"/>
        <v>0.90794600483814369</v>
      </c>
      <c r="DB242" s="292" t="str">
        <f t="shared" si="256"/>
        <v>Action Plan</v>
      </c>
      <c r="DC242" s="299">
        <f t="shared" si="257"/>
        <v>0.80313269422180311</v>
      </c>
      <c r="DD242" s="293" t="str">
        <f t="shared" si="258"/>
        <v>Buffer and Action Plan</v>
      </c>
      <c r="DE242" s="299">
        <f t="shared" si="259"/>
        <v>0.80910991347626049</v>
      </c>
      <c r="DF242" s="293" t="str">
        <f t="shared" si="260"/>
        <v>Buffer and Action Plan</v>
      </c>
      <c r="DG242" s="299">
        <f t="shared" si="261"/>
        <v>0.83123396615223255</v>
      </c>
      <c r="DH242" s="293" t="str">
        <f t="shared" si="262"/>
        <v>Buffer and Action Plan</v>
      </c>
    </row>
    <row r="243" spans="1:112" ht="15" thickTop="1" thickBot="1">
      <c r="A243" s="38" t="s">
        <v>596</v>
      </c>
      <c r="B243" s="38" t="s">
        <v>597</v>
      </c>
      <c r="C243" s="38" t="s">
        <v>596</v>
      </c>
      <c r="D243" s="38" t="s">
        <v>119</v>
      </c>
      <c r="E243" s="38" t="str">
        <f>VLOOKUP(C243,PoliticalControl!A:K,11,FALSE)</f>
        <v>CON</v>
      </c>
      <c r="F243" s="38" t="str">
        <f>VLOOKUP(C243,UrbanRuralClassification!A:N,13,FALSE)</f>
        <v xml:space="preserve">Mainly Rural (rural including hub towns &gt;=80%) </v>
      </c>
      <c r="G243" s="38" t="str">
        <f>VLOOKUP(C243,UrbanRuralClassification!A:N,14,FALSE)</f>
        <v>Predominantly Rural</v>
      </c>
      <c r="H243" s="258">
        <f>IF(ISBLANK((VLOOKUP($A243,'local-plan-data'!$C$1:$AD$566,27,FALSE)))=TRUE,"",VLOOKUP($A243,'local-plan-data'!$C$1:$AD$566,27,FALSE))</f>
        <v>41988</v>
      </c>
      <c r="I243" s="259">
        <f>VLOOKUP($A243,'local-plan-data'!$C$1:$AD$566,28,FALSE)</f>
        <v>612.22222222222217</v>
      </c>
      <c r="J243" s="260">
        <f t="shared" si="217"/>
        <v>612.22222222222217</v>
      </c>
      <c r="K243" s="259">
        <f t="shared" si="263"/>
        <v>612.22222222222217</v>
      </c>
      <c r="L243" s="259">
        <f t="shared" si="265"/>
        <v>612.22222222222217</v>
      </c>
      <c r="M243" s="259" t="str">
        <f t="shared" si="265"/>
        <v>-</v>
      </c>
      <c r="N243" s="259" t="str">
        <f t="shared" si="265"/>
        <v>-</v>
      </c>
      <c r="O243" s="259" t="str">
        <f t="shared" si="265"/>
        <v>-</v>
      </c>
      <c r="P243" s="259" t="str">
        <f t="shared" si="265"/>
        <v>-</v>
      </c>
      <c r="Q243" s="259" t="str">
        <f t="shared" si="265"/>
        <v>-</v>
      </c>
      <c r="R243" s="259" t="str">
        <f t="shared" si="265"/>
        <v>-</v>
      </c>
      <c r="S243" s="259">
        <f t="shared" si="264"/>
        <v>623</v>
      </c>
      <c r="T243" s="259">
        <f t="shared" si="266"/>
        <v>258</v>
      </c>
      <c r="U243" s="259">
        <f t="shared" si="266"/>
        <v>-108</v>
      </c>
      <c r="V243" s="259">
        <f t="shared" si="266"/>
        <v>-473</v>
      </c>
      <c r="W243" s="259">
        <f t="shared" si="266"/>
        <v>-838</v>
      </c>
      <c r="X243" s="259">
        <f t="shared" si="266"/>
        <v>-1203</v>
      </c>
      <c r="Y243" s="259">
        <f t="shared" si="266"/>
        <v>-1569</v>
      </c>
      <c r="Z243" s="259">
        <f t="shared" si="266"/>
        <v>-1934</v>
      </c>
      <c r="AA243" s="267">
        <f>(VLOOKUP(A243,Hshldprojections2014!$A$2:$AW$319,40, FALSE)-VLOOKUP(A243,Hshldprojections2014!$A$2:$AW$319,30, FALSE))/10</f>
        <v>372</v>
      </c>
      <c r="AB243" s="267">
        <f>(VLOOKUP(A243,Hshldprojections2014!$A$2:$AW$319,41, FALSE)-VLOOKUP(A243,Hshldprojections2014!$A$2:$AW$319,31, FALSE))/10</f>
        <v>368.9</v>
      </c>
      <c r="AC243" s="267">
        <f>(VLOOKUP(A243,Hshldprojections2014!$A$2:$AW$319,42, FALSE)-VLOOKUP(A243,Hshldprojections2014!$A$2:$AW$319,32, FALSE))/10</f>
        <v>366.2</v>
      </c>
      <c r="AD243" s="267">
        <f>IF(IndividualLATest!$J$7=2014,(VLOOKUP($A243,Hshldprojections2014!$A$2:$AY$326,43,FALSE)-VLOOKUP($A243,Hshldprojections2014!$A$2:$AY$326,33,FALSE))/10,IF(IndividualLATest!$J$7=2016,(VLOOKUP($A243,Hshldprojections2016!$A$1:$AQ$322,33,FALSE)-VLOOKUP($A243,Hshldprojections2016!$A$1:$AQ$322,23,FALSE))/10,(VLOOKUP($A243,Hshldprojections2018!$A$1:$AQ$327,33,FALSE)-VLOOKUP($A243,Hshldprojections2018!$A$1:$AQ$327,23,FALSE))/10))</f>
        <v>447.5</v>
      </c>
      <c r="AE243" s="267">
        <f>IF(IndividualLATest!$J$7=2014,(VLOOKUP($A243,Hshldprojections2014!$A$2:$AY$326,44,FALSE)-VLOOKUP($A243,Hshldprojections2014!$A$2:$AY$326,34,FALSE))/10,IF(IndividualLATest!$J$7=2016,(VLOOKUP($A243,Hshldprojections2016!$A$1:$AQ$322,34,FALSE)-VLOOKUP($A243,Hshldprojections2016!$A$1:$AQ$322,24,FALSE))/10,(VLOOKUP($A243,Hshldprojections2018!$A$1:$AQ$327,34,FALSE)-VLOOKUP($A243,Hshldprojections2018!$A$1:$AQ$327,24,FALSE))/10))</f>
        <v>429.5</v>
      </c>
      <c r="AF243" s="267">
        <f>IF(IndividualLATest!$J$7=2014,(VLOOKUP($A243,Hshldprojections2014!$A$2:$AY$326,45,FALSE)-VLOOKUP($A243,Hshldprojections2014!$A$2:$AY$326,35,FALSE))/10,IF(IndividualLATest!$J$7=2016,(VLOOKUP($A243,Hshldprojections2016!$A$1:$AQ$322,35,FALSE)-VLOOKUP($A243,Hshldprojections2016!$A$1:$AQ$322,25,FALSE))/10,(VLOOKUP($A243,Hshldprojections2018!$A$1:$AQ$327,35,FALSE)-VLOOKUP($A243,Hshldprojections2018!$A$1:$AQ$327,25,FALSE))/10))</f>
        <v>415.3</v>
      </c>
      <c r="AG243" s="267">
        <f>IF(IndividualLATest!$J$7=2014,(VLOOKUP($A243,Hshldprojections2014!$A$2:$AY$326,46,FALSE)-VLOOKUP($A243,Hshldprojections2014!$A$2:$AY$326,36,FALSE))/10,IF(IndividualLATest!$J$7=2016,(VLOOKUP($A243,Hshldprojections2016!$A$1:$AQ$322,36,FALSE)-VLOOKUP($A243,Hshldprojections2016!$A$1:$AQ$322,26,FALSE))/10,(VLOOKUP($A243,Hshldprojections2018!$A$1:$AQ$327,36,FALSE)-VLOOKUP($A243,Hshldprojections2018!$A$1:$AQ$327,26,FALSE))/10))</f>
        <v>400.8</v>
      </c>
      <c r="AH243" s="267">
        <f>IF(IndividualLATest!$J$7=2014,(VLOOKUP($A243,Hshldprojections2014!$A$2:$AY$326,47,FALSE)-VLOOKUP($A243,Hshldprojections2014!$A$2:$AY$326,37,FALSE))/10,IF(IndividualLATest!$J$7=2016,(VLOOKUP($A243,Hshldprojections2016!$A$1:$AQ$322,37,FALSE)-VLOOKUP($A243,Hshldprojections2016!$A$1:$AQ$322,27,FALSE))/10,(VLOOKUP($A243,Hshldprojections2018!$A$1:$AQ$327,37,FALSE)-VLOOKUP($A243,Hshldprojections2018!$A$1:$AQ$327,27,FALSE))/10))</f>
        <v>388.5</v>
      </c>
      <c r="AI243" s="268">
        <f>VLOOKUP($A243,AffordabilityRatio!$A$2:$I$321,5,FALSE)</f>
        <v>10.3</v>
      </c>
      <c r="AJ243" s="268">
        <f>VLOOKUP($A243,AffordabilityRatio!$A$2:$I$321,6,FALSE)</f>
        <v>10.56</v>
      </c>
      <c r="AK243" s="268">
        <f>VLOOKUP($A243,AffordabilityRatio!$A$2:$I$321,7,FALSE)</f>
        <v>10</v>
      </c>
      <c r="AL243" s="268">
        <f>IF((VLOOKUP($A243,AffordabilityRatio!$A$2:$I$321,8,FALSE))="",AK243,VLOOKUP($A243,AffordabilityRatio!$A$2:$I$321,8,FALSE))</f>
        <v>10.33</v>
      </c>
      <c r="AM243" s="268">
        <f>IF((VLOOKUP($A243,AffordabilityRatio!$A$2:$I$321,9,FALSE))="",AL243,VLOOKUP($A243,AffordabilityRatio!$A$2:$I$321,9,FALSE))</f>
        <v>10.33</v>
      </c>
      <c r="AN243" s="268">
        <f>IF((VLOOKUP($A243,AffordabilityRatio!$A$2:$I$321,9,FALSE))="",AM243,VLOOKUP($A243,AffordabilityRatio!$A$2:$I$321,9,FALSE))</f>
        <v>10.33</v>
      </c>
      <c r="AO243" s="268">
        <f>IF((VLOOKUP($A243,AffordabilityRatio!$A$2:$I$321,9,FALSE))="",AN243,VLOOKUP($A243,AffordabilityRatio!$A$2:$I$321,9,FALSE))</f>
        <v>10.33</v>
      </c>
      <c r="AP243" s="268">
        <f>IF((VLOOKUP($A243,AffordabilityRatio!$A$2:$I$321,9,FALSE))="",AO243,VLOOKUP($A243,AffordabilityRatio!$A$2:$I$321,9,FALSE))</f>
        <v>10.33</v>
      </c>
      <c r="AQ243" s="267">
        <f t="shared" si="218"/>
        <v>518</v>
      </c>
      <c r="AR243" s="267">
        <f t="shared" si="219"/>
        <v>520</v>
      </c>
      <c r="AS243" s="267">
        <f t="shared" si="220"/>
        <v>504</v>
      </c>
      <c r="AT243" s="267">
        <f t="shared" si="221"/>
        <v>625</v>
      </c>
      <c r="AU243" s="267">
        <f t="shared" si="222"/>
        <v>599</v>
      </c>
      <c r="AV243" s="267">
        <f t="shared" si="223"/>
        <v>580</v>
      </c>
      <c r="AW243" s="267">
        <f t="shared" si="224"/>
        <v>559</v>
      </c>
      <c r="AX243" s="267">
        <f t="shared" si="225"/>
        <v>542</v>
      </c>
      <c r="AY243" s="267">
        <f t="shared" si="226"/>
        <v>518</v>
      </c>
      <c r="AZ243" s="267">
        <f t="shared" si="227"/>
        <v>520</v>
      </c>
      <c r="BA243" s="267">
        <f t="shared" si="228"/>
        <v>504</v>
      </c>
      <c r="BB243" s="267">
        <f t="shared" si="229"/>
        <v>625</v>
      </c>
      <c r="BC243" s="267">
        <f t="shared" si="230"/>
        <v>599</v>
      </c>
      <c r="BD243" s="267">
        <f t="shared" si="231"/>
        <v>580</v>
      </c>
      <c r="BE243" s="267">
        <f t="shared" si="232"/>
        <v>559</v>
      </c>
      <c r="BF243" s="267">
        <f t="shared" si="233"/>
        <v>542</v>
      </c>
      <c r="BG243" s="269">
        <f>AY243*VLOOKUP($B243,'Major Cities &amp; Towns'!$A$28:$B$345,2,FALSE)</f>
        <v>518</v>
      </c>
      <c r="BH243" s="269">
        <f>AZ243*VLOOKUP($B243,'Major Cities &amp; Towns'!$A$28:$B$345,2,FALSE)</f>
        <v>520</v>
      </c>
      <c r="BI243" s="269">
        <f>BA243*VLOOKUP($B243,'Major Cities &amp; Towns'!$A$28:$B$345,2,FALSE)</f>
        <v>504</v>
      </c>
      <c r="BJ243" s="269">
        <f>BB243*VLOOKUP($B243,'Major Cities &amp; Towns'!$A$28:$B$345,2,FALSE)</f>
        <v>625</v>
      </c>
      <c r="BK243" s="269">
        <f>BC243*VLOOKUP($B243,'Major Cities &amp; Towns'!$A$28:$B$345,2,FALSE)</f>
        <v>599</v>
      </c>
      <c r="BL243" s="269">
        <f>BD243*VLOOKUP($B243,'Major Cities &amp; Towns'!$A$28:$B$345,2,FALSE)</f>
        <v>580</v>
      </c>
      <c r="BM243" s="269">
        <f>BE243*VLOOKUP($B243,'Major Cities &amp; Towns'!$A$28:$B$345,2,FALSE)</f>
        <v>559</v>
      </c>
      <c r="BN243" s="269">
        <f>BF243*VLOOKUP($B243,'Major Cities &amp; Towns'!$A$28:$B$345,2,FALSE)</f>
        <v>542</v>
      </c>
      <c r="BO243" s="270">
        <f t="shared" si="234"/>
        <v>518</v>
      </c>
      <c r="BP243" s="270">
        <f t="shared" si="235"/>
        <v>520</v>
      </c>
      <c r="BQ243" s="270">
        <f t="shared" si="236"/>
        <v>504</v>
      </c>
      <c r="BR243" s="270">
        <f t="shared" si="237"/>
        <v>625</v>
      </c>
      <c r="BS243" s="270">
        <f t="shared" si="238"/>
        <v>599</v>
      </c>
      <c r="BT243" s="270">
        <f t="shared" si="239"/>
        <v>580</v>
      </c>
      <c r="BU243" s="270">
        <f t="shared" si="240"/>
        <v>559</v>
      </c>
      <c r="BV243" s="270">
        <f t="shared" si="241"/>
        <v>542</v>
      </c>
      <c r="BW243" s="39">
        <f>VLOOKUP($A243,NetAdditions!$A$2:$H$336,6,FALSE)</f>
        <v>786</v>
      </c>
      <c r="BX243" s="39">
        <f>VLOOKUP($A243,NetAdditions!$A$2:$H$336,7,FALSE)</f>
        <v>459</v>
      </c>
      <c r="BY243" s="39">
        <f>IF((VLOOKUP($C243,NetAdditions!$A$2:$H$336,8,FALSE))="",(AVERAGE(VLOOKUP($C243,NetAdditions!$A$2:$H$336,5,FALSE),VLOOKUP($C243,NetAdditions!$A$2:$H$336,6,FALSE),VLOOKUP($C243,NetAdditions!$A$2:$H$336,7,FALSE))),VLOOKUP($C243,NetAdditions!$A$2:$H$336,8,FALSE))</f>
        <v>692.33333333333337</v>
      </c>
      <c r="BZ243" s="39">
        <f t="shared" si="242"/>
        <v>645.77777777777783</v>
      </c>
      <c r="CA243" s="39">
        <f t="shared" si="243"/>
        <v>599.03703703703707</v>
      </c>
      <c r="CB243" s="39">
        <f t="shared" si="244"/>
        <v>645.71604938271605</v>
      </c>
      <c r="CC243" s="39">
        <f t="shared" si="245"/>
        <v>630.17695473251024</v>
      </c>
      <c r="CD243" s="39">
        <f t="shared" si="246"/>
        <v>624.97668038408779</v>
      </c>
      <c r="CE243" s="276">
        <f t="shared" si="203"/>
        <v>1542</v>
      </c>
      <c r="CF243" s="276">
        <f t="shared" si="204"/>
        <v>1649</v>
      </c>
      <c r="CG243" s="276">
        <f t="shared" si="205"/>
        <v>1728</v>
      </c>
      <c r="CH243" s="276">
        <f t="shared" si="206"/>
        <v>1804</v>
      </c>
      <c r="CI243" s="276">
        <f t="shared" si="207"/>
        <v>1738</v>
      </c>
      <c r="CJ243" s="276">
        <f t="shared" si="208"/>
        <v>1681</v>
      </c>
      <c r="CK243" s="276">
        <f t="shared" si="247"/>
        <v>1327.8333333333335</v>
      </c>
      <c r="CL243" s="276">
        <f t="shared" si="248"/>
        <v>1419.9722222222224</v>
      </c>
      <c r="CM243" s="276">
        <f t="shared" si="249"/>
        <v>1584</v>
      </c>
      <c r="CN243" s="276">
        <f t="shared" si="250"/>
        <v>1804</v>
      </c>
      <c r="CO243" s="276">
        <f t="shared" si="251"/>
        <v>1738</v>
      </c>
      <c r="CP243" s="276">
        <f t="shared" si="252"/>
        <v>1681</v>
      </c>
      <c r="CQ243" s="39">
        <f t="shared" si="209"/>
        <v>1937.3333333333335</v>
      </c>
      <c r="CR243" s="39">
        <f t="shared" si="210"/>
        <v>1797.1111111111113</v>
      </c>
      <c r="CS243" s="277">
        <f t="shared" si="211"/>
        <v>1937.1481481481483</v>
      </c>
      <c r="CT243" s="39">
        <f t="shared" si="212"/>
        <v>1890.5308641975307</v>
      </c>
      <c r="CU243" s="39">
        <f t="shared" si="213"/>
        <v>1874.9300411522634</v>
      </c>
      <c r="CV243" s="39">
        <f t="shared" si="253"/>
        <v>1900.869684499314</v>
      </c>
      <c r="CW243" s="297">
        <f t="shared" si="214"/>
        <v>1.4590184511108322</v>
      </c>
      <c r="CX243" s="279" t="str">
        <f t="shared" si="254"/>
        <v>Pass</v>
      </c>
      <c r="CY243" s="278">
        <f t="shared" si="215"/>
        <v>1.265595962362331</v>
      </c>
      <c r="CZ243" s="279" t="str">
        <f t="shared" si="255"/>
        <v>Pass</v>
      </c>
      <c r="DA243" s="278">
        <f t="shared" si="216"/>
        <v>1.2229470632248411</v>
      </c>
      <c r="DB243" s="292" t="str">
        <f t="shared" si="256"/>
        <v>Pass</v>
      </c>
      <c r="DC243" s="299">
        <f t="shared" si="257"/>
        <v>1.0479661109742411</v>
      </c>
      <c r="DD243" s="293" t="str">
        <f t="shared" si="258"/>
        <v>Pass</v>
      </c>
      <c r="DE243" s="299">
        <f t="shared" si="259"/>
        <v>1.0787859845525105</v>
      </c>
      <c r="DF243" s="293" t="str">
        <f t="shared" si="260"/>
        <v>Pass</v>
      </c>
      <c r="DG243" s="299">
        <f t="shared" si="261"/>
        <v>1.1307969568705021</v>
      </c>
      <c r="DH243" s="293" t="str">
        <f t="shared" si="262"/>
        <v>Pass</v>
      </c>
    </row>
    <row r="244" spans="1:112" ht="15" thickTop="1" thickBot="1">
      <c r="A244" s="38" t="s">
        <v>598</v>
      </c>
      <c r="B244" s="38" t="s">
        <v>599</v>
      </c>
      <c r="C244" s="38" t="s">
        <v>598</v>
      </c>
      <c r="D244" s="38" t="s">
        <v>113</v>
      </c>
      <c r="E244" s="38" t="str">
        <f>VLOOKUP(C244,PoliticalControl!A:K,11,FALSE)</f>
        <v>NOC</v>
      </c>
      <c r="F244" s="38" t="str">
        <f>VLOOKUP(C244,UrbanRuralClassification!A:N,13,FALSE)</f>
        <v xml:space="preserve">Mainly Rural (rural including hub towns &gt;=80%) </v>
      </c>
      <c r="G244" s="38" t="str">
        <f>VLOOKUP(C244,UrbanRuralClassification!A:N,14,FALSE)</f>
        <v>Predominantly Rural</v>
      </c>
      <c r="H244" s="258">
        <f>IF(ISBLANK((VLOOKUP($A244,'local-plan-data'!$C$1:$AD$566,27,FALSE)))=TRUE,"",VLOOKUP($A244,'local-plan-data'!$C$1:$AD$566,27,FALSE))</f>
        <v>44175</v>
      </c>
      <c r="I244" s="259">
        <f>VLOOKUP($A244,'local-plan-data'!$C$1:$AD$566,28,FALSE)</f>
        <v>981.25</v>
      </c>
      <c r="J244" s="260">
        <f t="shared" si="217"/>
        <v>981.25</v>
      </c>
      <c r="K244" s="259">
        <f t="shared" si="263"/>
        <v>981.25</v>
      </c>
      <c r="L244" s="259">
        <f t="shared" si="265"/>
        <v>981.25</v>
      </c>
      <c r="M244" s="259">
        <f t="shared" si="265"/>
        <v>981.25</v>
      </c>
      <c r="N244" s="259">
        <f t="shared" si="265"/>
        <v>981.25</v>
      </c>
      <c r="O244" s="259">
        <f t="shared" si="265"/>
        <v>981.25</v>
      </c>
      <c r="P244" s="259">
        <f t="shared" si="265"/>
        <v>981.25</v>
      </c>
      <c r="Q244" s="259">
        <f t="shared" si="265"/>
        <v>981.25</v>
      </c>
      <c r="R244" s="259">
        <f t="shared" si="265"/>
        <v>981.25</v>
      </c>
      <c r="S244" s="259">
        <f t="shared" si="264"/>
        <v>2810</v>
      </c>
      <c r="T244" s="259">
        <f t="shared" si="266"/>
        <v>2445</v>
      </c>
      <c r="U244" s="259">
        <f t="shared" si="266"/>
        <v>2079</v>
      </c>
      <c r="V244" s="259">
        <f t="shared" si="266"/>
        <v>1714</v>
      </c>
      <c r="W244" s="259">
        <f t="shared" si="266"/>
        <v>1349</v>
      </c>
      <c r="X244" s="259">
        <f t="shared" si="266"/>
        <v>984</v>
      </c>
      <c r="Y244" s="259">
        <f t="shared" si="266"/>
        <v>618</v>
      </c>
      <c r="Z244" s="259">
        <f t="shared" si="266"/>
        <v>253</v>
      </c>
      <c r="AA244" s="267">
        <f>(VLOOKUP(A244,Hshldprojections2014!$A$2:$AW$319,40, FALSE)-VLOOKUP(A244,Hshldprojections2014!$A$2:$AW$319,30, FALSE))/10</f>
        <v>420.3</v>
      </c>
      <c r="AB244" s="267">
        <f>(VLOOKUP(A244,Hshldprojections2014!$A$2:$AW$319,41, FALSE)-VLOOKUP(A244,Hshldprojections2014!$A$2:$AW$319,31, FALSE))/10</f>
        <v>414.9</v>
      </c>
      <c r="AC244" s="267">
        <f>(VLOOKUP(A244,Hshldprojections2014!$A$2:$AW$319,42, FALSE)-VLOOKUP(A244,Hshldprojections2014!$A$2:$AW$319,32, FALSE))/10</f>
        <v>412.3</v>
      </c>
      <c r="AD244" s="267">
        <f>IF(IndividualLATest!$J$7=2014,(VLOOKUP($A244,Hshldprojections2014!$A$2:$AY$326,43,FALSE)-VLOOKUP($A244,Hshldprojections2014!$A$2:$AY$326,33,FALSE))/10,IF(IndividualLATest!$J$7=2016,(VLOOKUP($A244,Hshldprojections2016!$A$1:$AQ$322,33,FALSE)-VLOOKUP($A244,Hshldprojections2016!$A$1:$AQ$322,23,FALSE))/10,(VLOOKUP($A244,Hshldprojections2018!$A$1:$AQ$327,33,FALSE)-VLOOKUP($A244,Hshldprojections2018!$A$1:$AQ$327,23,FALSE))/10))</f>
        <v>349.7</v>
      </c>
      <c r="AE244" s="267">
        <f>IF(IndividualLATest!$J$7=2014,(VLOOKUP($A244,Hshldprojections2014!$A$2:$AY$326,44,FALSE)-VLOOKUP($A244,Hshldprojections2014!$A$2:$AY$326,34,FALSE))/10,IF(IndividualLATest!$J$7=2016,(VLOOKUP($A244,Hshldprojections2016!$A$1:$AQ$322,34,FALSE)-VLOOKUP($A244,Hshldprojections2016!$A$1:$AQ$322,24,FALSE))/10,(VLOOKUP($A244,Hshldprojections2018!$A$1:$AQ$327,34,FALSE)-VLOOKUP($A244,Hshldprojections2018!$A$1:$AQ$327,24,FALSE))/10))</f>
        <v>331.7</v>
      </c>
      <c r="AF244" s="267">
        <f>IF(IndividualLATest!$J$7=2014,(VLOOKUP($A244,Hshldprojections2014!$A$2:$AY$326,45,FALSE)-VLOOKUP($A244,Hshldprojections2014!$A$2:$AY$326,35,FALSE))/10,IF(IndividualLATest!$J$7=2016,(VLOOKUP($A244,Hshldprojections2016!$A$1:$AQ$322,35,FALSE)-VLOOKUP($A244,Hshldprojections2016!$A$1:$AQ$322,25,FALSE))/10,(VLOOKUP($A244,Hshldprojections2018!$A$1:$AQ$327,35,FALSE)-VLOOKUP($A244,Hshldprojections2018!$A$1:$AQ$327,25,FALSE))/10))</f>
        <v>314.2</v>
      </c>
      <c r="AG244" s="267">
        <f>IF(IndividualLATest!$J$7=2014,(VLOOKUP($A244,Hshldprojections2014!$A$2:$AY$326,46,FALSE)-VLOOKUP($A244,Hshldprojections2014!$A$2:$AY$326,36,FALSE))/10,IF(IndividualLATest!$J$7=2016,(VLOOKUP($A244,Hshldprojections2016!$A$1:$AQ$322,36,FALSE)-VLOOKUP($A244,Hshldprojections2016!$A$1:$AQ$322,26,FALSE))/10,(VLOOKUP($A244,Hshldprojections2018!$A$1:$AQ$327,36,FALSE)-VLOOKUP($A244,Hshldprojections2018!$A$1:$AQ$327,26,FALSE))/10))</f>
        <v>298.10000000000002</v>
      </c>
      <c r="AH244" s="267">
        <f>IF(IndividualLATest!$J$7=2014,(VLOOKUP($A244,Hshldprojections2014!$A$2:$AY$326,47,FALSE)-VLOOKUP($A244,Hshldprojections2014!$A$2:$AY$326,37,FALSE))/10,IF(IndividualLATest!$J$7=2016,(VLOOKUP($A244,Hshldprojections2016!$A$1:$AQ$322,37,FALSE)-VLOOKUP($A244,Hshldprojections2016!$A$1:$AQ$322,27,FALSE))/10,(VLOOKUP($A244,Hshldprojections2018!$A$1:$AQ$327,37,FALSE)-VLOOKUP($A244,Hshldprojections2018!$A$1:$AQ$327,27,FALSE))/10))</f>
        <v>287.10000000000002</v>
      </c>
      <c r="AI244" s="268">
        <f>VLOOKUP($A244,AffordabilityRatio!$A$2:$I$321,5,FALSE)</f>
        <v>11.81</v>
      </c>
      <c r="AJ244" s="268">
        <f>VLOOKUP($A244,AffordabilityRatio!$A$2:$I$321,6,FALSE)</f>
        <v>12.37</v>
      </c>
      <c r="AK244" s="268">
        <f>VLOOKUP($A244,AffordabilityRatio!$A$2:$I$321,7,FALSE)</f>
        <v>11.69</v>
      </c>
      <c r="AL244" s="268">
        <f>IF((VLOOKUP($A244,AffordabilityRatio!$A$2:$I$321,8,FALSE))="",AK244,VLOOKUP($A244,AffordabilityRatio!$A$2:$I$321,8,FALSE))</f>
        <v>11.9</v>
      </c>
      <c r="AM244" s="268">
        <f>IF((VLOOKUP($A244,AffordabilityRatio!$A$2:$I$321,9,FALSE))="",AL244,VLOOKUP($A244,AffordabilityRatio!$A$2:$I$321,9,FALSE))</f>
        <v>13.07</v>
      </c>
      <c r="AN244" s="268">
        <f>IF((VLOOKUP($A244,AffordabilityRatio!$A$2:$I$321,9,FALSE))="",AM244,VLOOKUP($A244,AffordabilityRatio!$A$2:$I$321,9,FALSE))</f>
        <v>13.07</v>
      </c>
      <c r="AO244" s="268">
        <f>IF((VLOOKUP($A244,AffordabilityRatio!$A$2:$I$321,9,FALSE))="",AN244,VLOOKUP($A244,AffordabilityRatio!$A$2:$I$321,9,FALSE))</f>
        <v>13.07</v>
      </c>
      <c r="AP244" s="268">
        <f>IF((VLOOKUP($A244,AffordabilityRatio!$A$2:$I$321,9,FALSE))="",AO244,VLOOKUP($A244,AffordabilityRatio!$A$2:$I$321,9,FALSE))</f>
        <v>13.07</v>
      </c>
      <c r="AQ244" s="267">
        <f t="shared" si="218"/>
        <v>625</v>
      </c>
      <c r="AR244" s="267">
        <f t="shared" si="219"/>
        <v>632</v>
      </c>
      <c r="AS244" s="267">
        <f t="shared" si="220"/>
        <v>610</v>
      </c>
      <c r="AT244" s="267">
        <f t="shared" si="221"/>
        <v>522</v>
      </c>
      <c r="AU244" s="267">
        <f t="shared" si="222"/>
        <v>520</v>
      </c>
      <c r="AV244" s="267">
        <f t="shared" si="223"/>
        <v>492</v>
      </c>
      <c r="AW244" s="267">
        <f t="shared" si="224"/>
        <v>467</v>
      </c>
      <c r="AX244" s="267">
        <f t="shared" si="225"/>
        <v>450</v>
      </c>
      <c r="AY244" s="267">
        <f t="shared" si="226"/>
        <v>625</v>
      </c>
      <c r="AZ244" s="267">
        <f t="shared" si="227"/>
        <v>632</v>
      </c>
      <c r="BA244" s="267">
        <f t="shared" si="228"/>
        <v>610</v>
      </c>
      <c r="BB244" s="267">
        <f t="shared" si="229"/>
        <v>522</v>
      </c>
      <c r="BC244" s="267">
        <f t="shared" si="230"/>
        <v>520</v>
      </c>
      <c r="BD244" s="267">
        <f t="shared" si="231"/>
        <v>492</v>
      </c>
      <c r="BE244" s="267">
        <f t="shared" si="232"/>
        <v>467</v>
      </c>
      <c r="BF244" s="267">
        <f t="shared" si="233"/>
        <v>450</v>
      </c>
      <c r="BG244" s="269">
        <f>AY244*VLOOKUP($B244,'Major Cities &amp; Towns'!$A$28:$B$345,2,FALSE)</f>
        <v>625</v>
      </c>
      <c r="BH244" s="269">
        <f>AZ244*VLOOKUP($B244,'Major Cities &amp; Towns'!$A$28:$B$345,2,FALSE)</f>
        <v>632</v>
      </c>
      <c r="BI244" s="269">
        <f>BA244*VLOOKUP($B244,'Major Cities &amp; Towns'!$A$28:$B$345,2,FALSE)</f>
        <v>610</v>
      </c>
      <c r="BJ244" s="269">
        <f>BB244*VLOOKUP($B244,'Major Cities &amp; Towns'!$A$28:$B$345,2,FALSE)</f>
        <v>522</v>
      </c>
      <c r="BK244" s="269">
        <f>BC244*VLOOKUP($B244,'Major Cities &amp; Towns'!$A$28:$B$345,2,FALSE)</f>
        <v>520</v>
      </c>
      <c r="BL244" s="269">
        <f>BD244*VLOOKUP($B244,'Major Cities &amp; Towns'!$A$28:$B$345,2,FALSE)</f>
        <v>492</v>
      </c>
      <c r="BM244" s="269">
        <f>BE244*VLOOKUP($B244,'Major Cities &amp; Towns'!$A$28:$B$345,2,FALSE)</f>
        <v>467</v>
      </c>
      <c r="BN244" s="269">
        <f>BF244*VLOOKUP($B244,'Major Cities &amp; Towns'!$A$28:$B$345,2,FALSE)</f>
        <v>450</v>
      </c>
      <c r="BO244" s="270">
        <f t="shared" si="234"/>
        <v>625</v>
      </c>
      <c r="BP244" s="270">
        <f t="shared" si="235"/>
        <v>632</v>
      </c>
      <c r="BQ244" s="270">
        <f t="shared" si="236"/>
        <v>610</v>
      </c>
      <c r="BR244" s="270">
        <f t="shared" si="237"/>
        <v>522</v>
      </c>
      <c r="BS244" s="270">
        <f t="shared" si="238"/>
        <v>520</v>
      </c>
      <c r="BT244" s="270">
        <f t="shared" si="239"/>
        <v>492</v>
      </c>
      <c r="BU244" s="270">
        <f t="shared" si="240"/>
        <v>467</v>
      </c>
      <c r="BV244" s="270">
        <f t="shared" si="241"/>
        <v>450</v>
      </c>
      <c r="BW244" s="39">
        <f>VLOOKUP($A244,NetAdditions!$A$2:$H$336,6,FALSE)</f>
        <v>1361</v>
      </c>
      <c r="BX244" s="39">
        <f>VLOOKUP($A244,NetAdditions!$A$2:$H$336,7,FALSE)</f>
        <v>1429</v>
      </c>
      <c r="BY244" s="39">
        <f>IF((VLOOKUP($C244,NetAdditions!$A$2:$H$336,8,FALSE))="",(AVERAGE(VLOOKUP($C244,NetAdditions!$A$2:$H$336,5,FALSE),VLOOKUP($C244,NetAdditions!$A$2:$H$336,6,FALSE),VLOOKUP($C244,NetAdditions!$A$2:$H$336,7,FALSE))),VLOOKUP($C244,NetAdditions!$A$2:$H$336,8,FALSE))</f>
        <v>788</v>
      </c>
      <c r="BZ244" s="39">
        <f t="shared" si="242"/>
        <v>1192.6666666666667</v>
      </c>
      <c r="CA244" s="39">
        <f t="shared" si="243"/>
        <v>1136.5555555555557</v>
      </c>
      <c r="CB244" s="39">
        <f t="shared" si="244"/>
        <v>1039.0740740740741</v>
      </c>
      <c r="CC244" s="39">
        <f t="shared" si="245"/>
        <v>1122.7654320987656</v>
      </c>
      <c r="CD244" s="39">
        <f t="shared" si="246"/>
        <v>1099.4650205761318</v>
      </c>
      <c r="CE244" s="276">
        <f t="shared" si="203"/>
        <v>1867</v>
      </c>
      <c r="CF244" s="276">
        <f t="shared" si="204"/>
        <v>1764</v>
      </c>
      <c r="CG244" s="276">
        <f t="shared" si="205"/>
        <v>1652</v>
      </c>
      <c r="CH244" s="276">
        <f t="shared" si="206"/>
        <v>1534</v>
      </c>
      <c r="CI244" s="276">
        <f t="shared" si="207"/>
        <v>1479</v>
      </c>
      <c r="CJ244" s="276">
        <f t="shared" si="208"/>
        <v>1409</v>
      </c>
      <c r="CK244" s="276">
        <f t="shared" si="247"/>
        <v>1607.6944444444446</v>
      </c>
      <c r="CL244" s="276">
        <f t="shared" si="248"/>
        <v>1519</v>
      </c>
      <c r="CM244" s="276">
        <f t="shared" si="249"/>
        <v>1514.3333333333333</v>
      </c>
      <c r="CN244" s="276">
        <f t="shared" si="250"/>
        <v>1534</v>
      </c>
      <c r="CO244" s="276">
        <f t="shared" si="251"/>
        <v>1479</v>
      </c>
      <c r="CP244" s="276">
        <f t="shared" si="252"/>
        <v>1409</v>
      </c>
      <c r="CQ244" s="39">
        <f t="shared" si="209"/>
        <v>3578</v>
      </c>
      <c r="CR244" s="39">
        <f t="shared" si="210"/>
        <v>3409.666666666667</v>
      </c>
      <c r="CS244" s="277">
        <f t="shared" si="211"/>
        <v>3117.2222222222226</v>
      </c>
      <c r="CT244" s="39">
        <f t="shared" si="212"/>
        <v>3368.2962962962965</v>
      </c>
      <c r="CU244" s="39">
        <f t="shared" si="213"/>
        <v>3298.3950617283954</v>
      </c>
      <c r="CV244" s="39">
        <f t="shared" si="253"/>
        <v>3261.3045267489715</v>
      </c>
      <c r="CW244" s="297">
        <f t="shared" si="214"/>
        <v>2.2255472813034536</v>
      </c>
      <c r="CX244" s="279" t="str">
        <f t="shared" si="254"/>
        <v>Pass</v>
      </c>
      <c r="CY244" s="278">
        <f t="shared" si="215"/>
        <v>2.2446785165679177</v>
      </c>
      <c r="CZ244" s="279" t="str">
        <f t="shared" si="255"/>
        <v>Pass</v>
      </c>
      <c r="DA244" s="278">
        <f t="shared" si="216"/>
        <v>2.0584782449189234</v>
      </c>
      <c r="DB244" s="292" t="str">
        <f t="shared" si="256"/>
        <v>Pass</v>
      </c>
      <c r="DC244" s="299">
        <f t="shared" si="257"/>
        <v>2.1957602974552128</v>
      </c>
      <c r="DD244" s="293" t="str">
        <f t="shared" si="258"/>
        <v>Pass</v>
      </c>
      <c r="DE244" s="299">
        <f t="shared" si="259"/>
        <v>2.2301521715540198</v>
      </c>
      <c r="DF244" s="293" t="str">
        <f t="shared" si="260"/>
        <v>Pass</v>
      </c>
      <c r="DG244" s="299">
        <f t="shared" si="261"/>
        <v>2.3146235108225488</v>
      </c>
      <c r="DH244" s="293" t="str">
        <f t="shared" si="262"/>
        <v>Pass</v>
      </c>
    </row>
    <row r="245" spans="1:112" ht="15" thickTop="1" thickBot="1">
      <c r="A245" s="38" t="s">
        <v>600</v>
      </c>
      <c r="B245" s="38" t="s">
        <v>601</v>
      </c>
      <c r="C245" s="38" t="s">
        <v>600</v>
      </c>
      <c r="D245" s="38" t="s">
        <v>116</v>
      </c>
      <c r="E245" s="38" t="str">
        <f>VLOOKUP(C245,PoliticalControl!A:K,11,FALSE)</f>
        <v>NOC</v>
      </c>
      <c r="F245" s="38" t="str">
        <f>VLOOKUP(C245,UrbanRuralClassification!A:N,13,FALSE)</f>
        <v>Urban with City and Town</v>
      </c>
      <c r="G245" s="38" t="str">
        <f>VLOOKUP(C245,UrbanRuralClassification!A:N,14,FALSE)</f>
        <v>Predominantly Urban</v>
      </c>
      <c r="H245" s="258">
        <f>IF(ISBLANK((VLOOKUP($A245,'local-plan-data'!$C$1:$AD$566,27,FALSE)))=TRUE,"",VLOOKUP($A245,'local-plan-data'!$C$1:$AD$566,27,FALSE))</f>
        <v>41108</v>
      </c>
      <c r="I245" s="259">
        <f>VLOOKUP($A245,'local-plan-data'!$C$1:$AD$566,28,FALSE)</f>
        <v>417</v>
      </c>
      <c r="J245" s="260">
        <f t="shared" si="217"/>
        <v>417</v>
      </c>
      <c r="K245" s="259" t="str">
        <f t="shared" si="263"/>
        <v>-</v>
      </c>
      <c r="L245" s="259" t="str">
        <f t="shared" si="265"/>
        <v>-</v>
      </c>
      <c r="M245" s="259" t="str">
        <f t="shared" si="265"/>
        <v>-</v>
      </c>
      <c r="N245" s="259" t="str">
        <f t="shared" si="265"/>
        <v>-</v>
      </c>
      <c r="O245" s="259" t="str">
        <f t="shared" si="265"/>
        <v>-</v>
      </c>
      <c r="P245" s="259" t="str">
        <f t="shared" si="265"/>
        <v>-</v>
      </c>
      <c r="Q245" s="259" t="str">
        <f t="shared" si="265"/>
        <v>-</v>
      </c>
      <c r="R245" s="259" t="str">
        <f t="shared" si="265"/>
        <v>-</v>
      </c>
      <c r="S245" s="259">
        <f t="shared" si="264"/>
        <v>-257</v>
      </c>
      <c r="T245" s="259">
        <f t="shared" si="266"/>
        <v>-622</v>
      </c>
      <c r="U245" s="259">
        <f t="shared" si="266"/>
        <v>-988</v>
      </c>
      <c r="V245" s="259">
        <f t="shared" si="266"/>
        <v>-1353</v>
      </c>
      <c r="W245" s="259">
        <f t="shared" si="266"/>
        <v>-1718</v>
      </c>
      <c r="X245" s="259">
        <f t="shared" si="266"/>
        <v>-2083</v>
      </c>
      <c r="Y245" s="259">
        <f t="shared" si="266"/>
        <v>-2449</v>
      </c>
      <c r="Z245" s="259">
        <f t="shared" si="266"/>
        <v>-2814</v>
      </c>
      <c r="AA245" s="267">
        <f>(VLOOKUP(A245,Hshldprojections2014!$A$2:$AW$319,40, FALSE)-VLOOKUP(A245,Hshldprojections2014!$A$2:$AW$319,30, FALSE))/10</f>
        <v>184.5</v>
      </c>
      <c r="AB245" s="267">
        <f>(VLOOKUP(A245,Hshldprojections2014!$A$2:$AW$319,41, FALSE)-VLOOKUP(A245,Hshldprojections2014!$A$2:$AW$319,31, FALSE))/10</f>
        <v>177.9</v>
      </c>
      <c r="AC245" s="267">
        <f>(VLOOKUP(A245,Hshldprojections2014!$A$2:$AW$319,42, FALSE)-VLOOKUP(A245,Hshldprojections2014!$A$2:$AW$319,32, FALSE))/10</f>
        <v>171.7</v>
      </c>
      <c r="AD245" s="267">
        <f>IF(IndividualLATest!$J$7=2014,(VLOOKUP($A245,Hshldprojections2014!$A$2:$AY$326,43,FALSE)-VLOOKUP($A245,Hshldprojections2014!$A$2:$AY$326,33,FALSE))/10,IF(IndividualLATest!$J$7=2016,(VLOOKUP($A245,Hshldprojections2016!$A$1:$AQ$322,33,FALSE)-VLOOKUP($A245,Hshldprojections2016!$A$1:$AQ$322,23,FALSE))/10,(VLOOKUP($A245,Hshldprojections2018!$A$1:$AQ$327,33,FALSE)-VLOOKUP($A245,Hshldprojections2018!$A$1:$AQ$327,23,FALSE))/10))</f>
        <v>179.1</v>
      </c>
      <c r="AE245" s="267">
        <f>IF(IndividualLATest!$J$7=2014,(VLOOKUP($A245,Hshldprojections2014!$A$2:$AY$326,44,FALSE)-VLOOKUP($A245,Hshldprojections2014!$A$2:$AY$326,34,FALSE))/10,IF(IndividualLATest!$J$7=2016,(VLOOKUP($A245,Hshldprojections2016!$A$1:$AQ$322,34,FALSE)-VLOOKUP($A245,Hshldprojections2016!$A$1:$AQ$322,24,FALSE))/10,(VLOOKUP($A245,Hshldprojections2018!$A$1:$AQ$327,34,FALSE)-VLOOKUP($A245,Hshldprojections2018!$A$1:$AQ$327,24,FALSE))/10))</f>
        <v>174.3</v>
      </c>
      <c r="AF245" s="267">
        <f>IF(IndividualLATest!$J$7=2014,(VLOOKUP($A245,Hshldprojections2014!$A$2:$AY$326,45,FALSE)-VLOOKUP($A245,Hshldprojections2014!$A$2:$AY$326,35,FALSE))/10,IF(IndividualLATest!$J$7=2016,(VLOOKUP($A245,Hshldprojections2016!$A$1:$AQ$322,35,FALSE)-VLOOKUP($A245,Hshldprojections2016!$A$1:$AQ$322,25,FALSE))/10,(VLOOKUP($A245,Hshldprojections2018!$A$1:$AQ$327,35,FALSE)-VLOOKUP($A245,Hshldprojections2018!$A$1:$AQ$327,25,FALSE))/10))</f>
        <v>171.9</v>
      </c>
      <c r="AG245" s="267">
        <f>IF(IndividualLATest!$J$7=2014,(VLOOKUP($A245,Hshldprojections2014!$A$2:$AY$326,46,FALSE)-VLOOKUP($A245,Hshldprojections2014!$A$2:$AY$326,36,FALSE))/10,IF(IndividualLATest!$J$7=2016,(VLOOKUP($A245,Hshldprojections2016!$A$1:$AQ$322,36,FALSE)-VLOOKUP($A245,Hshldprojections2016!$A$1:$AQ$322,26,FALSE))/10,(VLOOKUP($A245,Hshldprojections2018!$A$1:$AQ$327,36,FALSE)-VLOOKUP($A245,Hshldprojections2018!$A$1:$AQ$327,26,FALSE))/10))</f>
        <v>169.6</v>
      </c>
      <c r="AH245" s="267">
        <f>IF(IndividualLATest!$J$7=2014,(VLOOKUP($A245,Hshldprojections2014!$A$2:$AY$326,47,FALSE)-VLOOKUP($A245,Hshldprojections2014!$A$2:$AY$326,37,FALSE))/10,IF(IndividualLATest!$J$7=2016,(VLOOKUP($A245,Hshldprojections2016!$A$1:$AQ$322,37,FALSE)-VLOOKUP($A245,Hshldprojections2016!$A$1:$AQ$322,27,FALSE))/10,(VLOOKUP($A245,Hshldprojections2018!$A$1:$AQ$327,37,FALSE)-VLOOKUP($A245,Hshldprojections2018!$A$1:$AQ$327,27,FALSE))/10))</f>
        <v>169.3</v>
      </c>
      <c r="AI245" s="268">
        <f>VLOOKUP($A245,AffordabilityRatio!$A$2:$I$321,5,FALSE)</f>
        <v>6.12</v>
      </c>
      <c r="AJ245" s="268">
        <f>VLOOKUP($A245,AffordabilityRatio!$A$2:$I$321,6,FALSE)</f>
        <v>6.58</v>
      </c>
      <c r="AK245" s="268">
        <f>VLOOKUP($A245,AffordabilityRatio!$A$2:$I$321,7,FALSE)</f>
        <v>5.77</v>
      </c>
      <c r="AL245" s="268">
        <f>IF((VLOOKUP($A245,AffordabilityRatio!$A$2:$I$321,8,FALSE))="",AK245,VLOOKUP($A245,AffordabilityRatio!$A$2:$I$321,8,FALSE))</f>
        <v>5.51</v>
      </c>
      <c r="AM245" s="268">
        <f>IF((VLOOKUP($A245,AffordabilityRatio!$A$2:$I$321,9,FALSE))="",AL245,VLOOKUP($A245,AffordabilityRatio!$A$2:$I$321,9,FALSE))</f>
        <v>5.98</v>
      </c>
      <c r="AN245" s="268">
        <f>IF((VLOOKUP($A245,AffordabilityRatio!$A$2:$I$321,9,FALSE))="",AM245,VLOOKUP($A245,AffordabilityRatio!$A$2:$I$321,9,FALSE))</f>
        <v>5.98</v>
      </c>
      <c r="AO245" s="268">
        <f>IF((VLOOKUP($A245,AffordabilityRatio!$A$2:$I$321,9,FALSE))="",AN245,VLOOKUP($A245,AffordabilityRatio!$A$2:$I$321,9,FALSE))</f>
        <v>5.98</v>
      </c>
      <c r="AP245" s="268">
        <f>IF((VLOOKUP($A245,AffordabilityRatio!$A$2:$I$321,9,FALSE))="",AO245,VLOOKUP($A245,AffordabilityRatio!$A$2:$I$321,9,FALSE))</f>
        <v>5.98</v>
      </c>
      <c r="AQ245" s="267">
        <f t="shared" si="218"/>
        <v>209</v>
      </c>
      <c r="AR245" s="267">
        <f t="shared" si="219"/>
        <v>207</v>
      </c>
      <c r="AS245" s="267">
        <f t="shared" si="220"/>
        <v>191</v>
      </c>
      <c r="AT245" s="267">
        <f t="shared" si="221"/>
        <v>196</v>
      </c>
      <c r="AU245" s="267">
        <f t="shared" si="222"/>
        <v>196</v>
      </c>
      <c r="AV245" s="267">
        <f t="shared" si="223"/>
        <v>193</v>
      </c>
      <c r="AW245" s="267">
        <f t="shared" si="224"/>
        <v>191</v>
      </c>
      <c r="AX245" s="267">
        <f t="shared" si="225"/>
        <v>190</v>
      </c>
      <c r="AY245" s="267">
        <f t="shared" si="226"/>
        <v>209</v>
      </c>
      <c r="AZ245" s="267">
        <f t="shared" si="227"/>
        <v>207</v>
      </c>
      <c r="BA245" s="267">
        <f t="shared" si="228"/>
        <v>191</v>
      </c>
      <c r="BB245" s="267">
        <f t="shared" si="229"/>
        <v>196</v>
      </c>
      <c r="BC245" s="267">
        <f t="shared" si="230"/>
        <v>196</v>
      </c>
      <c r="BD245" s="267">
        <f t="shared" si="231"/>
        <v>193</v>
      </c>
      <c r="BE245" s="267">
        <f t="shared" si="232"/>
        <v>191</v>
      </c>
      <c r="BF245" s="267">
        <f t="shared" si="233"/>
        <v>190</v>
      </c>
      <c r="BG245" s="269">
        <f>AY245*VLOOKUP($B245,'Major Cities &amp; Towns'!$A$28:$B$345,2,FALSE)</f>
        <v>209</v>
      </c>
      <c r="BH245" s="269">
        <f>AZ245*VLOOKUP($B245,'Major Cities &amp; Towns'!$A$28:$B$345,2,FALSE)</f>
        <v>207</v>
      </c>
      <c r="BI245" s="269">
        <f>BA245*VLOOKUP($B245,'Major Cities &amp; Towns'!$A$28:$B$345,2,FALSE)</f>
        <v>191</v>
      </c>
      <c r="BJ245" s="269">
        <f>BB245*VLOOKUP($B245,'Major Cities &amp; Towns'!$A$28:$B$345,2,FALSE)</f>
        <v>196</v>
      </c>
      <c r="BK245" s="269">
        <f>BC245*VLOOKUP($B245,'Major Cities &amp; Towns'!$A$28:$B$345,2,FALSE)</f>
        <v>196</v>
      </c>
      <c r="BL245" s="269">
        <f>BD245*VLOOKUP($B245,'Major Cities &amp; Towns'!$A$28:$B$345,2,FALSE)</f>
        <v>193</v>
      </c>
      <c r="BM245" s="269">
        <f>BE245*VLOOKUP($B245,'Major Cities &amp; Towns'!$A$28:$B$345,2,FALSE)</f>
        <v>191</v>
      </c>
      <c r="BN245" s="269">
        <f>BF245*VLOOKUP($B245,'Major Cities &amp; Towns'!$A$28:$B$345,2,FALSE)</f>
        <v>190</v>
      </c>
      <c r="BO245" s="270">
        <f t="shared" si="234"/>
        <v>209</v>
      </c>
      <c r="BP245" s="270">
        <f t="shared" si="235"/>
        <v>207</v>
      </c>
      <c r="BQ245" s="270">
        <f t="shared" si="236"/>
        <v>191</v>
      </c>
      <c r="BR245" s="270">
        <f t="shared" si="237"/>
        <v>196</v>
      </c>
      <c r="BS245" s="270">
        <f t="shared" si="238"/>
        <v>196</v>
      </c>
      <c r="BT245" s="270">
        <f t="shared" si="239"/>
        <v>193</v>
      </c>
      <c r="BU245" s="270">
        <f t="shared" si="240"/>
        <v>191</v>
      </c>
      <c r="BV245" s="270">
        <f t="shared" si="241"/>
        <v>190</v>
      </c>
      <c r="BW245" s="39">
        <f>VLOOKUP($A245,NetAdditions!$A$2:$H$336,6,FALSE)</f>
        <v>437</v>
      </c>
      <c r="BX245" s="39">
        <f>VLOOKUP($A245,NetAdditions!$A$2:$H$336,7,FALSE)</f>
        <v>412</v>
      </c>
      <c r="BY245" s="39">
        <f>IF((VLOOKUP($C245,NetAdditions!$A$2:$H$336,8,FALSE))="",(AVERAGE(VLOOKUP($C245,NetAdditions!$A$2:$H$336,5,FALSE),VLOOKUP($C245,NetAdditions!$A$2:$H$336,6,FALSE),VLOOKUP($C245,NetAdditions!$A$2:$H$336,7,FALSE))),VLOOKUP($C245,NetAdditions!$A$2:$H$336,8,FALSE))</f>
        <v>424</v>
      </c>
      <c r="BZ245" s="39">
        <f t="shared" si="242"/>
        <v>424.33333333333331</v>
      </c>
      <c r="CA245" s="39">
        <f t="shared" si="243"/>
        <v>420.11111111111109</v>
      </c>
      <c r="CB245" s="39">
        <f t="shared" si="244"/>
        <v>422.81481481481478</v>
      </c>
      <c r="CC245" s="39">
        <f t="shared" si="245"/>
        <v>422.41975308641969</v>
      </c>
      <c r="CD245" s="39">
        <f t="shared" si="246"/>
        <v>421.78189300411515</v>
      </c>
      <c r="CE245" s="276">
        <f t="shared" si="203"/>
        <v>607</v>
      </c>
      <c r="CF245" s="276">
        <f t="shared" si="204"/>
        <v>594</v>
      </c>
      <c r="CG245" s="276">
        <f t="shared" si="205"/>
        <v>583</v>
      </c>
      <c r="CH245" s="276">
        <f t="shared" si="206"/>
        <v>585</v>
      </c>
      <c r="CI245" s="276">
        <f t="shared" si="207"/>
        <v>580</v>
      </c>
      <c r="CJ245" s="276">
        <f t="shared" si="208"/>
        <v>574</v>
      </c>
      <c r="CK245" s="276">
        <f t="shared" si="247"/>
        <v>522.69444444444446</v>
      </c>
      <c r="CL245" s="276">
        <f t="shared" si="248"/>
        <v>511.50000000000006</v>
      </c>
      <c r="CM245" s="276">
        <f t="shared" si="249"/>
        <v>534.41666666666663</v>
      </c>
      <c r="CN245" s="276">
        <f t="shared" si="250"/>
        <v>585</v>
      </c>
      <c r="CO245" s="276">
        <f t="shared" si="251"/>
        <v>580</v>
      </c>
      <c r="CP245" s="276">
        <f t="shared" si="252"/>
        <v>574</v>
      </c>
      <c r="CQ245" s="39">
        <f t="shared" si="209"/>
        <v>1273</v>
      </c>
      <c r="CR245" s="39">
        <f t="shared" si="210"/>
        <v>1260.3333333333333</v>
      </c>
      <c r="CS245" s="277">
        <f t="shared" si="211"/>
        <v>1268.4444444444443</v>
      </c>
      <c r="CT245" s="39">
        <f t="shared" si="212"/>
        <v>1267.2592592592591</v>
      </c>
      <c r="CU245" s="39">
        <f t="shared" si="213"/>
        <v>1265.3456790123455</v>
      </c>
      <c r="CV245" s="39">
        <f t="shared" si="253"/>
        <v>1267.0164609053495</v>
      </c>
      <c r="CW245" s="297">
        <f t="shared" si="214"/>
        <v>2.4354572992506776</v>
      </c>
      <c r="CX245" s="279" t="str">
        <f t="shared" si="254"/>
        <v>Pass</v>
      </c>
      <c r="CY245" s="278">
        <f t="shared" si="215"/>
        <v>2.4639947865754315</v>
      </c>
      <c r="CZ245" s="279" t="str">
        <f t="shared" si="255"/>
        <v>Pass</v>
      </c>
      <c r="DA245" s="278">
        <f t="shared" si="216"/>
        <v>2.3735121368054473</v>
      </c>
      <c r="DB245" s="292" t="str">
        <f t="shared" si="256"/>
        <v>Pass</v>
      </c>
      <c r="DC245" s="299">
        <f t="shared" si="257"/>
        <v>2.1662551440329216</v>
      </c>
      <c r="DD245" s="293" t="str">
        <f t="shared" si="258"/>
        <v>Pass</v>
      </c>
      <c r="DE245" s="299">
        <f t="shared" si="259"/>
        <v>2.1816304810557683</v>
      </c>
      <c r="DF245" s="293" t="str">
        <f t="shared" si="260"/>
        <v>Pass</v>
      </c>
      <c r="DG245" s="299">
        <f t="shared" si="261"/>
        <v>2.207345750706184</v>
      </c>
      <c r="DH245" s="293" t="str">
        <f t="shared" si="262"/>
        <v>Pass</v>
      </c>
    </row>
    <row r="246" spans="1:112" ht="15" thickTop="1" thickBot="1">
      <c r="A246" s="38" t="s">
        <v>602</v>
      </c>
      <c r="B246" s="38" t="s">
        <v>603</v>
      </c>
      <c r="C246" s="38" t="s">
        <v>602</v>
      </c>
      <c r="D246" s="38" t="s">
        <v>147</v>
      </c>
      <c r="E246" s="38" t="str">
        <f>VLOOKUP(C246,PoliticalControl!A:K,11,FALSE)</f>
        <v>LD</v>
      </c>
      <c r="F246" s="38" t="str">
        <f>VLOOKUP(C246,UrbanRuralClassification!A:N,13,FALSE)</f>
        <v xml:space="preserve">Largely Rural (rural including hub towns 50-79%) </v>
      </c>
      <c r="G246" s="38" t="str">
        <f>VLOOKUP(C246,UrbanRuralClassification!A:N,14,FALSE)</f>
        <v>Predominantly Rural</v>
      </c>
      <c r="H246" s="258">
        <f>IF(ISBLANK((VLOOKUP($A246,'local-plan-data'!$C$1:$AD$566,27,FALSE)))=TRUE,"",VLOOKUP($A246,'local-plan-data'!$C$1:$AD$566,27,FALSE))</f>
        <v>42068</v>
      </c>
      <c r="I246" s="259">
        <f>VLOOKUP($A246,'local-plan-data'!$C$1:$AD$566,28,FALSE)</f>
        <v>725</v>
      </c>
      <c r="J246" s="260">
        <f t="shared" si="217"/>
        <v>725</v>
      </c>
      <c r="K246" s="259">
        <f t="shared" si="263"/>
        <v>725</v>
      </c>
      <c r="L246" s="259">
        <f t="shared" si="265"/>
        <v>725</v>
      </c>
      <c r="M246" s="259" t="str">
        <f t="shared" si="265"/>
        <v>-</v>
      </c>
      <c r="N246" s="259" t="str">
        <f t="shared" si="265"/>
        <v>-</v>
      </c>
      <c r="O246" s="259" t="str">
        <f t="shared" si="265"/>
        <v>-</v>
      </c>
      <c r="P246" s="259" t="str">
        <f t="shared" si="265"/>
        <v>-</v>
      </c>
      <c r="Q246" s="259" t="str">
        <f t="shared" si="265"/>
        <v>-</v>
      </c>
      <c r="R246" s="259" t="str">
        <f t="shared" si="265"/>
        <v>-</v>
      </c>
      <c r="S246" s="259">
        <f t="shared" si="264"/>
        <v>704</v>
      </c>
      <c r="T246" s="259">
        <f t="shared" si="266"/>
        <v>339</v>
      </c>
      <c r="U246" s="259">
        <f t="shared" si="266"/>
        <v>-27</v>
      </c>
      <c r="V246" s="259">
        <f t="shared" si="266"/>
        <v>-392</v>
      </c>
      <c r="W246" s="259">
        <f t="shared" si="266"/>
        <v>-757</v>
      </c>
      <c r="X246" s="259">
        <f t="shared" si="266"/>
        <v>-1122</v>
      </c>
      <c r="Y246" s="259">
        <f t="shared" si="266"/>
        <v>-1488</v>
      </c>
      <c r="Z246" s="259">
        <f t="shared" si="266"/>
        <v>-1853</v>
      </c>
      <c r="AA246" s="267">
        <f>(VLOOKUP(A246,Hshldprojections2014!$A$2:$AW$319,40, FALSE)-VLOOKUP(A246,Hshldprojections2014!$A$2:$AW$319,30, FALSE))/10</f>
        <v>575.79999999999995</v>
      </c>
      <c r="AB246" s="267">
        <f>(VLOOKUP(A246,Hshldprojections2014!$A$2:$AW$319,41, FALSE)-VLOOKUP(A246,Hshldprojections2014!$A$2:$AW$319,31, FALSE))/10</f>
        <v>567.5</v>
      </c>
      <c r="AC246" s="267">
        <f>(VLOOKUP(A246,Hshldprojections2014!$A$2:$AW$319,42, FALSE)-VLOOKUP(A246,Hshldprojections2014!$A$2:$AW$319,32, FALSE))/10</f>
        <v>560.5</v>
      </c>
      <c r="AD246" s="267">
        <f>IF(IndividualLATest!$J$7=2014,(VLOOKUP($A246,Hshldprojections2014!$A$2:$AY$326,43,FALSE)-VLOOKUP($A246,Hshldprojections2014!$A$2:$AY$326,33,FALSE))/10,IF(IndividualLATest!$J$7=2016,(VLOOKUP($A246,Hshldprojections2016!$A$1:$AQ$322,33,FALSE)-VLOOKUP($A246,Hshldprojections2016!$A$1:$AQ$322,23,FALSE))/10,(VLOOKUP($A246,Hshldprojections2018!$A$1:$AQ$327,33,FALSE)-VLOOKUP($A246,Hshldprojections2018!$A$1:$AQ$327,23,FALSE))/10))</f>
        <v>483.3</v>
      </c>
      <c r="AE246" s="267">
        <f>IF(IndividualLATest!$J$7=2014,(VLOOKUP($A246,Hshldprojections2014!$A$2:$AY$326,44,FALSE)-VLOOKUP($A246,Hshldprojections2014!$A$2:$AY$326,34,FALSE))/10,IF(IndividualLATest!$J$7=2016,(VLOOKUP($A246,Hshldprojections2016!$A$1:$AQ$322,34,FALSE)-VLOOKUP($A246,Hshldprojections2016!$A$1:$AQ$322,24,FALSE))/10,(VLOOKUP($A246,Hshldprojections2018!$A$1:$AQ$327,34,FALSE)-VLOOKUP($A246,Hshldprojections2018!$A$1:$AQ$327,24,FALSE))/10))</f>
        <v>471.2</v>
      </c>
      <c r="AF246" s="267">
        <f>IF(IndividualLATest!$J$7=2014,(VLOOKUP($A246,Hshldprojections2014!$A$2:$AY$326,45,FALSE)-VLOOKUP($A246,Hshldprojections2014!$A$2:$AY$326,35,FALSE))/10,IF(IndividualLATest!$J$7=2016,(VLOOKUP($A246,Hshldprojections2016!$A$1:$AQ$322,35,FALSE)-VLOOKUP($A246,Hshldprojections2016!$A$1:$AQ$322,25,FALSE))/10,(VLOOKUP($A246,Hshldprojections2018!$A$1:$AQ$327,35,FALSE)-VLOOKUP($A246,Hshldprojections2018!$A$1:$AQ$327,25,FALSE))/10))</f>
        <v>460.7</v>
      </c>
      <c r="AG246" s="267">
        <f>IF(IndividualLATest!$J$7=2014,(VLOOKUP($A246,Hshldprojections2014!$A$2:$AY$326,46,FALSE)-VLOOKUP($A246,Hshldprojections2014!$A$2:$AY$326,36,FALSE))/10,IF(IndividualLATest!$J$7=2016,(VLOOKUP($A246,Hshldprojections2016!$A$1:$AQ$322,36,FALSE)-VLOOKUP($A246,Hshldprojections2016!$A$1:$AQ$322,26,FALSE))/10,(VLOOKUP($A246,Hshldprojections2018!$A$1:$AQ$327,36,FALSE)-VLOOKUP($A246,Hshldprojections2018!$A$1:$AQ$327,26,FALSE))/10))</f>
        <v>451</v>
      </c>
      <c r="AH246" s="267">
        <f>IF(IndividualLATest!$J$7=2014,(VLOOKUP($A246,Hshldprojections2014!$A$2:$AY$326,47,FALSE)-VLOOKUP($A246,Hshldprojections2014!$A$2:$AY$326,37,FALSE))/10,IF(IndividualLATest!$J$7=2016,(VLOOKUP($A246,Hshldprojections2016!$A$1:$AQ$322,37,FALSE)-VLOOKUP($A246,Hshldprojections2016!$A$1:$AQ$322,27,FALSE))/10,(VLOOKUP($A246,Hshldprojections2018!$A$1:$AQ$327,37,FALSE)-VLOOKUP($A246,Hshldprojections2018!$A$1:$AQ$327,27,FALSE))/10))</f>
        <v>439.6</v>
      </c>
      <c r="AI246" s="268">
        <f>VLOOKUP($A246,AffordabilityRatio!$A$2:$I$321,5,FALSE)</f>
        <v>8.19</v>
      </c>
      <c r="AJ246" s="268">
        <f>VLOOKUP($A246,AffordabilityRatio!$A$2:$I$321,6,FALSE)</f>
        <v>8.19</v>
      </c>
      <c r="AK246" s="268">
        <f>VLOOKUP($A246,AffordabilityRatio!$A$2:$I$321,7,FALSE)</f>
        <v>7.57</v>
      </c>
      <c r="AL246" s="268">
        <f>IF((VLOOKUP($A246,AffordabilityRatio!$A$2:$I$321,8,FALSE))="",AK246,VLOOKUP($A246,AffordabilityRatio!$A$2:$I$321,8,FALSE))</f>
        <v>7.51</v>
      </c>
      <c r="AM246" s="268">
        <f>IF((VLOOKUP($A246,AffordabilityRatio!$A$2:$I$321,9,FALSE))="",AL246,VLOOKUP($A246,AffordabilityRatio!$A$2:$I$321,9,FALSE))</f>
        <v>8.8000000000000007</v>
      </c>
      <c r="AN246" s="268">
        <f>IF((VLOOKUP($A246,AffordabilityRatio!$A$2:$I$321,9,FALSE))="",AM246,VLOOKUP($A246,AffordabilityRatio!$A$2:$I$321,9,FALSE))</f>
        <v>8.8000000000000007</v>
      </c>
      <c r="AO246" s="268">
        <f>IF((VLOOKUP($A246,AffordabilityRatio!$A$2:$I$321,9,FALSE))="",AN246,VLOOKUP($A246,AffordabilityRatio!$A$2:$I$321,9,FALSE))</f>
        <v>8.8000000000000007</v>
      </c>
      <c r="AP246" s="268">
        <f>IF((VLOOKUP($A246,AffordabilityRatio!$A$2:$I$321,9,FALSE))="",AO246,VLOOKUP($A246,AffordabilityRatio!$A$2:$I$321,9,FALSE))</f>
        <v>8.8000000000000007</v>
      </c>
      <c r="AQ246" s="267">
        <f t="shared" si="218"/>
        <v>727</v>
      </c>
      <c r="AR246" s="267">
        <f t="shared" si="219"/>
        <v>716</v>
      </c>
      <c r="AS246" s="267">
        <f t="shared" si="220"/>
        <v>686</v>
      </c>
      <c r="AT246" s="267">
        <f t="shared" si="221"/>
        <v>589</v>
      </c>
      <c r="AU246" s="267">
        <f t="shared" si="222"/>
        <v>613</v>
      </c>
      <c r="AV246" s="267">
        <f t="shared" si="223"/>
        <v>599</v>
      </c>
      <c r="AW246" s="267">
        <f t="shared" si="224"/>
        <v>586</v>
      </c>
      <c r="AX246" s="267">
        <f t="shared" si="225"/>
        <v>571</v>
      </c>
      <c r="AY246" s="267">
        <f t="shared" si="226"/>
        <v>727</v>
      </c>
      <c r="AZ246" s="267">
        <f t="shared" si="227"/>
        <v>716</v>
      </c>
      <c r="BA246" s="267">
        <f t="shared" si="228"/>
        <v>686</v>
      </c>
      <c r="BB246" s="267">
        <f t="shared" si="229"/>
        <v>589</v>
      </c>
      <c r="BC246" s="267">
        <f t="shared" si="230"/>
        <v>613</v>
      </c>
      <c r="BD246" s="267">
        <f t="shared" si="231"/>
        <v>599</v>
      </c>
      <c r="BE246" s="267">
        <f t="shared" si="232"/>
        <v>586</v>
      </c>
      <c r="BF246" s="267">
        <f t="shared" si="233"/>
        <v>571</v>
      </c>
      <c r="BG246" s="269">
        <f>AY246*VLOOKUP($B246,'Major Cities &amp; Towns'!$A$28:$B$345,2,FALSE)</f>
        <v>727</v>
      </c>
      <c r="BH246" s="269">
        <f>AZ246*VLOOKUP($B246,'Major Cities &amp; Towns'!$A$28:$B$345,2,FALSE)</f>
        <v>716</v>
      </c>
      <c r="BI246" s="269">
        <f>BA246*VLOOKUP($B246,'Major Cities &amp; Towns'!$A$28:$B$345,2,FALSE)</f>
        <v>686</v>
      </c>
      <c r="BJ246" s="269">
        <f>BB246*VLOOKUP($B246,'Major Cities &amp; Towns'!$A$28:$B$345,2,FALSE)</f>
        <v>589</v>
      </c>
      <c r="BK246" s="269">
        <f>BC246*VLOOKUP($B246,'Major Cities &amp; Towns'!$A$28:$B$345,2,FALSE)</f>
        <v>613</v>
      </c>
      <c r="BL246" s="269">
        <f>BD246*VLOOKUP($B246,'Major Cities &amp; Towns'!$A$28:$B$345,2,FALSE)</f>
        <v>599</v>
      </c>
      <c r="BM246" s="269">
        <f>BE246*VLOOKUP($B246,'Major Cities &amp; Towns'!$A$28:$B$345,2,FALSE)</f>
        <v>586</v>
      </c>
      <c r="BN246" s="269">
        <f>BF246*VLOOKUP($B246,'Major Cities &amp; Towns'!$A$28:$B$345,2,FALSE)</f>
        <v>571</v>
      </c>
      <c r="BO246" s="270">
        <f t="shared" si="234"/>
        <v>725</v>
      </c>
      <c r="BP246" s="270">
        <f t="shared" si="235"/>
        <v>715.99999999999989</v>
      </c>
      <c r="BQ246" s="270">
        <f t="shared" si="236"/>
        <v>686</v>
      </c>
      <c r="BR246" s="270">
        <f t="shared" si="237"/>
        <v>589</v>
      </c>
      <c r="BS246" s="270">
        <f t="shared" si="238"/>
        <v>613</v>
      </c>
      <c r="BT246" s="270">
        <f t="shared" si="239"/>
        <v>599</v>
      </c>
      <c r="BU246" s="270">
        <f t="shared" si="240"/>
        <v>586</v>
      </c>
      <c r="BV246" s="270">
        <f t="shared" si="241"/>
        <v>571</v>
      </c>
      <c r="BW246" s="39">
        <f>VLOOKUP($A246,NetAdditions!$A$2:$H$336,6,FALSE)</f>
        <v>650</v>
      </c>
      <c r="BX246" s="39">
        <f>VLOOKUP($A246,NetAdditions!$A$2:$H$336,7,FALSE)</f>
        <v>659</v>
      </c>
      <c r="BY246" s="39">
        <f>IF((VLOOKUP($C246,NetAdditions!$A$2:$H$336,8,FALSE))="",(AVERAGE(VLOOKUP($C246,NetAdditions!$A$2:$H$336,5,FALSE),VLOOKUP($C246,NetAdditions!$A$2:$H$336,6,FALSE),VLOOKUP($C246,NetAdditions!$A$2:$H$336,7,FALSE))),VLOOKUP($C246,NetAdditions!$A$2:$H$336,8,FALSE))</f>
        <v>1093</v>
      </c>
      <c r="BZ246" s="39">
        <f t="shared" si="242"/>
        <v>800.66666666666663</v>
      </c>
      <c r="CA246" s="39">
        <f t="shared" si="243"/>
        <v>850.8888888888888</v>
      </c>
      <c r="CB246" s="39">
        <f t="shared" si="244"/>
        <v>914.85185185185173</v>
      </c>
      <c r="CC246" s="39">
        <f t="shared" si="245"/>
        <v>855.46913580246894</v>
      </c>
      <c r="CD246" s="39">
        <f t="shared" si="246"/>
        <v>873.73662551440304</v>
      </c>
      <c r="CE246" s="276">
        <f t="shared" si="203"/>
        <v>2127</v>
      </c>
      <c r="CF246" s="276">
        <f t="shared" si="204"/>
        <v>1991</v>
      </c>
      <c r="CG246" s="276">
        <f t="shared" si="205"/>
        <v>1888</v>
      </c>
      <c r="CH246" s="276">
        <f t="shared" si="206"/>
        <v>1801</v>
      </c>
      <c r="CI246" s="276">
        <f t="shared" si="207"/>
        <v>1798</v>
      </c>
      <c r="CJ246" s="276">
        <f t="shared" si="208"/>
        <v>1756</v>
      </c>
      <c r="CK246" s="276">
        <f t="shared" si="247"/>
        <v>1831.5833333333335</v>
      </c>
      <c r="CL246" s="276">
        <f t="shared" si="248"/>
        <v>1714.4722222222224</v>
      </c>
      <c r="CM246" s="276">
        <f t="shared" si="249"/>
        <v>1730.6666666666665</v>
      </c>
      <c r="CN246" s="276">
        <f t="shared" si="250"/>
        <v>1801</v>
      </c>
      <c r="CO246" s="276">
        <f t="shared" si="251"/>
        <v>1798</v>
      </c>
      <c r="CP246" s="276">
        <f t="shared" si="252"/>
        <v>1756</v>
      </c>
      <c r="CQ246" s="39">
        <f t="shared" si="209"/>
        <v>2402</v>
      </c>
      <c r="CR246" s="39">
        <f t="shared" si="210"/>
        <v>2552.6666666666665</v>
      </c>
      <c r="CS246" s="277">
        <f t="shared" si="211"/>
        <v>2744.5555555555552</v>
      </c>
      <c r="CT246" s="39">
        <f t="shared" si="212"/>
        <v>2566.4074074074069</v>
      </c>
      <c r="CU246" s="39">
        <f t="shared" si="213"/>
        <v>2621.2098765432092</v>
      </c>
      <c r="CV246" s="39">
        <f t="shared" si="253"/>
        <v>2644.0576131687235</v>
      </c>
      <c r="CW246" s="297">
        <f t="shared" si="214"/>
        <v>1.3114336412029663</v>
      </c>
      <c r="CX246" s="279" t="str">
        <f t="shared" si="254"/>
        <v>Pass</v>
      </c>
      <c r="CY246" s="278">
        <f t="shared" si="215"/>
        <v>1.4888935694496199</v>
      </c>
      <c r="CZ246" s="279" t="str">
        <f t="shared" si="255"/>
        <v>Pass</v>
      </c>
      <c r="DA246" s="278">
        <f t="shared" si="216"/>
        <v>1.5858371854134565</v>
      </c>
      <c r="DB246" s="292" t="str">
        <f t="shared" si="256"/>
        <v>Pass</v>
      </c>
      <c r="DC246" s="299">
        <f t="shared" si="257"/>
        <v>1.424990231764246</v>
      </c>
      <c r="DD246" s="293" t="str">
        <f t="shared" si="258"/>
        <v>Pass</v>
      </c>
      <c r="DE246" s="299">
        <f t="shared" si="259"/>
        <v>1.4578475397904389</v>
      </c>
      <c r="DF246" s="293" t="str">
        <f t="shared" si="260"/>
        <v>Pass</v>
      </c>
      <c r="DG246" s="299">
        <f t="shared" si="261"/>
        <v>1.5057275701416422</v>
      </c>
      <c r="DH246" s="293" t="str">
        <f t="shared" si="262"/>
        <v>Pass</v>
      </c>
    </row>
    <row r="247" spans="1:112" ht="15" thickTop="1" thickBot="1">
      <c r="A247" s="38" t="s">
        <v>604</v>
      </c>
      <c r="B247" s="38" t="s">
        <v>605</v>
      </c>
      <c r="C247" s="38" t="s">
        <v>604</v>
      </c>
      <c r="D247" s="38" t="s">
        <v>154</v>
      </c>
      <c r="E247" s="38" t="str">
        <f>VLOOKUP(C247,PoliticalControl!A:K,11,FALSE)</f>
        <v>CON</v>
      </c>
      <c r="F247" s="38" t="str">
        <f>VLOOKUP(C247,UrbanRuralClassification!A:N,13,FALSE)</f>
        <v>Urban with Significant Rural (rural including hub towns 26-49%)</v>
      </c>
      <c r="G247" s="38" t="str">
        <f>VLOOKUP(C247,UrbanRuralClassification!A:N,14,FALSE)</f>
        <v>Urban with Significant Rural</v>
      </c>
      <c r="H247" s="258">
        <f>IF(ISBLANK((VLOOKUP($A247,'local-plan-data'!$C$1:$AD$566,27,FALSE)))=TRUE,"",VLOOKUP($A247,'local-plan-data'!$C$1:$AD$566,27,FALSE))</f>
        <v>41254</v>
      </c>
      <c r="I247" s="259">
        <f>VLOOKUP($A247,'local-plan-data'!$C$1:$AD$566,28,FALSE)</f>
        <v>175</v>
      </c>
      <c r="J247" s="260">
        <f t="shared" si="217"/>
        <v>175</v>
      </c>
      <c r="K247" s="259" t="str">
        <f t="shared" si="263"/>
        <v>-</v>
      </c>
      <c r="L247" s="259" t="str">
        <f t="shared" si="265"/>
        <v>-</v>
      </c>
      <c r="M247" s="259" t="str">
        <f t="shared" si="265"/>
        <v>-</v>
      </c>
      <c r="N247" s="259" t="str">
        <f t="shared" si="265"/>
        <v>-</v>
      </c>
      <c r="O247" s="259" t="str">
        <f t="shared" si="265"/>
        <v>-</v>
      </c>
      <c r="P247" s="259" t="str">
        <f t="shared" si="265"/>
        <v>-</v>
      </c>
      <c r="Q247" s="259" t="str">
        <f t="shared" si="265"/>
        <v>-</v>
      </c>
      <c r="R247" s="259" t="str">
        <f t="shared" si="265"/>
        <v>-</v>
      </c>
      <c r="S247" s="259">
        <f t="shared" si="264"/>
        <v>-111</v>
      </c>
      <c r="T247" s="259">
        <f t="shared" si="266"/>
        <v>-476</v>
      </c>
      <c r="U247" s="259">
        <f t="shared" si="266"/>
        <v>-842</v>
      </c>
      <c r="V247" s="259">
        <f t="shared" si="266"/>
        <v>-1207</v>
      </c>
      <c r="W247" s="259">
        <f t="shared" si="266"/>
        <v>-1572</v>
      </c>
      <c r="X247" s="259">
        <f t="shared" si="266"/>
        <v>-1937</v>
      </c>
      <c r="Y247" s="259">
        <f t="shared" si="266"/>
        <v>-2303</v>
      </c>
      <c r="Z247" s="259">
        <f t="shared" si="266"/>
        <v>-2668</v>
      </c>
      <c r="AA247" s="267">
        <f>(VLOOKUP(A247,Hshldprojections2014!$A$2:$AW$319,40, FALSE)-VLOOKUP(A247,Hshldprojections2014!$A$2:$AW$319,30, FALSE))/10</f>
        <v>219</v>
      </c>
      <c r="AB247" s="267">
        <f>(VLOOKUP(A247,Hshldprojections2014!$A$2:$AW$319,41, FALSE)-VLOOKUP(A247,Hshldprojections2014!$A$2:$AW$319,31, FALSE))/10</f>
        <v>209.3</v>
      </c>
      <c r="AC247" s="267">
        <f>(VLOOKUP(A247,Hshldprojections2014!$A$2:$AW$319,42, FALSE)-VLOOKUP(A247,Hshldprojections2014!$A$2:$AW$319,32, FALSE))/10</f>
        <v>201.2</v>
      </c>
      <c r="AD247" s="267">
        <f>IF(IndividualLATest!$J$7=2014,(VLOOKUP($A247,Hshldprojections2014!$A$2:$AY$326,43,FALSE)-VLOOKUP($A247,Hshldprojections2014!$A$2:$AY$326,33,FALSE))/10,IF(IndividualLATest!$J$7=2016,(VLOOKUP($A247,Hshldprojections2016!$A$1:$AQ$322,33,FALSE)-VLOOKUP($A247,Hshldprojections2016!$A$1:$AQ$322,23,FALSE))/10,(VLOOKUP($A247,Hshldprojections2018!$A$1:$AQ$327,33,FALSE)-VLOOKUP($A247,Hshldprojections2018!$A$1:$AQ$327,23,FALSE))/10))</f>
        <v>204.2</v>
      </c>
      <c r="AE247" s="267">
        <f>IF(IndividualLATest!$J$7=2014,(VLOOKUP($A247,Hshldprojections2014!$A$2:$AY$326,44,FALSE)-VLOOKUP($A247,Hshldprojections2014!$A$2:$AY$326,34,FALSE))/10,IF(IndividualLATest!$J$7=2016,(VLOOKUP($A247,Hshldprojections2016!$A$1:$AQ$322,34,FALSE)-VLOOKUP($A247,Hshldprojections2016!$A$1:$AQ$322,24,FALSE))/10,(VLOOKUP($A247,Hshldprojections2018!$A$1:$AQ$327,34,FALSE)-VLOOKUP($A247,Hshldprojections2018!$A$1:$AQ$327,24,FALSE))/10))</f>
        <v>200.1</v>
      </c>
      <c r="AF247" s="267">
        <f>IF(IndividualLATest!$J$7=2014,(VLOOKUP($A247,Hshldprojections2014!$A$2:$AY$326,45,FALSE)-VLOOKUP($A247,Hshldprojections2014!$A$2:$AY$326,35,FALSE))/10,IF(IndividualLATest!$J$7=2016,(VLOOKUP($A247,Hshldprojections2016!$A$1:$AQ$322,35,FALSE)-VLOOKUP($A247,Hshldprojections2016!$A$1:$AQ$322,25,FALSE))/10,(VLOOKUP($A247,Hshldprojections2018!$A$1:$AQ$327,35,FALSE)-VLOOKUP($A247,Hshldprojections2018!$A$1:$AQ$327,25,FALSE))/10))</f>
        <v>195.8</v>
      </c>
      <c r="AG247" s="267">
        <f>IF(IndividualLATest!$J$7=2014,(VLOOKUP($A247,Hshldprojections2014!$A$2:$AY$326,46,FALSE)-VLOOKUP($A247,Hshldprojections2014!$A$2:$AY$326,36,FALSE))/10,IF(IndividualLATest!$J$7=2016,(VLOOKUP($A247,Hshldprojections2016!$A$1:$AQ$322,36,FALSE)-VLOOKUP($A247,Hshldprojections2016!$A$1:$AQ$322,26,FALSE))/10,(VLOOKUP($A247,Hshldprojections2018!$A$1:$AQ$327,36,FALSE)-VLOOKUP($A247,Hshldprojections2018!$A$1:$AQ$327,26,FALSE))/10))</f>
        <v>190.4</v>
      </c>
      <c r="AH247" s="267">
        <f>IF(IndividualLATest!$J$7=2014,(VLOOKUP($A247,Hshldprojections2014!$A$2:$AY$326,47,FALSE)-VLOOKUP($A247,Hshldprojections2014!$A$2:$AY$326,37,FALSE))/10,IF(IndividualLATest!$J$7=2016,(VLOOKUP($A247,Hshldprojections2016!$A$1:$AQ$322,37,FALSE)-VLOOKUP($A247,Hshldprojections2016!$A$1:$AQ$322,27,FALSE))/10,(VLOOKUP($A247,Hshldprojections2018!$A$1:$AQ$327,37,FALSE)-VLOOKUP($A247,Hshldprojections2018!$A$1:$AQ$327,27,FALSE))/10))</f>
        <v>189.2</v>
      </c>
      <c r="AI247" s="268">
        <f>VLOOKUP($A247,AffordabilityRatio!$A$2:$I$321,5,FALSE)</f>
        <v>7.77</v>
      </c>
      <c r="AJ247" s="268">
        <f>VLOOKUP($A247,AffordabilityRatio!$A$2:$I$321,6,FALSE)</f>
        <v>7.39</v>
      </c>
      <c r="AK247" s="268">
        <f>VLOOKUP($A247,AffordabilityRatio!$A$2:$I$321,7,FALSE)</f>
        <v>8.2100000000000009</v>
      </c>
      <c r="AL247" s="268">
        <f>IF((VLOOKUP($A247,AffordabilityRatio!$A$2:$I$321,8,FALSE))="",AK247,VLOOKUP($A247,AffordabilityRatio!$A$2:$I$321,8,FALSE))</f>
        <v>7.63</v>
      </c>
      <c r="AM247" s="268">
        <f>IF((VLOOKUP($A247,AffordabilityRatio!$A$2:$I$321,9,FALSE))="",AL247,VLOOKUP($A247,AffordabilityRatio!$A$2:$I$321,9,FALSE))</f>
        <v>8.43</v>
      </c>
      <c r="AN247" s="268">
        <f>IF((VLOOKUP($A247,AffordabilityRatio!$A$2:$I$321,9,FALSE))="",AM247,VLOOKUP($A247,AffordabilityRatio!$A$2:$I$321,9,FALSE))</f>
        <v>8.43</v>
      </c>
      <c r="AO247" s="268">
        <f>IF((VLOOKUP($A247,AffordabilityRatio!$A$2:$I$321,9,FALSE))="",AN247,VLOOKUP($A247,AffordabilityRatio!$A$2:$I$321,9,FALSE))</f>
        <v>8.43</v>
      </c>
      <c r="AP247" s="268">
        <f>IF((VLOOKUP($A247,AffordabilityRatio!$A$2:$I$321,9,FALSE))="",AO247,VLOOKUP($A247,AffordabilityRatio!$A$2:$I$321,9,FALSE))</f>
        <v>8.43</v>
      </c>
      <c r="AQ247" s="267">
        <f t="shared" si="218"/>
        <v>271</v>
      </c>
      <c r="AR247" s="267">
        <f t="shared" si="219"/>
        <v>254</v>
      </c>
      <c r="AS247" s="267">
        <f t="shared" si="220"/>
        <v>254</v>
      </c>
      <c r="AT247" s="267">
        <f t="shared" si="221"/>
        <v>251</v>
      </c>
      <c r="AU247" s="267">
        <f t="shared" si="222"/>
        <v>256</v>
      </c>
      <c r="AV247" s="267">
        <f t="shared" si="223"/>
        <v>250</v>
      </c>
      <c r="AW247" s="267">
        <f t="shared" si="224"/>
        <v>243</v>
      </c>
      <c r="AX247" s="267">
        <f t="shared" si="225"/>
        <v>242</v>
      </c>
      <c r="AY247" s="267">
        <f t="shared" si="226"/>
        <v>271</v>
      </c>
      <c r="AZ247" s="267">
        <f t="shared" si="227"/>
        <v>254</v>
      </c>
      <c r="BA247" s="267">
        <f t="shared" si="228"/>
        <v>254</v>
      </c>
      <c r="BB247" s="267">
        <f t="shared" si="229"/>
        <v>251</v>
      </c>
      <c r="BC247" s="267">
        <f t="shared" si="230"/>
        <v>256</v>
      </c>
      <c r="BD247" s="267">
        <f t="shared" si="231"/>
        <v>250</v>
      </c>
      <c r="BE247" s="267">
        <f t="shared" si="232"/>
        <v>243</v>
      </c>
      <c r="BF247" s="267">
        <f t="shared" si="233"/>
        <v>242</v>
      </c>
      <c r="BG247" s="269">
        <f>AY247*VLOOKUP($B247,'Major Cities &amp; Towns'!$A$28:$B$345,2,FALSE)</f>
        <v>271</v>
      </c>
      <c r="BH247" s="269">
        <f>AZ247*VLOOKUP($B247,'Major Cities &amp; Towns'!$A$28:$B$345,2,FALSE)</f>
        <v>254</v>
      </c>
      <c r="BI247" s="269">
        <f>BA247*VLOOKUP($B247,'Major Cities &amp; Towns'!$A$28:$B$345,2,FALSE)</f>
        <v>254</v>
      </c>
      <c r="BJ247" s="269">
        <f>BB247*VLOOKUP($B247,'Major Cities &amp; Towns'!$A$28:$B$345,2,FALSE)</f>
        <v>251</v>
      </c>
      <c r="BK247" s="269">
        <f>BC247*VLOOKUP($B247,'Major Cities &amp; Towns'!$A$28:$B$345,2,FALSE)</f>
        <v>256</v>
      </c>
      <c r="BL247" s="269">
        <f>BD247*VLOOKUP($B247,'Major Cities &amp; Towns'!$A$28:$B$345,2,FALSE)</f>
        <v>250</v>
      </c>
      <c r="BM247" s="269">
        <f>BE247*VLOOKUP($B247,'Major Cities &amp; Towns'!$A$28:$B$345,2,FALSE)</f>
        <v>243</v>
      </c>
      <c r="BN247" s="269">
        <f>BF247*VLOOKUP($B247,'Major Cities &amp; Towns'!$A$28:$B$345,2,FALSE)</f>
        <v>242</v>
      </c>
      <c r="BO247" s="270">
        <f t="shared" si="234"/>
        <v>271</v>
      </c>
      <c r="BP247" s="270">
        <f t="shared" si="235"/>
        <v>254</v>
      </c>
      <c r="BQ247" s="270">
        <f t="shared" si="236"/>
        <v>254</v>
      </c>
      <c r="BR247" s="270">
        <f t="shared" si="237"/>
        <v>251</v>
      </c>
      <c r="BS247" s="270">
        <f t="shared" si="238"/>
        <v>256</v>
      </c>
      <c r="BT247" s="270">
        <f t="shared" si="239"/>
        <v>250</v>
      </c>
      <c r="BU247" s="270">
        <f t="shared" si="240"/>
        <v>243</v>
      </c>
      <c r="BV247" s="270">
        <f t="shared" si="241"/>
        <v>242</v>
      </c>
      <c r="BW247" s="39">
        <f>VLOOKUP($A247,NetAdditions!$A$2:$H$336,6,FALSE)</f>
        <v>273</v>
      </c>
      <c r="BX247" s="39">
        <f>VLOOKUP($A247,NetAdditions!$A$2:$H$336,7,FALSE)</f>
        <v>226</v>
      </c>
      <c r="BY247" s="39">
        <f>IF((VLOOKUP($C247,NetAdditions!$A$2:$H$336,8,FALSE))="",(AVERAGE(VLOOKUP($C247,NetAdditions!$A$2:$H$336,5,FALSE),VLOOKUP($C247,NetAdditions!$A$2:$H$336,6,FALSE),VLOOKUP($C247,NetAdditions!$A$2:$H$336,7,FALSE))),VLOOKUP($C247,NetAdditions!$A$2:$H$336,8,FALSE))</f>
        <v>413</v>
      </c>
      <c r="BZ247" s="39">
        <f t="shared" si="242"/>
        <v>304</v>
      </c>
      <c r="CA247" s="39">
        <f t="shared" si="243"/>
        <v>314.33333333333331</v>
      </c>
      <c r="CB247" s="39">
        <f t="shared" si="244"/>
        <v>343.77777777777777</v>
      </c>
      <c r="CC247" s="39">
        <f t="shared" si="245"/>
        <v>320.7037037037037</v>
      </c>
      <c r="CD247" s="39">
        <f t="shared" si="246"/>
        <v>326.27160493827159</v>
      </c>
      <c r="CE247" s="276">
        <f t="shared" si="203"/>
        <v>779</v>
      </c>
      <c r="CF247" s="276">
        <f t="shared" si="204"/>
        <v>759</v>
      </c>
      <c r="CG247" s="276">
        <f t="shared" si="205"/>
        <v>761</v>
      </c>
      <c r="CH247" s="276">
        <f t="shared" si="206"/>
        <v>757</v>
      </c>
      <c r="CI247" s="276">
        <f t="shared" si="207"/>
        <v>749</v>
      </c>
      <c r="CJ247" s="276">
        <f t="shared" si="208"/>
        <v>735</v>
      </c>
      <c r="CK247" s="276">
        <f t="shared" si="247"/>
        <v>670.80555555555554</v>
      </c>
      <c r="CL247" s="276">
        <f t="shared" si="248"/>
        <v>653.58333333333337</v>
      </c>
      <c r="CM247" s="276">
        <f t="shared" si="249"/>
        <v>697.58333333333326</v>
      </c>
      <c r="CN247" s="276">
        <f t="shared" si="250"/>
        <v>757</v>
      </c>
      <c r="CO247" s="276">
        <f t="shared" si="251"/>
        <v>749</v>
      </c>
      <c r="CP247" s="276">
        <f t="shared" si="252"/>
        <v>735</v>
      </c>
      <c r="CQ247" s="39">
        <f t="shared" si="209"/>
        <v>912</v>
      </c>
      <c r="CR247" s="39">
        <f t="shared" si="210"/>
        <v>943</v>
      </c>
      <c r="CS247" s="277">
        <f t="shared" si="211"/>
        <v>1031.3333333333333</v>
      </c>
      <c r="CT247" s="39">
        <f t="shared" si="212"/>
        <v>962.11111111111109</v>
      </c>
      <c r="CU247" s="39">
        <f t="shared" si="213"/>
        <v>978.81481481481478</v>
      </c>
      <c r="CV247" s="39">
        <f t="shared" si="253"/>
        <v>990.75308641975312</v>
      </c>
      <c r="CW247" s="297">
        <f t="shared" si="214"/>
        <v>1.3595594020456334</v>
      </c>
      <c r="CX247" s="279" t="str">
        <f t="shared" si="254"/>
        <v>Pass</v>
      </c>
      <c r="CY247" s="278">
        <f t="shared" si="215"/>
        <v>1.442815249266862</v>
      </c>
      <c r="CZ247" s="279" t="str">
        <f t="shared" si="255"/>
        <v>Pass</v>
      </c>
      <c r="DA247" s="278">
        <f t="shared" si="216"/>
        <v>1.4784374626687373</v>
      </c>
      <c r="DB247" s="292" t="str">
        <f t="shared" si="256"/>
        <v>Pass</v>
      </c>
      <c r="DC247" s="299">
        <f t="shared" si="257"/>
        <v>1.2709525906355497</v>
      </c>
      <c r="DD247" s="293" t="str">
        <f t="shared" si="258"/>
        <v>Pass</v>
      </c>
      <c r="DE247" s="299">
        <f t="shared" si="259"/>
        <v>1.3068288582307273</v>
      </c>
      <c r="DF247" s="293" t="str">
        <f t="shared" si="260"/>
        <v>Pass</v>
      </c>
      <c r="DG247" s="299">
        <f t="shared" si="261"/>
        <v>1.3479633828840178</v>
      </c>
      <c r="DH247" s="293" t="str">
        <f t="shared" si="262"/>
        <v>Pass</v>
      </c>
    </row>
    <row r="248" spans="1:112" ht="15" thickTop="1" thickBot="1">
      <c r="A248" s="38" t="s">
        <v>606</v>
      </c>
      <c r="B248" s="38" t="s">
        <v>607</v>
      </c>
      <c r="C248" s="38" t="s">
        <v>606</v>
      </c>
      <c r="D248" s="38" t="s">
        <v>259</v>
      </c>
      <c r="E248" s="38" t="str">
        <f>VLOOKUP(C248,PoliticalControl!A:K,11,FALSE)</f>
        <v>LAB</v>
      </c>
      <c r="F248" s="38" t="str">
        <f>VLOOKUP(C248,UrbanRuralClassification!A:N,13,FALSE)</f>
        <v>Urban with Major Conurbation</v>
      </c>
      <c r="G248" s="38" t="str">
        <f>VLOOKUP(C248,UrbanRuralClassification!A:N,14,FALSE)</f>
        <v>Predominantly Urban</v>
      </c>
      <c r="H248" s="258">
        <f>IF(ISBLANK((VLOOKUP($A248,'local-plan-data'!$C$1:$AD$566,27,FALSE)))=TRUE,"",VLOOKUP($A248,'local-plan-data'!$C$1:$AD$566,27,FALSE))</f>
        <v>39261</v>
      </c>
      <c r="I248" s="259">
        <f>VLOOKUP($A248,'local-plan-data'!$C$1:$AD$566,28,FALSE)</f>
        <v>325</v>
      </c>
      <c r="J248" s="260">
        <f t="shared" si="217"/>
        <v>325</v>
      </c>
      <c r="K248" s="259" t="str">
        <f t="shared" si="263"/>
        <v>-</v>
      </c>
      <c r="L248" s="259" t="str">
        <f t="shared" si="265"/>
        <v>-</v>
      </c>
      <c r="M248" s="259" t="str">
        <f t="shared" si="265"/>
        <v>-</v>
      </c>
      <c r="N248" s="259" t="str">
        <f t="shared" si="265"/>
        <v>-</v>
      </c>
      <c r="O248" s="259" t="str">
        <f t="shared" si="265"/>
        <v>-</v>
      </c>
      <c r="P248" s="259" t="str">
        <f t="shared" si="265"/>
        <v>-</v>
      </c>
      <c r="Q248" s="259" t="str">
        <f t="shared" si="265"/>
        <v>-</v>
      </c>
      <c r="R248" s="259" t="str">
        <f t="shared" si="265"/>
        <v>-</v>
      </c>
      <c r="S248" s="259">
        <f t="shared" si="264"/>
        <v>-2103</v>
      </c>
      <c r="T248" s="259">
        <f t="shared" si="266"/>
        <v>-2468</v>
      </c>
      <c r="U248" s="259">
        <f t="shared" si="266"/>
        <v>-2834</v>
      </c>
      <c r="V248" s="259">
        <f t="shared" si="266"/>
        <v>-3199</v>
      </c>
      <c r="W248" s="259">
        <f t="shared" si="266"/>
        <v>-3564</v>
      </c>
      <c r="X248" s="259">
        <f t="shared" si="266"/>
        <v>-3929</v>
      </c>
      <c r="Y248" s="259">
        <f t="shared" si="266"/>
        <v>-4295</v>
      </c>
      <c r="Z248" s="259">
        <f t="shared" si="266"/>
        <v>-4660</v>
      </c>
      <c r="AA248" s="267">
        <f>(VLOOKUP(A248,Hshldprojections2014!$A$2:$AW$319,40, FALSE)-VLOOKUP(A248,Hshldprojections2014!$A$2:$AW$319,30, FALSE))/10</f>
        <v>319.8</v>
      </c>
      <c r="AB248" s="267">
        <f>(VLOOKUP(A248,Hshldprojections2014!$A$2:$AW$319,41, FALSE)-VLOOKUP(A248,Hshldprojections2014!$A$2:$AW$319,31, FALSE))/10</f>
        <v>315</v>
      </c>
      <c r="AC248" s="267">
        <f>(VLOOKUP(A248,Hshldprojections2014!$A$2:$AW$319,42, FALSE)-VLOOKUP(A248,Hshldprojections2014!$A$2:$AW$319,32, FALSE))/10</f>
        <v>310.3</v>
      </c>
      <c r="AD248" s="267">
        <f>IF(IndividualLATest!$J$7=2014,(VLOOKUP($A248,Hshldprojections2014!$A$2:$AY$326,43,FALSE)-VLOOKUP($A248,Hshldprojections2014!$A$2:$AY$326,33,FALSE))/10,IF(IndividualLATest!$J$7=2016,(VLOOKUP($A248,Hshldprojections2016!$A$1:$AQ$322,33,FALSE)-VLOOKUP($A248,Hshldprojections2016!$A$1:$AQ$322,23,FALSE))/10,(VLOOKUP($A248,Hshldprojections2018!$A$1:$AQ$327,33,FALSE)-VLOOKUP($A248,Hshldprojections2018!$A$1:$AQ$327,23,FALSE))/10))</f>
        <v>291.39999999999998</v>
      </c>
      <c r="AE248" s="267">
        <f>IF(IndividualLATest!$J$7=2014,(VLOOKUP($A248,Hshldprojections2014!$A$2:$AY$326,44,FALSE)-VLOOKUP($A248,Hshldprojections2014!$A$2:$AY$326,34,FALSE))/10,IF(IndividualLATest!$J$7=2016,(VLOOKUP($A248,Hshldprojections2016!$A$1:$AQ$322,34,FALSE)-VLOOKUP($A248,Hshldprojections2016!$A$1:$AQ$322,24,FALSE))/10,(VLOOKUP($A248,Hshldprojections2018!$A$1:$AQ$327,34,FALSE)-VLOOKUP($A248,Hshldprojections2018!$A$1:$AQ$327,24,FALSE))/10))</f>
        <v>291.5</v>
      </c>
      <c r="AF248" s="267">
        <f>IF(IndividualLATest!$J$7=2014,(VLOOKUP($A248,Hshldprojections2014!$A$2:$AY$326,45,FALSE)-VLOOKUP($A248,Hshldprojections2014!$A$2:$AY$326,35,FALSE))/10,IF(IndividualLATest!$J$7=2016,(VLOOKUP($A248,Hshldprojections2016!$A$1:$AQ$322,35,FALSE)-VLOOKUP($A248,Hshldprojections2016!$A$1:$AQ$322,25,FALSE))/10,(VLOOKUP($A248,Hshldprojections2018!$A$1:$AQ$327,35,FALSE)-VLOOKUP($A248,Hshldprojections2018!$A$1:$AQ$327,25,FALSE))/10))</f>
        <v>293.89999999999998</v>
      </c>
      <c r="AG248" s="267">
        <f>IF(IndividualLATest!$J$7=2014,(VLOOKUP($A248,Hshldprojections2014!$A$2:$AY$326,46,FALSE)-VLOOKUP($A248,Hshldprojections2014!$A$2:$AY$326,36,FALSE))/10,IF(IndividualLATest!$J$7=2016,(VLOOKUP($A248,Hshldprojections2016!$A$1:$AQ$322,36,FALSE)-VLOOKUP($A248,Hshldprojections2016!$A$1:$AQ$322,26,FALSE))/10,(VLOOKUP($A248,Hshldprojections2018!$A$1:$AQ$327,36,FALSE)-VLOOKUP($A248,Hshldprojections2018!$A$1:$AQ$327,26,FALSE))/10))</f>
        <v>294.8</v>
      </c>
      <c r="AH248" s="267">
        <f>IF(IndividualLATest!$J$7=2014,(VLOOKUP($A248,Hshldprojections2014!$A$2:$AY$326,47,FALSE)-VLOOKUP($A248,Hshldprojections2014!$A$2:$AY$326,37,FALSE))/10,IF(IndividualLATest!$J$7=2016,(VLOOKUP($A248,Hshldprojections2016!$A$1:$AQ$322,37,FALSE)-VLOOKUP($A248,Hshldprojections2016!$A$1:$AQ$322,27,FALSE))/10,(VLOOKUP($A248,Hshldprojections2018!$A$1:$AQ$327,37,FALSE)-VLOOKUP($A248,Hshldprojections2018!$A$1:$AQ$327,27,FALSE))/10))</f>
        <v>295.3</v>
      </c>
      <c r="AI248" s="268">
        <f>VLOOKUP($A248,AffordabilityRatio!$A$2:$I$321,5,FALSE)</f>
        <v>5.73</v>
      </c>
      <c r="AJ248" s="268">
        <f>VLOOKUP($A248,AffordabilityRatio!$A$2:$I$321,6,FALSE)</f>
        <v>5.8</v>
      </c>
      <c r="AK248" s="268">
        <f>VLOOKUP($A248,AffordabilityRatio!$A$2:$I$321,7,FALSE)</f>
        <v>5.52</v>
      </c>
      <c r="AL248" s="268">
        <f>IF((VLOOKUP($A248,AffordabilityRatio!$A$2:$I$321,8,FALSE))="",AK248,VLOOKUP($A248,AffordabilityRatio!$A$2:$I$321,8,FALSE))</f>
        <v>5.04</v>
      </c>
      <c r="AM248" s="268">
        <f>IF((VLOOKUP($A248,AffordabilityRatio!$A$2:$I$321,9,FALSE))="",AL248,VLOOKUP($A248,AffordabilityRatio!$A$2:$I$321,9,FALSE))</f>
        <v>5.85</v>
      </c>
      <c r="AN248" s="268">
        <f>IF((VLOOKUP($A248,AffordabilityRatio!$A$2:$I$321,9,FALSE))="",AM248,VLOOKUP($A248,AffordabilityRatio!$A$2:$I$321,9,FALSE))</f>
        <v>5.85</v>
      </c>
      <c r="AO248" s="268">
        <f>IF((VLOOKUP($A248,AffordabilityRatio!$A$2:$I$321,9,FALSE))="",AN248,VLOOKUP($A248,AffordabilityRatio!$A$2:$I$321,9,FALSE))</f>
        <v>5.85</v>
      </c>
      <c r="AP248" s="268">
        <f>IF((VLOOKUP($A248,AffordabilityRatio!$A$2:$I$321,9,FALSE))="",AO248,VLOOKUP($A248,AffordabilityRatio!$A$2:$I$321,9,FALSE))</f>
        <v>5.85</v>
      </c>
      <c r="AQ248" s="267">
        <f t="shared" si="218"/>
        <v>354</v>
      </c>
      <c r="AR248" s="267">
        <f t="shared" si="219"/>
        <v>350</v>
      </c>
      <c r="AS248" s="267">
        <f t="shared" si="220"/>
        <v>340</v>
      </c>
      <c r="AT248" s="267">
        <f t="shared" si="221"/>
        <v>310</v>
      </c>
      <c r="AU248" s="267">
        <f t="shared" si="222"/>
        <v>325</v>
      </c>
      <c r="AV248" s="267">
        <f t="shared" si="223"/>
        <v>328</v>
      </c>
      <c r="AW248" s="267">
        <f t="shared" si="224"/>
        <v>329</v>
      </c>
      <c r="AX248" s="267">
        <f t="shared" si="225"/>
        <v>329</v>
      </c>
      <c r="AY248" s="267">
        <f t="shared" si="226"/>
        <v>354</v>
      </c>
      <c r="AZ248" s="267">
        <f t="shared" si="227"/>
        <v>350</v>
      </c>
      <c r="BA248" s="267">
        <f t="shared" si="228"/>
        <v>340</v>
      </c>
      <c r="BB248" s="267">
        <f t="shared" si="229"/>
        <v>310</v>
      </c>
      <c r="BC248" s="267">
        <f t="shared" si="230"/>
        <v>325</v>
      </c>
      <c r="BD248" s="267">
        <f t="shared" si="231"/>
        <v>328</v>
      </c>
      <c r="BE248" s="267">
        <f t="shared" si="232"/>
        <v>329</v>
      </c>
      <c r="BF248" s="267">
        <f t="shared" si="233"/>
        <v>329</v>
      </c>
      <c r="BG248" s="269">
        <f>AY248*VLOOKUP($B248,'Major Cities &amp; Towns'!$A$28:$B$345,2,FALSE)</f>
        <v>354</v>
      </c>
      <c r="BH248" s="269">
        <f>AZ248*VLOOKUP($B248,'Major Cities &amp; Towns'!$A$28:$B$345,2,FALSE)</f>
        <v>350</v>
      </c>
      <c r="BI248" s="269">
        <f>BA248*VLOOKUP($B248,'Major Cities &amp; Towns'!$A$28:$B$345,2,FALSE)</f>
        <v>340</v>
      </c>
      <c r="BJ248" s="269">
        <f>BB248*VLOOKUP($B248,'Major Cities &amp; Towns'!$A$28:$B$345,2,FALSE)</f>
        <v>310</v>
      </c>
      <c r="BK248" s="269">
        <f>BC248*VLOOKUP($B248,'Major Cities &amp; Towns'!$A$28:$B$345,2,FALSE)</f>
        <v>325</v>
      </c>
      <c r="BL248" s="269">
        <f>BD248*VLOOKUP($B248,'Major Cities &amp; Towns'!$A$28:$B$345,2,FALSE)</f>
        <v>328</v>
      </c>
      <c r="BM248" s="269">
        <f>BE248*VLOOKUP($B248,'Major Cities &amp; Towns'!$A$28:$B$345,2,FALSE)</f>
        <v>329</v>
      </c>
      <c r="BN248" s="269">
        <f>BF248*VLOOKUP($B248,'Major Cities &amp; Towns'!$A$28:$B$345,2,FALSE)</f>
        <v>329</v>
      </c>
      <c r="BO248" s="270">
        <f t="shared" si="234"/>
        <v>354</v>
      </c>
      <c r="BP248" s="270">
        <f t="shared" si="235"/>
        <v>350</v>
      </c>
      <c r="BQ248" s="270">
        <f t="shared" si="236"/>
        <v>340</v>
      </c>
      <c r="BR248" s="270">
        <f t="shared" si="237"/>
        <v>310</v>
      </c>
      <c r="BS248" s="270">
        <f t="shared" si="238"/>
        <v>325</v>
      </c>
      <c r="BT248" s="270">
        <f t="shared" si="239"/>
        <v>328</v>
      </c>
      <c r="BU248" s="270">
        <f t="shared" si="240"/>
        <v>329</v>
      </c>
      <c r="BV248" s="270">
        <f t="shared" si="241"/>
        <v>329</v>
      </c>
      <c r="BW248" s="39">
        <f>VLOOKUP($A248,NetAdditions!$A$2:$H$336,6,FALSE)</f>
        <v>247</v>
      </c>
      <c r="BX248" s="39">
        <f>VLOOKUP($A248,NetAdditions!$A$2:$H$336,7,FALSE)</f>
        <v>236</v>
      </c>
      <c r="BY248" s="39">
        <f>IF((VLOOKUP($C248,NetAdditions!$A$2:$H$336,8,FALSE))="",(AVERAGE(VLOOKUP($C248,NetAdditions!$A$2:$H$336,5,FALSE),VLOOKUP($C248,NetAdditions!$A$2:$H$336,6,FALSE),VLOOKUP($C248,NetAdditions!$A$2:$H$336,7,FALSE))),VLOOKUP($C248,NetAdditions!$A$2:$H$336,8,FALSE))</f>
        <v>182</v>
      </c>
      <c r="BZ248" s="39">
        <f t="shared" si="242"/>
        <v>221.66666666666666</v>
      </c>
      <c r="CA248" s="39">
        <f t="shared" si="243"/>
        <v>213.2222222222222</v>
      </c>
      <c r="CB248" s="39">
        <f t="shared" si="244"/>
        <v>205.62962962962959</v>
      </c>
      <c r="CC248" s="39">
        <f t="shared" si="245"/>
        <v>213.50617283950615</v>
      </c>
      <c r="CD248" s="39">
        <f t="shared" si="246"/>
        <v>210.78600823045267</v>
      </c>
      <c r="CE248" s="276">
        <f t="shared" si="203"/>
        <v>1044</v>
      </c>
      <c r="CF248" s="276">
        <f t="shared" si="204"/>
        <v>1000</v>
      </c>
      <c r="CG248" s="276">
        <f t="shared" si="205"/>
        <v>975</v>
      </c>
      <c r="CH248" s="276">
        <f t="shared" si="206"/>
        <v>963</v>
      </c>
      <c r="CI248" s="276">
        <f t="shared" si="207"/>
        <v>982</v>
      </c>
      <c r="CJ248" s="276">
        <f t="shared" si="208"/>
        <v>986</v>
      </c>
      <c r="CK248" s="276">
        <f t="shared" si="247"/>
        <v>899</v>
      </c>
      <c r="CL248" s="276">
        <f t="shared" si="248"/>
        <v>861.1111111111112</v>
      </c>
      <c r="CM248" s="276">
        <f t="shared" si="249"/>
        <v>893.75</v>
      </c>
      <c r="CN248" s="276">
        <f t="shared" si="250"/>
        <v>963</v>
      </c>
      <c r="CO248" s="276">
        <f t="shared" si="251"/>
        <v>982</v>
      </c>
      <c r="CP248" s="276">
        <f t="shared" si="252"/>
        <v>986</v>
      </c>
      <c r="CQ248" s="39">
        <f t="shared" si="209"/>
        <v>665</v>
      </c>
      <c r="CR248" s="39">
        <f t="shared" si="210"/>
        <v>639.66666666666663</v>
      </c>
      <c r="CS248" s="277">
        <f t="shared" si="211"/>
        <v>616.8888888888888</v>
      </c>
      <c r="CT248" s="39">
        <f t="shared" si="212"/>
        <v>640.51851851851848</v>
      </c>
      <c r="CU248" s="39">
        <f t="shared" si="213"/>
        <v>632.35802469135797</v>
      </c>
      <c r="CV248" s="39">
        <f t="shared" si="253"/>
        <v>629.92181069958838</v>
      </c>
      <c r="CW248" s="297">
        <f t="shared" si="214"/>
        <v>0.73971078976640714</v>
      </c>
      <c r="CX248" s="279" t="str">
        <f t="shared" si="254"/>
        <v>Buffer and Action Plan</v>
      </c>
      <c r="CY248" s="278">
        <f t="shared" si="215"/>
        <v>0.74283870967741927</v>
      </c>
      <c r="CZ248" s="279" t="str">
        <f t="shared" si="255"/>
        <v>Buffer and Action Plan</v>
      </c>
      <c r="DA248" s="278">
        <f t="shared" si="216"/>
        <v>0.69022533022533017</v>
      </c>
      <c r="DB248" s="292" t="str">
        <f t="shared" si="256"/>
        <v>Presumption</v>
      </c>
      <c r="DC248" s="299">
        <f t="shared" si="257"/>
        <v>0.66512826429752703</v>
      </c>
      <c r="DD248" s="293" t="str">
        <f t="shared" si="258"/>
        <v>Presumption</v>
      </c>
      <c r="DE248" s="299">
        <f t="shared" si="259"/>
        <v>0.64394910864700405</v>
      </c>
      <c r="DF248" s="293" t="str">
        <f t="shared" si="260"/>
        <v>Presumption</v>
      </c>
      <c r="DG248" s="299">
        <f t="shared" si="261"/>
        <v>0.63886593377240197</v>
      </c>
      <c r="DH248" s="293" t="str">
        <f t="shared" si="262"/>
        <v>Presumption</v>
      </c>
    </row>
    <row r="249" spans="1:112" ht="15" thickTop="1" thickBot="1">
      <c r="A249" s="38" t="s">
        <v>608</v>
      </c>
      <c r="B249" s="38" t="s">
        <v>609</v>
      </c>
      <c r="C249" s="38" t="s">
        <v>608</v>
      </c>
      <c r="D249" s="38" t="s">
        <v>113</v>
      </c>
      <c r="E249" s="38" t="str">
        <f>VLOOKUP(C249,PoliticalControl!A:K,11,FALSE)</f>
        <v>CON</v>
      </c>
      <c r="F249" s="38" t="str">
        <f>VLOOKUP(C249,UrbanRuralClassification!A:N,13,FALSE)</f>
        <v>Urban with City and Town</v>
      </c>
      <c r="G249" s="38" t="str">
        <f>VLOOKUP(C249,UrbanRuralClassification!A:N,14,FALSE)</f>
        <v>Predominantly Urban</v>
      </c>
      <c r="H249" s="258">
        <f>IF(ISBLANK((VLOOKUP($A249,'local-plan-data'!$C$1:$AD$566,27,FALSE)))=TRUE,"",VLOOKUP($A249,'local-plan-data'!$C$1:$AD$566,27,FALSE))</f>
        <v>42081</v>
      </c>
      <c r="I249" s="259">
        <f>VLOOKUP($A249,'local-plan-data'!$C$1:$AD$566,28,FALSE)</f>
        <v>815</v>
      </c>
      <c r="J249" s="260">
        <f t="shared" si="217"/>
        <v>815</v>
      </c>
      <c r="K249" s="259">
        <f t="shared" si="263"/>
        <v>815</v>
      </c>
      <c r="L249" s="259">
        <f t="shared" si="265"/>
        <v>815</v>
      </c>
      <c r="M249" s="259" t="str">
        <f t="shared" si="265"/>
        <v>-</v>
      </c>
      <c r="N249" s="259" t="str">
        <f t="shared" si="265"/>
        <v>-</v>
      </c>
      <c r="O249" s="259" t="str">
        <f t="shared" si="265"/>
        <v>-</v>
      </c>
      <c r="P249" s="259" t="str">
        <f t="shared" si="265"/>
        <v>-</v>
      </c>
      <c r="Q249" s="259" t="str">
        <f t="shared" si="265"/>
        <v>-</v>
      </c>
      <c r="R249" s="259" t="str">
        <f t="shared" si="265"/>
        <v>-</v>
      </c>
      <c r="S249" s="259">
        <f t="shared" si="264"/>
        <v>717</v>
      </c>
      <c r="T249" s="259">
        <f t="shared" si="266"/>
        <v>352</v>
      </c>
      <c r="U249" s="259">
        <f t="shared" si="266"/>
        <v>-14</v>
      </c>
      <c r="V249" s="259">
        <f t="shared" si="266"/>
        <v>-379</v>
      </c>
      <c r="W249" s="259">
        <f t="shared" si="266"/>
        <v>-744</v>
      </c>
      <c r="X249" s="259">
        <f t="shared" si="266"/>
        <v>-1109</v>
      </c>
      <c r="Y249" s="259">
        <f t="shared" si="266"/>
        <v>-1475</v>
      </c>
      <c r="Z249" s="259">
        <f t="shared" si="266"/>
        <v>-1840</v>
      </c>
      <c r="AA249" s="267">
        <f>(VLOOKUP(A249,Hshldprojections2014!$A$2:$AW$319,40, FALSE)-VLOOKUP(A249,Hshldprojections2014!$A$2:$AW$319,30, FALSE))/10</f>
        <v>820.5</v>
      </c>
      <c r="AB249" s="267">
        <f>(VLOOKUP(A249,Hshldprojections2014!$A$2:$AW$319,41, FALSE)-VLOOKUP(A249,Hshldprojections2014!$A$2:$AW$319,31, FALSE))/10</f>
        <v>835.5</v>
      </c>
      <c r="AC249" s="267">
        <f>(VLOOKUP(A249,Hshldprojections2014!$A$2:$AW$319,42, FALSE)-VLOOKUP(A249,Hshldprojections2014!$A$2:$AW$319,32, FALSE))/10</f>
        <v>851.3</v>
      </c>
      <c r="AD249" s="267">
        <f>IF(IndividualLATest!$J$7=2014,(VLOOKUP($A249,Hshldprojections2014!$A$2:$AY$326,43,FALSE)-VLOOKUP($A249,Hshldprojections2014!$A$2:$AY$326,33,FALSE))/10,IF(IndividualLATest!$J$7=2016,(VLOOKUP($A249,Hshldprojections2016!$A$1:$AQ$322,33,FALSE)-VLOOKUP($A249,Hshldprojections2016!$A$1:$AQ$322,23,FALSE))/10,(VLOOKUP($A249,Hshldprojections2018!$A$1:$AQ$327,33,FALSE)-VLOOKUP($A249,Hshldprojections2018!$A$1:$AQ$327,23,FALSE))/10))</f>
        <v>446.1</v>
      </c>
      <c r="AE249" s="267">
        <f>IF(IndividualLATest!$J$7=2014,(VLOOKUP($A249,Hshldprojections2014!$A$2:$AY$326,44,FALSE)-VLOOKUP($A249,Hshldprojections2014!$A$2:$AY$326,34,FALSE))/10,IF(IndividualLATest!$J$7=2016,(VLOOKUP($A249,Hshldprojections2016!$A$1:$AQ$322,34,FALSE)-VLOOKUP($A249,Hshldprojections2016!$A$1:$AQ$322,24,FALSE))/10,(VLOOKUP($A249,Hshldprojections2018!$A$1:$AQ$327,34,FALSE)-VLOOKUP($A249,Hshldprojections2018!$A$1:$AQ$327,24,FALSE))/10))</f>
        <v>464.1</v>
      </c>
      <c r="AF249" s="267">
        <f>IF(IndividualLATest!$J$7=2014,(VLOOKUP($A249,Hshldprojections2014!$A$2:$AY$326,45,FALSE)-VLOOKUP($A249,Hshldprojections2014!$A$2:$AY$326,35,FALSE))/10,IF(IndividualLATest!$J$7=2016,(VLOOKUP($A249,Hshldprojections2016!$A$1:$AQ$322,35,FALSE)-VLOOKUP($A249,Hshldprojections2016!$A$1:$AQ$322,25,FALSE))/10,(VLOOKUP($A249,Hshldprojections2018!$A$1:$AQ$327,35,FALSE)-VLOOKUP($A249,Hshldprojections2018!$A$1:$AQ$327,25,FALSE))/10))</f>
        <v>477.6</v>
      </c>
      <c r="AG249" s="267">
        <f>IF(IndividualLATest!$J$7=2014,(VLOOKUP($A249,Hshldprojections2014!$A$2:$AY$326,46,FALSE)-VLOOKUP($A249,Hshldprojections2014!$A$2:$AY$326,36,FALSE))/10,IF(IndividualLATest!$J$7=2016,(VLOOKUP($A249,Hshldprojections2016!$A$1:$AQ$322,36,FALSE)-VLOOKUP($A249,Hshldprojections2016!$A$1:$AQ$322,26,FALSE))/10,(VLOOKUP($A249,Hshldprojections2018!$A$1:$AQ$327,36,FALSE)-VLOOKUP($A249,Hshldprojections2018!$A$1:$AQ$327,26,FALSE))/10))</f>
        <v>484.5</v>
      </c>
      <c r="AH249" s="267">
        <f>IF(IndividualLATest!$J$7=2014,(VLOOKUP($A249,Hshldprojections2014!$A$2:$AY$326,47,FALSE)-VLOOKUP($A249,Hshldprojections2014!$A$2:$AY$326,37,FALSE))/10,IF(IndividualLATest!$J$7=2016,(VLOOKUP($A249,Hshldprojections2016!$A$1:$AQ$322,37,FALSE)-VLOOKUP($A249,Hshldprojections2016!$A$1:$AQ$322,27,FALSE))/10,(VLOOKUP($A249,Hshldprojections2018!$A$1:$AQ$327,37,FALSE)-VLOOKUP($A249,Hshldprojections2018!$A$1:$AQ$327,27,FALSE))/10))</f>
        <v>488.4</v>
      </c>
      <c r="AI249" s="268">
        <f>VLOOKUP($A249,AffordabilityRatio!$A$2:$I$321,5,FALSE)</f>
        <v>6.59</v>
      </c>
      <c r="AJ249" s="268">
        <f>VLOOKUP($A249,AffordabilityRatio!$A$2:$I$321,6,FALSE)</f>
        <v>7.51</v>
      </c>
      <c r="AK249" s="268">
        <f>VLOOKUP($A249,AffordabilityRatio!$A$2:$I$321,7,FALSE)</f>
        <v>6.85</v>
      </c>
      <c r="AL249" s="268">
        <f>IF((VLOOKUP($A249,AffordabilityRatio!$A$2:$I$321,8,FALSE))="",AK249,VLOOKUP($A249,AffordabilityRatio!$A$2:$I$321,8,FALSE))</f>
        <v>6.77</v>
      </c>
      <c r="AM249" s="268">
        <f>IF((VLOOKUP($A249,AffordabilityRatio!$A$2:$I$321,9,FALSE))="",AL249,VLOOKUP($A249,AffordabilityRatio!$A$2:$I$321,9,FALSE))</f>
        <v>7.33</v>
      </c>
      <c r="AN249" s="268">
        <f>IF((VLOOKUP($A249,AffordabilityRatio!$A$2:$I$321,9,FALSE))="",AM249,VLOOKUP($A249,AffordabilityRatio!$A$2:$I$321,9,FALSE))</f>
        <v>7.33</v>
      </c>
      <c r="AO249" s="268">
        <f>IF((VLOOKUP($A249,AffordabilityRatio!$A$2:$I$321,9,FALSE))="",AN249,VLOOKUP($A249,AffordabilityRatio!$A$2:$I$321,9,FALSE))</f>
        <v>7.33</v>
      </c>
      <c r="AP249" s="268">
        <f>IF((VLOOKUP($A249,AffordabilityRatio!$A$2:$I$321,9,FALSE))="",AO249,VLOOKUP($A249,AffordabilityRatio!$A$2:$I$321,9,FALSE))</f>
        <v>7.33</v>
      </c>
      <c r="AQ249" s="267">
        <f t="shared" si="218"/>
        <v>953</v>
      </c>
      <c r="AR249" s="267">
        <f t="shared" si="219"/>
        <v>1019</v>
      </c>
      <c r="AS249" s="267">
        <f t="shared" si="220"/>
        <v>1003</v>
      </c>
      <c r="AT249" s="267">
        <f t="shared" si="221"/>
        <v>523</v>
      </c>
      <c r="AU249" s="267">
        <f t="shared" si="222"/>
        <v>561</v>
      </c>
      <c r="AV249" s="267">
        <f t="shared" si="223"/>
        <v>577</v>
      </c>
      <c r="AW249" s="267">
        <f t="shared" si="224"/>
        <v>585</v>
      </c>
      <c r="AX249" s="267">
        <f t="shared" si="225"/>
        <v>590</v>
      </c>
      <c r="AY249" s="267">
        <f t="shared" si="226"/>
        <v>953</v>
      </c>
      <c r="AZ249" s="267">
        <f t="shared" si="227"/>
        <v>1019</v>
      </c>
      <c r="BA249" s="267">
        <f t="shared" si="228"/>
        <v>1003</v>
      </c>
      <c r="BB249" s="267">
        <f t="shared" si="229"/>
        <v>523</v>
      </c>
      <c r="BC249" s="267">
        <f t="shared" si="230"/>
        <v>561</v>
      </c>
      <c r="BD249" s="267">
        <f t="shared" si="231"/>
        <v>577</v>
      </c>
      <c r="BE249" s="267">
        <f t="shared" si="232"/>
        <v>585</v>
      </c>
      <c r="BF249" s="267">
        <f t="shared" si="233"/>
        <v>590</v>
      </c>
      <c r="BG249" s="269">
        <f>AY249*VLOOKUP($B249,'Major Cities &amp; Towns'!$A$28:$B$345,2,FALSE)</f>
        <v>1286.5500000000002</v>
      </c>
      <c r="BH249" s="269">
        <f>AZ249*VLOOKUP($B249,'Major Cities &amp; Towns'!$A$28:$B$345,2,FALSE)</f>
        <v>1375.65</v>
      </c>
      <c r="BI249" s="269">
        <f>BA249*VLOOKUP($B249,'Major Cities &amp; Towns'!$A$28:$B$345,2,FALSE)</f>
        <v>1354.0500000000002</v>
      </c>
      <c r="BJ249" s="269">
        <f>BB249*VLOOKUP($B249,'Major Cities &amp; Towns'!$A$28:$B$345,2,FALSE)</f>
        <v>706.05000000000007</v>
      </c>
      <c r="BK249" s="269">
        <f>BC249*VLOOKUP($B249,'Major Cities &amp; Towns'!$A$28:$B$345,2,FALSE)</f>
        <v>757.35</v>
      </c>
      <c r="BL249" s="269">
        <f>BD249*VLOOKUP($B249,'Major Cities &amp; Towns'!$A$28:$B$345,2,FALSE)</f>
        <v>778.95</v>
      </c>
      <c r="BM249" s="269">
        <f>BE249*VLOOKUP($B249,'Major Cities &amp; Towns'!$A$28:$B$345,2,FALSE)</f>
        <v>789.75</v>
      </c>
      <c r="BN249" s="269">
        <f>BF249*VLOOKUP($B249,'Major Cities &amp; Towns'!$A$28:$B$345,2,FALSE)</f>
        <v>796.5</v>
      </c>
      <c r="BO249" s="270">
        <f t="shared" si="234"/>
        <v>815</v>
      </c>
      <c r="BP249" s="270">
        <f t="shared" si="235"/>
        <v>822.26575342465753</v>
      </c>
      <c r="BQ249" s="270">
        <f t="shared" si="236"/>
        <v>1003</v>
      </c>
      <c r="BR249" s="270">
        <f t="shared" si="237"/>
        <v>523</v>
      </c>
      <c r="BS249" s="270">
        <f t="shared" si="238"/>
        <v>561</v>
      </c>
      <c r="BT249" s="270">
        <f t="shared" si="239"/>
        <v>577</v>
      </c>
      <c r="BU249" s="270">
        <f t="shared" si="240"/>
        <v>585</v>
      </c>
      <c r="BV249" s="270">
        <f t="shared" si="241"/>
        <v>590</v>
      </c>
      <c r="BW249" s="39">
        <f>VLOOKUP($A249,NetAdditions!$A$2:$H$336,6,FALSE)</f>
        <v>1616</v>
      </c>
      <c r="BX249" s="39">
        <f>VLOOKUP($A249,NetAdditions!$A$2:$H$336,7,FALSE)</f>
        <v>460</v>
      </c>
      <c r="BY249" s="39">
        <f>IF((VLOOKUP($C249,NetAdditions!$A$2:$H$336,8,FALSE))="",(AVERAGE(VLOOKUP($C249,NetAdditions!$A$2:$H$336,5,FALSE),VLOOKUP($C249,NetAdditions!$A$2:$H$336,6,FALSE),VLOOKUP($C249,NetAdditions!$A$2:$H$336,7,FALSE))),VLOOKUP($C249,NetAdditions!$A$2:$H$336,8,FALSE))</f>
        <v>645</v>
      </c>
      <c r="BZ249" s="39">
        <f t="shared" si="242"/>
        <v>907</v>
      </c>
      <c r="CA249" s="39">
        <f t="shared" si="243"/>
        <v>670.66666666666663</v>
      </c>
      <c r="CB249" s="39">
        <f t="shared" si="244"/>
        <v>740.8888888888888</v>
      </c>
      <c r="CC249" s="39">
        <f t="shared" si="245"/>
        <v>772.85185185185173</v>
      </c>
      <c r="CD249" s="39">
        <f t="shared" si="246"/>
        <v>728.13580246913568</v>
      </c>
      <c r="CE249" s="276">
        <f t="shared" si="203"/>
        <v>2640.2657534246573</v>
      </c>
      <c r="CF249" s="276">
        <f t="shared" si="204"/>
        <v>2348.2657534246573</v>
      </c>
      <c r="CG249" s="276">
        <f t="shared" si="205"/>
        <v>2087</v>
      </c>
      <c r="CH249" s="276">
        <f t="shared" si="206"/>
        <v>1661</v>
      </c>
      <c r="CI249" s="276">
        <f t="shared" si="207"/>
        <v>1723</v>
      </c>
      <c r="CJ249" s="276">
        <f t="shared" si="208"/>
        <v>1752</v>
      </c>
      <c r="CK249" s="276">
        <f t="shared" si="247"/>
        <v>2273.5621765601218</v>
      </c>
      <c r="CL249" s="276">
        <f t="shared" si="248"/>
        <v>2022.1177321156772</v>
      </c>
      <c r="CM249" s="276">
        <f t="shared" si="249"/>
        <v>1913.0833333333333</v>
      </c>
      <c r="CN249" s="276">
        <f t="shared" si="250"/>
        <v>1661</v>
      </c>
      <c r="CO249" s="276">
        <f t="shared" si="251"/>
        <v>1723</v>
      </c>
      <c r="CP249" s="276">
        <f t="shared" si="252"/>
        <v>1752</v>
      </c>
      <c r="CQ249" s="39">
        <f t="shared" si="209"/>
        <v>2721</v>
      </c>
      <c r="CR249" s="39">
        <f t="shared" si="210"/>
        <v>2012</v>
      </c>
      <c r="CS249" s="277">
        <f t="shared" si="211"/>
        <v>2222.6666666666665</v>
      </c>
      <c r="CT249" s="39">
        <f t="shared" si="212"/>
        <v>2318.5555555555552</v>
      </c>
      <c r="CU249" s="39">
        <f t="shared" si="213"/>
        <v>2184.4074074074069</v>
      </c>
      <c r="CV249" s="39">
        <f t="shared" si="253"/>
        <v>2241.8765432098762</v>
      </c>
      <c r="CW249" s="297">
        <f t="shared" si="214"/>
        <v>1.1968003461936754</v>
      </c>
      <c r="CX249" s="279" t="str">
        <f t="shared" si="254"/>
        <v>Pass</v>
      </c>
      <c r="CY249" s="278">
        <f t="shared" si="215"/>
        <v>0.99499646733966807</v>
      </c>
      <c r="CZ249" s="279" t="str">
        <f t="shared" si="255"/>
        <v>Pass</v>
      </c>
      <c r="DA249" s="278">
        <f t="shared" si="216"/>
        <v>1.1618242801759811</v>
      </c>
      <c r="DB249" s="292" t="str">
        <f t="shared" si="256"/>
        <v>Pass</v>
      </c>
      <c r="DC249" s="299">
        <f t="shared" si="257"/>
        <v>1.3958793230316406</v>
      </c>
      <c r="DD249" s="293" t="str">
        <f t="shared" si="258"/>
        <v>Pass</v>
      </c>
      <c r="DE249" s="299">
        <f t="shared" si="259"/>
        <v>1.2677930397024997</v>
      </c>
      <c r="DF249" s="293" t="str">
        <f t="shared" si="260"/>
        <v>Pass</v>
      </c>
      <c r="DG249" s="299">
        <f t="shared" si="261"/>
        <v>1.2796098990923952</v>
      </c>
      <c r="DH249" s="293" t="str">
        <f t="shared" si="262"/>
        <v>Pass</v>
      </c>
    </row>
    <row r="250" spans="1:112" ht="15" thickTop="1" thickBot="1">
      <c r="A250" s="38" t="s">
        <v>610</v>
      </c>
      <c r="B250" s="38" t="s">
        <v>611</v>
      </c>
      <c r="C250" s="38" t="s">
        <v>610</v>
      </c>
      <c r="D250" s="38" t="s">
        <v>128</v>
      </c>
      <c r="E250" s="38" t="str">
        <f>VLOOKUP(C250,PoliticalControl!A:K,11,FALSE)</f>
        <v>NOC</v>
      </c>
      <c r="F250" s="38" t="str">
        <f>VLOOKUP(C250,UrbanRuralClassification!A:N,13,FALSE)</f>
        <v>Urban with City and Town</v>
      </c>
      <c r="G250" s="38" t="str">
        <f>VLOOKUP(C250,UrbanRuralClassification!A:N,14,FALSE)</f>
        <v>Predominantly Urban</v>
      </c>
      <c r="H250" s="258">
        <f>IF(ISBLANK((VLOOKUP($A250,'local-plan-data'!$C$1:$AD$566,27,FALSE)))=TRUE,"",VLOOKUP($A250,'local-plan-data'!$C$1:$AD$566,27,FALSE))</f>
        <v>39429</v>
      </c>
      <c r="I250" s="259">
        <f>VLOOKUP($A250,'local-plan-data'!$C$1:$AD$566,28,FALSE)</f>
        <v>325</v>
      </c>
      <c r="J250" s="260">
        <f t="shared" si="217"/>
        <v>325</v>
      </c>
      <c r="K250" s="259" t="str">
        <f t="shared" si="263"/>
        <v>-</v>
      </c>
      <c r="L250" s="259" t="str">
        <f t="shared" si="265"/>
        <v>-</v>
      </c>
      <c r="M250" s="259" t="str">
        <f t="shared" si="265"/>
        <v>-</v>
      </c>
      <c r="N250" s="259" t="str">
        <f t="shared" si="265"/>
        <v>-</v>
      </c>
      <c r="O250" s="259" t="str">
        <f t="shared" si="265"/>
        <v>-</v>
      </c>
      <c r="P250" s="259" t="str">
        <f t="shared" si="265"/>
        <v>-</v>
      </c>
      <c r="Q250" s="259" t="str">
        <f t="shared" si="265"/>
        <v>-</v>
      </c>
      <c r="R250" s="259" t="str">
        <f t="shared" si="265"/>
        <v>-</v>
      </c>
      <c r="S250" s="259">
        <f t="shared" si="264"/>
        <v>-1935</v>
      </c>
      <c r="T250" s="259">
        <f t="shared" si="266"/>
        <v>-2300</v>
      </c>
      <c r="U250" s="259">
        <f t="shared" si="266"/>
        <v>-2666</v>
      </c>
      <c r="V250" s="259">
        <f t="shared" si="266"/>
        <v>-3031</v>
      </c>
      <c r="W250" s="259">
        <f t="shared" si="266"/>
        <v>-3396</v>
      </c>
      <c r="X250" s="259">
        <f t="shared" si="266"/>
        <v>-3761</v>
      </c>
      <c r="Y250" s="259">
        <f t="shared" si="266"/>
        <v>-4127</v>
      </c>
      <c r="Z250" s="259">
        <f t="shared" si="266"/>
        <v>-4492</v>
      </c>
      <c r="AA250" s="267">
        <f>(VLOOKUP(A250,Hshldprojections2014!$A$2:$AW$319,40, FALSE)-VLOOKUP(A250,Hshldprojections2014!$A$2:$AW$319,30, FALSE))/10</f>
        <v>847.6</v>
      </c>
      <c r="AB250" s="267">
        <f>(VLOOKUP(A250,Hshldprojections2014!$A$2:$AW$319,41, FALSE)-VLOOKUP(A250,Hshldprojections2014!$A$2:$AW$319,31, FALSE))/10</f>
        <v>845.9</v>
      </c>
      <c r="AC250" s="267">
        <f>(VLOOKUP(A250,Hshldprojections2014!$A$2:$AW$319,42, FALSE)-VLOOKUP(A250,Hshldprojections2014!$A$2:$AW$319,32, FALSE))/10</f>
        <v>843.3</v>
      </c>
      <c r="AD250" s="267">
        <f>IF(IndividualLATest!$J$7=2014,(VLOOKUP($A250,Hshldprojections2014!$A$2:$AY$326,43,FALSE)-VLOOKUP($A250,Hshldprojections2014!$A$2:$AY$326,33,FALSE))/10,IF(IndividualLATest!$J$7=2016,(VLOOKUP($A250,Hshldprojections2016!$A$1:$AQ$322,33,FALSE)-VLOOKUP($A250,Hshldprojections2016!$A$1:$AQ$322,23,FALSE))/10,(VLOOKUP($A250,Hshldprojections2018!$A$1:$AQ$327,33,FALSE)-VLOOKUP($A250,Hshldprojections2018!$A$1:$AQ$327,23,FALSE))/10))</f>
        <v>624.5</v>
      </c>
      <c r="AE250" s="267">
        <f>IF(IndividualLATest!$J$7=2014,(VLOOKUP($A250,Hshldprojections2014!$A$2:$AY$326,44,FALSE)-VLOOKUP($A250,Hshldprojections2014!$A$2:$AY$326,34,FALSE))/10,IF(IndividualLATest!$J$7=2016,(VLOOKUP($A250,Hshldprojections2016!$A$1:$AQ$322,34,FALSE)-VLOOKUP($A250,Hshldprojections2016!$A$1:$AQ$322,24,FALSE))/10,(VLOOKUP($A250,Hshldprojections2018!$A$1:$AQ$327,34,FALSE)-VLOOKUP($A250,Hshldprojections2018!$A$1:$AQ$327,24,FALSE))/10))</f>
        <v>616.70000000000005</v>
      </c>
      <c r="AF250" s="267">
        <f>IF(IndividualLATest!$J$7=2014,(VLOOKUP($A250,Hshldprojections2014!$A$2:$AY$326,45,FALSE)-VLOOKUP($A250,Hshldprojections2014!$A$2:$AY$326,35,FALSE))/10,IF(IndividualLATest!$J$7=2016,(VLOOKUP($A250,Hshldprojections2016!$A$1:$AQ$322,35,FALSE)-VLOOKUP($A250,Hshldprojections2016!$A$1:$AQ$322,25,FALSE))/10,(VLOOKUP($A250,Hshldprojections2018!$A$1:$AQ$327,35,FALSE)-VLOOKUP($A250,Hshldprojections2018!$A$1:$AQ$327,25,FALSE))/10))</f>
        <v>609.1</v>
      </c>
      <c r="AG250" s="267">
        <f>IF(IndividualLATest!$J$7=2014,(VLOOKUP($A250,Hshldprojections2014!$A$2:$AY$326,46,FALSE)-VLOOKUP($A250,Hshldprojections2014!$A$2:$AY$326,36,FALSE))/10,IF(IndividualLATest!$J$7=2016,(VLOOKUP($A250,Hshldprojections2016!$A$1:$AQ$322,36,FALSE)-VLOOKUP($A250,Hshldprojections2016!$A$1:$AQ$322,26,FALSE))/10,(VLOOKUP($A250,Hshldprojections2018!$A$1:$AQ$327,36,FALSE)-VLOOKUP($A250,Hshldprojections2018!$A$1:$AQ$327,26,FALSE))/10))</f>
        <v>601.70000000000005</v>
      </c>
      <c r="AH250" s="267">
        <f>IF(IndividualLATest!$J$7=2014,(VLOOKUP($A250,Hshldprojections2014!$A$2:$AY$326,47,FALSE)-VLOOKUP($A250,Hshldprojections2014!$A$2:$AY$326,37,FALSE))/10,IF(IndividualLATest!$J$7=2016,(VLOOKUP($A250,Hshldprojections2016!$A$1:$AQ$322,37,FALSE)-VLOOKUP($A250,Hshldprojections2016!$A$1:$AQ$322,27,FALSE))/10,(VLOOKUP($A250,Hshldprojections2018!$A$1:$AQ$327,37,FALSE)-VLOOKUP($A250,Hshldprojections2018!$A$1:$AQ$327,27,FALSE))/10))</f>
        <v>595.29999999999995</v>
      </c>
      <c r="AI250" s="268">
        <f>VLOOKUP($A250,AffordabilityRatio!$A$2:$I$321,5,FALSE)</f>
        <v>10.3</v>
      </c>
      <c r="AJ250" s="268">
        <f>VLOOKUP($A250,AffordabilityRatio!$A$2:$I$321,6,FALSE)</f>
        <v>10.32</v>
      </c>
      <c r="AK250" s="268">
        <f>VLOOKUP($A250,AffordabilityRatio!$A$2:$I$321,7,FALSE)</f>
        <v>10.6</v>
      </c>
      <c r="AL250" s="268">
        <f>IF((VLOOKUP($A250,AffordabilityRatio!$A$2:$I$321,8,FALSE))="",AK250,VLOOKUP($A250,AffordabilityRatio!$A$2:$I$321,8,FALSE))</f>
        <v>10.36</v>
      </c>
      <c r="AM250" s="268">
        <f>IF((VLOOKUP($A250,AffordabilityRatio!$A$2:$I$321,9,FALSE))="",AL250,VLOOKUP($A250,AffordabilityRatio!$A$2:$I$321,9,FALSE))</f>
        <v>11.13</v>
      </c>
      <c r="AN250" s="268">
        <f>IF((VLOOKUP($A250,AffordabilityRatio!$A$2:$I$321,9,FALSE))="",AM250,VLOOKUP($A250,AffordabilityRatio!$A$2:$I$321,9,FALSE))</f>
        <v>11.13</v>
      </c>
      <c r="AO250" s="268">
        <f>IF((VLOOKUP($A250,AffordabilityRatio!$A$2:$I$321,9,FALSE))="",AN250,VLOOKUP($A250,AffordabilityRatio!$A$2:$I$321,9,FALSE))</f>
        <v>11.13</v>
      </c>
      <c r="AP250" s="268">
        <f>IF((VLOOKUP($A250,AffordabilityRatio!$A$2:$I$321,9,FALSE))="",AO250,VLOOKUP($A250,AffordabilityRatio!$A$2:$I$321,9,FALSE))</f>
        <v>11.13</v>
      </c>
      <c r="AQ250" s="267">
        <f t="shared" si="218"/>
        <v>1181</v>
      </c>
      <c r="AR250" s="267">
        <f t="shared" si="219"/>
        <v>1180</v>
      </c>
      <c r="AS250" s="267">
        <f t="shared" si="220"/>
        <v>1191</v>
      </c>
      <c r="AT250" s="267">
        <f t="shared" si="221"/>
        <v>873</v>
      </c>
      <c r="AU250" s="267">
        <f t="shared" si="222"/>
        <v>892</v>
      </c>
      <c r="AV250" s="267">
        <f t="shared" si="223"/>
        <v>881</v>
      </c>
      <c r="AW250" s="267">
        <f t="shared" si="224"/>
        <v>870</v>
      </c>
      <c r="AX250" s="267">
        <f t="shared" si="225"/>
        <v>861</v>
      </c>
      <c r="AY250" s="267">
        <f t="shared" si="226"/>
        <v>1181</v>
      </c>
      <c r="AZ250" s="267">
        <f t="shared" si="227"/>
        <v>1180</v>
      </c>
      <c r="BA250" s="267">
        <f t="shared" si="228"/>
        <v>1180.6199999999999</v>
      </c>
      <c r="BB250" s="267">
        <f t="shared" si="229"/>
        <v>873</v>
      </c>
      <c r="BC250" s="267">
        <f t="shared" si="230"/>
        <v>863.38000000000011</v>
      </c>
      <c r="BD250" s="267">
        <f t="shared" si="231"/>
        <v>852.74</v>
      </c>
      <c r="BE250" s="267">
        <f t="shared" si="232"/>
        <v>842.38000000000011</v>
      </c>
      <c r="BF250" s="267">
        <f t="shared" si="233"/>
        <v>833.42</v>
      </c>
      <c r="BG250" s="269">
        <f>AY250*VLOOKUP($B250,'Major Cities &amp; Towns'!$A$28:$B$345,2,FALSE)</f>
        <v>1181</v>
      </c>
      <c r="BH250" s="269">
        <f>AZ250*VLOOKUP($B250,'Major Cities &amp; Towns'!$A$28:$B$345,2,FALSE)</f>
        <v>1180</v>
      </c>
      <c r="BI250" s="269">
        <f>BA250*VLOOKUP($B250,'Major Cities &amp; Towns'!$A$28:$B$345,2,FALSE)</f>
        <v>1180.6199999999999</v>
      </c>
      <c r="BJ250" s="269">
        <f>BB250*VLOOKUP($B250,'Major Cities &amp; Towns'!$A$28:$B$345,2,FALSE)</f>
        <v>873</v>
      </c>
      <c r="BK250" s="269">
        <f>BC250*VLOOKUP($B250,'Major Cities &amp; Towns'!$A$28:$B$345,2,FALSE)</f>
        <v>863.38000000000011</v>
      </c>
      <c r="BL250" s="269">
        <f>BD250*VLOOKUP($B250,'Major Cities &amp; Towns'!$A$28:$B$345,2,FALSE)</f>
        <v>852.74</v>
      </c>
      <c r="BM250" s="269">
        <f>BE250*VLOOKUP($B250,'Major Cities &amp; Towns'!$A$28:$B$345,2,FALSE)</f>
        <v>842.38000000000011</v>
      </c>
      <c r="BN250" s="269">
        <f>BF250*VLOOKUP($B250,'Major Cities &amp; Towns'!$A$28:$B$345,2,FALSE)</f>
        <v>833.42</v>
      </c>
      <c r="BO250" s="270">
        <f t="shared" si="234"/>
        <v>1181</v>
      </c>
      <c r="BP250" s="270">
        <f t="shared" si="235"/>
        <v>1180</v>
      </c>
      <c r="BQ250" s="270">
        <f t="shared" si="236"/>
        <v>1191</v>
      </c>
      <c r="BR250" s="270">
        <f t="shared" si="237"/>
        <v>873</v>
      </c>
      <c r="BS250" s="270">
        <f t="shared" si="238"/>
        <v>892</v>
      </c>
      <c r="BT250" s="270">
        <f t="shared" si="239"/>
        <v>881</v>
      </c>
      <c r="BU250" s="270">
        <f t="shared" si="240"/>
        <v>870</v>
      </c>
      <c r="BV250" s="270">
        <f t="shared" si="241"/>
        <v>861</v>
      </c>
      <c r="BW250" s="39">
        <f>VLOOKUP($A250,NetAdditions!$A$2:$H$336,6,FALSE)</f>
        <v>492</v>
      </c>
      <c r="BX250" s="39">
        <f>VLOOKUP($A250,NetAdditions!$A$2:$H$336,7,FALSE)</f>
        <v>218</v>
      </c>
      <c r="BY250" s="39">
        <f>IF((VLOOKUP($C250,NetAdditions!$A$2:$H$336,8,FALSE))="",(AVERAGE(VLOOKUP($C250,NetAdditions!$A$2:$H$336,5,FALSE),VLOOKUP($C250,NetAdditions!$A$2:$H$336,6,FALSE),VLOOKUP($C250,NetAdditions!$A$2:$H$336,7,FALSE))),VLOOKUP($C250,NetAdditions!$A$2:$H$336,8,FALSE))</f>
        <v>237</v>
      </c>
      <c r="BZ250" s="39">
        <f t="shared" si="242"/>
        <v>315.66666666666669</v>
      </c>
      <c r="CA250" s="39">
        <f t="shared" si="243"/>
        <v>256.88888888888891</v>
      </c>
      <c r="CB250" s="39">
        <f t="shared" si="244"/>
        <v>269.8518518518519</v>
      </c>
      <c r="CC250" s="39">
        <f t="shared" si="245"/>
        <v>280.80246913580254</v>
      </c>
      <c r="CD250" s="39">
        <f t="shared" si="246"/>
        <v>269.18106995884779</v>
      </c>
      <c r="CE250" s="276">
        <f t="shared" si="203"/>
        <v>3552</v>
      </c>
      <c r="CF250" s="276">
        <f t="shared" si="204"/>
        <v>3244</v>
      </c>
      <c r="CG250" s="276">
        <f t="shared" si="205"/>
        <v>2956</v>
      </c>
      <c r="CH250" s="276">
        <f t="shared" si="206"/>
        <v>2646</v>
      </c>
      <c r="CI250" s="276">
        <f t="shared" si="207"/>
        <v>2643</v>
      </c>
      <c r="CJ250" s="276">
        <f t="shared" si="208"/>
        <v>2612</v>
      </c>
      <c r="CK250" s="276">
        <f t="shared" si="247"/>
        <v>3058.666666666667</v>
      </c>
      <c r="CL250" s="276">
        <f t="shared" si="248"/>
        <v>2793.4444444444448</v>
      </c>
      <c r="CM250" s="276">
        <f t="shared" si="249"/>
        <v>2709.6666666666665</v>
      </c>
      <c r="CN250" s="276">
        <f t="shared" si="250"/>
        <v>2646</v>
      </c>
      <c r="CO250" s="276">
        <f t="shared" si="251"/>
        <v>2643</v>
      </c>
      <c r="CP250" s="276">
        <f t="shared" si="252"/>
        <v>2612</v>
      </c>
      <c r="CQ250" s="39">
        <f t="shared" si="209"/>
        <v>947</v>
      </c>
      <c r="CR250" s="39">
        <f t="shared" si="210"/>
        <v>770.66666666666674</v>
      </c>
      <c r="CS250" s="277">
        <f t="shared" si="211"/>
        <v>809.55555555555566</v>
      </c>
      <c r="CT250" s="39">
        <f t="shared" si="212"/>
        <v>842.40740740740762</v>
      </c>
      <c r="CU250" s="39">
        <f t="shared" si="213"/>
        <v>807.54320987654341</v>
      </c>
      <c r="CV250" s="39">
        <f t="shared" si="253"/>
        <v>819.83539094650223</v>
      </c>
      <c r="CW250" s="297">
        <f t="shared" si="214"/>
        <v>0.3096120313862249</v>
      </c>
      <c r="CX250" s="279" t="str">
        <f t="shared" si="254"/>
        <v>Buffer and Action Plan</v>
      </c>
      <c r="CY250" s="278">
        <f t="shared" si="215"/>
        <v>0.2758840141601368</v>
      </c>
      <c r="CZ250" s="279" t="str">
        <f t="shared" si="255"/>
        <v>Presumption</v>
      </c>
      <c r="DA250" s="278">
        <f t="shared" si="216"/>
        <v>0.29876573584286714</v>
      </c>
      <c r="DB250" s="292" t="str">
        <f t="shared" si="256"/>
        <v>Presumption</v>
      </c>
      <c r="DC250" s="299">
        <f t="shared" si="257"/>
        <v>0.31837014641247452</v>
      </c>
      <c r="DD250" s="293" t="str">
        <f t="shared" si="258"/>
        <v>Presumption</v>
      </c>
      <c r="DE250" s="299">
        <f t="shared" si="259"/>
        <v>0.30554037452763655</v>
      </c>
      <c r="DF250" s="293" t="str">
        <f t="shared" si="260"/>
        <v>Presumption</v>
      </c>
      <c r="DG250" s="299">
        <f t="shared" si="261"/>
        <v>0.3138726611586915</v>
      </c>
      <c r="DH250" s="293" t="str">
        <f t="shared" si="262"/>
        <v>Presumption</v>
      </c>
    </row>
    <row r="251" spans="1:112" customFormat="1" ht="15.5" thickTop="1" thickBot="1">
      <c r="A251" s="3" t="s">
        <v>612</v>
      </c>
      <c r="B251" s="3" t="s">
        <v>613</v>
      </c>
      <c r="C251" s="3" t="s">
        <v>612</v>
      </c>
      <c r="D251" s="3" t="s">
        <v>131</v>
      </c>
      <c r="E251" s="3" t="str">
        <f>VLOOKUP(C251,PoliticalControl!A:K,11,FALSE)</f>
        <v>LAB</v>
      </c>
      <c r="F251" s="3" t="str">
        <f>VLOOKUP(C251,UrbanRuralClassification!A:N,13,FALSE)</f>
        <v>Urban with Major Conurbation</v>
      </c>
      <c r="G251" s="3" t="str">
        <f>VLOOKUP(C251,UrbanRuralClassification!A:N,14,FALSE)</f>
        <v>Predominantly Urban</v>
      </c>
      <c r="H251" s="262">
        <f>IF(ISBLANK((VLOOKUP($A251,'local-plan-data'!$C$1:$AD$566,27,FALSE)))=TRUE,"",VLOOKUP($A251,'local-plan-data'!$C$1:$AD$566,27,FALSE))</f>
        <v>40639</v>
      </c>
      <c r="I251" s="263">
        <f>VLOOKUP($A251,'local-plan-data'!$C$1:$AD$566,28,FALSE)</f>
        <v>1630</v>
      </c>
      <c r="J251" s="264">
        <f t="shared" si="217"/>
        <v>1630</v>
      </c>
      <c r="K251" s="259" t="str">
        <f t="shared" si="263"/>
        <v>-</v>
      </c>
      <c r="L251" s="259" t="str">
        <f t="shared" si="265"/>
        <v>-</v>
      </c>
      <c r="M251" s="259" t="str">
        <f t="shared" si="265"/>
        <v>-</v>
      </c>
      <c r="N251" s="259" t="str">
        <f t="shared" si="265"/>
        <v>-</v>
      </c>
      <c r="O251" s="259" t="str">
        <f t="shared" si="265"/>
        <v>-</v>
      </c>
      <c r="P251" s="259" t="str">
        <f t="shared" si="265"/>
        <v>-</v>
      </c>
      <c r="Q251" s="259" t="str">
        <f t="shared" si="265"/>
        <v>-</v>
      </c>
      <c r="R251" s="259" t="str">
        <f t="shared" si="265"/>
        <v>-</v>
      </c>
      <c r="S251" s="259">
        <f t="shared" si="264"/>
        <v>-725</v>
      </c>
      <c r="T251" s="259">
        <f t="shared" si="266"/>
        <v>-1090</v>
      </c>
      <c r="U251" s="259">
        <f t="shared" si="266"/>
        <v>-1456</v>
      </c>
      <c r="V251" s="259">
        <f t="shared" si="266"/>
        <v>-1821</v>
      </c>
      <c r="W251" s="259">
        <f t="shared" si="266"/>
        <v>-2186</v>
      </c>
      <c r="X251" s="259">
        <f t="shared" si="266"/>
        <v>-2551</v>
      </c>
      <c r="Y251" s="259">
        <f t="shared" si="266"/>
        <v>-2917</v>
      </c>
      <c r="Z251" s="259">
        <f t="shared" si="266"/>
        <v>-3282</v>
      </c>
      <c r="AA251" s="267">
        <f>(VLOOKUP(A251,Hshldprojections2014!$A$2:$AW$319,40, FALSE)-VLOOKUP(A251,Hshldprojections2014!$A$2:$AW$319,30, FALSE))/10</f>
        <v>2111.5</v>
      </c>
      <c r="AB251" s="267">
        <f>(VLOOKUP(A251,Hshldprojections2014!$A$2:$AW$319,41, FALSE)-VLOOKUP(A251,Hshldprojections2014!$A$2:$AW$319,31, FALSE))/10</f>
        <v>2071.6999999999998</v>
      </c>
      <c r="AC251" s="267">
        <f>(VLOOKUP(A251,Hshldprojections2014!$A$2:$AW$319,42, FALSE)-VLOOKUP(A251,Hshldprojections2014!$A$2:$AW$319,32, FALSE))/10</f>
        <v>2038.6</v>
      </c>
      <c r="AD251" s="267">
        <f>IF(IndividualLATest!$J$7=2014,(VLOOKUP($A251,Hshldprojections2014!$A$2:$AY$326,43,FALSE)-VLOOKUP($A251,Hshldprojections2014!$A$2:$AY$326,33,FALSE))/10,IF(IndividualLATest!$J$7=2016,(VLOOKUP($A251,Hshldprojections2016!$A$1:$AQ$322,33,FALSE)-VLOOKUP($A251,Hshldprojections2016!$A$1:$AQ$322,23,FALSE))/10,(VLOOKUP($A251,Hshldprojections2018!$A$1:$AQ$327,33,FALSE)-VLOOKUP($A251,Hshldprojections2018!$A$1:$AQ$327,23,FALSE))/10))</f>
        <v>1180</v>
      </c>
      <c r="AE251" s="267">
        <f>IF(IndividualLATest!$J$7=2014,(VLOOKUP($A251,Hshldprojections2014!$A$2:$AY$326,44,FALSE)-VLOOKUP($A251,Hshldprojections2014!$A$2:$AY$326,34,FALSE))/10,IF(IndividualLATest!$J$7=2016,(VLOOKUP($A251,Hshldprojections2016!$A$1:$AQ$322,34,FALSE)-VLOOKUP($A251,Hshldprojections2016!$A$1:$AQ$322,24,FALSE))/10,(VLOOKUP($A251,Hshldprojections2018!$A$1:$AQ$327,34,FALSE)-VLOOKUP($A251,Hshldprojections2018!$A$1:$AQ$327,24,FALSE))/10))</f>
        <v>1144.4000000000001</v>
      </c>
      <c r="AF251" s="267">
        <f>IF(IndividualLATest!$J$7=2014,(VLOOKUP($A251,Hshldprojections2014!$A$2:$AY$326,45,FALSE)-VLOOKUP($A251,Hshldprojections2014!$A$2:$AY$326,35,FALSE))/10,IF(IndividualLATest!$J$7=2016,(VLOOKUP($A251,Hshldprojections2016!$A$1:$AQ$322,35,FALSE)-VLOOKUP($A251,Hshldprojections2016!$A$1:$AQ$322,25,FALSE))/10,(VLOOKUP($A251,Hshldprojections2018!$A$1:$AQ$327,35,FALSE)-VLOOKUP($A251,Hshldprojections2018!$A$1:$AQ$327,25,FALSE))/10))</f>
        <v>1123.8</v>
      </c>
      <c r="AG251" s="267">
        <f>IF(IndividualLATest!$J$7=2014,(VLOOKUP($A251,Hshldprojections2014!$A$2:$AY$326,46,FALSE)-VLOOKUP($A251,Hshldprojections2014!$A$2:$AY$326,36,FALSE))/10,IF(IndividualLATest!$J$7=2016,(VLOOKUP($A251,Hshldprojections2016!$A$1:$AQ$322,36,FALSE)-VLOOKUP($A251,Hshldprojections2016!$A$1:$AQ$322,26,FALSE))/10,(VLOOKUP($A251,Hshldprojections2018!$A$1:$AQ$327,36,FALSE)-VLOOKUP($A251,Hshldprojections2018!$A$1:$AQ$327,26,FALSE))/10))</f>
        <v>1108.8</v>
      </c>
      <c r="AH251" s="267">
        <f>IF(IndividualLATest!$J$7=2014,(VLOOKUP($A251,Hshldprojections2014!$A$2:$AY$326,47,FALSE)-VLOOKUP($A251,Hshldprojections2014!$A$2:$AY$326,37,FALSE))/10,IF(IndividualLATest!$J$7=2016,(VLOOKUP($A251,Hshldprojections2016!$A$1:$AQ$322,37,FALSE)-VLOOKUP($A251,Hshldprojections2016!$A$1:$AQ$322,27,FALSE))/10,(VLOOKUP($A251,Hshldprojections2018!$A$1:$AQ$327,37,FALSE)-VLOOKUP($A251,Hshldprojections2018!$A$1:$AQ$327,27,FALSE))/10))</f>
        <v>1099.2</v>
      </c>
      <c r="AI251" s="268">
        <f>VLOOKUP($A251,AffordabilityRatio!$A$2:$I$321,5,FALSE)</f>
        <v>14.16</v>
      </c>
      <c r="AJ251" s="268">
        <f>VLOOKUP($A251,AffordabilityRatio!$A$2:$I$321,6,FALSE)</f>
        <v>13.88</v>
      </c>
      <c r="AK251" s="268">
        <f>VLOOKUP($A251,AffordabilityRatio!$A$2:$I$321,7,FALSE)</f>
        <v>13.87</v>
      </c>
      <c r="AL251" s="268">
        <f>IF((VLOOKUP($A251,AffordabilityRatio!$A$2:$I$321,8,FALSE))="",AK251,VLOOKUP($A251,AffordabilityRatio!$A$2:$I$321,8,FALSE))</f>
        <v>12.32</v>
      </c>
      <c r="AM251" s="268">
        <f>IF((VLOOKUP($A251,AffordabilityRatio!$A$2:$I$321,9,FALSE))="",AL251,VLOOKUP($A251,AffordabilityRatio!$A$2:$I$321,9,FALSE))</f>
        <v>13.51</v>
      </c>
      <c r="AN251" s="268">
        <f>IF((VLOOKUP($A251,AffordabilityRatio!$A$2:$I$321,9,FALSE))="",AM251,VLOOKUP($A251,AffordabilityRatio!$A$2:$I$321,9,FALSE))</f>
        <v>13.51</v>
      </c>
      <c r="AO251" s="268">
        <f>IF((VLOOKUP($A251,AffordabilityRatio!$A$2:$I$321,9,FALSE))="",AN251,VLOOKUP($A251,AffordabilityRatio!$A$2:$I$321,9,FALSE))</f>
        <v>13.51</v>
      </c>
      <c r="AP251" s="268">
        <f>IF((VLOOKUP($A251,AffordabilityRatio!$A$2:$I$321,9,FALSE))="",AO251,VLOOKUP($A251,AffordabilityRatio!$A$2:$I$321,9,FALSE))</f>
        <v>13.51</v>
      </c>
      <c r="AQ251" s="267">
        <f t="shared" si="218"/>
        <v>3452</v>
      </c>
      <c r="AR251" s="267">
        <f t="shared" si="219"/>
        <v>3351</v>
      </c>
      <c r="AS251" s="267">
        <f t="shared" si="220"/>
        <v>3296</v>
      </c>
      <c r="AT251" s="267">
        <f t="shared" si="221"/>
        <v>1794</v>
      </c>
      <c r="AU251" s="267">
        <f t="shared" si="222"/>
        <v>1825</v>
      </c>
      <c r="AV251" s="267">
        <f t="shared" si="223"/>
        <v>1792</v>
      </c>
      <c r="AW251" s="267">
        <f t="shared" si="224"/>
        <v>1768</v>
      </c>
      <c r="AX251" s="267">
        <f t="shared" si="225"/>
        <v>1753</v>
      </c>
      <c r="AY251" s="267">
        <f t="shared" si="226"/>
        <v>2956.1</v>
      </c>
      <c r="AZ251" s="267">
        <f t="shared" si="227"/>
        <v>2900.3799999999997</v>
      </c>
      <c r="BA251" s="267">
        <f t="shared" si="228"/>
        <v>2854.04</v>
      </c>
      <c r="BB251" s="267">
        <f t="shared" si="229"/>
        <v>1794</v>
      </c>
      <c r="BC251" s="267">
        <f t="shared" si="230"/>
        <v>1825</v>
      </c>
      <c r="BD251" s="267">
        <f t="shared" si="231"/>
        <v>1792</v>
      </c>
      <c r="BE251" s="267">
        <f t="shared" si="232"/>
        <v>1768</v>
      </c>
      <c r="BF251" s="267">
        <f t="shared" si="233"/>
        <v>1753</v>
      </c>
      <c r="BG251" s="269">
        <f>AY251*VLOOKUP($B251,'Major Cities &amp; Towns'!$A$28:$B$345,2,FALSE)</f>
        <v>3990.7350000000001</v>
      </c>
      <c r="BH251" s="269">
        <f>AZ251*VLOOKUP($B251,'Major Cities &amp; Towns'!$A$28:$B$345,2,FALSE)</f>
        <v>3915.5129999999999</v>
      </c>
      <c r="BI251" s="269">
        <f>BA251*VLOOKUP($B251,'Major Cities &amp; Towns'!$A$28:$B$345,2,FALSE)</f>
        <v>3852.9540000000002</v>
      </c>
      <c r="BJ251" s="269">
        <f>BB251*VLOOKUP($B251,'Major Cities &amp; Towns'!$A$28:$B$345,2,FALSE)</f>
        <v>2421.9</v>
      </c>
      <c r="BK251" s="269">
        <f>BC251*VLOOKUP($B251,'Major Cities &amp; Towns'!$A$28:$B$345,2,FALSE)</f>
        <v>2463.75</v>
      </c>
      <c r="BL251" s="269">
        <f>BD251*VLOOKUP($B251,'Major Cities &amp; Towns'!$A$28:$B$345,2,FALSE)</f>
        <v>2419.2000000000003</v>
      </c>
      <c r="BM251" s="269">
        <f>BE251*VLOOKUP($B251,'Major Cities &amp; Towns'!$A$28:$B$345,2,FALSE)</f>
        <v>2386.8000000000002</v>
      </c>
      <c r="BN251" s="269">
        <f>BF251*VLOOKUP($B251,'Major Cities &amp; Towns'!$A$28:$B$345,2,FALSE)</f>
        <v>2366.5500000000002</v>
      </c>
      <c r="BO251" s="270">
        <f t="shared" si="234"/>
        <v>3452</v>
      </c>
      <c r="BP251" s="270">
        <f t="shared" si="235"/>
        <v>3351</v>
      </c>
      <c r="BQ251" s="270">
        <f t="shared" si="236"/>
        <v>3296</v>
      </c>
      <c r="BR251" s="270">
        <f t="shared" si="237"/>
        <v>1794</v>
      </c>
      <c r="BS251" s="270">
        <f t="shared" si="238"/>
        <v>1825</v>
      </c>
      <c r="BT251" s="270">
        <f t="shared" si="239"/>
        <v>1792</v>
      </c>
      <c r="BU251" s="270">
        <f t="shared" si="240"/>
        <v>1768</v>
      </c>
      <c r="BV251" s="270">
        <f t="shared" si="241"/>
        <v>1753</v>
      </c>
      <c r="BW251" s="39">
        <f>VLOOKUP($A251,NetAdditions!$A$2:$H$336,6,FALSE)</f>
        <v>3208</v>
      </c>
      <c r="BX251" s="39">
        <f>VLOOKUP($A251,NetAdditions!$A$2:$H$336,7,FALSE)</f>
        <v>1458</v>
      </c>
      <c r="BY251" s="39">
        <f>IF((VLOOKUP($C251,NetAdditions!$A$2:$H$336,8,FALSE))="",(AVERAGE(VLOOKUP($C251,NetAdditions!$A$2:$H$336,5,FALSE),VLOOKUP($C251,NetAdditions!$A$2:$H$336,6,FALSE),VLOOKUP($C251,NetAdditions!$A$2:$H$336,7,FALSE))),VLOOKUP($C251,NetAdditions!$A$2:$H$336,8,FALSE))</f>
        <v>1096</v>
      </c>
      <c r="BZ251" s="39">
        <f t="shared" si="242"/>
        <v>1920.6666666666667</v>
      </c>
      <c r="CA251" s="39">
        <f t="shared" si="243"/>
        <v>1491.5555555555557</v>
      </c>
      <c r="CB251" s="39">
        <f t="shared" si="244"/>
        <v>1502.7407407407409</v>
      </c>
      <c r="CC251" s="39">
        <f t="shared" si="245"/>
        <v>1638.3209876543212</v>
      </c>
      <c r="CD251" s="39">
        <f t="shared" si="246"/>
        <v>1544.2057613168727</v>
      </c>
      <c r="CE251" s="276">
        <f t="shared" si="203"/>
        <v>10099</v>
      </c>
      <c r="CF251" s="276">
        <f t="shared" si="204"/>
        <v>8441</v>
      </c>
      <c r="CG251" s="276">
        <f t="shared" si="205"/>
        <v>6915</v>
      </c>
      <c r="CH251" s="276">
        <f t="shared" si="206"/>
        <v>5411</v>
      </c>
      <c r="CI251" s="276">
        <f t="shared" si="207"/>
        <v>5385</v>
      </c>
      <c r="CJ251" s="276">
        <f t="shared" si="208"/>
        <v>5313</v>
      </c>
      <c r="CK251" s="276">
        <f t="shared" si="247"/>
        <v>8696.3611111111113</v>
      </c>
      <c r="CL251" s="276">
        <f t="shared" si="248"/>
        <v>7268.6388888888896</v>
      </c>
      <c r="CM251" s="276">
        <f t="shared" si="249"/>
        <v>6338.75</v>
      </c>
      <c r="CN251" s="276">
        <f t="shared" si="250"/>
        <v>5411</v>
      </c>
      <c r="CO251" s="276">
        <f t="shared" si="251"/>
        <v>5385</v>
      </c>
      <c r="CP251" s="276">
        <f t="shared" si="252"/>
        <v>5313</v>
      </c>
      <c r="CQ251" s="39">
        <f t="shared" si="209"/>
        <v>5762</v>
      </c>
      <c r="CR251" s="39">
        <f t="shared" si="210"/>
        <v>4474.666666666667</v>
      </c>
      <c r="CS251" s="277">
        <f t="shared" si="211"/>
        <v>4508.2222222222226</v>
      </c>
      <c r="CT251" s="39">
        <f t="shared" si="212"/>
        <v>4914.9629629629635</v>
      </c>
      <c r="CU251" s="39">
        <f t="shared" si="213"/>
        <v>4632.617283950618</v>
      </c>
      <c r="CV251" s="39">
        <f t="shared" si="253"/>
        <v>4685.267489711935</v>
      </c>
      <c r="CW251" s="297">
        <f t="shared" si="214"/>
        <v>0.66257598165260689</v>
      </c>
      <c r="CX251" s="279" t="str">
        <f t="shared" si="254"/>
        <v>Buffer and Action Plan</v>
      </c>
      <c r="CY251" s="278">
        <f t="shared" si="215"/>
        <v>0.61561273507572489</v>
      </c>
      <c r="CZ251" s="279" t="str">
        <f t="shared" si="255"/>
        <v>Buffer and Action Plan</v>
      </c>
      <c r="DA251" s="278">
        <f t="shared" si="216"/>
        <v>0.71121628431823669</v>
      </c>
      <c r="DB251" s="292" t="str">
        <f t="shared" si="256"/>
        <v>Presumption</v>
      </c>
      <c r="DC251" s="299">
        <f t="shared" si="257"/>
        <v>0.90832802863850737</v>
      </c>
      <c r="DD251" s="293" t="str">
        <f t="shared" si="258"/>
        <v>Action Plan</v>
      </c>
      <c r="DE251" s="299">
        <f t="shared" si="259"/>
        <v>0.86028176117931621</v>
      </c>
      <c r="DF251" s="293" t="str">
        <f t="shared" si="260"/>
        <v>Action Plan</v>
      </c>
      <c r="DG251" s="299">
        <f t="shared" si="261"/>
        <v>0.88184970632635706</v>
      </c>
      <c r="DH251" s="293" t="str">
        <f t="shared" si="262"/>
        <v>Action Plan</v>
      </c>
    </row>
    <row r="252" spans="1:112" ht="15" thickTop="1" thickBot="1">
      <c r="A252" s="38" t="s">
        <v>614</v>
      </c>
      <c r="B252" s="38" t="s">
        <v>615</v>
      </c>
      <c r="C252" s="38" t="s">
        <v>614</v>
      </c>
      <c r="D252" s="38" t="s">
        <v>113</v>
      </c>
      <c r="E252" s="38" t="str">
        <f>VLOOKUP(C252,PoliticalControl!A:K,11,FALSE)</f>
        <v>NOC</v>
      </c>
      <c r="F252" s="38" t="str">
        <f>VLOOKUP(C252,UrbanRuralClassification!A:N,13,FALSE)</f>
        <v>Urban with Major Conurbation</v>
      </c>
      <c r="G252" s="38" t="str">
        <f>VLOOKUP(C252,UrbanRuralClassification!A:N,14,FALSE)</f>
        <v>Predominantly Urban</v>
      </c>
      <c r="H252" s="258">
        <f>IF(ISBLANK((VLOOKUP($A252,'local-plan-data'!$C$1:$AD$566,27,FALSE)))=TRUE,"",VLOOKUP($A252,'local-plan-data'!$C$1:$AD$566,27,FALSE))</f>
        <v>39870</v>
      </c>
      <c r="I252" s="259">
        <f>VLOOKUP($A252,'local-plan-data'!$C$1:$AD$566,28,FALSE)</f>
        <v>166</v>
      </c>
      <c r="J252" s="260">
        <f t="shared" si="217"/>
        <v>166</v>
      </c>
      <c r="K252" s="259" t="str">
        <f t="shared" si="263"/>
        <v>-</v>
      </c>
      <c r="L252" s="259" t="str">
        <f t="shared" si="265"/>
        <v>-</v>
      </c>
      <c r="M252" s="259" t="str">
        <f t="shared" si="265"/>
        <v>-</v>
      </c>
      <c r="N252" s="259" t="str">
        <f t="shared" si="265"/>
        <v>-</v>
      </c>
      <c r="O252" s="259" t="str">
        <f t="shared" si="265"/>
        <v>-</v>
      </c>
      <c r="P252" s="259" t="str">
        <f t="shared" si="265"/>
        <v>-</v>
      </c>
      <c r="Q252" s="259" t="str">
        <f t="shared" si="265"/>
        <v>-</v>
      </c>
      <c r="R252" s="259" t="str">
        <f t="shared" si="265"/>
        <v>-</v>
      </c>
      <c r="S252" s="259">
        <f t="shared" si="264"/>
        <v>-1495</v>
      </c>
      <c r="T252" s="259">
        <f t="shared" si="266"/>
        <v>-1860</v>
      </c>
      <c r="U252" s="259">
        <f t="shared" si="266"/>
        <v>-2226</v>
      </c>
      <c r="V252" s="259">
        <f t="shared" si="266"/>
        <v>-2591</v>
      </c>
      <c r="W252" s="259">
        <f t="shared" si="266"/>
        <v>-2956</v>
      </c>
      <c r="X252" s="259">
        <f t="shared" si="266"/>
        <v>-3321</v>
      </c>
      <c r="Y252" s="259">
        <f t="shared" si="266"/>
        <v>-3687</v>
      </c>
      <c r="Z252" s="259">
        <f t="shared" si="266"/>
        <v>-4052</v>
      </c>
      <c r="AA252" s="267">
        <f>(VLOOKUP(A252,Hshldprojections2014!$A$2:$AW$319,40, FALSE)-VLOOKUP(A252,Hshldprojections2014!$A$2:$AW$319,30, FALSE))/10</f>
        <v>427.5</v>
      </c>
      <c r="AB252" s="267">
        <f>(VLOOKUP(A252,Hshldprojections2014!$A$2:$AW$319,41, FALSE)-VLOOKUP(A252,Hshldprojections2014!$A$2:$AW$319,31, FALSE))/10</f>
        <v>430.9</v>
      </c>
      <c r="AC252" s="267">
        <f>(VLOOKUP(A252,Hshldprojections2014!$A$2:$AW$319,42, FALSE)-VLOOKUP(A252,Hshldprojections2014!$A$2:$AW$319,32, FALSE))/10</f>
        <v>432.9</v>
      </c>
      <c r="AD252" s="267">
        <f>IF(IndividualLATest!$J$7=2014,(VLOOKUP($A252,Hshldprojections2014!$A$2:$AY$326,43,FALSE)-VLOOKUP($A252,Hshldprojections2014!$A$2:$AY$326,33,FALSE))/10,IF(IndividualLATest!$J$7=2016,(VLOOKUP($A252,Hshldprojections2016!$A$1:$AQ$322,33,FALSE)-VLOOKUP($A252,Hshldprojections2016!$A$1:$AQ$322,23,FALSE))/10,(VLOOKUP($A252,Hshldprojections2018!$A$1:$AQ$327,33,FALSE)-VLOOKUP($A252,Hshldprojections2018!$A$1:$AQ$327,23,FALSE))/10))</f>
        <v>110.8</v>
      </c>
      <c r="AE252" s="267">
        <f>IF(IndividualLATest!$J$7=2014,(VLOOKUP($A252,Hshldprojections2014!$A$2:$AY$326,44,FALSE)-VLOOKUP($A252,Hshldprojections2014!$A$2:$AY$326,34,FALSE))/10,IF(IndividualLATest!$J$7=2016,(VLOOKUP($A252,Hshldprojections2016!$A$1:$AQ$322,34,FALSE)-VLOOKUP($A252,Hshldprojections2016!$A$1:$AQ$322,24,FALSE))/10,(VLOOKUP($A252,Hshldprojections2018!$A$1:$AQ$327,34,FALSE)-VLOOKUP($A252,Hshldprojections2018!$A$1:$AQ$327,24,FALSE))/10))</f>
        <v>110.1</v>
      </c>
      <c r="AF252" s="267">
        <f>IF(IndividualLATest!$J$7=2014,(VLOOKUP($A252,Hshldprojections2014!$A$2:$AY$326,45,FALSE)-VLOOKUP($A252,Hshldprojections2014!$A$2:$AY$326,35,FALSE))/10,IF(IndividualLATest!$J$7=2016,(VLOOKUP($A252,Hshldprojections2016!$A$1:$AQ$322,35,FALSE)-VLOOKUP($A252,Hshldprojections2016!$A$1:$AQ$322,25,FALSE))/10,(VLOOKUP($A252,Hshldprojections2018!$A$1:$AQ$327,35,FALSE)-VLOOKUP($A252,Hshldprojections2018!$A$1:$AQ$327,25,FALSE))/10))</f>
        <v>110.9</v>
      </c>
      <c r="AG252" s="267">
        <f>IF(IndividualLATest!$J$7=2014,(VLOOKUP($A252,Hshldprojections2014!$A$2:$AY$326,46,FALSE)-VLOOKUP($A252,Hshldprojections2014!$A$2:$AY$326,36,FALSE))/10,IF(IndividualLATest!$J$7=2016,(VLOOKUP($A252,Hshldprojections2016!$A$1:$AQ$322,36,FALSE)-VLOOKUP($A252,Hshldprojections2016!$A$1:$AQ$322,26,FALSE))/10,(VLOOKUP($A252,Hshldprojections2018!$A$1:$AQ$327,36,FALSE)-VLOOKUP($A252,Hshldprojections2018!$A$1:$AQ$327,26,FALSE))/10))</f>
        <v>112.2</v>
      </c>
      <c r="AH252" s="267">
        <f>IF(IndividualLATest!$J$7=2014,(VLOOKUP($A252,Hshldprojections2014!$A$2:$AY$326,47,FALSE)-VLOOKUP($A252,Hshldprojections2014!$A$2:$AY$326,37,FALSE))/10,IF(IndividualLATest!$J$7=2016,(VLOOKUP($A252,Hshldprojections2016!$A$1:$AQ$322,37,FALSE)-VLOOKUP($A252,Hshldprojections2016!$A$1:$AQ$322,27,FALSE))/10,(VLOOKUP($A252,Hshldprojections2018!$A$1:$AQ$327,37,FALSE)-VLOOKUP($A252,Hshldprojections2018!$A$1:$AQ$327,27,FALSE))/10))</f>
        <v>113.4</v>
      </c>
      <c r="AI252" s="268">
        <f>VLOOKUP($A252,AffordabilityRatio!$A$2:$I$321,5,FALSE)</f>
        <v>11.08</v>
      </c>
      <c r="AJ252" s="268">
        <f>VLOOKUP($A252,AffordabilityRatio!$A$2:$I$321,6,FALSE)</f>
        <v>11.79</v>
      </c>
      <c r="AK252" s="268">
        <f>VLOOKUP($A252,AffordabilityRatio!$A$2:$I$321,7,FALSE)</f>
        <v>10.77</v>
      </c>
      <c r="AL252" s="268">
        <f>IF((VLOOKUP($A252,AffordabilityRatio!$A$2:$I$321,8,FALSE))="",AK252,VLOOKUP($A252,AffordabilityRatio!$A$2:$I$321,8,FALSE))</f>
        <v>12.39</v>
      </c>
      <c r="AM252" s="268">
        <f>IF((VLOOKUP($A252,AffordabilityRatio!$A$2:$I$321,9,FALSE))="",AL252,VLOOKUP($A252,AffordabilityRatio!$A$2:$I$321,9,FALSE))</f>
        <v>12.66</v>
      </c>
      <c r="AN252" s="268">
        <f>IF((VLOOKUP($A252,AffordabilityRatio!$A$2:$I$321,9,FALSE))="",AM252,VLOOKUP($A252,AffordabilityRatio!$A$2:$I$321,9,FALSE))</f>
        <v>12.66</v>
      </c>
      <c r="AO252" s="268">
        <f>IF((VLOOKUP($A252,AffordabilityRatio!$A$2:$I$321,9,FALSE))="",AN252,VLOOKUP($A252,AffordabilityRatio!$A$2:$I$321,9,FALSE))</f>
        <v>12.66</v>
      </c>
      <c r="AP252" s="268">
        <f>IF((VLOOKUP($A252,AffordabilityRatio!$A$2:$I$321,9,FALSE))="",AO252,VLOOKUP($A252,AffordabilityRatio!$A$2:$I$321,9,FALSE))</f>
        <v>12.66</v>
      </c>
      <c r="AQ252" s="267">
        <f t="shared" si="218"/>
        <v>617</v>
      </c>
      <c r="AR252" s="267">
        <f t="shared" si="219"/>
        <v>641</v>
      </c>
      <c r="AS252" s="267">
        <f t="shared" si="220"/>
        <v>616</v>
      </c>
      <c r="AT252" s="267">
        <f t="shared" si="221"/>
        <v>169</v>
      </c>
      <c r="AU252" s="267">
        <f t="shared" si="222"/>
        <v>170</v>
      </c>
      <c r="AV252" s="267">
        <f t="shared" si="223"/>
        <v>171</v>
      </c>
      <c r="AW252" s="267">
        <f t="shared" si="224"/>
        <v>173</v>
      </c>
      <c r="AX252" s="267">
        <f t="shared" si="225"/>
        <v>175</v>
      </c>
      <c r="AY252" s="267">
        <f t="shared" si="226"/>
        <v>598.5</v>
      </c>
      <c r="AZ252" s="267">
        <f t="shared" si="227"/>
        <v>603.26</v>
      </c>
      <c r="BA252" s="267">
        <f t="shared" si="228"/>
        <v>606.05999999999995</v>
      </c>
      <c r="BB252" s="267">
        <f t="shared" si="229"/>
        <v>169</v>
      </c>
      <c r="BC252" s="267">
        <f t="shared" si="230"/>
        <v>170</v>
      </c>
      <c r="BD252" s="267">
        <f t="shared" si="231"/>
        <v>171</v>
      </c>
      <c r="BE252" s="267">
        <f t="shared" si="232"/>
        <v>173</v>
      </c>
      <c r="BF252" s="267">
        <f t="shared" si="233"/>
        <v>175</v>
      </c>
      <c r="BG252" s="269">
        <f>AY252*VLOOKUP($B252,'Major Cities &amp; Towns'!$A$28:$B$345,2,FALSE)</f>
        <v>598.5</v>
      </c>
      <c r="BH252" s="269">
        <f>AZ252*VLOOKUP($B252,'Major Cities &amp; Towns'!$A$28:$B$345,2,FALSE)</f>
        <v>603.26</v>
      </c>
      <c r="BI252" s="269">
        <f>BA252*VLOOKUP($B252,'Major Cities &amp; Towns'!$A$28:$B$345,2,FALSE)</f>
        <v>606.05999999999995</v>
      </c>
      <c r="BJ252" s="269">
        <f>BB252*VLOOKUP($B252,'Major Cities &amp; Towns'!$A$28:$B$345,2,FALSE)</f>
        <v>169</v>
      </c>
      <c r="BK252" s="269">
        <f>BC252*VLOOKUP($B252,'Major Cities &amp; Towns'!$A$28:$B$345,2,FALSE)</f>
        <v>170</v>
      </c>
      <c r="BL252" s="269">
        <f>BD252*VLOOKUP($B252,'Major Cities &amp; Towns'!$A$28:$B$345,2,FALSE)</f>
        <v>171</v>
      </c>
      <c r="BM252" s="269">
        <f>BE252*VLOOKUP($B252,'Major Cities &amp; Towns'!$A$28:$B$345,2,FALSE)</f>
        <v>173</v>
      </c>
      <c r="BN252" s="269">
        <f>BF252*VLOOKUP($B252,'Major Cities &amp; Towns'!$A$28:$B$345,2,FALSE)</f>
        <v>175</v>
      </c>
      <c r="BO252" s="270">
        <f t="shared" si="234"/>
        <v>617</v>
      </c>
      <c r="BP252" s="270">
        <f t="shared" si="235"/>
        <v>641</v>
      </c>
      <c r="BQ252" s="270">
        <f t="shared" si="236"/>
        <v>616</v>
      </c>
      <c r="BR252" s="270">
        <f t="shared" si="237"/>
        <v>169</v>
      </c>
      <c r="BS252" s="270">
        <f t="shared" si="238"/>
        <v>170</v>
      </c>
      <c r="BT252" s="270">
        <f t="shared" si="239"/>
        <v>171</v>
      </c>
      <c r="BU252" s="270">
        <f t="shared" si="240"/>
        <v>173</v>
      </c>
      <c r="BV252" s="270">
        <f t="shared" si="241"/>
        <v>175</v>
      </c>
      <c r="BW252" s="39">
        <f>VLOOKUP($A252,NetAdditions!$A$2:$H$336,6,FALSE)</f>
        <v>289</v>
      </c>
      <c r="BX252" s="39">
        <f>VLOOKUP($A252,NetAdditions!$A$2:$H$336,7,FALSE)</f>
        <v>228</v>
      </c>
      <c r="BY252" s="39">
        <f>IF((VLOOKUP($C252,NetAdditions!$A$2:$H$336,8,FALSE))="",(AVERAGE(VLOOKUP($C252,NetAdditions!$A$2:$H$336,5,FALSE),VLOOKUP($C252,NetAdditions!$A$2:$H$336,6,FALSE),VLOOKUP($C252,NetAdditions!$A$2:$H$336,7,FALSE))),VLOOKUP($C252,NetAdditions!$A$2:$H$336,8,FALSE))</f>
        <v>508</v>
      </c>
      <c r="BZ252" s="39">
        <f t="shared" si="242"/>
        <v>341.66666666666669</v>
      </c>
      <c r="CA252" s="39">
        <f t="shared" si="243"/>
        <v>359.22222222222223</v>
      </c>
      <c r="CB252" s="39">
        <f t="shared" si="244"/>
        <v>402.96296296296299</v>
      </c>
      <c r="CC252" s="39">
        <f t="shared" si="245"/>
        <v>367.95061728395063</v>
      </c>
      <c r="CD252" s="39">
        <f t="shared" si="246"/>
        <v>376.71193415637862</v>
      </c>
      <c r="CE252" s="276">
        <f t="shared" si="203"/>
        <v>1874</v>
      </c>
      <c r="CF252" s="276">
        <f t="shared" si="204"/>
        <v>1426</v>
      </c>
      <c r="CG252" s="276">
        <f t="shared" si="205"/>
        <v>955</v>
      </c>
      <c r="CH252" s="276">
        <f t="shared" si="206"/>
        <v>510</v>
      </c>
      <c r="CI252" s="276">
        <f t="shared" si="207"/>
        <v>514</v>
      </c>
      <c r="CJ252" s="276">
        <f t="shared" si="208"/>
        <v>519</v>
      </c>
      <c r="CK252" s="276">
        <f t="shared" si="247"/>
        <v>1613.7222222222224</v>
      </c>
      <c r="CL252" s="276">
        <f t="shared" si="248"/>
        <v>1227.9444444444446</v>
      </c>
      <c r="CM252" s="276">
        <f t="shared" si="249"/>
        <v>875.41666666666663</v>
      </c>
      <c r="CN252" s="276">
        <f t="shared" si="250"/>
        <v>510</v>
      </c>
      <c r="CO252" s="276">
        <f t="shared" si="251"/>
        <v>514</v>
      </c>
      <c r="CP252" s="276">
        <f t="shared" si="252"/>
        <v>519</v>
      </c>
      <c r="CQ252" s="39">
        <f t="shared" si="209"/>
        <v>1025</v>
      </c>
      <c r="CR252" s="39">
        <f t="shared" si="210"/>
        <v>1077.6666666666667</v>
      </c>
      <c r="CS252" s="277">
        <f t="shared" si="211"/>
        <v>1208.8888888888889</v>
      </c>
      <c r="CT252" s="39">
        <f t="shared" si="212"/>
        <v>1103.851851851852</v>
      </c>
      <c r="CU252" s="39">
        <f t="shared" si="213"/>
        <v>1130.1358024691358</v>
      </c>
      <c r="CV252" s="39">
        <f t="shared" si="253"/>
        <v>1147.6255144032923</v>
      </c>
      <c r="CW252" s="297">
        <f t="shared" si="214"/>
        <v>0.63517747099528343</v>
      </c>
      <c r="CX252" s="279" t="str">
        <f t="shared" si="254"/>
        <v>Buffer and Action Plan</v>
      </c>
      <c r="CY252" s="278">
        <f t="shared" si="215"/>
        <v>0.87761842283852864</v>
      </c>
      <c r="CZ252" s="279" t="str">
        <f t="shared" si="255"/>
        <v>Action Plan</v>
      </c>
      <c r="DA252" s="278">
        <f t="shared" si="216"/>
        <v>1.3809297160082501</v>
      </c>
      <c r="DB252" s="292" t="str">
        <f t="shared" si="256"/>
        <v>Pass</v>
      </c>
      <c r="DC252" s="299">
        <f t="shared" si="257"/>
        <v>2.1644153957879451</v>
      </c>
      <c r="DD252" s="293" t="str">
        <f t="shared" si="258"/>
        <v>Pass</v>
      </c>
      <c r="DE252" s="299">
        <f t="shared" si="259"/>
        <v>2.1987077869049334</v>
      </c>
      <c r="DF252" s="293" t="str">
        <f t="shared" si="260"/>
        <v>Pass</v>
      </c>
      <c r="DG252" s="299">
        <f t="shared" si="261"/>
        <v>2.2112244978868829</v>
      </c>
      <c r="DH252" s="293" t="str">
        <f t="shared" si="262"/>
        <v>Pass</v>
      </c>
    </row>
    <row r="253" spans="1:112" ht="15" thickTop="1" thickBot="1">
      <c r="A253" s="38" t="s">
        <v>616</v>
      </c>
      <c r="B253" s="38" t="s">
        <v>617</v>
      </c>
      <c r="C253" s="38" t="s">
        <v>616</v>
      </c>
      <c r="D253" s="38" t="s">
        <v>128</v>
      </c>
      <c r="E253" s="38" t="str">
        <f>VLOOKUP(C253,PoliticalControl!A:K,11,FALSE)</f>
        <v>LD</v>
      </c>
      <c r="F253" s="38" t="str">
        <f>VLOOKUP(C253,UrbanRuralClassification!A:N,13,FALSE)</f>
        <v>Urban with City and Town</v>
      </c>
      <c r="G253" s="38" t="str">
        <f>VLOOKUP(C253,UrbanRuralClassification!A:N,14,FALSE)</f>
        <v>Predominantly Urban</v>
      </c>
      <c r="H253" s="258" t="str">
        <f>IF(ISBLANK((VLOOKUP($A253,'local-plan-data'!$C$1:$AD$566,27,FALSE)))=TRUE,"",VLOOKUP($A253,'local-plan-data'!$C$1:$AD$566,27,FALSE))</f>
        <v/>
      </c>
      <c r="I253" s="259">
        <f>VLOOKUP($A253,'local-plan-data'!$C$1:$AD$566,28,FALSE)</f>
        <v>913</v>
      </c>
      <c r="J253" s="260">
        <f t="shared" si="217"/>
        <v>913</v>
      </c>
      <c r="K253" s="259" t="str">
        <f t="shared" si="263"/>
        <v>-</v>
      </c>
      <c r="L253" s="259" t="str">
        <f t="shared" si="265"/>
        <v>-</v>
      </c>
      <c r="M253" s="259" t="str">
        <f t="shared" si="265"/>
        <v>-</v>
      </c>
      <c r="N253" s="259" t="str">
        <f t="shared" si="265"/>
        <v>-</v>
      </c>
      <c r="O253" s="259" t="str">
        <f t="shared" si="265"/>
        <v>-</v>
      </c>
      <c r="P253" s="259" t="str">
        <f t="shared" si="265"/>
        <v>-</v>
      </c>
      <c r="Q253" s="259" t="str">
        <f t="shared" si="265"/>
        <v>-</v>
      </c>
      <c r="R253" s="259" t="str">
        <f t="shared" si="265"/>
        <v>-</v>
      </c>
      <c r="S253" s="259" t="str">
        <f t="shared" si="264"/>
        <v>-</v>
      </c>
      <c r="T253" s="259" t="str">
        <f t="shared" si="266"/>
        <v>-</v>
      </c>
      <c r="U253" s="259" t="str">
        <f t="shared" si="266"/>
        <v>-</v>
      </c>
      <c r="V253" s="259" t="str">
        <f t="shared" si="266"/>
        <v>-</v>
      </c>
      <c r="W253" s="259" t="str">
        <f t="shared" si="266"/>
        <v>-</v>
      </c>
      <c r="X253" s="259" t="str">
        <f t="shared" si="266"/>
        <v>-</v>
      </c>
      <c r="Y253" s="259" t="str">
        <f t="shared" si="266"/>
        <v>-</v>
      </c>
      <c r="Z253" s="259" t="str">
        <f t="shared" si="266"/>
        <v>-</v>
      </c>
      <c r="AA253" s="267">
        <f>(VLOOKUP(A253,Hshldprojections2014!$A$2:$AW$319,40, FALSE)-VLOOKUP(A253,Hshldprojections2014!$A$2:$AW$319,30, FALSE))/10</f>
        <v>644.4</v>
      </c>
      <c r="AB253" s="267">
        <f>(VLOOKUP(A253,Hshldprojections2014!$A$2:$AW$319,41, FALSE)-VLOOKUP(A253,Hshldprojections2014!$A$2:$AW$319,31, FALSE))/10</f>
        <v>639.9</v>
      </c>
      <c r="AC253" s="267">
        <f>(VLOOKUP(A253,Hshldprojections2014!$A$2:$AW$319,42, FALSE)-VLOOKUP(A253,Hshldprojections2014!$A$2:$AW$319,32, FALSE))/10</f>
        <v>637.79999999999995</v>
      </c>
      <c r="AD253" s="267">
        <f>IF(IndividualLATest!$J$7=2014,(VLOOKUP($A253,Hshldprojections2014!$A$2:$AY$326,43,FALSE)-VLOOKUP($A253,Hshldprojections2014!$A$2:$AY$326,33,FALSE))/10,IF(IndividualLATest!$J$7=2016,(VLOOKUP($A253,Hshldprojections2016!$A$1:$AQ$322,33,FALSE)-VLOOKUP($A253,Hshldprojections2016!$A$1:$AQ$322,23,FALSE))/10,(VLOOKUP($A253,Hshldprojections2018!$A$1:$AQ$327,33,FALSE)-VLOOKUP($A253,Hshldprojections2018!$A$1:$AQ$327,23,FALSE))/10))</f>
        <v>222.8</v>
      </c>
      <c r="AE253" s="267">
        <f>IF(IndividualLATest!$J$7=2014,(VLOOKUP($A253,Hshldprojections2014!$A$2:$AY$326,44,FALSE)-VLOOKUP($A253,Hshldprojections2014!$A$2:$AY$326,34,FALSE))/10,IF(IndividualLATest!$J$7=2016,(VLOOKUP($A253,Hshldprojections2016!$A$1:$AQ$322,34,FALSE)-VLOOKUP($A253,Hshldprojections2016!$A$1:$AQ$322,24,FALSE))/10,(VLOOKUP($A253,Hshldprojections2018!$A$1:$AQ$327,34,FALSE)-VLOOKUP($A253,Hshldprojections2018!$A$1:$AQ$327,24,FALSE))/10))</f>
        <v>213.3</v>
      </c>
      <c r="AF253" s="267">
        <f>IF(IndividualLATest!$J$7=2014,(VLOOKUP($A253,Hshldprojections2014!$A$2:$AY$326,45,FALSE)-VLOOKUP($A253,Hshldprojections2014!$A$2:$AY$326,35,FALSE))/10,IF(IndividualLATest!$J$7=2016,(VLOOKUP($A253,Hshldprojections2016!$A$1:$AQ$322,35,FALSE)-VLOOKUP($A253,Hshldprojections2016!$A$1:$AQ$322,25,FALSE))/10,(VLOOKUP($A253,Hshldprojections2018!$A$1:$AQ$327,35,FALSE)-VLOOKUP($A253,Hshldprojections2018!$A$1:$AQ$327,25,FALSE))/10))</f>
        <v>207.2</v>
      </c>
      <c r="AG253" s="267">
        <f>IF(IndividualLATest!$J$7=2014,(VLOOKUP($A253,Hshldprojections2014!$A$2:$AY$326,46,FALSE)-VLOOKUP($A253,Hshldprojections2014!$A$2:$AY$326,36,FALSE))/10,IF(IndividualLATest!$J$7=2016,(VLOOKUP($A253,Hshldprojections2016!$A$1:$AQ$322,36,FALSE)-VLOOKUP($A253,Hshldprojections2016!$A$1:$AQ$322,26,FALSE))/10,(VLOOKUP($A253,Hshldprojections2018!$A$1:$AQ$327,36,FALSE)-VLOOKUP($A253,Hshldprojections2018!$A$1:$AQ$327,26,FALSE))/10))</f>
        <v>200.2</v>
      </c>
      <c r="AH253" s="267">
        <f>IF(IndividualLATest!$J$7=2014,(VLOOKUP($A253,Hshldprojections2014!$A$2:$AY$326,47,FALSE)-VLOOKUP($A253,Hshldprojections2014!$A$2:$AY$326,37,FALSE))/10,IF(IndividualLATest!$J$7=2016,(VLOOKUP($A253,Hshldprojections2016!$A$1:$AQ$322,37,FALSE)-VLOOKUP($A253,Hshldprojections2016!$A$1:$AQ$322,27,FALSE))/10,(VLOOKUP($A253,Hshldprojections2018!$A$1:$AQ$327,37,FALSE)-VLOOKUP($A253,Hshldprojections2018!$A$1:$AQ$327,27,FALSE))/10))</f>
        <v>197.4</v>
      </c>
      <c r="AI253" s="268">
        <f>VLOOKUP($A253,AffordabilityRatio!$A$2:$I$321,5,FALSE)</f>
        <v>16.62</v>
      </c>
      <c r="AJ253" s="268">
        <f>VLOOKUP($A253,AffordabilityRatio!$A$2:$I$321,6,FALSE)</f>
        <v>16.75</v>
      </c>
      <c r="AK253" s="268">
        <f>VLOOKUP($A253,AffordabilityRatio!$A$2:$I$321,7,FALSE)</f>
        <v>16.09</v>
      </c>
      <c r="AL253" s="268">
        <f>IF((VLOOKUP($A253,AffordabilityRatio!$A$2:$I$321,8,FALSE))="",AK253,VLOOKUP($A253,AffordabilityRatio!$A$2:$I$321,8,FALSE))</f>
        <v>16.239999999999998</v>
      </c>
      <c r="AM253" s="268">
        <f>IF((VLOOKUP($A253,AffordabilityRatio!$A$2:$I$321,9,FALSE))="",AL253,VLOOKUP($A253,AffordabilityRatio!$A$2:$I$321,9,FALSE))</f>
        <v>17.32</v>
      </c>
      <c r="AN253" s="268">
        <f>IF((VLOOKUP($A253,AffordabilityRatio!$A$2:$I$321,9,FALSE))="",AM253,VLOOKUP($A253,AffordabilityRatio!$A$2:$I$321,9,FALSE))</f>
        <v>17.32</v>
      </c>
      <c r="AO253" s="268">
        <f>IF((VLOOKUP($A253,AffordabilityRatio!$A$2:$I$321,9,FALSE))="",AN253,VLOOKUP($A253,AffordabilityRatio!$A$2:$I$321,9,FALSE))</f>
        <v>17.32</v>
      </c>
      <c r="AP253" s="268">
        <f>IF((VLOOKUP($A253,AffordabilityRatio!$A$2:$I$321,9,FALSE))="",AO253,VLOOKUP($A253,AffordabilityRatio!$A$2:$I$321,9,FALSE))</f>
        <v>17.32</v>
      </c>
      <c r="AQ253" s="267">
        <f t="shared" si="218"/>
        <v>1153</v>
      </c>
      <c r="AR253" s="267">
        <f t="shared" si="219"/>
        <v>1150</v>
      </c>
      <c r="AS253" s="267">
        <f t="shared" si="220"/>
        <v>1120</v>
      </c>
      <c r="AT253" s="267">
        <f t="shared" si="221"/>
        <v>393</v>
      </c>
      <c r="AU253" s="267">
        <f t="shared" si="222"/>
        <v>391</v>
      </c>
      <c r="AV253" s="267">
        <f t="shared" si="223"/>
        <v>380</v>
      </c>
      <c r="AW253" s="267">
        <f t="shared" si="224"/>
        <v>367</v>
      </c>
      <c r="AX253" s="267">
        <f t="shared" si="225"/>
        <v>362</v>
      </c>
      <c r="AY253" s="267">
        <f t="shared" si="226"/>
        <v>1153</v>
      </c>
      <c r="AZ253" s="267">
        <f t="shared" si="227"/>
        <v>1150</v>
      </c>
      <c r="BA253" s="267">
        <f t="shared" si="228"/>
        <v>1120</v>
      </c>
      <c r="BB253" s="267">
        <f t="shared" si="229"/>
        <v>393</v>
      </c>
      <c r="BC253" s="267">
        <f t="shared" si="230"/>
        <v>391</v>
      </c>
      <c r="BD253" s="267">
        <f t="shared" si="231"/>
        <v>380</v>
      </c>
      <c r="BE253" s="267">
        <f t="shared" si="232"/>
        <v>367</v>
      </c>
      <c r="BF253" s="267">
        <f t="shared" si="233"/>
        <v>362</v>
      </c>
      <c r="BG253" s="269">
        <f>AY253*VLOOKUP($B253,'Major Cities &amp; Towns'!$A$28:$B$345,2,FALSE)</f>
        <v>1153</v>
      </c>
      <c r="BH253" s="269">
        <f>AZ253*VLOOKUP($B253,'Major Cities &amp; Towns'!$A$28:$B$345,2,FALSE)</f>
        <v>1150</v>
      </c>
      <c r="BI253" s="269">
        <f>BA253*VLOOKUP($B253,'Major Cities &amp; Towns'!$A$28:$B$345,2,FALSE)</f>
        <v>1120</v>
      </c>
      <c r="BJ253" s="269">
        <f>BB253*VLOOKUP($B253,'Major Cities &amp; Towns'!$A$28:$B$345,2,FALSE)</f>
        <v>393</v>
      </c>
      <c r="BK253" s="269">
        <f>BC253*VLOOKUP($B253,'Major Cities &amp; Towns'!$A$28:$B$345,2,FALSE)</f>
        <v>391</v>
      </c>
      <c r="BL253" s="269">
        <f>BD253*VLOOKUP($B253,'Major Cities &amp; Towns'!$A$28:$B$345,2,FALSE)</f>
        <v>380</v>
      </c>
      <c r="BM253" s="269">
        <f>BE253*VLOOKUP($B253,'Major Cities &amp; Towns'!$A$28:$B$345,2,FALSE)</f>
        <v>367</v>
      </c>
      <c r="BN253" s="269">
        <f>BF253*VLOOKUP($B253,'Major Cities &amp; Towns'!$A$28:$B$345,2,FALSE)</f>
        <v>362</v>
      </c>
      <c r="BO253" s="270">
        <f t="shared" si="234"/>
        <v>1153</v>
      </c>
      <c r="BP253" s="270">
        <f t="shared" si="235"/>
        <v>1150</v>
      </c>
      <c r="BQ253" s="270">
        <f t="shared" si="236"/>
        <v>1120</v>
      </c>
      <c r="BR253" s="270">
        <f t="shared" si="237"/>
        <v>393</v>
      </c>
      <c r="BS253" s="270">
        <f t="shared" si="238"/>
        <v>391</v>
      </c>
      <c r="BT253" s="270">
        <f t="shared" si="239"/>
        <v>380</v>
      </c>
      <c r="BU253" s="270">
        <f t="shared" si="240"/>
        <v>367</v>
      </c>
      <c r="BV253" s="270">
        <f t="shared" si="241"/>
        <v>362</v>
      </c>
      <c r="BW253" s="39">
        <f>VLOOKUP($A253,NetAdditions!$A$2:$H$336,6,FALSE)</f>
        <v>624</v>
      </c>
      <c r="BX253" s="39">
        <f>VLOOKUP($A253,NetAdditions!$A$2:$H$336,7,FALSE)</f>
        <v>437</v>
      </c>
      <c r="BY253" s="39">
        <f>IF((VLOOKUP($C253,NetAdditions!$A$2:$H$336,8,FALSE))="",(AVERAGE(VLOOKUP($C253,NetAdditions!$A$2:$H$336,5,FALSE),VLOOKUP($C253,NetAdditions!$A$2:$H$336,6,FALSE),VLOOKUP($C253,NetAdditions!$A$2:$H$336,7,FALSE))),VLOOKUP($C253,NetAdditions!$A$2:$H$336,8,FALSE))</f>
        <v>516</v>
      </c>
      <c r="BZ253" s="39">
        <f t="shared" si="242"/>
        <v>525.66666666666663</v>
      </c>
      <c r="CA253" s="39">
        <f t="shared" si="243"/>
        <v>492.88888888888886</v>
      </c>
      <c r="CB253" s="39">
        <f t="shared" si="244"/>
        <v>511.51851851851848</v>
      </c>
      <c r="CC253" s="39">
        <f t="shared" si="245"/>
        <v>510.02469135802465</v>
      </c>
      <c r="CD253" s="39">
        <f t="shared" si="246"/>
        <v>504.81069958847735</v>
      </c>
      <c r="CE253" s="276">
        <f t="shared" si="203"/>
        <v>3423</v>
      </c>
      <c r="CF253" s="276">
        <f t="shared" si="204"/>
        <v>2663</v>
      </c>
      <c r="CG253" s="276">
        <f t="shared" si="205"/>
        <v>1904</v>
      </c>
      <c r="CH253" s="276">
        <f t="shared" si="206"/>
        <v>1164</v>
      </c>
      <c r="CI253" s="276">
        <f t="shared" si="207"/>
        <v>1138</v>
      </c>
      <c r="CJ253" s="276">
        <f t="shared" si="208"/>
        <v>1109</v>
      </c>
      <c r="CK253" s="276">
        <f t="shared" si="247"/>
        <v>2947.5833333333335</v>
      </c>
      <c r="CL253" s="276">
        <f t="shared" si="248"/>
        <v>2293.1388888888891</v>
      </c>
      <c r="CM253" s="276">
        <f t="shared" si="249"/>
        <v>1745.3333333333333</v>
      </c>
      <c r="CN253" s="276">
        <f t="shared" si="250"/>
        <v>1164</v>
      </c>
      <c r="CO253" s="276">
        <f t="shared" si="251"/>
        <v>1138</v>
      </c>
      <c r="CP253" s="276">
        <f t="shared" si="252"/>
        <v>1109</v>
      </c>
      <c r="CQ253" s="39">
        <f t="shared" si="209"/>
        <v>1577</v>
      </c>
      <c r="CR253" s="39">
        <f t="shared" si="210"/>
        <v>1478.6666666666665</v>
      </c>
      <c r="CS253" s="277">
        <f t="shared" si="211"/>
        <v>1534.5555555555554</v>
      </c>
      <c r="CT253" s="39">
        <f t="shared" si="212"/>
        <v>1530.0740740740739</v>
      </c>
      <c r="CU253" s="39">
        <f t="shared" si="213"/>
        <v>1514.4320987654321</v>
      </c>
      <c r="CV253" s="39">
        <f t="shared" si="253"/>
        <v>1526.3539094650205</v>
      </c>
      <c r="CW253" s="297">
        <f t="shared" si="214"/>
        <v>0.53501455995024172</v>
      </c>
      <c r="CX253" s="279" t="str">
        <f t="shared" si="254"/>
        <v>Buffer and Action Plan</v>
      </c>
      <c r="CY253" s="278">
        <f t="shared" si="215"/>
        <v>0.64482211427809999</v>
      </c>
      <c r="CZ253" s="279" t="str">
        <f t="shared" si="255"/>
        <v>Buffer and Action Plan</v>
      </c>
      <c r="DA253" s="278">
        <f t="shared" si="216"/>
        <v>0.87923351158645269</v>
      </c>
      <c r="DB253" s="292" t="str">
        <f t="shared" si="256"/>
        <v>Action Plan</v>
      </c>
      <c r="DC253" s="299">
        <f t="shared" si="257"/>
        <v>1.3144966272114036</v>
      </c>
      <c r="DD253" s="293" t="str">
        <f t="shared" si="258"/>
        <v>Pass</v>
      </c>
      <c r="DE253" s="299">
        <f t="shared" si="259"/>
        <v>1.3307839180715573</v>
      </c>
      <c r="DF253" s="293" t="str">
        <f t="shared" si="260"/>
        <v>Pass</v>
      </c>
      <c r="DG253" s="299">
        <f t="shared" si="261"/>
        <v>1.3763335522678273</v>
      </c>
      <c r="DH253" s="293" t="str">
        <f t="shared" si="262"/>
        <v>Pass</v>
      </c>
    </row>
    <row r="254" spans="1:112" ht="15" thickTop="1" thickBot="1">
      <c r="A254" s="38" t="s">
        <v>618</v>
      </c>
      <c r="B254" s="38" t="s">
        <v>619</v>
      </c>
      <c r="C254" s="38" t="s">
        <v>618</v>
      </c>
      <c r="D254" s="38" t="s">
        <v>116</v>
      </c>
      <c r="E254" s="38" t="str">
        <f>VLOOKUP(C254,PoliticalControl!A:K,11,FALSE)</f>
        <v>LAB</v>
      </c>
      <c r="F254" s="38" t="str">
        <f>VLOOKUP(C254,UrbanRuralClassification!A:N,13,FALSE)</f>
        <v>Urban with Major Conurbation</v>
      </c>
      <c r="G254" s="38" t="str">
        <f>VLOOKUP(C254,UrbanRuralClassification!A:N,14,FALSE)</f>
        <v>Predominantly Urban</v>
      </c>
      <c r="H254" s="258">
        <f>IF(ISBLANK((VLOOKUP($A254,'local-plan-data'!$C$1:$AD$566,27,FALSE)))=TRUE,"",VLOOKUP($A254,'local-plan-data'!$C$1:$AD$566,27,FALSE))</f>
        <v>41213</v>
      </c>
      <c r="I254" s="259">
        <f>VLOOKUP($A254,'local-plan-data'!$C$1:$AD$566,28,FALSE)</f>
        <v>570</v>
      </c>
      <c r="J254" s="260">
        <f t="shared" si="217"/>
        <v>570</v>
      </c>
      <c r="K254" s="259" t="str">
        <f t="shared" si="263"/>
        <v>-</v>
      </c>
      <c r="L254" s="259" t="str">
        <f t="shared" si="265"/>
        <v>-</v>
      </c>
      <c r="M254" s="259" t="str">
        <f t="shared" si="265"/>
        <v>-</v>
      </c>
      <c r="N254" s="259" t="str">
        <f t="shared" si="265"/>
        <v>-</v>
      </c>
      <c r="O254" s="259" t="str">
        <f t="shared" si="265"/>
        <v>-</v>
      </c>
      <c r="P254" s="259" t="str">
        <f t="shared" si="265"/>
        <v>-</v>
      </c>
      <c r="Q254" s="259" t="str">
        <f t="shared" si="265"/>
        <v>-</v>
      </c>
      <c r="R254" s="259" t="str">
        <f t="shared" si="265"/>
        <v>-</v>
      </c>
      <c r="S254" s="259">
        <f t="shared" si="264"/>
        <v>-152</v>
      </c>
      <c r="T254" s="259">
        <f t="shared" si="266"/>
        <v>-517</v>
      </c>
      <c r="U254" s="259">
        <f t="shared" si="266"/>
        <v>-883</v>
      </c>
      <c r="V254" s="259">
        <f t="shared" si="266"/>
        <v>-1248</v>
      </c>
      <c r="W254" s="259">
        <f t="shared" si="266"/>
        <v>-1613</v>
      </c>
      <c r="X254" s="259">
        <f t="shared" si="266"/>
        <v>-1978</v>
      </c>
      <c r="Y254" s="259">
        <f t="shared" si="266"/>
        <v>-2344</v>
      </c>
      <c r="Z254" s="259">
        <f t="shared" si="266"/>
        <v>-2709</v>
      </c>
      <c r="AA254" s="267">
        <f>(VLOOKUP(A254,Hshldprojections2014!$A$2:$AW$319,40, FALSE)-VLOOKUP(A254,Hshldprojections2014!$A$2:$AW$319,30, FALSE))/10</f>
        <v>438.5</v>
      </c>
      <c r="AB254" s="267">
        <f>(VLOOKUP(A254,Hshldprojections2014!$A$2:$AW$319,41, FALSE)-VLOOKUP(A254,Hshldprojections2014!$A$2:$AW$319,31, FALSE))/10</f>
        <v>425.4</v>
      </c>
      <c r="AC254" s="267">
        <f>(VLOOKUP(A254,Hshldprojections2014!$A$2:$AW$319,42, FALSE)-VLOOKUP(A254,Hshldprojections2014!$A$2:$AW$319,32, FALSE))/10</f>
        <v>411.2</v>
      </c>
      <c r="AD254" s="267">
        <f>IF(IndividualLATest!$J$7=2014,(VLOOKUP($A254,Hshldprojections2014!$A$2:$AY$326,43,FALSE)-VLOOKUP($A254,Hshldprojections2014!$A$2:$AY$326,33,FALSE))/10,IF(IndividualLATest!$J$7=2016,(VLOOKUP($A254,Hshldprojections2016!$A$1:$AQ$322,33,FALSE)-VLOOKUP($A254,Hshldprojections2016!$A$1:$AQ$322,23,FALSE))/10,(VLOOKUP($A254,Hshldprojections2018!$A$1:$AQ$327,33,FALSE)-VLOOKUP($A254,Hshldprojections2018!$A$1:$AQ$327,23,FALSE))/10))</f>
        <v>391.6</v>
      </c>
      <c r="AE254" s="267">
        <f>IF(IndividualLATest!$J$7=2014,(VLOOKUP($A254,Hshldprojections2014!$A$2:$AY$326,44,FALSE)-VLOOKUP($A254,Hshldprojections2014!$A$2:$AY$326,34,FALSE))/10,IF(IndividualLATest!$J$7=2016,(VLOOKUP($A254,Hshldprojections2016!$A$1:$AQ$322,34,FALSE)-VLOOKUP($A254,Hshldprojections2016!$A$1:$AQ$322,24,FALSE))/10,(VLOOKUP($A254,Hshldprojections2018!$A$1:$AQ$327,34,FALSE)-VLOOKUP($A254,Hshldprojections2018!$A$1:$AQ$327,24,FALSE))/10))</f>
        <v>380.2</v>
      </c>
      <c r="AF254" s="267">
        <f>IF(IndividualLATest!$J$7=2014,(VLOOKUP($A254,Hshldprojections2014!$A$2:$AY$326,45,FALSE)-VLOOKUP($A254,Hshldprojections2014!$A$2:$AY$326,35,FALSE))/10,IF(IndividualLATest!$J$7=2016,(VLOOKUP($A254,Hshldprojections2016!$A$1:$AQ$322,35,FALSE)-VLOOKUP($A254,Hshldprojections2016!$A$1:$AQ$322,25,FALSE))/10,(VLOOKUP($A254,Hshldprojections2018!$A$1:$AQ$327,35,FALSE)-VLOOKUP($A254,Hshldprojections2018!$A$1:$AQ$327,25,FALSE))/10))</f>
        <v>371.4</v>
      </c>
      <c r="AG254" s="267">
        <f>IF(IndividualLATest!$J$7=2014,(VLOOKUP($A254,Hshldprojections2014!$A$2:$AY$326,46,FALSE)-VLOOKUP($A254,Hshldprojections2014!$A$2:$AY$326,36,FALSE))/10,IF(IndividualLATest!$J$7=2016,(VLOOKUP($A254,Hshldprojections2016!$A$1:$AQ$322,36,FALSE)-VLOOKUP($A254,Hshldprojections2016!$A$1:$AQ$322,26,FALSE))/10,(VLOOKUP($A254,Hshldprojections2018!$A$1:$AQ$327,36,FALSE)-VLOOKUP($A254,Hshldprojections2018!$A$1:$AQ$327,26,FALSE))/10))</f>
        <v>367.7</v>
      </c>
      <c r="AH254" s="267">
        <f>IF(IndividualLATest!$J$7=2014,(VLOOKUP($A254,Hshldprojections2014!$A$2:$AY$326,47,FALSE)-VLOOKUP($A254,Hshldprojections2014!$A$2:$AY$326,37,FALSE))/10,IF(IndividualLATest!$J$7=2016,(VLOOKUP($A254,Hshldprojections2016!$A$1:$AQ$322,37,FALSE)-VLOOKUP($A254,Hshldprojections2016!$A$1:$AQ$322,27,FALSE))/10,(VLOOKUP($A254,Hshldprojections2018!$A$1:$AQ$327,37,FALSE)-VLOOKUP($A254,Hshldprojections2018!$A$1:$AQ$327,27,FALSE))/10))</f>
        <v>366.6</v>
      </c>
      <c r="AI254" s="268">
        <f>VLOOKUP($A254,AffordabilityRatio!$A$2:$I$321,5,FALSE)</f>
        <v>5.64</v>
      </c>
      <c r="AJ254" s="268">
        <f>VLOOKUP($A254,AffordabilityRatio!$A$2:$I$321,6,FALSE)</f>
        <v>5.3</v>
      </c>
      <c r="AK254" s="268">
        <f>VLOOKUP($A254,AffordabilityRatio!$A$2:$I$321,7,FALSE)</f>
        <v>4.8600000000000003</v>
      </c>
      <c r="AL254" s="268">
        <f>IF((VLOOKUP($A254,AffordabilityRatio!$A$2:$I$321,8,FALSE))="",AK254,VLOOKUP($A254,AffordabilityRatio!$A$2:$I$321,8,FALSE))</f>
        <v>5.27</v>
      </c>
      <c r="AM254" s="268">
        <f>IF((VLOOKUP($A254,AffordabilityRatio!$A$2:$I$321,9,FALSE))="",AL254,VLOOKUP($A254,AffordabilityRatio!$A$2:$I$321,9,FALSE))</f>
        <v>4.6900000000000004</v>
      </c>
      <c r="AN254" s="268">
        <f>IF((VLOOKUP($A254,AffordabilityRatio!$A$2:$I$321,9,FALSE))="",AM254,VLOOKUP($A254,AffordabilityRatio!$A$2:$I$321,9,FALSE))</f>
        <v>4.6900000000000004</v>
      </c>
      <c r="AO254" s="268">
        <f>IF((VLOOKUP($A254,AffordabilityRatio!$A$2:$I$321,9,FALSE))="",AN254,VLOOKUP($A254,AffordabilityRatio!$A$2:$I$321,9,FALSE))</f>
        <v>4.6900000000000004</v>
      </c>
      <c r="AP254" s="268">
        <f>IF((VLOOKUP($A254,AffordabilityRatio!$A$2:$I$321,9,FALSE))="",AO254,VLOOKUP($A254,AffordabilityRatio!$A$2:$I$321,9,FALSE))</f>
        <v>4.6900000000000004</v>
      </c>
      <c r="AQ254" s="267">
        <f t="shared" si="218"/>
        <v>483</v>
      </c>
      <c r="AR254" s="267">
        <f t="shared" si="219"/>
        <v>460</v>
      </c>
      <c r="AS254" s="267">
        <f t="shared" si="220"/>
        <v>433</v>
      </c>
      <c r="AT254" s="267">
        <f t="shared" si="221"/>
        <v>423</v>
      </c>
      <c r="AU254" s="267">
        <f t="shared" si="222"/>
        <v>397</v>
      </c>
      <c r="AV254" s="267">
        <f t="shared" si="223"/>
        <v>387</v>
      </c>
      <c r="AW254" s="267">
        <f t="shared" si="224"/>
        <v>384</v>
      </c>
      <c r="AX254" s="267">
        <f t="shared" si="225"/>
        <v>382</v>
      </c>
      <c r="AY254" s="267">
        <f t="shared" si="226"/>
        <v>483</v>
      </c>
      <c r="AZ254" s="267">
        <f t="shared" si="227"/>
        <v>460</v>
      </c>
      <c r="BA254" s="267">
        <f t="shared" si="228"/>
        <v>433</v>
      </c>
      <c r="BB254" s="267">
        <f t="shared" si="229"/>
        <v>423</v>
      </c>
      <c r="BC254" s="267">
        <f t="shared" si="230"/>
        <v>397</v>
      </c>
      <c r="BD254" s="267">
        <f t="shared" si="231"/>
        <v>387</v>
      </c>
      <c r="BE254" s="267">
        <f t="shared" si="232"/>
        <v>384</v>
      </c>
      <c r="BF254" s="267">
        <f t="shared" si="233"/>
        <v>382</v>
      </c>
      <c r="BG254" s="269">
        <f>AY254*VLOOKUP($B254,'Major Cities &amp; Towns'!$A$28:$B$345,2,FALSE)</f>
        <v>483</v>
      </c>
      <c r="BH254" s="269">
        <f>AZ254*VLOOKUP($B254,'Major Cities &amp; Towns'!$A$28:$B$345,2,FALSE)</f>
        <v>460</v>
      </c>
      <c r="BI254" s="269">
        <f>BA254*VLOOKUP($B254,'Major Cities &amp; Towns'!$A$28:$B$345,2,FALSE)</f>
        <v>433</v>
      </c>
      <c r="BJ254" s="269">
        <f>BB254*VLOOKUP($B254,'Major Cities &amp; Towns'!$A$28:$B$345,2,FALSE)</f>
        <v>423</v>
      </c>
      <c r="BK254" s="269">
        <f>BC254*VLOOKUP($B254,'Major Cities &amp; Towns'!$A$28:$B$345,2,FALSE)</f>
        <v>397</v>
      </c>
      <c r="BL254" s="269">
        <f>BD254*VLOOKUP($B254,'Major Cities &amp; Towns'!$A$28:$B$345,2,FALSE)</f>
        <v>387</v>
      </c>
      <c r="BM254" s="269">
        <f>BE254*VLOOKUP($B254,'Major Cities &amp; Towns'!$A$28:$B$345,2,FALSE)</f>
        <v>384</v>
      </c>
      <c r="BN254" s="269">
        <f>BF254*VLOOKUP($B254,'Major Cities &amp; Towns'!$A$28:$B$345,2,FALSE)</f>
        <v>382</v>
      </c>
      <c r="BO254" s="270">
        <f t="shared" si="234"/>
        <v>483</v>
      </c>
      <c r="BP254" s="270">
        <f t="shared" si="235"/>
        <v>460</v>
      </c>
      <c r="BQ254" s="270">
        <f t="shared" si="236"/>
        <v>433</v>
      </c>
      <c r="BR254" s="270">
        <f t="shared" si="237"/>
        <v>423</v>
      </c>
      <c r="BS254" s="270">
        <f t="shared" si="238"/>
        <v>397</v>
      </c>
      <c r="BT254" s="270">
        <f t="shared" si="239"/>
        <v>387</v>
      </c>
      <c r="BU254" s="270">
        <f t="shared" si="240"/>
        <v>384</v>
      </c>
      <c r="BV254" s="270">
        <f t="shared" si="241"/>
        <v>382</v>
      </c>
      <c r="BW254" s="39">
        <f>VLOOKUP($A254,NetAdditions!$A$2:$H$336,6,FALSE)</f>
        <v>775</v>
      </c>
      <c r="BX254" s="39">
        <f>VLOOKUP($A254,NetAdditions!$A$2:$H$336,7,FALSE)</f>
        <v>758</v>
      </c>
      <c r="BY254" s="39">
        <f>IF((VLOOKUP($C254,NetAdditions!$A$2:$H$336,8,FALSE))="",(AVERAGE(VLOOKUP($C254,NetAdditions!$A$2:$H$336,5,FALSE),VLOOKUP($C254,NetAdditions!$A$2:$H$336,6,FALSE),VLOOKUP($C254,NetAdditions!$A$2:$H$336,7,FALSE))),VLOOKUP($C254,NetAdditions!$A$2:$H$336,8,FALSE))</f>
        <v>646</v>
      </c>
      <c r="BZ254" s="39">
        <f t="shared" si="242"/>
        <v>726.33333333333337</v>
      </c>
      <c r="CA254" s="39">
        <f t="shared" si="243"/>
        <v>710.1111111111112</v>
      </c>
      <c r="CB254" s="39">
        <f t="shared" si="244"/>
        <v>694.14814814814827</v>
      </c>
      <c r="CC254" s="39">
        <f t="shared" si="245"/>
        <v>710.19753086419769</v>
      </c>
      <c r="CD254" s="39">
        <f t="shared" si="246"/>
        <v>704.81893004115238</v>
      </c>
      <c r="CE254" s="276">
        <f t="shared" si="203"/>
        <v>1376</v>
      </c>
      <c r="CF254" s="276">
        <f t="shared" si="204"/>
        <v>1316</v>
      </c>
      <c r="CG254" s="276">
        <f t="shared" si="205"/>
        <v>1253</v>
      </c>
      <c r="CH254" s="276">
        <f t="shared" si="206"/>
        <v>1207</v>
      </c>
      <c r="CI254" s="276">
        <f t="shared" si="207"/>
        <v>1168</v>
      </c>
      <c r="CJ254" s="276">
        <f t="shared" si="208"/>
        <v>1153</v>
      </c>
      <c r="CK254" s="276">
        <f t="shared" si="247"/>
        <v>1184.8888888888889</v>
      </c>
      <c r="CL254" s="276">
        <f t="shared" si="248"/>
        <v>1133.2222222222224</v>
      </c>
      <c r="CM254" s="276">
        <f t="shared" si="249"/>
        <v>1148.5833333333333</v>
      </c>
      <c r="CN254" s="276">
        <f t="shared" si="250"/>
        <v>1207</v>
      </c>
      <c r="CO254" s="276">
        <f t="shared" si="251"/>
        <v>1168</v>
      </c>
      <c r="CP254" s="276">
        <f t="shared" si="252"/>
        <v>1153</v>
      </c>
      <c r="CQ254" s="39">
        <f t="shared" si="209"/>
        <v>2179</v>
      </c>
      <c r="CR254" s="39">
        <f t="shared" si="210"/>
        <v>2130.3333333333335</v>
      </c>
      <c r="CS254" s="277">
        <f t="shared" si="211"/>
        <v>2082.4444444444448</v>
      </c>
      <c r="CT254" s="39">
        <f t="shared" si="212"/>
        <v>2130.5925925925931</v>
      </c>
      <c r="CU254" s="39">
        <f t="shared" si="213"/>
        <v>2114.4567901234573</v>
      </c>
      <c r="CV254" s="39">
        <f t="shared" si="253"/>
        <v>2109.1646090534982</v>
      </c>
      <c r="CW254" s="297">
        <f t="shared" si="214"/>
        <v>1.8389909977494374</v>
      </c>
      <c r="CX254" s="279" t="str">
        <f t="shared" si="254"/>
        <v>Pass</v>
      </c>
      <c r="CY254" s="278">
        <f t="shared" si="215"/>
        <v>1.8798901853122854</v>
      </c>
      <c r="CZ254" s="279" t="str">
        <f t="shared" si="255"/>
        <v>Pass</v>
      </c>
      <c r="DA254" s="278">
        <f t="shared" si="216"/>
        <v>1.813054729255847</v>
      </c>
      <c r="DB254" s="292" t="str">
        <f t="shared" si="256"/>
        <v>Pass</v>
      </c>
      <c r="DC254" s="299">
        <f t="shared" si="257"/>
        <v>1.7651968455613862</v>
      </c>
      <c r="DD254" s="293" t="str">
        <f t="shared" si="258"/>
        <v>Pass</v>
      </c>
      <c r="DE254" s="299">
        <f t="shared" si="259"/>
        <v>1.8103225942837819</v>
      </c>
      <c r="DF254" s="293" t="str">
        <f t="shared" si="260"/>
        <v>Pass</v>
      </c>
      <c r="DG254" s="299">
        <f t="shared" si="261"/>
        <v>1.8292841362129213</v>
      </c>
      <c r="DH254" s="293" t="str">
        <f t="shared" si="262"/>
        <v>Pass</v>
      </c>
    </row>
    <row r="255" spans="1:112" ht="15" thickTop="1" thickBot="1">
      <c r="A255" s="38" t="s">
        <v>620</v>
      </c>
      <c r="B255" s="38" t="s">
        <v>621</v>
      </c>
      <c r="C255" s="38" t="s">
        <v>620</v>
      </c>
      <c r="D255" s="38" t="s">
        <v>154</v>
      </c>
      <c r="E255" s="38" t="str">
        <f>VLOOKUP(C255,PoliticalControl!A:K,11,FALSE)</f>
        <v>CON</v>
      </c>
      <c r="F255" s="38" t="str">
        <f>VLOOKUP(C255,UrbanRuralClassification!A:N,13,FALSE)</f>
        <v>Urban with Significant Rural (rural including hub towns 26-49%)</v>
      </c>
      <c r="G255" s="38" t="str">
        <f>VLOOKUP(C255,UrbanRuralClassification!A:N,14,FALSE)</f>
        <v>Urban with Significant Rural</v>
      </c>
      <c r="H255" s="258">
        <f>IF(ISBLANK((VLOOKUP($A255,'local-plan-data'!$C$1:$AD$566,27,FALSE)))=TRUE,"",VLOOKUP($A255,'local-plan-data'!$C$1:$AD$566,27,FALSE))</f>
        <v>41809</v>
      </c>
      <c r="I255" s="259">
        <f>VLOOKUP($A255,'local-plan-data'!$C$1:$AD$566,28,FALSE)</f>
        <v>500</v>
      </c>
      <c r="J255" s="260">
        <f t="shared" si="217"/>
        <v>500</v>
      </c>
      <c r="K255" s="259">
        <f t="shared" si="263"/>
        <v>500</v>
      </c>
      <c r="L255" s="259">
        <f t="shared" si="265"/>
        <v>500</v>
      </c>
      <c r="M255" s="259" t="str">
        <f t="shared" si="265"/>
        <v>-</v>
      </c>
      <c r="N255" s="259" t="str">
        <f t="shared" si="265"/>
        <v>-</v>
      </c>
      <c r="O255" s="259" t="str">
        <f t="shared" si="265"/>
        <v>-</v>
      </c>
      <c r="P255" s="259" t="str">
        <f t="shared" si="265"/>
        <v>-</v>
      </c>
      <c r="Q255" s="259" t="str">
        <f t="shared" si="265"/>
        <v>-</v>
      </c>
      <c r="R255" s="259" t="str">
        <f t="shared" si="265"/>
        <v>-</v>
      </c>
      <c r="S255" s="259">
        <f t="shared" si="264"/>
        <v>444</v>
      </c>
      <c r="T255" s="259">
        <f t="shared" si="266"/>
        <v>79</v>
      </c>
      <c r="U255" s="259">
        <f t="shared" si="266"/>
        <v>-287</v>
      </c>
      <c r="V255" s="259">
        <f t="shared" si="266"/>
        <v>-652</v>
      </c>
      <c r="W255" s="259">
        <f t="shared" si="266"/>
        <v>-1017</v>
      </c>
      <c r="X255" s="259">
        <f t="shared" si="266"/>
        <v>-1382</v>
      </c>
      <c r="Y255" s="259">
        <f t="shared" si="266"/>
        <v>-1748</v>
      </c>
      <c r="Z255" s="259">
        <f t="shared" si="266"/>
        <v>-2113</v>
      </c>
      <c r="AA255" s="267">
        <f>(VLOOKUP(A255,Hshldprojections2014!$A$2:$AW$319,40, FALSE)-VLOOKUP(A255,Hshldprojections2014!$A$2:$AW$319,30, FALSE))/10</f>
        <v>343.4</v>
      </c>
      <c r="AB255" s="267">
        <f>(VLOOKUP(A255,Hshldprojections2014!$A$2:$AW$319,41, FALSE)-VLOOKUP(A255,Hshldprojections2014!$A$2:$AW$319,31, FALSE))/10</f>
        <v>336.8</v>
      </c>
      <c r="AC255" s="267">
        <f>(VLOOKUP(A255,Hshldprojections2014!$A$2:$AW$319,42, FALSE)-VLOOKUP(A255,Hshldprojections2014!$A$2:$AW$319,32, FALSE))/10</f>
        <v>330.6</v>
      </c>
      <c r="AD255" s="267">
        <f>IF(IndividualLATest!$J$7=2014,(VLOOKUP($A255,Hshldprojections2014!$A$2:$AY$326,43,FALSE)-VLOOKUP($A255,Hshldprojections2014!$A$2:$AY$326,33,FALSE))/10,IF(IndividualLATest!$J$7=2016,(VLOOKUP($A255,Hshldprojections2016!$A$1:$AQ$322,33,FALSE)-VLOOKUP($A255,Hshldprojections2016!$A$1:$AQ$322,23,FALSE))/10,(VLOOKUP($A255,Hshldprojections2018!$A$1:$AQ$327,33,FALSE)-VLOOKUP($A255,Hshldprojections2018!$A$1:$AQ$327,23,FALSE))/10))</f>
        <v>516.4</v>
      </c>
      <c r="AE255" s="267">
        <f>IF(IndividualLATest!$J$7=2014,(VLOOKUP($A255,Hshldprojections2014!$A$2:$AY$326,44,FALSE)-VLOOKUP($A255,Hshldprojections2014!$A$2:$AY$326,34,FALSE))/10,IF(IndividualLATest!$J$7=2016,(VLOOKUP($A255,Hshldprojections2016!$A$1:$AQ$322,34,FALSE)-VLOOKUP($A255,Hshldprojections2016!$A$1:$AQ$322,24,FALSE))/10,(VLOOKUP($A255,Hshldprojections2018!$A$1:$AQ$327,34,FALSE)-VLOOKUP($A255,Hshldprojections2018!$A$1:$AQ$327,24,FALSE))/10))</f>
        <v>500.8</v>
      </c>
      <c r="AF255" s="267">
        <f>IF(IndividualLATest!$J$7=2014,(VLOOKUP($A255,Hshldprojections2014!$A$2:$AY$326,45,FALSE)-VLOOKUP($A255,Hshldprojections2014!$A$2:$AY$326,35,FALSE))/10,IF(IndividualLATest!$J$7=2016,(VLOOKUP($A255,Hshldprojections2016!$A$1:$AQ$322,35,FALSE)-VLOOKUP($A255,Hshldprojections2016!$A$1:$AQ$322,25,FALSE))/10,(VLOOKUP($A255,Hshldprojections2018!$A$1:$AQ$327,35,FALSE)-VLOOKUP($A255,Hshldprojections2018!$A$1:$AQ$327,25,FALSE))/10))</f>
        <v>483.7</v>
      </c>
      <c r="AG255" s="267">
        <f>IF(IndividualLATest!$J$7=2014,(VLOOKUP($A255,Hshldprojections2014!$A$2:$AY$326,46,FALSE)-VLOOKUP($A255,Hshldprojections2014!$A$2:$AY$326,36,FALSE))/10,IF(IndividualLATest!$J$7=2016,(VLOOKUP($A255,Hshldprojections2016!$A$1:$AQ$322,36,FALSE)-VLOOKUP($A255,Hshldprojections2016!$A$1:$AQ$322,26,FALSE))/10,(VLOOKUP($A255,Hshldprojections2018!$A$1:$AQ$327,36,FALSE)-VLOOKUP($A255,Hshldprojections2018!$A$1:$AQ$327,26,FALSE))/10))</f>
        <v>470.1</v>
      </c>
      <c r="AH255" s="267">
        <f>IF(IndividualLATest!$J$7=2014,(VLOOKUP($A255,Hshldprojections2014!$A$2:$AY$326,47,FALSE)-VLOOKUP($A255,Hshldprojections2014!$A$2:$AY$326,37,FALSE))/10,IF(IndividualLATest!$J$7=2016,(VLOOKUP($A255,Hshldprojections2016!$A$1:$AQ$322,37,FALSE)-VLOOKUP($A255,Hshldprojections2016!$A$1:$AQ$322,27,FALSE))/10,(VLOOKUP($A255,Hshldprojections2018!$A$1:$AQ$327,37,FALSE)-VLOOKUP($A255,Hshldprojections2018!$A$1:$AQ$327,27,FALSE))/10))</f>
        <v>460.2</v>
      </c>
      <c r="AI255" s="268">
        <f>VLOOKUP($A255,AffordabilityRatio!$A$2:$I$321,5,FALSE)</f>
        <v>7.35</v>
      </c>
      <c r="AJ255" s="268">
        <f>VLOOKUP($A255,AffordabilityRatio!$A$2:$I$321,6,FALSE)</f>
        <v>7.38</v>
      </c>
      <c r="AK255" s="268">
        <f>VLOOKUP($A255,AffordabilityRatio!$A$2:$I$321,7,FALSE)</f>
        <v>7.37</v>
      </c>
      <c r="AL255" s="268">
        <f>IF((VLOOKUP($A255,AffordabilityRatio!$A$2:$I$321,8,FALSE))="",AK255,VLOOKUP($A255,AffordabilityRatio!$A$2:$I$321,8,FALSE))</f>
        <v>7.4</v>
      </c>
      <c r="AM255" s="268">
        <f>IF((VLOOKUP($A255,AffordabilityRatio!$A$2:$I$321,9,FALSE))="",AL255,VLOOKUP($A255,AffordabilityRatio!$A$2:$I$321,9,FALSE))</f>
        <v>7.71</v>
      </c>
      <c r="AN255" s="268">
        <f>IF((VLOOKUP($A255,AffordabilityRatio!$A$2:$I$321,9,FALSE))="",AM255,VLOOKUP($A255,AffordabilityRatio!$A$2:$I$321,9,FALSE))</f>
        <v>7.71</v>
      </c>
      <c r="AO255" s="268">
        <f>IF((VLOOKUP($A255,AffordabilityRatio!$A$2:$I$321,9,FALSE))="",AN255,VLOOKUP($A255,AffordabilityRatio!$A$2:$I$321,9,FALSE))</f>
        <v>7.71</v>
      </c>
      <c r="AP255" s="268">
        <f>IF((VLOOKUP($A255,AffordabilityRatio!$A$2:$I$321,9,FALSE))="",AO255,VLOOKUP($A255,AffordabilityRatio!$A$2:$I$321,9,FALSE))</f>
        <v>7.71</v>
      </c>
      <c r="AQ255" s="267">
        <f t="shared" si="218"/>
        <v>415</v>
      </c>
      <c r="AR255" s="267">
        <f t="shared" si="219"/>
        <v>408</v>
      </c>
      <c r="AS255" s="267">
        <f t="shared" si="220"/>
        <v>400</v>
      </c>
      <c r="AT255" s="267">
        <f t="shared" si="221"/>
        <v>626</v>
      </c>
      <c r="AU255" s="267">
        <f t="shared" si="222"/>
        <v>617</v>
      </c>
      <c r="AV255" s="267">
        <f t="shared" si="223"/>
        <v>596</v>
      </c>
      <c r="AW255" s="267">
        <f t="shared" si="224"/>
        <v>579</v>
      </c>
      <c r="AX255" s="267">
        <f t="shared" si="225"/>
        <v>567</v>
      </c>
      <c r="AY255" s="267">
        <f t="shared" si="226"/>
        <v>415</v>
      </c>
      <c r="AZ255" s="267">
        <f t="shared" si="227"/>
        <v>408</v>
      </c>
      <c r="BA255" s="267">
        <f t="shared" si="228"/>
        <v>400</v>
      </c>
      <c r="BB255" s="267">
        <f t="shared" si="229"/>
        <v>626</v>
      </c>
      <c r="BC255" s="267">
        <f t="shared" si="230"/>
        <v>617</v>
      </c>
      <c r="BD255" s="267">
        <f t="shared" si="231"/>
        <v>596</v>
      </c>
      <c r="BE255" s="267">
        <f t="shared" si="232"/>
        <v>579</v>
      </c>
      <c r="BF255" s="267">
        <f t="shared" si="233"/>
        <v>567</v>
      </c>
      <c r="BG255" s="269">
        <f>AY255*VLOOKUP($B255,'Major Cities &amp; Towns'!$A$28:$B$345,2,FALSE)</f>
        <v>415</v>
      </c>
      <c r="BH255" s="269">
        <f>AZ255*VLOOKUP($B255,'Major Cities &amp; Towns'!$A$28:$B$345,2,FALSE)</f>
        <v>408</v>
      </c>
      <c r="BI255" s="269">
        <f>BA255*VLOOKUP($B255,'Major Cities &amp; Towns'!$A$28:$B$345,2,FALSE)</f>
        <v>400</v>
      </c>
      <c r="BJ255" s="269">
        <f>BB255*VLOOKUP($B255,'Major Cities &amp; Towns'!$A$28:$B$345,2,FALSE)</f>
        <v>626</v>
      </c>
      <c r="BK255" s="269">
        <f>BC255*VLOOKUP($B255,'Major Cities &amp; Towns'!$A$28:$B$345,2,FALSE)</f>
        <v>617</v>
      </c>
      <c r="BL255" s="269">
        <f>BD255*VLOOKUP($B255,'Major Cities &amp; Towns'!$A$28:$B$345,2,FALSE)</f>
        <v>596</v>
      </c>
      <c r="BM255" s="269">
        <f>BE255*VLOOKUP($B255,'Major Cities &amp; Towns'!$A$28:$B$345,2,FALSE)</f>
        <v>579</v>
      </c>
      <c r="BN255" s="269">
        <f>BF255*VLOOKUP($B255,'Major Cities &amp; Towns'!$A$28:$B$345,2,FALSE)</f>
        <v>567</v>
      </c>
      <c r="BO255" s="270">
        <f t="shared" si="234"/>
        <v>415</v>
      </c>
      <c r="BP255" s="270">
        <f t="shared" si="235"/>
        <v>408</v>
      </c>
      <c r="BQ255" s="270">
        <f t="shared" si="236"/>
        <v>400</v>
      </c>
      <c r="BR255" s="270">
        <f t="shared" si="237"/>
        <v>626</v>
      </c>
      <c r="BS255" s="270">
        <f t="shared" si="238"/>
        <v>617</v>
      </c>
      <c r="BT255" s="270">
        <f t="shared" si="239"/>
        <v>596</v>
      </c>
      <c r="BU255" s="270">
        <f t="shared" si="240"/>
        <v>579</v>
      </c>
      <c r="BV255" s="270">
        <f t="shared" si="241"/>
        <v>567</v>
      </c>
      <c r="BW255" s="39">
        <f>VLOOKUP($A255,NetAdditions!$A$2:$H$336,6,FALSE)</f>
        <v>699</v>
      </c>
      <c r="BX255" s="39">
        <f>VLOOKUP($A255,NetAdditions!$A$2:$H$336,7,FALSE)</f>
        <v>752</v>
      </c>
      <c r="BY255" s="39">
        <f>IF((VLOOKUP($C255,NetAdditions!$A$2:$H$336,8,FALSE))="",(AVERAGE(VLOOKUP($C255,NetAdditions!$A$2:$H$336,5,FALSE),VLOOKUP($C255,NetAdditions!$A$2:$H$336,6,FALSE),VLOOKUP($C255,NetAdditions!$A$2:$H$336,7,FALSE))),VLOOKUP($C255,NetAdditions!$A$2:$H$336,8,FALSE))</f>
        <v>614</v>
      </c>
      <c r="BZ255" s="39">
        <f t="shared" si="242"/>
        <v>688.33333333333337</v>
      </c>
      <c r="CA255" s="39">
        <f t="shared" si="243"/>
        <v>684.77777777777783</v>
      </c>
      <c r="CB255" s="39">
        <f t="shared" si="244"/>
        <v>662.37037037037044</v>
      </c>
      <c r="CC255" s="39">
        <f t="shared" si="245"/>
        <v>678.49382716049388</v>
      </c>
      <c r="CD255" s="39">
        <f t="shared" si="246"/>
        <v>675.21399176954731</v>
      </c>
      <c r="CE255" s="276">
        <f t="shared" si="203"/>
        <v>1223</v>
      </c>
      <c r="CF255" s="276">
        <f t="shared" si="204"/>
        <v>1434</v>
      </c>
      <c r="CG255" s="276">
        <f t="shared" si="205"/>
        <v>1643</v>
      </c>
      <c r="CH255" s="276">
        <f t="shared" si="206"/>
        <v>1839</v>
      </c>
      <c r="CI255" s="276">
        <f t="shared" si="207"/>
        <v>1792</v>
      </c>
      <c r="CJ255" s="276">
        <f t="shared" si="208"/>
        <v>1742</v>
      </c>
      <c r="CK255" s="276">
        <f t="shared" si="247"/>
        <v>1053.1388888888889</v>
      </c>
      <c r="CL255" s="276">
        <f t="shared" si="248"/>
        <v>1234.8333333333335</v>
      </c>
      <c r="CM255" s="276">
        <f t="shared" si="249"/>
        <v>1506.0833333333333</v>
      </c>
      <c r="CN255" s="276">
        <f t="shared" si="250"/>
        <v>1839</v>
      </c>
      <c r="CO255" s="276">
        <f t="shared" si="251"/>
        <v>1792</v>
      </c>
      <c r="CP255" s="276">
        <f t="shared" si="252"/>
        <v>1742</v>
      </c>
      <c r="CQ255" s="39">
        <f t="shared" si="209"/>
        <v>2065</v>
      </c>
      <c r="CR255" s="39">
        <f t="shared" si="210"/>
        <v>2054.3333333333335</v>
      </c>
      <c r="CS255" s="277">
        <f t="shared" si="211"/>
        <v>1987.1111111111113</v>
      </c>
      <c r="CT255" s="39">
        <f t="shared" si="212"/>
        <v>2035.4814814814818</v>
      </c>
      <c r="CU255" s="39">
        <f t="shared" si="213"/>
        <v>2025.641975308642</v>
      </c>
      <c r="CV255" s="39">
        <f t="shared" si="253"/>
        <v>2016.0781893004114</v>
      </c>
      <c r="CW255" s="297">
        <f t="shared" si="214"/>
        <v>1.9608050009231661</v>
      </c>
      <c r="CX255" s="279" t="str">
        <f t="shared" si="254"/>
        <v>Pass</v>
      </c>
      <c r="CY255" s="278">
        <f t="shared" si="215"/>
        <v>1.6636523147523281</v>
      </c>
      <c r="CZ255" s="279" t="str">
        <f t="shared" si="255"/>
        <v>Pass</v>
      </c>
      <c r="DA255" s="278">
        <f t="shared" si="216"/>
        <v>1.3193898817757614</v>
      </c>
      <c r="DB255" s="292" t="str">
        <f t="shared" si="256"/>
        <v>Pass</v>
      </c>
      <c r="DC255" s="299">
        <f t="shared" si="257"/>
        <v>1.1068414798703001</v>
      </c>
      <c r="DD255" s="293" t="str">
        <f t="shared" si="258"/>
        <v>Pass</v>
      </c>
      <c r="DE255" s="299">
        <f t="shared" si="259"/>
        <v>1.1303805665784832</v>
      </c>
      <c r="DF255" s="293" t="str">
        <f t="shared" si="260"/>
        <v>Pass</v>
      </c>
      <c r="DG255" s="299">
        <f t="shared" si="261"/>
        <v>1.1573353555111432</v>
      </c>
      <c r="DH255" s="293" t="str">
        <f t="shared" si="262"/>
        <v>Pass</v>
      </c>
    </row>
    <row r="256" spans="1:112" ht="15" thickTop="1" thickBot="1">
      <c r="A256" s="38" t="s">
        <v>622</v>
      </c>
      <c r="B256" s="38" t="s">
        <v>623</v>
      </c>
      <c r="C256" s="38" t="s">
        <v>622</v>
      </c>
      <c r="D256" s="38" t="s">
        <v>154</v>
      </c>
      <c r="E256" s="38" t="str">
        <f>VLOOKUP(C256,PoliticalControl!A:K,11,FALSE)</f>
        <v>NOC</v>
      </c>
      <c r="F256" s="38" t="str">
        <f>VLOOKUP(C256,UrbanRuralClassification!A:N,13,FALSE)</f>
        <v xml:space="preserve">Largely Rural (rural including hub towns 50-79%) </v>
      </c>
      <c r="G256" s="38" t="str">
        <f>VLOOKUP(C256,UrbanRuralClassification!A:N,14,FALSE)</f>
        <v>Predominantly Rural</v>
      </c>
      <c r="H256" s="258">
        <f>IF(ISBLANK((VLOOKUP($A256,'local-plan-data'!$C$1:$AD$566,27,FALSE)))=TRUE,"",VLOOKUP($A256,'local-plan-data'!$C$1:$AD$566,27,FALSE))</f>
        <v>44083</v>
      </c>
      <c r="I256" s="259">
        <f>VLOOKUP($A256,'local-plan-data'!$C$1:$AD$566,28,FALSE)</f>
        <v>315</v>
      </c>
      <c r="J256" s="260">
        <f t="shared" si="217"/>
        <v>315</v>
      </c>
      <c r="K256" s="259">
        <f t="shared" si="263"/>
        <v>315</v>
      </c>
      <c r="L256" s="259">
        <f t="shared" si="265"/>
        <v>315</v>
      </c>
      <c r="M256" s="259">
        <f t="shared" si="265"/>
        <v>315</v>
      </c>
      <c r="N256" s="259">
        <f t="shared" si="265"/>
        <v>315</v>
      </c>
      <c r="O256" s="259">
        <f t="shared" si="265"/>
        <v>315</v>
      </c>
      <c r="P256" s="259">
        <f t="shared" si="265"/>
        <v>315</v>
      </c>
      <c r="Q256" s="259">
        <f t="shared" si="265"/>
        <v>315</v>
      </c>
      <c r="R256" s="259">
        <f t="shared" si="265"/>
        <v>315</v>
      </c>
      <c r="S256" s="259">
        <f t="shared" si="264"/>
        <v>2718</v>
      </c>
      <c r="T256" s="259">
        <f t="shared" si="266"/>
        <v>2353</v>
      </c>
      <c r="U256" s="259">
        <f t="shared" si="266"/>
        <v>1987</v>
      </c>
      <c r="V256" s="259">
        <f t="shared" si="266"/>
        <v>1622</v>
      </c>
      <c r="W256" s="259">
        <f t="shared" si="266"/>
        <v>1257</v>
      </c>
      <c r="X256" s="259">
        <f t="shared" si="266"/>
        <v>892</v>
      </c>
      <c r="Y256" s="259">
        <f t="shared" si="266"/>
        <v>526</v>
      </c>
      <c r="Z256" s="259">
        <f t="shared" si="266"/>
        <v>161</v>
      </c>
      <c r="AA256" s="267">
        <f>(VLOOKUP(A256,Hshldprojections2014!$A$2:$AW$319,40, FALSE)-VLOOKUP(A256,Hshldprojections2014!$A$2:$AW$319,30, FALSE))/10</f>
        <v>171.7</v>
      </c>
      <c r="AB256" s="267">
        <f>(VLOOKUP(A256,Hshldprojections2014!$A$2:$AW$319,41, FALSE)-VLOOKUP(A256,Hshldprojections2014!$A$2:$AW$319,31, FALSE))/10</f>
        <v>168.7</v>
      </c>
      <c r="AC256" s="267">
        <f>(VLOOKUP(A256,Hshldprojections2014!$A$2:$AW$319,42, FALSE)-VLOOKUP(A256,Hshldprojections2014!$A$2:$AW$319,32, FALSE))/10</f>
        <v>165.9</v>
      </c>
      <c r="AD256" s="267">
        <f>IF(IndividualLATest!$J$7=2014,(VLOOKUP($A256,Hshldprojections2014!$A$2:$AY$326,43,FALSE)-VLOOKUP($A256,Hshldprojections2014!$A$2:$AY$326,33,FALSE))/10,IF(IndividualLATest!$J$7=2016,(VLOOKUP($A256,Hshldprojections2016!$A$1:$AQ$322,33,FALSE)-VLOOKUP($A256,Hshldprojections2016!$A$1:$AQ$322,23,FALSE))/10,(VLOOKUP($A256,Hshldprojections2018!$A$1:$AQ$327,33,FALSE)-VLOOKUP($A256,Hshldprojections2018!$A$1:$AQ$327,23,FALSE))/10))</f>
        <v>148.19999999999999</v>
      </c>
      <c r="AE256" s="267">
        <f>IF(IndividualLATest!$J$7=2014,(VLOOKUP($A256,Hshldprojections2014!$A$2:$AY$326,44,FALSE)-VLOOKUP($A256,Hshldprojections2014!$A$2:$AY$326,34,FALSE))/10,IF(IndividualLATest!$J$7=2016,(VLOOKUP($A256,Hshldprojections2016!$A$1:$AQ$322,34,FALSE)-VLOOKUP($A256,Hshldprojections2016!$A$1:$AQ$322,24,FALSE))/10,(VLOOKUP($A256,Hshldprojections2018!$A$1:$AQ$327,34,FALSE)-VLOOKUP($A256,Hshldprojections2018!$A$1:$AQ$327,24,FALSE))/10))</f>
        <v>138.6</v>
      </c>
      <c r="AF256" s="267">
        <f>IF(IndividualLATest!$J$7=2014,(VLOOKUP($A256,Hshldprojections2014!$A$2:$AY$326,45,FALSE)-VLOOKUP($A256,Hshldprojections2014!$A$2:$AY$326,35,FALSE))/10,IF(IndividualLATest!$J$7=2016,(VLOOKUP($A256,Hshldprojections2016!$A$1:$AQ$322,35,FALSE)-VLOOKUP($A256,Hshldprojections2016!$A$1:$AQ$322,25,FALSE))/10,(VLOOKUP($A256,Hshldprojections2018!$A$1:$AQ$327,35,FALSE)-VLOOKUP($A256,Hshldprojections2018!$A$1:$AQ$327,25,FALSE))/10))</f>
        <v>131.69999999999999</v>
      </c>
      <c r="AG256" s="267">
        <f>IF(IndividualLATest!$J$7=2014,(VLOOKUP($A256,Hshldprojections2014!$A$2:$AY$326,46,FALSE)-VLOOKUP($A256,Hshldprojections2014!$A$2:$AY$326,36,FALSE))/10,IF(IndividualLATest!$J$7=2016,(VLOOKUP($A256,Hshldprojections2016!$A$1:$AQ$322,36,FALSE)-VLOOKUP($A256,Hshldprojections2016!$A$1:$AQ$322,26,FALSE))/10,(VLOOKUP($A256,Hshldprojections2018!$A$1:$AQ$327,36,FALSE)-VLOOKUP($A256,Hshldprojections2018!$A$1:$AQ$327,26,FALSE))/10))</f>
        <v>125.5</v>
      </c>
      <c r="AH256" s="267">
        <f>IF(IndividualLATest!$J$7=2014,(VLOOKUP($A256,Hshldprojections2014!$A$2:$AY$326,47,FALSE)-VLOOKUP($A256,Hshldprojections2014!$A$2:$AY$326,37,FALSE))/10,IF(IndividualLATest!$J$7=2016,(VLOOKUP($A256,Hshldprojections2016!$A$1:$AQ$322,37,FALSE)-VLOOKUP($A256,Hshldprojections2016!$A$1:$AQ$322,27,FALSE))/10,(VLOOKUP($A256,Hshldprojections2018!$A$1:$AQ$327,37,FALSE)-VLOOKUP($A256,Hshldprojections2018!$A$1:$AQ$327,27,FALSE))/10))</f>
        <v>119.1</v>
      </c>
      <c r="AI256" s="268">
        <f>VLOOKUP($A256,AffordabilityRatio!$A$2:$I$321,5,FALSE)</f>
        <v>6.07</v>
      </c>
      <c r="AJ256" s="268">
        <f>VLOOKUP($A256,AffordabilityRatio!$A$2:$I$321,6,FALSE)</f>
        <v>6.52</v>
      </c>
      <c r="AK256" s="268">
        <f>VLOOKUP($A256,AffordabilityRatio!$A$2:$I$321,7,FALSE)</f>
        <v>5.82</v>
      </c>
      <c r="AL256" s="268">
        <f>IF((VLOOKUP($A256,AffordabilityRatio!$A$2:$I$321,8,FALSE))="",AK256,VLOOKUP($A256,AffordabilityRatio!$A$2:$I$321,8,FALSE))</f>
        <v>6.41</v>
      </c>
      <c r="AM256" s="268">
        <f>IF((VLOOKUP($A256,AffordabilityRatio!$A$2:$I$321,9,FALSE))="",AL256,VLOOKUP($A256,AffordabilityRatio!$A$2:$I$321,9,FALSE))</f>
        <v>6.57</v>
      </c>
      <c r="AN256" s="268">
        <f>IF((VLOOKUP($A256,AffordabilityRatio!$A$2:$I$321,9,FALSE))="",AM256,VLOOKUP($A256,AffordabilityRatio!$A$2:$I$321,9,FALSE))</f>
        <v>6.57</v>
      </c>
      <c r="AO256" s="268">
        <f>IF((VLOOKUP($A256,AffordabilityRatio!$A$2:$I$321,9,FALSE))="",AN256,VLOOKUP($A256,AffordabilityRatio!$A$2:$I$321,9,FALSE))</f>
        <v>6.57</v>
      </c>
      <c r="AP256" s="268">
        <f>IF((VLOOKUP($A256,AffordabilityRatio!$A$2:$I$321,9,FALSE))="",AO256,VLOOKUP($A256,AffordabilityRatio!$A$2:$I$321,9,FALSE))</f>
        <v>6.57</v>
      </c>
      <c r="AQ256" s="267">
        <f t="shared" si="218"/>
        <v>194</v>
      </c>
      <c r="AR256" s="267">
        <f t="shared" si="219"/>
        <v>195</v>
      </c>
      <c r="AS256" s="267">
        <f t="shared" si="220"/>
        <v>185</v>
      </c>
      <c r="AT256" s="267">
        <f t="shared" si="221"/>
        <v>171</v>
      </c>
      <c r="AU256" s="267">
        <f t="shared" si="222"/>
        <v>161</v>
      </c>
      <c r="AV256" s="267">
        <f t="shared" si="223"/>
        <v>153</v>
      </c>
      <c r="AW256" s="267">
        <f t="shared" si="224"/>
        <v>146</v>
      </c>
      <c r="AX256" s="267">
        <f t="shared" si="225"/>
        <v>138</v>
      </c>
      <c r="AY256" s="267">
        <f t="shared" si="226"/>
        <v>194</v>
      </c>
      <c r="AZ256" s="267">
        <f t="shared" si="227"/>
        <v>195</v>
      </c>
      <c r="BA256" s="267">
        <f t="shared" si="228"/>
        <v>185</v>
      </c>
      <c r="BB256" s="267">
        <f t="shared" si="229"/>
        <v>171</v>
      </c>
      <c r="BC256" s="267">
        <f t="shared" si="230"/>
        <v>161</v>
      </c>
      <c r="BD256" s="267">
        <f t="shared" si="231"/>
        <v>153</v>
      </c>
      <c r="BE256" s="267">
        <f t="shared" si="232"/>
        <v>146</v>
      </c>
      <c r="BF256" s="267">
        <f t="shared" si="233"/>
        <v>138</v>
      </c>
      <c r="BG256" s="269">
        <f>AY256*VLOOKUP($B256,'Major Cities &amp; Towns'!$A$28:$B$345,2,FALSE)</f>
        <v>194</v>
      </c>
      <c r="BH256" s="269">
        <f>AZ256*VLOOKUP($B256,'Major Cities &amp; Towns'!$A$28:$B$345,2,FALSE)</f>
        <v>195</v>
      </c>
      <c r="BI256" s="269">
        <f>BA256*VLOOKUP($B256,'Major Cities &amp; Towns'!$A$28:$B$345,2,FALSE)</f>
        <v>185</v>
      </c>
      <c r="BJ256" s="269">
        <f>BB256*VLOOKUP($B256,'Major Cities &amp; Towns'!$A$28:$B$345,2,FALSE)</f>
        <v>171</v>
      </c>
      <c r="BK256" s="269">
        <f>BC256*VLOOKUP($B256,'Major Cities &amp; Towns'!$A$28:$B$345,2,FALSE)</f>
        <v>161</v>
      </c>
      <c r="BL256" s="269">
        <f>BD256*VLOOKUP($B256,'Major Cities &amp; Towns'!$A$28:$B$345,2,FALSE)</f>
        <v>153</v>
      </c>
      <c r="BM256" s="269">
        <f>BE256*VLOOKUP($B256,'Major Cities &amp; Towns'!$A$28:$B$345,2,FALSE)</f>
        <v>146</v>
      </c>
      <c r="BN256" s="269">
        <f>BF256*VLOOKUP($B256,'Major Cities &amp; Towns'!$A$28:$B$345,2,FALSE)</f>
        <v>138</v>
      </c>
      <c r="BO256" s="270">
        <f t="shared" si="234"/>
        <v>194</v>
      </c>
      <c r="BP256" s="270">
        <f t="shared" si="235"/>
        <v>195</v>
      </c>
      <c r="BQ256" s="270">
        <f t="shared" si="236"/>
        <v>185</v>
      </c>
      <c r="BR256" s="270">
        <f t="shared" si="237"/>
        <v>171</v>
      </c>
      <c r="BS256" s="270">
        <f t="shared" si="238"/>
        <v>161</v>
      </c>
      <c r="BT256" s="270">
        <f t="shared" si="239"/>
        <v>153</v>
      </c>
      <c r="BU256" s="270">
        <f t="shared" si="240"/>
        <v>146</v>
      </c>
      <c r="BV256" s="270">
        <f t="shared" si="241"/>
        <v>138</v>
      </c>
      <c r="BW256" s="39">
        <f>VLOOKUP($A256,NetAdditions!$A$2:$H$336,6,FALSE)</f>
        <v>168</v>
      </c>
      <c r="BX256" s="39">
        <f>VLOOKUP($A256,NetAdditions!$A$2:$H$336,7,FALSE)</f>
        <v>212</v>
      </c>
      <c r="BY256" s="39">
        <f>IF((VLOOKUP($C256,NetAdditions!$A$2:$H$336,8,FALSE))="",(AVERAGE(VLOOKUP($C256,NetAdditions!$A$2:$H$336,5,FALSE),VLOOKUP($C256,NetAdditions!$A$2:$H$336,6,FALSE),VLOOKUP($C256,NetAdditions!$A$2:$H$336,7,FALSE))),VLOOKUP($C256,NetAdditions!$A$2:$H$336,8,FALSE))</f>
        <v>209</v>
      </c>
      <c r="BZ256" s="39">
        <f t="shared" si="242"/>
        <v>196.33333333333334</v>
      </c>
      <c r="CA256" s="39">
        <f t="shared" si="243"/>
        <v>205.7777777777778</v>
      </c>
      <c r="CB256" s="39">
        <f t="shared" si="244"/>
        <v>203.70370370370372</v>
      </c>
      <c r="CC256" s="39">
        <f t="shared" si="245"/>
        <v>201.93827160493831</v>
      </c>
      <c r="CD256" s="39">
        <f t="shared" si="246"/>
        <v>203.80658436213994</v>
      </c>
      <c r="CE256" s="276">
        <f t="shared" si="203"/>
        <v>574</v>
      </c>
      <c r="CF256" s="276">
        <f t="shared" si="204"/>
        <v>551</v>
      </c>
      <c r="CG256" s="276">
        <f t="shared" si="205"/>
        <v>517</v>
      </c>
      <c r="CH256" s="276">
        <f t="shared" si="206"/>
        <v>485</v>
      </c>
      <c r="CI256" s="276">
        <f t="shared" si="207"/>
        <v>460</v>
      </c>
      <c r="CJ256" s="276">
        <f t="shared" si="208"/>
        <v>437</v>
      </c>
      <c r="CK256" s="276">
        <f t="shared" si="247"/>
        <v>494.27777777777783</v>
      </c>
      <c r="CL256" s="276">
        <f t="shared" si="248"/>
        <v>474.47222222222223</v>
      </c>
      <c r="CM256" s="276">
        <f t="shared" si="249"/>
        <v>473.91666666666663</v>
      </c>
      <c r="CN256" s="276">
        <f t="shared" si="250"/>
        <v>485</v>
      </c>
      <c r="CO256" s="276">
        <f t="shared" si="251"/>
        <v>460</v>
      </c>
      <c r="CP256" s="276">
        <f t="shared" si="252"/>
        <v>437</v>
      </c>
      <c r="CQ256" s="39">
        <f t="shared" si="209"/>
        <v>589</v>
      </c>
      <c r="CR256" s="39">
        <f t="shared" si="210"/>
        <v>617.33333333333337</v>
      </c>
      <c r="CS256" s="277">
        <f t="shared" si="211"/>
        <v>611.1111111111112</v>
      </c>
      <c r="CT256" s="39">
        <f t="shared" si="212"/>
        <v>605.81481481481489</v>
      </c>
      <c r="CU256" s="39">
        <f t="shared" si="213"/>
        <v>611.41975308641986</v>
      </c>
      <c r="CV256" s="39">
        <f t="shared" si="253"/>
        <v>609.44855967078195</v>
      </c>
      <c r="CW256" s="297">
        <f t="shared" si="214"/>
        <v>1.1916376306620209</v>
      </c>
      <c r="CX256" s="279" t="str">
        <f t="shared" si="254"/>
        <v>Pass</v>
      </c>
      <c r="CY256" s="278">
        <f t="shared" si="215"/>
        <v>1.3010947836777706</v>
      </c>
      <c r="CZ256" s="279" t="str">
        <f t="shared" si="255"/>
        <v>Pass</v>
      </c>
      <c r="DA256" s="278">
        <f t="shared" si="216"/>
        <v>1.2894906511927791</v>
      </c>
      <c r="DB256" s="292" t="str">
        <f t="shared" si="256"/>
        <v>Pass</v>
      </c>
      <c r="DC256" s="299">
        <f t="shared" si="257"/>
        <v>1.2491027109583812</v>
      </c>
      <c r="DD256" s="293" t="str">
        <f t="shared" si="258"/>
        <v>Pass</v>
      </c>
      <c r="DE256" s="299">
        <f t="shared" si="259"/>
        <v>1.3291733762748257</v>
      </c>
      <c r="DF256" s="293" t="str">
        <f t="shared" si="260"/>
        <v>Pass</v>
      </c>
      <c r="DG256" s="299">
        <f t="shared" si="261"/>
        <v>1.3946191296814232</v>
      </c>
      <c r="DH256" s="293" t="str">
        <f t="shared" si="262"/>
        <v>Pass</v>
      </c>
    </row>
    <row r="257" spans="1:112" ht="15" thickTop="1" thickBot="1">
      <c r="A257" s="38" t="s">
        <v>624</v>
      </c>
      <c r="B257" s="38" t="s">
        <v>625</v>
      </c>
      <c r="C257" s="38" t="s">
        <v>624</v>
      </c>
      <c r="D257" s="38" t="s">
        <v>128</v>
      </c>
      <c r="E257" s="38" t="str">
        <f>VLOOKUP(C257,PoliticalControl!A:K,11,FALSE)</f>
        <v>LAB</v>
      </c>
      <c r="F257" s="38" t="str">
        <f>VLOOKUP(C257,UrbanRuralClassification!A:N,13,FALSE)</f>
        <v>Urban with City and Town</v>
      </c>
      <c r="G257" s="38" t="str">
        <f>VLOOKUP(C257,UrbanRuralClassification!A:N,14,FALSE)</f>
        <v>Predominantly Urban</v>
      </c>
      <c r="H257" s="258">
        <f>IF(ISBLANK((VLOOKUP($A257,'local-plan-data'!$C$1:$AD$566,27,FALSE)))=TRUE,"",VLOOKUP($A257,'local-plan-data'!$C$1:$AD$566,27,FALSE))</f>
        <v>43607</v>
      </c>
      <c r="I257" s="259">
        <f>VLOOKUP($A257,'local-plan-data'!$C$1:$AD$566,28,FALSE)</f>
        <v>380</v>
      </c>
      <c r="J257" s="260">
        <f t="shared" si="217"/>
        <v>380</v>
      </c>
      <c r="K257" s="259">
        <f t="shared" si="263"/>
        <v>380</v>
      </c>
      <c r="L257" s="259">
        <f t="shared" si="265"/>
        <v>380</v>
      </c>
      <c r="M257" s="259">
        <f t="shared" si="265"/>
        <v>380</v>
      </c>
      <c r="N257" s="259">
        <f t="shared" si="265"/>
        <v>380</v>
      </c>
      <c r="O257" s="259">
        <f t="shared" si="265"/>
        <v>380</v>
      </c>
      <c r="P257" s="259">
        <f t="shared" si="265"/>
        <v>380</v>
      </c>
      <c r="Q257" s="259">
        <f t="shared" si="265"/>
        <v>380</v>
      </c>
      <c r="R257" s="259" t="str">
        <f t="shared" si="265"/>
        <v>-</v>
      </c>
      <c r="S257" s="259">
        <f t="shared" si="264"/>
        <v>2243</v>
      </c>
      <c r="T257" s="259">
        <f t="shared" si="266"/>
        <v>1878</v>
      </c>
      <c r="U257" s="259">
        <f t="shared" si="266"/>
        <v>1512</v>
      </c>
      <c r="V257" s="259">
        <f t="shared" si="266"/>
        <v>1147</v>
      </c>
      <c r="W257" s="259">
        <f t="shared" si="266"/>
        <v>782</v>
      </c>
      <c r="X257" s="259">
        <f t="shared" si="266"/>
        <v>417</v>
      </c>
      <c r="Y257" s="259">
        <f t="shared" si="266"/>
        <v>51</v>
      </c>
      <c r="Z257" s="259">
        <f t="shared" si="266"/>
        <v>-314</v>
      </c>
      <c r="AA257" s="267">
        <f>(VLOOKUP(A257,Hshldprojections2014!$A$2:$AW$319,40, FALSE)-VLOOKUP(A257,Hshldprojections2014!$A$2:$AW$319,30, FALSE))/10</f>
        <v>363.4</v>
      </c>
      <c r="AB257" s="267">
        <f>(VLOOKUP(A257,Hshldprojections2014!$A$2:$AW$319,41, FALSE)-VLOOKUP(A257,Hshldprojections2014!$A$2:$AW$319,31, FALSE))/10</f>
        <v>362.6</v>
      </c>
      <c r="AC257" s="267">
        <f>(VLOOKUP(A257,Hshldprojections2014!$A$2:$AW$319,42, FALSE)-VLOOKUP(A257,Hshldprojections2014!$A$2:$AW$319,32, FALSE))/10</f>
        <v>362</v>
      </c>
      <c r="AD257" s="267">
        <f>IF(IndividualLATest!$J$7=2014,(VLOOKUP($A257,Hshldprojections2014!$A$2:$AY$326,43,FALSE)-VLOOKUP($A257,Hshldprojections2014!$A$2:$AY$326,33,FALSE))/10,IF(IndividualLATest!$J$7=2016,(VLOOKUP($A257,Hshldprojections2016!$A$1:$AQ$322,33,FALSE)-VLOOKUP($A257,Hshldprojections2016!$A$1:$AQ$322,23,FALSE))/10,(VLOOKUP($A257,Hshldprojections2018!$A$1:$AQ$327,33,FALSE)-VLOOKUP($A257,Hshldprojections2018!$A$1:$AQ$327,23,FALSE))/10))</f>
        <v>129.19999999999999</v>
      </c>
      <c r="AE257" s="267">
        <f>IF(IndividualLATest!$J$7=2014,(VLOOKUP($A257,Hshldprojections2014!$A$2:$AY$326,44,FALSE)-VLOOKUP($A257,Hshldprojections2014!$A$2:$AY$326,34,FALSE))/10,IF(IndividualLATest!$J$7=2016,(VLOOKUP($A257,Hshldprojections2016!$A$1:$AQ$322,34,FALSE)-VLOOKUP($A257,Hshldprojections2016!$A$1:$AQ$322,24,FALSE))/10,(VLOOKUP($A257,Hshldprojections2018!$A$1:$AQ$327,34,FALSE)-VLOOKUP($A257,Hshldprojections2018!$A$1:$AQ$327,24,FALSE))/10))</f>
        <v>132.80000000000001</v>
      </c>
      <c r="AF257" s="267">
        <f>IF(IndividualLATest!$J$7=2014,(VLOOKUP($A257,Hshldprojections2014!$A$2:$AY$326,45,FALSE)-VLOOKUP($A257,Hshldprojections2014!$A$2:$AY$326,35,FALSE))/10,IF(IndividualLATest!$J$7=2016,(VLOOKUP($A257,Hshldprojections2016!$A$1:$AQ$322,35,FALSE)-VLOOKUP($A257,Hshldprojections2016!$A$1:$AQ$322,25,FALSE))/10,(VLOOKUP($A257,Hshldprojections2018!$A$1:$AQ$327,35,FALSE)-VLOOKUP($A257,Hshldprojections2018!$A$1:$AQ$327,25,FALSE))/10))</f>
        <v>136.30000000000001</v>
      </c>
      <c r="AG257" s="267">
        <f>IF(IndividualLATest!$J$7=2014,(VLOOKUP($A257,Hshldprojections2014!$A$2:$AY$326,46,FALSE)-VLOOKUP($A257,Hshldprojections2014!$A$2:$AY$326,36,FALSE))/10,IF(IndividualLATest!$J$7=2016,(VLOOKUP($A257,Hshldprojections2016!$A$1:$AQ$322,36,FALSE)-VLOOKUP($A257,Hshldprojections2016!$A$1:$AQ$322,26,FALSE))/10,(VLOOKUP($A257,Hshldprojections2018!$A$1:$AQ$327,36,FALSE)-VLOOKUP($A257,Hshldprojections2018!$A$1:$AQ$327,26,FALSE))/10))</f>
        <v>140.6</v>
      </c>
      <c r="AH257" s="267">
        <f>IF(IndividualLATest!$J$7=2014,(VLOOKUP($A257,Hshldprojections2014!$A$2:$AY$326,47,FALSE)-VLOOKUP($A257,Hshldprojections2014!$A$2:$AY$326,37,FALSE))/10,IF(IndividualLATest!$J$7=2016,(VLOOKUP($A257,Hshldprojections2016!$A$1:$AQ$322,37,FALSE)-VLOOKUP($A257,Hshldprojections2016!$A$1:$AQ$322,27,FALSE))/10,(VLOOKUP($A257,Hshldprojections2018!$A$1:$AQ$327,37,FALSE)-VLOOKUP($A257,Hshldprojections2018!$A$1:$AQ$327,27,FALSE))/10))</f>
        <v>144.69999999999999</v>
      </c>
      <c r="AI257" s="268">
        <f>VLOOKUP($A257,AffordabilityRatio!$A$2:$I$321,5,FALSE)</f>
        <v>7.61</v>
      </c>
      <c r="AJ257" s="268">
        <f>VLOOKUP($A257,AffordabilityRatio!$A$2:$I$321,6,FALSE)</f>
        <v>8.1999999999999993</v>
      </c>
      <c r="AK257" s="268">
        <f>VLOOKUP($A257,AffordabilityRatio!$A$2:$I$321,7,FALSE)</f>
        <v>7.62</v>
      </c>
      <c r="AL257" s="268">
        <f>IF((VLOOKUP($A257,AffordabilityRatio!$A$2:$I$321,8,FALSE))="",AK257,VLOOKUP($A257,AffordabilityRatio!$A$2:$I$321,8,FALSE))</f>
        <v>7.71</v>
      </c>
      <c r="AM257" s="268">
        <f>IF((VLOOKUP($A257,AffordabilityRatio!$A$2:$I$321,9,FALSE))="",AL257,VLOOKUP($A257,AffordabilityRatio!$A$2:$I$321,9,FALSE))</f>
        <v>8.2899999999999991</v>
      </c>
      <c r="AN257" s="268">
        <f>IF((VLOOKUP($A257,AffordabilityRatio!$A$2:$I$321,9,FALSE))="",AM257,VLOOKUP($A257,AffordabilityRatio!$A$2:$I$321,9,FALSE))</f>
        <v>8.2899999999999991</v>
      </c>
      <c r="AO257" s="268">
        <f>IF((VLOOKUP($A257,AffordabilityRatio!$A$2:$I$321,9,FALSE))="",AN257,VLOOKUP($A257,AffordabilityRatio!$A$2:$I$321,9,FALSE))</f>
        <v>8.2899999999999991</v>
      </c>
      <c r="AP257" s="268">
        <f>IF((VLOOKUP($A257,AffordabilityRatio!$A$2:$I$321,9,FALSE))="",AO257,VLOOKUP($A257,AffordabilityRatio!$A$2:$I$321,9,FALSE))</f>
        <v>8.2899999999999991</v>
      </c>
      <c r="AQ257" s="267">
        <f t="shared" si="218"/>
        <v>445</v>
      </c>
      <c r="AR257" s="267">
        <f t="shared" si="219"/>
        <v>458</v>
      </c>
      <c r="AS257" s="267">
        <f t="shared" si="220"/>
        <v>444</v>
      </c>
      <c r="AT257" s="267">
        <f t="shared" si="221"/>
        <v>159</v>
      </c>
      <c r="AU257" s="267">
        <f t="shared" si="222"/>
        <v>168</v>
      </c>
      <c r="AV257" s="267">
        <f t="shared" si="223"/>
        <v>173</v>
      </c>
      <c r="AW257" s="267">
        <f t="shared" si="224"/>
        <v>178</v>
      </c>
      <c r="AX257" s="267">
        <f t="shared" si="225"/>
        <v>183</v>
      </c>
      <c r="AY257" s="267">
        <f t="shared" si="226"/>
        <v>445</v>
      </c>
      <c r="AZ257" s="267">
        <f t="shared" si="227"/>
        <v>458</v>
      </c>
      <c r="BA257" s="267">
        <f t="shared" si="228"/>
        <v>444</v>
      </c>
      <c r="BB257" s="267">
        <f t="shared" si="229"/>
        <v>159</v>
      </c>
      <c r="BC257" s="267">
        <f t="shared" si="230"/>
        <v>168</v>
      </c>
      <c r="BD257" s="267">
        <f t="shared" si="231"/>
        <v>173</v>
      </c>
      <c r="BE257" s="267">
        <f t="shared" si="232"/>
        <v>178</v>
      </c>
      <c r="BF257" s="267">
        <f t="shared" si="233"/>
        <v>183</v>
      </c>
      <c r="BG257" s="269">
        <f>AY257*VLOOKUP($B257,'Major Cities &amp; Towns'!$A$28:$B$345,2,FALSE)</f>
        <v>445</v>
      </c>
      <c r="BH257" s="269">
        <f>AZ257*VLOOKUP($B257,'Major Cities &amp; Towns'!$A$28:$B$345,2,FALSE)</f>
        <v>458</v>
      </c>
      <c r="BI257" s="269">
        <f>BA257*VLOOKUP($B257,'Major Cities &amp; Towns'!$A$28:$B$345,2,FALSE)</f>
        <v>444</v>
      </c>
      <c r="BJ257" s="269">
        <f>BB257*VLOOKUP($B257,'Major Cities &amp; Towns'!$A$28:$B$345,2,FALSE)</f>
        <v>159</v>
      </c>
      <c r="BK257" s="269">
        <f>BC257*VLOOKUP($B257,'Major Cities &amp; Towns'!$A$28:$B$345,2,FALSE)</f>
        <v>168</v>
      </c>
      <c r="BL257" s="269">
        <f>BD257*VLOOKUP($B257,'Major Cities &amp; Towns'!$A$28:$B$345,2,FALSE)</f>
        <v>173</v>
      </c>
      <c r="BM257" s="269">
        <f>BE257*VLOOKUP($B257,'Major Cities &amp; Towns'!$A$28:$B$345,2,FALSE)</f>
        <v>178</v>
      </c>
      <c r="BN257" s="269">
        <f>BF257*VLOOKUP($B257,'Major Cities &amp; Towns'!$A$28:$B$345,2,FALSE)</f>
        <v>183</v>
      </c>
      <c r="BO257" s="270">
        <f t="shared" si="234"/>
        <v>380</v>
      </c>
      <c r="BP257" s="270">
        <f t="shared" si="235"/>
        <v>380</v>
      </c>
      <c r="BQ257" s="270">
        <f t="shared" si="236"/>
        <v>380</v>
      </c>
      <c r="BR257" s="270">
        <f t="shared" si="237"/>
        <v>159</v>
      </c>
      <c r="BS257" s="270">
        <f t="shared" si="238"/>
        <v>168</v>
      </c>
      <c r="BT257" s="270">
        <f t="shared" si="239"/>
        <v>173</v>
      </c>
      <c r="BU257" s="270">
        <f t="shared" si="240"/>
        <v>178</v>
      </c>
      <c r="BV257" s="270">
        <f t="shared" si="241"/>
        <v>183</v>
      </c>
      <c r="BW257" s="39">
        <f>VLOOKUP($A257,NetAdditions!$A$2:$H$336,6,FALSE)</f>
        <v>285</v>
      </c>
      <c r="BX257" s="39">
        <f>VLOOKUP($A257,NetAdditions!$A$2:$H$336,7,FALSE)</f>
        <v>321</v>
      </c>
      <c r="BY257" s="39">
        <f>IF((VLOOKUP($C257,NetAdditions!$A$2:$H$336,8,FALSE))="",(AVERAGE(VLOOKUP($C257,NetAdditions!$A$2:$H$336,5,FALSE),VLOOKUP($C257,NetAdditions!$A$2:$H$336,6,FALSE),VLOOKUP($C257,NetAdditions!$A$2:$H$336,7,FALSE))),VLOOKUP($C257,NetAdditions!$A$2:$H$336,8,FALSE))</f>
        <v>141</v>
      </c>
      <c r="BZ257" s="39">
        <f t="shared" si="242"/>
        <v>249</v>
      </c>
      <c r="CA257" s="39">
        <f t="shared" si="243"/>
        <v>237</v>
      </c>
      <c r="CB257" s="39">
        <f t="shared" si="244"/>
        <v>209</v>
      </c>
      <c r="CC257" s="39">
        <f t="shared" si="245"/>
        <v>231.66666666666666</v>
      </c>
      <c r="CD257" s="39">
        <f t="shared" si="246"/>
        <v>225.88888888888889</v>
      </c>
      <c r="CE257" s="276">
        <f t="shared" si="203"/>
        <v>1140</v>
      </c>
      <c r="CF257" s="276">
        <f t="shared" si="204"/>
        <v>919</v>
      </c>
      <c r="CG257" s="276">
        <f t="shared" si="205"/>
        <v>707</v>
      </c>
      <c r="CH257" s="276">
        <f t="shared" si="206"/>
        <v>500</v>
      </c>
      <c r="CI257" s="276">
        <f t="shared" si="207"/>
        <v>519</v>
      </c>
      <c r="CJ257" s="276">
        <f t="shared" si="208"/>
        <v>534</v>
      </c>
      <c r="CK257" s="276">
        <f t="shared" si="247"/>
        <v>981.66666666666674</v>
      </c>
      <c r="CL257" s="276">
        <f t="shared" si="248"/>
        <v>791.3611111111112</v>
      </c>
      <c r="CM257" s="276">
        <f t="shared" si="249"/>
        <v>648.08333333333326</v>
      </c>
      <c r="CN257" s="276">
        <f t="shared" si="250"/>
        <v>500</v>
      </c>
      <c r="CO257" s="276">
        <f t="shared" si="251"/>
        <v>519</v>
      </c>
      <c r="CP257" s="276">
        <f t="shared" si="252"/>
        <v>534</v>
      </c>
      <c r="CQ257" s="39">
        <f t="shared" si="209"/>
        <v>747</v>
      </c>
      <c r="CR257" s="39">
        <f t="shared" si="210"/>
        <v>711</v>
      </c>
      <c r="CS257" s="277">
        <f t="shared" si="211"/>
        <v>627</v>
      </c>
      <c r="CT257" s="39">
        <f t="shared" si="212"/>
        <v>695</v>
      </c>
      <c r="CU257" s="39">
        <f t="shared" si="213"/>
        <v>677.66666666666663</v>
      </c>
      <c r="CV257" s="39">
        <f t="shared" si="253"/>
        <v>666.55555555555554</v>
      </c>
      <c r="CW257" s="297">
        <f t="shared" si="214"/>
        <v>0.76095076400679107</v>
      </c>
      <c r="CX257" s="279" t="str">
        <f t="shared" si="254"/>
        <v>Buffer and Action Plan</v>
      </c>
      <c r="CY257" s="278">
        <f t="shared" si="215"/>
        <v>0.89845203411843155</v>
      </c>
      <c r="CZ257" s="279" t="str">
        <f t="shared" si="255"/>
        <v>Action Plan</v>
      </c>
      <c r="DA257" s="278">
        <f t="shared" si="216"/>
        <v>0.96746817538896757</v>
      </c>
      <c r="DB257" s="292" t="str">
        <f t="shared" si="256"/>
        <v>Pass</v>
      </c>
      <c r="DC257" s="299">
        <f t="shared" si="257"/>
        <v>1.39</v>
      </c>
      <c r="DD257" s="293" t="str">
        <f t="shared" si="258"/>
        <v>Pass</v>
      </c>
      <c r="DE257" s="299">
        <f t="shared" si="259"/>
        <v>1.3057161207450223</v>
      </c>
      <c r="DF257" s="293" t="str">
        <f t="shared" si="260"/>
        <v>Pass</v>
      </c>
      <c r="DG257" s="299">
        <f t="shared" si="261"/>
        <v>1.2482313774448606</v>
      </c>
      <c r="DH257" s="293" t="str">
        <f t="shared" si="262"/>
        <v>Pass</v>
      </c>
    </row>
    <row r="258" spans="1:112" ht="15" thickTop="1" thickBot="1">
      <c r="A258" s="38" t="s">
        <v>626</v>
      </c>
      <c r="B258" s="38" t="s">
        <v>627</v>
      </c>
      <c r="C258" s="38" t="s">
        <v>626</v>
      </c>
      <c r="D258" s="38" t="s">
        <v>116</v>
      </c>
      <c r="E258" s="38" t="str">
        <f>VLOOKUP(C258,PoliticalControl!A:K,11,FALSE)</f>
        <v>NOC</v>
      </c>
      <c r="F258" s="38" t="str">
        <f>VLOOKUP(C258,UrbanRuralClassification!A:N,13,FALSE)</f>
        <v>Urban with Major Conurbation</v>
      </c>
      <c r="G258" s="38" t="str">
        <f>VLOOKUP(C258,UrbanRuralClassification!A:N,14,FALSE)</f>
        <v>Predominantly Urban</v>
      </c>
      <c r="H258" s="258">
        <f>IF(ISBLANK((VLOOKUP($A258,'local-plan-data'!$C$1:$AD$566,27,FALSE)))=TRUE,"",VLOOKUP($A258,'local-plan-data'!$C$1:$AD$566,27,FALSE))</f>
        <v>40619</v>
      </c>
      <c r="I258" s="259">
        <f>VLOOKUP($A258,'local-plan-data'!$C$1:$AD$566,28,FALSE)</f>
        <v>480</v>
      </c>
      <c r="J258" s="260">
        <f t="shared" si="217"/>
        <v>480</v>
      </c>
      <c r="K258" s="259" t="str">
        <f t="shared" si="263"/>
        <v>-</v>
      </c>
      <c r="L258" s="259" t="str">
        <f t="shared" si="265"/>
        <v>-</v>
      </c>
      <c r="M258" s="259" t="str">
        <f t="shared" si="265"/>
        <v>-</v>
      </c>
      <c r="N258" s="259" t="str">
        <f t="shared" si="265"/>
        <v>-</v>
      </c>
      <c r="O258" s="259" t="str">
        <f t="shared" si="265"/>
        <v>-</v>
      </c>
      <c r="P258" s="259" t="str">
        <f t="shared" si="265"/>
        <v>-</v>
      </c>
      <c r="Q258" s="259" t="str">
        <f t="shared" si="265"/>
        <v>-</v>
      </c>
      <c r="R258" s="259" t="str">
        <f t="shared" si="265"/>
        <v>-</v>
      </c>
      <c r="S258" s="259">
        <f t="shared" si="264"/>
        <v>-745</v>
      </c>
      <c r="T258" s="259">
        <f t="shared" si="266"/>
        <v>-1110</v>
      </c>
      <c r="U258" s="259">
        <f t="shared" si="266"/>
        <v>-1476</v>
      </c>
      <c r="V258" s="259">
        <f t="shared" si="266"/>
        <v>-1841</v>
      </c>
      <c r="W258" s="259">
        <f t="shared" si="266"/>
        <v>-2206</v>
      </c>
      <c r="X258" s="259">
        <f t="shared" si="266"/>
        <v>-2571</v>
      </c>
      <c r="Y258" s="259">
        <f t="shared" si="266"/>
        <v>-2937</v>
      </c>
      <c r="Z258" s="259">
        <f t="shared" si="266"/>
        <v>-3302</v>
      </c>
      <c r="AA258" s="267">
        <f>(VLOOKUP(A258,Hshldprojections2014!$A$2:$AW$319,40, FALSE)-VLOOKUP(A258,Hshldprojections2014!$A$2:$AW$319,30, FALSE))/10</f>
        <v>889.5</v>
      </c>
      <c r="AB258" s="267">
        <f>(VLOOKUP(A258,Hshldprojections2014!$A$2:$AW$319,41, FALSE)-VLOOKUP(A258,Hshldprojections2014!$A$2:$AW$319,31, FALSE))/10</f>
        <v>882</v>
      </c>
      <c r="AC258" s="267">
        <f>(VLOOKUP(A258,Hshldprojections2014!$A$2:$AW$319,42, FALSE)-VLOOKUP(A258,Hshldprojections2014!$A$2:$AW$319,32, FALSE))/10</f>
        <v>874.2</v>
      </c>
      <c r="AD258" s="267">
        <f>IF(IndividualLATest!$J$7=2014,(VLOOKUP($A258,Hshldprojections2014!$A$2:$AY$326,43,FALSE)-VLOOKUP($A258,Hshldprojections2014!$A$2:$AY$326,33,FALSE))/10,IF(IndividualLATest!$J$7=2016,(VLOOKUP($A258,Hshldprojections2016!$A$1:$AQ$322,33,FALSE)-VLOOKUP($A258,Hshldprojections2016!$A$1:$AQ$322,23,FALSE))/10,(VLOOKUP($A258,Hshldprojections2018!$A$1:$AQ$327,33,FALSE)-VLOOKUP($A258,Hshldprojections2018!$A$1:$AQ$327,23,FALSE))/10))</f>
        <v>630.79999999999995</v>
      </c>
      <c r="AE258" s="267">
        <f>IF(IndividualLATest!$J$7=2014,(VLOOKUP($A258,Hshldprojections2014!$A$2:$AY$326,44,FALSE)-VLOOKUP($A258,Hshldprojections2014!$A$2:$AY$326,34,FALSE))/10,IF(IndividualLATest!$J$7=2016,(VLOOKUP($A258,Hshldprojections2016!$A$1:$AQ$322,34,FALSE)-VLOOKUP($A258,Hshldprojections2016!$A$1:$AQ$322,24,FALSE))/10,(VLOOKUP($A258,Hshldprojections2018!$A$1:$AQ$327,34,FALSE)-VLOOKUP($A258,Hshldprojections2018!$A$1:$AQ$327,24,FALSE))/10))</f>
        <v>624.29999999999995</v>
      </c>
      <c r="AF258" s="267">
        <f>IF(IndividualLATest!$J$7=2014,(VLOOKUP($A258,Hshldprojections2014!$A$2:$AY$326,45,FALSE)-VLOOKUP($A258,Hshldprojections2014!$A$2:$AY$326,35,FALSE))/10,IF(IndividualLATest!$J$7=2016,(VLOOKUP($A258,Hshldprojections2016!$A$1:$AQ$322,35,FALSE)-VLOOKUP($A258,Hshldprojections2016!$A$1:$AQ$322,25,FALSE))/10,(VLOOKUP($A258,Hshldprojections2018!$A$1:$AQ$327,35,FALSE)-VLOOKUP($A258,Hshldprojections2018!$A$1:$AQ$327,25,FALSE))/10))</f>
        <v>626.20000000000005</v>
      </c>
      <c r="AG258" s="267">
        <f>IF(IndividualLATest!$J$7=2014,(VLOOKUP($A258,Hshldprojections2014!$A$2:$AY$326,46,FALSE)-VLOOKUP($A258,Hshldprojections2014!$A$2:$AY$326,36,FALSE))/10,IF(IndividualLATest!$J$7=2016,(VLOOKUP($A258,Hshldprojections2016!$A$1:$AQ$322,36,FALSE)-VLOOKUP($A258,Hshldprojections2016!$A$1:$AQ$322,26,FALSE))/10,(VLOOKUP($A258,Hshldprojections2018!$A$1:$AQ$327,36,FALSE)-VLOOKUP($A258,Hshldprojections2018!$A$1:$AQ$327,26,FALSE))/10))</f>
        <v>626.70000000000005</v>
      </c>
      <c r="AH258" s="267">
        <f>IF(IndividualLATest!$J$7=2014,(VLOOKUP($A258,Hshldprojections2014!$A$2:$AY$326,47,FALSE)-VLOOKUP($A258,Hshldprojections2014!$A$2:$AY$326,37,FALSE))/10,IF(IndividualLATest!$J$7=2016,(VLOOKUP($A258,Hshldprojections2016!$A$1:$AQ$322,37,FALSE)-VLOOKUP($A258,Hshldprojections2016!$A$1:$AQ$322,27,FALSE))/10,(VLOOKUP($A258,Hshldprojections2018!$A$1:$AQ$327,37,FALSE)-VLOOKUP($A258,Hshldprojections2018!$A$1:$AQ$327,27,FALSE))/10))</f>
        <v>631.70000000000005</v>
      </c>
      <c r="AI258" s="268">
        <f>VLOOKUP($A258,AffordabilityRatio!$A$2:$I$321,5,FALSE)</f>
        <v>7.55</v>
      </c>
      <c r="AJ258" s="268">
        <f>VLOOKUP($A258,AffordabilityRatio!$A$2:$I$321,6,FALSE)</f>
        <v>7.99</v>
      </c>
      <c r="AK258" s="268">
        <f>VLOOKUP($A258,AffordabilityRatio!$A$2:$I$321,7,FALSE)</f>
        <v>7.74</v>
      </c>
      <c r="AL258" s="268">
        <f>IF((VLOOKUP($A258,AffordabilityRatio!$A$2:$I$321,8,FALSE))="",AK258,VLOOKUP($A258,AffordabilityRatio!$A$2:$I$321,8,FALSE))</f>
        <v>8.07</v>
      </c>
      <c r="AM258" s="268">
        <f>IF((VLOOKUP($A258,AffordabilityRatio!$A$2:$I$321,9,FALSE))="",AL258,VLOOKUP($A258,AffordabilityRatio!$A$2:$I$321,9,FALSE))</f>
        <v>10.01</v>
      </c>
      <c r="AN258" s="268">
        <f>IF((VLOOKUP($A258,AffordabilityRatio!$A$2:$I$321,9,FALSE))="",AM258,VLOOKUP($A258,AffordabilityRatio!$A$2:$I$321,9,FALSE))</f>
        <v>10.01</v>
      </c>
      <c r="AO258" s="268">
        <f>IF((VLOOKUP($A258,AffordabilityRatio!$A$2:$I$321,9,FALSE))="",AN258,VLOOKUP($A258,AffordabilityRatio!$A$2:$I$321,9,FALSE))</f>
        <v>10.01</v>
      </c>
      <c r="AP258" s="268">
        <f>IF((VLOOKUP($A258,AffordabilityRatio!$A$2:$I$321,9,FALSE))="",AO258,VLOOKUP($A258,AffordabilityRatio!$A$2:$I$321,9,FALSE))</f>
        <v>10.01</v>
      </c>
      <c r="AQ258" s="267">
        <f t="shared" si="218"/>
        <v>1087</v>
      </c>
      <c r="AR258" s="267">
        <f t="shared" si="219"/>
        <v>1102</v>
      </c>
      <c r="AS258" s="267">
        <f t="shared" si="220"/>
        <v>1079</v>
      </c>
      <c r="AT258" s="267">
        <f t="shared" si="221"/>
        <v>791</v>
      </c>
      <c r="AU258" s="267">
        <f t="shared" si="222"/>
        <v>859</v>
      </c>
      <c r="AV258" s="267">
        <f t="shared" si="223"/>
        <v>861</v>
      </c>
      <c r="AW258" s="267">
        <f t="shared" si="224"/>
        <v>862</v>
      </c>
      <c r="AX258" s="267">
        <f t="shared" si="225"/>
        <v>869</v>
      </c>
      <c r="AY258" s="267">
        <f t="shared" si="226"/>
        <v>1087</v>
      </c>
      <c r="AZ258" s="267">
        <f t="shared" si="227"/>
        <v>1102</v>
      </c>
      <c r="BA258" s="267">
        <f t="shared" si="228"/>
        <v>1079</v>
      </c>
      <c r="BB258" s="267">
        <f t="shared" si="229"/>
        <v>791</v>
      </c>
      <c r="BC258" s="267">
        <f t="shared" si="230"/>
        <v>859</v>
      </c>
      <c r="BD258" s="267">
        <f t="shared" si="231"/>
        <v>861</v>
      </c>
      <c r="BE258" s="267">
        <f t="shared" si="232"/>
        <v>862</v>
      </c>
      <c r="BF258" s="267">
        <f t="shared" si="233"/>
        <v>869</v>
      </c>
      <c r="BG258" s="269">
        <f>AY258*VLOOKUP($B258,'Major Cities &amp; Towns'!$A$28:$B$345,2,FALSE)</f>
        <v>1087</v>
      </c>
      <c r="BH258" s="269">
        <f>AZ258*VLOOKUP($B258,'Major Cities &amp; Towns'!$A$28:$B$345,2,FALSE)</f>
        <v>1102</v>
      </c>
      <c r="BI258" s="269">
        <f>BA258*VLOOKUP($B258,'Major Cities &amp; Towns'!$A$28:$B$345,2,FALSE)</f>
        <v>1079</v>
      </c>
      <c r="BJ258" s="269">
        <f>BB258*VLOOKUP($B258,'Major Cities &amp; Towns'!$A$28:$B$345,2,FALSE)</f>
        <v>791</v>
      </c>
      <c r="BK258" s="269">
        <f>BC258*VLOOKUP($B258,'Major Cities &amp; Towns'!$A$28:$B$345,2,FALSE)</f>
        <v>859</v>
      </c>
      <c r="BL258" s="269">
        <f>BD258*VLOOKUP($B258,'Major Cities &amp; Towns'!$A$28:$B$345,2,FALSE)</f>
        <v>861</v>
      </c>
      <c r="BM258" s="269">
        <f>BE258*VLOOKUP($B258,'Major Cities &amp; Towns'!$A$28:$B$345,2,FALSE)</f>
        <v>862</v>
      </c>
      <c r="BN258" s="269">
        <f>BF258*VLOOKUP($B258,'Major Cities &amp; Towns'!$A$28:$B$345,2,FALSE)</f>
        <v>869</v>
      </c>
      <c r="BO258" s="270">
        <f t="shared" si="234"/>
        <v>1087</v>
      </c>
      <c r="BP258" s="270">
        <f t="shared" si="235"/>
        <v>1102</v>
      </c>
      <c r="BQ258" s="270">
        <f t="shared" si="236"/>
        <v>1079</v>
      </c>
      <c r="BR258" s="270">
        <f t="shared" si="237"/>
        <v>791</v>
      </c>
      <c r="BS258" s="270">
        <f t="shared" si="238"/>
        <v>859</v>
      </c>
      <c r="BT258" s="270">
        <f t="shared" si="239"/>
        <v>861</v>
      </c>
      <c r="BU258" s="270">
        <f t="shared" si="240"/>
        <v>862</v>
      </c>
      <c r="BV258" s="270">
        <f t="shared" si="241"/>
        <v>869</v>
      </c>
      <c r="BW258" s="39">
        <f>VLOOKUP($A258,NetAdditions!$A$2:$H$336,6,FALSE)</f>
        <v>729</v>
      </c>
      <c r="BX258" s="39">
        <f>VLOOKUP($A258,NetAdditions!$A$2:$H$336,7,FALSE)</f>
        <v>1299</v>
      </c>
      <c r="BY258" s="39">
        <f>IF((VLOOKUP($C258,NetAdditions!$A$2:$H$336,8,FALSE))="",(AVERAGE(VLOOKUP($C258,NetAdditions!$A$2:$H$336,5,FALSE),VLOOKUP($C258,NetAdditions!$A$2:$H$336,6,FALSE),VLOOKUP($C258,NetAdditions!$A$2:$H$336,7,FALSE))),VLOOKUP($C258,NetAdditions!$A$2:$H$336,8,FALSE))</f>
        <v>551</v>
      </c>
      <c r="BZ258" s="39">
        <f t="shared" si="242"/>
        <v>859.66666666666663</v>
      </c>
      <c r="CA258" s="39">
        <f t="shared" si="243"/>
        <v>903.22222222222217</v>
      </c>
      <c r="CB258" s="39">
        <f t="shared" si="244"/>
        <v>771.29629629629619</v>
      </c>
      <c r="CC258" s="39">
        <f t="shared" si="245"/>
        <v>844.72839506172829</v>
      </c>
      <c r="CD258" s="39">
        <f t="shared" si="246"/>
        <v>839.74897119341551</v>
      </c>
      <c r="CE258" s="276">
        <f t="shared" si="203"/>
        <v>3268</v>
      </c>
      <c r="CF258" s="276">
        <f t="shared" si="204"/>
        <v>2972</v>
      </c>
      <c r="CG258" s="276">
        <f t="shared" si="205"/>
        <v>2729</v>
      </c>
      <c r="CH258" s="276">
        <f t="shared" si="206"/>
        <v>2511</v>
      </c>
      <c r="CI258" s="276">
        <f t="shared" si="207"/>
        <v>2582</v>
      </c>
      <c r="CJ258" s="276">
        <f t="shared" si="208"/>
        <v>2592</v>
      </c>
      <c r="CK258" s="276">
        <f t="shared" si="247"/>
        <v>2814.1111111111113</v>
      </c>
      <c r="CL258" s="276">
        <f t="shared" si="248"/>
        <v>2559.2222222222222</v>
      </c>
      <c r="CM258" s="276">
        <f t="shared" si="249"/>
        <v>2501.583333333333</v>
      </c>
      <c r="CN258" s="276">
        <f t="shared" si="250"/>
        <v>2511</v>
      </c>
      <c r="CO258" s="276">
        <f t="shared" si="251"/>
        <v>2582</v>
      </c>
      <c r="CP258" s="276">
        <f t="shared" si="252"/>
        <v>2592</v>
      </c>
      <c r="CQ258" s="39">
        <f t="shared" si="209"/>
        <v>2579</v>
      </c>
      <c r="CR258" s="39">
        <f t="shared" si="210"/>
        <v>2709.6666666666665</v>
      </c>
      <c r="CS258" s="277">
        <f t="shared" si="211"/>
        <v>2313.8888888888887</v>
      </c>
      <c r="CT258" s="39">
        <f t="shared" si="212"/>
        <v>2534.1851851851848</v>
      </c>
      <c r="CU258" s="39">
        <f t="shared" si="213"/>
        <v>2519.2469135802467</v>
      </c>
      <c r="CV258" s="39">
        <f t="shared" si="253"/>
        <v>2455.7736625514399</v>
      </c>
      <c r="CW258" s="297">
        <f t="shared" si="214"/>
        <v>0.91645279740987873</v>
      </c>
      <c r="CX258" s="279" t="str">
        <f t="shared" si="254"/>
        <v>Action Plan</v>
      </c>
      <c r="CY258" s="278">
        <f t="shared" si="215"/>
        <v>1.0587852212043589</v>
      </c>
      <c r="CZ258" s="279" t="str">
        <f t="shared" si="255"/>
        <v>Pass</v>
      </c>
      <c r="DA258" s="278">
        <f t="shared" si="216"/>
        <v>0.92496974138601107</v>
      </c>
      <c r="DB258" s="292" t="str">
        <f t="shared" si="256"/>
        <v>Action Plan</v>
      </c>
      <c r="DC258" s="299">
        <f t="shared" si="257"/>
        <v>1.00923344690768</v>
      </c>
      <c r="DD258" s="293" t="str">
        <f t="shared" si="258"/>
        <v>Pass</v>
      </c>
      <c r="DE258" s="299">
        <f t="shared" si="259"/>
        <v>0.97569593864455717</v>
      </c>
      <c r="DF258" s="293" t="str">
        <f t="shared" si="260"/>
        <v>Pass</v>
      </c>
      <c r="DG258" s="299">
        <f t="shared" si="261"/>
        <v>0.94744354265101849</v>
      </c>
      <c r="DH258" s="293" t="str">
        <f t="shared" si="262"/>
        <v>Action Plan</v>
      </c>
    </row>
    <row r="259" spans="1:112" ht="15" thickTop="1" thickBot="1">
      <c r="A259" s="38" t="s">
        <v>628</v>
      </c>
      <c r="B259" s="38" t="s">
        <v>629</v>
      </c>
      <c r="C259" s="38" t="s">
        <v>628</v>
      </c>
      <c r="D259" s="38" t="s">
        <v>259</v>
      </c>
      <c r="E259" s="38" t="str">
        <f>VLOOKUP(C259,PoliticalControl!A:K,11,FALSE)</f>
        <v>NOC</v>
      </c>
      <c r="F259" s="38" t="str">
        <f>VLOOKUP(C259,UrbanRuralClassification!A:N,13,FALSE)</f>
        <v>Urban with City and Town</v>
      </c>
      <c r="G259" s="38" t="str">
        <f>VLOOKUP(C259,UrbanRuralClassification!A:N,14,FALSE)</f>
        <v>Predominantly Urban</v>
      </c>
      <c r="H259" s="258">
        <f>IF(ISBLANK((VLOOKUP($A259,'local-plan-data'!$C$1:$AD$566,27,FALSE)))=TRUE,"",VLOOKUP($A259,'local-plan-data'!$C$1:$AD$566,27,FALSE))</f>
        <v>43495</v>
      </c>
      <c r="I259" s="259">
        <f>VLOOKUP($A259,'local-plan-data'!$C$1:$AD$566,28,FALSE)</f>
        <v>676.66666666666663</v>
      </c>
      <c r="J259" s="260">
        <f t="shared" si="217"/>
        <v>676.66666666666663</v>
      </c>
      <c r="K259" s="259">
        <f t="shared" si="263"/>
        <v>676.66666666666663</v>
      </c>
      <c r="L259" s="259">
        <f t="shared" si="265"/>
        <v>676.66666666666663</v>
      </c>
      <c r="M259" s="259">
        <f t="shared" si="265"/>
        <v>676.66666666666663</v>
      </c>
      <c r="N259" s="259">
        <f t="shared" si="265"/>
        <v>676.66666666666663</v>
      </c>
      <c r="O259" s="259">
        <f t="shared" si="265"/>
        <v>676.66666666666663</v>
      </c>
      <c r="P259" s="259">
        <f t="shared" si="265"/>
        <v>676.66666666666663</v>
      </c>
      <c r="Q259" s="259" t="str">
        <f t="shared" si="265"/>
        <v>-</v>
      </c>
      <c r="R259" s="259" t="str">
        <f t="shared" si="265"/>
        <v>-</v>
      </c>
      <c r="S259" s="259">
        <f t="shared" si="264"/>
        <v>2130</v>
      </c>
      <c r="T259" s="259">
        <f t="shared" si="266"/>
        <v>1765</v>
      </c>
      <c r="U259" s="259">
        <f t="shared" si="266"/>
        <v>1399</v>
      </c>
      <c r="V259" s="259">
        <f t="shared" si="266"/>
        <v>1034</v>
      </c>
      <c r="W259" s="259">
        <f t="shared" si="266"/>
        <v>669</v>
      </c>
      <c r="X259" s="259">
        <f t="shared" si="266"/>
        <v>304</v>
      </c>
      <c r="Y259" s="259">
        <f t="shared" si="266"/>
        <v>-62</v>
      </c>
      <c r="Z259" s="259">
        <f t="shared" si="266"/>
        <v>-427</v>
      </c>
      <c r="AA259" s="267">
        <f>(VLOOKUP(A259,Hshldprojections2014!$A$2:$AW$319,40, FALSE)-VLOOKUP(A259,Hshldprojections2014!$A$2:$AW$319,30, FALSE))/10</f>
        <v>471.8</v>
      </c>
      <c r="AB259" s="267">
        <f>(VLOOKUP(A259,Hshldprojections2014!$A$2:$AW$319,41, FALSE)-VLOOKUP(A259,Hshldprojections2014!$A$2:$AW$319,31, FALSE))/10</f>
        <v>456.8</v>
      </c>
      <c r="AC259" s="267">
        <f>(VLOOKUP(A259,Hshldprojections2014!$A$2:$AW$319,42, FALSE)-VLOOKUP(A259,Hshldprojections2014!$A$2:$AW$319,32, FALSE))/10</f>
        <v>443.9</v>
      </c>
      <c r="AD259" s="267">
        <f>IF(IndividualLATest!$J$7=2014,(VLOOKUP($A259,Hshldprojections2014!$A$2:$AY$326,43,FALSE)-VLOOKUP($A259,Hshldprojections2014!$A$2:$AY$326,33,FALSE))/10,IF(IndividualLATest!$J$7=2016,(VLOOKUP($A259,Hshldprojections2016!$A$1:$AQ$322,33,FALSE)-VLOOKUP($A259,Hshldprojections2016!$A$1:$AQ$322,23,FALSE))/10,(VLOOKUP($A259,Hshldprojections2018!$A$1:$AQ$327,33,FALSE)-VLOOKUP($A259,Hshldprojections2018!$A$1:$AQ$327,23,FALSE))/10))</f>
        <v>329.4</v>
      </c>
      <c r="AE259" s="267">
        <f>IF(IndividualLATest!$J$7=2014,(VLOOKUP($A259,Hshldprojections2014!$A$2:$AY$326,44,FALSE)-VLOOKUP($A259,Hshldprojections2014!$A$2:$AY$326,34,FALSE))/10,IF(IndividualLATest!$J$7=2016,(VLOOKUP($A259,Hshldprojections2016!$A$1:$AQ$322,34,FALSE)-VLOOKUP($A259,Hshldprojections2016!$A$1:$AQ$322,24,FALSE))/10,(VLOOKUP($A259,Hshldprojections2018!$A$1:$AQ$327,34,FALSE)-VLOOKUP($A259,Hshldprojections2018!$A$1:$AQ$327,24,FALSE))/10))</f>
        <v>322</v>
      </c>
      <c r="AF259" s="267">
        <f>IF(IndividualLATest!$J$7=2014,(VLOOKUP($A259,Hshldprojections2014!$A$2:$AY$326,45,FALSE)-VLOOKUP($A259,Hshldprojections2014!$A$2:$AY$326,35,FALSE))/10,IF(IndividualLATest!$J$7=2016,(VLOOKUP($A259,Hshldprojections2016!$A$1:$AQ$322,35,FALSE)-VLOOKUP($A259,Hshldprojections2016!$A$1:$AQ$322,25,FALSE))/10,(VLOOKUP($A259,Hshldprojections2018!$A$1:$AQ$327,35,FALSE)-VLOOKUP($A259,Hshldprojections2018!$A$1:$AQ$327,25,FALSE))/10))</f>
        <v>319.3</v>
      </c>
      <c r="AG259" s="267">
        <f>IF(IndividualLATest!$J$7=2014,(VLOOKUP($A259,Hshldprojections2014!$A$2:$AY$326,46,FALSE)-VLOOKUP($A259,Hshldprojections2014!$A$2:$AY$326,36,FALSE))/10,IF(IndividualLATest!$J$7=2016,(VLOOKUP($A259,Hshldprojections2016!$A$1:$AQ$322,36,FALSE)-VLOOKUP($A259,Hshldprojections2016!$A$1:$AQ$322,26,FALSE))/10,(VLOOKUP($A259,Hshldprojections2018!$A$1:$AQ$327,36,FALSE)-VLOOKUP($A259,Hshldprojections2018!$A$1:$AQ$327,26,FALSE))/10))</f>
        <v>312.89999999999998</v>
      </c>
      <c r="AH259" s="267">
        <f>IF(IndividualLATest!$J$7=2014,(VLOOKUP($A259,Hshldprojections2014!$A$2:$AY$326,47,FALSE)-VLOOKUP($A259,Hshldprojections2014!$A$2:$AY$326,37,FALSE))/10,IF(IndividualLATest!$J$7=2016,(VLOOKUP($A259,Hshldprojections2016!$A$1:$AQ$322,37,FALSE)-VLOOKUP($A259,Hshldprojections2016!$A$1:$AQ$322,27,FALSE))/10,(VLOOKUP($A259,Hshldprojections2018!$A$1:$AQ$327,37,FALSE)-VLOOKUP($A259,Hshldprojections2018!$A$1:$AQ$327,27,FALSE))/10))</f>
        <v>310.60000000000002</v>
      </c>
      <c r="AI259" s="268">
        <f>VLOOKUP($A259,AffordabilityRatio!$A$2:$I$321,5,FALSE)</f>
        <v>5.64</v>
      </c>
      <c r="AJ259" s="268">
        <f>VLOOKUP($A259,AffordabilityRatio!$A$2:$I$321,6,FALSE)</f>
        <v>5.5</v>
      </c>
      <c r="AK259" s="268">
        <f>VLOOKUP($A259,AffordabilityRatio!$A$2:$I$321,7,FALSE)</f>
        <v>5.04</v>
      </c>
      <c r="AL259" s="268">
        <f>IF((VLOOKUP($A259,AffordabilityRatio!$A$2:$I$321,8,FALSE))="",AK259,VLOOKUP($A259,AffordabilityRatio!$A$2:$I$321,8,FALSE))</f>
        <v>4.91</v>
      </c>
      <c r="AM259" s="268">
        <f>IF((VLOOKUP($A259,AffordabilityRatio!$A$2:$I$321,9,FALSE))="",AL259,VLOOKUP($A259,AffordabilityRatio!$A$2:$I$321,9,FALSE))</f>
        <v>5.35</v>
      </c>
      <c r="AN259" s="268">
        <f>IF((VLOOKUP($A259,AffordabilityRatio!$A$2:$I$321,9,FALSE))="",AM259,VLOOKUP($A259,AffordabilityRatio!$A$2:$I$321,9,FALSE))</f>
        <v>5.35</v>
      </c>
      <c r="AO259" s="268">
        <f>IF((VLOOKUP($A259,AffordabilityRatio!$A$2:$I$321,9,FALSE))="",AN259,VLOOKUP($A259,AffordabilityRatio!$A$2:$I$321,9,FALSE))</f>
        <v>5.35</v>
      </c>
      <c r="AP259" s="268">
        <f>IF((VLOOKUP($A259,AffordabilityRatio!$A$2:$I$321,9,FALSE))="",AO259,VLOOKUP($A259,AffordabilityRatio!$A$2:$I$321,9,FALSE))</f>
        <v>5.35</v>
      </c>
      <c r="AQ259" s="267">
        <f t="shared" si="218"/>
        <v>520</v>
      </c>
      <c r="AR259" s="267">
        <f t="shared" si="219"/>
        <v>500</v>
      </c>
      <c r="AS259" s="267">
        <f t="shared" si="220"/>
        <v>473</v>
      </c>
      <c r="AT259" s="267">
        <f t="shared" si="221"/>
        <v>348</v>
      </c>
      <c r="AU259" s="267">
        <f t="shared" si="222"/>
        <v>349</v>
      </c>
      <c r="AV259" s="267">
        <f t="shared" si="223"/>
        <v>346</v>
      </c>
      <c r="AW259" s="267">
        <f t="shared" si="224"/>
        <v>339</v>
      </c>
      <c r="AX259" s="267">
        <f t="shared" si="225"/>
        <v>337</v>
      </c>
      <c r="AY259" s="267">
        <f t="shared" si="226"/>
        <v>520</v>
      </c>
      <c r="AZ259" s="267">
        <f t="shared" si="227"/>
        <v>500</v>
      </c>
      <c r="BA259" s="267">
        <f t="shared" si="228"/>
        <v>473</v>
      </c>
      <c r="BB259" s="267">
        <f t="shared" si="229"/>
        <v>348</v>
      </c>
      <c r="BC259" s="267">
        <f t="shared" si="230"/>
        <v>349</v>
      </c>
      <c r="BD259" s="267">
        <f t="shared" si="231"/>
        <v>346</v>
      </c>
      <c r="BE259" s="267">
        <f t="shared" si="232"/>
        <v>339</v>
      </c>
      <c r="BF259" s="267">
        <f t="shared" si="233"/>
        <v>337</v>
      </c>
      <c r="BG259" s="269">
        <f>AY259*VLOOKUP($B259,'Major Cities &amp; Towns'!$A$28:$B$345,2,FALSE)</f>
        <v>520</v>
      </c>
      <c r="BH259" s="269">
        <f>AZ259*VLOOKUP($B259,'Major Cities &amp; Towns'!$A$28:$B$345,2,FALSE)</f>
        <v>500</v>
      </c>
      <c r="BI259" s="269">
        <f>BA259*VLOOKUP($B259,'Major Cities &amp; Towns'!$A$28:$B$345,2,FALSE)</f>
        <v>473</v>
      </c>
      <c r="BJ259" s="269">
        <f>BB259*VLOOKUP($B259,'Major Cities &amp; Towns'!$A$28:$B$345,2,FALSE)</f>
        <v>348</v>
      </c>
      <c r="BK259" s="269">
        <f>BC259*VLOOKUP($B259,'Major Cities &amp; Towns'!$A$28:$B$345,2,FALSE)</f>
        <v>349</v>
      </c>
      <c r="BL259" s="269">
        <f>BD259*VLOOKUP($B259,'Major Cities &amp; Towns'!$A$28:$B$345,2,FALSE)</f>
        <v>346</v>
      </c>
      <c r="BM259" s="269">
        <f>BE259*VLOOKUP($B259,'Major Cities &amp; Towns'!$A$28:$B$345,2,FALSE)</f>
        <v>339</v>
      </c>
      <c r="BN259" s="269">
        <f>BF259*VLOOKUP($B259,'Major Cities &amp; Towns'!$A$28:$B$345,2,FALSE)</f>
        <v>337</v>
      </c>
      <c r="BO259" s="270">
        <f t="shared" si="234"/>
        <v>520</v>
      </c>
      <c r="BP259" s="270">
        <f t="shared" si="235"/>
        <v>500</v>
      </c>
      <c r="BQ259" s="270">
        <f t="shared" si="236"/>
        <v>473</v>
      </c>
      <c r="BR259" s="270">
        <f t="shared" si="237"/>
        <v>348</v>
      </c>
      <c r="BS259" s="270">
        <f t="shared" si="238"/>
        <v>349</v>
      </c>
      <c r="BT259" s="270">
        <f t="shared" si="239"/>
        <v>346</v>
      </c>
      <c r="BU259" s="270">
        <f t="shared" si="240"/>
        <v>339</v>
      </c>
      <c r="BV259" s="270">
        <f t="shared" si="241"/>
        <v>337</v>
      </c>
      <c r="BW259" s="39">
        <f>VLOOKUP($A259,NetAdditions!$A$2:$H$336,6,FALSE)</f>
        <v>798</v>
      </c>
      <c r="BX259" s="39">
        <f>VLOOKUP($A259,NetAdditions!$A$2:$H$336,7,FALSE)</f>
        <v>1012</v>
      </c>
      <c r="BY259" s="39">
        <f>IF((VLOOKUP($C259,NetAdditions!$A$2:$H$336,8,FALSE))="",(AVERAGE(VLOOKUP($C259,NetAdditions!$A$2:$H$336,5,FALSE),VLOOKUP($C259,NetAdditions!$A$2:$H$336,6,FALSE),VLOOKUP($C259,NetAdditions!$A$2:$H$336,7,FALSE))),VLOOKUP($C259,NetAdditions!$A$2:$H$336,8,FALSE))</f>
        <v>616</v>
      </c>
      <c r="BZ259" s="39">
        <f t="shared" si="242"/>
        <v>808.66666666666663</v>
      </c>
      <c r="CA259" s="39">
        <f t="shared" si="243"/>
        <v>812.22222222222217</v>
      </c>
      <c r="CB259" s="39">
        <f t="shared" si="244"/>
        <v>745.62962962962956</v>
      </c>
      <c r="CC259" s="39">
        <f t="shared" si="245"/>
        <v>788.83950617283938</v>
      </c>
      <c r="CD259" s="39">
        <f t="shared" si="246"/>
        <v>782.23045267489704</v>
      </c>
      <c r="CE259" s="276">
        <f t="shared" si="203"/>
        <v>1493</v>
      </c>
      <c r="CF259" s="276">
        <f t="shared" si="204"/>
        <v>1321</v>
      </c>
      <c r="CG259" s="276">
        <f t="shared" si="205"/>
        <v>1170</v>
      </c>
      <c r="CH259" s="276">
        <f t="shared" si="206"/>
        <v>1043</v>
      </c>
      <c r="CI259" s="276">
        <f t="shared" si="207"/>
        <v>1034</v>
      </c>
      <c r="CJ259" s="276">
        <f t="shared" si="208"/>
        <v>1022</v>
      </c>
      <c r="CK259" s="276">
        <f t="shared" si="247"/>
        <v>1285.6388888888889</v>
      </c>
      <c r="CL259" s="276">
        <f t="shared" si="248"/>
        <v>1137.5277777777778</v>
      </c>
      <c r="CM259" s="276">
        <f t="shared" si="249"/>
        <v>1072.5</v>
      </c>
      <c r="CN259" s="276">
        <f t="shared" si="250"/>
        <v>1043</v>
      </c>
      <c r="CO259" s="276">
        <f t="shared" si="251"/>
        <v>1034</v>
      </c>
      <c r="CP259" s="276">
        <f t="shared" si="252"/>
        <v>1022</v>
      </c>
      <c r="CQ259" s="39">
        <f t="shared" si="209"/>
        <v>2426</v>
      </c>
      <c r="CR259" s="39">
        <f t="shared" si="210"/>
        <v>2436.6666666666665</v>
      </c>
      <c r="CS259" s="277">
        <f t="shared" si="211"/>
        <v>2236.8888888888887</v>
      </c>
      <c r="CT259" s="39">
        <f t="shared" si="212"/>
        <v>2366.5185185185182</v>
      </c>
      <c r="CU259" s="39">
        <f t="shared" si="213"/>
        <v>2346.691358024691</v>
      </c>
      <c r="CV259" s="39">
        <f t="shared" si="253"/>
        <v>2316.699588477366</v>
      </c>
      <c r="CW259" s="297">
        <f t="shared" si="214"/>
        <v>1.8869995462696887</v>
      </c>
      <c r="CX259" s="279" t="str">
        <f t="shared" si="254"/>
        <v>Pass</v>
      </c>
      <c r="CY259" s="278">
        <f t="shared" si="215"/>
        <v>2.1420722326683106</v>
      </c>
      <c r="CZ259" s="279" t="str">
        <f t="shared" si="255"/>
        <v>Pass</v>
      </c>
      <c r="DA259" s="278">
        <f t="shared" si="216"/>
        <v>2.0856772856772854</v>
      </c>
      <c r="DB259" s="292" t="str">
        <f t="shared" si="256"/>
        <v>Pass</v>
      </c>
      <c r="DC259" s="299">
        <f t="shared" si="257"/>
        <v>2.2689535172756647</v>
      </c>
      <c r="DD259" s="293" t="str">
        <f t="shared" si="258"/>
        <v>Pass</v>
      </c>
      <c r="DE259" s="299">
        <f t="shared" si="259"/>
        <v>2.2695274255557938</v>
      </c>
      <c r="DF259" s="293" t="str">
        <f t="shared" si="260"/>
        <v>Pass</v>
      </c>
      <c r="DG259" s="299">
        <f t="shared" si="261"/>
        <v>2.2668293429328434</v>
      </c>
      <c r="DH259" s="293" t="str">
        <f t="shared" si="262"/>
        <v>Pass</v>
      </c>
    </row>
    <row r="260" spans="1:112" ht="15" thickTop="1" thickBot="1">
      <c r="A260" s="38" t="s">
        <v>630</v>
      </c>
      <c r="B260" s="38" t="s">
        <v>631</v>
      </c>
      <c r="C260" s="38" t="s">
        <v>630</v>
      </c>
      <c r="D260" s="38" t="s">
        <v>154</v>
      </c>
      <c r="E260" s="38" t="str">
        <f>VLOOKUP(C260,PoliticalControl!A:K,11,FALSE)</f>
        <v>NOC</v>
      </c>
      <c r="F260" s="38" t="str">
        <f>VLOOKUP(C260,UrbanRuralClassification!A:N,13,FALSE)</f>
        <v>Urban with City and Town</v>
      </c>
      <c r="G260" s="38" t="str">
        <f>VLOOKUP(C260,UrbanRuralClassification!A:N,14,FALSE)</f>
        <v>Predominantly Urban</v>
      </c>
      <c r="H260" s="258">
        <f>IF(ISBLANK((VLOOKUP($A260,'local-plan-data'!$C$1:$AD$566,27,FALSE)))=TRUE,"",VLOOKUP($A260,'local-plan-data'!$C$1:$AD$566,27,FALSE))</f>
        <v>40087</v>
      </c>
      <c r="I260" s="259">
        <f>VLOOKUP($A260,'local-plan-data'!$C$1:$AD$566,28,FALSE)</f>
        <v>570</v>
      </c>
      <c r="J260" s="260">
        <f t="shared" si="217"/>
        <v>570</v>
      </c>
      <c r="K260" s="259" t="str">
        <f t="shared" si="263"/>
        <v>-</v>
      </c>
      <c r="L260" s="259" t="str">
        <f t="shared" si="265"/>
        <v>-</v>
      </c>
      <c r="M260" s="259" t="str">
        <f t="shared" si="265"/>
        <v>-</v>
      </c>
      <c r="N260" s="259" t="str">
        <f t="shared" si="265"/>
        <v>-</v>
      </c>
      <c r="O260" s="259" t="str">
        <f t="shared" si="265"/>
        <v>-</v>
      </c>
      <c r="P260" s="259" t="str">
        <f t="shared" si="265"/>
        <v>-</v>
      </c>
      <c r="Q260" s="259" t="str">
        <f t="shared" si="265"/>
        <v>-</v>
      </c>
      <c r="R260" s="259" t="str">
        <f t="shared" si="265"/>
        <v>-</v>
      </c>
      <c r="S260" s="259">
        <f t="shared" si="264"/>
        <v>-1278</v>
      </c>
      <c r="T260" s="259">
        <f t="shared" si="266"/>
        <v>-1643</v>
      </c>
      <c r="U260" s="259">
        <f t="shared" si="266"/>
        <v>-2009</v>
      </c>
      <c r="V260" s="259">
        <f t="shared" si="266"/>
        <v>-2374</v>
      </c>
      <c r="W260" s="259">
        <f t="shared" si="266"/>
        <v>-2739</v>
      </c>
      <c r="X260" s="259">
        <f t="shared" si="266"/>
        <v>-3104</v>
      </c>
      <c r="Y260" s="259">
        <f t="shared" si="266"/>
        <v>-3470</v>
      </c>
      <c r="Z260" s="259">
        <f t="shared" si="266"/>
        <v>-3835</v>
      </c>
      <c r="AA260" s="267">
        <f>(VLOOKUP(A260,Hshldprojections2014!$A$2:$AW$319,40, FALSE)-VLOOKUP(A260,Hshldprojections2014!$A$2:$AW$319,30, FALSE))/10</f>
        <v>480.9</v>
      </c>
      <c r="AB260" s="267">
        <f>(VLOOKUP(A260,Hshldprojections2014!$A$2:$AW$319,41, FALSE)-VLOOKUP(A260,Hshldprojections2014!$A$2:$AW$319,31, FALSE))/10</f>
        <v>483.1</v>
      </c>
      <c r="AC260" s="267">
        <f>(VLOOKUP(A260,Hshldprojections2014!$A$2:$AW$319,42, FALSE)-VLOOKUP(A260,Hshldprojections2014!$A$2:$AW$319,32, FALSE))/10</f>
        <v>484.4</v>
      </c>
      <c r="AD260" s="267">
        <f>IF(IndividualLATest!$J$7=2014,(VLOOKUP($A260,Hshldprojections2014!$A$2:$AY$326,43,FALSE)-VLOOKUP($A260,Hshldprojections2014!$A$2:$AY$326,33,FALSE))/10,IF(IndividualLATest!$J$7=2016,(VLOOKUP($A260,Hshldprojections2016!$A$1:$AQ$322,33,FALSE)-VLOOKUP($A260,Hshldprojections2016!$A$1:$AQ$322,23,FALSE))/10,(VLOOKUP($A260,Hshldprojections2018!$A$1:$AQ$327,33,FALSE)-VLOOKUP($A260,Hshldprojections2018!$A$1:$AQ$327,23,FALSE))/10))</f>
        <v>444.3</v>
      </c>
      <c r="AE260" s="267">
        <f>IF(IndividualLATest!$J$7=2014,(VLOOKUP($A260,Hshldprojections2014!$A$2:$AY$326,44,FALSE)-VLOOKUP($A260,Hshldprojections2014!$A$2:$AY$326,34,FALSE))/10,IF(IndividualLATest!$J$7=2016,(VLOOKUP($A260,Hshldprojections2016!$A$1:$AQ$322,34,FALSE)-VLOOKUP($A260,Hshldprojections2016!$A$1:$AQ$322,24,FALSE))/10,(VLOOKUP($A260,Hshldprojections2018!$A$1:$AQ$327,34,FALSE)-VLOOKUP($A260,Hshldprojections2018!$A$1:$AQ$327,24,FALSE))/10))</f>
        <v>446.8</v>
      </c>
      <c r="AF260" s="267">
        <f>IF(IndividualLATest!$J$7=2014,(VLOOKUP($A260,Hshldprojections2014!$A$2:$AY$326,45,FALSE)-VLOOKUP($A260,Hshldprojections2014!$A$2:$AY$326,35,FALSE))/10,IF(IndividualLATest!$J$7=2016,(VLOOKUP($A260,Hshldprojections2016!$A$1:$AQ$322,35,FALSE)-VLOOKUP($A260,Hshldprojections2016!$A$1:$AQ$322,25,FALSE))/10,(VLOOKUP($A260,Hshldprojections2018!$A$1:$AQ$327,35,FALSE)-VLOOKUP($A260,Hshldprojections2018!$A$1:$AQ$327,25,FALSE))/10))</f>
        <v>452.6</v>
      </c>
      <c r="AG260" s="267">
        <f>IF(IndividualLATest!$J$7=2014,(VLOOKUP($A260,Hshldprojections2014!$A$2:$AY$326,46,FALSE)-VLOOKUP($A260,Hshldprojections2014!$A$2:$AY$326,36,FALSE))/10,IF(IndividualLATest!$J$7=2016,(VLOOKUP($A260,Hshldprojections2016!$A$1:$AQ$322,36,FALSE)-VLOOKUP($A260,Hshldprojections2016!$A$1:$AQ$322,26,FALSE))/10,(VLOOKUP($A260,Hshldprojections2018!$A$1:$AQ$327,36,FALSE)-VLOOKUP($A260,Hshldprojections2018!$A$1:$AQ$327,26,FALSE))/10))</f>
        <v>453.5</v>
      </c>
      <c r="AH260" s="267">
        <f>IF(IndividualLATest!$J$7=2014,(VLOOKUP($A260,Hshldprojections2014!$A$2:$AY$326,47,FALSE)-VLOOKUP($A260,Hshldprojections2014!$A$2:$AY$326,37,FALSE))/10,IF(IndividualLATest!$J$7=2016,(VLOOKUP($A260,Hshldprojections2016!$A$1:$AQ$322,37,FALSE)-VLOOKUP($A260,Hshldprojections2016!$A$1:$AQ$322,27,FALSE))/10,(VLOOKUP($A260,Hshldprojections2018!$A$1:$AQ$327,37,FALSE)-VLOOKUP($A260,Hshldprojections2018!$A$1:$AQ$327,27,FALSE))/10))</f>
        <v>456.3</v>
      </c>
      <c r="AI260" s="268">
        <f>VLOOKUP($A260,AffordabilityRatio!$A$2:$I$321,5,FALSE)</f>
        <v>4.5</v>
      </c>
      <c r="AJ260" s="268">
        <f>VLOOKUP($A260,AffordabilityRatio!$A$2:$I$321,6,FALSE)</f>
        <v>4.3899999999999997</v>
      </c>
      <c r="AK260" s="268">
        <f>VLOOKUP($A260,AffordabilityRatio!$A$2:$I$321,7,FALSE)</f>
        <v>4.51</v>
      </c>
      <c r="AL260" s="268">
        <f>IF((VLOOKUP($A260,AffordabilityRatio!$A$2:$I$321,8,FALSE))="",AK260,VLOOKUP($A260,AffordabilityRatio!$A$2:$I$321,8,FALSE))</f>
        <v>4.4000000000000004</v>
      </c>
      <c r="AM260" s="268">
        <f>IF((VLOOKUP($A260,AffordabilityRatio!$A$2:$I$321,9,FALSE))="",AL260,VLOOKUP($A260,AffordabilityRatio!$A$2:$I$321,9,FALSE))</f>
        <v>4.58</v>
      </c>
      <c r="AN260" s="268">
        <f>IF((VLOOKUP($A260,AffordabilityRatio!$A$2:$I$321,9,FALSE))="",AM260,VLOOKUP($A260,AffordabilityRatio!$A$2:$I$321,9,FALSE))</f>
        <v>4.58</v>
      </c>
      <c r="AO260" s="268">
        <f>IF((VLOOKUP($A260,AffordabilityRatio!$A$2:$I$321,9,FALSE))="",AN260,VLOOKUP($A260,AffordabilityRatio!$A$2:$I$321,9,FALSE))</f>
        <v>4.58</v>
      </c>
      <c r="AP260" s="268">
        <f>IF((VLOOKUP($A260,AffordabilityRatio!$A$2:$I$321,9,FALSE))="",AO260,VLOOKUP($A260,AffordabilityRatio!$A$2:$I$321,9,FALSE))</f>
        <v>4.58</v>
      </c>
      <c r="AQ260" s="267">
        <f t="shared" si="218"/>
        <v>496</v>
      </c>
      <c r="AR260" s="267">
        <f t="shared" si="219"/>
        <v>495</v>
      </c>
      <c r="AS260" s="267">
        <f t="shared" si="220"/>
        <v>500</v>
      </c>
      <c r="AT260" s="267">
        <f t="shared" si="221"/>
        <v>455</v>
      </c>
      <c r="AU260" s="267">
        <f t="shared" si="222"/>
        <v>463</v>
      </c>
      <c r="AV260" s="267">
        <f t="shared" si="223"/>
        <v>469</v>
      </c>
      <c r="AW260" s="267">
        <f t="shared" si="224"/>
        <v>470</v>
      </c>
      <c r="AX260" s="267">
        <f t="shared" si="225"/>
        <v>473</v>
      </c>
      <c r="AY260" s="267">
        <f t="shared" si="226"/>
        <v>496</v>
      </c>
      <c r="AZ260" s="267">
        <f t="shared" si="227"/>
        <v>495</v>
      </c>
      <c r="BA260" s="267">
        <f t="shared" si="228"/>
        <v>500</v>
      </c>
      <c r="BB260" s="267">
        <f t="shared" si="229"/>
        <v>455</v>
      </c>
      <c r="BC260" s="267">
        <f t="shared" si="230"/>
        <v>463</v>
      </c>
      <c r="BD260" s="267">
        <f t="shared" si="231"/>
        <v>469</v>
      </c>
      <c r="BE260" s="267">
        <f t="shared" si="232"/>
        <v>470</v>
      </c>
      <c r="BF260" s="267">
        <f t="shared" si="233"/>
        <v>473</v>
      </c>
      <c r="BG260" s="269">
        <f>AY260*VLOOKUP($B260,'Major Cities &amp; Towns'!$A$28:$B$345,2,FALSE)</f>
        <v>669.6</v>
      </c>
      <c r="BH260" s="269">
        <f>AZ260*VLOOKUP($B260,'Major Cities &amp; Towns'!$A$28:$B$345,2,FALSE)</f>
        <v>668.25</v>
      </c>
      <c r="BI260" s="269">
        <f>BA260*VLOOKUP($B260,'Major Cities &amp; Towns'!$A$28:$B$345,2,FALSE)</f>
        <v>675</v>
      </c>
      <c r="BJ260" s="269">
        <f>BB260*VLOOKUP($B260,'Major Cities &amp; Towns'!$A$28:$B$345,2,FALSE)</f>
        <v>614.25</v>
      </c>
      <c r="BK260" s="269">
        <f>BC260*VLOOKUP($B260,'Major Cities &amp; Towns'!$A$28:$B$345,2,FALSE)</f>
        <v>625.05000000000007</v>
      </c>
      <c r="BL260" s="269">
        <f>BD260*VLOOKUP($B260,'Major Cities &amp; Towns'!$A$28:$B$345,2,FALSE)</f>
        <v>633.15000000000009</v>
      </c>
      <c r="BM260" s="269">
        <f>BE260*VLOOKUP($B260,'Major Cities &amp; Towns'!$A$28:$B$345,2,FALSE)</f>
        <v>634.5</v>
      </c>
      <c r="BN260" s="269">
        <f>BF260*VLOOKUP($B260,'Major Cities &amp; Towns'!$A$28:$B$345,2,FALSE)</f>
        <v>638.55000000000007</v>
      </c>
      <c r="BO260" s="270">
        <f t="shared" si="234"/>
        <v>496</v>
      </c>
      <c r="BP260" s="270">
        <f t="shared" si="235"/>
        <v>495</v>
      </c>
      <c r="BQ260" s="270">
        <f t="shared" si="236"/>
        <v>500</v>
      </c>
      <c r="BR260" s="270">
        <f t="shared" si="237"/>
        <v>455</v>
      </c>
      <c r="BS260" s="270">
        <f t="shared" si="238"/>
        <v>463</v>
      </c>
      <c r="BT260" s="270">
        <f t="shared" si="239"/>
        <v>469</v>
      </c>
      <c r="BU260" s="270">
        <f t="shared" si="240"/>
        <v>470</v>
      </c>
      <c r="BV260" s="270">
        <f t="shared" si="241"/>
        <v>473</v>
      </c>
      <c r="BW260" s="39">
        <f>VLOOKUP($A260,NetAdditions!$A$2:$H$336,6,FALSE)</f>
        <v>1008</v>
      </c>
      <c r="BX260" s="39">
        <f>VLOOKUP($A260,NetAdditions!$A$2:$H$336,7,FALSE)</f>
        <v>905</v>
      </c>
      <c r="BY260" s="39">
        <f>IF((VLOOKUP($C260,NetAdditions!$A$2:$H$336,8,FALSE))="",(AVERAGE(VLOOKUP($C260,NetAdditions!$A$2:$H$336,5,FALSE),VLOOKUP($C260,NetAdditions!$A$2:$H$336,6,FALSE),VLOOKUP($C260,NetAdditions!$A$2:$H$336,7,FALSE))),VLOOKUP($C260,NetAdditions!$A$2:$H$336,8,FALSE))</f>
        <v>475</v>
      </c>
      <c r="BZ260" s="39">
        <f t="shared" si="242"/>
        <v>796</v>
      </c>
      <c r="CA260" s="39">
        <f t="shared" si="243"/>
        <v>725.33333333333337</v>
      </c>
      <c r="CB260" s="39">
        <f t="shared" si="244"/>
        <v>665.44444444444446</v>
      </c>
      <c r="CC260" s="39">
        <f t="shared" si="245"/>
        <v>728.92592592592598</v>
      </c>
      <c r="CD260" s="39">
        <f t="shared" si="246"/>
        <v>706.56790123456801</v>
      </c>
      <c r="CE260" s="276">
        <f t="shared" si="203"/>
        <v>1491</v>
      </c>
      <c r="CF260" s="276">
        <f t="shared" si="204"/>
        <v>1450</v>
      </c>
      <c r="CG260" s="276">
        <f t="shared" si="205"/>
        <v>1418</v>
      </c>
      <c r="CH260" s="276">
        <f t="shared" si="206"/>
        <v>1387</v>
      </c>
      <c r="CI260" s="276">
        <f t="shared" si="207"/>
        <v>1402</v>
      </c>
      <c r="CJ260" s="276">
        <f t="shared" si="208"/>
        <v>1412</v>
      </c>
      <c r="CK260" s="276">
        <f t="shared" si="247"/>
        <v>1283.9166666666667</v>
      </c>
      <c r="CL260" s="276">
        <f t="shared" si="248"/>
        <v>1248.6111111111111</v>
      </c>
      <c r="CM260" s="276">
        <f t="shared" si="249"/>
        <v>1299.8333333333333</v>
      </c>
      <c r="CN260" s="276">
        <f t="shared" si="250"/>
        <v>1387</v>
      </c>
      <c r="CO260" s="276">
        <f t="shared" si="251"/>
        <v>1402</v>
      </c>
      <c r="CP260" s="276">
        <f t="shared" si="252"/>
        <v>1412</v>
      </c>
      <c r="CQ260" s="39">
        <f t="shared" si="209"/>
        <v>2388</v>
      </c>
      <c r="CR260" s="39">
        <f t="shared" si="210"/>
        <v>2176</v>
      </c>
      <c r="CS260" s="277">
        <f t="shared" si="211"/>
        <v>1996.3333333333335</v>
      </c>
      <c r="CT260" s="39">
        <f t="shared" si="212"/>
        <v>2186.7777777777778</v>
      </c>
      <c r="CU260" s="39">
        <f t="shared" si="213"/>
        <v>2119.7037037037039</v>
      </c>
      <c r="CV260" s="39">
        <f t="shared" si="253"/>
        <v>2100.9382716049386</v>
      </c>
      <c r="CW260" s="297">
        <f t="shared" si="214"/>
        <v>1.8599337963263451</v>
      </c>
      <c r="CX260" s="279" t="str">
        <f t="shared" si="254"/>
        <v>Pass</v>
      </c>
      <c r="CY260" s="278">
        <f t="shared" si="215"/>
        <v>1.7427363737486097</v>
      </c>
      <c r="CZ260" s="279" t="str">
        <f t="shared" si="255"/>
        <v>Pass</v>
      </c>
      <c r="DA260" s="278">
        <f t="shared" si="216"/>
        <v>1.5358379279394796</v>
      </c>
      <c r="DB260" s="292" t="str">
        <f t="shared" si="256"/>
        <v>Pass</v>
      </c>
      <c r="DC260" s="299">
        <f t="shared" si="257"/>
        <v>1.5766242089241369</v>
      </c>
      <c r="DD260" s="293" t="str">
        <f t="shared" si="258"/>
        <v>Pass</v>
      </c>
      <c r="DE260" s="299">
        <f t="shared" si="259"/>
        <v>1.511914196650288</v>
      </c>
      <c r="DF260" s="293" t="str">
        <f t="shared" si="260"/>
        <v>Pass</v>
      </c>
      <c r="DG260" s="299">
        <f t="shared" si="261"/>
        <v>1.4879166229496732</v>
      </c>
      <c r="DH260" s="293" t="str">
        <f t="shared" si="262"/>
        <v>Pass</v>
      </c>
    </row>
    <row r="261" spans="1:112" ht="15" thickTop="1" thickBot="1">
      <c r="A261" s="38" t="s">
        <v>632</v>
      </c>
      <c r="B261" s="38" t="s">
        <v>633</v>
      </c>
      <c r="C261" s="38" t="s">
        <v>632</v>
      </c>
      <c r="D261" s="38" t="s">
        <v>154</v>
      </c>
      <c r="E261" s="38" t="str">
        <f>VLOOKUP(C261,PoliticalControl!A:K,11,FALSE)</f>
        <v>CON</v>
      </c>
      <c r="F261" s="38" t="str">
        <f>VLOOKUP(C261,UrbanRuralClassification!A:N,13,FALSE)</f>
        <v xml:space="preserve">Mainly Rural (rural including hub towns &gt;=80%) </v>
      </c>
      <c r="G261" s="38" t="str">
        <f>VLOOKUP(C261,UrbanRuralClassification!A:N,14,FALSE)</f>
        <v>Predominantly Rural</v>
      </c>
      <c r="H261" s="258">
        <f>IF(ISBLANK((VLOOKUP($A261,'local-plan-data'!$C$1:$AD$566,27,FALSE)))=TRUE,"",VLOOKUP($A261,'local-plan-data'!$C$1:$AD$566,27,FALSE))</f>
        <v>42562</v>
      </c>
      <c r="I261" s="259">
        <f>VLOOKUP($A261,'local-plan-data'!$C$1:$AD$566,28,FALSE)</f>
        <v>730</v>
      </c>
      <c r="J261" s="260">
        <f t="shared" si="217"/>
        <v>730</v>
      </c>
      <c r="K261" s="259">
        <f t="shared" si="263"/>
        <v>730</v>
      </c>
      <c r="L261" s="259">
        <f t="shared" si="265"/>
        <v>730</v>
      </c>
      <c r="M261" s="259">
        <f t="shared" si="265"/>
        <v>730</v>
      </c>
      <c r="N261" s="259">
        <f t="shared" si="265"/>
        <v>730</v>
      </c>
      <c r="O261" s="259" t="str">
        <f t="shared" si="265"/>
        <v>-</v>
      </c>
      <c r="P261" s="259" t="str">
        <f t="shared" si="265"/>
        <v>-</v>
      </c>
      <c r="Q261" s="259" t="str">
        <f t="shared" si="265"/>
        <v>-</v>
      </c>
      <c r="R261" s="259" t="str">
        <f t="shared" si="265"/>
        <v>-</v>
      </c>
      <c r="S261" s="259">
        <f t="shared" si="264"/>
        <v>1197</v>
      </c>
      <c r="T261" s="259">
        <f t="shared" si="266"/>
        <v>832</v>
      </c>
      <c r="U261" s="259">
        <f t="shared" si="266"/>
        <v>466</v>
      </c>
      <c r="V261" s="259">
        <f t="shared" si="266"/>
        <v>101</v>
      </c>
      <c r="W261" s="259">
        <f t="shared" si="266"/>
        <v>-264</v>
      </c>
      <c r="X261" s="259">
        <f t="shared" si="266"/>
        <v>-629</v>
      </c>
      <c r="Y261" s="259">
        <f t="shared" si="266"/>
        <v>-995</v>
      </c>
      <c r="Z261" s="259">
        <f t="shared" si="266"/>
        <v>-1360</v>
      </c>
      <c r="AA261" s="267">
        <f>(VLOOKUP(A261,Hshldprojections2014!$A$2:$AW$319,40, FALSE)-VLOOKUP(A261,Hshldprojections2014!$A$2:$AW$319,30, FALSE))/10</f>
        <v>429.2</v>
      </c>
      <c r="AB261" s="267">
        <f>(VLOOKUP(A261,Hshldprojections2014!$A$2:$AW$319,41, FALSE)-VLOOKUP(A261,Hshldprojections2014!$A$2:$AW$319,31, FALSE))/10</f>
        <v>422.6</v>
      </c>
      <c r="AC261" s="267">
        <f>(VLOOKUP(A261,Hshldprojections2014!$A$2:$AW$319,42, FALSE)-VLOOKUP(A261,Hshldprojections2014!$A$2:$AW$319,32, FALSE))/10</f>
        <v>414.8</v>
      </c>
      <c r="AD261" s="267">
        <f>IF(IndividualLATest!$J$7=2014,(VLOOKUP($A261,Hshldprojections2014!$A$2:$AY$326,43,FALSE)-VLOOKUP($A261,Hshldprojections2014!$A$2:$AY$326,33,FALSE))/10,IF(IndividualLATest!$J$7=2016,(VLOOKUP($A261,Hshldprojections2016!$A$1:$AQ$322,33,FALSE)-VLOOKUP($A261,Hshldprojections2016!$A$1:$AQ$322,23,FALSE))/10,(VLOOKUP($A261,Hshldprojections2018!$A$1:$AQ$327,33,FALSE)-VLOOKUP($A261,Hshldprojections2018!$A$1:$AQ$327,23,FALSE))/10))</f>
        <v>771.8</v>
      </c>
      <c r="AE261" s="267">
        <f>IF(IndividualLATest!$J$7=2014,(VLOOKUP($A261,Hshldprojections2014!$A$2:$AY$326,44,FALSE)-VLOOKUP($A261,Hshldprojections2014!$A$2:$AY$326,34,FALSE))/10,IF(IndividualLATest!$J$7=2016,(VLOOKUP($A261,Hshldprojections2016!$A$1:$AQ$322,34,FALSE)-VLOOKUP($A261,Hshldprojections2016!$A$1:$AQ$322,24,FALSE))/10,(VLOOKUP($A261,Hshldprojections2018!$A$1:$AQ$327,34,FALSE)-VLOOKUP($A261,Hshldprojections2018!$A$1:$AQ$327,24,FALSE))/10))</f>
        <v>753.4</v>
      </c>
      <c r="AF261" s="267">
        <f>IF(IndividualLATest!$J$7=2014,(VLOOKUP($A261,Hshldprojections2014!$A$2:$AY$326,45,FALSE)-VLOOKUP($A261,Hshldprojections2014!$A$2:$AY$326,35,FALSE))/10,IF(IndividualLATest!$J$7=2016,(VLOOKUP($A261,Hshldprojections2016!$A$1:$AQ$322,35,FALSE)-VLOOKUP($A261,Hshldprojections2016!$A$1:$AQ$322,25,FALSE))/10,(VLOOKUP($A261,Hshldprojections2018!$A$1:$AQ$327,35,FALSE)-VLOOKUP($A261,Hshldprojections2018!$A$1:$AQ$327,25,FALSE))/10))</f>
        <v>735.8</v>
      </c>
      <c r="AG261" s="267">
        <f>IF(IndividualLATest!$J$7=2014,(VLOOKUP($A261,Hshldprojections2014!$A$2:$AY$326,46,FALSE)-VLOOKUP($A261,Hshldprojections2014!$A$2:$AY$326,36,FALSE))/10,IF(IndividualLATest!$J$7=2016,(VLOOKUP($A261,Hshldprojections2016!$A$1:$AQ$322,36,FALSE)-VLOOKUP($A261,Hshldprojections2016!$A$1:$AQ$322,26,FALSE))/10,(VLOOKUP($A261,Hshldprojections2018!$A$1:$AQ$327,36,FALSE)-VLOOKUP($A261,Hshldprojections2018!$A$1:$AQ$327,26,FALSE))/10))</f>
        <v>717.1</v>
      </c>
      <c r="AH261" s="267">
        <f>IF(IndividualLATest!$J$7=2014,(VLOOKUP($A261,Hshldprojections2014!$A$2:$AY$326,47,FALSE)-VLOOKUP($A261,Hshldprojections2014!$A$2:$AY$326,37,FALSE))/10,IF(IndividualLATest!$J$7=2016,(VLOOKUP($A261,Hshldprojections2016!$A$1:$AQ$322,37,FALSE)-VLOOKUP($A261,Hshldprojections2016!$A$1:$AQ$322,27,FALSE))/10,(VLOOKUP($A261,Hshldprojections2018!$A$1:$AQ$327,37,FALSE)-VLOOKUP($A261,Hshldprojections2018!$A$1:$AQ$327,27,FALSE))/10))</f>
        <v>700.5</v>
      </c>
      <c r="AI261" s="268">
        <f>VLOOKUP($A261,AffordabilityRatio!$A$2:$I$321,5,FALSE)</f>
        <v>9.32</v>
      </c>
      <c r="AJ261" s="268">
        <f>VLOOKUP($A261,AffordabilityRatio!$A$2:$I$321,6,FALSE)</f>
        <v>10.33</v>
      </c>
      <c r="AK261" s="268">
        <f>VLOOKUP($A261,AffordabilityRatio!$A$2:$I$321,7,FALSE)</f>
        <v>11.26</v>
      </c>
      <c r="AL261" s="268">
        <f>IF((VLOOKUP($A261,AffordabilityRatio!$A$2:$I$321,8,FALSE))="",AK261,VLOOKUP($A261,AffordabilityRatio!$A$2:$I$321,8,FALSE))</f>
        <v>9.82</v>
      </c>
      <c r="AM261" s="268">
        <f>IF((VLOOKUP($A261,AffordabilityRatio!$A$2:$I$321,9,FALSE))="",AL261,VLOOKUP($A261,AffordabilityRatio!$A$2:$I$321,9,FALSE))</f>
        <v>10.62</v>
      </c>
      <c r="AN261" s="268">
        <f>IF((VLOOKUP($A261,AffordabilityRatio!$A$2:$I$321,9,FALSE))="",AM261,VLOOKUP($A261,AffordabilityRatio!$A$2:$I$321,9,FALSE))</f>
        <v>10.62</v>
      </c>
      <c r="AO261" s="268">
        <f>IF((VLOOKUP($A261,AffordabilityRatio!$A$2:$I$321,9,FALSE))="",AN261,VLOOKUP($A261,AffordabilityRatio!$A$2:$I$321,9,FALSE))</f>
        <v>10.62</v>
      </c>
      <c r="AP261" s="268">
        <f>IF((VLOOKUP($A261,AffordabilityRatio!$A$2:$I$321,9,FALSE))="",AO261,VLOOKUP($A261,AffordabilityRatio!$A$2:$I$321,9,FALSE))</f>
        <v>10.62</v>
      </c>
      <c r="AQ261" s="267">
        <f t="shared" si="218"/>
        <v>572</v>
      </c>
      <c r="AR261" s="267">
        <f t="shared" si="219"/>
        <v>590</v>
      </c>
      <c r="AS261" s="267">
        <f t="shared" si="220"/>
        <v>603</v>
      </c>
      <c r="AT261" s="267">
        <f t="shared" si="221"/>
        <v>1053</v>
      </c>
      <c r="AU261" s="267">
        <f t="shared" si="222"/>
        <v>1065</v>
      </c>
      <c r="AV261" s="267">
        <f t="shared" si="223"/>
        <v>1040</v>
      </c>
      <c r="AW261" s="267">
        <f t="shared" si="224"/>
        <v>1014</v>
      </c>
      <c r="AX261" s="267">
        <f t="shared" si="225"/>
        <v>990</v>
      </c>
      <c r="AY261" s="267">
        <f t="shared" si="226"/>
        <v>572</v>
      </c>
      <c r="AZ261" s="267">
        <f t="shared" si="227"/>
        <v>590</v>
      </c>
      <c r="BA261" s="267">
        <f t="shared" si="228"/>
        <v>603</v>
      </c>
      <c r="BB261" s="267">
        <f t="shared" si="229"/>
        <v>1022</v>
      </c>
      <c r="BC261" s="267">
        <f t="shared" si="230"/>
        <v>1054.76</v>
      </c>
      <c r="BD261" s="267">
        <f t="shared" si="231"/>
        <v>1030.1199999999999</v>
      </c>
      <c r="BE261" s="267">
        <f t="shared" si="232"/>
        <v>1014</v>
      </c>
      <c r="BF261" s="267">
        <f t="shared" si="233"/>
        <v>990</v>
      </c>
      <c r="BG261" s="269">
        <f>AY261*VLOOKUP($B261,'Major Cities &amp; Towns'!$A$28:$B$345,2,FALSE)</f>
        <v>572</v>
      </c>
      <c r="BH261" s="269">
        <f>AZ261*VLOOKUP($B261,'Major Cities &amp; Towns'!$A$28:$B$345,2,FALSE)</f>
        <v>590</v>
      </c>
      <c r="BI261" s="269">
        <f>BA261*VLOOKUP($B261,'Major Cities &amp; Towns'!$A$28:$B$345,2,FALSE)</f>
        <v>603</v>
      </c>
      <c r="BJ261" s="269">
        <f>BB261*VLOOKUP($B261,'Major Cities &amp; Towns'!$A$28:$B$345,2,FALSE)</f>
        <v>1022</v>
      </c>
      <c r="BK261" s="269">
        <f>BC261*VLOOKUP($B261,'Major Cities &amp; Towns'!$A$28:$B$345,2,FALSE)</f>
        <v>1054.76</v>
      </c>
      <c r="BL261" s="269">
        <f>BD261*VLOOKUP($B261,'Major Cities &amp; Towns'!$A$28:$B$345,2,FALSE)</f>
        <v>1030.1199999999999</v>
      </c>
      <c r="BM261" s="269">
        <f>BE261*VLOOKUP($B261,'Major Cities &amp; Towns'!$A$28:$B$345,2,FALSE)</f>
        <v>1014</v>
      </c>
      <c r="BN261" s="269">
        <f>BF261*VLOOKUP($B261,'Major Cities &amp; Towns'!$A$28:$B$345,2,FALSE)</f>
        <v>990</v>
      </c>
      <c r="BO261" s="270">
        <f t="shared" si="234"/>
        <v>572</v>
      </c>
      <c r="BP261" s="270">
        <f t="shared" si="235"/>
        <v>590</v>
      </c>
      <c r="BQ261" s="270">
        <f t="shared" si="236"/>
        <v>603</v>
      </c>
      <c r="BR261" s="270">
        <f t="shared" si="237"/>
        <v>963.62191780821922</v>
      </c>
      <c r="BS261" s="270">
        <f t="shared" si="238"/>
        <v>1065</v>
      </c>
      <c r="BT261" s="270">
        <f t="shared" si="239"/>
        <v>1040</v>
      </c>
      <c r="BU261" s="270">
        <f t="shared" si="240"/>
        <v>1014</v>
      </c>
      <c r="BV261" s="270">
        <f t="shared" si="241"/>
        <v>990</v>
      </c>
      <c r="BW261" s="39">
        <f>VLOOKUP($A261,NetAdditions!$A$2:$H$336,6,FALSE)</f>
        <v>1408</v>
      </c>
      <c r="BX261" s="39">
        <f>VLOOKUP($A261,NetAdditions!$A$2:$H$336,7,FALSE)</f>
        <v>1342</v>
      </c>
      <c r="BY261" s="39">
        <f>IF((VLOOKUP($C261,NetAdditions!$A$2:$H$336,8,FALSE))="",(AVERAGE(VLOOKUP($C261,NetAdditions!$A$2:$H$336,5,FALSE),VLOOKUP($C261,NetAdditions!$A$2:$H$336,6,FALSE),VLOOKUP($C261,NetAdditions!$A$2:$H$336,7,FALSE))),VLOOKUP($C261,NetAdditions!$A$2:$H$336,8,FALSE))</f>
        <v>843</v>
      </c>
      <c r="BZ261" s="39">
        <f t="shared" si="242"/>
        <v>1197.6666666666667</v>
      </c>
      <c r="CA261" s="39">
        <f t="shared" si="243"/>
        <v>1127.5555555555557</v>
      </c>
      <c r="CB261" s="39">
        <f t="shared" si="244"/>
        <v>1056.0740740740741</v>
      </c>
      <c r="CC261" s="39">
        <f t="shared" si="245"/>
        <v>1127.0987654320988</v>
      </c>
      <c r="CD261" s="39">
        <f t="shared" si="246"/>
        <v>1103.5761316872429</v>
      </c>
      <c r="CE261" s="276">
        <f t="shared" ref="CE261:CE322" si="267">SUM(BO261:BQ261)</f>
        <v>1765</v>
      </c>
      <c r="CF261" s="276">
        <f t="shared" ref="CF261:CF322" si="268">SUM(BP261:BR261)</f>
        <v>2156.6219178082192</v>
      </c>
      <c r="CG261" s="276">
        <f t="shared" ref="CG261:CG322" si="269">SUM(BQ261:BS261)</f>
        <v>2631.6219178082192</v>
      </c>
      <c r="CH261" s="276">
        <f t="shared" ref="CH261:CH322" si="270">SUM(BR261:BT261)</f>
        <v>3068.6219178082192</v>
      </c>
      <c r="CI261" s="276">
        <f t="shared" ref="CI261:CI322" si="271">SUM(BS261:BU261)</f>
        <v>3119</v>
      </c>
      <c r="CJ261" s="276">
        <f t="shared" ref="CJ261:CJ322" si="272">SUM(BT261:BV261)</f>
        <v>3044</v>
      </c>
      <c r="CK261" s="276">
        <f t="shared" si="247"/>
        <v>1519.8611111111111</v>
      </c>
      <c r="CL261" s="276">
        <f t="shared" si="248"/>
        <v>1857.091095890411</v>
      </c>
      <c r="CM261" s="276">
        <f t="shared" si="249"/>
        <v>2412.3200913242008</v>
      </c>
      <c r="CN261" s="276">
        <f t="shared" si="250"/>
        <v>3068.6219178082192</v>
      </c>
      <c r="CO261" s="276">
        <f t="shared" si="251"/>
        <v>3119</v>
      </c>
      <c r="CP261" s="276">
        <f t="shared" si="252"/>
        <v>3044</v>
      </c>
      <c r="CQ261" s="39">
        <f t="shared" ref="CQ261:CQ322" si="273">SUM(BW261:BY261)</f>
        <v>3593</v>
      </c>
      <c r="CR261" s="39">
        <f t="shared" ref="CR261:CR322" si="274">SUM(BX261:BZ261)</f>
        <v>3382.666666666667</v>
      </c>
      <c r="CS261" s="277">
        <f t="shared" ref="CS261:CS322" si="275">SUM(BY261:CA261)</f>
        <v>3168.2222222222226</v>
      </c>
      <c r="CT261" s="39">
        <f t="shared" ref="CT261:CT322" si="276">SUM(BZ261:CB261)</f>
        <v>3381.2962962962965</v>
      </c>
      <c r="CU261" s="39">
        <f t="shared" ref="CU261:CU322" si="277">SUM(CA261:CC261)</f>
        <v>3310.7283950617284</v>
      </c>
      <c r="CV261" s="39">
        <f t="shared" si="253"/>
        <v>3286.7489711934159</v>
      </c>
      <c r="CW261" s="297">
        <f t="shared" ref="CW261:CW322" si="278">IFERROR(CQ261/CK261,"-")</f>
        <v>2.364031801151421</v>
      </c>
      <c r="CX261" s="279" t="str">
        <f t="shared" si="254"/>
        <v>Pass</v>
      </c>
      <c r="CY261" s="278">
        <f t="shared" ref="CY261:CY322" si="279">IFERROR(CR261/CL261,"-")</f>
        <v>1.8214866648987917</v>
      </c>
      <c r="CZ261" s="279" t="str">
        <f t="shared" si="255"/>
        <v>Pass</v>
      </c>
      <c r="DA261" s="278">
        <f t="shared" ref="DA261:DA322" si="280">IFERROR(CS261/CM261,"-")</f>
        <v>1.3133506758147848</v>
      </c>
      <c r="DB261" s="292" t="str">
        <f t="shared" si="256"/>
        <v>Pass</v>
      </c>
      <c r="DC261" s="299">
        <f t="shared" si="257"/>
        <v>1.1018940706489533</v>
      </c>
      <c r="DD261" s="293" t="str">
        <f t="shared" si="258"/>
        <v>Pass</v>
      </c>
      <c r="DE261" s="299">
        <f t="shared" si="259"/>
        <v>1.0614711109527823</v>
      </c>
      <c r="DF261" s="293" t="str">
        <f t="shared" si="260"/>
        <v>Pass</v>
      </c>
      <c r="DG261" s="299">
        <f t="shared" si="261"/>
        <v>1.0797467053854848</v>
      </c>
      <c r="DH261" s="293" t="str">
        <f t="shared" si="262"/>
        <v>Pass</v>
      </c>
    </row>
    <row r="262" spans="1:112" ht="15" thickTop="1" thickBot="1">
      <c r="A262" s="38" t="s">
        <v>634</v>
      </c>
      <c r="B262" s="38" t="s">
        <v>635</v>
      </c>
      <c r="C262" s="38" t="s">
        <v>634</v>
      </c>
      <c r="D262" s="38" t="s">
        <v>147</v>
      </c>
      <c r="E262" s="38" t="str">
        <f>VLOOKUP(C262,PoliticalControl!A:K,11,FALSE)</f>
        <v>NOC</v>
      </c>
      <c r="F262" s="38" t="str">
        <f>VLOOKUP(C262,UrbanRuralClassification!A:N,13,FALSE)</f>
        <v>Urban with Significant Rural (rural including hub towns 26-49%)</v>
      </c>
      <c r="G262" s="38" t="str">
        <f>VLOOKUP(C262,UrbanRuralClassification!A:N,14,FALSE)</f>
        <v>Urban with Significant Rural</v>
      </c>
      <c r="H262" s="258">
        <f>IF(ISBLANK((VLOOKUP($A262,'local-plan-data'!$C$1:$AD$566,27,FALSE)))=TRUE,"",VLOOKUP($A262,'local-plan-data'!$C$1:$AD$566,27,FALSE))</f>
        <v>42327</v>
      </c>
      <c r="I262" s="259">
        <f>VLOOKUP($A262,'local-plan-data'!$C$1:$AD$566,28,FALSE)</f>
        <v>456</v>
      </c>
      <c r="J262" s="260">
        <f t="shared" ref="J262:J318" si="281">IFERROR(IF(ISNUMBER(I262),I262,VALUE(LEFT(I262,FIND("-",I262)-1))),"-")</f>
        <v>456</v>
      </c>
      <c r="K262" s="259">
        <f t="shared" si="263"/>
        <v>456</v>
      </c>
      <c r="L262" s="259">
        <f t="shared" si="265"/>
        <v>456</v>
      </c>
      <c r="M262" s="259">
        <f t="shared" si="265"/>
        <v>456</v>
      </c>
      <c r="N262" s="259" t="str">
        <f t="shared" si="265"/>
        <v>-</v>
      </c>
      <c r="O262" s="259" t="str">
        <f t="shared" si="265"/>
        <v>-</v>
      </c>
      <c r="P262" s="259" t="str">
        <f t="shared" si="265"/>
        <v>-</v>
      </c>
      <c r="Q262" s="259" t="str">
        <f t="shared" si="265"/>
        <v>-</v>
      </c>
      <c r="R262" s="259" t="str">
        <f t="shared" si="265"/>
        <v>-</v>
      </c>
      <c r="S262" s="259">
        <f t="shared" si="264"/>
        <v>963</v>
      </c>
      <c r="T262" s="259">
        <f t="shared" si="266"/>
        <v>598</v>
      </c>
      <c r="U262" s="259">
        <f t="shared" si="266"/>
        <v>232</v>
      </c>
      <c r="V262" s="259">
        <f t="shared" si="266"/>
        <v>-133</v>
      </c>
      <c r="W262" s="259">
        <f t="shared" si="266"/>
        <v>-498</v>
      </c>
      <c r="X262" s="259">
        <f t="shared" si="266"/>
        <v>-863</v>
      </c>
      <c r="Y262" s="259">
        <f t="shared" si="266"/>
        <v>-1229</v>
      </c>
      <c r="Z262" s="259">
        <f t="shared" si="266"/>
        <v>-1594</v>
      </c>
      <c r="AA262" s="267">
        <f>(VLOOKUP(A262,Hshldprojections2014!$A$2:$AW$319,40, FALSE)-VLOOKUP(A262,Hshldprojections2014!$A$2:$AW$319,30, FALSE))/10</f>
        <v>501</v>
      </c>
      <c r="AB262" s="267">
        <f>(VLOOKUP(A262,Hshldprojections2014!$A$2:$AW$319,41, FALSE)-VLOOKUP(A262,Hshldprojections2014!$A$2:$AW$319,31, FALSE))/10</f>
        <v>496.2</v>
      </c>
      <c r="AC262" s="267">
        <f>(VLOOKUP(A262,Hshldprojections2014!$A$2:$AW$319,42, FALSE)-VLOOKUP(A262,Hshldprojections2014!$A$2:$AW$319,32, FALSE))/10</f>
        <v>491.3</v>
      </c>
      <c r="AD262" s="267">
        <f>IF(IndividualLATest!$J$7=2014,(VLOOKUP($A262,Hshldprojections2014!$A$2:$AY$326,43,FALSE)-VLOOKUP($A262,Hshldprojections2014!$A$2:$AY$326,33,FALSE))/10,IF(IndividualLATest!$J$7=2016,(VLOOKUP($A262,Hshldprojections2016!$A$1:$AQ$322,33,FALSE)-VLOOKUP($A262,Hshldprojections2016!$A$1:$AQ$322,23,FALSE))/10,(VLOOKUP($A262,Hshldprojections2018!$A$1:$AQ$327,33,FALSE)-VLOOKUP($A262,Hshldprojections2018!$A$1:$AQ$327,23,FALSE))/10))</f>
        <v>469.6</v>
      </c>
      <c r="AE262" s="267">
        <f>IF(IndividualLATest!$J$7=2014,(VLOOKUP($A262,Hshldprojections2014!$A$2:$AY$326,44,FALSE)-VLOOKUP($A262,Hshldprojections2014!$A$2:$AY$326,34,FALSE))/10,IF(IndividualLATest!$J$7=2016,(VLOOKUP($A262,Hshldprojections2016!$A$1:$AQ$322,34,FALSE)-VLOOKUP($A262,Hshldprojections2016!$A$1:$AQ$322,24,FALSE))/10,(VLOOKUP($A262,Hshldprojections2018!$A$1:$AQ$327,34,FALSE)-VLOOKUP($A262,Hshldprojections2018!$A$1:$AQ$327,24,FALSE))/10))</f>
        <v>459.8</v>
      </c>
      <c r="AF262" s="267">
        <f>IF(IndividualLATest!$J$7=2014,(VLOOKUP($A262,Hshldprojections2014!$A$2:$AY$326,45,FALSE)-VLOOKUP($A262,Hshldprojections2014!$A$2:$AY$326,35,FALSE))/10,IF(IndividualLATest!$J$7=2016,(VLOOKUP($A262,Hshldprojections2016!$A$1:$AQ$322,35,FALSE)-VLOOKUP($A262,Hshldprojections2016!$A$1:$AQ$322,25,FALSE))/10,(VLOOKUP($A262,Hshldprojections2018!$A$1:$AQ$327,35,FALSE)-VLOOKUP($A262,Hshldprojections2018!$A$1:$AQ$327,25,FALSE))/10))</f>
        <v>450.7</v>
      </c>
      <c r="AG262" s="267">
        <f>IF(IndividualLATest!$J$7=2014,(VLOOKUP($A262,Hshldprojections2014!$A$2:$AY$326,46,FALSE)-VLOOKUP($A262,Hshldprojections2014!$A$2:$AY$326,36,FALSE))/10,IF(IndividualLATest!$J$7=2016,(VLOOKUP($A262,Hshldprojections2016!$A$1:$AQ$322,36,FALSE)-VLOOKUP($A262,Hshldprojections2016!$A$1:$AQ$322,26,FALSE))/10,(VLOOKUP($A262,Hshldprojections2018!$A$1:$AQ$327,36,FALSE)-VLOOKUP($A262,Hshldprojections2018!$A$1:$AQ$327,26,FALSE))/10))</f>
        <v>441.2</v>
      </c>
      <c r="AH262" s="267">
        <f>IF(IndividualLATest!$J$7=2014,(VLOOKUP($A262,Hshldprojections2014!$A$2:$AY$326,47,FALSE)-VLOOKUP($A262,Hshldprojections2014!$A$2:$AY$326,37,FALSE))/10,IF(IndividualLATest!$J$7=2016,(VLOOKUP($A262,Hshldprojections2016!$A$1:$AQ$322,37,FALSE)-VLOOKUP($A262,Hshldprojections2016!$A$1:$AQ$322,27,FALSE))/10,(VLOOKUP($A262,Hshldprojections2018!$A$1:$AQ$327,37,FALSE)-VLOOKUP($A262,Hshldprojections2018!$A$1:$AQ$327,27,FALSE))/10))</f>
        <v>433.4</v>
      </c>
      <c r="AI262" s="268">
        <f>VLOOKUP($A262,AffordabilityRatio!$A$2:$I$321,5,FALSE)</f>
        <v>8.7899999999999991</v>
      </c>
      <c r="AJ262" s="268">
        <f>VLOOKUP($A262,AffordabilityRatio!$A$2:$I$321,6,FALSE)</f>
        <v>8.99</v>
      </c>
      <c r="AK262" s="268">
        <f>VLOOKUP($A262,AffordabilityRatio!$A$2:$I$321,7,FALSE)</f>
        <v>8.69</v>
      </c>
      <c r="AL262" s="268">
        <f>IF((VLOOKUP($A262,AffordabilityRatio!$A$2:$I$321,8,FALSE))="",AK262,VLOOKUP($A262,AffordabilityRatio!$A$2:$I$321,8,FALSE))</f>
        <v>8.44</v>
      </c>
      <c r="AM262" s="268">
        <f>IF((VLOOKUP($A262,AffordabilityRatio!$A$2:$I$321,9,FALSE))="",AL262,VLOOKUP($A262,AffordabilityRatio!$A$2:$I$321,9,FALSE))</f>
        <v>10.27</v>
      </c>
      <c r="AN262" s="268">
        <f>IF((VLOOKUP($A262,AffordabilityRatio!$A$2:$I$321,9,FALSE))="",AM262,VLOOKUP($A262,AffordabilityRatio!$A$2:$I$321,9,FALSE))</f>
        <v>10.27</v>
      </c>
      <c r="AO262" s="268">
        <f>IF((VLOOKUP($A262,AffordabilityRatio!$A$2:$I$321,9,FALSE))="",AN262,VLOOKUP($A262,AffordabilityRatio!$A$2:$I$321,9,FALSE))</f>
        <v>10.27</v>
      </c>
      <c r="AP262" s="268">
        <f>IF((VLOOKUP($A262,AffordabilityRatio!$A$2:$I$321,9,FALSE))="",AO262,VLOOKUP($A262,AffordabilityRatio!$A$2:$I$321,9,FALSE))</f>
        <v>10.27</v>
      </c>
      <c r="AQ262" s="267">
        <f t="shared" ref="AQ262:AQ322" si="282">IF(AA262&lt;0,0,IF(AI262&gt;4,ROUND((1+((AI262-4)/4*0.25))*AA262,0),AA262))</f>
        <v>651</v>
      </c>
      <c r="AR262" s="267">
        <f t="shared" ref="AR262:AR322" si="283">IF(AB262&lt;0,0,IF(AJ262&gt;4,ROUND((1+((AJ262-4)/4*0.25))*AB262,0),AB262))</f>
        <v>651</v>
      </c>
      <c r="AS262" s="267">
        <f t="shared" ref="AS262:AS322" si="284">IF(AC262&lt;0,0,IF(AK262&gt;4,ROUND((1+((AK262-4)/4*0.25))*AC262,0),AC262))</f>
        <v>635</v>
      </c>
      <c r="AT262" s="267">
        <f t="shared" ref="AT262:AT322" si="285">IF(AD262&lt;0,0,IF(AL262&gt;4,ROUND((1+((AL262-4)/4*0.25))*AD262,0),AD262))</f>
        <v>600</v>
      </c>
      <c r="AU262" s="267">
        <f t="shared" ref="AU262:AU322" si="286">IF(AE262&lt;0,0,IF(AM262&gt;4,ROUND((1+((AM262-4)/4*0.25))*AE262,0),AE262))</f>
        <v>640</v>
      </c>
      <c r="AV262" s="267">
        <f t="shared" ref="AV262:AV322" si="287">IF(AF262&lt;0,0,IF(AN262&gt;4,ROUND((1+((AN262-4)/4*0.25))*AF262,0),AF262))</f>
        <v>627</v>
      </c>
      <c r="AW262" s="267">
        <f t="shared" ref="AW262:AW322" si="288">IF(AG262&lt;0,0,IF(AO262&gt;4,ROUND((1+((AO262-4)/4*0.25))*AG262,0),AG262))</f>
        <v>614</v>
      </c>
      <c r="AX262" s="267">
        <f t="shared" ref="AX262:AX322" si="289">IF(AH262&lt;0,0,IF(AP262&gt;4,ROUND((1+((AP262-4)/4*0.25))*AH262,0),AH262))</f>
        <v>603</v>
      </c>
      <c r="AY262" s="267">
        <f t="shared" ref="AY262:AY322" si="290">IF(AA262&lt;0,0,IF(K262="-",MIN((MAX(J262, AA262)+((MAX(J262, AA262))*0.4)),AQ262),MIN(K262+(K262*0.4),AQ262)))</f>
        <v>638.4</v>
      </c>
      <c r="AZ262" s="267">
        <f t="shared" ref="AZ262:AZ322" si="291">IF(AB262&lt;0,0,IF(L262="-",MIN((MAX(J262, AB262)+((MAX(J262, AB262))*0.4)),AR262),MIN(L262+(L262*0.4),AR262)))</f>
        <v>638.4</v>
      </c>
      <c r="BA262" s="267">
        <f t="shared" ref="BA262:BA322" si="292">IF(AC262&lt;0,0,IF(M262="-",MIN((MAX(J262, AC262)+((MAX(J262, AC262))*0.4)),AS262),MIN(M262+(M262*0.4),AS262)))</f>
        <v>635</v>
      </c>
      <c r="BB262" s="267">
        <f t="shared" ref="BB262:BB322" si="293">IF(AD262&lt;0,0,IF(N262="-",MIN((MAX(J262, AD262)+((MAX(J262, AD262))*0.4)),AT262),MIN(N262+(N262*0.4),AT262)))</f>
        <v>600</v>
      </c>
      <c r="BC262" s="267">
        <f t="shared" ref="BC262:BC322" si="294">IF(AE262&lt;0,0,IF(O262="-",MIN((MAX(J262, AE262)+((MAX(J262, AE262))*0.4)),AU262),MIN(O262+(O262*0.4),AU262)))</f>
        <v>640</v>
      </c>
      <c r="BD262" s="267">
        <f t="shared" ref="BD262:BD322" si="295">IF(AF262&lt;0,0,IF(P262="-",MIN((MAX(J262, AF262)+((MAX(J262, AF262))*0.4)),AV262),MIN(P262+(P262*0.4),AV262)))</f>
        <v>627</v>
      </c>
      <c r="BE262" s="267">
        <f t="shared" ref="BE262:BE322" si="296">IF(AG262&lt;0,0,IF(Q262="-",MIN((MAX(J262, AG262)+((MAX(J262, AG262))*0.4)),AW262),MIN(Q262+(Q262*0.4),AW262)))</f>
        <v>614</v>
      </c>
      <c r="BF262" s="267">
        <f t="shared" ref="BF262:BF322" si="297">IF(AH262&lt;0,0,IF(R262="-",MIN((MAX(J262, AH262)+((MAX(J262, AH262))*0.4)),AX262),MIN(R262+(R262*0.4),AX262)))</f>
        <v>603</v>
      </c>
      <c r="BG262" s="269">
        <f>AY262*VLOOKUP($B262,'Major Cities &amp; Towns'!$A$28:$B$345,2,FALSE)</f>
        <v>638.4</v>
      </c>
      <c r="BH262" s="269">
        <f>AZ262*VLOOKUP($B262,'Major Cities &amp; Towns'!$A$28:$B$345,2,FALSE)</f>
        <v>638.4</v>
      </c>
      <c r="BI262" s="269">
        <f>BA262*VLOOKUP($B262,'Major Cities &amp; Towns'!$A$28:$B$345,2,FALSE)</f>
        <v>635</v>
      </c>
      <c r="BJ262" s="269">
        <f>BB262*VLOOKUP($B262,'Major Cities &amp; Towns'!$A$28:$B$345,2,FALSE)</f>
        <v>600</v>
      </c>
      <c r="BK262" s="269">
        <f>BC262*VLOOKUP($B262,'Major Cities &amp; Towns'!$A$28:$B$345,2,FALSE)</f>
        <v>640</v>
      </c>
      <c r="BL262" s="269">
        <f>BD262*VLOOKUP($B262,'Major Cities &amp; Towns'!$A$28:$B$345,2,FALSE)</f>
        <v>627</v>
      </c>
      <c r="BM262" s="269">
        <f>BE262*VLOOKUP($B262,'Major Cities &amp; Towns'!$A$28:$B$345,2,FALSE)</f>
        <v>614</v>
      </c>
      <c r="BN262" s="269">
        <f>BF262*VLOOKUP($B262,'Major Cities &amp; Towns'!$A$28:$B$345,2,FALSE)</f>
        <v>603</v>
      </c>
      <c r="BO262" s="270">
        <f t="shared" ref="BO262:BO322" si="298">IFERROR(IF(AND(S262&lt;365,S262&gt;0),SUM(((S262/365)*(MIN(K262,BG262)))+(((365-S262)/365)*AQ262)),(MIN(K262,AQ262))),AQ262)</f>
        <v>456</v>
      </c>
      <c r="BP262" s="270">
        <f t="shared" ref="BP262:BP322" si="299">IFERROR(IF(AND(T262&lt;365,T262&gt;0),SUM(((T262/365)*(MIN(L262,BH262)))+(((365-T262)/365)*AR262)),(MIN(L262,AR262))),AR262)</f>
        <v>456</v>
      </c>
      <c r="BQ262" s="270">
        <f t="shared" ref="BQ262:BQ322" si="300">IFERROR(IF(AND(U262&lt;365,U262&gt;0),SUM(((U262/365)*(MIN(M262,BI262)))+(((365-U262)/365)*AS262)),(MIN(M262,AS262))),AS262)</f>
        <v>521.2246575342466</v>
      </c>
      <c r="BR262" s="270">
        <f t="shared" ref="BR262:BR322" si="301">IFERROR(IF(AND(V262&lt;365,V262&gt;0),SUM(((V262/365)*(MIN(N262,BJ262)))+(((365-V262)/365)*AT262)),(MIN(N262,AT262))),AT262)</f>
        <v>600</v>
      </c>
      <c r="BS262" s="270">
        <f t="shared" ref="BS262:BS322" si="302">IFERROR(IF(AND(W262&lt;365,W262&gt;0),SUM(((W262/365)*(MIN(O262,BK262)))+(((365-W262)/365)*AU262)),(MIN(O262,AU262))),AU262)</f>
        <v>640</v>
      </c>
      <c r="BT262" s="270">
        <f t="shared" ref="BT262:BT322" si="303">IFERROR(IF(AND(X262&lt;365,X262&gt;0),SUM(((X262/365)*(MIN(P262,BL262)))+(((365-X262)/365)*AV262)),(MIN(P262,AV262))),AV262)</f>
        <v>627</v>
      </c>
      <c r="BU262" s="270">
        <f t="shared" ref="BU262:BU322" si="304">IFERROR(IF(AND(Y262&lt;365,Y262&gt;0),SUM(((Y262/365)*(MIN(Q262,BM262)))+(((365-Y262)/365)*AW262)),(MIN(Q262,AW262))),AW262)</f>
        <v>614</v>
      </c>
      <c r="BV262" s="270">
        <f t="shared" ref="BV262:BV322" si="305">IFERROR(IF(AND(Z262&lt;365,Z262&gt;0),SUM(((Z262/365)*(MIN(R262,BN262)))+(((365-Z262)/365)*AX262)),(MIN(R262,AX262))),AX262)</f>
        <v>603</v>
      </c>
      <c r="BW262" s="39">
        <f>VLOOKUP($A262,NetAdditions!$A$2:$H$336,6,FALSE)</f>
        <v>564</v>
      </c>
      <c r="BX262" s="39">
        <f>VLOOKUP($A262,NetAdditions!$A$2:$H$336,7,FALSE)</f>
        <v>663</v>
      </c>
      <c r="BY262" s="39">
        <f>IF((VLOOKUP($C262,NetAdditions!$A$2:$H$336,8,FALSE))="",(AVERAGE(VLOOKUP($C262,NetAdditions!$A$2:$H$336,5,FALSE),VLOOKUP($C262,NetAdditions!$A$2:$H$336,6,FALSE),VLOOKUP($C262,NetAdditions!$A$2:$H$336,7,FALSE))),VLOOKUP($C262,NetAdditions!$A$2:$H$336,8,FALSE))</f>
        <v>749</v>
      </c>
      <c r="BZ262" s="39">
        <f t="shared" ref="BZ262:BZ322" si="306">AVERAGE(BW262:BY262)</f>
        <v>658.66666666666663</v>
      </c>
      <c r="CA262" s="39">
        <f t="shared" ref="CA262:CA322" si="307">AVERAGE(BX262:BZ262)</f>
        <v>690.22222222222217</v>
      </c>
      <c r="CB262" s="39">
        <f t="shared" ref="CB262:CB322" si="308">AVERAGE(BY262:CA262)</f>
        <v>699.29629629629619</v>
      </c>
      <c r="CC262" s="39">
        <f t="shared" ref="CC262:CC322" si="309">AVERAGE(BZ262:CB262)</f>
        <v>682.72839506172829</v>
      </c>
      <c r="CD262" s="39">
        <f t="shared" ref="CD262:CD322" si="310">AVERAGE(CA262:CC262)</f>
        <v>690.74897119341551</v>
      </c>
      <c r="CE262" s="276">
        <f t="shared" si="267"/>
        <v>1433.2246575342465</v>
      </c>
      <c r="CF262" s="276">
        <f t="shared" si="268"/>
        <v>1577.2246575342465</v>
      </c>
      <c r="CG262" s="276">
        <f t="shared" si="269"/>
        <v>1761.2246575342465</v>
      </c>
      <c r="CH262" s="276">
        <f t="shared" si="270"/>
        <v>1867</v>
      </c>
      <c r="CI262" s="276">
        <f t="shared" si="271"/>
        <v>1881</v>
      </c>
      <c r="CJ262" s="276">
        <f t="shared" si="272"/>
        <v>1844</v>
      </c>
      <c r="CK262" s="276">
        <f t="shared" ref="CK262:CK322" si="311">CE262*((24+7)/36)</f>
        <v>1234.1656773211569</v>
      </c>
      <c r="CL262" s="276">
        <f t="shared" ref="CL262:CL322" si="312">CF262*((24+7)/36)</f>
        <v>1358.1656773211569</v>
      </c>
      <c r="CM262" s="276">
        <f t="shared" ref="CM262:CM322" si="313">CG262*((24+9)/36)</f>
        <v>1614.4559360730593</v>
      </c>
      <c r="CN262" s="276">
        <f t="shared" ref="CN262:CN322" si="314">CH262</f>
        <v>1867</v>
      </c>
      <c r="CO262" s="276">
        <f t="shared" ref="CO262:CO322" si="315">CI262</f>
        <v>1881</v>
      </c>
      <c r="CP262" s="276">
        <f t="shared" ref="CP262:CP322" si="316">CJ262</f>
        <v>1844</v>
      </c>
      <c r="CQ262" s="39">
        <f t="shared" si="273"/>
        <v>1976</v>
      </c>
      <c r="CR262" s="39">
        <f t="shared" si="274"/>
        <v>2070.6666666666665</v>
      </c>
      <c r="CS262" s="277">
        <f t="shared" si="275"/>
        <v>2097.8888888888887</v>
      </c>
      <c r="CT262" s="39">
        <f t="shared" si="276"/>
        <v>2048.1851851851848</v>
      </c>
      <c r="CU262" s="39">
        <f t="shared" si="277"/>
        <v>2072.2469135802467</v>
      </c>
      <c r="CV262" s="39">
        <f t="shared" ref="CV262:CV322" si="317">SUM(CB262:CD262)</f>
        <v>2072.7736625514399</v>
      </c>
      <c r="CW262" s="297">
        <f t="shared" si="278"/>
        <v>1.6010816345898118</v>
      </c>
      <c r="CX262" s="279" t="str">
        <f t="shared" ref="CX262:CX322" si="318">IF(CW262&lt;0.25, "Presumption", IF(CW262&lt;0.85, "Buffer and Action Plan", IF(CW262&lt;0.95, "Action Plan", "Pass")))</f>
        <v>Pass</v>
      </c>
      <c r="CY262" s="278">
        <f t="shared" si="279"/>
        <v>1.5246053565061701</v>
      </c>
      <c r="CZ262" s="279" t="str">
        <f t="shared" ref="CZ262:CZ322" si="319">IF(CY262&lt;0.45, "Presumption", IF(CY262&lt;0.85, "Buffer and Action Plan", IF(CY262&lt;0.95, "Action Plan", "Pass")))</f>
        <v>Pass</v>
      </c>
      <c r="DA262" s="278">
        <f t="shared" si="280"/>
        <v>1.2994401655778312</v>
      </c>
      <c r="DB262" s="292" t="str">
        <f t="shared" ref="DB262:DB322" si="320">IF(DA262&lt;0.75, "Presumption", IF(DA262&lt;0.85, "Buffer and Action Plan", IF(DA262&lt;0.95, "Action Plan", "Pass")))</f>
        <v>Pass</v>
      </c>
      <c r="DC262" s="299">
        <f t="shared" ref="DC262:DC322" si="321">IFERROR(CT262/CN262,"-")</f>
        <v>1.0970461623916361</v>
      </c>
      <c r="DD262" s="293" t="str">
        <f t="shared" ref="DD262:DD322" si="322">IF(DC262&lt;0.75, "Presumption", IF(DC262&lt;0.85, "Buffer and Action Plan", IF(DC262&lt;0.95, "Action Plan", "Pass")))</f>
        <v>Pass</v>
      </c>
      <c r="DE262" s="299">
        <f t="shared" ref="DE262:DE322" si="323">IFERROR(CU262/CO262,"-")</f>
        <v>1.1016730003084778</v>
      </c>
      <c r="DF262" s="293" t="str">
        <f t="shared" ref="DF262:DF322" si="324">IF(DE262&lt;0.75, "Presumption", IF(DE262&lt;0.85, "Buffer and Action Plan", IF(DE262&lt;0.95, "Action Plan", "Pass")))</f>
        <v>Pass</v>
      </c>
      <c r="DG262" s="299">
        <f t="shared" ref="DG262:DG322" si="325">IFERROR(CV262/CP262,"-")</f>
        <v>1.1240638083250758</v>
      </c>
      <c r="DH262" s="293" t="str">
        <f t="shared" ref="DH262:DH322" si="326">IF(DG262&lt;0.75, "Presumption", IF(DG262&lt;0.85, "Buffer and Action Plan", IF(DG262&lt;0.95, "Action Plan", "Pass")))</f>
        <v>Pass</v>
      </c>
    </row>
    <row r="263" spans="1:112" ht="15" thickTop="1" thickBot="1">
      <c r="A263" s="38" t="s">
        <v>636</v>
      </c>
      <c r="B263" s="38" t="s">
        <v>637</v>
      </c>
      <c r="C263" s="38" t="s">
        <v>636</v>
      </c>
      <c r="D263" s="38" t="s">
        <v>259</v>
      </c>
      <c r="E263" s="38" t="str">
        <f>VLOOKUP(C263,PoliticalControl!A:K,11,FALSE)</f>
        <v>LAB</v>
      </c>
      <c r="F263" s="38" t="str">
        <f>VLOOKUP(C263,UrbanRuralClassification!A:N,13,FALSE)</f>
        <v>Urban with Major Conurbation</v>
      </c>
      <c r="G263" s="38" t="str">
        <f>VLOOKUP(C263,UrbanRuralClassification!A:N,14,FALSE)</f>
        <v>Predominantly Urban</v>
      </c>
      <c r="H263" s="258">
        <f>IF(ISBLANK((VLOOKUP($A263,'local-plan-data'!$C$1:$AD$566,27,FALSE)))=TRUE,"",VLOOKUP($A263,'local-plan-data'!$C$1:$AD$566,27,FALSE))</f>
        <v>43860</v>
      </c>
      <c r="I263" s="259">
        <f>VLOOKUP($A263,'local-plan-data'!$C$1:$AD$566,28,FALSE)</f>
        <v>745</v>
      </c>
      <c r="J263" s="260">
        <f t="shared" si="281"/>
        <v>745</v>
      </c>
      <c r="K263" s="259">
        <f t="shared" si="263"/>
        <v>745</v>
      </c>
      <c r="L263" s="259">
        <f t="shared" si="265"/>
        <v>745</v>
      </c>
      <c r="M263" s="259">
        <f t="shared" si="265"/>
        <v>745</v>
      </c>
      <c r="N263" s="259">
        <f t="shared" si="265"/>
        <v>745</v>
      </c>
      <c r="O263" s="259">
        <f t="shared" si="265"/>
        <v>745</v>
      </c>
      <c r="P263" s="259">
        <f t="shared" si="265"/>
        <v>745</v>
      </c>
      <c r="Q263" s="259">
        <f t="shared" si="265"/>
        <v>745</v>
      </c>
      <c r="R263" s="259" t="str">
        <f t="shared" si="265"/>
        <v>-</v>
      </c>
      <c r="S263" s="259">
        <f t="shared" si="264"/>
        <v>2496</v>
      </c>
      <c r="T263" s="259">
        <f t="shared" si="266"/>
        <v>2131</v>
      </c>
      <c r="U263" s="259">
        <f t="shared" si="266"/>
        <v>1765</v>
      </c>
      <c r="V263" s="259">
        <f t="shared" si="266"/>
        <v>1400</v>
      </c>
      <c r="W263" s="259">
        <f t="shared" si="266"/>
        <v>1035</v>
      </c>
      <c r="X263" s="259">
        <f t="shared" si="266"/>
        <v>670</v>
      </c>
      <c r="Y263" s="259">
        <f t="shared" si="266"/>
        <v>304</v>
      </c>
      <c r="Z263" s="259">
        <f t="shared" si="266"/>
        <v>-61</v>
      </c>
      <c r="AA263" s="267">
        <f>(VLOOKUP(A263,Hshldprojections2014!$A$2:$AW$319,40, FALSE)-VLOOKUP(A263,Hshldprojections2014!$A$2:$AW$319,30, FALSE))/10</f>
        <v>554.29999999999995</v>
      </c>
      <c r="AB263" s="267">
        <f>(VLOOKUP(A263,Hshldprojections2014!$A$2:$AW$319,41, FALSE)-VLOOKUP(A263,Hshldprojections2014!$A$2:$AW$319,31, FALSE))/10</f>
        <v>544</v>
      </c>
      <c r="AC263" s="267">
        <f>(VLOOKUP(A263,Hshldprojections2014!$A$2:$AW$319,42, FALSE)-VLOOKUP(A263,Hshldprojections2014!$A$2:$AW$319,32, FALSE))/10</f>
        <v>531.29999999999995</v>
      </c>
      <c r="AD263" s="267">
        <f>IF(IndividualLATest!$J$7=2014,(VLOOKUP($A263,Hshldprojections2014!$A$2:$AY$326,43,FALSE)-VLOOKUP($A263,Hshldprojections2014!$A$2:$AY$326,33,FALSE))/10,IF(IndividualLATest!$J$7=2016,(VLOOKUP($A263,Hshldprojections2016!$A$1:$AQ$322,33,FALSE)-VLOOKUP($A263,Hshldprojections2016!$A$1:$AQ$322,23,FALSE))/10,(VLOOKUP($A263,Hshldprojections2018!$A$1:$AQ$327,33,FALSE)-VLOOKUP($A263,Hshldprojections2018!$A$1:$AQ$327,23,FALSE))/10))</f>
        <v>197.7</v>
      </c>
      <c r="AE263" s="267">
        <f>IF(IndividualLATest!$J$7=2014,(VLOOKUP($A263,Hshldprojections2014!$A$2:$AY$326,44,FALSE)-VLOOKUP($A263,Hshldprojections2014!$A$2:$AY$326,34,FALSE))/10,IF(IndividualLATest!$J$7=2016,(VLOOKUP($A263,Hshldprojections2016!$A$1:$AQ$322,34,FALSE)-VLOOKUP($A263,Hshldprojections2016!$A$1:$AQ$322,24,FALSE))/10,(VLOOKUP($A263,Hshldprojections2018!$A$1:$AQ$327,34,FALSE)-VLOOKUP($A263,Hshldprojections2018!$A$1:$AQ$327,24,FALSE))/10))</f>
        <v>200.6</v>
      </c>
      <c r="AF263" s="267">
        <f>IF(IndividualLATest!$J$7=2014,(VLOOKUP($A263,Hshldprojections2014!$A$2:$AY$326,45,FALSE)-VLOOKUP($A263,Hshldprojections2014!$A$2:$AY$326,35,FALSE))/10,IF(IndividualLATest!$J$7=2016,(VLOOKUP($A263,Hshldprojections2016!$A$1:$AQ$322,35,FALSE)-VLOOKUP($A263,Hshldprojections2016!$A$1:$AQ$322,25,FALSE))/10,(VLOOKUP($A263,Hshldprojections2018!$A$1:$AQ$327,35,FALSE)-VLOOKUP($A263,Hshldprojections2018!$A$1:$AQ$327,25,FALSE))/10))</f>
        <v>200.8</v>
      </c>
      <c r="AG263" s="267">
        <f>IF(IndividualLATest!$J$7=2014,(VLOOKUP($A263,Hshldprojections2014!$A$2:$AY$326,46,FALSE)-VLOOKUP($A263,Hshldprojections2014!$A$2:$AY$326,36,FALSE))/10,IF(IndividualLATest!$J$7=2016,(VLOOKUP($A263,Hshldprojections2016!$A$1:$AQ$322,36,FALSE)-VLOOKUP($A263,Hshldprojections2016!$A$1:$AQ$322,26,FALSE))/10,(VLOOKUP($A263,Hshldprojections2018!$A$1:$AQ$327,36,FALSE)-VLOOKUP($A263,Hshldprojections2018!$A$1:$AQ$327,26,FALSE))/10))</f>
        <v>201.8</v>
      </c>
      <c r="AH263" s="267">
        <f>IF(IndividualLATest!$J$7=2014,(VLOOKUP($A263,Hshldprojections2014!$A$2:$AY$326,47,FALSE)-VLOOKUP($A263,Hshldprojections2014!$A$2:$AY$326,37,FALSE))/10,IF(IndividualLATest!$J$7=2016,(VLOOKUP($A263,Hshldprojections2016!$A$1:$AQ$322,37,FALSE)-VLOOKUP($A263,Hshldprojections2016!$A$1:$AQ$322,27,FALSE))/10,(VLOOKUP($A263,Hshldprojections2018!$A$1:$AQ$327,37,FALSE)-VLOOKUP($A263,Hshldprojections2018!$A$1:$AQ$327,27,FALSE))/10))</f>
        <v>201.8</v>
      </c>
      <c r="AI263" s="268">
        <f>VLOOKUP($A263,AffordabilityRatio!$A$2:$I$321,5,FALSE)</f>
        <v>4.78</v>
      </c>
      <c r="AJ263" s="268">
        <f>VLOOKUP($A263,AffordabilityRatio!$A$2:$I$321,6,FALSE)</f>
        <v>4.87</v>
      </c>
      <c r="AK263" s="268">
        <f>VLOOKUP($A263,AffordabilityRatio!$A$2:$I$321,7,FALSE)</f>
        <v>4.79</v>
      </c>
      <c r="AL263" s="268">
        <f>IF((VLOOKUP($A263,AffordabilityRatio!$A$2:$I$321,8,FALSE))="",AK263,VLOOKUP($A263,AffordabilityRatio!$A$2:$I$321,8,FALSE))</f>
        <v>4.46</v>
      </c>
      <c r="AM263" s="268">
        <f>IF((VLOOKUP($A263,AffordabilityRatio!$A$2:$I$321,9,FALSE))="",AL263,VLOOKUP($A263,AffordabilityRatio!$A$2:$I$321,9,FALSE))</f>
        <v>4.96</v>
      </c>
      <c r="AN263" s="268">
        <f>IF((VLOOKUP($A263,AffordabilityRatio!$A$2:$I$321,9,FALSE))="",AM263,VLOOKUP($A263,AffordabilityRatio!$A$2:$I$321,9,FALSE))</f>
        <v>4.96</v>
      </c>
      <c r="AO263" s="268">
        <f>IF((VLOOKUP($A263,AffordabilityRatio!$A$2:$I$321,9,FALSE))="",AN263,VLOOKUP($A263,AffordabilityRatio!$A$2:$I$321,9,FALSE))</f>
        <v>4.96</v>
      </c>
      <c r="AP263" s="268">
        <f>IF((VLOOKUP($A263,AffordabilityRatio!$A$2:$I$321,9,FALSE))="",AO263,VLOOKUP($A263,AffordabilityRatio!$A$2:$I$321,9,FALSE))</f>
        <v>4.96</v>
      </c>
      <c r="AQ263" s="267">
        <f t="shared" si="282"/>
        <v>581</v>
      </c>
      <c r="AR263" s="267">
        <f t="shared" si="283"/>
        <v>574</v>
      </c>
      <c r="AS263" s="267">
        <f t="shared" si="284"/>
        <v>558</v>
      </c>
      <c r="AT263" s="267">
        <f t="shared" si="285"/>
        <v>203</v>
      </c>
      <c r="AU263" s="267">
        <f t="shared" si="286"/>
        <v>213</v>
      </c>
      <c r="AV263" s="267">
        <f t="shared" si="287"/>
        <v>213</v>
      </c>
      <c r="AW263" s="267">
        <f t="shared" si="288"/>
        <v>214</v>
      </c>
      <c r="AX263" s="267">
        <f t="shared" si="289"/>
        <v>214</v>
      </c>
      <c r="AY263" s="267">
        <f t="shared" si="290"/>
        <v>581</v>
      </c>
      <c r="AZ263" s="267">
        <f t="shared" si="291"/>
        <v>574</v>
      </c>
      <c r="BA263" s="267">
        <f t="shared" si="292"/>
        <v>558</v>
      </c>
      <c r="BB263" s="267">
        <f t="shared" si="293"/>
        <v>203</v>
      </c>
      <c r="BC263" s="267">
        <f t="shared" si="294"/>
        <v>213</v>
      </c>
      <c r="BD263" s="267">
        <f t="shared" si="295"/>
        <v>213</v>
      </c>
      <c r="BE263" s="267">
        <f t="shared" si="296"/>
        <v>214</v>
      </c>
      <c r="BF263" s="267">
        <f t="shared" si="297"/>
        <v>214</v>
      </c>
      <c r="BG263" s="269">
        <f>AY263*VLOOKUP($B263,'Major Cities &amp; Towns'!$A$28:$B$345,2,FALSE)</f>
        <v>581</v>
      </c>
      <c r="BH263" s="269">
        <f>AZ263*VLOOKUP($B263,'Major Cities &amp; Towns'!$A$28:$B$345,2,FALSE)</f>
        <v>574</v>
      </c>
      <c r="BI263" s="269">
        <f>BA263*VLOOKUP($B263,'Major Cities &amp; Towns'!$A$28:$B$345,2,FALSE)</f>
        <v>558</v>
      </c>
      <c r="BJ263" s="269">
        <f>BB263*VLOOKUP($B263,'Major Cities &amp; Towns'!$A$28:$B$345,2,FALSE)</f>
        <v>203</v>
      </c>
      <c r="BK263" s="269">
        <f>BC263*VLOOKUP($B263,'Major Cities &amp; Towns'!$A$28:$B$345,2,FALSE)</f>
        <v>213</v>
      </c>
      <c r="BL263" s="269">
        <f>BD263*VLOOKUP($B263,'Major Cities &amp; Towns'!$A$28:$B$345,2,FALSE)</f>
        <v>213</v>
      </c>
      <c r="BM263" s="269">
        <f>BE263*VLOOKUP($B263,'Major Cities &amp; Towns'!$A$28:$B$345,2,FALSE)</f>
        <v>214</v>
      </c>
      <c r="BN263" s="269">
        <f>BF263*VLOOKUP($B263,'Major Cities &amp; Towns'!$A$28:$B$345,2,FALSE)</f>
        <v>214</v>
      </c>
      <c r="BO263" s="270">
        <f t="shared" si="298"/>
        <v>581</v>
      </c>
      <c r="BP263" s="270">
        <f t="shared" si="299"/>
        <v>574</v>
      </c>
      <c r="BQ263" s="270">
        <f t="shared" si="300"/>
        <v>558</v>
      </c>
      <c r="BR263" s="270">
        <f t="shared" si="301"/>
        <v>203</v>
      </c>
      <c r="BS263" s="270">
        <f t="shared" si="302"/>
        <v>213</v>
      </c>
      <c r="BT263" s="270">
        <f t="shared" si="303"/>
        <v>213</v>
      </c>
      <c r="BU263" s="270">
        <f t="shared" si="304"/>
        <v>214</v>
      </c>
      <c r="BV263" s="270">
        <f t="shared" si="305"/>
        <v>214</v>
      </c>
      <c r="BW263" s="39">
        <f>VLOOKUP($A263,NetAdditions!$A$2:$H$336,6,FALSE)</f>
        <v>706</v>
      </c>
      <c r="BX263" s="39">
        <f>VLOOKUP($A263,NetAdditions!$A$2:$H$336,7,FALSE)</f>
        <v>813</v>
      </c>
      <c r="BY263" s="39">
        <f>IF((VLOOKUP($C263,NetAdditions!$A$2:$H$336,8,FALSE))="",(AVERAGE(VLOOKUP($C263,NetAdditions!$A$2:$H$336,5,FALSE),VLOOKUP($C263,NetAdditions!$A$2:$H$336,6,FALSE),VLOOKUP($C263,NetAdditions!$A$2:$H$336,7,FALSE))),VLOOKUP($C263,NetAdditions!$A$2:$H$336,8,FALSE))</f>
        <v>669</v>
      </c>
      <c r="BZ263" s="39">
        <f t="shared" si="306"/>
        <v>729.33333333333337</v>
      </c>
      <c r="CA263" s="39">
        <f t="shared" si="307"/>
        <v>737.1111111111112</v>
      </c>
      <c r="CB263" s="39">
        <f t="shared" si="308"/>
        <v>711.81481481481489</v>
      </c>
      <c r="CC263" s="39">
        <f t="shared" si="309"/>
        <v>726.08641975308649</v>
      </c>
      <c r="CD263" s="39">
        <f t="shared" si="310"/>
        <v>725.00411522633749</v>
      </c>
      <c r="CE263" s="276">
        <f t="shared" si="267"/>
        <v>1713</v>
      </c>
      <c r="CF263" s="276">
        <f t="shared" si="268"/>
        <v>1335</v>
      </c>
      <c r="CG263" s="276">
        <f t="shared" si="269"/>
        <v>974</v>
      </c>
      <c r="CH263" s="276">
        <f t="shared" si="270"/>
        <v>629</v>
      </c>
      <c r="CI263" s="276">
        <f t="shared" si="271"/>
        <v>640</v>
      </c>
      <c r="CJ263" s="276">
        <f t="shared" si="272"/>
        <v>641</v>
      </c>
      <c r="CK263" s="276">
        <f t="shared" si="311"/>
        <v>1475.0833333333335</v>
      </c>
      <c r="CL263" s="276">
        <f t="shared" si="312"/>
        <v>1149.5833333333335</v>
      </c>
      <c r="CM263" s="276">
        <f t="shared" si="313"/>
        <v>892.83333333333326</v>
      </c>
      <c r="CN263" s="276">
        <f t="shared" si="314"/>
        <v>629</v>
      </c>
      <c r="CO263" s="276">
        <f t="shared" si="315"/>
        <v>640</v>
      </c>
      <c r="CP263" s="276">
        <f t="shared" si="316"/>
        <v>641</v>
      </c>
      <c r="CQ263" s="39">
        <f t="shared" si="273"/>
        <v>2188</v>
      </c>
      <c r="CR263" s="39">
        <f t="shared" si="274"/>
        <v>2211.3333333333335</v>
      </c>
      <c r="CS263" s="277">
        <f t="shared" si="275"/>
        <v>2135.4444444444448</v>
      </c>
      <c r="CT263" s="39">
        <f t="shared" si="276"/>
        <v>2178.2592592592596</v>
      </c>
      <c r="CU263" s="39">
        <f t="shared" si="277"/>
        <v>2175.0123456790125</v>
      </c>
      <c r="CV263" s="39">
        <f t="shared" si="317"/>
        <v>2162.9053497942386</v>
      </c>
      <c r="CW263" s="297">
        <f t="shared" si="278"/>
        <v>1.4833060279080277</v>
      </c>
      <c r="CX263" s="279" t="str">
        <f t="shared" si="318"/>
        <v>Pass</v>
      </c>
      <c r="CY263" s="278">
        <f t="shared" si="279"/>
        <v>1.9235955056179774</v>
      </c>
      <c r="CZ263" s="279" t="str">
        <f t="shared" si="319"/>
        <v>Pass</v>
      </c>
      <c r="DA263" s="278">
        <f t="shared" si="280"/>
        <v>2.3917615580859941</v>
      </c>
      <c r="DB263" s="292" t="str">
        <f t="shared" si="320"/>
        <v>Pass</v>
      </c>
      <c r="DC263" s="299">
        <f t="shared" si="321"/>
        <v>3.4630512865806988</v>
      </c>
      <c r="DD263" s="293" t="str">
        <f t="shared" si="322"/>
        <v>Pass</v>
      </c>
      <c r="DE263" s="299">
        <f t="shared" si="323"/>
        <v>3.3984567901234568</v>
      </c>
      <c r="DF263" s="293" t="str">
        <f t="shared" si="324"/>
        <v>Pass</v>
      </c>
      <c r="DG263" s="299">
        <f t="shared" si="325"/>
        <v>3.3742673163716672</v>
      </c>
      <c r="DH263" s="293" t="str">
        <f t="shared" si="326"/>
        <v>Pass</v>
      </c>
    </row>
    <row r="264" spans="1:112" ht="15" thickTop="1" thickBot="1">
      <c r="A264" s="38" t="s">
        <v>638</v>
      </c>
      <c r="B264" s="38" t="s">
        <v>639</v>
      </c>
      <c r="C264" s="38" t="s">
        <v>638</v>
      </c>
      <c r="D264" s="38" t="s">
        <v>113</v>
      </c>
      <c r="E264" s="38" t="str">
        <f>VLOOKUP(C264,PoliticalControl!A:K,11,FALSE)</f>
        <v>NOC</v>
      </c>
      <c r="F264" s="38" t="str">
        <f>VLOOKUP(C264,UrbanRuralClassification!A:N,13,FALSE)</f>
        <v>Urban with City and Town</v>
      </c>
      <c r="G264" s="38" t="str">
        <f>VLOOKUP(C264,UrbanRuralClassification!A:N,14,FALSE)</f>
        <v>Predominantly Urban</v>
      </c>
      <c r="H264" s="258">
        <f>IF(ISBLANK((VLOOKUP($A264,'local-plan-data'!$C$1:$AD$566,27,FALSE)))=TRUE,"",VLOOKUP($A264,'local-plan-data'!$C$1:$AD$566,27,FALSE))</f>
        <v>40940</v>
      </c>
      <c r="I264" s="259">
        <f>VLOOKUP($A264,'local-plan-data'!$C$1:$AD$566,28,FALSE)</f>
        <v>190.58823529411765</v>
      </c>
      <c r="J264" s="260">
        <f t="shared" si="281"/>
        <v>190.58823529411765</v>
      </c>
      <c r="K264" s="259" t="str">
        <f t="shared" si="263"/>
        <v>-</v>
      </c>
      <c r="L264" s="259" t="str">
        <f t="shared" si="265"/>
        <v>-</v>
      </c>
      <c r="M264" s="259" t="str">
        <f t="shared" si="265"/>
        <v>-</v>
      </c>
      <c r="N264" s="259" t="str">
        <f t="shared" si="265"/>
        <v>-</v>
      </c>
      <c r="O264" s="259" t="str">
        <f t="shared" si="265"/>
        <v>-</v>
      </c>
      <c r="P264" s="259" t="str">
        <f t="shared" si="265"/>
        <v>-</v>
      </c>
      <c r="Q264" s="259" t="str">
        <f t="shared" si="265"/>
        <v>-</v>
      </c>
      <c r="R264" s="259" t="str">
        <f t="shared" si="265"/>
        <v>-</v>
      </c>
      <c r="S264" s="259">
        <f t="shared" si="264"/>
        <v>-424</v>
      </c>
      <c r="T264" s="259">
        <f t="shared" si="266"/>
        <v>-789</v>
      </c>
      <c r="U264" s="259">
        <f t="shared" si="266"/>
        <v>-1155</v>
      </c>
      <c r="V264" s="259">
        <f t="shared" si="266"/>
        <v>-1520</v>
      </c>
      <c r="W264" s="259">
        <f t="shared" si="266"/>
        <v>-1885</v>
      </c>
      <c r="X264" s="259">
        <f t="shared" si="266"/>
        <v>-2250</v>
      </c>
      <c r="Y264" s="259">
        <f t="shared" si="266"/>
        <v>-2616</v>
      </c>
      <c r="Z264" s="259">
        <f t="shared" si="266"/>
        <v>-2981</v>
      </c>
      <c r="AA264" s="267">
        <f>(VLOOKUP(A264,Hshldprojections2014!$A$2:$AW$319,40, FALSE)-VLOOKUP(A264,Hshldprojections2014!$A$2:$AW$319,30, FALSE))/10</f>
        <v>240.3</v>
      </c>
      <c r="AB264" s="267">
        <f>(VLOOKUP(A264,Hshldprojections2014!$A$2:$AW$319,41, FALSE)-VLOOKUP(A264,Hshldprojections2014!$A$2:$AW$319,31, FALSE))/10</f>
        <v>237.2</v>
      </c>
      <c r="AC264" s="267">
        <f>(VLOOKUP(A264,Hshldprojections2014!$A$2:$AW$319,42, FALSE)-VLOOKUP(A264,Hshldprojections2014!$A$2:$AW$319,32, FALSE))/10</f>
        <v>234</v>
      </c>
      <c r="AD264" s="267">
        <f>IF(IndividualLATest!$J$7=2014,(VLOOKUP($A264,Hshldprojections2014!$A$2:$AY$326,43,FALSE)-VLOOKUP($A264,Hshldprojections2014!$A$2:$AY$326,33,FALSE))/10,IF(IndividualLATest!$J$7=2016,(VLOOKUP($A264,Hshldprojections2016!$A$1:$AQ$322,33,FALSE)-VLOOKUP($A264,Hshldprojections2016!$A$1:$AQ$322,23,FALSE))/10,(VLOOKUP($A264,Hshldprojections2018!$A$1:$AQ$327,33,FALSE)-VLOOKUP($A264,Hshldprojections2018!$A$1:$AQ$327,23,FALSE))/10))</f>
        <v>68.7</v>
      </c>
      <c r="AE264" s="267">
        <f>IF(IndividualLATest!$J$7=2014,(VLOOKUP($A264,Hshldprojections2014!$A$2:$AY$326,44,FALSE)-VLOOKUP($A264,Hshldprojections2014!$A$2:$AY$326,34,FALSE))/10,IF(IndividualLATest!$J$7=2016,(VLOOKUP($A264,Hshldprojections2016!$A$1:$AQ$322,34,FALSE)-VLOOKUP($A264,Hshldprojections2016!$A$1:$AQ$322,24,FALSE))/10,(VLOOKUP($A264,Hshldprojections2018!$A$1:$AQ$327,34,FALSE)-VLOOKUP($A264,Hshldprojections2018!$A$1:$AQ$327,24,FALSE))/10))</f>
        <v>64</v>
      </c>
      <c r="AF264" s="267">
        <f>IF(IndividualLATest!$J$7=2014,(VLOOKUP($A264,Hshldprojections2014!$A$2:$AY$326,45,FALSE)-VLOOKUP($A264,Hshldprojections2014!$A$2:$AY$326,35,FALSE))/10,IF(IndividualLATest!$J$7=2016,(VLOOKUP($A264,Hshldprojections2016!$A$1:$AQ$322,35,FALSE)-VLOOKUP($A264,Hshldprojections2016!$A$1:$AQ$322,25,FALSE))/10,(VLOOKUP($A264,Hshldprojections2018!$A$1:$AQ$327,35,FALSE)-VLOOKUP($A264,Hshldprojections2018!$A$1:$AQ$327,25,FALSE))/10))</f>
        <v>59.8</v>
      </c>
      <c r="AG264" s="267">
        <f>IF(IndividualLATest!$J$7=2014,(VLOOKUP($A264,Hshldprojections2014!$A$2:$AY$326,46,FALSE)-VLOOKUP($A264,Hshldprojections2014!$A$2:$AY$326,36,FALSE))/10,IF(IndividualLATest!$J$7=2016,(VLOOKUP($A264,Hshldprojections2016!$A$1:$AQ$322,36,FALSE)-VLOOKUP($A264,Hshldprojections2016!$A$1:$AQ$322,26,FALSE))/10,(VLOOKUP($A264,Hshldprojections2018!$A$1:$AQ$327,36,FALSE)-VLOOKUP($A264,Hshldprojections2018!$A$1:$AQ$327,26,FALSE))/10))</f>
        <v>59.1</v>
      </c>
      <c r="AH264" s="267">
        <f>IF(IndividualLATest!$J$7=2014,(VLOOKUP($A264,Hshldprojections2014!$A$2:$AY$326,47,FALSE)-VLOOKUP($A264,Hshldprojections2014!$A$2:$AY$326,37,FALSE))/10,IF(IndividualLATest!$J$7=2016,(VLOOKUP($A264,Hshldprojections2016!$A$1:$AQ$322,37,FALSE)-VLOOKUP($A264,Hshldprojections2016!$A$1:$AQ$322,27,FALSE))/10,(VLOOKUP($A264,Hshldprojections2018!$A$1:$AQ$327,37,FALSE)-VLOOKUP($A264,Hshldprojections2018!$A$1:$AQ$327,27,FALSE))/10))</f>
        <v>59.1</v>
      </c>
      <c r="AI264" s="268">
        <f>VLOOKUP($A264,AffordabilityRatio!$A$2:$I$321,5,FALSE)</f>
        <v>13.04</v>
      </c>
      <c r="AJ264" s="268">
        <f>VLOOKUP($A264,AffordabilityRatio!$A$2:$I$321,6,FALSE)</f>
        <v>13.13</v>
      </c>
      <c r="AK264" s="268">
        <f>VLOOKUP($A264,AffordabilityRatio!$A$2:$I$321,7,FALSE)</f>
        <v>11.22</v>
      </c>
      <c r="AL264" s="268">
        <f>IF((VLOOKUP($A264,AffordabilityRatio!$A$2:$I$321,8,FALSE))="",AK264,VLOOKUP($A264,AffordabilityRatio!$A$2:$I$321,8,FALSE))</f>
        <v>11.09</v>
      </c>
      <c r="AM264" s="268">
        <f>IF((VLOOKUP($A264,AffordabilityRatio!$A$2:$I$321,9,FALSE))="",AL264,VLOOKUP($A264,AffordabilityRatio!$A$2:$I$321,9,FALSE))</f>
        <v>11.84</v>
      </c>
      <c r="AN264" s="268">
        <f>IF((VLOOKUP($A264,AffordabilityRatio!$A$2:$I$321,9,FALSE))="",AM264,VLOOKUP($A264,AffordabilityRatio!$A$2:$I$321,9,FALSE))</f>
        <v>11.84</v>
      </c>
      <c r="AO264" s="268">
        <f>IF((VLOOKUP($A264,AffordabilityRatio!$A$2:$I$321,9,FALSE))="",AN264,VLOOKUP($A264,AffordabilityRatio!$A$2:$I$321,9,FALSE))</f>
        <v>11.84</v>
      </c>
      <c r="AP264" s="268">
        <f>IF((VLOOKUP($A264,AffordabilityRatio!$A$2:$I$321,9,FALSE))="",AO264,VLOOKUP($A264,AffordabilityRatio!$A$2:$I$321,9,FALSE))</f>
        <v>11.84</v>
      </c>
      <c r="AQ264" s="267">
        <f t="shared" si="282"/>
        <v>376</v>
      </c>
      <c r="AR264" s="267">
        <f t="shared" si="283"/>
        <v>373</v>
      </c>
      <c r="AS264" s="267">
        <f t="shared" si="284"/>
        <v>340</v>
      </c>
      <c r="AT264" s="267">
        <f t="shared" si="285"/>
        <v>99</v>
      </c>
      <c r="AU264" s="267">
        <f t="shared" si="286"/>
        <v>95</v>
      </c>
      <c r="AV264" s="267">
        <f t="shared" si="287"/>
        <v>89</v>
      </c>
      <c r="AW264" s="267">
        <f t="shared" si="288"/>
        <v>88</v>
      </c>
      <c r="AX264" s="267">
        <f t="shared" si="289"/>
        <v>88</v>
      </c>
      <c r="AY264" s="267">
        <f t="shared" si="290"/>
        <v>336.42</v>
      </c>
      <c r="AZ264" s="267">
        <f t="shared" si="291"/>
        <v>332.08</v>
      </c>
      <c r="BA264" s="267">
        <f t="shared" si="292"/>
        <v>327.60000000000002</v>
      </c>
      <c r="BB264" s="267">
        <f t="shared" si="293"/>
        <v>99</v>
      </c>
      <c r="BC264" s="267">
        <f t="shared" si="294"/>
        <v>95</v>
      </c>
      <c r="BD264" s="267">
        <f t="shared" si="295"/>
        <v>89</v>
      </c>
      <c r="BE264" s="267">
        <f t="shared" si="296"/>
        <v>88</v>
      </c>
      <c r="BF264" s="267">
        <f t="shared" si="297"/>
        <v>88</v>
      </c>
      <c r="BG264" s="269">
        <f>AY264*VLOOKUP($B264,'Major Cities &amp; Towns'!$A$28:$B$345,2,FALSE)</f>
        <v>336.42</v>
      </c>
      <c r="BH264" s="269">
        <f>AZ264*VLOOKUP($B264,'Major Cities &amp; Towns'!$A$28:$B$345,2,FALSE)</f>
        <v>332.08</v>
      </c>
      <c r="BI264" s="269">
        <f>BA264*VLOOKUP($B264,'Major Cities &amp; Towns'!$A$28:$B$345,2,FALSE)</f>
        <v>327.60000000000002</v>
      </c>
      <c r="BJ264" s="269">
        <f>BB264*VLOOKUP($B264,'Major Cities &amp; Towns'!$A$28:$B$345,2,FALSE)</f>
        <v>99</v>
      </c>
      <c r="BK264" s="269">
        <f>BC264*VLOOKUP($B264,'Major Cities &amp; Towns'!$A$28:$B$345,2,FALSE)</f>
        <v>95</v>
      </c>
      <c r="BL264" s="269">
        <f>BD264*VLOOKUP($B264,'Major Cities &amp; Towns'!$A$28:$B$345,2,FALSE)</f>
        <v>89</v>
      </c>
      <c r="BM264" s="269">
        <f>BE264*VLOOKUP($B264,'Major Cities &amp; Towns'!$A$28:$B$345,2,FALSE)</f>
        <v>88</v>
      </c>
      <c r="BN264" s="269">
        <f>BF264*VLOOKUP($B264,'Major Cities &amp; Towns'!$A$28:$B$345,2,FALSE)</f>
        <v>88</v>
      </c>
      <c r="BO264" s="270">
        <f t="shared" si="298"/>
        <v>376</v>
      </c>
      <c r="BP264" s="270">
        <f t="shared" si="299"/>
        <v>373</v>
      </c>
      <c r="BQ264" s="270">
        <f t="shared" si="300"/>
        <v>340</v>
      </c>
      <c r="BR264" s="270">
        <f t="shared" si="301"/>
        <v>99</v>
      </c>
      <c r="BS264" s="270">
        <f t="shared" si="302"/>
        <v>95</v>
      </c>
      <c r="BT264" s="270">
        <f t="shared" si="303"/>
        <v>89</v>
      </c>
      <c r="BU264" s="270">
        <f t="shared" si="304"/>
        <v>88</v>
      </c>
      <c r="BV264" s="270">
        <f t="shared" si="305"/>
        <v>88</v>
      </c>
      <c r="BW264" s="39">
        <f>VLOOKUP($A264,NetAdditions!$A$2:$H$336,6,FALSE)</f>
        <v>368</v>
      </c>
      <c r="BX264" s="39">
        <f>VLOOKUP($A264,NetAdditions!$A$2:$H$336,7,FALSE)</f>
        <v>376</v>
      </c>
      <c r="BY264" s="39">
        <f>IF((VLOOKUP($C264,NetAdditions!$A$2:$H$336,8,FALSE))="",(AVERAGE(VLOOKUP($C264,NetAdditions!$A$2:$H$336,5,FALSE),VLOOKUP($C264,NetAdditions!$A$2:$H$336,6,FALSE),VLOOKUP($C264,NetAdditions!$A$2:$H$336,7,FALSE))),VLOOKUP($C264,NetAdditions!$A$2:$H$336,8,FALSE))</f>
        <v>352</v>
      </c>
      <c r="BZ264" s="39">
        <f t="shared" si="306"/>
        <v>365.33333333333331</v>
      </c>
      <c r="CA264" s="39">
        <f t="shared" si="307"/>
        <v>364.4444444444444</v>
      </c>
      <c r="CB264" s="39">
        <f t="shared" si="308"/>
        <v>360.59259259259255</v>
      </c>
      <c r="CC264" s="39">
        <f t="shared" si="309"/>
        <v>363.45679012345676</v>
      </c>
      <c r="CD264" s="39">
        <f t="shared" si="310"/>
        <v>362.83127572016457</v>
      </c>
      <c r="CE264" s="276">
        <f t="shared" si="267"/>
        <v>1089</v>
      </c>
      <c r="CF264" s="276">
        <f t="shared" si="268"/>
        <v>812</v>
      </c>
      <c r="CG264" s="276">
        <f t="shared" si="269"/>
        <v>534</v>
      </c>
      <c r="CH264" s="276">
        <f t="shared" si="270"/>
        <v>283</v>
      </c>
      <c r="CI264" s="276">
        <f t="shared" si="271"/>
        <v>272</v>
      </c>
      <c r="CJ264" s="276">
        <f t="shared" si="272"/>
        <v>265</v>
      </c>
      <c r="CK264" s="276">
        <f t="shared" si="311"/>
        <v>937.75</v>
      </c>
      <c r="CL264" s="276">
        <f t="shared" si="312"/>
        <v>699.22222222222229</v>
      </c>
      <c r="CM264" s="276">
        <f t="shared" si="313"/>
        <v>489.5</v>
      </c>
      <c r="CN264" s="276">
        <f t="shared" si="314"/>
        <v>283</v>
      </c>
      <c r="CO264" s="276">
        <f t="shared" si="315"/>
        <v>272</v>
      </c>
      <c r="CP264" s="276">
        <f t="shared" si="316"/>
        <v>265</v>
      </c>
      <c r="CQ264" s="39">
        <f t="shared" si="273"/>
        <v>1096</v>
      </c>
      <c r="CR264" s="39">
        <f t="shared" si="274"/>
        <v>1093.3333333333333</v>
      </c>
      <c r="CS264" s="277">
        <f t="shared" si="275"/>
        <v>1081.7777777777776</v>
      </c>
      <c r="CT264" s="39">
        <f t="shared" si="276"/>
        <v>1090.3703703703702</v>
      </c>
      <c r="CU264" s="39">
        <f t="shared" si="277"/>
        <v>1088.4938271604938</v>
      </c>
      <c r="CV264" s="39">
        <f t="shared" si="317"/>
        <v>1086.8806584362139</v>
      </c>
      <c r="CW264" s="297">
        <f t="shared" si="278"/>
        <v>1.168754998667022</v>
      </c>
      <c r="CX264" s="279" t="str">
        <f t="shared" si="318"/>
        <v>Pass</v>
      </c>
      <c r="CY264" s="278">
        <f t="shared" si="279"/>
        <v>1.563642142062609</v>
      </c>
      <c r="CZ264" s="279" t="str">
        <f t="shared" si="319"/>
        <v>Pass</v>
      </c>
      <c r="DA264" s="278">
        <f t="shared" si="280"/>
        <v>2.2099648167063894</v>
      </c>
      <c r="DB264" s="292" t="str">
        <f t="shared" si="320"/>
        <v>Pass</v>
      </c>
      <c r="DC264" s="299">
        <f t="shared" si="321"/>
        <v>3.8528988352309903</v>
      </c>
      <c r="DD264" s="293" t="str">
        <f t="shared" si="322"/>
        <v>Pass</v>
      </c>
      <c r="DE264" s="299">
        <f t="shared" si="323"/>
        <v>4.0018155410312275</v>
      </c>
      <c r="DF264" s="293" t="str">
        <f t="shared" si="324"/>
        <v>Pass</v>
      </c>
      <c r="DG264" s="299">
        <f t="shared" si="325"/>
        <v>4.1014364469291094</v>
      </c>
      <c r="DH264" s="293" t="str">
        <f t="shared" si="326"/>
        <v>Pass</v>
      </c>
    </row>
    <row r="265" spans="1:112" customFormat="1" ht="15.5" thickTop="1" thickBot="1">
      <c r="A265" s="3" t="s">
        <v>640</v>
      </c>
      <c r="B265" s="3" t="s">
        <v>641</v>
      </c>
      <c r="C265" s="3" t="s">
        <v>640</v>
      </c>
      <c r="D265" s="3" t="s">
        <v>131</v>
      </c>
      <c r="E265" s="3" t="str">
        <f>VLOOKUP(C265,PoliticalControl!A:K,11,FALSE)</f>
        <v>LD</v>
      </c>
      <c r="F265" s="3" t="str">
        <f>VLOOKUP(C265,UrbanRuralClassification!A:N,13,FALSE)</f>
        <v>Urban with Major Conurbation</v>
      </c>
      <c r="G265" s="3" t="str">
        <f>VLOOKUP(C265,UrbanRuralClassification!A:N,14,FALSE)</f>
        <v>Predominantly Urban</v>
      </c>
      <c r="H265" s="262">
        <f>IF(ISBLANK((VLOOKUP($A265,'local-plan-data'!$C$1:$AD$566,27,FALSE)))=TRUE,"",VLOOKUP($A265,'local-plan-data'!$C$1:$AD$566,27,FALSE))</f>
        <v>43157</v>
      </c>
      <c r="I265" s="263">
        <f>VLOOKUP($A265,'local-plan-data'!$C$1:$AD$566,28,FALSE)</f>
        <v>427</v>
      </c>
      <c r="J265" s="264">
        <f t="shared" si="281"/>
        <v>427</v>
      </c>
      <c r="K265" s="259">
        <f t="shared" si="263"/>
        <v>427</v>
      </c>
      <c r="L265" s="259">
        <f t="shared" si="263"/>
        <v>427</v>
      </c>
      <c r="M265" s="259">
        <f t="shared" si="263"/>
        <v>427</v>
      </c>
      <c r="N265" s="259">
        <f t="shared" si="263"/>
        <v>427</v>
      </c>
      <c r="O265" s="259">
        <f t="shared" si="263"/>
        <v>427</v>
      </c>
      <c r="P265" s="259" t="str">
        <f t="shared" si="263"/>
        <v>-</v>
      </c>
      <c r="Q265" s="259" t="str">
        <f t="shared" si="263"/>
        <v>-</v>
      </c>
      <c r="R265" s="259" t="str">
        <f t="shared" si="263"/>
        <v>-</v>
      </c>
      <c r="S265" s="259">
        <f t="shared" si="264"/>
        <v>1792</v>
      </c>
      <c r="T265" s="259">
        <f t="shared" si="264"/>
        <v>1427</v>
      </c>
      <c r="U265" s="259">
        <f t="shared" si="264"/>
        <v>1061</v>
      </c>
      <c r="V265" s="259">
        <f t="shared" si="264"/>
        <v>696</v>
      </c>
      <c r="W265" s="259">
        <f t="shared" si="264"/>
        <v>331</v>
      </c>
      <c r="X265" s="259">
        <f t="shared" si="264"/>
        <v>-34</v>
      </c>
      <c r="Y265" s="259">
        <f t="shared" si="264"/>
        <v>-400</v>
      </c>
      <c r="Z265" s="259">
        <f t="shared" si="264"/>
        <v>-765</v>
      </c>
      <c r="AA265" s="267">
        <f>(VLOOKUP(A265,Hshldprojections2014!$A$2:$AW$319,40, FALSE)-VLOOKUP(A265,Hshldprojections2014!$A$2:$AW$319,30, FALSE))/10</f>
        <v>1260.7</v>
      </c>
      <c r="AB265" s="267">
        <f>(VLOOKUP(A265,Hshldprojections2014!$A$2:$AW$319,41, FALSE)-VLOOKUP(A265,Hshldprojections2014!$A$2:$AW$319,31, FALSE))/10</f>
        <v>1255.7</v>
      </c>
      <c r="AC265" s="267">
        <f>(VLOOKUP(A265,Hshldprojections2014!$A$2:$AW$319,42, FALSE)-VLOOKUP(A265,Hshldprojections2014!$A$2:$AW$319,32, FALSE))/10</f>
        <v>1251.2</v>
      </c>
      <c r="AD265" s="267">
        <f>IF(IndividualLATest!$J$7=2014,(VLOOKUP($A265,Hshldprojections2014!$A$2:$AY$326,43,FALSE)-VLOOKUP($A265,Hshldprojections2014!$A$2:$AY$326,33,FALSE))/10,IF(IndividualLATest!$J$7=2016,(VLOOKUP($A265,Hshldprojections2016!$A$1:$AQ$322,33,FALSE)-VLOOKUP($A265,Hshldprojections2016!$A$1:$AQ$322,23,FALSE))/10,(VLOOKUP($A265,Hshldprojections2018!$A$1:$AQ$327,33,FALSE)-VLOOKUP($A265,Hshldprojections2018!$A$1:$AQ$327,23,FALSE))/10))</f>
        <v>537.70000000000005</v>
      </c>
      <c r="AE265" s="267">
        <f>IF(IndividualLATest!$J$7=2014,(VLOOKUP($A265,Hshldprojections2014!$A$2:$AY$326,44,FALSE)-VLOOKUP($A265,Hshldprojections2014!$A$2:$AY$326,34,FALSE))/10,IF(IndividualLATest!$J$7=2016,(VLOOKUP($A265,Hshldprojections2016!$A$1:$AQ$322,34,FALSE)-VLOOKUP($A265,Hshldprojections2016!$A$1:$AQ$322,24,FALSE))/10,(VLOOKUP($A265,Hshldprojections2018!$A$1:$AQ$327,34,FALSE)-VLOOKUP($A265,Hshldprojections2018!$A$1:$AQ$327,24,FALSE))/10))</f>
        <v>517.5</v>
      </c>
      <c r="AF265" s="267">
        <f>IF(IndividualLATest!$J$7=2014,(VLOOKUP($A265,Hshldprojections2014!$A$2:$AY$326,45,FALSE)-VLOOKUP($A265,Hshldprojections2014!$A$2:$AY$326,35,FALSE))/10,IF(IndividualLATest!$J$7=2016,(VLOOKUP($A265,Hshldprojections2016!$A$1:$AQ$322,35,FALSE)-VLOOKUP($A265,Hshldprojections2016!$A$1:$AQ$322,25,FALSE))/10,(VLOOKUP($A265,Hshldprojections2018!$A$1:$AQ$327,35,FALSE)-VLOOKUP($A265,Hshldprojections2018!$A$1:$AQ$327,25,FALSE))/10))</f>
        <v>501.2</v>
      </c>
      <c r="AG265" s="267">
        <f>IF(IndividualLATest!$J$7=2014,(VLOOKUP($A265,Hshldprojections2014!$A$2:$AY$326,46,FALSE)-VLOOKUP($A265,Hshldprojections2014!$A$2:$AY$326,36,FALSE))/10,IF(IndividualLATest!$J$7=2016,(VLOOKUP($A265,Hshldprojections2016!$A$1:$AQ$322,36,FALSE)-VLOOKUP($A265,Hshldprojections2016!$A$1:$AQ$322,26,FALSE))/10,(VLOOKUP($A265,Hshldprojections2018!$A$1:$AQ$327,36,FALSE)-VLOOKUP($A265,Hshldprojections2018!$A$1:$AQ$327,26,FALSE))/10))</f>
        <v>487.1</v>
      </c>
      <c r="AH265" s="267">
        <f>IF(IndividualLATest!$J$7=2014,(VLOOKUP($A265,Hshldprojections2014!$A$2:$AY$326,47,FALSE)-VLOOKUP($A265,Hshldprojections2014!$A$2:$AY$326,37,FALSE))/10,IF(IndividualLATest!$J$7=2016,(VLOOKUP($A265,Hshldprojections2016!$A$1:$AQ$322,37,FALSE)-VLOOKUP($A265,Hshldprojections2016!$A$1:$AQ$322,27,FALSE))/10,(VLOOKUP($A265,Hshldprojections2018!$A$1:$AQ$327,37,FALSE)-VLOOKUP($A265,Hshldprojections2018!$A$1:$AQ$327,27,FALSE))/10))</f>
        <v>476</v>
      </c>
      <c r="AI265" s="268">
        <f>VLOOKUP($A265,AffordabilityRatio!$A$2:$I$321,5,FALSE)</f>
        <v>12.88</v>
      </c>
      <c r="AJ265" s="268">
        <f>VLOOKUP($A265,AffordabilityRatio!$A$2:$I$321,6,FALSE)</f>
        <v>13.34</v>
      </c>
      <c r="AK265" s="268">
        <f>VLOOKUP($A265,AffordabilityRatio!$A$2:$I$321,7,FALSE)</f>
        <v>11.52</v>
      </c>
      <c r="AL265" s="268">
        <f>IF((VLOOKUP($A265,AffordabilityRatio!$A$2:$I$321,8,FALSE))="",AK265,VLOOKUP($A265,AffordabilityRatio!$A$2:$I$321,8,FALSE))</f>
        <v>11.11</v>
      </c>
      <c r="AM265" s="268">
        <f>IF((VLOOKUP($A265,AffordabilityRatio!$A$2:$I$321,9,FALSE))="",AL265,VLOOKUP($A265,AffordabilityRatio!$A$2:$I$321,9,FALSE))</f>
        <v>14.24</v>
      </c>
      <c r="AN265" s="268">
        <f>IF((VLOOKUP($A265,AffordabilityRatio!$A$2:$I$321,9,FALSE))="",AM265,VLOOKUP($A265,AffordabilityRatio!$A$2:$I$321,9,FALSE))</f>
        <v>14.24</v>
      </c>
      <c r="AO265" s="268">
        <f>IF((VLOOKUP($A265,AffordabilityRatio!$A$2:$I$321,9,FALSE))="",AN265,VLOOKUP($A265,AffordabilityRatio!$A$2:$I$321,9,FALSE))</f>
        <v>14.24</v>
      </c>
      <c r="AP265" s="268">
        <f>IF((VLOOKUP($A265,AffordabilityRatio!$A$2:$I$321,9,FALSE))="",AO265,VLOOKUP($A265,AffordabilityRatio!$A$2:$I$321,9,FALSE))</f>
        <v>14.24</v>
      </c>
      <c r="AQ265" s="267">
        <f t="shared" si="282"/>
        <v>1960</v>
      </c>
      <c r="AR265" s="267">
        <f t="shared" si="283"/>
        <v>1989</v>
      </c>
      <c r="AS265" s="267">
        <f t="shared" si="284"/>
        <v>1839</v>
      </c>
      <c r="AT265" s="267">
        <f t="shared" si="285"/>
        <v>777</v>
      </c>
      <c r="AU265" s="267">
        <f t="shared" si="286"/>
        <v>849</v>
      </c>
      <c r="AV265" s="267">
        <f t="shared" si="287"/>
        <v>822</v>
      </c>
      <c r="AW265" s="267">
        <f t="shared" si="288"/>
        <v>799</v>
      </c>
      <c r="AX265" s="267">
        <f t="shared" si="289"/>
        <v>781</v>
      </c>
      <c r="AY265" s="267">
        <f t="shared" si="290"/>
        <v>597.79999999999995</v>
      </c>
      <c r="AZ265" s="267">
        <f t="shared" si="291"/>
        <v>597.79999999999995</v>
      </c>
      <c r="BA265" s="267">
        <f t="shared" si="292"/>
        <v>597.79999999999995</v>
      </c>
      <c r="BB265" s="267">
        <f t="shared" si="293"/>
        <v>597.79999999999995</v>
      </c>
      <c r="BC265" s="267">
        <f t="shared" si="294"/>
        <v>597.79999999999995</v>
      </c>
      <c r="BD265" s="267">
        <f t="shared" si="295"/>
        <v>701.68000000000006</v>
      </c>
      <c r="BE265" s="267">
        <f t="shared" si="296"/>
        <v>681.94</v>
      </c>
      <c r="BF265" s="267">
        <f t="shared" si="297"/>
        <v>666.4</v>
      </c>
      <c r="BG265" s="269">
        <f>AY265*VLOOKUP($B265,'Major Cities &amp; Towns'!$A$28:$B$345,2,FALSE)</f>
        <v>807.03</v>
      </c>
      <c r="BH265" s="269">
        <f>AZ265*VLOOKUP($B265,'Major Cities &amp; Towns'!$A$28:$B$345,2,FALSE)</f>
        <v>807.03</v>
      </c>
      <c r="BI265" s="269">
        <f>BA265*VLOOKUP($B265,'Major Cities &amp; Towns'!$A$28:$B$345,2,FALSE)</f>
        <v>807.03</v>
      </c>
      <c r="BJ265" s="269">
        <f>BB265*VLOOKUP($B265,'Major Cities &amp; Towns'!$A$28:$B$345,2,FALSE)</f>
        <v>807.03</v>
      </c>
      <c r="BK265" s="269">
        <f>BC265*VLOOKUP($B265,'Major Cities &amp; Towns'!$A$28:$B$345,2,FALSE)</f>
        <v>807.03</v>
      </c>
      <c r="BL265" s="269">
        <f>BD265*VLOOKUP($B265,'Major Cities &amp; Towns'!$A$28:$B$345,2,FALSE)</f>
        <v>947.26800000000014</v>
      </c>
      <c r="BM265" s="269">
        <f>BE265*VLOOKUP($B265,'Major Cities &amp; Towns'!$A$28:$B$345,2,FALSE)</f>
        <v>920.61900000000014</v>
      </c>
      <c r="BN265" s="269">
        <f>BF265*VLOOKUP($B265,'Major Cities &amp; Towns'!$A$28:$B$345,2,FALSE)</f>
        <v>899.64</v>
      </c>
      <c r="BO265" s="270">
        <f t="shared" si="298"/>
        <v>427</v>
      </c>
      <c r="BP265" s="270">
        <f t="shared" si="299"/>
        <v>427</v>
      </c>
      <c r="BQ265" s="270">
        <f t="shared" si="300"/>
        <v>427</v>
      </c>
      <c r="BR265" s="270">
        <f t="shared" si="301"/>
        <v>427</v>
      </c>
      <c r="BS265" s="270">
        <f t="shared" si="302"/>
        <v>466.30958904109593</v>
      </c>
      <c r="BT265" s="270">
        <f t="shared" si="303"/>
        <v>822</v>
      </c>
      <c r="BU265" s="270">
        <f t="shared" si="304"/>
        <v>799</v>
      </c>
      <c r="BV265" s="270">
        <f t="shared" si="305"/>
        <v>781</v>
      </c>
      <c r="BW265" s="39">
        <f>VLOOKUP($A265,NetAdditions!$A$2:$H$336,6,FALSE)</f>
        <v>575</v>
      </c>
      <c r="BX265" s="39">
        <f>VLOOKUP($A265,NetAdditions!$A$2:$H$336,7,FALSE)</f>
        <v>573</v>
      </c>
      <c r="BY265" s="39">
        <f>IF((VLOOKUP($C265,NetAdditions!$A$2:$H$336,8,FALSE))="",(AVERAGE(VLOOKUP($C265,NetAdditions!$A$2:$H$336,5,FALSE),VLOOKUP($C265,NetAdditions!$A$2:$H$336,6,FALSE),VLOOKUP($C265,NetAdditions!$A$2:$H$336,7,FALSE))),VLOOKUP($C265,NetAdditions!$A$2:$H$336,8,FALSE))</f>
        <v>313</v>
      </c>
      <c r="BZ265" s="39">
        <f t="shared" si="306"/>
        <v>487</v>
      </c>
      <c r="CA265" s="39">
        <f t="shared" si="307"/>
        <v>457.66666666666669</v>
      </c>
      <c r="CB265" s="39">
        <f t="shared" si="308"/>
        <v>419.22222222222223</v>
      </c>
      <c r="CC265" s="39">
        <f t="shared" si="309"/>
        <v>454.62962962962962</v>
      </c>
      <c r="CD265" s="39">
        <f t="shared" si="310"/>
        <v>443.83950617283949</v>
      </c>
      <c r="CE265" s="276">
        <f t="shared" si="267"/>
        <v>1281</v>
      </c>
      <c r="CF265" s="276">
        <f t="shared" si="268"/>
        <v>1281</v>
      </c>
      <c r="CG265" s="276">
        <f t="shared" si="269"/>
        <v>1320.3095890410959</v>
      </c>
      <c r="CH265" s="276">
        <f t="shared" si="270"/>
        <v>1715.3095890410959</v>
      </c>
      <c r="CI265" s="276">
        <f t="shared" si="271"/>
        <v>2087.3095890410959</v>
      </c>
      <c r="CJ265" s="276">
        <f t="shared" si="272"/>
        <v>2402</v>
      </c>
      <c r="CK265" s="276">
        <f t="shared" si="311"/>
        <v>1103.0833333333335</v>
      </c>
      <c r="CL265" s="276">
        <f t="shared" si="312"/>
        <v>1103.0833333333335</v>
      </c>
      <c r="CM265" s="276">
        <f t="shared" si="313"/>
        <v>1210.2837899543379</v>
      </c>
      <c r="CN265" s="276">
        <f t="shared" si="314"/>
        <v>1715.3095890410959</v>
      </c>
      <c r="CO265" s="276">
        <f t="shared" si="315"/>
        <v>2087.3095890410959</v>
      </c>
      <c r="CP265" s="276">
        <f t="shared" si="316"/>
        <v>2402</v>
      </c>
      <c r="CQ265" s="39">
        <f t="shared" si="273"/>
        <v>1461</v>
      </c>
      <c r="CR265" s="39">
        <f t="shared" si="274"/>
        <v>1373</v>
      </c>
      <c r="CS265" s="277">
        <f t="shared" si="275"/>
        <v>1257.6666666666667</v>
      </c>
      <c r="CT265" s="39">
        <f t="shared" si="276"/>
        <v>1363.8888888888889</v>
      </c>
      <c r="CU265" s="39">
        <f t="shared" si="277"/>
        <v>1331.5185185185185</v>
      </c>
      <c r="CV265" s="39">
        <f t="shared" si="317"/>
        <v>1317.6913580246915</v>
      </c>
      <c r="CW265" s="297">
        <f t="shared" si="278"/>
        <v>1.3244692906247637</v>
      </c>
      <c r="CX265" s="279" t="str">
        <f t="shared" si="318"/>
        <v>Pass</v>
      </c>
      <c r="CY265" s="278">
        <f t="shared" si="279"/>
        <v>1.2446929062476391</v>
      </c>
      <c r="CZ265" s="279" t="str">
        <f t="shared" si="319"/>
        <v>Pass</v>
      </c>
      <c r="DA265" s="278">
        <f t="shared" si="280"/>
        <v>1.0391502200604674</v>
      </c>
      <c r="DB265" s="292" t="str">
        <f t="shared" si="320"/>
        <v>Pass</v>
      </c>
      <c r="DC265" s="299">
        <f t="shared" si="321"/>
        <v>0.79512695410939749</v>
      </c>
      <c r="DD265" s="293" t="str">
        <f t="shared" si="322"/>
        <v>Buffer and Action Plan</v>
      </c>
      <c r="DE265" s="299">
        <f t="shared" si="323"/>
        <v>0.63791136950135618</v>
      </c>
      <c r="DF265" s="293" t="str">
        <f t="shared" si="324"/>
        <v>Presumption</v>
      </c>
      <c r="DG265" s="299">
        <f t="shared" si="325"/>
        <v>0.54858091508105389</v>
      </c>
      <c r="DH265" s="293" t="str">
        <f t="shared" si="326"/>
        <v>Presumption</v>
      </c>
    </row>
    <row r="266" spans="1:112" ht="15" thickTop="1" thickBot="1">
      <c r="A266" s="38" t="s">
        <v>642</v>
      </c>
      <c r="B266" s="38" t="s">
        <v>643</v>
      </c>
      <c r="C266" s="38" t="s">
        <v>642</v>
      </c>
      <c r="D266" s="38" t="s">
        <v>113</v>
      </c>
      <c r="E266" s="38" t="str">
        <f>VLOOKUP(C266,PoliticalControl!A:K,11,FALSE)</f>
        <v>NOC</v>
      </c>
      <c r="F266" s="38" t="str">
        <f>VLOOKUP(C266,UrbanRuralClassification!A:N,13,FALSE)</f>
        <v xml:space="preserve">Largely Rural (rural including hub towns 50-79%) </v>
      </c>
      <c r="G266" s="38" t="str">
        <f>VLOOKUP(C266,UrbanRuralClassification!A:N,14,FALSE)</f>
        <v>Predominantly Rural</v>
      </c>
      <c r="H266" s="258">
        <f>IF(ISBLANK((VLOOKUP($A266,'local-plan-data'!$C$1:$AD$566,27,FALSE)))=TRUE,"",VLOOKUP($A266,'local-plan-data'!$C$1:$AD$566,27,FALSE))</f>
        <v>42942</v>
      </c>
      <c r="I266" s="259">
        <f>VLOOKUP($A266,'local-plan-data'!$C$1:$AD$566,28,FALSE)</f>
        <v>776</v>
      </c>
      <c r="J266" s="260">
        <f t="shared" si="281"/>
        <v>776</v>
      </c>
      <c r="K266" s="259">
        <f t="shared" ref="K266:R297" si="327">IF(AND(ISNUMBER($H266),ISNUMBER($J266)),IF(($H266-K$1&gt;0),$J266,IF(DATEDIF($H266,K$1,"y")&lt;5,$J266,"-")),"-")</f>
        <v>776</v>
      </c>
      <c r="L266" s="259">
        <f t="shared" si="327"/>
        <v>776</v>
      </c>
      <c r="M266" s="259">
        <f t="shared" si="327"/>
        <v>776</v>
      </c>
      <c r="N266" s="259">
        <f t="shared" si="327"/>
        <v>776</v>
      </c>
      <c r="O266" s="259">
        <f t="shared" si="327"/>
        <v>776</v>
      </c>
      <c r="P266" s="259" t="str">
        <f t="shared" si="327"/>
        <v>-</v>
      </c>
      <c r="Q266" s="259" t="str">
        <f t="shared" si="327"/>
        <v>-</v>
      </c>
      <c r="R266" s="259" t="str">
        <f t="shared" si="327"/>
        <v>-</v>
      </c>
      <c r="S266" s="259">
        <f t="shared" ref="S266:Z297" si="328">IFERROR((EDATE($H266,60))-S$1,"-")</f>
        <v>1577</v>
      </c>
      <c r="T266" s="259">
        <f t="shared" si="328"/>
        <v>1212</v>
      </c>
      <c r="U266" s="259">
        <f t="shared" si="328"/>
        <v>846</v>
      </c>
      <c r="V266" s="259">
        <f t="shared" si="328"/>
        <v>481</v>
      </c>
      <c r="W266" s="259">
        <f t="shared" si="328"/>
        <v>116</v>
      </c>
      <c r="X266" s="259">
        <f t="shared" si="328"/>
        <v>-249</v>
      </c>
      <c r="Y266" s="259">
        <f t="shared" si="328"/>
        <v>-615</v>
      </c>
      <c r="Z266" s="259">
        <f t="shared" si="328"/>
        <v>-980</v>
      </c>
      <c r="AA266" s="267">
        <f>(VLOOKUP(A266,Hshldprojections2014!$A$2:$AW$319,40, FALSE)-VLOOKUP(A266,Hshldprojections2014!$A$2:$AW$319,30, FALSE))/10</f>
        <v>804.8</v>
      </c>
      <c r="AB266" s="267">
        <f>(VLOOKUP(A266,Hshldprojections2014!$A$2:$AW$319,41, FALSE)-VLOOKUP(A266,Hshldprojections2014!$A$2:$AW$319,31, FALSE))/10</f>
        <v>797.5</v>
      </c>
      <c r="AC266" s="267">
        <f>(VLOOKUP(A266,Hshldprojections2014!$A$2:$AW$319,42, FALSE)-VLOOKUP(A266,Hshldprojections2014!$A$2:$AW$319,32, FALSE))/10</f>
        <v>789.7</v>
      </c>
      <c r="AD266" s="267">
        <f>IF(IndividualLATest!$J$7=2014,(VLOOKUP($A266,Hshldprojections2014!$A$2:$AY$326,43,FALSE)-VLOOKUP($A266,Hshldprojections2014!$A$2:$AY$326,33,FALSE))/10,IF(IndividualLATest!$J$7=2016,(VLOOKUP($A266,Hshldprojections2016!$A$1:$AQ$322,33,FALSE)-VLOOKUP($A266,Hshldprojections2016!$A$1:$AQ$322,23,FALSE))/10,(VLOOKUP($A266,Hshldprojections2018!$A$1:$AQ$327,33,FALSE)-VLOOKUP($A266,Hshldprojections2018!$A$1:$AQ$327,23,FALSE))/10))</f>
        <v>686.7</v>
      </c>
      <c r="AE266" s="267">
        <f>IF(IndividualLATest!$J$7=2014,(VLOOKUP($A266,Hshldprojections2014!$A$2:$AY$326,44,FALSE)-VLOOKUP($A266,Hshldprojections2014!$A$2:$AY$326,34,FALSE))/10,IF(IndividualLATest!$J$7=2016,(VLOOKUP($A266,Hshldprojections2016!$A$1:$AQ$322,34,FALSE)-VLOOKUP($A266,Hshldprojections2016!$A$1:$AQ$322,24,FALSE))/10,(VLOOKUP($A266,Hshldprojections2018!$A$1:$AQ$327,34,FALSE)-VLOOKUP($A266,Hshldprojections2018!$A$1:$AQ$327,24,FALSE))/10))</f>
        <v>669.6</v>
      </c>
      <c r="AF266" s="267">
        <f>IF(IndividualLATest!$J$7=2014,(VLOOKUP($A266,Hshldprojections2014!$A$2:$AY$326,45,FALSE)-VLOOKUP($A266,Hshldprojections2014!$A$2:$AY$326,35,FALSE))/10,IF(IndividualLATest!$J$7=2016,(VLOOKUP($A266,Hshldprojections2016!$A$1:$AQ$322,35,FALSE)-VLOOKUP($A266,Hshldprojections2016!$A$1:$AQ$322,25,FALSE))/10,(VLOOKUP($A266,Hshldprojections2018!$A$1:$AQ$327,35,FALSE)-VLOOKUP($A266,Hshldprojections2018!$A$1:$AQ$327,25,FALSE))/10))</f>
        <v>654.79999999999995</v>
      </c>
      <c r="AG266" s="267">
        <f>IF(IndividualLATest!$J$7=2014,(VLOOKUP($A266,Hshldprojections2014!$A$2:$AY$326,46,FALSE)-VLOOKUP($A266,Hshldprojections2014!$A$2:$AY$326,36,FALSE))/10,IF(IndividualLATest!$J$7=2016,(VLOOKUP($A266,Hshldprojections2016!$A$1:$AQ$322,36,FALSE)-VLOOKUP($A266,Hshldprojections2016!$A$1:$AQ$322,26,FALSE))/10,(VLOOKUP($A266,Hshldprojections2018!$A$1:$AQ$327,36,FALSE)-VLOOKUP($A266,Hshldprojections2018!$A$1:$AQ$327,26,FALSE))/10))</f>
        <v>641</v>
      </c>
      <c r="AH266" s="267">
        <f>IF(IndividualLATest!$J$7=2014,(VLOOKUP($A266,Hshldprojections2014!$A$2:$AY$326,47,FALSE)-VLOOKUP($A266,Hshldprojections2014!$A$2:$AY$326,37,FALSE))/10,IF(IndividualLATest!$J$7=2016,(VLOOKUP($A266,Hshldprojections2016!$A$1:$AQ$322,37,FALSE)-VLOOKUP($A266,Hshldprojections2016!$A$1:$AQ$322,27,FALSE))/10,(VLOOKUP($A266,Hshldprojections2018!$A$1:$AQ$327,37,FALSE)-VLOOKUP($A266,Hshldprojections2018!$A$1:$AQ$327,27,FALSE))/10))</f>
        <v>629.70000000000005</v>
      </c>
      <c r="AI266" s="268">
        <f>VLOOKUP($A266,AffordabilityRatio!$A$2:$I$321,5,FALSE)</f>
        <v>9.1300000000000008</v>
      </c>
      <c r="AJ266" s="268">
        <f>VLOOKUP($A266,AffordabilityRatio!$A$2:$I$321,6,FALSE)</f>
        <v>9.1300000000000008</v>
      </c>
      <c r="AK266" s="268">
        <f>VLOOKUP($A266,AffordabilityRatio!$A$2:$I$321,7,FALSE)</f>
        <v>9.07</v>
      </c>
      <c r="AL266" s="268">
        <f>IF((VLOOKUP($A266,AffordabilityRatio!$A$2:$I$321,8,FALSE))="",AK266,VLOOKUP($A266,AffordabilityRatio!$A$2:$I$321,8,FALSE))</f>
        <v>9.31</v>
      </c>
      <c r="AM266" s="268">
        <f>IF((VLOOKUP($A266,AffordabilityRatio!$A$2:$I$321,9,FALSE))="",AL266,VLOOKUP($A266,AffordabilityRatio!$A$2:$I$321,9,FALSE))</f>
        <v>10.1</v>
      </c>
      <c r="AN266" s="268">
        <f>IF((VLOOKUP($A266,AffordabilityRatio!$A$2:$I$321,9,FALSE))="",AM266,VLOOKUP($A266,AffordabilityRatio!$A$2:$I$321,9,FALSE))</f>
        <v>10.1</v>
      </c>
      <c r="AO266" s="268">
        <f>IF((VLOOKUP($A266,AffordabilityRatio!$A$2:$I$321,9,FALSE))="",AN266,VLOOKUP($A266,AffordabilityRatio!$A$2:$I$321,9,FALSE))</f>
        <v>10.1</v>
      </c>
      <c r="AP266" s="268">
        <f>IF((VLOOKUP($A266,AffordabilityRatio!$A$2:$I$321,9,FALSE))="",AO266,VLOOKUP($A266,AffordabilityRatio!$A$2:$I$321,9,FALSE))</f>
        <v>10.1</v>
      </c>
      <c r="AQ266" s="267">
        <f t="shared" si="282"/>
        <v>1063</v>
      </c>
      <c r="AR266" s="267">
        <f t="shared" si="283"/>
        <v>1053</v>
      </c>
      <c r="AS266" s="267">
        <f t="shared" si="284"/>
        <v>1040</v>
      </c>
      <c r="AT266" s="267">
        <f t="shared" si="285"/>
        <v>915</v>
      </c>
      <c r="AU266" s="267">
        <f t="shared" si="286"/>
        <v>925</v>
      </c>
      <c r="AV266" s="267">
        <f t="shared" si="287"/>
        <v>904</v>
      </c>
      <c r="AW266" s="267">
        <f t="shared" si="288"/>
        <v>885</v>
      </c>
      <c r="AX266" s="267">
        <f t="shared" si="289"/>
        <v>870</v>
      </c>
      <c r="AY266" s="267">
        <f t="shared" si="290"/>
        <v>1063</v>
      </c>
      <c r="AZ266" s="267">
        <f t="shared" si="291"/>
        <v>1053</v>
      </c>
      <c r="BA266" s="267">
        <f t="shared" si="292"/>
        <v>1040</v>
      </c>
      <c r="BB266" s="267">
        <f t="shared" si="293"/>
        <v>915</v>
      </c>
      <c r="BC266" s="267">
        <f t="shared" si="294"/>
        <v>925</v>
      </c>
      <c r="BD266" s="267">
        <f t="shared" si="295"/>
        <v>904</v>
      </c>
      <c r="BE266" s="267">
        <f t="shared" si="296"/>
        <v>885</v>
      </c>
      <c r="BF266" s="267">
        <f t="shared" si="297"/>
        <v>870</v>
      </c>
      <c r="BG266" s="269">
        <f>AY266*VLOOKUP($B266,'Major Cities &amp; Towns'!$A$28:$B$345,2,FALSE)</f>
        <v>1063</v>
      </c>
      <c r="BH266" s="269">
        <f>AZ266*VLOOKUP($B266,'Major Cities &amp; Towns'!$A$28:$B$345,2,FALSE)</f>
        <v>1053</v>
      </c>
      <c r="BI266" s="269">
        <f>BA266*VLOOKUP($B266,'Major Cities &amp; Towns'!$A$28:$B$345,2,FALSE)</f>
        <v>1040</v>
      </c>
      <c r="BJ266" s="269">
        <f>BB266*VLOOKUP($B266,'Major Cities &amp; Towns'!$A$28:$B$345,2,FALSE)</f>
        <v>915</v>
      </c>
      <c r="BK266" s="269">
        <f>BC266*VLOOKUP($B266,'Major Cities &amp; Towns'!$A$28:$B$345,2,FALSE)</f>
        <v>925</v>
      </c>
      <c r="BL266" s="269">
        <f>BD266*VLOOKUP($B266,'Major Cities &amp; Towns'!$A$28:$B$345,2,FALSE)</f>
        <v>904</v>
      </c>
      <c r="BM266" s="269">
        <f>BE266*VLOOKUP($B266,'Major Cities &amp; Towns'!$A$28:$B$345,2,FALSE)</f>
        <v>885</v>
      </c>
      <c r="BN266" s="269">
        <f>BF266*VLOOKUP($B266,'Major Cities &amp; Towns'!$A$28:$B$345,2,FALSE)</f>
        <v>870</v>
      </c>
      <c r="BO266" s="270">
        <f t="shared" si="298"/>
        <v>776</v>
      </c>
      <c r="BP266" s="270">
        <f t="shared" si="299"/>
        <v>776</v>
      </c>
      <c r="BQ266" s="270">
        <f t="shared" si="300"/>
        <v>776</v>
      </c>
      <c r="BR266" s="270">
        <f t="shared" si="301"/>
        <v>776</v>
      </c>
      <c r="BS266" s="270">
        <f t="shared" si="302"/>
        <v>877.64657534246567</v>
      </c>
      <c r="BT266" s="270">
        <f t="shared" si="303"/>
        <v>904</v>
      </c>
      <c r="BU266" s="270">
        <f t="shared" si="304"/>
        <v>885</v>
      </c>
      <c r="BV266" s="270">
        <f t="shared" si="305"/>
        <v>870</v>
      </c>
      <c r="BW266" s="39">
        <f>VLOOKUP($A266,NetAdditions!$A$2:$H$336,6,FALSE)</f>
        <v>674</v>
      </c>
      <c r="BX266" s="39">
        <f>VLOOKUP($A266,NetAdditions!$A$2:$H$336,7,FALSE)</f>
        <v>783</v>
      </c>
      <c r="BY266" s="39">
        <f>IF((VLOOKUP($C266,NetAdditions!$A$2:$H$336,8,FALSE))="",(AVERAGE(VLOOKUP($C266,NetAdditions!$A$2:$H$336,5,FALSE),VLOOKUP($C266,NetAdditions!$A$2:$H$336,6,FALSE),VLOOKUP($C266,NetAdditions!$A$2:$H$336,7,FALSE))),VLOOKUP($C266,NetAdditions!$A$2:$H$336,8,FALSE))</f>
        <v>610</v>
      </c>
      <c r="BZ266" s="39">
        <f t="shared" si="306"/>
        <v>689</v>
      </c>
      <c r="CA266" s="39">
        <f t="shared" si="307"/>
        <v>694</v>
      </c>
      <c r="CB266" s="39">
        <f t="shared" si="308"/>
        <v>664.33333333333337</v>
      </c>
      <c r="CC266" s="39">
        <f t="shared" si="309"/>
        <v>682.44444444444446</v>
      </c>
      <c r="CD266" s="39">
        <f t="shared" si="310"/>
        <v>680.25925925925924</v>
      </c>
      <c r="CE266" s="276">
        <f t="shared" si="267"/>
        <v>2328</v>
      </c>
      <c r="CF266" s="276">
        <f t="shared" si="268"/>
        <v>2328</v>
      </c>
      <c r="CG266" s="276">
        <f t="shared" si="269"/>
        <v>2429.6465753424654</v>
      </c>
      <c r="CH266" s="276">
        <f t="shared" si="270"/>
        <v>2557.6465753424654</v>
      </c>
      <c r="CI266" s="276">
        <f t="shared" si="271"/>
        <v>2666.6465753424654</v>
      </c>
      <c r="CJ266" s="276">
        <f t="shared" si="272"/>
        <v>2659</v>
      </c>
      <c r="CK266" s="276">
        <f t="shared" si="311"/>
        <v>2004.6666666666667</v>
      </c>
      <c r="CL266" s="276">
        <f t="shared" si="312"/>
        <v>2004.6666666666667</v>
      </c>
      <c r="CM266" s="276">
        <f t="shared" si="313"/>
        <v>2227.17602739726</v>
      </c>
      <c r="CN266" s="276">
        <f t="shared" si="314"/>
        <v>2557.6465753424654</v>
      </c>
      <c r="CO266" s="276">
        <f t="shared" si="315"/>
        <v>2666.6465753424654</v>
      </c>
      <c r="CP266" s="276">
        <f t="shared" si="316"/>
        <v>2659</v>
      </c>
      <c r="CQ266" s="39">
        <f t="shared" si="273"/>
        <v>2067</v>
      </c>
      <c r="CR266" s="39">
        <f t="shared" si="274"/>
        <v>2082</v>
      </c>
      <c r="CS266" s="277">
        <f t="shared" si="275"/>
        <v>1993</v>
      </c>
      <c r="CT266" s="39">
        <f t="shared" si="276"/>
        <v>2047.3333333333335</v>
      </c>
      <c r="CU266" s="39">
        <f t="shared" si="277"/>
        <v>2040.7777777777778</v>
      </c>
      <c r="CV266" s="39">
        <f t="shared" si="317"/>
        <v>2027.037037037037</v>
      </c>
      <c r="CW266" s="297">
        <f t="shared" si="278"/>
        <v>1.0310941137346192</v>
      </c>
      <c r="CX266" s="279" t="str">
        <f t="shared" si="318"/>
        <v>Pass</v>
      </c>
      <c r="CY266" s="278">
        <f t="shared" si="279"/>
        <v>1.0385766544728965</v>
      </c>
      <c r="CZ266" s="279" t="str">
        <f t="shared" si="319"/>
        <v>Pass</v>
      </c>
      <c r="DA266" s="278">
        <f t="shared" si="280"/>
        <v>0.89485517780517576</v>
      </c>
      <c r="DB266" s="292" t="str">
        <f t="shared" si="320"/>
        <v>Action Plan</v>
      </c>
      <c r="DC266" s="299">
        <f t="shared" si="321"/>
        <v>0.8004754656374673</v>
      </c>
      <c r="DD266" s="293" t="str">
        <f t="shared" si="322"/>
        <v>Buffer and Action Plan</v>
      </c>
      <c r="DE266" s="299">
        <f t="shared" si="323"/>
        <v>0.76529743260622751</v>
      </c>
      <c r="DF266" s="293" t="str">
        <f t="shared" si="324"/>
        <v>Buffer and Action Plan</v>
      </c>
      <c r="DG266" s="299">
        <f t="shared" si="325"/>
        <v>0.76233058933322184</v>
      </c>
      <c r="DH266" s="293" t="str">
        <f t="shared" si="326"/>
        <v>Buffer and Action Plan</v>
      </c>
    </row>
    <row r="267" spans="1:112" ht="15" thickTop="1" thickBot="1">
      <c r="A267" s="38" t="s">
        <v>644</v>
      </c>
      <c r="B267" s="38" t="s">
        <v>645</v>
      </c>
      <c r="C267" s="38" t="s">
        <v>644</v>
      </c>
      <c r="D267" s="38" t="s">
        <v>147</v>
      </c>
      <c r="E267" s="38" t="str">
        <f>VLOOKUP(C267,PoliticalControl!A:K,11,FALSE)</f>
        <v>CON</v>
      </c>
      <c r="F267" s="38" t="str">
        <f>VLOOKUP(C267,UrbanRuralClassification!A:N,13,FALSE)</f>
        <v>Urban with City and Town</v>
      </c>
      <c r="G267" s="38" t="str">
        <f>VLOOKUP(C267,UrbanRuralClassification!A:N,14,FALSE)</f>
        <v>Predominantly Urban</v>
      </c>
      <c r="H267" s="258">
        <f>IF(ISBLANK((VLOOKUP($A267,'local-plan-data'!$C$1:$AD$566,27,FALSE)))=TRUE,"",VLOOKUP($A267,'local-plan-data'!$C$1:$AD$566,27,FALSE))</f>
        <v>42089</v>
      </c>
      <c r="I267" s="259">
        <f>VLOOKUP($A267,'local-plan-data'!$C$1:$AD$566,28,FALSE)</f>
        <v>1466.6666666666667</v>
      </c>
      <c r="J267" s="260">
        <f t="shared" si="281"/>
        <v>1466.6666666666667</v>
      </c>
      <c r="K267" s="259">
        <f t="shared" si="327"/>
        <v>1466.6666666666667</v>
      </c>
      <c r="L267" s="259">
        <f t="shared" si="327"/>
        <v>1466.6666666666667</v>
      </c>
      <c r="M267" s="259" t="str">
        <f t="shared" si="327"/>
        <v>-</v>
      </c>
      <c r="N267" s="259" t="str">
        <f t="shared" si="327"/>
        <v>-</v>
      </c>
      <c r="O267" s="259" t="str">
        <f t="shared" si="327"/>
        <v>-</v>
      </c>
      <c r="P267" s="259" t="str">
        <f t="shared" si="327"/>
        <v>-</v>
      </c>
      <c r="Q267" s="259" t="str">
        <f t="shared" si="327"/>
        <v>-</v>
      </c>
      <c r="R267" s="259" t="str">
        <f t="shared" si="327"/>
        <v>-</v>
      </c>
      <c r="S267" s="259">
        <f t="shared" si="328"/>
        <v>725</v>
      </c>
      <c r="T267" s="259">
        <f t="shared" si="328"/>
        <v>360</v>
      </c>
      <c r="U267" s="259">
        <f t="shared" si="328"/>
        <v>-6</v>
      </c>
      <c r="V267" s="259">
        <f t="shared" si="328"/>
        <v>-371</v>
      </c>
      <c r="W267" s="259">
        <f t="shared" si="328"/>
        <v>-736</v>
      </c>
      <c r="X267" s="259">
        <f t="shared" si="328"/>
        <v>-1101</v>
      </c>
      <c r="Y267" s="259">
        <f t="shared" si="328"/>
        <v>-1467</v>
      </c>
      <c r="Z267" s="259">
        <f t="shared" si="328"/>
        <v>-1832</v>
      </c>
      <c r="AA267" s="267">
        <f>(VLOOKUP(A267,Hshldprojections2014!$A$2:$AW$319,40, FALSE)-VLOOKUP(A267,Hshldprojections2014!$A$2:$AW$319,30, FALSE))/10</f>
        <v>861.2</v>
      </c>
      <c r="AB267" s="267">
        <f>(VLOOKUP(A267,Hshldprojections2014!$A$2:$AW$319,41, FALSE)-VLOOKUP(A267,Hshldprojections2014!$A$2:$AW$319,31, FALSE))/10</f>
        <v>847.8</v>
      </c>
      <c r="AC267" s="267">
        <f>(VLOOKUP(A267,Hshldprojections2014!$A$2:$AW$319,42, FALSE)-VLOOKUP(A267,Hshldprojections2014!$A$2:$AW$319,32, FALSE))/10</f>
        <v>838.7</v>
      </c>
      <c r="AD267" s="267">
        <f>IF(IndividualLATest!$J$7=2014,(VLOOKUP($A267,Hshldprojections2014!$A$2:$AY$326,43,FALSE)-VLOOKUP($A267,Hshldprojections2014!$A$2:$AY$326,33,FALSE))/10,IF(IndividualLATest!$J$7=2016,(VLOOKUP($A267,Hshldprojections2016!$A$1:$AQ$322,33,FALSE)-VLOOKUP($A267,Hshldprojections2016!$A$1:$AQ$322,23,FALSE))/10,(VLOOKUP($A267,Hshldprojections2018!$A$1:$AQ$327,33,FALSE)-VLOOKUP($A267,Hshldprojections2018!$A$1:$AQ$327,23,FALSE))/10))</f>
        <v>793.6</v>
      </c>
      <c r="AE267" s="267">
        <f>IF(IndividualLATest!$J$7=2014,(VLOOKUP($A267,Hshldprojections2014!$A$2:$AY$326,44,FALSE)-VLOOKUP($A267,Hshldprojections2014!$A$2:$AY$326,34,FALSE))/10,IF(IndividualLATest!$J$7=2016,(VLOOKUP($A267,Hshldprojections2016!$A$1:$AQ$322,34,FALSE)-VLOOKUP($A267,Hshldprojections2016!$A$1:$AQ$322,24,FALSE))/10,(VLOOKUP($A267,Hshldprojections2018!$A$1:$AQ$327,34,FALSE)-VLOOKUP($A267,Hshldprojections2018!$A$1:$AQ$327,24,FALSE))/10))</f>
        <v>782.4</v>
      </c>
      <c r="AF267" s="267">
        <f>IF(IndividualLATest!$J$7=2014,(VLOOKUP($A267,Hshldprojections2014!$A$2:$AY$326,45,FALSE)-VLOOKUP($A267,Hshldprojections2014!$A$2:$AY$326,35,FALSE))/10,IF(IndividualLATest!$J$7=2016,(VLOOKUP($A267,Hshldprojections2016!$A$1:$AQ$322,35,FALSE)-VLOOKUP($A267,Hshldprojections2016!$A$1:$AQ$322,25,FALSE))/10,(VLOOKUP($A267,Hshldprojections2018!$A$1:$AQ$327,35,FALSE)-VLOOKUP($A267,Hshldprojections2018!$A$1:$AQ$327,25,FALSE))/10))</f>
        <v>773.5</v>
      </c>
      <c r="AG267" s="267">
        <f>IF(IndividualLATest!$J$7=2014,(VLOOKUP($A267,Hshldprojections2014!$A$2:$AY$326,46,FALSE)-VLOOKUP($A267,Hshldprojections2014!$A$2:$AY$326,36,FALSE))/10,IF(IndividualLATest!$J$7=2016,(VLOOKUP($A267,Hshldprojections2016!$A$1:$AQ$322,36,FALSE)-VLOOKUP($A267,Hshldprojections2016!$A$1:$AQ$322,26,FALSE))/10,(VLOOKUP($A267,Hshldprojections2018!$A$1:$AQ$327,36,FALSE)-VLOOKUP($A267,Hshldprojections2018!$A$1:$AQ$327,26,FALSE))/10))</f>
        <v>764.1</v>
      </c>
      <c r="AH267" s="267">
        <f>IF(IndividualLATest!$J$7=2014,(VLOOKUP($A267,Hshldprojections2014!$A$2:$AY$326,47,FALSE)-VLOOKUP($A267,Hshldprojections2014!$A$2:$AY$326,37,FALSE))/10,IF(IndividualLATest!$J$7=2016,(VLOOKUP($A267,Hshldprojections2016!$A$1:$AQ$322,37,FALSE)-VLOOKUP($A267,Hshldprojections2016!$A$1:$AQ$322,27,FALSE))/10,(VLOOKUP($A267,Hshldprojections2018!$A$1:$AQ$327,37,FALSE)-VLOOKUP($A267,Hshldprojections2018!$A$1:$AQ$327,27,FALSE))/10))</f>
        <v>757.7</v>
      </c>
      <c r="AI267" s="268">
        <f>VLOOKUP($A267,AffordabilityRatio!$A$2:$I$321,5,FALSE)</f>
        <v>7.09</v>
      </c>
      <c r="AJ267" s="268">
        <f>VLOOKUP($A267,AffordabilityRatio!$A$2:$I$321,6,FALSE)</f>
        <v>7.6</v>
      </c>
      <c r="AK267" s="268">
        <f>VLOOKUP($A267,AffordabilityRatio!$A$2:$I$321,7,FALSE)</f>
        <v>7.62</v>
      </c>
      <c r="AL267" s="268">
        <f>IF((VLOOKUP($A267,AffordabilityRatio!$A$2:$I$321,8,FALSE))="",AK267,VLOOKUP($A267,AffordabilityRatio!$A$2:$I$321,8,FALSE))</f>
        <v>7.17</v>
      </c>
      <c r="AM267" s="268">
        <f>IF((VLOOKUP($A267,AffordabilityRatio!$A$2:$I$321,9,FALSE))="",AL267,VLOOKUP($A267,AffordabilityRatio!$A$2:$I$321,9,FALSE))</f>
        <v>7.69</v>
      </c>
      <c r="AN267" s="268">
        <f>IF((VLOOKUP($A267,AffordabilityRatio!$A$2:$I$321,9,FALSE))="",AM267,VLOOKUP($A267,AffordabilityRatio!$A$2:$I$321,9,FALSE))</f>
        <v>7.69</v>
      </c>
      <c r="AO267" s="268">
        <f>IF((VLOOKUP($A267,AffordabilityRatio!$A$2:$I$321,9,FALSE))="",AN267,VLOOKUP($A267,AffordabilityRatio!$A$2:$I$321,9,FALSE))</f>
        <v>7.69</v>
      </c>
      <c r="AP267" s="268">
        <f>IF((VLOOKUP($A267,AffordabilityRatio!$A$2:$I$321,9,FALSE))="",AO267,VLOOKUP($A267,AffordabilityRatio!$A$2:$I$321,9,FALSE))</f>
        <v>7.69</v>
      </c>
      <c r="AQ267" s="267">
        <f t="shared" si="282"/>
        <v>1028</v>
      </c>
      <c r="AR267" s="267">
        <f t="shared" si="283"/>
        <v>1039</v>
      </c>
      <c r="AS267" s="267">
        <f t="shared" si="284"/>
        <v>1028</v>
      </c>
      <c r="AT267" s="267">
        <f t="shared" si="285"/>
        <v>951</v>
      </c>
      <c r="AU267" s="267">
        <f t="shared" si="286"/>
        <v>963</v>
      </c>
      <c r="AV267" s="267">
        <f t="shared" si="287"/>
        <v>952</v>
      </c>
      <c r="AW267" s="267">
        <f t="shared" si="288"/>
        <v>940</v>
      </c>
      <c r="AX267" s="267">
        <f t="shared" si="289"/>
        <v>932</v>
      </c>
      <c r="AY267" s="267">
        <f t="shared" si="290"/>
        <v>1028</v>
      </c>
      <c r="AZ267" s="267">
        <f t="shared" si="291"/>
        <v>1039</v>
      </c>
      <c r="BA267" s="267">
        <f t="shared" si="292"/>
        <v>1028</v>
      </c>
      <c r="BB267" s="267">
        <f t="shared" si="293"/>
        <v>951</v>
      </c>
      <c r="BC267" s="267">
        <f t="shared" si="294"/>
        <v>963</v>
      </c>
      <c r="BD267" s="267">
        <f t="shared" si="295"/>
        <v>952</v>
      </c>
      <c r="BE267" s="267">
        <f t="shared" si="296"/>
        <v>940</v>
      </c>
      <c r="BF267" s="267">
        <f t="shared" si="297"/>
        <v>932</v>
      </c>
      <c r="BG267" s="269">
        <f>AY267*VLOOKUP($B267,'Major Cities &amp; Towns'!$A$28:$B$345,2,FALSE)</f>
        <v>1028</v>
      </c>
      <c r="BH267" s="269">
        <f>AZ267*VLOOKUP($B267,'Major Cities &amp; Towns'!$A$28:$B$345,2,FALSE)</f>
        <v>1039</v>
      </c>
      <c r="BI267" s="269">
        <f>BA267*VLOOKUP($B267,'Major Cities &amp; Towns'!$A$28:$B$345,2,FALSE)</f>
        <v>1028</v>
      </c>
      <c r="BJ267" s="269">
        <f>BB267*VLOOKUP($B267,'Major Cities &amp; Towns'!$A$28:$B$345,2,FALSE)</f>
        <v>951</v>
      </c>
      <c r="BK267" s="269">
        <f>BC267*VLOOKUP($B267,'Major Cities &amp; Towns'!$A$28:$B$345,2,FALSE)</f>
        <v>963</v>
      </c>
      <c r="BL267" s="269">
        <f>BD267*VLOOKUP($B267,'Major Cities &amp; Towns'!$A$28:$B$345,2,FALSE)</f>
        <v>952</v>
      </c>
      <c r="BM267" s="269">
        <f>BE267*VLOOKUP($B267,'Major Cities &amp; Towns'!$A$28:$B$345,2,FALSE)</f>
        <v>940</v>
      </c>
      <c r="BN267" s="269">
        <f>BF267*VLOOKUP($B267,'Major Cities &amp; Towns'!$A$28:$B$345,2,FALSE)</f>
        <v>932</v>
      </c>
      <c r="BO267" s="270">
        <f t="shared" si="298"/>
        <v>1028</v>
      </c>
      <c r="BP267" s="270">
        <f t="shared" si="299"/>
        <v>1039</v>
      </c>
      <c r="BQ267" s="270">
        <f t="shared" si="300"/>
        <v>1028</v>
      </c>
      <c r="BR267" s="270">
        <f t="shared" si="301"/>
        <v>951</v>
      </c>
      <c r="BS267" s="270">
        <f t="shared" si="302"/>
        <v>963</v>
      </c>
      <c r="BT267" s="270">
        <f t="shared" si="303"/>
        <v>952</v>
      </c>
      <c r="BU267" s="270">
        <f t="shared" si="304"/>
        <v>940</v>
      </c>
      <c r="BV267" s="270">
        <f t="shared" si="305"/>
        <v>932</v>
      </c>
      <c r="BW267" s="39">
        <f>VLOOKUP($A267,NetAdditions!$A$2:$H$336,6,FALSE)</f>
        <v>1124</v>
      </c>
      <c r="BX267" s="39">
        <f>VLOOKUP($A267,NetAdditions!$A$2:$H$336,7,FALSE)</f>
        <v>723</v>
      </c>
      <c r="BY267" s="39">
        <f>IF((VLOOKUP($C267,NetAdditions!$A$2:$H$336,8,FALSE))="",(AVERAGE(VLOOKUP($C267,NetAdditions!$A$2:$H$336,5,FALSE),VLOOKUP($C267,NetAdditions!$A$2:$H$336,6,FALSE),VLOOKUP($C267,NetAdditions!$A$2:$H$336,7,FALSE))),VLOOKUP($C267,NetAdditions!$A$2:$H$336,8,FALSE))</f>
        <v>567</v>
      </c>
      <c r="BZ267" s="39">
        <f t="shared" si="306"/>
        <v>804.66666666666663</v>
      </c>
      <c r="CA267" s="39">
        <f t="shared" si="307"/>
        <v>698.22222222222217</v>
      </c>
      <c r="CB267" s="39">
        <f t="shared" si="308"/>
        <v>689.96296296296293</v>
      </c>
      <c r="CC267" s="39">
        <f t="shared" si="309"/>
        <v>730.95061728395058</v>
      </c>
      <c r="CD267" s="39">
        <f t="shared" si="310"/>
        <v>706.3786008230453</v>
      </c>
      <c r="CE267" s="276">
        <f t="shared" si="267"/>
        <v>3095</v>
      </c>
      <c r="CF267" s="276">
        <f t="shared" si="268"/>
        <v>3018</v>
      </c>
      <c r="CG267" s="276">
        <f t="shared" si="269"/>
        <v>2942</v>
      </c>
      <c r="CH267" s="276">
        <f t="shared" si="270"/>
        <v>2866</v>
      </c>
      <c r="CI267" s="276">
        <f t="shared" si="271"/>
        <v>2855</v>
      </c>
      <c r="CJ267" s="276">
        <f t="shared" si="272"/>
        <v>2824</v>
      </c>
      <c r="CK267" s="276">
        <f t="shared" si="311"/>
        <v>2665.1388888888891</v>
      </c>
      <c r="CL267" s="276">
        <f t="shared" si="312"/>
        <v>2598.8333333333335</v>
      </c>
      <c r="CM267" s="276">
        <f t="shared" si="313"/>
        <v>2696.833333333333</v>
      </c>
      <c r="CN267" s="276">
        <f t="shared" si="314"/>
        <v>2866</v>
      </c>
      <c r="CO267" s="276">
        <f t="shared" si="315"/>
        <v>2855</v>
      </c>
      <c r="CP267" s="276">
        <f t="shared" si="316"/>
        <v>2824</v>
      </c>
      <c r="CQ267" s="39">
        <f t="shared" si="273"/>
        <v>2414</v>
      </c>
      <c r="CR267" s="39">
        <f t="shared" si="274"/>
        <v>2094.6666666666665</v>
      </c>
      <c r="CS267" s="277">
        <f t="shared" si="275"/>
        <v>2069.8888888888887</v>
      </c>
      <c r="CT267" s="39">
        <f t="shared" si="276"/>
        <v>2192.8518518518517</v>
      </c>
      <c r="CU267" s="39">
        <f t="shared" si="277"/>
        <v>2119.1358024691358</v>
      </c>
      <c r="CV267" s="39">
        <f t="shared" si="317"/>
        <v>2127.292181069959</v>
      </c>
      <c r="CW267" s="297">
        <f t="shared" si="278"/>
        <v>0.90576893011621229</v>
      </c>
      <c r="CX267" s="279" t="str">
        <f t="shared" si="318"/>
        <v>Action Plan</v>
      </c>
      <c r="CY267" s="278">
        <f t="shared" si="279"/>
        <v>0.80600269351632137</v>
      </c>
      <c r="CZ267" s="279" t="str">
        <f t="shared" si="319"/>
        <v>Buffer and Action Plan</v>
      </c>
      <c r="DA267" s="278">
        <f t="shared" si="280"/>
        <v>0.76752569886492394</v>
      </c>
      <c r="DB267" s="292" t="str">
        <f t="shared" si="320"/>
        <v>Buffer and Action Plan</v>
      </c>
      <c r="DC267" s="299">
        <f t="shared" si="321"/>
        <v>0.76512625675221624</v>
      </c>
      <c r="DD267" s="293" t="str">
        <f t="shared" si="322"/>
        <v>Buffer and Action Plan</v>
      </c>
      <c r="DE267" s="299">
        <f t="shared" si="323"/>
        <v>0.74225422153034526</v>
      </c>
      <c r="DF267" s="293" t="str">
        <f t="shared" si="324"/>
        <v>Presumption</v>
      </c>
      <c r="DG267" s="299">
        <f t="shared" si="325"/>
        <v>0.75329043239021209</v>
      </c>
      <c r="DH267" s="293" t="str">
        <f t="shared" si="326"/>
        <v>Buffer and Action Plan</v>
      </c>
    </row>
    <row r="268" spans="1:112" ht="15" thickTop="1" thickBot="1">
      <c r="A268" s="38" t="s">
        <v>646</v>
      </c>
      <c r="B268" s="38" t="s">
        <v>647</v>
      </c>
      <c r="C268" s="38" t="s">
        <v>646</v>
      </c>
      <c r="D268" s="38" t="s">
        <v>116</v>
      </c>
      <c r="E268" s="38" t="str">
        <f>VLOOKUP(C268,PoliticalControl!A:K,11,FALSE)</f>
        <v>LAB</v>
      </c>
      <c r="F268" s="38" t="str">
        <f>VLOOKUP(C268,UrbanRuralClassification!A:N,13,FALSE)</f>
        <v>Urban with Major Conurbation</v>
      </c>
      <c r="G268" s="38" t="str">
        <f>VLOOKUP(C268,UrbanRuralClassification!A:N,14,FALSE)</f>
        <v>Predominantly Urban</v>
      </c>
      <c r="H268" s="258" t="str">
        <f>IF(ISBLANK((VLOOKUP($A268,'local-plan-data'!$C$1:$AD$566,27,FALSE)))=TRUE,"",VLOOKUP($A268,'local-plan-data'!$C$1:$AD$566,27,FALSE))</f>
        <v/>
      </c>
      <c r="I268" s="259">
        <f>VLOOKUP($A268,'local-plan-data'!$C$1:$AD$566,28,FALSE)</f>
        <v>484.875</v>
      </c>
      <c r="J268" s="260">
        <f t="shared" si="281"/>
        <v>484.875</v>
      </c>
      <c r="K268" s="259" t="str">
        <f t="shared" si="327"/>
        <v>-</v>
      </c>
      <c r="L268" s="259" t="str">
        <f t="shared" si="327"/>
        <v>-</v>
      </c>
      <c r="M268" s="259" t="str">
        <f t="shared" si="327"/>
        <v>-</v>
      </c>
      <c r="N268" s="259" t="str">
        <f t="shared" si="327"/>
        <v>-</v>
      </c>
      <c r="O268" s="259" t="str">
        <f t="shared" si="327"/>
        <v>-</v>
      </c>
      <c r="P268" s="259" t="str">
        <f t="shared" si="327"/>
        <v>-</v>
      </c>
      <c r="Q268" s="259" t="str">
        <f t="shared" si="327"/>
        <v>-</v>
      </c>
      <c r="R268" s="259" t="str">
        <f t="shared" si="327"/>
        <v>-</v>
      </c>
      <c r="S268" s="259" t="str">
        <f t="shared" si="328"/>
        <v>-</v>
      </c>
      <c r="T268" s="259" t="str">
        <f t="shared" si="328"/>
        <v>-</v>
      </c>
      <c r="U268" s="259" t="str">
        <f t="shared" si="328"/>
        <v>-</v>
      </c>
      <c r="V268" s="259" t="str">
        <f t="shared" si="328"/>
        <v>-</v>
      </c>
      <c r="W268" s="259" t="str">
        <f t="shared" si="328"/>
        <v>-</v>
      </c>
      <c r="X268" s="259" t="str">
        <f t="shared" si="328"/>
        <v>-</v>
      </c>
      <c r="Y268" s="259" t="str">
        <f t="shared" si="328"/>
        <v>-</v>
      </c>
      <c r="Z268" s="259" t="str">
        <f t="shared" si="328"/>
        <v>-</v>
      </c>
      <c r="AA268" s="267">
        <f>(VLOOKUP(A268,Hshldprojections2014!$A$2:$AW$319,40, FALSE)-VLOOKUP(A268,Hshldprojections2014!$A$2:$AW$319,30, FALSE))/10</f>
        <v>576.6</v>
      </c>
      <c r="AB268" s="267">
        <f>(VLOOKUP(A268,Hshldprojections2014!$A$2:$AW$319,41, FALSE)-VLOOKUP(A268,Hshldprojections2014!$A$2:$AW$319,31, FALSE))/10</f>
        <v>571.6</v>
      </c>
      <c r="AC268" s="267">
        <f>(VLOOKUP(A268,Hshldprojections2014!$A$2:$AW$319,42, FALSE)-VLOOKUP(A268,Hshldprojections2014!$A$2:$AW$319,32, FALSE))/10</f>
        <v>570.5</v>
      </c>
      <c r="AD268" s="267">
        <f>IF(IndividualLATest!$J$7=2014,(VLOOKUP($A268,Hshldprojections2014!$A$2:$AY$326,43,FALSE)-VLOOKUP($A268,Hshldprojections2014!$A$2:$AY$326,33,FALSE))/10,IF(IndividualLATest!$J$7=2016,(VLOOKUP($A268,Hshldprojections2016!$A$1:$AQ$322,33,FALSE)-VLOOKUP($A268,Hshldprojections2016!$A$1:$AQ$322,23,FALSE))/10,(VLOOKUP($A268,Hshldprojections2018!$A$1:$AQ$327,33,FALSE)-VLOOKUP($A268,Hshldprojections2018!$A$1:$AQ$327,23,FALSE))/10))</f>
        <v>499.2</v>
      </c>
      <c r="AE268" s="267">
        <f>IF(IndividualLATest!$J$7=2014,(VLOOKUP($A268,Hshldprojections2014!$A$2:$AY$326,44,FALSE)-VLOOKUP($A268,Hshldprojections2014!$A$2:$AY$326,34,FALSE))/10,IF(IndividualLATest!$J$7=2016,(VLOOKUP($A268,Hshldprojections2016!$A$1:$AQ$322,34,FALSE)-VLOOKUP($A268,Hshldprojections2016!$A$1:$AQ$322,24,FALSE))/10,(VLOOKUP($A268,Hshldprojections2018!$A$1:$AQ$327,34,FALSE)-VLOOKUP($A268,Hshldprojections2018!$A$1:$AQ$327,24,FALSE))/10))</f>
        <v>493.8</v>
      </c>
      <c r="AF268" s="267">
        <f>IF(IndividualLATest!$J$7=2014,(VLOOKUP($A268,Hshldprojections2014!$A$2:$AY$326,45,FALSE)-VLOOKUP($A268,Hshldprojections2014!$A$2:$AY$326,35,FALSE))/10,IF(IndividualLATest!$J$7=2016,(VLOOKUP($A268,Hshldprojections2016!$A$1:$AQ$322,35,FALSE)-VLOOKUP($A268,Hshldprojections2016!$A$1:$AQ$322,25,FALSE))/10,(VLOOKUP($A268,Hshldprojections2018!$A$1:$AQ$327,35,FALSE)-VLOOKUP($A268,Hshldprojections2018!$A$1:$AQ$327,25,FALSE))/10))</f>
        <v>497.9</v>
      </c>
      <c r="AG268" s="267">
        <f>IF(IndividualLATest!$J$7=2014,(VLOOKUP($A268,Hshldprojections2014!$A$2:$AY$326,46,FALSE)-VLOOKUP($A268,Hshldprojections2014!$A$2:$AY$326,36,FALSE))/10,IF(IndividualLATest!$J$7=2016,(VLOOKUP($A268,Hshldprojections2016!$A$1:$AQ$322,36,FALSE)-VLOOKUP($A268,Hshldprojections2016!$A$1:$AQ$322,26,FALSE))/10,(VLOOKUP($A268,Hshldprojections2018!$A$1:$AQ$327,36,FALSE)-VLOOKUP($A268,Hshldprojections2018!$A$1:$AQ$327,26,FALSE))/10))</f>
        <v>498.8</v>
      </c>
      <c r="AH268" s="267">
        <f>IF(IndividualLATest!$J$7=2014,(VLOOKUP($A268,Hshldprojections2014!$A$2:$AY$326,47,FALSE)-VLOOKUP($A268,Hshldprojections2014!$A$2:$AY$326,37,FALSE))/10,IF(IndividualLATest!$J$7=2016,(VLOOKUP($A268,Hshldprojections2016!$A$1:$AQ$322,37,FALSE)-VLOOKUP($A268,Hshldprojections2016!$A$1:$AQ$322,27,FALSE))/10,(VLOOKUP($A268,Hshldprojections2018!$A$1:$AQ$327,37,FALSE)-VLOOKUP($A268,Hshldprojections2018!$A$1:$AQ$327,27,FALSE))/10))</f>
        <v>505.7</v>
      </c>
      <c r="AI268" s="268">
        <f>VLOOKUP($A268,AffordabilityRatio!$A$2:$I$321,5,FALSE)</f>
        <v>5.55</v>
      </c>
      <c r="AJ268" s="268">
        <f>VLOOKUP($A268,AffordabilityRatio!$A$2:$I$321,6,FALSE)</f>
        <v>6.07</v>
      </c>
      <c r="AK268" s="268">
        <f>VLOOKUP($A268,AffordabilityRatio!$A$2:$I$321,7,FALSE)</f>
        <v>6.3</v>
      </c>
      <c r="AL268" s="268">
        <f>IF((VLOOKUP($A268,AffordabilityRatio!$A$2:$I$321,8,FALSE))="",AK268,VLOOKUP($A268,AffordabilityRatio!$A$2:$I$321,8,FALSE))</f>
        <v>6.47</v>
      </c>
      <c r="AM268" s="268">
        <f>IF((VLOOKUP($A268,AffordabilityRatio!$A$2:$I$321,9,FALSE))="",AL268,VLOOKUP($A268,AffordabilityRatio!$A$2:$I$321,9,FALSE))</f>
        <v>6.61</v>
      </c>
      <c r="AN268" s="268">
        <f>IF((VLOOKUP($A268,AffordabilityRatio!$A$2:$I$321,9,FALSE))="",AM268,VLOOKUP($A268,AffordabilityRatio!$A$2:$I$321,9,FALSE))</f>
        <v>6.61</v>
      </c>
      <c r="AO268" s="268">
        <f>IF((VLOOKUP($A268,AffordabilityRatio!$A$2:$I$321,9,FALSE))="",AN268,VLOOKUP($A268,AffordabilityRatio!$A$2:$I$321,9,FALSE))</f>
        <v>6.61</v>
      </c>
      <c r="AP268" s="268">
        <f>IF((VLOOKUP($A268,AffordabilityRatio!$A$2:$I$321,9,FALSE))="",AO268,VLOOKUP($A268,AffordabilityRatio!$A$2:$I$321,9,FALSE))</f>
        <v>6.61</v>
      </c>
      <c r="AQ268" s="267">
        <f t="shared" si="282"/>
        <v>632</v>
      </c>
      <c r="AR268" s="267">
        <f t="shared" si="283"/>
        <v>646</v>
      </c>
      <c r="AS268" s="267">
        <f t="shared" si="284"/>
        <v>653</v>
      </c>
      <c r="AT268" s="267">
        <f t="shared" si="285"/>
        <v>576</v>
      </c>
      <c r="AU268" s="267">
        <f t="shared" si="286"/>
        <v>574</v>
      </c>
      <c r="AV268" s="267">
        <f t="shared" si="287"/>
        <v>579</v>
      </c>
      <c r="AW268" s="267">
        <f t="shared" si="288"/>
        <v>580</v>
      </c>
      <c r="AX268" s="267">
        <f t="shared" si="289"/>
        <v>588</v>
      </c>
      <c r="AY268" s="267">
        <f t="shared" si="290"/>
        <v>632</v>
      </c>
      <c r="AZ268" s="267">
        <f t="shared" si="291"/>
        <v>646</v>
      </c>
      <c r="BA268" s="267">
        <f t="shared" si="292"/>
        <v>653</v>
      </c>
      <c r="BB268" s="267">
        <f t="shared" si="293"/>
        <v>576</v>
      </c>
      <c r="BC268" s="267">
        <f t="shared" si="294"/>
        <v>574</v>
      </c>
      <c r="BD268" s="267">
        <f t="shared" si="295"/>
        <v>579</v>
      </c>
      <c r="BE268" s="267">
        <f t="shared" si="296"/>
        <v>580</v>
      </c>
      <c r="BF268" s="267">
        <f t="shared" si="297"/>
        <v>588</v>
      </c>
      <c r="BG268" s="269">
        <f>AY268*VLOOKUP($B268,'Major Cities &amp; Towns'!$A$28:$B$345,2,FALSE)</f>
        <v>632</v>
      </c>
      <c r="BH268" s="269">
        <f>AZ268*VLOOKUP($B268,'Major Cities &amp; Towns'!$A$28:$B$345,2,FALSE)</f>
        <v>646</v>
      </c>
      <c r="BI268" s="269">
        <f>BA268*VLOOKUP($B268,'Major Cities &amp; Towns'!$A$28:$B$345,2,FALSE)</f>
        <v>653</v>
      </c>
      <c r="BJ268" s="269">
        <f>BB268*VLOOKUP($B268,'Major Cities &amp; Towns'!$A$28:$B$345,2,FALSE)</f>
        <v>576</v>
      </c>
      <c r="BK268" s="269">
        <f>BC268*VLOOKUP($B268,'Major Cities &amp; Towns'!$A$28:$B$345,2,FALSE)</f>
        <v>574</v>
      </c>
      <c r="BL268" s="269">
        <f>BD268*VLOOKUP($B268,'Major Cities &amp; Towns'!$A$28:$B$345,2,FALSE)</f>
        <v>579</v>
      </c>
      <c r="BM268" s="269">
        <f>BE268*VLOOKUP($B268,'Major Cities &amp; Towns'!$A$28:$B$345,2,FALSE)</f>
        <v>580</v>
      </c>
      <c r="BN268" s="269">
        <f>BF268*VLOOKUP($B268,'Major Cities &amp; Towns'!$A$28:$B$345,2,FALSE)</f>
        <v>588</v>
      </c>
      <c r="BO268" s="270">
        <f t="shared" si="298"/>
        <v>632</v>
      </c>
      <c r="BP268" s="270">
        <f t="shared" si="299"/>
        <v>646</v>
      </c>
      <c r="BQ268" s="270">
        <f t="shared" si="300"/>
        <v>653</v>
      </c>
      <c r="BR268" s="270">
        <f t="shared" si="301"/>
        <v>576</v>
      </c>
      <c r="BS268" s="270">
        <f t="shared" si="302"/>
        <v>574</v>
      </c>
      <c r="BT268" s="270">
        <f t="shared" si="303"/>
        <v>579</v>
      </c>
      <c r="BU268" s="270">
        <f t="shared" si="304"/>
        <v>580</v>
      </c>
      <c r="BV268" s="270">
        <f t="shared" si="305"/>
        <v>588</v>
      </c>
      <c r="BW268" s="39">
        <f>VLOOKUP($A268,NetAdditions!$A$2:$H$336,6,FALSE)</f>
        <v>646</v>
      </c>
      <c r="BX268" s="39">
        <f>VLOOKUP($A268,NetAdditions!$A$2:$H$336,7,FALSE)</f>
        <v>474</v>
      </c>
      <c r="BY268" s="39">
        <f>IF((VLOOKUP($C268,NetAdditions!$A$2:$H$336,8,FALSE))="",(AVERAGE(VLOOKUP($C268,NetAdditions!$A$2:$H$336,5,FALSE),VLOOKUP($C268,NetAdditions!$A$2:$H$336,6,FALSE),VLOOKUP($C268,NetAdditions!$A$2:$H$336,7,FALSE))),VLOOKUP($C268,NetAdditions!$A$2:$H$336,8,FALSE))</f>
        <v>368</v>
      </c>
      <c r="BZ268" s="39">
        <f t="shared" si="306"/>
        <v>496</v>
      </c>
      <c r="CA268" s="39">
        <f t="shared" si="307"/>
        <v>446</v>
      </c>
      <c r="CB268" s="39">
        <f t="shared" si="308"/>
        <v>436.66666666666669</v>
      </c>
      <c r="CC268" s="39">
        <f t="shared" si="309"/>
        <v>459.5555555555556</v>
      </c>
      <c r="CD268" s="39">
        <f t="shared" si="310"/>
        <v>447.40740740740745</v>
      </c>
      <c r="CE268" s="276">
        <f t="shared" si="267"/>
        <v>1931</v>
      </c>
      <c r="CF268" s="276">
        <f t="shared" si="268"/>
        <v>1875</v>
      </c>
      <c r="CG268" s="276">
        <f t="shared" si="269"/>
        <v>1803</v>
      </c>
      <c r="CH268" s="276">
        <f t="shared" si="270"/>
        <v>1729</v>
      </c>
      <c r="CI268" s="276">
        <f t="shared" si="271"/>
        <v>1733</v>
      </c>
      <c r="CJ268" s="276">
        <f t="shared" si="272"/>
        <v>1747</v>
      </c>
      <c r="CK268" s="276">
        <f t="shared" si="311"/>
        <v>1662.8055555555557</v>
      </c>
      <c r="CL268" s="276">
        <f t="shared" si="312"/>
        <v>1614.5833333333335</v>
      </c>
      <c r="CM268" s="276">
        <f t="shared" si="313"/>
        <v>1652.75</v>
      </c>
      <c r="CN268" s="276">
        <f t="shared" si="314"/>
        <v>1729</v>
      </c>
      <c r="CO268" s="276">
        <f t="shared" si="315"/>
        <v>1733</v>
      </c>
      <c r="CP268" s="276">
        <f t="shared" si="316"/>
        <v>1747</v>
      </c>
      <c r="CQ268" s="39">
        <f t="shared" si="273"/>
        <v>1488</v>
      </c>
      <c r="CR268" s="39">
        <f t="shared" si="274"/>
        <v>1338</v>
      </c>
      <c r="CS268" s="277">
        <f t="shared" si="275"/>
        <v>1310</v>
      </c>
      <c r="CT268" s="39">
        <f t="shared" si="276"/>
        <v>1378.6666666666667</v>
      </c>
      <c r="CU268" s="39">
        <f t="shared" si="277"/>
        <v>1342.2222222222224</v>
      </c>
      <c r="CV268" s="39">
        <f t="shared" si="317"/>
        <v>1343.6296296296298</v>
      </c>
      <c r="CW268" s="297">
        <f t="shared" si="278"/>
        <v>0.8948731227343345</v>
      </c>
      <c r="CX268" s="279" t="str">
        <f t="shared" si="318"/>
        <v>Action Plan</v>
      </c>
      <c r="CY268" s="278">
        <f t="shared" si="279"/>
        <v>0.82869677419354826</v>
      </c>
      <c r="CZ268" s="279" t="str">
        <f t="shared" si="319"/>
        <v>Buffer and Action Plan</v>
      </c>
      <c r="DA268" s="278">
        <f t="shared" si="280"/>
        <v>0.79261836333383751</v>
      </c>
      <c r="DB268" s="292" t="str">
        <f t="shared" si="320"/>
        <v>Buffer and Action Plan</v>
      </c>
      <c r="DC268" s="299">
        <f t="shared" si="321"/>
        <v>0.79737806053595528</v>
      </c>
      <c r="DD268" s="293" t="str">
        <f t="shared" si="322"/>
        <v>Buffer and Action Plan</v>
      </c>
      <c r="DE268" s="299">
        <f t="shared" si="323"/>
        <v>0.77450791818939546</v>
      </c>
      <c r="DF268" s="293" t="str">
        <f t="shared" si="324"/>
        <v>Buffer and Action Plan</v>
      </c>
      <c r="DG268" s="299">
        <f t="shared" si="325"/>
        <v>0.76910682863745261</v>
      </c>
      <c r="DH268" s="293" t="str">
        <f t="shared" si="326"/>
        <v>Buffer and Action Plan</v>
      </c>
    </row>
    <row r="269" spans="1:112" ht="15" thickTop="1" thickBot="1">
      <c r="A269" s="38" t="s">
        <v>648</v>
      </c>
      <c r="B269" s="38" t="s">
        <v>649</v>
      </c>
      <c r="C269" s="38" t="s">
        <v>648</v>
      </c>
      <c r="D269" s="38" t="s">
        <v>154</v>
      </c>
      <c r="E269" s="38" t="str">
        <f>VLOOKUP(C269,PoliticalControl!A:K,11,FALSE)</f>
        <v>CON</v>
      </c>
      <c r="F269" s="38" t="str">
        <f>VLOOKUP(C269,UrbanRuralClassification!A:N,13,FALSE)</f>
        <v>Urban with City and Town</v>
      </c>
      <c r="G269" s="38" t="str">
        <f>VLOOKUP(C269,UrbanRuralClassification!A:N,14,FALSE)</f>
        <v>Predominantly Urban</v>
      </c>
      <c r="H269" s="258">
        <f>IF(ISBLANK((VLOOKUP($A269,'local-plan-data'!$C$1:$AD$566,27,FALSE)))=TRUE,"",VLOOKUP($A269,'local-plan-data'!$C$1:$AD$566,27,FALSE))</f>
        <v>42423</v>
      </c>
      <c r="I269" s="259">
        <f>VLOOKUP($A269,'local-plan-data'!$C$1:$AD$566,28,FALSE)</f>
        <v>177</v>
      </c>
      <c r="J269" s="260">
        <f t="shared" si="281"/>
        <v>177</v>
      </c>
      <c r="K269" s="259">
        <f t="shared" si="327"/>
        <v>177</v>
      </c>
      <c r="L269" s="259">
        <f t="shared" si="327"/>
        <v>177</v>
      </c>
      <c r="M269" s="259">
        <f t="shared" si="327"/>
        <v>177</v>
      </c>
      <c r="N269" s="259" t="str">
        <f t="shared" si="327"/>
        <v>-</v>
      </c>
      <c r="O269" s="259" t="str">
        <f t="shared" si="327"/>
        <v>-</v>
      </c>
      <c r="P269" s="259" t="str">
        <f t="shared" si="327"/>
        <v>-</v>
      </c>
      <c r="Q269" s="259" t="str">
        <f t="shared" si="327"/>
        <v>-</v>
      </c>
      <c r="R269" s="259" t="str">
        <f t="shared" si="327"/>
        <v>-</v>
      </c>
      <c r="S269" s="259">
        <f t="shared" si="328"/>
        <v>1059</v>
      </c>
      <c r="T269" s="259">
        <f t="shared" si="328"/>
        <v>694</v>
      </c>
      <c r="U269" s="259">
        <f t="shared" si="328"/>
        <v>328</v>
      </c>
      <c r="V269" s="259">
        <f t="shared" si="328"/>
        <v>-37</v>
      </c>
      <c r="W269" s="259">
        <f t="shared" si="328"/>
        <v>-402</v>
      </c>
      <c r="X269" s="259">
        <f t="shared" si="328"/>
        <v>-767</v>
      </c>
      <c r="Y269" s="259">
        <f t="shared" si="328"/>
        <v>-1133</v>
      </c>
      <c r="Z269" s="259">
        <f t="shared" si="328"/>
        <v>-1498</v>
      </c>
      <c r="AA269" s="267">
        <f>(VLOOKUP(A269,Hshldprojections2014!$A$2:$AW$319,40, FALSE)-VLOOKUP(A269,Hshldprojections2014!$A$2:$AW$319,30, FALSE))/10</f>
        <v>125.2</v>
      </c>
      <c r="AB269" s="267">
        <f>(VLOOKUP(A269,Hshldprojections2014!$A$2:$AW$319,41, FALSE)-VLOOKUP(A269,Hshldprojections2014!$A$2:$AW$319,31, FALSE))/10</f>
        <v>121.8</v>
      </c>
      <c r="AC269" s="267">
        <f>(VLOOKUP(A269,Hshldprojections2014!$A$2:$AW$319,42, FALSE)-VLOOKUP(A269,Hshldprojections2014!$A$2:$AW$319,32, FALSE))/10</f>
        <v>117.4</v>
      </c>
      <c r="AD269" s="267">
        <f>IF(IndividualLATest!$J$7=2014,(VLOOKUP($A269,Hshldprojections2014!$A$2:$AY$326,43,FALSE)-VLOOKUP($A269,Hshldprojections2014!$A$2:$AY$326,33,FALSE))/10,IF(IndividualLATest!$J$7=2016,(VLOOKUP($A269,Hshldprojections2016!$A$1:$AQ$322,33,FALSE)-VLOOKUP($A269,Hshldprojections2016!$A$1:$AQ$322,23,FALSE))/10,(VLOOKUP($A269,Hshldprojections2018!$A$1:$AQ$327,33,FALSE)-VLOOKUP($A269,Hshldprojections2018!$A$1:$AQ$327,23,FALSE))/10))</f>
        <v>72.3</v>
      </c>
      <c r="AE269" s="267">
        <f>IF(IndividualLATest!$J$7=2014,(VLOOKUP($A269,Hshldprojections2014!$A$2:$AY$326,44,FALSE)-VLOOKUP($A269,Hshldprojections2014!$A$2:$AY$326,34,FALSE))/10,IF(IndividualLATest!$J$7=2016,(VLOOKUP($A269,Hshldprojections2016!$A$1:$AQ$322,34,FALSE)-VLOOKUP($A269,Hshldprojections2016!$A$1:$AQ$322,24,FALSE))/10,(VLOOKUP($A269,Hshldprojections2018!$A$1:$AQ$327,34,FALSE)-VLOOKUP($A269,Hshldprojections2018!$A$1:$AQ$327,24,FALSE))/10))</f>
        <v>68.900000000000006</v>
      </c>
      <c r="AF269" s="267">
        <f>IF(IndividualLATest!$J$7=2014,(VLOOKUP($A269,Hshldprojections2014!$A$2:$AY$326,45,FALSE)-VLOOKUP($A269,Hshldprojections2014!$A$2:$AY$326,35,FALSE))/10,IF(IndividualLATest!$J$7=2016,(VLOOKUP($A269,Hshldprojections2016!$A$1:$AQ$322,35,FALSE)-VLOOKUP($A269,Hshldprojections2016!$A$1:$AQ$322,25,FALSE))/10,(VLOOKUP($A269,Hshldprojections2018!$A$1:$AQ$327,35,FALSE)-VLOOKUP($A269,Hshldprojections2018!$A$1:$AQ$327,25,FALSE))/10))</f>
        <v>65.400000000000006</v>
      </c>
      <c r="AG269" s="267">
        <f>IF(IndividualLATest!$J$7=2014,(VLOOKUP($A269,Hshldprojections2014!$A$2:$AY$326,46,FALSE)-VLOOKUP($A269,Hshldprojections2014!$A$2:$AY$326,36,FALSE))/10,IF(IndividualLATest!$J$7=2016,(VLOOKUP($A269,Hshldprojections2016!$A$1:$AQ$322,36,FALSE)-VLOOKUP($A269,Hshldprojections2016!$A$1:$AQ$322,26,FALSE))/10,(VLOOKUP($A269,Hshldprojections2018!$A$1:$AQ$327,36,FALSE)-VLOOKUP($A269,Hshldprojections2018!$A$1:$AQ$327,26,FALSE))/10))</f>
        <v>60.7</v>
      </c>
      <c r="AH269" s="267">
        <f>IF(IndividualLATest!$J$7=2014,(VLOOKUP($A269,Hshldprojections2014!$A$2:$AY$326,47,FALSE)-VLOOKUP($A269,Hshldprojections2014!$A$2:$AY$326,37,FALSE))/10,IF(IndividualLATest!$J$7=2016,(VLOOKUP($A269,Hshldprojections2016!$A$1:$AQ$322,37,FALSE)-VLOOKUP($A269,Hshldprojections2016!$A$1:$AQ$322,27,FALSE))/10,(VLOOKUP($A269,Hshldprojections2018!$A$1:$AQ$327,37,FALSE)-VLOOKUP($A269,Hshldprojections2018!$A$1:$AQ$327,27,FALSE))/10))</f>
        <v>57.8</v>
      </c>
      <c r="AI269" s="268">
        <f>VLOOKUP($A269,AffordabilityRatio!$A$2:$I$321,5,FALSE)</f>
        <v>6.99</v>
      </c>
      <c r="AJ269" s="268">
        <f>VLOOKUP($A269,AffordabilityRatio!$A$2:$I$321,6,FALSE)</f>
        <v>7.72</v>
      </c>
      <c r="AK269" s="268">
        <f>VLOOKUP($A269,AffordabilityRatio!$A$2:$I$321,7,FALSE)</f>
        <v>8.31</v>
      </c>
      <c r="AL269" s="268">
        <f>IF((VLOOKUP($A269,AffordabilityRatio!$A$2:$I$321,8,FALSE))="",AK269,VLOOKUP($A269,AffordabilityRatio!$A$2:$I$321,8,FALSE))</f>
        <v>8.6300000000000008</v>
      </c>
      <c r="AM269" s="268">
        <f>IF((VLOOKUP($A269,AffordabilityRatio!$A$2:$I$321,9,FALSE))="",AL269,VLOOKUP($A269,AffordabilityRatio!$A$2:$I$321,9,FALSE))</f>
        <v>8.59</v>
      </c>
      <c r="AN269" s="268">
        <f>IF((VLOOKUP($A269,AffordabilityRatio!$A$2:$I$321,9,FALSE))="",AM269,VLOOKUP($A269,AffordabilityRatio!$A$2:$I$321,9,FALSE))</f>
        <v>8.59</v>
      </c>
      <c r="AO269" s="268">
        <f>IF((VLOOKUP($A269,AffordabilityRatio!$A$2:$I$321,9,FALSE))="",AN269,VLOOKUP($A269,AffordabilityRatio!$A$2:$I$321,9,FALSE))</f>
        <v>8.59</v>
      </c>
      <c r="AP269" s="268">
        <f>IF((VLOOKUP($A269,AffordabilityRatio!$A$2:$I$321,9,FALSE))="",AO269,VLOOKUP($A269,AffordabilityRatio!$A$2:$I$321,9,FALSE))</f>
        <v>8.59</v>
      </c>
      <c r="AQ269" s="267">
        <f t="shared" si="282"/>
        <v>149</v>
      </c>
      <c r="AR269" s="267">
        <f t="shared" si="283"/>
        <v>150</v>
      </c>
      <c r="AS269" s="267">
        <f t="shared" si="284"/>
        <v>149</v>
      </c>
      <c r="AT269" s="267">
        <f t="shared" si="285"/>
        <v>93</v>
      </c>
      <c r="AU269" s="267">
        <f t="shared" si="286"/>
        <v>89</v>
      </c>
      <c r="AV269" s="267">
        <f t="shared" si="287"/>
        <v>84</v>
      </c>
      <c r="AW269" s="267">
        <f t="shared" si="288"/>
        <v>78</v>
      </c>
      <c r="AX269" s="267">
        <f t="shared" si="289"/>
        <v>74</v>
      </c>
      <c r="AY269" s="267">
        <f t="shared" si="290"/>
        <v>149</v>
      </c>
      <c r="AZ269" s="267">
        <f t="shared" si="291"/>
        <v>150</v>
      </c>
      <c r="BA269" s="267">
        <f t="shared" si="292"/>
        <v>149</v>
      </c>
      <c r="BB269" s="267">
        <f t="shared" si="293"/>
        <v>93</v>
      </c>
      <c r="BC269" s="267">
        <f t="shared" si="294"/>
        <v>89</v>
      </c>
      <c r="BD269" s="267">
        <f t="shared" si="295"/>
        <v>84</v>
      </c>
      <c r="BE269" s="267">
        <f t="shared" si="296"/>
        <v>78</v>
      </c>
      <c r="BF269" s="267">
        <f t="shared" si="297"/>
        <v>74</v>
      </c>
      <c r="BG269" s="269">
        <f>AY269*VLOOKUP($B269,'Major Cities &amp; Towns'!$A$28:$B$345,2,FALSE)</f>
        <v>149</v>
      </c>
      <c r="BH269" s="269">
        <f>AZ269*VLOOKUP($B269,'Major Cities &amp; Towns'!$A$28:$B$345,2,FALSE)</f>
        <v>150</v>
      </c>
      <c r="BI269" s="269">
        <f>BA269*VLOOKUP($B269,'Major Cities &amp; Towns'!$A$28:$B$345,2,FALSE)</f>
        <v>149</v>
      </c>
      <c r="BJ269" s="269">
        <f>BB269*VLOOKUP($B269,'Major Cities &amp; Towns'!$A$28:$B$345,2,FALSE)</f>
        <v>93</v>
      </c>
      <c r="BK269" s="269">
        <f>BC269*VLOOKUP($B269,'Major Cities &amp; Towns'!$A$28:$B$345,2,FALSE)</f>
        <v>89</v>
      </c>
      <c r="BL269" s="269">
        <f>BD269*VLOOKUP($B269,'Major Cities &amp; Towns'!$A$28:$B$345,2,FALSE)</f>
        <v>84</v>
      </c>
      <c r="BM269" s="269">
        <f>BE269*VLOOKUP($B269,'Major Cities &amp; Towns'!$A$28:$B$345,2,FALSE)</f>
        <v>78</v>
      </c>
      <c r="BN269" s="269">
        <f>BF269*VLOOKUP($B269,'Major Cities &amp; Towns'!$A$28:$B$345,2,FALSE)</f>
        <v>74</v>
      </c>
      <c r="BO269" s="270">
        <f t="shared" si="298"/>
        <v>149</v>
      </c>
      <c r="BP269" s="270">
        <f t="shared" si="299"/>
        <v>150</v>
      </c>
      <c r="BQ269" s="270">
        <f t="shared" si="300"/>
        <v>149</v>
      </c>
      <c r="BR269" s="270">
        <f t="shared" si="301"/>
        <v>93</v>
      </c>
      <c r="BS269" s="270">
        <f t="shared" si="302"/>
        <v>89</v>
      </c>
      <c r="BT269" s="270">
        <f t="shared" si="303"/>
        <v>84</v>
      </c>
      <c r="BU269" s="270">
        <f t="shared" si="304"/>
        <v>78</v>
      </c>
      <c r="BV269" s="270">
        <f t="shared" si="305"/>
        <v>74</v>
      </c>
      <c r="BW269" s="39">
        <f>VLOOKUP($A269,NetAdditions!$A$2:$H$336,6,FALSE)</f>
        <v>317</v>
      </c>
      <c r="BX269" s="39">
        <f>VLOOKUP($A269,NetAdditions!$A$2:$H$336,7,FALSE)</f>
        <v>546</v>
      </c>
      <c r="BY269" s="39">
        <f>IF((VLOOKUP($C269,NetAdditions!$A$2:$H$336,8,FALSE))="",(AVERAGE(VLOOKUP($C269,NetAdditions!$A$2:$H$336,5,FALSE),VLOOKUP($C269,NetAdditions!$A$2:$H$336,6,FALSE),VLOOKUP($C269,NetAdditions!$A$2:$H$336,7,FALSE))),VLOOKUP($C269,NetAdditions!$A$2:$H$336,8,FALSE))</f>
        <v>461</v>
      </c>
      <c r="BZ269" s="39">
        <f t="shared" si="306"/>
        <v>441.33333333333331</v>
      </c>
      <c r="CA269" s="39">
        <f t="shared" si="307"/>
        <v>482.77777777777777</v>
      </c>
      <c r="CB269" s="39">
        <f t="shared" si="308"/>
        <v>461.7037037037037</v>
      </c>
      <c r="CC269" s="39">
        <f t="shared" si="309"/>
        <v>461.93827160493828</v>
      </c>
      <c r="CD269" s="39">
        <f t="shared" si="310"/>
        <v>468.80658436213997</v>
      </c>
      <c r="CE269" s="276">
        <f t="shared" si="267"/>
        <v>448</v>
      </c>
      <c r="CF269" s="276">
        <f t="shared" si="268"/>
        <v>392</v>
      </c>
      <c r="CG269" s="276">
        <f t="shared" si="269"/>
        <v>331</v>
      </c>
      <c r="CH269" s="276">
        <f t="shared" si="270"/>
        <v>266</v>
      </c>
      <c r="CI269" s="276">
        <f t="shared" si="271"/>
        <v>251</v>
      </c>
      <c r="CJ269" s="276">
        <f t="shared" si="272"/>
        <v>236</v>
      </c>
      <c r="CK269" s="276">
        <f t="shared" si="311"/>
        <v>385.77777777777783</v>
      </c>
      <c r="CL269" s="276">
        <f t="shared" si="312"/>
        <v>337.5555555555556</v>
      </c>
      <c r="CM269" s="276">
        <f t="shared" si="313"/>
        <v>303.41666666666663</v>
      </c>
      <c r="CN269" s="276">
        <f t="shared" si="314"/>
        <v>266</v>
      </c>
      <c r="CO269" s="276">
        <f t="shared" si="315"/>
        <v>251</v>
      </c>
      <c r="CP269" s="276">
        <f t="shared" si="316"/>
        <v>236</v>
      </c>
      <c r="CQ269" s="39">
        <f t="shared" si="273"/>
        <v>1324</v>
      </c>
      <c r="CR269" s="39">
        <f t="shared" si="274"/>
        <v>1448.3333333333333</v>
      </c>
      <c r="CS269" s="277">
        <f t="shared" si="275"/>
        <v>1385.1111111111111</v>
      </c>
      <c r="CT269" s="39">
        <f t="shared" si="276"/>
        <v>1385.8148148148148</v>
      </c>
      <c r="CU269" s="39">
        <f t="shared" si="277"/>
        <v>1406.4197530864199</v>
      </c>
      <c r="CV269" s="39">
        <f t="shared" si="317"/>
        <v>1392.4485596707821</v>
      </c>
      <c r="CW269" s="297">
        <f t="shared" si="278"/>
        <v>3.432027649769585</v>
      </c>
      <c r="CX269" s="279" t="str">
        <f t="shared" si="318"/>
        <v>Pass</v>
      </c>
      <c r="CY269" s="278">
        <f t="shared" si="279"/>
        <v>4.2906517445687946</v>
      </c>
      <c r="CZ269" s="279" t="str">
        <f t="shared" si="319"/>
        <v>Pass</v>
      </c>
      <c r="DA269" s="278">
        <f t="shared" si="280"/>
        <v>4.5650462327199488</v>
      </c>
      <c r="DB269" s="292" t="str">
        <f t="shared" si="320"/>
        <v>Pass</v>
      </c>
      <c r="DC269" s="299">
        <f t="shared" si="321"/>
        <v>5.2098301308827626</v>
      </c>
      <c r="DD269" s="293" t="str">
        <f t="shared" si="322"/>
        <v>Pass</v>
      </c>
      <c r="DE269" s="299">
        <f t="shared" si="323"/>
        <v>5.6032659485514733</v>
      </c>
      <c r="DF269" s="293" t="str">
        <f t="shared" si="324"/>
        <v>Pass</v>
      </c>
      <c r="DG269" s="299">
        <f t="shared" si="325"/>
        <v>5.9002057613168732</v>
      </c>
      <c r="DH269" s="293" t="str">
        <f t="shared" si="326"/>
        <v>Pass</v>
      </c>
    </row>
    <row r="270" spans="1:112" ht="15" thickTop="1" thickBot="1">
      <c r="A270" s="38" t="s">
        <v>650</v>
      </c>
      <c r="B270" s="38" t="s">
        <v>651</v>
      </c>
      <c r="C270" s="38" t="s">
        <v>650</v>
      </c>
      <c r="D270" s="38" t="s">
        <v>113</v>
      </c>
      <c r="E270" s="38" t="str">
        <f>VLOOKUP(C270,PoliticalControl!A:K,11,FALSE)</f>
        <v>NOC</v>
      </c>
      <c r="F270" s="38" t="str">
        <f>VLOOKUP(C270,UrbanRuralClassification!A:N,13,FALSE)</f>
        <v>Urban with Significant Rural (rural including hub towns 26-49%)</v>
      </c>
      <c r="G270" s="38" t="str">
        <f>VLOOKUP(C270,UrbanRuralClassification!A:N,14,FALSE)</f>
        <v>Urban with Significant Rural</v>
      </c>
      <c r="H270" s="258">
        <f>IF(ISBLANK((VLOOKUP($A270,'local-plan-data'!$C$1:$AD$566,27,FALSE)))=TRUE,"",VLOOKUP($A270,'local-plan-data'!$C$1:$AD$566,27,FALSE))</f>
        <v>39736</v>
      </c>
      <c r="I270" s="259">
        <f>VLOOKUP($A270,'local-plan-data'!$C$1:$AD$566,28,FALSE)</f>
        <v>125</v>
      </c>
      <c r="J270" s="260">
        <f t="shared" si="281"/>
        <v>125</v>
      </c>
      <c r="K270" s="259" t="str">
        <f t="shared" si="327"/>
        <v>-</v>
      </c>
      <c r="L270" s="259" t="str">
        <f t="shared" si="327"/>
        <v>-</v>
      </c>
      <c r="M270" s="259" t="str">
        <f t="shared" si="327"/>
        <v>-</v>
      </c>
      <c r="N270" s="259" t="str">
        <f t="shared" si="327"/>
        <v>-</v>
      </c>
      <c r="O270" s="259" t="str">
        <f t="shared" si="327"/>
        <v>-</v>
      </c>
      <c r="P270" s="259" t="str">
        <f t="shared" si="327"/>
        <v>-</v>
      </c>
      <c r="Q270" s="259" t="str">
        <f t="shared" si="327"/>
        <v>-</v>
      </c>
      <c r="R270" s="259" t="str">
        <f t="shared" si="327"/>
        <v>-</v>
      </c>
      <c r="S270" s="259">
        <f t="shared" si="328"/>
        <v>-1629</v>
      </c>
      <c r="T270" s="259">
        <f t="shared" si="328"/>
        <v>-1994</v>
      </c>
      <c r="U270" s="259">
        <f t="shared" si="328"/>
        <v>-2360</v>
      </c>
      <c r="V270" s="259">
        <f t="shared" si="328"/>
        <v>-2725</v>
      </c>
      <c r="W270" s="259">
        <f t="shared" si="328"/>
        <v>-3090</v>
      </c>
      <c r="X270" s="259">
        <f t="shared" si="328"/>
        <v>-3455</v>
      </c>
      <c r="Y270" s="259">
        <f t="shared" si="328"/>
        <v>-3821</v>
      </c>
      <c r="Z270" s="259">
        <f t="shared" si="328"/>
        <v>-4186</v>
      </c>
      <c r="AA270" s="267">
        <f>(VLOOKUP(A270,Hshldprojections2014!$A$2:$AW$319,40, FALSE)-VLOOKUP(A270,Hshldprojections2014!$A$2:$AW$319,30, FALSE))/10</f>
        <v>463.6</v>
      </c>
      <c r="AB270" s="267">
        <f>(VLOOKUP(A270,Hshldprojections2014!$A$2:$AW$319,41, FALSE)-VLOOKUP(A270,Hshldprojections2014!$A$2:$AW$319,31, FALSE))/10</f>
        <v>463</v>
      </c>
      <c r="AC270" s="267">
        <f>(VLOOKUP(A270,Hshldprojections2014!$A$2:$AW$319,42, FALSE)-VLOOKUP(A270,Hshldprojections2014!$A$2:$AW$319,32, FALSE))/10</f>
        <v>461.3</v>
      </c>
      <c r="AD270" s="267">
        <f>IF(IndividualLATest!$J$7=2014,(VLOOKUP($A270,Hshldprojections2014!$A$2:$AY$326,43,FALSE)-VLOOKUP($A270,Hshldprojections2014!$A$2:$AY$326,33,FALSE))/10,IF(IndividualLATest!$J$7=2016,(VLOOKUP($A270,Hshldprojections2016!$A$1:$AQ$322,33,FALSE)-VLOOKUP($A270,Hshldprojections2016!$A$1:$AQ$322,23,FALSE))/10,(VLOOKUP($A270,Hshldprojections2018!$A$1:$AQ$327,33,FALSE)-VLOOKUP($A270,Hshldprojections2018!$A$1:$AQ$327,23,FALSE))/10))</f>
        <v>202.4</v>
      </c>
      <c r="AE270" s="267">
        <f>IF(IndividualLATest!$J$7=2014,(VLOOKUP($A270,Hshldprojections2014!$A$2:$AY$326,44,FALSE)-VLOOKUP($A270,Hshldprojections2014!$A$2:$AY$326,34,FALSE))/10,IF(IndividualLATest!$J$7=2016,(VLOOKUP($A270,Hshldprojections2016!$A$1:$AQ$322,34,FALSE)-VLOOKUP($A270,Hshldprojections2016!$A$1:$AQ$322,24,FALSE))/10,(VLOOKUP($A270,Hshldprojections2018!$A$1:$AQ$327,34,FALSE)-VLOOKUP($A270,Hshldprojections2018!$A$1:$AQ$327,24,FALSE))/10))</f>
        <v>199.5</v>
      </c>
      <c r="AF270" s="267">
        <f>IF(IndividualLATest!$J$7=2014,(VLOOKUP($A270,Hshldprojections2014!$A$2:$AY$326,45,FALSE)-VLOOKUP($A270,Hshldprojections2014!$A$2:$AY$326,35,FALSE))/10,IF(IndividualLATest!$J$7=2016,(VLOOKUP($A270,Hshldprojections2016!$A$1:$AQ$322,35,FALSE)-VLOOKUP($A270,Hshldprojections2016!$A$1:$AQ$322,25,FALSE))/10,(VLOOKUP($A270,Hshldprojections2018!$A$1:$AQ$327,35,FALSE)-VLOOKUP($A270,Hshldprojections2018!$A$1:$AQ$327,25,FALSE))/10))</f>
        <v>196.5</v>
      </c>
      <c r="AG270" s="267">
        <f>IF(IndividualLATest!$J$7=2014,(VLOOKUP($A270,Hshldprojections2014!$A$2:$AY$326,46,FALSE)-VLOOKUP($A270,Hshldprojections2014!$A$2:$AY$326,36,FALSE))/10,IF(IndividualLATest!$J$7=2016,(VLOOKUP($A270,Hshldprojections2016!$A$1:$AQ$322,36,FALSE)-VLOOKUP($A270,Hshldprojections2016!$A$1:$AQ$322,26,FALSE))/10,(VLOOKUP($A270,Hshldprojections2018!$A$1:$AQ$327,36,FALSE)-VLOOKUP($A270,Hshldprojections2018!$A$1:$AQ$327,26,FALSE))/10))</f>
        <v>194.3</v>
      </c>
      <c r="AH270" s="267">
        <f>IF(IndividualLATest!$J$7=2014,(VLOOKUP($A270,Hshldprojections2014!$A$2:$AY$326,47,FALSE)-VLOOKUP($A270,Hshldprojections2014!$A$2:$AY$326,37,FALSE))/10,IF(IndividualLATest!$J$7=2016,(VLOOKUP($A270,Hshldprojections2016!$A$1:$AQ$322,37,FALSE)-VLOOKUP($A270,Hshldprojections2016!$A$1:$AQ$322,27,FALSE))/10,(VLOOKUP($A270,Hshldprojections2018!$A$1:$AQ$327,37,FALSE)-VLOOKUP($A270,Hshldprojections2018!$A$1:$AQ$327,27,FALSE))/10))</f>
        <v>192.5</v>
      </c>
      <c r="AI270" s="268">
        <f>VLOOKUP($A270,AffordabilityRatio!$A$2:$I$321,5,FALSE)</f>
        <v>14.1</v>
      </c>
      <c r="AJ270" s="268">
        <f>VLOOKUP($A270,AffordabilityRatio!$A$2:$I$321,6,FALSE)</f>
        <v>15.64</v>
      </c>
      <c r="AK270" s="268">
        <f>VLOOKUP($A270,AffordabilityRatio!$A$2:$I$321,7,FALSE)</f>
        <v>14.98</v>
      </c>
      <c r="AL270" s="268">
        <f>IF((VLOOKUP($A270,AffordabilityRatio!$A$2:$I$321,8,FALSE))="",AK270,VLOOKUP($A270,AffordabilityRatio!$A$2:$I$321,8,FALSE))</f>
        <v>13.95</v>
      </c>
      <c r="AM270" s="268">
        <f>IF((VLOOKUP($A270,AffordabilityRatio!$A$2:$I$321,9,FALSE))="",AL270,VLOOKUP($A270,AffordabilityRatio!$A$2:$I$321,9,FALSE))</f>
        <v>16.12</v>
      </c>
      <c r="AN270" s="268">
        <f>IF((VLOOKUP($A270,AffordabilityRatio!$A$2:$I$321,9,FALSE))="",AM270,VLOOKUP($A270,AffordabilityRatio!$A$2:$I$321,9,FALSE))</f>
        <v>16.12</v>
      </c>
      <c r="AO270" s="268">
        <f>IF((VLOOKUP($A270,AffordabilityRatio!$A$2:$I$321,9,FALSE))="",AN270,VLOOKUP($A270,AffordabilityRatio!$A$2:$I$321,9,FALSE))</f>
        <v>16.12</v>
      </c>
      <c r="AP270" s="268">
        <f>IF((VLOOKUP($A270,AffordabilityRatio!$A$2:$I$321,9,FALSE))="",AO270,VLOOKUP($A270,AffordabilityRatio!$A$2:$I$321,9,FALSE))</f>
        <v>16.12</v>
      </c>
      <c r="AQ270" s="267">
        <f t="shared" si="282"/>
        <v>756</v>
      </c>
      <c r="AR270" s="267">
        <f t="shared" si="283"/>
        <v>800</v>
      </c>
      <c r="AS270" s="267">
        <f t="shared" si="284"/>
        <v>778</v>
      </c>
      <c r="AT270" s="267">
        <f t="shared" si="285"/>
        <v>328</v>
      </c>
      <c r="AU270" s="267">
        <f t="shared" si="286"/>
        <v>351</v>
      </c>
      <c r="AV270" s="267">
        <f t="shared" si="287"/>
        <v>345</v>
      </c>
      <c r="AW270" s="267">
        <f t="shared" si="288"/>
        <v>341</v>
      </c>
      <c r="AX270" s="267">
        <f t="shared" si="289"/>
        <v>338</v>
      </c>
      <c r="AY270" s="267">
        <f t="shared" si="290"/>
        <v>649.04000000000008</v>
      </c>
      <c r="AZ270" s="267">
        <f t="shared" si="291"/>
        <v>648.20000000000005</v>
      </c>
      <c r="BA270" s="267">
        <f t="shared" si="292"/>
        <v>645.82000000000005</v>
      </c>
      <c r="BB270" s="267">
        <f t="shared" si="293"/>
        <v>283.36</v>
      </c>
      <c r="BC270" s="267">
        <f t="shared" si="294"/>
        <v>279.3</v>
      </c>
      <c r="BD270" s="267">
        <f t="shared" si="295"/>
        <v>275.10000000000002</v>
      </c>
      <c r="BE270" s="267">
        <f t="shared" si="296"/>
        <v>272.02000000000004</v>
      </c>
      <c r="BF270" s="267">
        <f t="shared" si="297"/>
        <v>269.5</v>
      </c>
      <c r="BG270" s="269">
        <f>AY270*VLOOKUP($B270,'Major Cities &amp; Towns'!$A$28:$B$345,2,FALSE)</f>
        <v>649.04000000000008</v>
      </c>
      <c r="BH270" s="269">
        <f>AZ270*VLOOKUP($B270,'Major Cities &amp; Towns'!$A$28:$B$345,2,FALSE)</f>
        <v>648.20000000000005</v>
      </c>
      <c r="BI270" s="269">
        <f>BA270*VLOOKUP($B270,'Major Cities &amp; Towns'!$A$28:$B$345,2,FALSE)</f>
        <v>645.82000000000005</v>
      </c>
      <c r="BJ270" s="269">
        <f>BB270*VLOOKUP($B270,'Major Cities &amp; Towns'!$A$28:$B$345,2,FALSE)</f>
        <v>283.36</v>
      </c>
      <c r="BK270" s="269">
        <f>BC270*VLOOKUP($B270,'Major Cities &amp; Towns'!$A$28:$B$345,2,FALSE)</f>
        <v>279.3</v>
      </c>
      <c r="BL270" s="269">
        <f>BD270*VLOOKUP($B270,'Major Cities &amp; Towns'!$A$28:$B$345,2,FALSE)</f>
        <v>275.10000000000002</v>
      </c>
      <c r="BM270" s="269">
        <f>BE270*VLOOKUP($B270,'Major Cities &amp; Towns'!$A$28:$B$345,2,FALSE)</f>
        <v>272.02000000000004</v>
      </c>
      <c r="BN270" s="269">
        <f>BF270*VLOOKUP($B270,'Major Cities &amp; Towns'!$A$28:$B$345,2,FALSE)</f>
        <v>269.5</v>
      </c>
      <c r="BO270" s="270">
        <f t="shared" si="298"/>
        <v>756</v>
      </c>
      <c r="BP270" s="270">
        <f t="shared" si="299"/>
        <v>800</v>
      </c>
      <c r="BQ270" s="270">
        <f t="shared" si="300"/>
        <v>778</v>
      </c>
      <c r="BR270" s="270">
        <f t="shared" si="301"/>
        <v>328</v>
      </c>
      <c r="BS270" s="270">
        <f t="shared" si="302"/>
        <v>351</v>
      </c>
      <c r="BT270" s="270">
        <f t="shared" si="303"/>
        <v>345</v>
      </c>
      <c r="BU270" s="270">
        <f t="shared" si="304"/>
        <v>341</v>
      </c>
      <c r="BV270" s="270">
        <f t="shared" si="305"/>
        <v>338</v>
      </c>
      <c r="BW270" s="39">
        <f>VLOOKUP($A270,NetAdditions!$A$2:$H$336,6,FALSE)</f>
        <v>244</v>
      </c>
      <c r="BX270" s="39">
        <f>VLOOKUP($A270,NetAdditions!$A$2:$H$336,7,FALSE)</f>
        <v>262</v>
      </c>
      <c r="BY270" s="39">
        <f>IF((VLOOKUP($C270,NetAdditions!$A$2:$H$336,8,FALSE))="",(AVERAGE(VLOOKUP($C270,NetAdditions!$A$2:$H$336,5,FALSE),VLOOKUP($C270,NetAdditions!$A$2:$H$336,6,FALSE),VLOOKUP($C270,NetAdditions!$A$2:$H$336,7,FALSE))),VLOOKUP($C270,NetAdditions!$A$2:$H$336,8,FALSE))</f>
        <v>117</v>
      </c>
      <c r="BZ270" s="39">
        <f t="shared" si="306"/>
        <v>207.66666666666666</v>
      </c>
      <c r="CA270" s="39">
        <f t="shared" si="307"/>
        <v>195.55555555555554</v>
      </c>
      <c r="CB270" s="39">
        <f t="shared" si="308"/>
        <v>173.40740740740739</v>
      </c>
      <c r="CC270" s="39">
        <f t="shared" si="309"/>
        <v>192.20987654320984</v>
      </c>
      <c r="CD270" s="39">
        <f t="shared" si="310"/>
        <v>187.05761316872426</v>
      </c>
      <c r="CE270" s="276">
        <f t="shared" si="267"/>
        <v>2334</v>
      </c>
      <c r="CF270" s="276">
        <f t="shared" si="268"/>
        <v>1906</v>
      </c>
      <c r="CG270" s="276">
        <f t="shared" si="269"/>
        <v>1457</v>
      </c>
      <c r="CH270" s="276">
        <f t="shared" si="270"/>
        <v>1024</v>
      </c>
      <c r="CI270" s="276">
        <f t="shared" si="271"/>
        <v>1037</v>
      </c>
      <c r="CJ270" s="276">
        <f t="shared" si="272"/>
        <v>1024</v>
      </c>
      <c r="CK270" s="276">
        <f t="shared" si="311"/>
        <v>2009.8333333333335</v>
      </c>
      <c r="CL270" s="276">
        <f t="shared" si="312"/>
        <v>1641.2777777777778</v>
      </c>
      <c r="CM270" s="276">
        <f t="shared" si="313"/>
        <v>1335.5833333333333</v>
      </c>
      <c r="CN270" s="276">
        <f t="shared" si="314"/>
        <v>1024</v>
      </c>
      <c r="CO270" s="276">
        <f t="shared" si="315"/>
        <v>1037</v>
      </c>
      <c r="CP270" s="276">
        <f t="shared" si="316"/>
        <v>1024</v>
      </c>
      <c r="CQ270" s="39">
        <f t="shared" si="273"/>
        <v>623</v>
      </c>
      <c r="CR270" s="39">
        <f t="shared" si="274"/>
        <v>586.66666666666663</v>
      </c>
      <c r="CS270" s="277">
        <f t="shared" si="275"/>
        <v>520.22222222222217</v>
      </c>
      <c r="CT270" s="39">
        <f t="shared" si="276"/>
        <v>576.62962962962956</v>
      </c>
      <c r="CU270" s="39">
        <f t="shared" si="277"/>
        <v>561.17283950617275</v>
      </c>
      <c r="CV270" s="39">
        <f t="shared" si="317"/>
        <v>552.67489711934149</v>
      </c>
      <c r="CW270" s="297">
        <f t="shared" si="278"/>
        <v>0.30997595157144037</v>
      </c>
      <c r="CX270" s="279" t="str">
        <f t="shared" si="318"/>
        <v>Buffer and Action Plan</v>
      </c>
      <c r="CY270" s="278">
        <f t="shared" si="279"/>
        <v>0.35744508005280434</v>
      </c>
      <c r="CZ270" s="279" t="str">
        <f t="shared" si="319"/>
        <v>Presumption</v>
      </c>
      <c r="DA270" s="278">
        <f t="shared" si="280"/>
        <v>0.38950936960545746</v>
      </c>
      <c r="DB270" s="292" t="str">
        <f t="shared" si="320"/>
        <v>Presumption</v>
      </c>
      <c r="DC270" s="299">
        <f t="shared" si="321"/>
        <v>0.56311487268518512</v>
      </c>
      <c r="DD270" s="293" t="str">
        <f t="shared" si="322"/>
        <v>Presumption</v>
      </c>
      <c r="DE270" s="299">
        <f t="shared" si="323"/>
        <v>0.54115027917663716</v>
      </c>
      <c r="DF270" s="293" t="str">
        <f t="shared" si="324"/>
        <v>Presumption</v>
      </c>
      <c r="DG270" s="299">
        <f t="shared" si="325"/>
        <v>0.53972157921810693</v>
      </c>
      <c r="DH270" s="293" t="str">
        <f t="shared" si="326"/>
        <v>Presumption</v>
      </c>
    </row>
    <row r="271" spans="1:112" ht="15" thickTop="1" thickBot="1">
      <c r="A271" s="38" t="s">
        <v>652</v>
      </c>
      <c r="B271" s="38" t="s">
        <v>653</v>
      </c>
      <c r="C271" s="38" t="s">
        <v>652</v>
      </c>
      <c r="D271" s="38" t="s">
        <v>147</v>
      </c>
      <c r="E271" s="38" t="str">
        <f>VLOOKUP(C271,PoliticalControl!A:K,11,FALSE)</f>
        <v>NOC</v>
      </c>
      <c r="F271" s="38" t="str">
        <f>VLOOKUP(C271,UrbanRuralClassification!A:N,13,FALSE)</f>
        <v xml:space="preserve">Largely Rural (rural including hub towns 50-79%) </v>
      </c>
      <c r="G271" s="38" t="str">
        <f>VLOOKUP(C271,UrbanRuralClassification!A:N,14,FALSE)</f>
        <v>Predominantly Rural</v>
      </c>
      <c r="H271" s="258">
        <f>IF(ISBLANK((VLOOKUP($A271,'local-plan-data'!$C$1:$AD$566,27,FALSE)))=TRUE,"",VLOOKUP($A271,'local-plan-data'!$C$1:$AD$566,27,FALSE))</f>
        <v>41765</v>
      </c>
      <c r="I271" s="259">
        <f>VLOOKUP($A271,'local-plan-data'!$C$1:$AD$566,28,FALSE)</f>
        <v>620</v>
      </c>
      <c r="J271" s="260">
        <f t="shared" si="281"/>
        <v>620</v>
      </c>
      <c r="K271" s="259">
        <f t="shared" si="327"/>
        <v>620</v>
      </c>
      <c r="L271" s="259">
        <f t="shared" si="327"/>
        <v>620</v>
      </c>
      <c r="M271" s="259" t="str">
        <f t="shared" si="327"/>
        <v>-</v>
      </c>
      <c r="N271" s="259" t="str">
        <f t="shared" si="327"/>
        <v>-</v>
      </c>
      <c r="O271" s="259" t="str">
        <f t="shared" si="327"/>
        <v>-</v>
      </c>
      <c r="P271" s="259" t="str">
        <f t="shared" si="327"/>
        <v>-</v>
      </c>
      <c r="Q271" s="259" t="str">
        <f t="shared" si="327"/>
        <v>-</v>
      </c>
      <c r="R271" s="259" t="str">
        <f t="shared" si="327"/>
        <v>-</v>
      </c>
      <c r="S271" s="259">
        <f t="shared" si="328"/>
        <v>400</v>
      </c>
      <c r="T271" s="259">
        <f t="shared" si="328"/>
        <v>35</v>
      </c>
      <c r="U271" s="259">
        <f t="shared" si="328"/>
        <v>-331</v>
      </c>
      <c r="V271" s="259">
        <f t="shared" si="328"/>
        <v>-696</v>
      </c>
      <c r="W271" s="259">
        <f t="shared" si="328"/>
        <v>-1061</v>
      </c>
      <c r="X271" s="259">
        <f t="shared" si="328"/>
        <v>-1426</v>
      </c>
      <c r="Y271" s="259">
        <f t="shared" si="328"/>
        <v>-1792</v>
      </c>
      <c r="Z271" s="259">
        <f t="shared" si="328"/>
        <v>-2157</v>
      </c>
      <c r="AA271" s="267">
        <f>(VLOOKUP(A271,Hshldprojections2014!$A$2:$AW$319,40, FALSE)-VLOOKUP(A271,Hshldprojections2014!$A$2:$AW$319,30, FALSE))/10</f>
        <v>545.70000000000005</v>
      </c>
      <c r="AB271" s="267">
        <f>(VLOOKUP(A271,Hshldprojections2014!$A$2:$AW$319,41, FALSE)-VLOOKUP(A271,Hshldprojections2014!$A$2:$AW$319,31, FALSE))/10</f>
        <v>540.29999999999995</v>
      </c>
      <c r="AC271" s="267">
        <f>(VLOOKUP(A271,Hshldprojections2014!$A$2:$AW$319,42, FALSE)-VLOOKUP(A271,Hshldprojections2014!$A$2:$AW$319,32, FALSE))/10</f>
        <v>538.5</v>
      </c>
      <c r="AD271" s="267">
        <f>IF(IndividualLATest!$J$7=2014,(VLOOKUP($A271,Hshldprojections2014!$A$2:$AY$326,43,FALSE)-VLOOKUP($A271,Hshldprojections2014!$A$2:$AY$326,33,FALSE))/10,IF(IndividualLATest!$J$7=2016,(VLOOKUP($A271,Hshldprojections2016!$A$1:$AQ$322,33,FALSE)-VLOOKUP($A271,Hshldprojections2016!$A$1:$AQ$322,23,FALSE))/10,(VLOOKUP($A271,Hshldprojections2018!$A$1:$AQ$327,33,FALSE)-VLOOKUP($A271,Hshldprojections2018!$A$1:$AQ$327,23,FALSE))/10))</f>
        <v>784.7</v>
      </c>
      <c r="AE271" s="267">
        <f>IF(IndividualLATest!$J$7=2014,(VLOOKUP($A271,Hshldprojections2014!$A$2:$AY$326,44,FALSE)-VLOOKUP($A271,Hshldprojections2014!$A$2:$AY$326,34,FALSE))/10,IF(IndividualLATest!$J$7=2016,(VLOOKUP($A271,Hshldprojections2016!$A$1:$AQ$322,34,FALSE)-VLOOKUP($A271,Hshldprojections2016!$A$1:$AQ$322,24,FALSE))/10,(VLOOKUP($A271,Hshldprojections2018!$A$1:$AQ$327,34,FALSE)-VLOOKUP($A271,Hshldprojections2018!$A$1:$AQ$327,24,FALSE))/10))</f>
        <v>766.2</v>
      </c>
      <c r="AF271" s="267">
        <f>IF(IndividualLATest!$J$7=2014,(VLOOKUP($A271,Hshldprojections2014!$A$2:$AY$326,45,FALSE)-VLOOKUP($A271,Hshldprojections2014!$A$2:$AY$326,35,FALSE))/10,IF(IndividualLATest!$J$7=2016,(VLOOKUP($A271,Hshldprojections2016!$A$1:$AQ$322,35,FALSE)-VLOOKUP($A271,Hshldprojections2016!$A$1:$AQ$322,25,FALSE))/10,(VLOOKUP($A271,Hshldprojections2018!$A$1:$AQ$327,35,FALSE)-VLOOKUP($A271,Hshldprojections2018!$A$1:$AQ$327,25,FALSE))/10))</f>
        <v>746.5</v>
      </c>
      <c r="AG271" s="267">
        <f>IF(IndividualLATest!$J$7=2014,(VLOOKUP($A271,Hshldprojections2014!$A$2:$AY$326,46,FALSE)-VLOOKUP($A271,Hshldprojections2014!$A$2:$AY$326,36,FALSE))/10,IF(IndividualLATest!$J$7=2016,(VLOOKUP($A271,Hshldprojections2016!$A$1:$AQ$322,36,FALSE)-VLOOKUP($A271,Hshldprojections2016!$A$1:$AQ$322,26,FALSE))/10,(VLOOKUP($A271,Hshldprojections2018!$A$1:$AQ$327,36,FALSE)-VLOOKUP($A271,Hshldprojections2018!$A$1:$AQ$327,26,FALSE))/10))</f>
        <v>728</v>
      </c>
      <c r="AH271" s="267">
        <f>IF(IndividualLATest!$J$7=2014,(VLOOKUP($A271,Hshldprojections2014!$A$2:$AY$326,47,FALSE)-VLOOKUP($A271,Hshldprojections2014!$A$2:$AY$326,37,FALSE))/10,IF(IndividualLATest!$J$7=2016,(VLOOKUP($A271,Hshldprojections2016!$A$1:$AQ$322,37,FALSE)-VLOOKUP($A271,Hshldprojections2016!$A$1:$AQ$322,27,FALSE))/10,(VLOOKUP($A271,Hshldprojections2018!$A$1:$AQ$327,37,FALSE)-VLOOKUP($A271,Hshldprojections2018!$A$1:$AQ$327,27,FALSE))/10))</f>
        <v>711.8</v>
      </c>
      <c r="AI271" s="268">
        <f>VLOOKUP($A271,AffordabilityRatio!$A$2:$I$321,5,FALSE)</f>
        <v>10.89</v>
      </c>
      <c r="AJ271" s="268">
        <f>VLOOKUP($A271,AffordabilityRatio!$A$2:$I$321,6,FALSE)</f>
        <v>10.53</v>
      </c>
      <c r="AK271" s="268">
        <f>VLOOKUP($A271,AffordabilityRatio!$A$2:$I$321,7,FALSE)</f>
        <v>10.45</v>
      </c>
      <c r="AL271" s="268">
        <f>IF((VLOOKUP($A271,AffordabilityRatio!$A$2:$I$321,8,FALSE))="",AK271,VLOOKUP($A271,AffordabilityRatio!$A$2:$I$321,8,FALSE))</f>
        <v>10.33</v>
      </c>
      <c r="AM271" s="268">
        <f>IF((VLOOKUP($A271,AffordabilityRatio!$A$2:$I$321,9,FALSE))="",AL271,VLOOKUP($A271,AffordabilityRatio!$A$2:$I$321,9,FALSE))</f>
        <v>11.4</v>
      </c>
      <c r="AN271" s="268">
        <f>IF((VLOOKUP($A271,AffordabilityRatio!$A$2:$I$321,9,FALSE))="",AM271,VLOOKUP($A271,AffordabilityRatio!$A$2:$I$321,9,FALSE))</f>
        <v>11.4</v>
      </c>
      <c r="AO271" s="268">
        <f>IF((VLOOKUP($A271,AffordabilityRatio!$A$2:$I$321,9,FALSE))="",AN271,VLOOKUP($A271,AffordabilityRatio!$A$2:$I$321,9,FALSE))</f>
        <v>11.4</v>
      </c>
      <c r="AP271" s="268">
        <f>IF((VLOOKUP($A271,AffordabilityRatio!$A$2:$I$321,9,FALSE))="",AO271,VLOOKUP($A271,AffordabilityRatio!$A$2:$I$321,9,FALSE))</f>
        <v>11.4</v>
      </c>
      <c r="AQ271" s="267">
        <f t="shared" si="282"/>
        <v>781</v>
      </c>
      <c r="AR271" s="267">
        <f t="shared" si="283"/>
        <v>761</v>
      </c>
      <c r="AS271" s="267">
        <f t="shared" si="284"/>
        <v>756</v>
      </c>
      <c r="AT271" s="267">
        <f t="shared" si="285"/>
        <v>1095</v>
      </c>
      <c r="AU271" s="267">
        <f t="shared" si="286"/>
        <v>1121</v>
      </c>
      <c r="AV271" s="267">
        <f t="shared" si="287"/>
        <v>1092</v>
      </c>
      <c r="AW271" s="267">
        <f t="shared" si="288"/>
        <v>1065</v>
      </c>
      <c r="AX271" s="267">
        <f t="shared" si="289"/>
        <v>1041</v>
      </c>
      <c r="AY271" s="267">
        <f t="shared" si="290"/>
        <v>781</v>
      </c>
      <c r="AZ271" s="267">
        <f t="shared" si="291"/>
        <v>761</v>
      </c>
      <c r="BA271" s="267">
        <f t="shared" si="292"/>
        <v>756</v>
      </c>
      <c r="BB271" s="267">
        <f t="shared" si="293"/>
        <v>1095</v>
      </c>
      <c r="BC271" s="267">
        <f t="shared" si="294"/>
        <v>1072.68</v>
      </c>
      <c r="BD271" s="267">
        <f t="shared" si="295"/>
        <v>1045.0999999999999</v>
      </c>
      <c r="BE271" s="267">
        <f t="shared" si="296"/>
        <v>1019.2</v>
      </c>
      <c r="BF271" s="267">
        <f t="shared" si="297"/>
        <v>996.52</v>
      </c>
      <c r="BG271" s="269">
        <f>AY271*VLOOKUP($B271,'Major Cities &amp; Towns'!$A$28:$B$345,2,FALSE)</f>
        <v>781</v>
      </c>
      <c r="BH271" s="269">
        <f>AZ271*VLOOKUP($B271,'Major Cities &amp; Towns'!$A$28:$B$345,2,FALSE)</f>
        <v>761</v>
      </c>
      <c r="BI271" s="269">
        <f>BA271*VLOOKUP($B271,'Major Cities &amp; Towns'!$A$28:$B$345,2,FALSE)</f>
        <v>756</v>
      </c>
      <c r="BJ271" s="269">
        <f>BB271*VLOOKUP($B271,'Major Cities &amp; Towns'!$A$28:$B$345,2,FALSE)</f>
        <v>1095</v>
      </c>
      <c r="BK271" s="269">
        <f>BC271*VLOOKUP($B271,'Major Cities &amp; Towns'!$A$28:$B$345,2,FALSE)</f>
        <v>1072.68</v>
      </c>
      <c r="BL271" s="269">
        <f>BD271*VLOOKUP($B271,'Major Cities &amp; Towns'!$A$28:$B$345,2,FALSE)</f>
        <v>1045.0999999999999</v>
      </c>
      <c r="BM271" s="269">
        <f>BE271*VLOOKUP($B271,'Major Cities &amp; Towns'!$A$28:$B$345,2,FALSE)</f>
        <v>1019.2</v>
      </c>
      <c r="BN271" s="269">
        <f>BF271*VLOOKUP($B271,'Major Cities &amp; Towns'!$A$28:$B$345,2,FALSE)</f>
        <v>996.52</v>
      </c>
      <c r="BO271" s="270">
        <f t="shared" si="298"/>
        <v>620</v>
      </c>
      <c r="BP271" s="270">
        <f t="shared" si="299"/>
        <v>747.47945205479448</v>
      </c>
      <c r="BQ271" s="270">
        <f t="shared" si="300"/>
        <v>756</v>
      </c>
      <c r="BR271" s="270">
        <f t="shared" si="301"/>
        <v>1095</v>
      </c>
      <c r="BS271" s="270">
        <f t="shared" si="302"/>
        <v>1121</v>
      </c>
      <c r="BT271" s="270">
        <f t="shared" si="303"/>
        <v>1092</v>
      </c>
      <c r="BU271" s="270">
        <f t="shared" si="304"/>
        <v>1065</v>
      </c>
      <c r="BV271" s="270">
        <f t="shared" si="305"/>
        <v>1041</v>
      </c>
      <c r="BW271" s="39">
        <f>VLOOKUP($A271,NetAdditions!$A$2:$H$336,6,FALSE)</f>
        <v>644</v>
      </c>
      <c r="BX271" s="39">
        <f>VLOOKUP($A271,NetAdditions!$A$2:$H$336,7,FALSE)</f>
        <v>448</v>
      </c>
      <c r="BY271" s="39">
        <f>IF((VLOOKUP($C271,NetAdditions!$A$2:$H$336,8,FALSE))="",(AVERAGE(VLOOKUP($C271,NetAdditions!$A$2:$H$336,5,FALSE),VLOOKUP($C271,NetAdditions!$A$2:$H$336,6,FALSE),VLOOKUP($C271,NetAdditions!$A$2:$H$336,7,FALSE))),VLOOKUP($C271,NetAdditions!$A$2:$H$336,8,FALSE))</f>
        <v>473</v>
      </c>
      <c r="BZ271" s="39">
        <f t="shared" si="306"/>
        <v>521.66666666666663</v>
      </c>
      <c r="CA271" s="39">
        <f t="shared" si="307"/>
        <v>480.88888888888886</v>
      </c>
      <c r="CB271" s="39">
        <f t="shared" si="308"/>
        <v>491.85185185185179</v>
      </c>
      <c r="CC271" s="39">
        <f t="shared" si="309"/>
        <v>498.13580246913574</v>
      </c>
      <c r="CD271" s="39">
        <f t="shared" si="310"/>
        <v>490.29218106995881</v>
      </c>
      <c r="CE271" s="276">
        <f t="shared" si="267"/>
        <v>2123.4794520547944</v>
      </c>
      <c r="CF271" s="276">
        <f t="shared" si="268"/>
        <v>2598.4794520547944</v>
      </c>
      <c r="CG271" s="276">
        <f t="shared" si="269"/>
        <v>2972</v>
      </c>
      <c r="CH271" s="276">
        <f t="shared" si="270"/>
        <v>3308</v>
      </c>
      <c r="CI271" s="276">
        <f t="shared" si="271"/>
        <v>3278</v>
      </c>
      <c r="CJ271" s="276">
        <f t="shared" si="272"/>
        <v>3198</v>
      </c>
      <c r="CK271" s="276">
        <f t="shared" si="311"/>
        <v>1828.5517503805174</v>
      </c>
      <c r="CL271" s="276">
        <f t="shared" si="312"/>
        <v>2237.5795281582955</v>
      </c>
      <c r="CM271" s="276">
        <f t="shared" si="313"/>
        <v>2724.333333333333</v>
      </c>
      <c r="CN271" s="276">
        <f t="shared" si="314"/>
        <v>3308</v>
      </c>
      <c r="CO271" s="276">
        <f t="shared" si="315"/>
        <v>3278</v>
      </c>
      <c r="CP271" s="276">
        <f t="shared" si="316"/>
        <v>3198</v>
      </c>
      <c r="CQ271" s="39">
        <f t="shared" si="273"/>
        <v>1565</v>
      </c>
      <c r="CR271" s="39">
        <f t="shared" si="274"/>
        <v>1442.6666666666665</v>
      </c>
      <c r="CS271" s="277">
        <f t="shared" si="275"/>
        <v>1475.5555555555554</v>
      </c>
      <c r="CT271" s="39">
        <f t="shared" si="276"/>
        <v>1494.4074074074072</v>
      </c>
      <c r="CU271" s="39">
        <f t="shared" si="277"/>
        <v>1470.8765432098764</v>
      </c>
      <c r="CV271" s="39">
        <f t="shared" si="317"/>
        <v>1480.2798353909463</v>
      </c>
      <c r="CW271" s="297">
        <f t="shared" si="278"/>
        <v>0.8558685854389011</v>
      </c>
      <c r="CX271" s="279" t="str">
        <f t="shared" si="318"/>
        <v>Action Plan</v>
      </c>
      <c r="CY271" s="278">
        <f t="shared" si="279"/>
        <v>0.64474430897841428</v>
      </c>
      <c r="CZ271" s="279" t="str">
        <f t="shared" si="319"/>
        <v>Buffer and Action Plan</v>
      </c>
      <c r="DA271" s="278">
        <f t="shared" si="280"/>
        <v>0.5416207838818875</v>
      </c>
      <c r="DB271" s="292" t="str">
        <f t="shared" si="320"/>
        <v>Presumption</v>
      </c>
      <c r="DC271" s="299">
        <f t="shared" si="321"/>
        <v>0.4517555645125173</v>
      </c>
      <c r="DD271" s="293" t="str">
        <f t="shared" si="322"/>
        <v>Presumption</v>
      </c>
      <c r="DE271" s="299">
        <f t="shared" si="323"/>
        <v>0.44871157510978538</v>
      </c>
      <c r="DF271" s="293" t="str">
        <f t="shared" si="324"/>
        <v>Presumption</v>
      </c>
      <c r="DG271" s="299">
        <f t="shared" si="325"/>
        <v>0.46287674652624966</v>
      </c>
      <c r="DH271" s="293" t="str">
        <f t="shared" si="326"/>
        <v>Presumption</v>
      </c>
    </row>
    <row r="272" spans="1:112" ht="15" thickTop="1" thickBot="1">
      <c r="A272" s="38" t="s">
        <v>654</v>
      </c>
      <c r="B272" s="38" t="s">
        <v>655</v>
      </c>
      <c r="C272" s="38" t="s">
        <v>654</v>
      </c>
      <c r="D272" s="38" t="s">
        <v>154</v>
      </c>
      <c r="E272" s="38" t="str">
        <f>VLOOKUP(C272,PoliticalControl!A:K,11,FALSE)</f>
        <v>LAB</v>
      </c>
      <c r="F272" s="38" t="str">
        <f>VLOOKUP(C272,UrbanRuralClassification!A:N,13,FALSE)</f>
        <v>Urban with City and Town</v>
      </c>
      <c r="G272" s="38" t="str">
        <f>VLOOKUP(C272,UrbanRuralClassification!A:N,14,FALSE)</f>
        <v>Predominantly Urban</v>
      </c>
      <c r="H272" s="258">
        <f>IF(ISBLANK((VLOOKUP($A272,'local-plan-data'!$C$1:$AD$566,27,FALSE)))=TRUE,"",VLOOKUP($A272,'local-plan-data'!$C$1:$AD$566,27,FALSE))</f>
        <v>43111</v>
      </c>
      <c r="I272" s="259">
        <f>VLOOKUP($A272,'local-plan-data'!$C$1:$AD$566,28,FALSE)</f>
        <v>864</v>
      </c>
      <c r="J272" s="260">
        <f t="shared" si="281"/>
        <v>864</v>
      </c>
      <c r="K272" s="259">
        <f t="shared" si="327"/>
        <v>864</v>
      </c>
      <c r="L272" s="259">
        <f t="shared" si="327"/>
        <v>864</v>
      </c>
      <c r="M272" s="259">
        <f t="shared" si="327"/>
        <v>864</v>
      </c>
      <c r="N272" s="259">
        <f t="shared" si="327"/>
        <v>864</v>
      </c>
      <c r="O272" s="259">
        <f t="shared" si="327"/>
        <v>864</v>
      </c>
      <c r="P272" s="259" t="str">
        <f t="shared" si="327"/>
        <v>-</v>
      </c>
      <c r="Q272" s="259" t="str">
        <f t="shared" si="327"/>
        <v>-</v>
      </c>
      <c r="R272" s="259" t="str">
        <f t="shared" si="327"/>
        <v>-</v>
      </c>
      <c r="S272" s="259">
        <f t="shared" si="328"/>
        <v>1746</v>
      </c>
      <c r="T272" s="259">
        <f t="shared" si="328"/>
        <v>1381</v>
      </c>
      <c r="U272" s="259">
        <f t="shared" si="328"/>
        <v>1015</v>
      </c>
      <c r="V272" s="259">
        <f t="shared" si="328"/>
        <v>650</v>
      </c>
      <c r="W272" s="259">
        <f t="shared" si="328"/>
        <v>285</v>
      </c>
      <c r="X272" s="259">
        <f t="shared" si="328"/>
        <v>-80</v>
      </c>
      <c r="Y272" s="259">
        <f t="shared" si="328"/>
        <v>-446</v>
      </c>
      <c r="Z272" s="259">
        <f t="shared" si="328"/>
        <v>-811</v>
      </c>
      <c r="AA272" s="267">
        <f>(VLOOKUP(A272,Hshldprojections2014!$A$2:$AW$319,40, FALSE)-VLOOKUP(A272,Hshldprojections2014!$A$2:$AW$319,30, FALSE))/10</f>
        <v>474.9</v>
      </c>
      <c r="AB272" s="267">
        <f>(VLOOKUP(A272,Hshldprojections2014!$A$2:$AW$319,41, FALSE)-VLOOKUP(A272,Hshldprojections2014!$A$2:$AW$319,31, FALSE))/10</f>
        <v>463.3</v>
      </c>
      <c r="AC272" s="267">
        <f>(VLOOKUP(A272,Hshldprojections2014!$A$2:$AW$319,42, FALSE)-VLOOKUP(A272,Hshldprojections2014!$A$2:$AW$319,32, FALSE))/10</f>
        <v>452.3</v>
      </c>
      <c r="AD272" s="267">
        <f>IF(IndividualLATest!$J$7=2014,(VLOOKUP($A272,Hshldprojections2014!$A$2:$AY$326,43,FALSE)-VLOOKUP($A272,Hshldprojections2014!$A$2:$AY$326,33,FALSE))/10,IF(IndividualLATest!$J$7=2016,(VLOOKUP($A272,Hshldprojections2016!$A$1:$AQ$322,33,FALSE)-VLOOKUP($A272,Hshldprojections2016!$A$1:$AQ$322,23,FALSE))/10,(VLOOKUP($A272,Hshldprojections2018!$A$1:$AQ$327,33,FALSE)-VLOOKUP($A272,Hshldprojections2018!$A$1:$AQ$327,23,FALSE))/10))</f>
        <v>823.1</v>
      </c>
      <c r="AE272" s="267">
        <f>IF(IndividualLATest!$J$7=2014,(VLOOKUP($A272,Hshldprojections2014!$A$2:$AY$326,44,FALSE)-VLOOKUP($A272,Hshldprojections2014!$A$2:$AY$326,34,FALSE))/10,IF(IndividualLATest!$J$7=2016,(VLOOKUP($A272,Hshldprojections2016!$A$1:$AQ$322,34,FALSE)-VLOOKUP($A272,Hshldprojections2016!$A$1:$AQ$322,24,FALSE))/10,(VLOOKUP($A272,Hshldprojections2018!$A$1:$AQ$327,34,FALSE)-VLOOKUP($A272,Hshldprojections2018!$A$1:$AQ$327,24,FALSE))/10))</f>
        <v>802.6</v>
      </c>
      <c r="AF272" s="267">
        <f>IF(IndividualLATest!$J$7=2014,(VLOOKUP($A272,Hshldprojections2014!$A$2:$AY$326,45,FALSE)-VLOOKUP($A272,Hshldprojections2014!$A$2:$AY$326,35,FALSE))/10,IF(IndividualLATest!$J$7=2016,(VLOOKUP($A272,Hshldprojections2016!$A$1:$AQ$322,35,FALSE)-VLOOKUP($A272,Hshldprojections2016!$A$1:$AQ$322,25,FALSE))/10,(VLOOKUP($A272,Hshldprojections2018!$A$1:$AQ$327,35,FALSE)-VLOOKUP($A272,Hshldprojections2018!$A$1:$AQ$327,25,FALSE))/10))</f>
        <v>789.5</v>
      </c>
      <c r="AG272" s="267">
        <f>IF(IndividualLATest!$J$7=2014,(VLOOKUP($A272,Hshldprojections2014!$A$2:$AY$326,46,FALSE)-VLOOKUP($A272,Hshldprojections2014!$A$2:$AY$326,36,FALSE))/10,IF(IndividualLATest!$J$7=2016,(VLOOKUP($A272,Hshldprojections2016!$A$1:$AQ$322,36,FALSE)-VLOOKUP($A272,Hshldprojections2016!$A$1:$AQ$322,26,FALSE))/10,(VLOOKUP($A272,Hshldprojections2018!$A$1:$AQ$327,36,FALSE)-VLOOKUP($A272,Hshldprojections2018!$A$1:$AQ$327,26,FALSE))/10))</f>
        <v>774</v>
      </c>
      <c r="AH272" s="267">
        <f>IF(IndividualLATest!$J$7=2014,(VLOOKUP($A272,Hshldprojections2014!$A$2:$AY$326,47,FALSE)-VLOOKUP($A272,Hshldprojections2014!$A$2:$AY$326,37,FALSE))/10,IF(IndividualLATest!$J$7=2016,(VLOOKUP($A272,Hshldprojections2016!$A$1:$AQ$322,37,FALSE)-VLOOKUP($A272,Hshldprojections2016!$A$1:$AQ$322,27,FALSE))/10,(VLOOKUP($A272,Hshldprojections2018!$A$1:$AQ$327,37,FALSE)-VLOOKUP($A272,Hshldprojections2018!$A$1:$AQ$327,27,FALSE))/10))</f>
        <v>761.3</v>
      </c>
      <c r="AI272" s="268">
        <f>VLOOKUP($A272,AffordabilityRatio!$A$2:$I$321,5,FALSE)</f>
        <v>6.44</v>
      </c>
      <c r="AJ272" s="268">
        <f>VLOOKUP($A272,AffordabilityRatio!$A$2:$I$321,6,FALSE)</f>
        <v>6.19</v>
      </c>
      <c r="AK272" s="268">
        <f>VLOOKUP($A272,AffordabilityRatio!$A$2:$I$321,7,FALSE)</f>
        <v>6.05</v>
      </c>
      <c r="AL272" s="268">
        <f>IF((VLOOKUP($A272,AffordabilityRatio!$A$2:$I$321,8,FALSE))="",AK272,VLOOKUP($A272,AffordabilityRatio!$A$2:$I$321,8,FALSE))</f>
        <v>5.94</v>
      </c>
      <c r="AM272" s="268">
        <f>IF((VLOOKUP($A272,AffordabilityRatio!$A$2:$I$321,9,FALSE))="",AL272,VLOOKUP($A272,AffordabilityRatio!$A$2:$I$321,9,FALSE))</f>
        <v>6.53</v>
      </c>
      <c r="AN272" s="268">
        <f>IF((VLOOKUP($A272,AffordabilityRatio!$A$2:$I$321,9,FALSE))="",AM272,VLOOKUP($A272,AffordabilityRatio!$A$2:$I$321,9,FALSE))</f>
        <v>6.53</v>
      </c>
      <c r="AO272" s="268">
        <f>IF((VLOOKUP($A272,AffordabilityRatio!$A$2:$I$321,9,FALSE))="",AN272,VLOOKUP($A272,AffordabilityRatio!$A$2:$I$321,9,FALSE))</f>
        <v>6.53</v>
      </c>
      <c r="AP272" s="268">
        <f>IF((VLOOKUP($A272,AffordabilityRatio!$A$2:$I$321,9,FALSE))="",AO272,VLOOKUP($A272,AffordabilityRatio!$A$2:$I$321,9,FALSE))</f>
        <v>6.53</v>
      </c>
      <c r="AQ272" s="267">
        <f t="shared" si="282"/>
        <v>547</v>
      </c>
      <c r="AR272" s="267">
        <f t="shared" si="283"/>
        <v>527</v>
      </c>
      <c r="AS272" s="267">
        <f t="shared" si="284"/>
        <v>510</v>
      </c>
      <c r="AT272" s="267">
        <f t="shared" si="285"/>
        <v>923</v>
      </c>
      <c r="AU272" s="267">
        <f t="shared" si="286"/>
        <v>930</v>
      </c>
      <c r="AV272" s="267">
        <f t="shared" si="287"/>
        <v>914</v>
      </c>
      <c r="AW272" s="267">
        <f t="shared" si="288"/>
        <v>896</v>
      </c>
      <c r="AX272" s="267">
        <f t="shared" si="289"/>
        <v>882</v>
      </c>
      <c r="AY272" s="267">
        <f t="shared" si="290"/>
        <v>547</v>
      </c>
      <c r="AZ272" s="267">
        <f t="shared" si="291"/>
        <v>527</v>
      </c>
      <c r="BA272" s="267">
        <f t="shared" si="292"/>
        <v>510</v>
      </c>
      <c r="BB272" s="267">
        <f t="shared" si="293"/>
        <v>923</v>
      </c>
      <c r="BC272" s="267">
        <f t="shared" si="294"/>
        <v>930</v>
      </c>
      <c r="BD272" s="267">
        <f t="shared" si="295"/>
        <v>914</v>
      </c>
      <c r="BE272" s="267">
        <f t="shared" si="296"/>
        <v>896</v>
      </c>
      <c r="BF272" s="267">
        <f t="shared" si="297"/>
        <v>882</v>
      </c>
      <c r="BG272" s="269">
        <f>AY272*VLOOKUP($B272,'Major Cities &amp; Towns'!$A$28:$B$345,2,FALSE)</f>
        <v>547</v>
      </c>
      <c r="BH272" s="269">
        <f>AZ272*VLOOKUP($B272,'Major Cities &amp; Towns'!$A$28:$B$345,2,FALSE)</f>
        <v>527</v>
      </c>
      <c r="BI272" s="269">
        <f>BA272*VLOOKUP($B272,'Major Cities &amp; Towns'!$A$28:$B$345,2,FALSE)</f>
        <v>510</v>
      </c>
      <c r="BJ272" s="269">
        <f>BB272*VLOOKUP($B272,'Major Cities &amp; Towns'!$A$28:$B$345,2,FALSE)</f>
        <v>923</v>
      </c>
      <c r="BK272" s="269">
        <f>BC272*VLOOKUP($B272,'Major Cities &amp; Towns'!$A$28:$B$345,2,FALSE)</f>
        <v>930</v>
      </c>
      <c r="BL272" s="269">
        <f>BD272*VLOOKUP($B272,'Major Cities &amp; Towns'!$A$28:$B$345,2,FALSE)</f>
        <v>914</v>
      </c>
      <c r="BM272" s="269">
        <f>BE272*VLOOKUP($B272,'Major Cities &amp; Towns'!$A$28:$B$345,2,FALSE)</f>
        <v>896</v>
      </c>
      <c r="BN272" s="269">
        <f>BF272*VLOOKUP($B272,'Major Cities &amp; Towns'!$A$28:$B$345,2,FALSE)</f>
        <v>882</v>
      </c>
      <c r="BO272" s="270">
        <f t="shared" si="298"/>
        <v>547</v>
      </c>
      <c r="BP272" s="270">
        <f t="shared" si="299"/>
        <v>527</v>
      </c>
      <c r="BQ272" s="270">
        <f t="shared" si="300"/>
        <v>510</v>
      </c>
      <c r="BR272" s="270">
        <f t="shared" si="301"/>
        <v>864</v>
      </c>
      <c r="BS272" s="270">
        <f t="shared" si="302"/>
        <v>878.46575342465758</v>
      </c>
      <c r="BT272" s="270">
        <f t="shared" si="303"/>
        <v>914</v>
      </c>
      <c r="BU272" s="270">
        <f t="shared" si="304"/>
        <v>896</v>
      </c>
      <c r="BV272" s="270">
        <f t="shared" si="305"/>
        <v>882</v>
      </c>
      <c r="BW272" s="39">
        <f>VLOOKUP($A272,NetAdditions!$A$2:$H$336,6,FALSE)</f>
        <v>1356</v>
      </c>
      <c r="BX272" s="39">
        <f>VLOOKUP($A272,NetAdditions!$A$2:$H$336,7,FALSE)</f>
        <v>991</v>
      </c>
      <c r="BY272" s="39">
        <f>IF((VLOOKUP($C272,NetAdditions!$A$2:$H$336,8,FALSE))="",(AVERAGE(VLOOKUP($C272,NetAdditions!$A$2:$H$336,5,FALSE),VLOOKUP($C272,NetAdditions!$A$2:$H$336,6,FALSE),VLOOKUP($C272,NetAdditions!$A$2:$H$336,7,FALSE))),VLOOKUP($C272,NetAdditions!$A$2:$H$336,8,FALSE))</f>
        <v>836</v>
      </c>
      <c r="BZ272" s="39">
        <f t="shared" si="306"/>
        <v>1061</v>
      </c>
      <c r="CA272" s="39">
        <f t="shared" si="307"/>
        <v>962.66666666666663</v>
      </c>
      <c r="CB272" s="39">
        <f t="shared" si="308"/>
        <v>953.22222222222217</v>
      </c>
      <c r="CC272" s="39">
        <f t="shared" si="309"/>
        <v>992.29629629629619</v>
      </c>
      <c r="CD272" s="39">
        <f t="shared" si="310"/>
        <v>969.39506172839492</v>
      </c>
      <c r="CE272" s="276">
        <f t="shared" si="267"/>
        <v>1584</v>
      </c>
      <c r="CF272" s="276">
        <f t="shared" si="268"/>
        <v>1901</v>
      </c>
      <c r="CG272" s="276">
        <f t="shared" si="269"/>
        <v>2252.4657534246576</v>
      </c>
      <c r="CH272" s="276">
        <f t="shared" si="270"/>
        <v>2656.4657534246576</v>
      </c>
      <c r="CI272" s="276">
        <f t="shared" si="271"/>
        <v>2688.4657534246576</v>
      </c>
      <c r="CJ272" s="276">
        <f t="shared" si="272"/>
        <v>2692</v>
      </c>
      <c r="CK272" s="276">
        <f t="shared" si="311"/>
        <v>1364</v>
      </c>
      <c r="CL272" s="276">
        <f t="shared" si="312"/>
        <v>1636.9722222222224</v>
      </c>
      <c r="CM272" s="276">
        <f t="shared" si="313"/>
        <v>2064.7602739726026</v>
      </c>
      <c r="CN272" s="276">
        <f t="shared" si="314"/>
        <v>2656.4657534246576</v>
      </c>
      <c r="CO272" s="276">
        <f t="shared" si="315"/>
        <v>2688.4657534246576</v>
      </c>
      <c r="CP272" s="276">
        <f t="shared" si="316"/>
        <v>2692</v>
      </c>
      <c r="CQ272" s="39">
        <f t="shared" si="273"/>
        <v>3183</v>
      </c>
      <c r="CR272" s="39">
        <f t="shared" si="274"/>
        <v>2888</v>
      </c>
      <c r="CS272" s="277">
        <f t="shared" si="275"/>
        <v>2859.6666666666665</v>
      </c>
      <c r="CT272" s="39">
        <f t="shared" si="276"/>
        <v>2976.8888888888887</v>
      </c>
      <c r="CU272" s="39">
        <f t="shared" si="277"/>
        <v>2908.1851851851848</v>
      </c>
      <c r="CV272" s="39">
        <f t="shared" si="317"/>
        <v>2914.9135802469132</v>
      </c>
      <c r="CW272" s="297">
        <f t="shared" si="278"/>
        <v>2.3335777126099706</v>
      </c>
      <c r="CX272" s="279" t="str">
        <f t="shared" si="318"/>
        <v>Pass</v>
      </c>
      <c r="CY272" s="278">
        <f t="shared" si="279"/>
        <v>1.7642327467716481</v>
      </c>
      <c r="CZ272" s="279" t="str">
        <f t="shared" si="319"/>
        <v>Pass</v>
      </c>
      <c r="DA272" s="278">
        <f t="shared" si="280"/>
        <v>1.3849872562516241</v>
      </c>
      <c r="DB272" s="292" t="str">
        <f t="shared" si="320"/>
        <v>Pass</v>
      </c>
      <c r="DC272" s="299">
        <f t="shared" si="321"/>
        <v>1.1206200889475608</v>
      </c>
      <c r="DD272" s="293" t="str">
        <f t="shared" si="322"/>
        <v>Pass</v>
      </c>
      <c r="DE272" s="299">
        <f t="shared" si="323"/>
        <v>1.0817266991333778</v>
      </c>
      <c r="DF272" s="293" t="str">
        <f t="shared" si="324"/>
        <v>Pass</v>
      </c>
      <c r="DG272" s="299">
        <f t="shared" si="325"/>
        <v>1.0828059361987048</v>
      </c>
      <c r="DH272" s="293" t="str">
        <f t="shared" si="326"/>
        <v>Pass</v>
      </c>
    </row>
    <row r="273" spans="1:112" ht="15" thickTop="1" thickBot="1">
      <c r="A273" s="38" t="s">
        <v>656</v>
      </c>
      <c r="B273" s="38" t="s">
        <v>657</v>
      </c>
      <c r="C273" s="38" t="s">
        <v>656</v>
      </c>
      <c r="D273" s="38" t="s">
        <v>128</v>
      </c>
      <c r="E273" s="38" t="str">
        <f>VLOOKUP(C273,PoliticalControl!A:K,11,FALSE)</f>
        <v>NOC</v>
      </c>
      <c r="F273" s="38" t="str">
        <f>VLOOKUP(C273,UrbanRuralClassification!A:N,13,FALSE)</f>
        <v xml:space="preserve">Largely Rural (rural including hub towns 50-79%) </v>
      </c>
      <c r="G273" s="38" t="str">
        <f>VLOOKUP(C273,UrbanRuralClassification!A:N,14,FALSE)</f>
        <v>Predominantly Rural</v>
      </c>
      <c r="H273" s="258">
        <f>IF(ISBLANK((VLOOKUP($A273,'local-plan-data'!$C$1:$AD$566,27,FALSE)))=TRUE,"",VLOOKUP($A273,'local-plan-data'!$C$1:$AD$566,27,FALSE))</f>
        <v>44222</v>
      </c>
      <c r="I273" s="259">
        <f>VLOOKUP($A273,'local-plan-data'!$C$1:$AD$566,28,FALSE)</f>
        <v>550</v>
      </c>
      <c r="J273" s="260">
        <f t="shared" si="281"/>
        <v>550</v>
      </c>
      <c r="K273" s="259">
        <f t="shared" si="327"/>
        <v>550</v>
      </c>
      <c r="L273" s="259">
        <f t="shared" si="327"/>
        <v>550</v>
      </c>
      <c r="M273" s="259">
        <f t="shared" si="327"/>
        <v>550</v>
      </c>
      <c r="N273" s="259">
        <f t="shared" si="327"/>
        <v>550</v>
      </c>
      <c r="O273" s="259">
        <f t="shared" si="327"/>
        <v>550</v>
      </c>
      <c r="P273" s="259">
        <f t="shared" si="327"/>
        <v>550</v>
      </c>
      <c r="Q273" s="259">
        <f t="shared" si="327"/>
        <v>550</v>
      </c>
      <c r="R273" s="259">
        <f t="shared" si="327"/>
        <v>550</v>
      </c>
      <c r="S273" s="259">
        <f t="shared" si="328"/>
        <v>2857</v>
      </c>
      <c r="T273" s="259">
        <f t="shared" si="328"/>
        <v>2492</v>
      </c>
      <c r="U273" s="259">
        <f t="shared" si="328"/>
        <v>2126</v>
      </c>
      <c r="V273" s="259">
        <f t="shared" si="328"/>
        <v>1761</v>
      </c>
      <c r="W273" s="259">
        <f t="shared" si="328"/>
        <v>1396</v>
      </c>
      <c r="X273" s="259">
        <f t="shared" si="328"/>
        <v>1031</v>
      </c>
      <c r="Y273" s="259">
        <f t="shared" si="328"/>
        <v>665</v>
      </c>
      <c r="Z273" s="259">
        <f t="shared" si="328"/>
        <v>300</v>
      </c>
      <c r="AA273" s="267">
        <f>(VLOOKUP(A273,Hshldprojections2014!$A$2:$AW$319,40, FALSE)-VLOOKUP(A273,Hshldprojections2014!$A$2:$AW$319,30, FALSE))/10</f>
        <v>639.9</v>
      </c>
      <c r="AB273" s="267">
        <f>(VLOOKUP(A273,Hshldprojections2014!$A$2:$AW$319,41, FALSE)-VLOOKUP(A273,Hshldprojections2014!$A$2:$AW$319,31, FALSE))/10</f>
        <v>654.70000000000005</v>
      </c>
      <c r="AC273" s="267">
        <f>(VLOOKUP(A273,Hshldprojections2014!$A$2:$AW$319,42, FALSE)-VLOOKUP(A273,Hshldprojections2014!$A$2:$AW$319,32, FALSE))/10</f>
        <v>668.5</v>
      </c>
      <c r="AD273" s="267">
        <f>IF(IndividualLATest!$J$7=2014,(VLOOKUP($A273,Hshldprojections2014!$A$2:$AY$326,43,FALSE)-VLOOKUP($A273,Hshldprojections2014!$A$2:$AY$326,33,FALSE))/10,IF(IndividualLATest!$J$7=2016,(VLOOKUP($A273,Hshldprojections2016!$A$1:$AQ$322,33,FALSE)-VLOOKUP($A273,Hshldprojections2016!$A$1:$AQ$322,23,FALSE))/10,(VLOOKUP($A273,Hshldprojections2018!$A$1:$AQ$327,33,FALSE)-VLOOKUP($A273,Hshldprojections2018!$A$1:$AQ$327,23,FALSE))/10))</f>
        <v>715.9</v>
      </c>
      <c r="AE273" s="267">
        <f>IF(IndividualLATest!$J$7=2014,(VLOOKUP($A273,Hshldprojections2014!$A$2:$AY$326,44,FALSE)-VLOOKUP($A273,Hshldprojections2014!$A$2:$AY$326,34,FALSE))/10,IF(IndividualLATest!$J$7=2016,(VLOOKUP($A273,Hshldprojections2016!$A$1:$AQ$322,34,FALSE)-VLOOKUP($A273,Hshldprojections2016!$A$1:$AQ$322,24,FALSE))/10,(VLOOKUP($A273,Hshldprojections2018!$A$1:$AQ$327,34,FALSE)-VLOOKUP($A273,Hshldprojections2018!$A$1:$AQ$327,24,FALSE))/10))</f>
        <v>712.1</v>
      </c>
      <c r="AF273" s="267">
        <f>IF(IndividualLATest!$J$7=2014,(VLOOKUP($A273,Hshldprojections2014!$A$2:$AY$326,45,FALSE)-VLOOKUP($A273,Hshldprojections2014!$A$2:$AY$326,35,FALSE))/10,IF(IndividualLATest!$J$7=2016,(VLOOKUP($A273,Hshldprojections2016!$A$1:$AQ$322,35,FALSE)-VLOOKUP($A273,Hshldprojections2016!$A$1:$AQ$322,25,FALSE))/10,(VLOOKUP($A273,Hshldprojections2018!$A$1:$AQ$327,35,FALSE)-VLOOKUP($A273,Hshldprojections2018!$A$1:$AQ$327,25,FALSE))/10))</f>
        <v>707.1</v>
      </c>
      <c r="AG273" s="267">
        <f>IF(IndividualLATest!$J$7=2014,(VLOOKUP($A273,Hshldprojections2014!$A$2:$AY$326,46,FALSE)-VLOOKUP($A273,Hshldprojections2014!$A$2:$AY$326,36,FALSE))/10,IF(IndividualLATest!$J$7=2016,(VLOOKUP($A273,Hshldprojections2016!$A$1:$AQ$322,36,FALSE)-VLOOKUP($A273,Hshldprojections2016!$A$1:$AQ$322,26,FALSE))/10,(VLOOKUP($A273,Hshldprojections2018!$A$1:$AQ$327,36,FALSE)-VLOOKUP($A273,Hshldprojections2018!$A$1:$AQ$327,26,FALSE))/10))</f>
        <v>703.4</v>
      </c>
      <c r="AH273" s="267">
        <f>IF(IndividualLATest!$J$7=2014,(VLOOKUP($A273,Hshldprojections2014!$A$2:$AY$326,47,FALSE)-VLOOKUP($A273,Hshldprojections2014!$A$2:$AY$326,37,FALSE))/10,IF(IndividualLATest!$J$7=2016,(VLOOKUP($A273,Hshldprojections2016!$A$1:$AQ$322,37,FALSE)-VLOOKUP($A273,Hshldprojections2016!$A$1:$AQ$322,27,FALSE))/10,(VLOOKUP($A273,Hshldprojections2018!$A$1:$AQ$327,37,FALSE)-VLOOKUP($A273,Hshldprojections2018!$A$1:$AQ$327,27,FALSE))/10))</f>
        <v>702.8</v>
      </c>
      <c r="AI273" s="268">
        <f>VLOOKUP($A273,AffordabilityRatio!$A$2:$I$321,5,FALSE)</f>
        <v>9.08</v>
      </c>
      <c r="AJ273" s="268">
        <f>VLOOKUP($A273,AffordabilityRatio!$A$2:$I$321,6,FALSE)</f>
        <v>9</v>
      </c>
      <c r="AK273" s="268">
        <f>VLOOKUP($A273,AffordabilityRatio!$A$2:$I$321,7,FALSE)</f>
        <v>8.75</v>
      </c>
      <c r="AL273" s="268">
        <f>IF((VLOOKUP($A273,AffordabilityRatio!$A$2:$I$321,8,FALSE))="",AK273,VLOOKUP($A273,AffordabilityRatio!$A$2:$I$321,8,FALSE))</f>
        <v>8.52</v>
      </c>
      <c r="AM273" s="268">
        <f>IF((VLOOKUP($A273,AffordabilityRatio!$A$2:$I$321,9,FALSE))="",AL273,VLOOKUP($A273,AffordabilityRatio!$A$2:$I$321,9,FALSE))</f>
        <v>9.2799999999999994</v>
      </c>
      <c r="AN273" s="268">
        <f>IF((VLOOKUP($A273,AffordabilityRatio!$A$2:$I$321,9,FALSE))="",AM273,VLOOKUP($A273,AffordabilityRatio!$A$2:$I$321,9,FALSE))</f>
        <v>9.2799999999999994</v>
      </c>
      <c r="AO273" s="268">
        <f>IF((VLOOKUP($A273,AffordabilityRatio!$A$2:$I$321,9,FALSE))="",AN273,VLOOKUP($A273,AffordabilityRatio!$A$2:$I$321,9,FALSE))</f>
        <v>9.2799999999999994</v>
      </c>
      <c r="AP273" s="268">
        <f>IF((VLOOKUP($A273,AffordabilityRatio!$A$2:$I$321,9,FALSE))="",AO273,VLOOKUP($A273,AffordabilityRatio!$A$2:$I$321,9,FALSE))</f>
        <v>9.2799999999999994</v>
      </c>
      <c r="AQ273" s="267">
        <f t="shared" si="282"/>
        <v>843</v>
      </c>
      <c r="AR273" s="267">
        <f t="shared" si="283"/>
        <v>859</v>
      </c>
      <c r="AS273" s="267">
        <f t="shared" si="284"/>
        <v>867</v>
      </c>
      <c r="AT273" s="267">
        <f t="shared" si="285"/>
        <v>918</v>
      </c>
      <c r="AU273" s="267">
        <f t="shared" si="286"/>
        <v>947</v>
      </c>
      <c r="AV273" s="267">
        <f t="shared" si="287"/>
        <v>940</v>
      </c>
      <c r="AW273" s="267">
        <f t="shared" si="288"/>
        <v>936</v>
      </c>
      <c r="AX273" s="267">
        <f t="shared" si="289"/>
        <v>935</v>
      </c>
      <c r="AY273" s="267">
        <f t="shared" si="290"/>
        <v>770</v>
      </c>
      <c r="AZ273" s="267">
        <f t="shared" si="291"/>
        <v>770</v>
      </c>
      <c r="BA273" s="267">
        <f t="shared" si="292"/>
        <v>770</v>
      </c>
      <c r="BB273" s="267">
        <f t="shared" si="293"/>
        <v>770</v>
      </c>
      <c r="BC273" s="267">
        <f t="shared" si="294"/>
        <v>770</v>
      </c>
      <c r="BD273" s="267">
        <f t="shared" si="295"/>
        <v>770</v>
      </c>
      <c r="BE273" s="267">
        <f t="shared" si="296"/>
        <v>770</v>
      </c>
      <c r="BF273" s="267">
        <f t="shared" si="297"/>
        <v>770</v>
      </c>
      <c r="BG273" s="269">
        <f>AY273*VLOOKUP($B273,'Major Cities &amp; Towns'!$A$28:$B$345,2,FALSE)</f>
        <v>770</v>
      </c>
      <c r="BH273" s="269">
        <f>AZ273*VLOOKUP($B273,'Major Cities &amp; Towns'!$A$28:$B$345,2,FALSE)</f>
        <v>770</v>
      </c>
      <c r="BI273" s="269">
        <f>BA273*VLOOKUP($B273,'Major Cities &amp; Towns'!$A$28:$B$345,2,FALSE)</f>
        <v>770</v>
      </c>
      <c r="BJ273" s="269">
        <f>BB273*VLOOKUP($B273,'Major Cities &amp; Towns'!$A$28:$B$345,2,FALSE)</f>
        <v>770</v>
      </c>
      <c r="BK273" s="269">
        <f>BC273*VLOOKUP($B273,'Major Cities &amp; Towns'!$A$28:$B$345,2,FALSE)</f>
        <v>770</v>
      </c>
      <c r="BL273" s="269">
        <f>BD273*VLOOKUP($B273,'Major Cities &amp; Towns'!$A$28:$B$345,2,FALSE)</f>
        <v>770</v>
      </c>
      <c r="BM273" s="269">
        <f>BE273*VLOOKUP($B273,'Major Cities &amp; Towns'!$A$28:$B$345,2,FALSE)</f>
        <v>770</v>
      </c>
      <c r="BN273" s="269">
        <f>BF273*VLOOKUP($B273,'Major Cities &amp; Towns'!$A$28:$B$345,2,FALSE)</f>
        <v>770</v>
      </c>
      <c r="BO273" s="270">
        <f t="shared" si="298"/>
        <v>550</v>
      </c>
      <c r="BP273" s="270">
        <f t="shared" si="299"/>
        <v>550</v>
      </c>
      <c r="BQ273" s="270">
        <f t="shared" si="300"/>
        <v>550</v>
      </c>
      <c r="BR273" s="270">
        <f t="shared" si="301"/>
        <v>550</v>
      </c>
      <c r="BS273" s="270">
        <f t="shared" si="302"/>
        <v>550</v>
      </c>
      <c r="BT273" s="270">
        <f t="shared" si="303"/>
        <v>550</v>
      </c>
      <c r="BU273" s="270">
        <f t="shared" si="304"/>
        <v>550</v>
      </c>
      <c r="BV273" s="270">
        <f t="shared" si="305"/>
        <v>618.56164383561645</v>
      </c>
      <c r="BW273" s="39">
        <f>VLOOKUP($A273,NetAdditions!$A$2:$H$336,6,FALSE)</f>
        <v>915</v>
      </c>
      <c r="BX273" s="39">
        <f>VLOOKUP($A273,NetAdditions!$A$2:$H$336,7,FALSE)</f>
        <v>784</v>
      </c>
      <c r="BY273" s="39">
        <f>IF((VLOOKUP($C273,NetAdditions!$A$2:$H$336,8,FALSE))="",(AVERAGE(VLOOKUP($C273,NetAdditions!$A$2:$H$336,5,FALSE),VLOOKUP($C273,NetAdditions!$A$2:$H$336,6,FALSE),VLOOKUP($C273,NetAdditions!$A$2:$H$336,7,FALSE))),VLOOKUP($C273,NetAdditions!$A$2:$H$336,8,FALSE))</f>
        <v>646</v>
      </c>
      <c r="BZ273" s="39">
        <f t="shared" si="306"/>
        <v>781.66666666666663</v>
      </c>
      <c r="CA273" s="39">
        <f t="shared" si="307"/>
        <v>737.22222222222217</v>
      </c>
      <c r="CB273" s="39">
        <f t="shared" si="308"/>
        <v>721.62962962962956</v>
      </c>
      <c r="CC273" s="39">
        <f t="shared" si="309"/>
        <v>746.83950617283938</v>
      </c>
      <c r="CD273" s="39">
        <f t="shared" si="310"/>
        <v>735.23045267489704</v>
      </c>
      <c r="CE273" s="276">
        <f t="shared" si="267"/>
        <v>1650</v>
      </c>
      <c r="CF273" s="276">
        <f t="shared" si="268"/>
        <v>1650</v>
      </c>
      <c r="CG273" s="276">
        <f t="shared" si="269"/>
        <v>1650</v>
      </c>
      <c r="CH273" s="276">
        <f t="shared" si="270"/>
        <v>1650</v>
      </c>
      <c r="CI273" s="276">
        <f t="shared" si="271"/>
        <v>1650</v>
      </c>
      <c r="CJ273" s="276">
        <f t="shared" si="272"/>
        <v>1718.5616438356165</v>
      </c>
      <c r="CK273" s="276">
        <f t="shared" si="311"/>
        <v>1420.8333333333335</v>
      </c>
      <c r="CL273" s="276">
        <f t="shared" si="312"/>
        <v>1420.8333333333335</v>
      </c>
      <c r="CM273" s="276">
        <f t="shared" si="313"/>
        <v>1512.5</v>
      </c>
      <c r="CN273" s="276">
        <f t="shared" si="314"/>
        <v>1650</v>
      </c>
      <c r="CO273" s="276">
        <f t="shared" si="315"/>
        <v>1650</v>
      </c>
      <c r="CP273" s="276">
        <f t="shared" si="316"/>
        <v>1718.5616438356165</v>
      </c>
      <c r="CQ273" s="39">
        <f t="shared" si="273"/>
        <v>2345</v>
      </c>
      <c r="CR273" s="39">
        <f t="shared" si="274"/>
        <v>2211.6666666666665</v>
      </c>
      <c r="CS273" s="277">
        <f t="shared" si="275"/>
        <v>2164.8888888888887</v>
      </c>
      <c r="CT273" s="39">
        <f t="shared" si="276"/>
        <v>2240.5185185185182</v>
      </c>
      <c r="CU273" s="39">
        <f t="shared" si="277"/>
        <v>2205.691358024691</v>
      </c>
      <c r="CV273" s="39">
        <f t="shared" si="317"/>
        <v>2203.699588477366</v>
      </c>
      <c r="CW273" s="297">
        <f t="shared" si="278"/>
        <v>1.6504398826979469</v>
      </c>
      <c r="CX273" s="279" t="str">
        <f t="shared" si="318"/>
        <v>Pass</v>
      </c>
      <c r="CY273" s="278">
        <f t="shared" si="279"/>
        <v>1.556598240469208</v>
      </c>
      <c r="CZ273" s="279" t="str">
        <f t="shared" si="319"/>
        <v>Pass</v>
      </c>
      <c r="DA273" s="278">
        <f t="shared" si="280"/>
        <v>1.4313314967860422</v>
      </c>
      <c r="DB273" s="292" t="str">
        <f t="shared" si="320"/>
        <v>Pass</v>
      </c>
      <c r="DC273" s="299">
        <f t="shared" si="321"/>
        <v>1.3578900112233443</v>
      </c>
      <c r="DD273" s="293" t="str">
        <f t="shared" si="322"/>
        <v>Pass</v>
      </c>
      <c r="DE273" s="299">
        <f t="shared" si="323"/>
        <v>1.3367826412270853</v>
      </c>
      <c r="DF273" s="293" t="str">
        <f t="shared" si="324"/>
        <v>Pass</v>
      </c>
      <c r="DG273" s="299">
        <f t="shared" si="325"/>
        <v>1.2822930131030865</v>
      </c>
      <c r="DH273" s="293" t="str">
        <f t="shared" si="326"/>
        <v>Pass</v>
      </c>
    </row>
    <row r="274" spans="1:112" ht="15" thickTop="1" thickBot="1">
      <c r="A274" s="38" t="s">
        <v>658</v>
      </c>
      <c r="B274" s="38" t="s">
        <v>659</v>
      </c>
      <c r="C274" s="38" t="s">
        <v>658</v>
      </c>
      <c r="D274" s="38" t="s">
        <v>113</v>
      </c>
      <c r="E274" s="38" t="str">
        <f>VLOOKUP(C274,PoliticalControl!A:K,11,FALSE)</f>
        <v>CON</v>
      </c>
      <c r="F274" s="38" t="str">
        <f>VLOOKUP(C274,UrbanRuralClassification!A:N,13,FALSE)</f>
        <v>Urban with Significant Rural (rural including hub towns 26-49%)</v>
      </c>
      <c r="G274" s="38" t="str">
        <f>VLOOKUP(C274,UrbanRuralClassification!A:N,14,FALSE)</f>
        <v>Urban with Significant Rural</v>
      </c>
      <c r="H274" s="258">
        <f>IF(ISBLANK((VLOOKUP($A274,'local-plan-data'!$C$1:$AD$566,27,FALSE)))=TRUE,"",VLOOKUP($A274,'local-plan-data'!$C$1:$AD$566,27,FALSE))</f>
        <v>42396</v>
      </c>
      <c r="I274" s="259">
        <f>VLOOKUP($A274,'local-plan-data'!$C$1:$AD$566,28,FALSE)</f>
        <v>588</v>
      </c>
      <c r="J274" s="260">
        <f t="shared" si="281"/>
        <v>588</v>
      </c>
      <c r="K274" s="259">
        <f t="shared" si="327"/>
        <v>588</v>
      </c>
      <c r="L274" s="259">
        <f t="shared" si="327"/>
        <v>588</v>
      </c>
      <c r="M274" s="259">
        <f t="shared" si="327"/>
        <v>588</v>
      </c>
      <c r="N274" s="259" t="str">
        <f t="shared" si="327"/>
        <v>-</v>
      </c>
      <c r="O274" s="259" t="str">
        <f t="shared" si="327"/>
        <v>-</v>
      </c>
      <c r="P274" s="259" t="str">
        <f t="shared" si="327"/>
        <v>-</v>
      </c>
      <c r="Q274" s="259" t="str">
        <f t="shared" si="327"/>
        <v>-</v>
      </c>
      <c r="R274" s="259" t="str">
        <f t="shared" si="327"/>
        <v>-</v>
      </c>
      <c r="S274" s="259">
        <f t="shared" si="328"/>
        <v>1032</v>
      </c>
      <c r="T274" s="259">
        <f t="shared" si="328"/>
        <v>667</v>
      </c>
      <c r="U274" s="259">
        <f t="shared" si="328"/>
        <v>301</v>
      </c>
      <c r="V274" s="259">
        <f t="shared" si="328"/>
        <v>-64</v>
      </c>
      <c r="W274" s="259">
        <f t="shared" si="328"/>
        <v>-429</v>
      </c>
      <c r="X274" s="259">
        <f t="shared" si="328"/>
        <v>-794</v>
      </c>
      <c r="Y274" s="259">
        <f t="shared" si="328"/>
        <v>-1160</v>
      </c>
      <c r="Z274" s="259">
        <f t="shared" si="328"/>
        <v>-1525</v>
      </c>
      <c r="AA274" s="267">
        <f>(VLOOKUP(A274,Hshldprojections2014!$A$2:$AW$319,40, FALSE)-VLOOKUP(A274,Hshldprojections2014!$A$2:$AW$319,30, FALSE))/10</f>
        <v>405.9</v>
      </c>
      <c r="AB274" s="267">
        <f>(VLOOKUP(A274,Hshldprojections2014!$A$2:$AW$319,41, FALSE)-VLOOKUP(A274,Hshldprojections2014!$A$2:$AW$319,31, FALSE))/10</f>
        <v>403.5</v>
      </c>
      <c r="AC274" s="267">
        <f>(VLOOKUP(A274,Hshldprojections2014!$A$2:$AW$319,42, FALSE)-VLOOKUP(A274,Hshldprojections2014!$A$2:$AW$319,32, FALSE))/10</f>
        <v>401.2</v>
      </c>
      <c r="AD274" s="267">
        <f>IF(IndividualLATest!$J$7=2014,(VLOOKUP($A274,Hshldprojections2014!$A$2:$AY$326,43,FALSE)-VLOOKUP($A274,Hshldprojections2014!$A$2:$AY$326,33,FALSE))/10,IF(IndividualLATest!$J$7=2016,(VLOOKUP($A274,Hshldprojections2016!$A$1:$AQ$322,33,FALSE)-VLOOKUP($A274,Hshldprojections2016!$A$1:$AQ$322,23,FALSE))/10,(VLOOKUP($A274,Hshldprojections2018!$A$1:$AQ$327,33,FALSE)-VLOOKUP($A274,Hshldprojections2018!$A$1:$AQ$327,23,FALSE))/10))</f>
        <v>442</v>
      </c>
      <c r="AE274" s="267">
        <f>IF(IndividualLATest!$J$7=2014,(VLOOKUP($A274,Hshldprojections2014!$A$2:$AY$326,44,FALSE)-VLOOKUP($A274,Hshldprojections2014!$A$2:$AY$326,34,FALSE))/10,IF(IndividualLATest!$J$7=2016,(VLOOKUP($A274,Hshldprojections2016!$A$1:$AQ$322,34,FALSE)-VLOOKUP($A274,Hshldprojections2016!$A$1:$AQ$322,24,FALSE))/10,(VLOOKUP($A274,Hshldprojections2018!$A$1:$AQ$327,34,FALSE)-VLOOKUP($A274,Hshldprojections2018!$A$1:$AQ$327,24,FALSE))/10))</f>
        <v>423.5</v>
      </c>
      <c r="AF274" s="267">
        <f>IF(IndividualLATest!$J$7=2014,(VLOOKUP($A274,Hshldprojections2014!$A$2:$AY$326,45,FALSE)-VLOOKUP($A274,Hshldprojections2014!$A$2:$AY$326,35,FALSE))/10,IF(IndividualLATest!$J$7=2016,(VLOOKUP($A274,Hshldprojections2016!$A$1:$AQ$322,35,FALSE)-VLOOKUP($A274,Hshldprojections2016!$A$1:$AQ$322,25,FALSE))/10,(VLOOKUP($A274,Hshldprojections2018!$A$1:$AQ$327,35,FALSE)-VLOOKUP($A274,Hshldprojections2018!$A$1:$AQ$327,25,FALSE))/10))</f>
        <v>408.8</v>
      </c>
      <c r="AG274" s="267">
        <f>IF(IndividualLATest!$J$7=2014,(VLOOKUP($A274,Hshldprojections2014!$A$2:$AY$326,46,FALSE)-VLOOKUP($A274,Hshldprojections2014!$A$2:$AY$326,36,FALSE))/10,IF(IndividualLATest!$J$7=2016,(VLOOKUP($A274,Hshldprojections2016!$A$1:$AQ$322,36,FALSE)-VLOOKUP($A274,Hshldprojections2016!$A$1:$AQ$322,26,FALSE))/10,(VLOOKUP($A274,Hshldprojections2018!$A$1:$AQ$327,36,FALSE)-VLOOKUP($A274,Hshldprojections2018!$A$1:$AQ$327,26,FALSE))/10))</f>
        <v>395.1</v>
      </c>
      <c r="AH274" s="267">
        <f>IF(IndividualLATest!$J$7=2014,(VLOOKUP($A274,Hshldprojections2014!$A$2:$AY$326,47,FALSE)-VLOOKUP($A274,Hshldprojections2014!$A$2:$AY$326,37,FALSE))/10,IF(IndividualLATest!$J$7=2016,(VLOOKUP($A274,Hshldprojections2016!$A$1:$AQ$322,37,FALSE)-VLOOKUP($A274,Hshldprojections2016!$A$1:$AQ$322,27,FALSE))/10,(VLOOKUP($A274,Hshldprojections2018!$A$1:$AQ$327,37,FALSE)-VLOOKUP($A274,Hshldprojections2018!$A$1:$AQ$327,27,FALSE))/10))</f>
        <v>381.8</v>
      </c>
      <c r="AI274" s="268">
        <f>VLOOKUP($A274,AffordabilityRatio!$A$2:$I$321,5,FALSE)</f>
        <v>10.3</v>
      </c>
      <c r="AJ274" s="268">
        <f>VLOOKUP($A274,AffordabilityRatio!$A$2:$I$321,6,FALSE)</f>
        <v>10.119999999999999</v>
      </c>
      <c r="AK274" s="268">
        <f>VLOOKUP($A274,AffordabilityRatio!$A$2:$I$321,7,FALSE)</f>
        <v>9.91</v>
      </c>
      <c r="AL274" s="268">
        <f>IF((VLOOKUP($A274,AffordabilityRatio!$A$2:$I$321,8,FALSE))="",AK274,VLOOKUP($A274,AffordabilityRatio!$A$2:$I$321,8,FALSE))</f>
        <v>9.8000000000000007</v>
      </c>
      <c r="AM274" s="268">
        <f>IF((VLOOKUP($A274,AffordabilityRatio!$A$2:$I$321,9,FALSE))="",AL274,VLOOKUP($A274,AffordabilityRatio!$A$2:$I$321,9,FALSE))</f>
        <v>10.6</v>
      </c>
      <c r="AN274" s="268">
        <f>IF((VLOOKUP($A274,AffordabilityRatio!$A$2:$I$321,9,FALSE))="",AM274,VLOOKUP($A274,AffordabilityRatio!$A$2:$I$321,9,FALSE))</f>
        <v>10.6</v>
      </c>
      <c r="AO274" s="268">
        <f>IF((VLOOKUP($A274,AffordabilityRatio!$A$2:$I$321,9,FALSE))="",AN274,VLOOKUP($A274,AffordabilityRatio!$A$2:$I$321,9,FALSE))</f>
        <v>10.6</v>
      </c>
      <c r="AP274" s="268">
        <f>IF((VLOOKUP($A274,AffordabilityRatio!$A$2:$I$321,9,FALSE))="",AO274,VLOOKUP($A274,AffordabilityRatio!$A$2:$I$321,9,FALSE))</f>
        <v>10.6</v>
      </c>
      <c r="AQ274" s="267">
        <f t="shared" si="282"/>
        <v>566</v>
      </c>
      <c r="AR274" s="267">
        <f t="shared" si="283"/>
        <v>558</v>
      </c>
      <c r="AS274" s="267">
        <f t="shared" si="284"/>
        <v>549</v>
      </c>
      <c r="AT274" s="267">
        <f t="shared" si="285"/>
        <v>602</v>
      </c>
      <c r="AU274" s="267">
        <f t="shared" si="286"/>
        <v>598</v>
      </c>
      <c r="AV274" s="267">
        <f t="shared" si="287"/>
        <v>577</v>
      </c>
      <c r="AW274" s="267">
        <f t="shared" si="288"/>
        <v>558</v>
      </c>
      <c r="AX274" s="267">
        <f t="shared" si="289"/>
        <v>539</v>
      </c>
      <c r="AY274" s="267">
        <f t="shared" si="290"/>
        <v>566</v>
      </c>
      <c r="AZ274" s="267">
        <f t="shared" si="291"/>
        <v>558</v>
      </c>
      <c r="BA274" s="267">
        <f t="shared" si="292"/>
        <v>549</v>
      </c>
      <c r="BB274" s="267">
        <f t="shared" si="293"/>
        <v>602</v>
      </c>
      <c r="BC274" s="267">
        <f t="shared" si="294"/>
        <v>598</v>
      </c>
      <c r="BD274" s="267">
        <f t="shared" si="295"/>
        <v>577</v>
      </c>
      <c r="BE274" s="267">
        <f t="shared" si="296"/>
        <v>558</v>
      </c>
      <c r="BF274" s="267">
        <f t="shared" si="297"/>
        <v>539</v>
      </c>
      <c r="BG274" s="269">
        <f>AY274*VLOOKUP($B274,'Major Cities &amp; Towns'!$A$28:$B$345,2,FALSE)</f>
        <v>566</v>
      </c>
      <c r="BH274" s="269">
        <f>AZ274*VLOOKUP($B274,'Major Cities &amp; Towns'!$A$28:$B$345,2,FALSE)</f>
        <v>558</v>
      </c>
      <c r="BI274" s="269">
        <f>BA274*VLOOKUP($B274,'Major Cities &amp; Towns'!$A$28:$B$345,2,FALSE)</f>
        <v>549</v>
      </c>
      <c r="BJ274" s="269">
        <f>BB274*VLOOKUP($B274,'Major Cities &amp; Towns'!$A$28:$B$345,2,FALSE)</f>
        <v>602</v>
      </c>
      <c r="BK274" s="269">
        <f>BC274*VLOOKUP($B274,'Major Cities &amp; Towns'!$A$28:$B$345,2,FALSE)</f>
        <v>598</v>
      </c>
      <c r="BL274" s="269">
        <f>BD274*VLOOKUP($B274,'Major Cities &amp; Towns'!$A$28:$B$345,2,FALSE)</f>
        <v>577</v>
      </c>
      <c r="BM274" s="269">
        <f>BE274*VLOOKUP($B274,'Major Cities &amp; Towns'!$A$28:$B$345,2,FALSE)</f>
        <v>558</v>
      </c>
      <c r="BN274" s="269">
        <f>BF274*VLOOKUP($B274,'Major Cities &amp; Towns'!$A$28:$B$345,2,FALSE)</f>
        <v>539</v>
      </c>
      <c r="BO274" s="270">
        <f t="shared" si="298"/>
        <v>566</v>
      </c>
      <c r="BP274" s="270">
        <f t="shared" si="299"/>
        <v>558</v>
      </c>
      <c r="BQ274" s="270">
        <f t="shared" si="300"/>
        <v>549</v>
      </c>
      <c r="BR274" s="270">
        <f t="shared" si="301"/>
        <v>602</v>
      </c>
      <c r="BS274" s="270">
        <f t="shared" si="302"/>
        <v>598</v>
      </c>
      <c r="BT274" s="270">
        <f t="shared" si="303"/>
        <v>577</v>
      </c>
      <c r="BU274" s="270">
        <f t="shared" si="304"/>
        <v>558</v>
      </c>
      <c r="BV274" s="270">
        <f t="shared" si="305"/>
        <v>539</v>
      </c>
      <c r="BW274" s="39">
        <f>VLOOKUP($A274,NetAdditions!$A$2:$H$336,6,FALSE)</f>
        <v>817</v>
      </c>
      <c r="BX274" s="39">
        <f>VLOOKUP($A274,NetAdditions!$A$2:$H$336,7,FALSE)</f>
        <v>948</v>
      </c>
      <c r="BY274" s="39">
        <f>IF((VLOOKUP($C274,NetAdditions!$A$2:$H$336,8,FALSE))="",(AVERAGE(VLOOKUP($C274,NetAdditions!$A$2:$H$336,5,FALSE),VLOOKUP($C274,NetAdditions!$A$2:$H$336,6,FALSE),VLOOKUP($C274,NetAdditions!$A$2:$H$336,7,FALSE))),VLOOKUP($C274,NetAdditions!$A$2:$H$336,8,FALSE))</f>
        <v>879</v>
      </c>
      <c r="BZ274" s="39">
        <f t="shared" si="306"/>
        <v>881.33333333333337</v>
      </c>
      <c r="CA274" s="39">
        <f t="shared" si="307"/>
        <v>902.77777777777783</v>
      </c>
      <c r="CB274" s="39">
        <f t="shared" si="308"/>
        <v>887.70370370370381</v>
      </c>
      <c r="CC274" s="39">
        <f t="shared" si="309"/>
        <v>890.60493827160508</v>
      </c>
      <c r="CD274" s="39">
        <f t="shared" si="310"/>
        <v>893.69547325102894</v>
      </c>
      <c r="CE274" s="276">
        <f t="shared" si="267"/>
        <v>1673</v>
      </c>
      <c r="CF274" s="276">
        <f t="shared" si="268"/>
        <v>1709</v>
      </c>
      <c r="CG274" s="276">
        <f t="shared" si="269"/>
        <v>1749</v>
      </c>
      <c r="CH274" s="276">
        <f t="shared" si="270"/>
        <v>1777</v>
      </c>
      <c r="CI274" s="276">
        <f t="shared" si="271"/>
        <v>1733</v>
      </c>
      <c r="CJ274" s="276">
        <f t="shared" si="272"/>
        <v>1674</v>
      </c>
      <c r="CK274" s="276">
        <f t="shared" si="311"/>
        <v>1440.6388888888889</v>
      </c>
      <c r="CL274" s="276">
        <f t="shared" si="312"/>
        <v>1471.6388888888889</v>
      </c>
      <c r="CM274" s="276">
        <f t="shared" si="313"/>
        <v>1603.25</v>
      </c>
      <c r="CN274" s="276">
        <f t="shared" si="314"/>
        <v>1777</v>
      </c>
      <c r="CO274" s="276">
        <f t="shared" si="315"/>
        <v>1733</v>
      </c>
      <c r="CP274" s="276">
        <f t="shared" si="316"/>
        <v>1674</v>
      </c>
      <c r="CQ274" s="39">
        <f t="shared" si="273"/>
        <v>2644</v>
      </c>
      <c r="CR274" s="39">
        <f t="shared" si="274"/>
        <v>2708.3333333333335</v>
      </c>
      <c r="CS274" s="277">
        <f t="shared" si="275"/>
        <v>2663.1111111111113</v>
      </c>
      <c r="CT274" s="39">
        <f t="shared" si="276"/>
        <v>2671.8148148148152</v>
      </c>
      <c r="CU274" s="39">
        <f t="shared" si="277"/>
        <v>2681.0864197530868</v>
      </c>
      <c r="CV274" s="39">
        <f t="shared" si="317"/>
        <v>2672.0041152263379</v>
      </c>
      <c r="CW274" s="297">
        <f t="shared" si="278"/>
        <v>1.8352968397508822</v>
      </c>
      <c r="CX274" s="279" t="str">
        <f t="shared" si="318"/>
        <v>Pass</v>
      </c>
      <c r="CY274" s="278">
        <f t="shared" si="279"/>
        <v>1.840351837520527</v>
      </c>
      <c r="CZ274" s="279" t="str">
        <f t="shared" si="319"/>
        <v>Pass</v>
      </c>
      <c r="DA274" s="278">
        <f t="shared" si="280"/>
        <v>1.6610703952041861</v>
      </c>
      <c r="DB274" s="292" t="str">
        <f t="shared" si="320"/>
        <v>Pass</v>
      </c>
      <c r="DC274" s="299">
        <f t="shared" si="321"/>
        <v>1.5035536380499805</v>
      </c>
      <c r="DD274" s="293" t="str">
        <f t="shared" si="322"/>
        <v>Pass</v>
      </c>
      <c r="DE274" s="299">
        <f t="shared" si="323"/>
        <v>1.5470781418078978</v>
      </c>
      <c r="DF274" s="293" t="str">
        <f t="shared" si="324"/>
        <v>Pass</v>
      </c>
      <c r="DG274" s="299">
        <f t="shared" si="325"/>
        <v>1.5961792803024719</v>
      </c>
      <c r="DH274" s="293" t="str">
        <f t="shared" si="326"/>
        <v>Pass</v>
      </c>
    </row>
    <row r="275" spans="1:112" ht="15" thickTop="1" thickBot="1">
      <c r="A275" s="38" t="s">
        <v>660</v>
      </c>
      <c r="B275" s="38" t="s">
        <v>661</v>
      </c>
      <c r="C275" s="38" t="s">
        <v>660</v>
      </c>
      <c r="D275" s="38" t="s">
        <v>147</v>
      </c>
      <c r="E275" s="38" t="str">
        <f>VLOOKUP(C275,PoliticalControl!A:K,11,FALSE)</f>
        <v>CON</v>
      </c>
      <c r="F275" s="38" t="str">
        <f>VLOOKUP(C275,UrbanRuralClassification!A:N,13,FALSE)</f>
        <v xml:space="preserve">Largely Rural (rural including hub towns 50-79%) </v>
      </c>
      <c r="G275" s="38" t="str">
        <f>VLOOKUP(C275,UrbanRuralClassification!A:N,14,FALSE)</f>
        <v>Predominantly Rural</v>
      </c>
      <c r="H275" s="258">
        <f>IF(ISBLANK((VLOOKUP($A275,'local-plan-data'!$C$1:$AD$566,27,FALSE)))=TRUE,"",VLOOKUP($A275,'local-plan-data'!$C$1:$AD$566,27,FALSE))</f>
        <v>43080</v>
      </c>
      <c r="I275" s="259">
        <f>VLOOKUP($A275,'local-plan-data'!$C$1:$AD$566,28,FALSE)</f>
        <v>494.95</v>
      </c>
      <c r="J275" s="260">
        <f t="shared" si="281"/>
        <v>494.95</v>
      </c>
      <c r="K275" s="259">
        <f t="shared" si="327"/>
        <v>494.95</v>
      </c>
      <c r="L275" s="259">
        <f t="shared" si="327"/>
        <v>494.95</v>
      </c>
      <c r="M275" s="259">
        <f t="shared" si="327"/>
        <v>494.95</v>
      </c>
      <c r="N275" s="259">
        <f t="shared" si="327"/>
        <v>494.95</v>
      </c>
      <c r="O275" s="259">
        <f t="shared" si="327"/>
        <v>494.95</v>
      </c>
      <c r="P275" s="259" t="str">
        <f t="shared" si="327"/>
        <v>-</v>
      </c>
      <c r="Q275" s="259" t="str">
        <f t="shared" si="327"/>
        <v>-</v>
      </c>
      <c r="R275" s="259" t="str">
        <f t="shared" si="327"/>
        <v>-</v>
      </c>
      <c r="S275" s="259">
        <f t="shared" si="328"/>
        <v>1715</v>
      </c>
      <c r="T275" s="259">
        <f t="shared" si="328"/>
        <v>1350</v>
      </c>
      <c r="U275" s="259">
        <f t="shared" si="328"/>
        <v>984</v>
      </c>
      <c r="V275" s="259">
        <f t="shared" si="328"/>
        <v>619</v>
      </c>
      <c r="W275" s="259">
        <f t="shared" si="328"/>
        <v>254</v>
      </c>
      <c r="X275" s="259">
        <f t="shared" si="328"/>
        <v>-111</v>
      </c>
      <c r="Y275" s="259">
        <f t="shared" si="328"/>
        <v>-477</v>
      </c>
      <c r="Z275" s="259">
        <f t="shared" si="328"/>
        <v>-842</v>
      </c>
      <c r="AA275" s="267">
        <f>(VLOOKUP(A275,Hshldprojections2014!$A$2:$AW$319,40, FALSE)-VLOOKUP(A275,Hshldprojections2014!$A$2:$AW$319,30, FALSE))/10</f>
        <v>465.6</v>
      </c>
      <c r="AB275" s="267">
        <f>(VLOOKUP(A275,Hshldprojections2014!$A$2:$AW$319,41, FALSE)-VLOOKUP(A275,Hshldprojections2014!$A$2:$AW$319,31, FALSE))/10</f>
        <v>457.1</v>
      </c>
      <c r="AC275" s="267">
        <f>(VLOOKUP(A275,Hshldprojections2014!$A$2:$AW$319,42, FALSE)-VLOOKUP(A275,Hshldprojections2014!$A$2:$AW$319,32, FALSE))/10</f>
        <v>449.8</v>
      </c>
      <c r="AD275" s="267">
        <f>IF(IndividualLATest!$J$7=2014,(VLOOKUP($A275,Hshldprojections2014!$A$2:$AY$326,43,FALSE)-VLOOKUP($A275,Hshldprojections2014!$A$2:$AY$326,33,FALSE))/10,IF(IndividualLATest!$J$7=2016,(VLOOKUP($A275,Hshldprojections2016!$A$1:$AQ$322,33,FALSE)-VLOOKUP($A275,Hshldprojections2016!$A$1:$AQ$322,23,FALSE))/10,(VLOOKUP($A275,Hshldprojections2018!$A$1:$AQ$327,33,FALSE)-VLOOKUP($A275,Hshldprojections2018!$A$1:$AQ$327,23,FALSE))/10))</f>
        <v>620.79999999999995</v>
      </c>
      <c r="AE275" s="267">
        <f>IF(IndividualLATest!$J$7=2014,(VLOOKUP($A275,Hshldprojections2014!$A$2:$AY$326,44,FALSE)-VLOOKUP($A275,Hshldprojections2014!$A$2:$AY$326,34,FALSE))/10,IF(IndividualLATest!$J$7=2016,(VLOOKUP($A275,Hshldprojections2016!$A$1:$AQ$322,34,FALSE)-VLOOKUP($A275,Hshldprojections2016!$A$1:$AQ$322,24,FALSE))/10,(VLOOKUP($A275,Hshldprojections2018!$A$1:$AQ$327,34,FALSE)-VLOOKUP($A275,Hshldprojections2018!$A$1:$AQ$327,24,FALSE))/10))</f>
        <v>601.4</v>
      </c>
      <c r="AF275" s="267">
        <f>IF(IndividualLATest!$J$7=2014,(VLOOKUP($A275,Hshldprojections2014!$A$2:$AY$326,45,FALSE)-VLOOKUP($A275,Hshldprojections2014!$A$2:$AY$326,35,FALSE))/10,IF(IndividualLATest!$J$7=2016,(VLOOKUP($A275,Hshldprojections2016!$A$1:$AQ$322,35,FALSE)-VLOOKUP($A275,Hshldprojections2016!$A$1:$AQ$322,25,FALSE))/10,(VLOOKUP($A275,Hshldprojections2018!$A$1:$AQ$327,35,FALSE)-VLOOKUP($A275,Hshldprojections2018!$A$1:$AQ$327,25,FALSE))/10))</f>
        <v>584</v>
      </c>
      <c r="AG275" s="267">
        <f>IF(IndividualLATest!$J$7=2014,(VLOOKUP($A275,Hshldprojections2014!$A$2:$AY$326,46,FALSE)-VLOOKUP($A275,Hshldprojections2014!$A$2:$AY$326,36,FALSE))/10,IF(IndividualLATest!$J$7=2016,(VLOOKUP($A275,Hshldprojections2016!$A$1:$AQ$322,36,FALSE)-VLOOKUP($A275,Hshldprojections2016!$A$1:$AQ$322,26,FALSE))/10,(VLOOKUP($A275,Hshldprojections2018!$A$1:$AQ$327,36,FALSE)-VLOOKUP($A275,Hshldprojections2018!$A$1:$AQ$327,26,FALSE))/10))</f>
        <v>568.4</v>
      </c>
      <c r="AH275" s="267">
        <f>IF(IndividualLATest!$J$7=2014,(VLOOKUP($A275,Hshldprojections2014!$A$2:$AY$326,47,FALSE)-VLOOKUP($A275,Hshldprojections2014!$A$2:$AY$326,37,FALSE))/10,IF(IndividualLATest!$J$7=2016,(VLOOKUP($A275,Hshldprojections2016!$A$1:$AQ$322,37,FALSE)-VLOOKUP($A275,Hshldprojections2016!$A$1:$AQ$322,27,FALSE))/10,(VLOOKUP($A275,Hshldprojections2018!$A$1:$AQ$327,37,FALSE)-VLOOKUP($A275,Hshldprojections2018!$A$1:$AQ$327,27,FALSE))/10))</f>
        <v>554.6</v>
      </c>
      <c r="AI275" s="268">
        <f>VLOOKUP($A275,AffordabilityRatio!$A$2:$I$321,5,FALSE)</f>
        <v>7.92</v>
      </c>
      <c r="AJ275" s="268">
        <f>VLOOKUP($A275,AffordabilityRatio!$A$2:$I$321,6,FALSE)</f>
        <v>8.67</v>
      </c>
      <c r="AK275" s="268">
        <f>VLOOKUP($A275,AffordabilityRatio!$A$2:$I$321,7,FALSE)</f>
        <v>7.94</v>
      </c>
      <c r="AL275" s="268">
        <f>IF((VLOOKUP($A275,AffordabilityRatio!$A$2:$I$321,8,FALSE))="",AK275,VLOOKUP($A275,AffordabilityRatio!$A$2:$I$321,8,FALSE))</f>
        <v>8.2899999999999991</v>
      </c>
      <c r="AM275" s="268">
        <f>IF((VLOOKUP($A275,AffordabilityRatio!$A$2:$I$321,9,FALSE))="",AL275,VLOOKUP($A275,AffordabilityRatio!$A$2:$I$321,9,FALSE))</f>
        <v>9.15</v>
      </c>
      <c r="AN275" s="268">
        <f>IF((VLOOKUP($A275,AffordabilityRatio!$A$2:$I$321,9,FALSE))="",AM275,VLOOKUP($A275,AffordabilityRatio!$A$2:$I$321,9,FALSE))</f>
        <v>9.15</v>
      </c>
      <c r="AO275" s="268">
        <f>IF((VLOOKUP($A275,AffordabilityRatio!$A$2:$I$321,9,FALSE))="",AN275,VLOOKUP($A275,AffordabilityRatio!$A$2:$I$321,9,FALSE))</f>
        <v>9.15</v>
      </c>
      <c r="AP275" s="268">
        <f>IF((VLOOKUP($A275,AffordabilityRatio!$A$2:$I$321,9,FALSE))="",AO275,VLOOKUP($A275,AffordabilityRatio!$A$2:$I$321,9,FALSE))</f>
        <v>9.15</v>
      </c>
      <c r="AQ275" s="267">
        <f t="shared" si="282"/>
        <v>580</v>
      </c>
      <c r="AR275" s="267">
        <f t="shared" si="283"/>
        <v>591</v>
      </c>
      <c r="AS275" s="267">
        <f t="shared" si="284"/>
        <v>561</v>
      </c>
      <c r="AT275" s="267">
        <f t="shared" si="285"/>
        <v>787</v>
      </c>
      <c r="AU275" s="267">
        <f t="shared" si="286"/>
        <v>795</v>
      </c>
      <c r="AV275" s="267">
        <f t="shared" si="287"/>
        <v>772</v>
      </c>
      <c r="AW275" s="267">
        <f t="shared" si="288"/>
        <v>751</v>
      </c>
      <c r="AX275" s="267">
        <f t="shared" si="289"/>
        <v>733</v>
      </c>
      <c r="AY275" s="267">
        <f t="shared" si="290"/>
        <v>580</v>
      </c>
      <c r="AZ275" s="267">
        <f t="shared" si="291"/>
        <v>591</v>
      </c>
      <c r="BA275" s="267">
        <f t="shared" si="292"/>
        <v>561</v>
      </c>
      <c r="BB275" s="267">
        <f t="shared" si="293"/>
        <v>692.93000000000006</v>
      </c>
      <c r="BC275" s="267">
        <f t="shared" si="294"/>
        <v>692.93000000000006</v>
      </c>
      <c r="BD275" s="267">
        <f t="shared" si="295"/>
        <v>772</v>
      </c>
      <c r="BE275" s="267">
        <f t="shared" si="296"/>
        <v>751</v>
      </c>
      <c r="BF275" s="267">
        <f t="shared" si="297"/>
        <v>733</v>
      </c>
      <c r="BG275" s="269">
        <f>AY275*VLOOKUP($B275,'Major Cities &amp; Towns'!$A$28:$B$345,2,FALSE)</f>
        <v>580</v>
      </c>
      <c r="BH275" s="269">
        <f>AZ275*VLOOKUP($B275,'Major Cities &amp; Towns'!$A$28:$B$345,2,FALSE)</f>
        <v>591</v>
      </c>
      <c r="BI275" s="269">
        <f>BA275*VLOOKUP($B275,'Major Cities &amp; Towns'!$A$28:$B$345,2,FALSE)</f>
        <v>561</v>
      </c>
      <c r="BJ275" s="269">
        <f>BB275*VLOOKUP($B275,'Major Cities &amp; Towns'!$A$28:$B$345,2,FALSE)</f>
        <v>692.93000000000006</v>
      </c>
      <c r="BK275" s="269">
        <f>BC275*VLOOKUP($B275,'Major Cities &amp; Towns'!$A$28:$B$345,2,FALSE)</f>
        <v>692.93000000000006</v>
      </c>
      <c r="BL275" s="269">
        <f>BD275*VLOOKUP($B275,'Major Cities &amp; Towns'!$A$28:$B$345,2,FALSE)</f>
        <v>772</v>
      </c>
      <c r="BM275" s="269">
        <f>BE275*VLOOKUP($B275,'Major Cities &amp; Towns'!$A$28:$B$345,2,FALSE)</f>
        <v>751</v>
      </c>
      <c r="BN275" s="269">
        <f>BF275*VLOOKUP($B275,'Major Cities &amp; Towns'!$A$28:$B$345,2,FALSE)</f>
        <v>733</v>
      </c>
      <c r="BO275" s="270">
        <f t="shared" si="298"/>
        <v>494.95</v>
      </c>
      <c r="BP275" s="270">
        <f t="shared" si="299"/>
        <v>494.95</v>
      </c>
      <c r="BQ275" s="270">
        <f t="shared" si="300"/>
        <v>494.95</v>
      </c>
      <c r="BR275" s="270">
        <f t="shared" si="301"/>
        <v>494.95</v>
      </c>
      <c r="BS275" s="270">
        <f t="shared" si="302"/>
        <v>586.19808219178094</v>
      </c>
      <c r="BT275" s="270">
        <f t="shared" si="303"/>
        <v>772</v>
      </c>
      <c r="BU275" s="270">
        <f t="shared" si="304"/>
        <v>751</v>
      </c>
      <c r="BV275" s="270">
        <f t="shared" si="305"/>
        <v>733</v>
      </c>
      <c r="BW275" s="39">
        <f>VLOOKUP($A275,NetAdditions!$A$2:$H$336,6,FALSE)</f>
        <v>907</v>
      </c>
      <c r="BX275" s="39">
        <f>VLOOKUP($A275,NetAdditions!$A$2:$H$336,7,FALSE)</f>
        <v>494</v>
      </c>
      <c r="BY275" s="39">
        <f>IF((VLOOKUP($C275,NetAdditions!$A$2:$H$336,8,FALSE))="",(AVERAGE(VLOOKUP($C275,NetAdditions!$A$2:$H$336,5,FALSE),VLOOKUP($C275,NetAdditions!$A$2:$H$336,6,FALSE),VLOOKUP($C275,NetAdditions!$A$2:$H$336,7,FALSE))),VLOOKUP($C275,NetAdditions!$A$2:$H$336,8,FALSE))</f>
        <v>637</v>
      </c>
      <c r="BZ275" s="39">
        <f t="shared" si="306"/>
        <v>679.33333333333337</v>
      </c>
      <c r="CA275" s="39">
        <f t="shared" si="307"/>
        <v>603.44444444444446</v>
      </c>
      <c r="CB275" s="39">
        <f t="shared" si="308"/>
        <v>639.92592592592598</v>
      </c>
      <c r="CC275" s="39">
        <f t="shared" si="309"/>
        <v>640.90123456790127</v>
      </c>
      <c r="CD275" s="39">
        <f t="shared" si="310"/>
        <v>628.09053497942386</v>
      </c>
      <c r="CE275" s="276">
        <f t="shared" si="267"/>
        <v>1484.85</v>
      </c>
      <c r="CF275" s="276">
        <f t="shared" si="268"/>
        <v>1484.85</v>
      </c>
      <c r="CG275" s="276">
        <f t="shared" si="269"/>
        <v>1576.098082191781</v>
      </c>
      <c r="CH275" s="276">
        <f t="shared" si="270"/>
        <v>1853.148082191781</v>
      </c>
      <c r="CI275" s="276">
        <f t="shared" si="271"/>
        <v>2109.1980821917809</v>
      </c>
      <c r="CJ275" s="276">
        <f t="shared" si="272"/>
        <v>2256</v>
      </c>
      <c r="CK275" s="276">
        <f t="shared" si="311"/>
        <v>1278.6208333333334</v>
      </c>
      <c r="CL275" s="276">
        <f t="shared" si="312"/>
        <v>1278.6208333333334</v>
      </c>
      <c r="CM275" s="276">
        <f t="shared" si="313"/>
        <v>1444.7565753424658</v>
      </c>
      <c r="CN275" s="276">
        <f t="shared" si="314"/>
        <v>1853.148082191781</v>
      </c>
      <c r="CO275" s="276">
        <f t="shared" si="315"/>
        <v>2109.1980821917809</v>
      </c>
      <c r="CP275" s="276">
        <f t="shared" si="316"/>
        <v>2256</v>
      </c>
      <c r="CQ275" s="39">
        <f t="shared" si="273"/>
        <v>2038</v>
      </c>
      <c r="CR275" s="39">
        <f t="shared" si="274"/>
        <v>1810.3333333333335</v>
      </c>
      <c r="CS275" s="277">
        <f t="shared" si="275"/>
        <v>1919.7777777777778</v>
      </c>
      <c r="CT275" s="39">
        <f t="shared" si="276"/>
        <v>1922.7037037037039</v>
      </c>
      <c r="CU275" s="39">
        <f t="shared" si="277"/>
        <v>1884.2716049382716</v>
      </c>
      <c r="CV275" s="39">
        <f t="shared" si="317"/>
        <v>1908.9176954732511</v>
      </c>
      <c r="CW275" s="297">
        <f t="shared" si="278"/>
        <v>1.5939048910121256</v>
      </c>
      <c r="CX275" s="279" t="str">
        <f t="shared" si="318"/>
        <v>Pass</v>
      </c>
      <c r="CY275" s="278">
        <f t="shared" si="279"/>
        <v>1.4158484565075</v>
      </c>
      <c r="CZ275" s="279" t="str">
        <f t="shared" si="319"/>
        <v>Pass</v>
      </c>
      <c r="DA275" s="278">
        <f t="shared" si="280"/>
        <v>1.3287897840663663</v>
      </c>
      <c r="DB275" s="292" t="str">
        <f t="shared" si="320"/>
        <v>Pass</v>
      </c>
      <c r="DC275" s="299">
        <f t="shared" si="321"/>
        <v>1.0375337633189341</v>
      </c>
      <c r="DD275" s="293" t="str">
        <f t="shared" si="322"/>
        <v>Pass</v>
      </c>
      <c r="DE275" s="299">
        <f t="shared" si="323"/>
        <v>0.89335924437226111</v>
      </c>
      <c r="DF275" s="293" t="str">
        <f t="shared" si="324"/>
        <v>Action Plan</v>
      </c>
      <c r="DG275" s="299">
        <f t="shared" si="325"/>
        <v>0.84615146075941983</v>
      </c>
      <c r="DH275" s="293" t="str">
        <f t="shared" si="326"/>
        <v>Buffer and Action Plan</v>
      </c>
    </row>
    <row r="276" spans="1:112" ht="15" thickTop="1" thickBot="1">
      <c r="A276" s="38" t="s">
        <v>662</v>
      </c>
      <c r="B276" s="38" t="s">
        <v>663</v>
      </c>
      <c r="C276" s="38" t="s">
        <v>662</v>
      </c>
      <c r="D276" s="38" t="s">
        <v>113</v>
      </c>
      <c r="E276" s="38" t="str">
        <f>VLOOKUP(C276,PoliticalControl!A:K,11,FALSE)</f>
        <v>NOC</v>
      </c>
      <c r="F276" s="38" t="str">
        <f>VLOOKUP(C276,UrbanRuralClassification!A:N,13,FALSE)</f>
        <v>Urban with City and Town</v>
      </c>
      <c r="G276" s="38" t="str">
        <f>VLOOKUP(C276,UrbanRuralClassification!A:N,14,FALSE)</f>
        <v>Predominantly Urban</v>
      </c>
      <c r="H276" s="258">
        <f>IF(ISBLANK((VLOOKUP($A276,'local-plan-data'!$C$1:$AD$566,27,FALSE)))=TRUE,"",VLOOKUP($A276,'local-plan-data'!$C$1:$AD$566,27,FALSE))</f>
        <v>44021</v>
      </c>
      <c r="I276" s="259">
        <f>VLOOKUP($A276,'local-plan-data'!$C$1:$AD$566,28,FALSE)</f>
        <v>857</v>
      </c>
      <c r="J276" s="260">
        <f t="shared" si="281"/>
        <v>857</v>
      </c>
      <c r="K276" s="259">
        <f t="shared" si="327"/>
        <v>857</v>
      </c>
      <c r="L276" s="259">
        <f t="shared" si="327"/>
        <v>857</v>
      </c>
      <c r="M276" s="259">
        <f t="shared" si="327"/>
        <v>857</v>
      </c>
      <c r="N276" s="259">
        <f t="shared" si="327"/>
        <v>857</v>
      </c>
      <c r="O276" s="259">
        <f t="shared" si="327"/>
        <v>857</v>
      </c>
      <c r="P276" s="259">
        <f t="shared" si="327"/>
        <v>857</v>
      </c>
      <c r="Q276" s="259">
        <f t="shared" si="327"/>
        <v>857</v>
      </c>
      <c r="R276" s="259">
        <f t="shared" si="327"/>
        <v>857</v>
      </c>
      <c r="S276" s="259">
        <f t="shared" si="328"/>
        <v>2656</v>
      </c>
      <c r="T276" s="259">
        <f t="shared" si="328"/>
        <v>2291</v>
      </c>
      <c r="U276" s="259">
        <f t="shared" si="328"/>
        <v>1925</v>
      </c>
      <c r="V276" s="259">
        <f t="shared" si="328"/>
        <v>1560</v>
      </c>
      <c r="W276" s="259">
        <f t="shared" si="328"/>
        <v>1195</v>
      </c>
      <c r="X276" s="259">
        <f t="shared" si="328"/>
        <v>830</v>
      </c>
      <c r="Y276" s="259">
        <f t="shared" si="328"/>
        <v>464</v>
      </c>
      <c r="Z276" s="259">
        <f t="shared" si="328"/>
        <v>99</v>
      </c>
      <c r="AA276" s="267">
        <f>(VLOOKUP(A276,Hshldprojections2014!$A$2:$AW$319,40, FALSE)-VLOOKUP(A276,Hshldprojections2014!$A$2:$AW$319,30, FALSE))/10</f>
        <v>796</v>
      </c>
      <c r="AB276" s="267">
        <f>(VLOOKUP(A276,Hshldprojections2014!$A$2:$AW$319,41, FALSE)-VLOOKUP(A276,Hshldprojections2014!$A$2:$AW$319,31, FALSE))/10</f>
        <v>798.4</v>
      </c>
      <c r="AC276" s="267">
        <f>(VLOOKUP(A276,Hshldprojections2014!$A$2:$AW$319,42, FALSE)-VLOOKUP(A276,Hshldprojections2014!$A$2:$AW$319,32, FALSE))/10</f>
        <v>804.2</v>
      </c>
      <c r="AD276" s="267">
        <f>IF(IndividualLATest!$J$7=2014,(VLOOKUP($A276,Hshldprojections2014!$A$2:$AY$326,43,FALSE)-VLOOKUP($A276,Hshldprojections2014!$A$2:$AY$326,33,FALSE))/10,IF(IndividualLATest!$J$7=2016,(VLOOKUP($A276,Hshldprojections2016!$A$1:$AQ$322,33,FALSE)-VLOOKUP($A276,Hshldprojections2016!$A$1:$AQ$322,23,FALSE))/10,(VLOOKUP($A276,Hshldprojections2018!$A$1:$AQ$327,33,FALSE)-VLOOKUP($A276,Hshldprojections2018!$A$1:$AQ$327,23,FALSE))/10))</f>
        <v>544.70000000000005</v>
      </c>
      <c r="AE276" s="267">
        <f>IF(IndividualLATest!$J$7=2014,(VLOOKUP($A276,Hshldprojections2014!$A$2:$AY$326,44,FALSE)-VLOOKUP($A276,Hshldprojections2014!$A$2:$AY$326,34,FALSE))/10,IF(IndividualLATest!$J$7=2016,(VLOOKUP($A276,Hshldprojections2016!$A$1:$AQ$322,34,FALSE)-VLOOKUP($A276,Hshldprojections2016!$A$1:$AQ$322,24,FALSE))/10,(VLOOKUP($A276,Hshldprojections2018!$A$1:$AQ$327,34,FALSE)-VLOOKUP($A276,Hshldprojections2018!$A$1:$AQ$327,24,FALSE))/10))</f>
        <v>541.29999999999995</v>
      </c>
      <c r="AF276" s="267">
        <f>IF(IndividualLATest!$J$7=2014,(VLOOKUP($A276,Hshldprojections2014!$A$2:$AY$326,45,FALSE)-VLOOKUP($A276,Hshldprojections2014!$A$2:$AY$326,35,FALSE))/10,IF(IndividualLATest!$J$7=2016,(VLOOKUP($A276,Hshldprojections2016!$A$1:$AQ$322,35,FALSE)-VLOOKUP($A276,Hshldprojections2016!$A$1:$AQ$322,25,FALSE))/10,(VLOOKUP($A276,Hshldprojections2018!$A$1:$AQ$327,35,FALSE)-VLOOKUP($A276,Hshldprojections2018!$A$1:$AQ$327,25,FALSE))/10))</f>
        <v>535.5</v>
      </c>
      <c r="AG276" s="267">
        <f>IF(IndividualLATest!$J$7=2014,(VLOOKUP($A276,Hshldprojections2014!$A$2:$AY$326,46,FALSE)-VLOOKUP($A276,Hshldprojections2014!$A$2:$AY$326,36,FALSE))/10,IF(IndividualLATest!$J$7=2016,(VLOOKUP($A276,Hshldprojections2016!$A$1:$AQ$322,36,FALSE)-VLOOKUP($A276,Hshldprojections2016!$A$1:$AQ$322,26,FALSE))/10,(VLOOKUP($A276,Hshldprojections2018!$A$1:$AQ$327,36,FALSE)-VLOOKUP($A276,Hshldprojections2018!$A$1:$AQ$327,26,FALSE))/10))</f>
        <v>528.9</v>
      </c>
      <c r="AH276" s="267">
        <f>IF(IndividualLATest!$J$7=2014,(VLOOKUP($A276,Hshldprojections2014!$A$2:$AY$326,47,FALSE)-VLOOKUP($A276,Hshldprojections2014!$A$2:$AY$326,37,FALSE))/10,IF(IndividualLATest!$J$7=2016,(VLOOKUP($A276,Hshldprojections2016!$A$1:$AQ$322,37,FALSE)-VLOOKUP($A276,Hshldprojections2016!$A$1:$AQ$322,27,FALSE))/10,(VLOOKUP($A276,Hshldprojections2018!$A$1:$AQ$327,37,FALSE)-VLOOKUP($A276,Hshldprojections2018!$A$1:$AQ$327,27,FALSE))/10))</f>
        <v>524.5</v>
      </c>
      <c r="AI276" s="268">
        <f>VLOOKUP($A276,AffordabilityRatio!$A$2:$I$321,5,FALSE)</f>
        <v>10.49</v>
      </c>
      <c r="AJ276" s="268">
        <f>VLOOKUP($A276,AffordabilityRatio!$A$2:$I$321,6,FALSE)</f>
        <v>10.49</v>
      </c>
      <c r="AK276" s="268">
        <f>VLOOKUP($A276,AffordabilityRatio!$A$2:$I$321,7,FALSE)</f>
        <v>9.58</v>
      </c>
      <c r="AL276" s="268">
        <f>IF((VLOOKUP($A276,AffordabilityRatio!$A$2:$I$321,8,FALSE))="",AK276,VLOOKUP($A276,AffordabilityRatio!$A$2:$I$321,8,FALSE))</f>
        <v>10.14</v>
      </c>
      <c r="AM276" s="268">
        <f>IF((VLOOKUP($A276,AffordabilityRatio!$A$2:$I$321,9,FALSE))="",AL276,VLOOKUP($A276,AffordabilityRatio!$A$2:$I$321,9,FALSE))</f>
        <v>10.74</v>
      </c>
      <c r="AN276" s="268">
        <f>IF((VLOOKUP($A276,AffordabilityRatio!$A$2:$I$321,9,FALSE))="",AM276,VLOOKUP($A276,AffordabilityRatio!$A$2:$I$321,9,FALSE))</f>
        <v>10.74</v>
      </c>
      <c r="AO276" s="268">
        <f>IF((VLOOKUP($A276,AffordabilityRatio!$A$2:$I$321,9,FALSE))="",AN276,VLOOKUP($A276,AffordabilityRatio!$A$2:$I$321,9,FALSE))</f>
        <v>10.74</v>
      </c>
      <c r="AP276" s="268">
        <f>IF((VLOOKUP($A276,AffordabilityRatio!$A$2:$I$321,9,FALSE))="",AO276,VLOOKUP($A276,AffordabilityRatio!$A$2:$I$321,9,FALSE))</f>
        <v>10.74</v>
      </c>
      <c r="AQ276" s="267">
        <f t="shared" si="282"/>
        <v>1119</v>
      </c>
      <c r="AR276" s="267">
        <f t="shared" si="283"/>
        <v>1122</v>
      </c>
      <c r="AS276" s="267">
        <f t="shared" si="284"/>
        <v>1085</v>
      </c>
      <c r="AT276" s="267">
        <f t="shared" si="285"/>
        <v>754</v>
      </c>
      <c r="AU276" s="267">
        <f t="shared" si="286"/>
        <v>769</v>
      </c>
      <c r="AV276" s="267">
        <f t="shared" si="287"/>
        <v>761</v>
      </c>
      <c r="AW276" s="267">
        <f t="shared" si="288"/>
        <v>752</v>
      </c>
      <c r="AX276" s="267">
        <f t="shared" si="289"/>
        <v>745</v>
      </c>
      <c r="AY276" s="267">
        <f t="shared" si="290"/>
        <v>1119</v>
      </c>
      <c r="AZ276" s="267">
        <f t="shared" si="291"/>
        <v>1122</v>
      </c>
      <c r="BA276" s="267">
        <f t="shared" si="292"/>
        <v>1085</v>
      </c>
      <c r="BB276" s="267">
        <f t="shared" si="293"/>
        <v>754</v>
      </c>
      <c r="BC276" s="267">
        <f t="shared" si="294"/>
        <v>769</v>
      </c>
      <c r="BD276" s="267">
        <f t="shared" si="295"/>
        <v>761</v>
      </c>
      <c r="BE276" s="267">
        <f t="shared" si="296"/>
        <v>752</v>
      </c>
      <c r="BF276" s="267">
        <f t="shared" si="297"/>
        <v>745</v>
      </c>
      <c r="BG276" s="269">
        <f>AY276*VLOOKUP($B276,'Major Cities &amp; Towns'!$A$28:$B$345,2,FALSE)</f>
        <v>1119</v>
      </c>
      <c r="BH276" s="269">
        <f>AZ276*VLOOKUP($B276,'Major Cities &amp; Towns'!$A$28:$B$345,2,FALSE)</f>
        <v>1122</v>
      </c>
      <c r="BI276" s="269">
        <f>BA276*VLOOKUP($B276,'Major Cities &amp; Towns'!$A$28:$B$345,2,FALSE)</f>
        <v>1085</v>
      </c>
      <c r="BJ276" s="269">
        <f>BB276*VLOOKUP($B276,'Major Cities &amp; Towns'!$A$28:$B$345,2,FALSE)</f>
        <v>754</v>
      </c>
      <c r="BK276" s="269">
        <f>BC276*VLOOKUP($B276,'Major Cities &amp; Towns'!$A$28:$B$345,2,FALSE)</f>
        <v>769</v>
      </c>
      <c r="BL276" s="269">
        <f>BD276*VLOOKUP($B276,'Major Cities &amp; Towns'!$A$28:$B$345,2,FALSE)</f>
        <v>761</v>
      </c>
      <c r="BM276" s="269">
        <f>BE276*VLOOKUP($B276,'Major Cities &amp; Towns'!$A$28:$B$345,2,FALSE)</f>
        <v>752</v>
      </c>
      <c r="BN276" s="269">
        <f>BF276*VLOOKUP($B276,'Major Cities &amp; Towns'!$A$28:$B$345,2,FALSE)</f>
        <v>745</v>
      </c>
      <c r="BO276" s="270">
        <f t="shared" si="298"/>
        <v>857</v>
      </c>
      <c r="BP276" s="270">
        <f t="shared" si="299"/>
        <v>857</v>
      </c>
      <c r="BQ276" s="270">
        <f t="shared" si="300"/>
        <v>857</v>
      </c>
      <c r="BR276" s="270">
        <f t="shared" si="301"/>
        <v>754</v>
      </c>
      <c r="BS276" s="270">
        <f t="shared" si="302"/>
        <v>769</v>
      </c>
      <c r="BT276" s="270">
        <f t="shared" si="303"/>
        <v>761</v>
      </c>
      <c r="BU276" s="270">
        <f t="shared" si="304"/>
        <v>752</v>
      </c>
      <c r="BV276" s="270">
        <f t="shared" si="305"/>
        <v>745</v>
      </c>
      <c r="BW276" s="39">
        <f>VLOOKUP($A276,NetAdditions!$A$2:$H$336,6,FALSE)</f>
        <v>296</v>
      </c>
      <c r="BX276" s="39">
        <f>VLOOKUP($A276,NetAdditions!$A$2:$H$336,7,FALSE)</f>
        <v>371</v>
      </c>
      <c r="BY276" s="39">
        <f>IF((VLOOKUP($C276,NetAdditions!$A$2:$H$336,8,FALSE))="",(AVERAGE(VLOOKUP($C276,NetAdditions!$A$2:$H$336,5,FALSE),VLOOKUP($C276,NetAdditions!$A$2:$H$336,6,FALSE),VLOOKUP($C276,NetAdditions!$A$2:$H$336,7,FALSE))),VLOOKUP($C276,NetAdditions!$A$2:$H$336,8,FALSE))</f>
        <v>540</v>
      </c>
      <c r="BZ276" s="39">
        <f t="shared" si="306"/>
        <v>402.33333333333331</v>
      </c>
      <c r="CA276" s="39">
        <f t="shared" si="307"/>
        <v>437.77777777777777</v>
      </c>
      <c r="CB276" s="39">
        <f t="shared" si="308"/>
        <v>460.03703703703701</v>
      </c>
      <c r="CC276" s="39">
        <f t="shared" si="309"/>
        <v>433.38271604938268</v>
      </c>
      <c r="CD276" s="39">
        <f t="shared" si="310"/>
        <v>443.73251028806584</v>
      </c>
      <c r="CE276" s="276">
        <f t="shared" si="267"/>
        <v>2571</v>
      </c>
      <c r="CF276" s="276">
        <f t="shared" si="268"/>
        <v>2468</v>
      </c>
      <c r="CG276" s="276">
        <f t="shared" si="269"/>
        <v>2380</v>
      </c>
      <c r="CH276" s="276">
        <f t="shared" si="270"/>
        <v>2284</v>
      </c>
      <c r="CI276" s="276">
        <f t="shared" si="271"/>
        <v>2282</v>
      </c>
      <c r="CJ276" s="276">
        <f t="shared" si="272"/>
        <v>2258</v>
      </c>
      <c r="CK276" s="276">
        <f t="shared" si="311"/>
        <v>2213.916666666667</v>
      </c>
      <c r="CL276" s="276">
        <f t="shared" si="312"/>
        <v>2125.2222222222222</v>
      </c>
      <c r="CM276" s="276">
        <f t="shared" si="313"/>
        <v>2181.6666666666665</v>
      </c>
      <c r="CN276" s="276">
        <f t="shared" si="314"/>
        <v>2284</v>
      </c>
      <c r="CO276" s="276">
        <f t="shared" si="315"/>
        <v>2282</v>
      </c>
      <c r="CP276" s="276">
        <f t="shared" si="316"/>
        <v>2258</v>
      </c>
      <c r="CQ276" s="39">
        <f t="shared" si="273"/>
        <v>1207</v>
      </c>
      <c r="CR276" s="39">
        <f t="shared" si="274"/>
        <v>1313.3333333333333</v>
      </c>
      <c r="CS276" s="277">
        <f t="shared" si="275"/>
        <v>1380.1111111111111</v>
      </c>
      <c r="CT276" s="39">
        <f t="shared" si="276"/>
        <v>1300.148148148148</v>
      </c>
      <c r="CU276" s="39">
        <f t="shared" si="277"/>
        <v>1331.1975308641975</v>
      </c>
      <c r="CV276" s="39">
        <f t="shared" si="317"/>
        <v>1337.1522633744855</v>
      </c>
      <c r="CW276" s="297">
        <f t="shared" si="278"/>
        <v>0.54518763880001497</v>
      </c>
      <c r="CX276" s="279" t="str">
        <f t="shared" si="318"/>
        <v>Buffer and Action Plan</v>
      </c>
      <c r="CY276" s="278">
        <f t="shared" si="279"/>
        <v>0.61797459089245566</v>
      </c>
      <c r="CZ276" s="279" t="str">
        <f t="shared" si="319"/>
        <v>Buffer and Action Plan</v>
      </c>
      <c r="DA276" s="278">
        <f t="shared" si="280"/>
        <v>0.63259485612426791</v>
      </c>
      <c r="DB276" s="292" t="str">
        <f t="shared" si="320"/>
        <v>Presumption</v>
      </c>
      <c r="DC276" s="299">
        <f t="shared" si="321"/>
        <v>0.56924174612440803</v>
      </c>
      <c r="DD276" s="293" t="str">
        <f t="shared" si="322"/>
        <v>Presumption</v>
      </c>
      <c r="DE276" s="299">
        <f t="shared" si="323"/>
        <v>0.58334685839798306</v>
      </c>
      <c r="DF276" s="293" t="str">
        <f t="shared" si="324"/>
        <v>Presumption</v>
      </c>
      <c r="DG276" s="299">
        <f t="shared" si="325"/>
        <v>0.59218435047585716</v>
      </c>
      <c r="DH276" s="293" t="str">
        <f t="shared" si="326"/>
        <v>Presumption</v>
      </c>
    </row>
    <row r="277" spans="1:112" ht="15" thickTop="1" thickBot="1">
      <c r="A277" s="38" t="s">
        <v>664</v>
      </c>
      <c r="B277" s="38" t="s">
        <v>665</v>
      </c>
      <c r="C277" s="38" t="s">
        <v>664</v>
      </c>
      <c r="D277" s="38" t="s">
        <v>128</v>
      </c>
      <c r="E277" s="38" t="str">
        <f>VLOOKUP(C277,PoliticalControl!A:K,11,FALSE)</f>
        <v>LD</v>
      </c>
      <c r="F277" s="38" t="str">
        <f>VLOOKUP(C277,UrbanRuralClassification!A:N,13,FALSE)</f>
        <v>Urban with Major Conurbation</v>
      </c>
      <c r="G277" s="38" t="str">
        <f>VLOOKUP(C277,UrbanRuralClassification!A:N,14,FALSE)</f>
        <v>Predominantly Urban</v>
      </c>
      <c r="H277" s="258">
        <f>IF(ISBLANK((VLOOKUP($A277,'local-plan-data'!$C$1:$AD$566,27,FALSE)))=TRUE,"",VLOOKUP($A277,'local-plan-data'!$C$1:$AD$566,27,FALSE))</f>
        <v>40833</v>
      </c>
      <c r="I277" s="259">
        <f>VLOOKUP($A277,'local-plan-data'!$C$1:$AD$566,28,FALSE)</f>
        <v>180</v>
      </c>
      <c r="J277" s="260">
        <f t="shared" si="281"/>
        <v>180</v>
      </c>
      <c r="K277" s="259" t="str">
        <f t="shared" si="327"/>
        <v>-</v>
      </c>
      <c r="L277" s="259" t="str">
        <f t="shared" si="327"/>
        <v>-</v>
      </c>
      <c r="M277" s="259" t="str">
        <f t="shared" si="327"/>
        <v>-</v>
      </c>
      <c r="N277" s="259" t="str">
        <f t="shared" si="327"/>
        <v>-</v>
      </c>
      <c r="O277" s="259" t="str">
        <f t="shared" si="327"/>
        <v>-</v>
      </c>
      <c r="P277" s="259" t="str">
        <f t="shared" si="327"/>
        <v>-</v>
      </c>
      <c r="Q277" s="259" t="str">
        <f t="shared" si="327"/>
        <v>-</v>
      </c>
      <c r="R277" s="259" t="str">
        <f t="shared" si="327"/>
        <v>-</v>
      </c>
      <c r="S277" s="259">
        <f t="shared" si="328"/>
        <v>-531</v>
      </c>
      <c r="T277" s="259">
        <f t="shared" si="328"/>
        <v>-896</v>
      </c>
      <c r="U277" s="259">
        <f t="shared" si="328"/>
        <v>-1262</v>
      </c>
      <c r="V277" s="259">
        <f t="shared" si="328"/>
        <v>-1627</v>
      </c>
      <c r="W277" s="259">
        <f t="shared" si="328"/>
        <v>-1992</v>
      </c>
      <c r="X277" s="259">
        <f t="shared" si="328"/>
        <v>-2357</v>
      </c>
      <c r="Y277" s="259">
        <f t="shared" si="328"/>
        <v>-2723</v>
      </c>
      <c r="Z277" s="259">
        <f t="shared" si="328"/>
        <v>-3088</v>
      </c>
      <c r="AA277" s="267">
        <f>(VLOOKUP(A277,Hshldprojections2014!$A$2:$AW$319,40, FALSE)-VLOOKUP(A277,Hshldprojections2014!$A$2:$AW$319,30, FALSE))/10</f>
        <v>439.2</v>
      </c>
      <c r="AB277" s="267">
        <f>(VLOOKUP(A277,Hshldprojections2014!$A$2:$AW$319,41, FALSE)-VLOOKUP(A277,Hshldprojections2014!$A$2:$AW$319,31, FALSE))/10</f>
        <v>442.7</v>
      </c>
      <c r="AC277" s="267">
        <f>(VLOOKUP(A277,Hshldprojections2014!$A$2:$AW$319,42, FALSE)-VLOOKUP(A277,Hshldprojections2014!$A$2:$AW$319,32, FALSE))/10</f>
        <v>445.8</v>
      </c>
      <c r="AD277" s="267">
        <f>IF(IndividualLATest!$J$7=2014,(VLOOKUP($A277,Hshldprojections2014!$A$2:$AY$326,43,FALSE)-VLOOKUP($A277,Hshldprojections2014!$A$2:$AY$326,33,FALSE))/10,IF(IndividualLATest!$J$7=2016,(VLOOKUP($A277,Hshldprojections2016!$A$1:$AQ$322,33,FALSE)-VLOOKUP($A277,Hshldprojections2016!$A$1:$AQ$322,23,FALSE))/10,(VLOOKUP($A277,Hshldprojections2018!$A$1:$AQ$327,33,FALSE)-VLOOKUP($A277,Hshldprojections2018!$A$1:$AQ$327,23,FALSE))/10))</f>
        <v>141.80000000000001</v>
      </c>
      <c r="AE277" s="267">
        <f>IF(IndividualLATest!$J$7=2014,(VLOOKUP($A277,Hshldprojections2014!$A$2:$AY$326,44,FALSE)-VLOOKUP($A277,Hshldprojections2014!$A$2:$AY$326,34,FALSE))/10,IF(IndividualLATest!$J$7=2016,(VLOOKUP($A277,Hshldprojections2016!$A$1:$AQ$322,34,FALSE)-VLOOKUP($A277,Hshldprojections2016!$A$1:$AQ$322,24,FALSE))/10,(VLOOKUP($A277,Hshldprojections2018!$A$1:$AQ$327,34,FALSE)-VLOOKUP($A277,Hshldprojections2018!$A$1:$AQ$327,24,FALSE))/10))</f>
        <v>138.19999999999999</v>
      </c>
      <c r="AF277" s="267">
        <f>IF(IndividualLATest!$J$7=2014,(VLOOKUP($A277,Hshldprojections2014!$A$2:$AY$326,45,FALSE)-VLOOKUP($A277,Hshldprojections2014!$A$2:$AY$326,35,FALSE))/10,IF(IndividualLATest!$J$7=2016,(VLOOKUP($A277,Hshldprojections2016!$A$1:$AQ$322,35,FALSE)-VLOOKUP($A277,Hshldprojections2016!$A$1:$AQ$322,25,FALSE))/10,(VLOOKUP($A277,Hshldprojections2018!$A$1:$AQ$327,35,FALSE)-VLOOKUP($A277,Hshldprojections2018!$A$1:$AQ$327,25,FALSE))/10))</f>
        <v>136.1</v>
      </c>
      <c r="AG277" s="267">
        <f>IF(IndividualLATest!$J$7=2014,(VLOOKUP($A277,Hshldprojections2014!$A$2:$AY$326,46,FALSE)-VLOOKUP($A277,Hshldprojections2014!$A$2:$AY$326,36,FALSE))/10,IF(IndividualLATest!$J$7=2016,(VLOOKUP($A277,Hshldprojections2016!$A$1:$AQ$322,36,FALSE)-VLOOKUP($A277,Hshldprojections2016!$A$1:$AQ$322,26,FALSE))/10,(VLOOKUP($A277,Hshldprojections2018!$A$1:$AQ$327,36,FALSE)-VLOOKUP($A277,Hshldprojections2018!$A$1:$AQ$327,26,FALSE))/10))</f>
        <v>134.9</v>
      </c>
      <c r="AH277" s="267">
        <f>IF(IndividualLATest!$J$7=2014,(VLOOKUP($A277,Hshldprojections2014!$A$2:$AY$326,47,FALSE)-VLOOKUP($A277,Hshldprojections2014!$A$2:$AY$326,37,FALSE))/10,IF(IndividualLATest!$J$7=2016,(VLOOKUP($A277,Hshldprojections2016!$A$1:$AQ$322,37,FALSE)-VLOOKUP($A277,Hshldprojections2016!$A$1:$AQ$322,27,FALSE))/10,(VLOOKUP($A277,Hshldprojections2018!$A$1:$AQ$327,37,FALSE)-VLOOKUP($A277,Hshldprojections2018!$A$1:$AQ$327,27,FALSE))/10))</f>
        <v>134.30000000000001</v>
      </c>
      <c r="AI277" s="268">
        <f>VLOOKUP($A277,AffordabilityRatio!$A$2:$I$321,5,FALSE)</f>
        <v>13.84</v>
      </c>
      <c r="AJ277" s="268">
        <f>VLOOKUP($A277,AffordabilityRatio!$A$2:$I$321,6,FALSE)</f>
        <v>13.64</v>
      </c>
      <c r="AK277" s="268">
        <f>VLOOKUP($A277,AffordabilityRatio!$A$2:$I$321,7,FALSE)</f>
        <v>13.67</v>
      </c>
      <c r="AL277" s="268">
        <f>IF((VLOOKUP($A277,AffordabilityRatio!$A$2:$I$321,8,FALSE))="",AK277,VLOOKUP($A277,AffordabilityRatio!$A$2:$I$321,8,FALSE))</f>
        <v>16.07</v>
      </c>
      <c r="AM277" s="268">
        <f>IF((VLOOKUP($A277,AffordabilityRatio!$A$2:$I$321,9,FALSE))="",AL277,VLOOKUP($A277,AffordabilityRatio!$A$2:$I$321,9,FALSE))</f>
        <v>14.37</v>
      </c>
      <c r="AN277" s="268">
        <f>IF((VLOOKUP($A277,AffordabilityRatio!$A$2:$I$321,9,FALSE))="",AM277,VLOOKUP($A277,AffordabilityRatio!$A$2:$I$321,9,FALSE))</f>
        <v>14.37</v>
      </c>
      <c r="AO277" s="268">
        <f>IF((VLOOKUP($A277,AffordabilityRatio!$A$2:$I$321,9,FALSE))="",AN277,VLOOKUP($A277,AffordabilityRatio!$A$2:$I$321,9,FALSE))</f>
        <v>14.37</v>
      </c>
      <c r="AP277" s="268">
        <f>IF((VLOOKUP($A277,AffordabilityRatio!$A$2:$I$321,9,FALSE))="",AO277,VLOOKUP($A277,AffordabilityRatio!$A$2:$I$321,9,FALSE))</f>
        <v>14.37</v>
      </c>
      <c r="AQ277" s="267">
        <f t="shared" si="282"/>
        <v>709</v>
      </c>
      <c r="AR277" s="267">
        <f t="shared" si="283"/>
        <v>709</v>
      </c>
      <c r="AS277" s="267">
        <f t="shared" si="284"/>
        <v>715</v>
      </c>
      <c r="AT277" s="267">
        <f t="shared" si="285"/>
        <v>249</v>
      </c>
      <c r="AU277" s="267">
        <f t="shared" si="286"/>
        <v>228</v>
      </c>
      <c r="AV277" s="267">
        <f t="shared" si="287"/>
        <v>224</v>
      </c>
      <c r="AW277" s="267">
        <f t="shared" si="288"/>
        <v>222</v>
      </c>
      <c r="AX277" s="267">
        <f t="shared" si="289"/>
        <v>221</v>
      </c>
      <c r="AY277" s="267">
        <f t="shared" si="290"/>
        <v>614.88</v>
      </c>
      <c r="AZ277" s="267">
        <f t="shared" si="291"/>
        <v>619.78</v>
      </c>
      <c r="BA277" s="267">
        <f t="shared" si="292"/>
        <v>624.12</v>
      </c>
      <c r="BB277" s="267">
        <f t="shared" si="293"/>
        <v>249</v>
      </c>
      <c r="BC277" s="267">
        <f t="shared" si="294"/>
        <v>228</v>
      </c>
      <c r="BD277" s="267">
        <f t="shared" si="295"/>
        <v>224</v>
      </c>
      <c r="BE277" s="267">
        <f t="shared" si="296"/>
        <v>222</v>
      </c>
      <c r="BF277" s="267">
        <f t="shared" si="297"/>
        <v>221</v>
      </c>
      <c r="BG277" s="269">
        <f>AY277*VLOOKUP($B277,'Major Cities &amp; Towns'!$A$28:$B$345,2,FALSE)</f>
        <v>614.88</v>
      </c>
      <c r="BH277" s="269">
        <f>AZ277*VLOOKUP($B277,'Major Cities &amp; Towns'!$A$28:$B$345,2,FALSE)</f>
        <v>619.78</v>
      </c>
      <c r="BI277" s="269">
        <f>BA277*VLOOKUP($B277,'Major Cities &amp; Towns'!$A$28:$B$345,2,FALSE)</f>
        <v>624.12</v>
      </c>
      <c r="BJ277" s="269">
        <f>BB277*VLOOKUP($B277,'Major Cities &amp; Towns'!$A$28:$B$345,2,FALSE)</f>
        <v>249</v>
      </c>
      <c r="BK277" s="269">
        <f>BC277*VLOOKUP($B277,'Major Cities &amp; Towns'!$A$28:$B$345,2,FALSE)</f>
        <v>228</v>
      </c>
      <c r="BL277" s="269">
        <f>BD277*VLOOKUP($B277,'Major Cities &amp; Towns'!$A$28:$B$345,2,FALSE)</f>
        <v>224</v>
      </c>
      <c r="BM277" s="269">
        <f>BE277*VLOOKUP($B277,'Major Cities &amp; Towns'!$A$28:$B$345,2,FALSE)</f>
        <v>222</v>
      </c>
      <c r="BN277" s="269">
        <f>BF277*VLOOKUP($B277,'Major Cities &amp; Towns'!$A$28:$B$345,2,FALSE)</f>
        <v>221</v>
      </c>
      <c r="BO277" s="270">
        <f t="shared" si="298"/>
        <v>709</v>
      </c>
      <c r="BP277" s="270">
        <f t="shared" si="299"/>
        <v>709</v>
      </c>
      <c r="BQ277" s="270">
        <f t="shared" si="300"/>
        <v>715</v>
      </c>
      <c r="BR277" s="270">
        <f t="shared" si="301"/>
        <v>249</v>
      </c>
      <c r="BS277" s="270">
        <f t="shared" si="302"/>
        <v>228</v>
      </c>
      <c r="BT277" s="270">
        <f t="shared" si="303"/>
        <v>224</v>
      </c>
      <c r="BU277" s="270">
        <f t="shared" si="304"/>
        <v>222</v>
      </c>
      <c r="BV277" s="270">
        <f t="shared" si="305"/>
        <v>221</v>
      </c>
      <c r="BW277" s="39">
        <f>VLOOKUP($A277,NetAdditions!$A$2:$H$336,6,FALSE)</f>
        <v>150</v>
      </c>
      <c r="BX277" s="39">
        <f>VLOOKUP($A277,NetAdditions!$A$2:$H$336,7,FALSE)</f>
        <v>407</v>
      </c>
      <c r="BY277" s="39">
        <f>IF((VLOOKUP($C277,NetAdditions!$A$2:$H$336,8,FALSE))="",(AVERAGE(VLOOKUP($C277,NetAdditions!$A$2:$H$336,5,FALSE),VLOOKUP($C277,NetAdditions!$A$2:$H$336,6,FALSE),VLOOKUP($C277,NetAdditions!$A$2:$H$336,7,FALSE))),VLOOKUP($C277,NetAdditions!$A$2:$H$336,8,FALSE))</f>
        <v>100</v>
      </c>
      <c r="BZ277" s="39">
        <f t="shared" si="306"/>
        <v>219</v>
      </c>
      <c r="CA277" s="39">
        <f t="shared" si="307"/>
        <v>242</v>
      </c>
      <c r="CB277" s="39">
        <f t="shared" si="308"/>
        <v>187</v>
      </c>
      <c r="CC277" s="39">
        <f t="shared" si="309"/>
        <v>216</v>
      </c>
      <c r="CD277" s="39">
        <f t="shared" si="310"/>
        <v>215</v>
      </c>
      <c r="CE277" s="276">
        <f t="shared" si="267"/>
        <v>2133</v>
      </c>
      <c r="CF277" s="276">
        <f t="shared" si="268"/>
        <v>1673</v>
      </c>
      <c r="CG277" s="276">
        <f t="shared" si="269"/>
        <v>1192</v>
      </c>
      <c r="CH277" s="276">
        <f t="shared" si="270"/>
        <v>701</v>
      </c>
      <c r="CI277" s="276">
        <f t="shared" si="271"/>
        <v>674</v>
      </c>
      <c r="CJ277" s="276">
        <f t="shared" si="272"/>
        <v>667</v>
      </c>
      <c r="CK277" s="276">
        <f t="shared" si="311"/>
        <v>1836.75</v>
      </c>
      <c r="CL277" s="276">
        <f t="shared" si="312"/>
        <v>1440.6388888888889</v>
      </c>
      <c r="CM277" s="276">
        <f t="shared" si="313"/>
        <v>1092.6666666666665</v>
      </c>
      <c r="CN277" s="276">
        <f t="shared" si="314"/>
        <v>701</v>
      </c>
      <c r="CO277" s="276">
        <f t="shared" si="315"/>
        <v>674</v>
      </c>
      <c r="CP277" s="276">
        <f t="shared" si="316"/>
        <v>667</v>
      </c>
      <c r="CQ277" s="39">
        <f t="shared" si="273"/>
        <v>657</v>
      </c>
      <c r="CR277" s="39">
        <f t="shared" si="274"/>
        <v>726</v>
      </c>
      <c r="CS277" s="277">
        <f t="shared" si="275"/>
        <v>561</v>
      </c>
      <c r="CT277" s="39">
        <f t="shared" si="276"/>
        <v>648</v>
      </c>
      <c r="CU277" s="39">
        <f t="shared" si="277"/>
        <v>645</v>
      </c>
      <c r="CV277" s="39">
        <f t="shared" si="317"/>
        <v>618</v>
      </c>
      <c r="CW277" s="297">
        <f t="shared" si="278"/>
        <v>0.35769701919150676</v>
      </c>
      <c r="CX277" s="279" t="str">
        <f t="shared" si="318"/>
        <v>Buffer and Action Plan</v>
      </c>
      <c r="CY277" s="278">
        <f t="shared" si="279"/>
        <v>0.50394308080905459</v>
      </c>
      <c r="CZ277" s="279" t="str">
        <f t="shared" si="319"/>
        <v>Buffer and Action Plan</v>
      </c>
      <c r="DA277" s="278">
        <f t="shared" si="280"/>
        <v>0.5134228187919464</v>
      </c>
      <c r="DB277" s="292" t="str">
        <f t="shared" si="320"/>
        <v>Presumption</v>
      </c>
      <c r="DC277" s="299">
        <f t="shared" si="321"/>
        <v>0.92439372325249647</v>
      </c>
      <c r="DD277" s="293" t="str">
        <f t="shared" si="322"/>
        <v>Action Plan</v>
      </c>
      <c r="DE277" s="299">
        <f t="shared" si="323"/>
        <v>0.95697329376854601</v>
      </c>
      <c r="DF277" s="293" t="str">
        <f t="shared" si="324"/>
        <v>Pass</v>
      </c>
      <c r="DG277" s="299">
        <f t="shared" si="325"/>
        <v>0.92653673163418293</v>
      </c>
      <c r="DH277" s="293" t="str">
        <f t="shared" si="326"/>
        <v>Action Plan</v>
      </c>
    </row>
    <row r="278" spans="1:112" ht="15" thickTop="1" thickBot="1">
      <c r="A278" s="38" t="s">
        <v>666</v>
      </c>
      <c r="B278" s="38" t="s">
        <v>667</v>
      </c>
      <c r="C278" s="38" t="s">
        <v>666</v>
      </c>
      <c r="D278" s="38" t="s">
        <v>128</v>
      </c>
      <c r="E278" s="38" t="str">
        <f>VLOOKUP(C278,PoliticalControl!A:K,11,FALSE)</f>
        <v>CON</v>
      </c>
      <c r="F278" s="38" t="str">
        <f>VLOOKUP(C278,UrbanRuralClassification!A:N,13,FALSE)</f>
        <v>Urban with Major Conurbation</v>
      </c>
      <c r="G278" s="38" t="str">
        <f>VLOOKUP(C278,UrbanRuralClassification!A:N,14,FALSE)</f>
        <v>Predominantly Urban</v>
      </c>
      <c r="H278" s="258">
        <f>IF(ISBLANK((VLOOKUP($A278,'local-plan-data'!$C$1:$AD$566,27,FALSE)))=TRUE,"",VLOOKUP($A278,'local-plan-data'!$C$1:$AD$566,27,FALSE))</f>
        <v>40898</v>
      </c>
      <c r="I278" s="259">
        <f>VLOOKUP($A278,'local-plan-data'!$C$1:$AD$566,28,FALSE)</f>
        <v>930</v>
      </c>
      <c r="J278" s="260">
        <f t="shared" si="281"/>
        <v>930</v>
      </c>
      <c r="K278" s="259" t="str">
        <f t="shared" si="327"/>
        <v>-</v>
      </c>
      <c r="L278" s="259" t="str">
        <f t="shared" si="327"/>
        <v>-</v>
      </c>
      <c r="M278" s="259" t="str">
        <f t="shared" si="327"/>
        <v>-</v>
      </c>
      <c r="N278" s="259" t="str">
        <f t="shared" si="327"/>
        <v>-</v>
      </c>
      <c r="O278" s="259" t="str">
        <f t="shared" si="327"/>
        <v>-</v>
      </c>
      <c r="P278" s="259" t="str">
        <f t="shared" si="327"/>
        <v>-</v>
      </c>
      <c r="Q278" s="259" t="str">
        <f t="shared" si="327"/>
        <v>-</v>
      </c>
      <c r="R278" s="259" t="str">
        <f t="shared" si="327"/>
        <v>-</v>
      </c>
      <c r="S278" s="259">
        <f t="shared" si="328"/>
        <v>-466</v>
      </c>
      <c r="T278" s="259">
        <f t="shared" si="328"/>
        <v>-831</v>
      </c>
      <c r="U278" s="259">
        <f t="shared" si="328"/>
        <v>-1197</v>
      </c>
      <c r="V278" s="259">
        <f t="shared" si="328"/>
        <v>-1562</v>
      </c>
      <c r="W278" s="259">
        <f t="shared" si="328"/>
        <v>-1927</v>
      </c>
      <c r="X278" s="259">
        <f t="shared" si="328"/>
        <v>-2292</v>
      </c>
      <c r="Y278" s="259">
        <f t="shared" si="328"/>
        <v>-2658</v>
      </c>
      <c r="Z278" s="259">
        <f t="shared" si="328"/>
        <v>-3023</v>
      </c>
      <c r="AA278" s="267">
        <f>(VLOOKUP(A278,Hshldprojections2014!$A$2:$AW$319,40, FALSE)-VLOOKUP(A278,Hshldprojections2014!$A$2:$AW$319,30, FALSE))/10</f>
        <v>850.1</v>
      </c>
      <c r="AB278" s="267">
        <f>(VLOOKUP(A278,Hshldprojections2014!$A$2:$AW$319,41, FALSE)-VLOOKUP(A278,Hshldprojections2014!$A$2:$AW$319,31, FALSE))/10</f>
        <v>850.1</v>
      </c>
      <c r="AC278" s="267">
        <f>(VLOOKUP(A278,Hshldprojections2014!$A$2:$AW$319,42, FALSE)-VLOOKUP(A278,Hshldprojections2014!$A$2:$AW$319,32, FALSE))/10</f>
        <v>849.8</v>
      </c>
      <c r="AD278" s="267">
        <f>IF(IndividualLATest!$J$7=2014,(VLOOKUP($A278,Hshldprojections2014!$A$2:$AY$326,43,FALSE)-VLOOKUP($A278,Hshldprojections2014!$A$2:$AY$326,33,FALSE))/10,IF(IndividualLATest!$J$7=2016,(VLOOKUP($A278,Hshldprojections2016!$A$1:$AQ$322,33,FALSE)-VLOOKUP($A278,Hshldprojections2016!$A$1:$AQ$322,23,FALSE))/10,(VLOOKUP($A278,Hshldprojections2018!$A$1:$AQ$327,33,FALSE)-VLOOKUP($A278,Hshldprojections2018!$A$1:$AQ$327,23,FALSE))/10))</f>
        <v>706.4</v>
      </c>
      <c r="AE278" s="267">
        <f>IF(IndividualLATest!$J$7=2014,(VLOOKUP($A278,Hshldprojections2014!$A$2:$AY$326,44,FALSE)-VLOOKUP($A278,Hshldprojections2014!$A$2:$AY$326,34,FALSE))/10,IF(IndividualLATest!$J$7=2016,(VLOOKUP($A278,Hshldprojections2016!$A$1:$AQ$322,34,FALSE)-VLOOKUP($A278,Hshldprojections2016!$A$1:$AQ$322,24,FALSE))/10,(VLOOKUP($A278,Hshldprojections2018!$A$1:$AQ$327,34,FALSE)-VLOOKUP($A278,Hshldprojections2018!$A$1:$AQ$327,24,FALSE))/10))</f>
        <v>693.5</v>
      </c>
      <c r="AF278" s="267">
        <f>IF(IndividualLATest!$J$7=2014,(VLOOKUP($A278,Hshldprojections2014!$A$2:$AY$326,45,FALSE)-VLOOKUP($A278,Hshldprojections2014!$A$2:$AY$326,35,FALSE))/10,IF(IndividualLATest!$J$7=2016,(VLOOKUP($A278,Hshldprojections2016!$A$1:$AQ$322,35,FALSE)-VLOOKUP($A278,Hshldprojections2016!$A$1:$AQ$322,25,FALSE))/10,(VLOOKUP($A278,Hshldprojections2018!$A$1:$AQ$327,35,FALSE)-VLOOKUP($A278,Hshldprojections2018!$A$1:$AQ$327,25,FALSE))/10))</f>
        <v>683.8</v>
      </c>
      <c r="AG278" s="267">
        <f>IF(IndividualLATest!$J$7=2014,(VLOOKUP($A278,Hshldprojections2014!$A$2:$AY$326,46,FALSE)-VLOOKUP($A278,Hshldprojections2014!$A$2:$AY$326,36,FALSE))/10,IF(IndividualLATest!$J$7=2016,(VLOOKUP($A278,Hshldprojections2016!$A$1:$AQ$322,36,FALSE)-VLOOKUP($A278,Hshldprojections2016!$A$1:$AQ$322,26,FALSE))/10,(VLOOKUP($A278,Hshldprojections2018!$A$1:$AQ$327,36,FALSE)-VLOOKUP($A278,Hshldprojections2018!$A$1:$AQ$327,26,FALSE))/10))</f>
        <v>672.9</v>
      </c>
      <c r="AH278" s="267">
        <f>IF(IndividualLATest!$J$7=2014,(VLOOKUP($A278,Hshldprojections2014!$A$2:$AY$326,47,FALSE)-VLOOKUP($A278,Hshldprojections2014!$A$2:$AY$326,37,FALSE))/10,IF(IndividualLATest!$J$7=2016,(VLOOKUP($A278,Hshldprojections2016!$A$1:$AQ$322,37,FALSE)-VLOOKUP($A278,Hshldprojections2016!$A$1:$AQ$322,27,FALSE))/10,(VLOOKUP($A278,Hshldprojections2018!$A$1:$AQ$327,37,FALSE)-VLOOKUP($A278,Hshldprojections2018!$A$1:$AQ$327,27,FALSE))/10))</f>
        <v>663.7</v>
      </c>
      <c r="AI278" s="268">
        <f>VLOOKUP($A278,AffordabilityRatio!$A$2:$I$321,5,FALSE)</f>
        <v>10</v>
      </c>
      <c r="AJ278" s="268">
        <f>VLOOKUP($A278,AffordabilityRatio!$A$2:$I$321,6,FALSE)</f>
        <v>10.039999999999999</v>
      </c>
      <c r="AK278" s="268">
        <f>VLOOKUP($A278,AffordabilityRatio!$A$2:$I$321,7,FALSE)</f>
        <v>9.57</v>
      </c>
      <c r="AL278" s="268">
        <f>IF((VLOOKUP($A278,AffordabilityRatio!$A$2:$I$321,8,FALSE))="",AK278,VLOOKUP($A278,AffordabilityRatio!$A$2:$I$321,8,FALSE))</f>
        <v>9.3699999999999992</v>
      </c>
      <c r="AM278" s="268">
        <f>IF((VLOOKUP($A278,AffordabilityRatio!$A$2:$I$321,9,FALSE))="",AL278,VLOOKUP($A278,AffordabilityRatio!$A$2:$I$321,9,FALSE))</f>
        <v>10.26</v>
      </c>
      <c r="AN278" s="268">
        <f>IF((VLOOKUP($A278,AffordabilityRatio!$A$2:$I$321,9,FALSE))="",AM278,VLOOKUP($A278,AffordabilityRatio!$A$2:$I$321,9,FALSE))</f>
        <v>10.26</v>
      </c>
      <c r="AO278" s="268">
        <f>IF((VLOOKUP($A278,AffordabilityRatio!$A$2:$I$321,9,FALSE))="",AN278,VLOOKUP($A278,AffordabilityRatio!$A$2:$I$321,9,FALSE))</f>
        <v>10.26</v>
      </c>
      <c r="AP278" s="268">
        <f>IF((VLOOKUP($A278,AffordabilityRatio!$A$2:$I$321,9,FALSE))="",AO278,VLOOKUP($A278,AffordabilityRatio!$A$2:$I$321,9,FALSE))</f>
        <v>10.26</v>
      </c>
      <c r="AQ278" s="267">
        <f t="shared" si="282"/>
        <v>1169</v>
      </c>
      <c r="AR278" s="267">
        <f t="shared" si="283"/>
        <v>1171</v>
      </c>
      <c r="AS278" s="267">
        <f t="shared" si="284"/>
        <v>1146</v>
      </c>
      <c r="AT278" s="267">
        <f t="shared" si="285"/>
        <v>943</v>
      </c>
      <c r="AU278" s="267">
        <f t="shared" si="286"/>
        <v>965</v>
      </c>
      <c r="AV278" s="267">
        <f t="shared" si="287"/>
        <v>951</v>
      </c>
      <c r="AW278" s="267">
        <f t="shared" si="288"/>
        <v>936</v>
      </c>
      <c r="AX278" s="267">
        <f t="shared" si="289"/>
        <v>923</v>
      </c>
      <c r="AY278" s="267">
        <f t="shared" si="290"/>
        <v>1169</v>
      </c>
      <c r="AZ278" s="267">
        <f t="shared" si="291"/>
        <v>1171</v>
      </c>
      <c r="BA278" s="267">
        <f t="shared" si="292"/>
        <v>1146</v>
      </c>
      <c r="BB278" s="267">
        <f t="shared" si="293"/>
        <v>943</v>
      </c>
      <c r="BC278" s="267">
        <f t="shared" si="294"/>
        <v>965</v>
      </c>
      <c r="BD278" s="267">
        <f t="shared" si="295"/>
        <v>951</v>
      </c>
      <c r="BE278" s="267">
        <f t="shared" si="296"/>
        <v>936</v>
      </c>
      <c r="BF278" s="267">
        <f t="shared" si="297"/>
        <v>923</v>
      </c>
      <c r="BG278" s="269">
        <f>AY278*VLOOKUP($B278,'Major Cities &amp; Towns'!$A$28:$B$345,2,FALSE)</f>
        <v>1169</v>
      </c>
      <c r="BH278" s="269">
        <f>AZ278*VLOOKUP($B278,'Major Cities &amp; Towns'!$A$28:$B$345,2,FALSE)</f>
        <v>1171</v>
      </c>
      <c r="BI278" s="269">
        <f>BA278*VLOOKUP($B278,'Major Cities &amp; Towns'!$A$28:$B$345,2,FALSE)</f>
        <v>1146</v>
      </c>
      <c r="BJ278" s="269">
        <f>BB278*VLOOKUP($B278,'Major Cities &amp; Towns'!$A$28:$B$345,2,FALSE)</f>
        <v>943</v>
      </c>
      <c r="BK278" s="269">
        <f>BC278*VLOOKUP($B278,'Major Cities &amp; Towns'!$A$28:$B$345,2,FALSE)</f>
        <v>965</v>
      </c>
      <c r="BL278" s="269">
        <f>BD278*VLOOKUP($B278,'Major Cities &amp; Towns'!$A$28:$B$345,2,FALSE)</f>
        <v>951</v>
      </c>
      <c r="BM278" s="269">
        <f>BE278*VLOOKUP($B278,'Major Cities &amp; Towns'!$A$28:$B$345,2,FALSE)</f>
        <v>936</v>
      </c>
      <c r="BN278" s="269">
        <f>BF278*VLOOKUP($B278,'Major Cities &amp; Towns'!$A$28:$B$345,2,FALSE)</f>
        <v>923</v>
      </c>
      <c r="BO278" s="270">
        <f t="shared" si="298"/>
        <v>1169</v>
      </c>
      <c r="BP278" s="270">
        <f t="shared" si="299"/>
        <v>1171</v>
      </c>
      <c r="BQ278" s="270">
        <f t="shared" si="300"/>
        <v>1146</v>
      </c>
      <c r="BR278" s="270">
        <f t="shared" si="301"/>
        <v>943</v>
      </c>
      <c r="BS278" s="270">
        <f t="shared" si="302"/>
        <v>965</v>
      </c>
      <c r="BT278" s="270">
        <f t="shared" si="303"/>
        <v>951</v>
      </c>
      <c r="BU278" s="270">
        <f t="shared" si="304"/>
        <v>936</v>
      </c>
      <c r="BV278" s="270">
        <f t="shared" si="305"/>
        <v>923</v>
      </c>
      <c r="BW278" s="39">
        <f>VLOOKUP($A278,NetAdditions!$A$2:$H$336,6,FALSE)</f>
        <v>408</v>
      </c>
      <c r="BX278" s="39">
        <f>VLOOKUP($A278,NetAdditions!$A$2:$H$336,7,FALSE)</f>
        <v>558</v>
      </c>
      <c r="BY278" s="39">
        <f>IF((VLOOKUP($C278,NetAdditions!$A$2:$H$336,8,FALSE))="",(AVERAGE(VLOOKUP($C278,NetAdditions!$A$2:$H$336,5,FALSE),VLOOKUP($C278,NetAdditions!$A$2:$H$336,6,FALSE),VLOOKUP($C278,NetAdditions!$A$2:$H$336,7,FALSE))),VLOOKUP($C278,NetAdditions!$A$2:$H$336,8,FALSE))</f>
        <v>493</v>
      </c>
      <c r="BZ278" s="39">
        <f t="shared" si="306"/>
        <v>486.33333333333331</v>
      </c>
      <c r="CA278" s="39">
        <f t="shared" si="307"/>
        <v>512.44444444444446</v>
      </c>
      <c r="CB278" s="39">
        <f t="shared" si="308"/>
        <v>497.2592592592593</v>
      </c>
      <c r="CC278" s="39">
        <f t="shared" si="309"/>
        <v>498.67901234567904</v>
      </c>
      <c r="CD278" s="39">
        <f t="shared" si="310"/>
        <v>502.79423868312756</v>
      </c>
      <c r="CE278" s="276">
        <f t="shared" si="267"/>
        <v>3486</v>
      </c>
      <c r="CF278" s="276">
        <f t="shared" si="268"/>
        <v>3260</v>
      </c>
      <c r="CG278" s="276">
        <f t="shared" si="269"/>
        <v>3054</v>
      </c>
      <c r="CH278" s="276">
        <f t="shared" si="270"/>
        <v>2859</v>
      </c>
      <c r="CI278" s="276">
        <f t="shared" si="271"/>
        <v>2852</v>
      </c>
      <c r="CJ278" s="276">
        <f t="shared" si="272"/>
        <v>2810</v>
      </c>
      <c r="CK278" s="276">
        <f t="shared" si="311"/>
        <v>3001.8333333333335</v>
      </c>
      <c r="CL278" s="276">
        <f t="shared" si="312"/>
        <v>2807.2222222222222</v>
      </c>
      <c r="CM278" s="276">
        <f t="shared" si="313"/>
        <v>2799.5</v>
      </c>
      <c r="CN278" s="276">
        <f t="shared" si="314"/>
        <v>2859</v>
      </c>
      <c r="CO278" s="276">
        <f t="shared" si="315"/>
        <v>2852</v>
      </c>
      <c r="CP278" s="276">
        <f t="shared" si="316"/>
        <v>2810</v>
      </c>
      <c r="CQ278" s="39">
        <f t="shared" si="273"/>
        <v>1459</v>
      </c>
      <c r="CR278" s="39">
        <f t="shared" si="274"/>
        <v>1537.3333333333333</v>
      </c>
      <c r="CS278" s="277">
        <f t="shared" si="275"/>
        <v>1491.7777777777778</v>
      </c>
      <c r="CT278" s="39">
        <f t="shared" si="276"/>
        <v>1496.0370370370372</v>
      </c>
      <c r="CU278" s="39">
        <f t="shared" si="277"/>
        <v>1508.3827160493827</v>
      </c>
      <c r="CV278" s="39">
        <f t="shared" si="317"/>
        <v>1498.7325102880659</v>
      </c>
      <c r="CW278" s="297">
        <f t="shared" si="278"/>
        <v>0.48603631114319024</v>
      </c>
      <c r="CX278" s="279" t="str">
        <f t="shared" si="318"/>
        <v>Buffer and Action Plan</v>
      </c>
      <c r="CY278" s="278">
        <f t="shared" si="279"/>
        <v>0.54763506827627151</v>
      </c>
      <c r="CZ278" s="279" t="str">
        <f t="shared" si="319"/>
        <v>Buffer and Action Plan</v>
      </c>
      <c r="DA278" s="278">
        <f t="shared" si="280"/>
        <v>0.53287293365878829</v>
      </c>
      <c r="DB278" s="292" t="str">
        <f t="shared" si="320"/>
        <v>Presumption</v>
      </c>
      <c r="DC278" s="299">
        <f t="shared" si="321"/>
        <v>0.52327283561981008</v>
      </c>
      <c r="DD278" s="293" t="str">
        <f t="shared" si="322"/>
        <v>Presumption</v>
      </c>
      <c r="DE278" s="299">
        <f t="shared" si="323"/>
        <v>0.52888594531885791</v>
      </c>
      <c r="DF278" s="293" t="str">
        <f t="shared" si="324"/>
        <v>Presumption</v>
      </c>
      <c r="DG278" s="299">
        <f t="shared" si="325"/>
        <v>0.53335676522706976</v>
      </c>
      <c r="DH278" s="293" t="str">
        <f t="shared" si="326"/>
        <v>Presumption</v>
      </c>
    </row>
    <row r="279" spans="1:112" ht="15" thickTop="1" thickBot="1">
      <c r="A279" s="38" t="s">
        <v>668</v>
      </c>
      <c r="B279" s="38" t="s">
        <v>669</v>
      </c>
      <c r="C279" s="38" t="s">
        <v>668</v>
      </c>
      <c r="D279" s="38" t="s">
        <v>113</v>
      </c>
      <c r="E279" s="38" t="str">
        <f>VLOOKUP(C279,PoliticalControl!A:K,11,FALSE)</f>
        <v>CON</v>
      </c>
      <c r="F279" s="38" t="str">
        <f>VLOOKUP(C279,UrbanRuralClassification!A:N,13,FALSE)</f>
        <v>Urban with Significant Rural (rural including hub towns 26-49%)</v>
      </c>
      <c r="G279" s="38" t="str">
        <f>VLOOKUP(C279,UrbanRuralClassification!A:N,14,FALSE)</f>
        <v>Urban with Significant Rural</v>
      </c>
      <c r="H279" s="258">
        <f>IF(ISBLANK((VLOOKUP($A279,'local-plan-data'!$C$1:$AD$566,27,FALSE)))=TRUE,"",VLOOKUP($A279,'local-plan-data'!$C$1:$AD$566,27,FALSE))</f>
        <v>39350</v>
      </c>
      <c r="I279" s="259">
        <f>VLOOKUP($A279,'local-plan-data'!$C$1:$AD$566,28,FALSE)</f>
        <v>425</v>
      </c>
      <c r="J279" s="260">
        <f t="shared" si="281"/>
        <v>425</v>
      </c>
      <c r="K279" s="259" t="str">
        <f t="shared" si="327"/>
        <v>-</v>
      </c>
      <c r="L279" s="259" t="str">
        <f t="shared" si="327"/>
        <v>-</v>
      </c>
      <c r="M279" s="259" t="str">
        <f t="shared" si="327"/>
        <v>-</v>
      </c>
      <c r="N279" s="259" t="str">
        <f t="shared" si="327"/>
        <v>-</v>
      </c>
      <c r="O279" s="259" t="str">
        <f t="shared" si="327"/>
        <v>-</v>
      </c>
      <c r="P279" s="259" t="str">
        <f t="shared" si="327"/>
        <v>-</v>
      </c>
      <c r="Q279" s="259" t="str">
        <f t="shared" si="327"/>
        <v>-</v>
      </c>
      <c r="R279" s="259" t="str">
        <f t="shared" si="327"/>
        <v>-</v>
      </c>
      <c r="S279" s="259">
        <f t="shared" si="328"/>
        <v>-2014</v>
      </c>
      <c r="T279" s="259">
        <f t="shared" si="328"/>
        <v>-2379</v>
      </c>
      <c r="U279" s="259">
        <f t="shared" si="328"/>
        <v>-2745</v>
      </c>
      <c r="V279" s="259">
        <f t="shared" si="328"/>
        <v>-3110</v>
      </c>
      <c r="W279" s="259">
        <f t="shared" si="328"/>
        <v>-3475</v>
      </c>
      <c r="X279" s="259">
        <f t="shared" si="328"/>
        <v>-3840</v>
      </c>
      <c r="Y279" s="259">
        <f t="shared" si="328"/>
        <v>-4206</v>
      </c>
      <c r="Z279" s="259">
        <f t="shared" si="328"/>
        <v>-4571</v>
      </c>
      <c r="AA279" s="267">
        <f>(VLOOKUP(A279,Hshldprojections2014!$A$2:$AW$319,40, FALSE)-VLOOKUP(A279,Hshldprojections2014!$A$2:$AW$319,30, FALSE))/10</f>
        <v>609.79999999999995</v>
      </c>
      <c r="AB279" s="267">
        <f>(VLOOKUP(A279,Hshldprojections2014!$A$2:$AW$319,41, FALSE)-VLOOKUP(A279,Hshldprojections2014!$A$2:$AW$319,31, FALSE))/10</f>
        <v>604.4</v>
      </c>
      <c r="AC279" s="267">
        <f>(VLOOKUP(A279,Hshldprojections2014!$A$2:$AW$319,42, FALSE)-VLOOKUP(A279,Hshldprojections2014!$A$2:$AW$319,32, FALSE))/10</f>
        <v>602.1</v>
      </c>
      <c r="AD279" s="267">
        <f>IF(IndividualLATest!$J$7=2014,(VLOOKUP($A279,Hshldprojections2014!$A$2:$AY$326,43,FALSE)-VLOOKUP($A279,Hshldprojections2014!$A$2:$AY$326,33,FALSE))/10,IF(IndividualLATest!$J$7=2016,(VLOOKUP($A279,Hshldprojections2016!$A$1:$AQ$322,33,FALSE)-VLOOKUP($A279,Hshldprojections2016!$A$1:$AQ$322,23,FALSE))/10,(VLOOKUP($A279,Hshldprojections2018!$A$1:$AQ$327,33,FALSE)-VLOOKUP($A279,Hshldprojections2018!$A$1:$AQ$327,23,FALSE))/10))</f>
        <v>567.9</v>
      </c>
      <c r="AE279" s="267">
        <f>IF(IndividualLATest!$J$7=2014,(VLOOKUP($A279,Hshldprojections2014!$A$2:$AY$326,44,FALSE)-VLOOKUP($A279,Hshldprojections2014!$A$2:$AY$326,34,FALSE))/10,IF(IndividualLATest!$J$7=2016,(VLOOKUP($A279,Hshldprojections2016!$A$1:$AQ$322,34,FALSE)-VLOOKUP($A279,Hshldprojections2016!$A$1:$AQ$322,24,FALSE))/10,(VLOOKUP($A279,Hshldprojections2018!$A$1:$AQ$327,34,FALSE)-VLOOKUP($A279,Hshldprojections2018!$A$1:$AQ$327,24,FALSE))/10))</f>
        <v>550.6</v>
      </c>
      <c r="AF279" s="267">
        <f>IF(IndividualLATest!$J$7=2014,(VLOOKUP($A279,Hshldprojections2014!$A$2:$AY$326,45,FALSE)-VLOOKUP($A279,Hshldprojections2014!$A$2:$AY$326,35,FALSE))/10,IF(IndividualLATest!$J$7=2016,(VLOOKUP($A279,Hshldprojections2016!$A$1:$AQ$322,35,FALSE)-VLOOKUP($A279,Hshldprojections2016!$A$1:$AQ$322,25,FALSE))/10,(VLOOKUP($A279,Hshldprojections2018!$A$1:$AQ$327,35,FALSE)-VLOOKUP($A279,Hshldprojections2018!$A$1:$AQ$327,25,FALSE))/10))</f>
        <v>534.6</v>
      </c>
      <c r="AG279" s="267">
        <f>IF(IndividualLATest!$J$7=2014,(VLOOKUP($A279,Hshldprojections2014!$A$2:$AY$326,46,FALSE)-VLOOKUP($A279,Hshldprojections2014!$A$2:$AY$326,36,FALSE))/10,IF(IndividualLATest!$J$7=2016,(VLOOKUP($A279,Hshldprojections2016!$A$1:$AQ$322,36,FALSE)-VLOOKUP($A279,Hshldprojections2016!$A$1:$AQ$322,26,FALSE))/10,(VLOOKUP($A279,Hshldprojections2018!$A$1:$AQ$327,36,FALSE)-VLOOKUP($A279,Hshldprojections2018!$A$1:$AQ$327,26,FALSE))/10))</f>
        <v>518.70000000000005</v>
      </c>
      <c r="AH279" s="267">
        <f>IF(IndividualLATest!$J$7=2014,(VLOOKUP($A279,Hshldprojections2014!$A$2:$AY$326,47,FALSE)-VLOOKUP($A279,Hshldprojections2014!$A$2:$AY$326,37,FALSE))/10,IF(IndividualLATest!$J$7=2016,(VLOOKUP($A279,Hshldprojections2016!$A$1:$AQ$322,37,FALSE)-VLOOKUP($A279,Hshldprojections2016!$A$1:$AQ$322,27,FALSE))/10,(VLOOKUP($A279,Hshldprojections2018!$A$1:$AQ$327,37,FALSE)-VLOOKUP($A279,Hshldprojections2018!$A$1:$AQ$327,27,FALSE))/10))</f>
        <v>510.1</v>
      </c>
      <c r="AI279" s="268">
        <f>VLOOKUP($A279,AffordabilityRatio!$A$2:$I$321,5,FALSE)</f>
        <v>11.8</v>
      </c>
      <c r="AJ279" s="268">
        <f>VLOOKUP($A279,AffordabilityRatio!$A$2:$I$321,6,FALSE)</f>
        <v>11.93</v>
      </c>
      <c r="AK279" s="268">
        <f>VLOOKUP($A279,AffordabilityRatio!$A$2:$I$321,7,FALSE)</f>
        <v>11.79</v>
      </c>
      <c r="AL279" s="268">
        <f>IF((VLOOKUP($A279,AffordabilityRatio!$A$2:$I$321,8,FALSE))="",AK279,VLOOKUP($A279,AffordabilityRatio!$A$2:$I$321,8,FALSE))</f>
        <v>11.93</v>
      </c>
      <c r="AM279" s="268">
        <f>IF((VLOOKUP($A279,AffordabilityRatio!$A$2:$I$321,9,FALSE))="",AL279,VLOOKUP($A279,AffordabilityRatio!$A$2:$I$321,9,FALSE))</f>
        <v>13.39</v>
      </c>
      <c r="AN279" s="268">
        <f>IF((VLOOKUP($A279,AffordabilityRatio!$A$2:$I$321,9,FALSE))="",AM279,VLOOKUP($A279,AffordabilityRatio!$A$2:$I$321,9,FALSE))</f>
        <v>13.39</v>
      </c>
      <c r="AO279" s="268">
        <f>IF((VLOOKUP($A279,AffordabilityRatio!$A$2:$I$321,9,FALSE))="",AN279,VLOOKUP($A279,AffordabilityRatio!$A$2:$I$321,9,FALSE))</f>
        <v>13.39</v>
      </c>
      <c r="AP279" s="268">
        <f>IF((VLOOKUP($A279,AffordabilityRatio!$A$2:$I$321,9,FALSE))="",AO279,VLOOKUP($A279,AffordabilityRatio!$A$2:$I$321,9,FALSE))</f>
        <v>13.39</v>
      </c>
      <c r="AQ279" s="267">
        <f t="shared" si="282"/>
        <v>907</v>
      </c>
      <c r="AR279" s="267">
        <f t="shared" si="283"/>
        <v>904</v>
      </c>
      <c r="AS279" s="267">
        <f t="shared" si="284"/>
        <v>895</v>
      </c>
      <c r="AT279" s="267">
        <f t="shared" si="285"/>
        <v>849</v>
      </c>
      <c r="AU279" s="267">
        <f t="shared" si="286"/>
        <v>874</v>
      </c>
      <c r="AV279" s="267">
        <f t="shared" si="287"/>
        <v>848</v>
      </c>
      <c r="AW279" s="267">
        <f t="shared" si="288"/>
        <v>823</v>
      </c>
      <c r="AX279" s="267">
        <f t="shared" si="289"/>
        <v>809</v>
      </c>
      <c r="AY279" s="267">
        <f t="shared" si="290"/>
        <v>853.71999999999991</v>
      </c>
      <c r="AZ279" s="267">
        <f t="shared" si="291"/>
        <v>846.16</v>
      </c>
      <c r="BA279" s="267">
        <f t="shared" si="292"/>
        <v>842.94</v>
      </c>
      <c r="BB279" s="267">
        <f t="shared" si="293"/>
        <v>795.06</v>
      </c>
      <c r="BC279" s="267">
        <f t="shared" si="294"/>
        <v>770.84</v>
      </c>
      <c r="BD279" s="267">
        <f t="shared" si="295"/>
        <v>748.44</v>
      </c>
      <c r="BE279" s="267">
        <f t="shared" si="296"/>
        <v>726.18000000000006</v>
      </c>
      <c r="BF279" s="267">
        <f t="shared" si="297"/>
        <v>714.1400000000001</v>
      </c>
      <c r="BG279" s="269">
        <f>AY279*VLOOKUP($B279,'Major Cities &amp; Towns'!$A$28:$B$345,2,FALSE)</f>
        <v>853.71999999999991</v>
      </c>
      <c r="BH279" s="269">
        <f>AZ279*VLOOKUP($B279,'Major Cities &amp; Towns'!$A$28:$B$345,2,FALSE)</f>
        <v>846.16</v>
      </c>
      <c r="BI279" s="269">
        <f>BA279*VLOOKUP($B279,'Major Cities &amp; Towns'!$A$28:$B$345,2,FALSE)</f>
        <v>842.94</v>
      </c>
      <c r="BJ279" s="269">
        <f>BB279*VLOOKUP($B279,'Major Cities &amp; Towns'!$A$28:$B$345,2,FALSE)</f>
        <v>795.06</v>
      </c>
      <c r="BK279" s="269">
        <f>BC279*VLOOKUP($B279,'Major Cities &amp; Towns'!$A$28:$B$345,2,FALSE)</f>
        <v>770.84</v>
      </c>
      <c r="BL279" s="269">
        <f>BD279*VLOOKUP($B279,'Major Cities &amp; Towns'!$A$28:$B$345,2,FALSE)</f>
        <v>748.44</v>
      </c>
      <c r="BM279" s="269">
        <f>BE279*VLOOKUP($B279,'Major Cities &amp; Towns'!$A$28:$B$345,2,FALSE)</f>
        <v>726.18000000000006</v>
      </c>
      <c r="BN279" s="269">
        <f>BF279*VLOOKUP($B279,'Major Cities &amp; Towns'!$A$28:$B$345,2,FALSE)</f>
        <v>714.1400000000001</v>
      </c>
      <c r="BO279" s="270">
        <f t="shared" si="298"/>
        <v>907</v>
      </c>
      <c r="BP279" s="270">
        <f t="shared" si="299"/>
        <v>904</v>
      </c>
      <c r="BQ279" s="270">
        <f t="shared" si="300"/>
        <v>895</v>
      </c>
      <c r="BR279" s="270">
        <f t="shared" si="301"/>
        <v>849</v>
      </c>
      <c r="BS279" s="270">
        <f t="shared" si="302"/>
        <v>874</v>
      </c>
      <c r="BT279" s="270">
        <f t="shared" si="303"/>
        <v>848</v>
      </c>
      <c r="BU279" s="270">
        <f t="shared" si="304"/>
        <v>823</v>
      </c>
      <c r="BV279" s="270">
        <f t="shared" si="305"/>
        <v>809</v>
      </c>
      <c r="BW279" s="39">
        <f>VLOOKUP($A279,NetAdditions!$A$2:$H$336,6,FALSE)</f>
        <v>422</v>
      </c>
      <c r="BX279" s="39">
        <f>VLOOKUP($A279,NetAdditions!$A$2:$H$336,7,FALSE)</f>
        <v>471</v>
      </c>
      <c r="BY279" s="39">
        <f>IF((VLOOKUP($C279,NetAdditions!$A$2:$H$336,8,FALSE))="",(AVERAGE(VLOOKUP($C279,NetAdditions!$A$2:$H$336,5,FALSE),VLOOKUP($C279,NetAdditions!$A$2:$H$336,6,FALSE),VLOOKUP($C279,NetAdditions!$A$2:$H$336,7,FALSE))),VLOOKUP($C279,NetAdditions!$A$2:$H$336,8,FALSE))</f>
        <v>441</v>
      </c>
      <c r="BZ279" s="39">
        <f t="shared" si="306"/>
        <v>444.66666666666669</v>
      </c>
      <c r="CA279" s="39">
        <f t="shared" si="307"/>
        <v>452.22222222222223</v>
      </c>
      <c r="CB279" s="39">
        <f t="shared" si="308"/>
        <v>445.96296296296299</v>
      </c>
      <c r="CC279" s="39">
        <f t="shared" si="309"/>
        <v>447.61728395061732</v>
      </c>
      <c r="CD279" s="39">
        <f t="shared" si="310"/>
        <v>448.60082304526753</v>
      </c>
      <c r="CE279" s="276">
        <f t="shared" si="267"/>
        <v>2706</v>
      </c>
      <c r="CF279" s="276">
        <f t="shared" si="268"/>
        <v>2648</v>
      </c>
      <c r="CG279" s="276">
        <f t="shared" si="269"/>
        <v>2618</v>
      </c>
      <c r="CH279" s="276">
        <f t="shared" si="270"/>
        <v>2571</v>
      </c>
      <c r="CI279" s="276">
        <f t="shared" si="271"/>
        <v>2545</v>
      </c>
      <c r="CJ279" s="276">
        <f t="shared" si="272"/>
        <v>2480</v>
      </c>
      <c r="CK279" s="276">
        <f t="shared" si="311"/>
        <v>2330.166666666667</v>
      </c>
      <c r="CL279" s="276">
        <f t="shared" si="312"/>
        <v>2280.2222222222222</v>
      </c>
      <c r="CM279" s="276">
        <f t="shared" si="313"/>
        <v>2399.833333333333</v>
      </c>
      <c r="CN279" s="276">
        <f t="shared" si="314"/>
        <v>2571</v>
      </c>
      <c r="CO279" s="276">
        <f t="shared" si="315"/>
        <v>2545</v>
      </c>
      <c r="CP279" s="276">
        <f t="shared" si="316"/>
        <v>2480</v>
      </c>
      <c r="CQ279" s="39">
        <f t="shared" si="273"/>
        <v>1334</v>
      </c>
      <c r="CR279" s="39">
        <f t="shared" si="274"/>
        <v>1356.6666666666667</v>
      </c>
      <c r="CS279" s="277">
        <f t="shared" si="275"/>
        <v>1337.8888888888889</v>
      </c>
      <c r="CT279" s="39">
        <f t="shared" si="276"/>
        <v>1342.851851851852</v>
      </c>
      <c r="CU279" s="39">
        <f t="shared" si="277"/>
        <v>1345.8024691358025</v>
      </c>
      <c r="CV279" s="39">
        <f t="shared" si="317"/>
        <v>1342.181069958848</v>
      </c>
      <c r="CW279" s="297">
        <f t="shared" si="278"/>
        <v>0.57249123810886193</v>
      </c>
      <c r="CX279" s="279" t="str">
        <f t="shared" si="318"/>
        <v>Buffer and Action Plan</v>
      </c>
      <c r="CY279" s="278">
        <f t="shared" si="279"/>
        <v>0.5949712503654615</v>
      </c>
      <c r="CZ279" s="279" t="str">
        <f t="shared" si="319"/>
        <v>Buffer and Action Plan</v>
      </c>
      <c r="DA279" s="278">
        <f t="shared" si="280"/>
        <v>0.55749241845498543</v>
      </c>
      <c r="DB279" s="292" t="str">
        <f t="shared" si="320"/>
        <v>Presumption</v>
      </c>
      <c r="DC279" s="299">
        <f t="shared" si="321"/>
        <v>0.52230721581168882</v>
      </c>
      <c r="DD279" s="293" t="str">
        <f t="shared" si="322"/>
        <v>Presumption</v>
      </c>
      <c r="DE279" s="299">
        <f t="shared" si="323"/>
        <v>0.52880254190011888</v>
      </c>
      <c r="DF279" s="293" t="str">
        <f t="shared" si="324"/>
        <v>Presumption</v>
      </c>
      <c r="DG279" s="299">
        <f t="shared" si="325"/>
        <v>0.54120204433824515</v>
      </c>
      <c r="DH279" s="293" t="str">
        <f t="shared" si="326"/>
        <v>Presumption</v>
      </c>
    </row>
    <row r="280" spans="1:112" ht="15" thickTop="1" thickBot="1">
      <c r="A280" s="38" t="s">
        <v>670</v>
      </c>
      <c r="B280" s="38" t="s">
        <v>671</v>
      </c>
      <c r="C280" s="38" t="s">
        <v>670</v>
      </c>
      <c r="D280" s="38" t="s">
        <v>147</v>
      </c>
      <c r="E280" s="38" t="str">
        <f>VLOOKUP(C280,PoliticalControl!A:K,11,FALSE)</f>
        <v>NOC</v>
      </c>
      <c r="F280" s="38" t="str">
        <f>VLOOKUP(C280,UrbanRuralClassification!A:N,13,FALSE)</f>
        <v>Urban with City and Town</v>
      </c>
      <c r="G280" s="38" t="str">
        <f>VLOOKUP(C280,UrbanRuralClassification!A:N,14,FALSE)</f>
        <v>Predominantly Urban</v>
      </c>
      <c r="H280" s="258">
        <f>IF(ISBLANK((VLOOKUP($A280,'local-plan-data'!$C$1:$AD$566,27,FALSE)))=TRUE,"",VLOOKUP($A280,'local-plan-data'!$C$1:$AD$566,27,FALSE))</f>
        <v>42348</v>
      </c>
      <c r="I280" s="259">
        <f>VLOOKUP($A280,'local-plan-data'!$C$1:$AD$566,28,FALSE)</f>
        <v>494.44444444444446</v>
      </c>
      <c r="J280" s="260">
        <f t="shared" si="281"/>
        <v>494.44444444444446</v>
      </c>
      <c r="K280" s="259">
        <f t="shared" si="327"/>
        <v>494.44444444444446</v>
      </c>
      <c r="L280" s="259">
        <f t="shared" si="327"/>
        <v>494.44444444444446</v>
      </c>
      <c r="M280" s="259">
        <f t="shared" si="327"/>
        <v>494.44444444444446</v>
      </c>
      <c r="N280" s="259" t="str">
        <f t="shared" si="327"/>
        <v>-</v>
      </c>
      <c r="O280" s="259" t="str">
        <f t="shared" si="327"/>
        <v>-</v>
      </c>
      <c r="P280" s="259" t="str">
        <f t="shared" si="327"/>
        <v>-</v>
      </c>
      <c r="Q280" s="259" t="str">
        <f t="shared" si="327"/>
        <v>-</v>
      </c>
      <c r="R280" s="259" t="str">
        <f t="shared" si="327"/>
        <v>-</v>
      </c>
      <c r="S280" s="259">
        <f t="shared" si="328"/>
        <v>984</v>
      </c>
      <c r="T280" s="259">
        <f t="shared" si="328"/>
        <v>619</v>
      </c>
      <c r="U280" s="259">
        <f t="shared" si="328"/>
        <v>253</v>
      </c>
      <c r="V280" s="259">
        <f t="shared" si="328"/>
        <v>-112</v>
      </c>
      <c r="W280" s="259">
        <f t="shared" si="328"/>
        <v>-477</v>
      </c>
      <c r="X280" s="259">
        <f t="shared" si="328"/>
        <v>-842</v>
      </c>
      <c r="Y280" s="259">
        <f t="shared" si="328"/>
        <v>-1208</v>
      </c>
      <c r="Z280" s="259">
        <f t="shared" si="328"/>
        <v>-1573</v>
      </c>
      <c r="AA280" s="267">
        <f>(VLOOKUP(A280,Hshldprojections2014!$A$2:$AW$319,40, FALSE)-VLOOKUP(A280,Hshldprojections2014!$A$2:$AW$319,30, FALSE))/10</f>
        <v>472.1</v>
      </c>
      <c r="AB280" s="267">
        <f>(VLOOKUP(A280,Hshldprojections2014!$A$2:$AW$319,41, FALSE)-VLOOKUP(A280,Hshldprojections2014!$A$2:$AW$319,31, FALSE))/10</f>
        <v>471.2</v>
      </c>
      <c r="AC280" s="267">
        <f>(VLOOKUP(A280,Hshldprojections2014!$A$2:$AW$319,42, FALSE)-VLOOKUP(A280,Hshldprojections2014!$A$2:$AW$319,32, FALSE))/10</f>
        <v>469.1</v>
      </c>
      <c r="AD280" s="267">
        <f>IF(IndividualLATest!$J$7=2014,(VLOOKUP($A280,Hshldprojections2014!$A$2:$AY$326,43,FALSE)-VLOOKUP($A280,Hshldprojections2014!$A$2:$AY$326,33,FALSE))/10,IF(IndividualLATest!$J$7=2016,(VLOOKUP($A280,Hshldprojections2016!$A$1:$AQ$322,33,FALSE)-VLOOKUP($A280,Hshldprojections2016!$A$1:$AQ$322,23,FALSE))/10,(VLOOKUP($A280,Hshldprojections2018!$A$1:$AQ$327,33,FALSE)-VLOOKUP($A280,Hshldprojections2018!$A$1:$AQ$327,23,FALSE))/10))</f>
        <v>555.20000000000005</v>
      </c>
      <c r="AE280" s="267">
        <f>IF(IndividualLATest!$J$7=2014,(VLOOKUP($A280,Hshldprojections2014!$A$2:$AY$326,44,FALSE)-VLOOKUP($A280,Hshldprojections2014!$A$2:$AY$326,34,FALSE))/10,IF(IndividualLATest!$J$7=2016,(VLOOKUP($A280,Hshldprojections2016!$A$1:$AQ$322,34,FALSE)-VLOOKUP($A280,Hshldprojections2016!$A$1:$AQ$322,24,FALSE))/10,(VLOOKUP($A280,Hshldprojections2018!$A$1:$AQ$327,34,FALSE)-VLOOKUP($A280,Hshldprojections2018!$A$1:$AQ$327,24,FALSE))/10))</f>
        <v>548.4</v>
      </c>
      <c r="AF280" s="267">
        <f>IF(IndividualLATest!$J$7=2014,(VLOOKUP($A280,Hshldprojections2014!$A$2:$AY$326,45,FALSE)-VLOOKUP($A280,Hshldprojections2014!$A$2:$AY$326,35,FALSE))/10,IF(IndividualLATest!$J$7=2016,(VLOOKUP($A280,Hshldprojections2016!$A$1:$AQ$322,35,FALSE)-VLOOKUP($A280,Hshldprojections2016!$A$1:$AQ$322,25,FALSE))/10,(VLOOKUP($A280,Hshldprojections2018!$A$1:$AQ$327,35,FALSE)-VLOOKUP($A280,Hshldprojections2018!$A$1:$AQ$327,25,FALSE))/10))</f>
        <v>540.6</v>
      </c>
      <c r="AG280" s="267">
        <f>IF(IndividualLATest!$J$7=2014,(VLOOKUP($A280,Hshldprojections2014!$A$2:$AY$326,46,FALSE)-VLOOKUP($A280,Hshldprojections2014!$A$2:$AY$326,36,FALSE))/10,IF(IndividualLATest!$J$7=2016,(VLOOKUP($A280,Hshldprojections2016!$A$1:$AQ$322,36,FALSE)-VLOOKUP($A280,Hshldprojections2016!$A$1:$AQ$322,26,FALSE))/10,(VLOOKUP($A280,Hshldprojections2018!$A$1:$AQ$327,36,FALSE)-VLOOKUP($A280,Hshldprojections2018!$A$1:$AQ$327,26,FALSE))/10))</f>
        <v>532</v>
      </c>
      <c r="AH280" s="267">
        <f>IF(IndividualLATest!$J$7=2014,(VLOOKUP($A280,Hshldprojections2014!$A$2:$AY$326,47,FALSE)-VLOOKUP($A280,Hshldprojections2014!$A$2:$AY$326,37,FALSE))/10,IF(IndividualLATest!$J$7=2016,(VLOOKUP($A280,Hshldprojections2016!$A$1:$AQ$322,37,FALSE)-VLOOKUP($A280,Hshldprojections2016!$A$1:$AQ$322,27,FALSE))/10,(VLOOKUP($A280,Hshldprojections2018!$A$1:$AQ$327,37,FALSE)-VLOOKUP($A280,Hshldprojections2018!$A$1:$AQ$327,27,FALSE))/10))</f>
        <v>527.29999999999995</v>
      </c>
      <c r="AI280" s="268">
        <f>VLOOKUP($A280,AffordabilityRatio!$A$2:$I$321,5,FALSE)</f>
        <v>7.71</v>
      </c>
      <c r="AJ280" s="268">
        <f>VLOOKUP($A280,AffordabilityRatio!$A$2:$I$321,6,FALSE)</f>
        <v>8.84</v>
      </c>
      <c r="AK280" s="268">
        <f>VLOOKUP($A280,AffordabilityRatio!$A$2:$I$321,7,FALSE)</f>
        <v>7.85</v>
      </c>
      <c r="AL280" s="268">
        <f>IF((VLOOKUP($A280,AffordabilityRatio!$A$2:$I$321,8,FALSE))="",AK280,VLOOKUP($A280,AffordabilityRatio!$A$2:$I$321,8,FALSE))</f>
        <v>7.38</v>
      </c>
      <c r="AM280" s="268">
        <f>IF((VLOOKUP($A280,AffordabilityRatio!$A$2:$I$321,9,FALSE))="",AL280,VLOOKUP($A280,AffordabilityRatio!$A$2:$I$321,9,FALSE))</f>
        <v>8.9</v>
      </c>
      <c r="AN280" s="268">
        <f>IF((VLOOKUP($A280,AffordabilityRatio!$A$2:$I$321,9,FALSE))="",AM280,VLOOKUP($A280,AffordabilityRatio!$A$2:$I$321,9,FALSE))</f>
        <v>8.9</v>
      </c>
      <c r="AO280" s="268">
        <f>IF((VLOOKUP($A280,AffordabilityRatio!$A$2:$I$321,9,FALSE))="",AN280,VLOOKUP($A280,AffordabilityRatio!$A$2:$I$321,9,FALSE))</f>
        <v>8.9</v>
      </c>
      <c r="AP280" s="268">
        <f>IF((VLOOKUP($A280,AffordabilityRatio!$A$2:$I$321,9,FALSE))="",AO280,VLOOKUP($A280,AffordabilityRatio!$A$2:$I$321,9,FALSE))</f>
        <v>8.9</v>
      </c>
      <c r="AQ280" s="267">
        <f t="shared" si="282"/>
        <v>582</v>
      </c>
      <c r="AR280" s="267">
        <f t="shared" si="283"/>
        <v>614</v>
      </c>
      <c r="AS280" s="267">
        <f t="shared" si="284"/>
        <v>582</v>
      </c>
      <c r="AT280" s="267">
        <f t="shared" si="285"/>
        <v>672</v>
      </c>
      <c r="AU280" s="267">
        <f t="shared" si="286"/>
        <v>716</v>
      </c>
      <c r="AV280" s="267">
        <f t="shared" si="287"/>
        <v>706</v>
      </c>
      <c r="AW280" s="267">
        <f t="shared" si="288"/>
        <v>695</v>
      </c>
      <c r="AX280" s="267">
        <f t="shared" si="289"/>
        <v>689</v>
      </c>
      <c r="AY280" s="267">
        <f t="shared" si="290"/>
        <v>582</v>
      </c>
      <c r="AZ280" s="267">
        <f t="shared" si="291"/>
        <v>614</v>
      </c>
      <c r="BA280" s="267">
        <f t="shared" si="292"/>
        <v>582</v>
      </c>
      <c r="BB280" s="267">
        <f t="shared" si="293"/>
        <v>672</v>
      </c>
      <c r="BC280" s="267">
        <f t="shared" si="294"/>
        <v>716</v>
      </c>
      <c r="BD280" s="267">
        <f t="shared" si="295"/>
        <v>706</v>
      </c>
      <c r="BE280" s="267">
        <f t="shared" si="296"/>
        <v>695</v>
      </c>
      <c r="BF280" s="267">
        <f t="shared" si="297"/>
        <v>689</v>
      </c>
      <c r="BG280" s="269">
        <f>AY280*VLOOKUP($B280,'Major Cities &amp; Towns'!$A$28:$B$345,2,FALSE)</f>
        <v>582</v>
      </c>
      <c r="BH280" s="269">
        <f>AZ280*VLOOKUP($B280,'Major Cities &amp; Towns'!$A$28:$B$345,2,FALSE)</f>
        <v>614</v>
      </c>
      <c r="BI280" s="269">
        <f>BA280*VLOOKUP($B280,'Major Cities &amp; Towns'!$A$28:$B$345,2,FALSE)</f>
        <v>582</v>
      </c>
      <c r="BJ280" s="269">
        <f>BB280*VLOOKUP($B280,'Major Cities &amp; Towns'!$A$28:$B$345,2,FALSE)</f>
        <v>672</v>
      </c>
      <c r="BK280" s="269">
        <f>BC280*VLOOKUP($B280,'Major Cities &amp; Towns'!$A$28:$B$345,2,FALSE)</f>
        <v>716</v>
      </c>
      <c r="BL280" s="269">
        <f>BD280*VLOOKUP($B280,'Major Cities &amp; Towns'!$A$28:$B$345,2,FALSE)</f>
        <v>706</v>
      </c>
      <c r="BM280" s="269">
        <f>BE280*VLOOKUP($B280,'Major Cities &amp; Towns'!$A$28:$B$345,2,FALSE)</f>
        <v>695</v>
      </c>
      <c r="BN280" s="269">
        <f>BF280*VLOOKUP($B280,'Major Cities &amp; Towns'!$A$28:$B$345,2,FALSE)</f>
        <v>689</v>
      </c>
      <c r="BO280" s="270">
        <f t="shared" si="298"/>
        <v>494.44444444444446</v>
      </c>
      <c r="BP280" s="270">
        <f t="shared" si="299"/>
        <v>494.44444444444446</v>
      </c>
      <c r="BQ280" s="270">
        <f t="shared" si="300"/>
        <v>521.31080669710809</v>
      </c>
      <c r="BR280" s="270">
        <f t="shared" si="301"/>
        <v>672</v>
      </c>
      <c r="BS280" s="270">
        <f t="shared" si="302"/>
        <v>716</v>
      </c>
      <c r="BT280" s="270">
        <f t="shared" si="303"/>
        <v>706</v>
      </c>
      <c r="BU280" s="270">
        <f t="shared" si="304"/>
        <v>695</v>
      </c>
      <c r="BV280" s="270">
        <f t="shared" si="305"/>
        <v>689</v>
      </c>
      <c r="BW280" s="39">
        <f>VLOOKUP($A280,NetAdditions!$A$2:$H$336,6,FALSE)</f>
        <v>531</v>
      </c>
      <c r="BX280" s="39">
        <f>VLOOKUP($A280,NetAdditions!$A$2:$H$336,7,FALSE)</f>
        <v>188</v>
      </c>
      <c r="BY280" s="39">
        <f>IF((VLOOKUP($C280,NetAdditions!$A$2:$H$336,8,FALSE))="",(AVERAGE(VLOOKUP($C280,NetAdditions!$A$2:$H$336,5,FALSE),VLOOKUP($C280,NetAdditions!$A$2:$H$336,6,FALSE),VLOOKUP($C280,NetAdditions!$A$2:$H$336,7,FALSE))),VLOOKUP($C280,NetAdditions!$A$2:$H$336,8,FALSE))</f>
        <v>260</v>
      </c>
      <c r="BZ280" s="39">
        <f t="shared" si="306"/>
        <v>326.33333333333331</v>
      </c>
      <c r="CA280" s="39">
        <f t="shared" si="307"/>
        <v>258.11111111111109</v>
      </c>
      <c r="CB280" s="39">
        <f t="shared" si="308"/>
        <v>281.48148148148147</v>
      </c>
      <c r="CC280" s="39">
        <f t="shared" si="309"/>
        <v>288.64197530864197</v>
      </c>
      <c r="CD280" s="39">
        <f t="shared" si="310"/>
        <v>276.07818930041157</v>
      </c>
      <c r="CE280" s="276">
        <f t="shared" si="267"/>
        <v>1510.199695585997</v>
      </c>
      <c r="CF280" s="276">
        <f t="shared" si="268"/>
        <v>1687.7552511415524</v>
      </c>
      <c r="CG280" s="276">
        <f t="shared" si="269"/>
        <v>1909.3108066971081</v>
      </c>
      <c r="CH280" s="276">
        <f t="shared" si="270"/>
        <v>2094</v>
      </c>
      <c r="CI280" s="276">
        <f t="shared" si="271"/>
        <v>2117</v>
      </c>
      <c r="CJ280" s="276">
        <f t="shared" si="272"/>
        <v>2090</v>
      </c>
      <c r="CK280" s="276">
        <f t="shared" si="311"/>
        <v>1300.4497378657197</v>
      </c>
      <c r="CL280" s="276">
        <f t="shared" si="312"/>
        <v>1453.3447995941146</v>
      </c>
      <c r="CM280" s="276">
        <f t="shared" si="313"/>
        <v>1750.2015728056824</v>
      </c>
      <c r="CN280" s="276">
        <f t="shared" si="314"/>
        <v>2094</v>
      </c>
      <c r="CO280" s="276">
        <f t="shared" si="315"/>
        <v>2117</v>
      </c>
      <c r="CP280" s="276">
        <f t="shared" si="316"/>
        <v>2090</v>
      </c>
      <c r="CQ280" s="39">
        <f t="shared" si="273"/>
        <v>979</v>
      </c>
      <c r="CR280" s="39">
        <f t="shared" si="274"/>
        <v>774.33333333333326</v>
      </c>
      <c r="CS280" s="277">
        <f t="shared" si="275"/>
        <v>844.44444444444434</v>
      </c>
      <c r="CT280" s="39">
        <f t="shared" si="276"/>
        <v>865.92592592592587</v>
      </c>
      <c r="CU280" s="39">
        <f t="shared" si="277"/>
        <v>828.23456790123464</v>
      </c>
      <c r="CV280" s="39">
        <f t="shared" si="317"/>
        <v>846.20164609053495</v>
      </c>
      <c r="CW280" s="297">
        <f t="shared" si="278"/>
        <v>0.75281648455458294</v>
      </c>
      <c r="CX280" s="279" t="str">
        <f t="shared" si="318"/>
        <v>Buffer and Action Plan</v>
      </c>
      <c r="CY280" s="278">
        <f t="shared" si="279"/>
        <v>0.53279396159093595</v>
      </c>
      <c r="CZ280" s="279" t="str">
        <f t="shared" si="319"/>
        <v>Buffer and Action Plan</v>
      </c>
      <c r="DA280" s="278">
        <f t="shared" si="280"/>
        <v>0.48248410786807094</v>
      </c>
      <c r="DB280" s="292" t="str">
        <f t="shared" si="320"/>
        <v>Presumption</v>
      </c>
      <c r="DC280" s="299">
        <f t="shared" si="321"/>
        <v>0.41352718525593402</v>
      </c>
      <c r="DD280" s="293" t="str">
        <f t="shared" si="322"/>
        <v>Presumption</v>
      </c>
      <c r="DE280" s="299">
        <f t="shared" si="323"/>
        <v>0.39123031077054071</v>
      </c>
      <c r="DF280" s="293" t="str">
        <f t="shared" si="324"/>
        <v>Presumption</v>
      </c>
      <c r="DG280" s="299">
        <f t="shared" si="325"/>
        <v>0.40488117037824639</v>
      </c>
      <c r="DH280" s="293" t="str">
        <f t="shared" si="326"/>
        <v>Presumption</v>
      </c>
    </row>
    <row r="281" spans="1:112" ht="15" thickTop="1" thickBot="1">
      <c r="A281" s="38" t="s">
        <v>672</v>
      </c>
      <c r="B281" s="38" t="s">
        <v>673</v>
      </c>
      <c r="C281" s="38" t="s">
        <v>672</v>
      </c>
      <c r="D281" s="38" t="s">
        <v>147</v>
      </c>
      <c r="E281" s="38" t="str">
        <f>VLOOKUP(C281,PoliticalControl!A:K,11,FALSE)</f>
        <v>NOC</v>
      </c>
      <c r="F281" s="38" t="str">
        <f>VLOOKUP(C281,UrbanRuralClassification!A:N,13,FALSE)</f>
        <v xml:space="preserve">Mainly Rural (rural including hub towns &gt;=80%) </v>
      </c>
      <c r="G281" s="38" t="str">
        <f>VLOOKUP(C281,UrbanRuralClassification!A:N,14,FALSE)</f>
        <v>Predominantly Rural</v>
      </c>
      <c r="H281" s="258">
        <f>IF(ISBLANK((VLOOKUP($A281,'local-plan-data'!$C$1:$AD$566,27,FALSE)))=TRUE,"",VLOOKUP($A281,'local-plan-data'!$C$1:$AD$566,27,FALSE))</f>
        <v>43402</v>
      </c>
      <c r="I281" s="259">
        <f>VLOOKUP($A281,'local-plan-data'!$C$1:$AD$566,28,FALSE)</f>
        <v>861</v>
      </c>
      <c r="J281" s="260">
        <f t="shared" si="281"/>
        <v>861</v>
      </c>
      <c r="K281" s="259">
        <f t="shared" si="327"/>
        <v>861</v>
      </c>
      <c r="L281" s="259">
        <f t="shared" si="327"/>
        <v>861</v>
      </c>
      <c r="M281" s="259">
        <f t="shared" si="327"/>
        <v>861</v>
      </c>
      <c r="N281" s="259">
        <f t="shared" si="327"/>
        <v>861</v>
      </c>
      <c r="O281" s="259">
        <f t="shared" si="327"/>
        <v>861</v>
      </c>
      <c r="P281" s="259">
        <f t="shared" si="327"/>
        <v>861</v>
      </c>
      <c r="Q281" s="259" t="str">
        <f t="shared" si="327"/>
        <v>-</v>
      </c>
      <c r="R281" s="259" t="str">
        <f t="shared" si="327"/>
        <v>-</v>
      </c>
      <c r="S281" s="259">
        <f t="shared" si="328"/>
        <v>2037</v>
      </c>
      <c r="T281" s="259">
        <f t="shared" si="328"/>
        <v>1672</v>
      </c>
      <c r="U281" s="259">
        <f t="shared" si="328"/>
        <v>1306</v>
      </c>
      <c r="V281" s="259">
        <f t="shared" si="328"/>
        <v>941</v>
      </c>
      <c r="W281" s="259">
        <f t="shared" si="328"/>
        <v>576</v>
      </c>
      <c r="X281" s="259">
        <f t="shared" si="328"/>
        <v>211</v>
      </c>
      <c r="Y281" s="259">
        <f t="shared" si="328"/>
        <v>-155</v>
      </c>
      <c r="Z281" s="259">
        <f t="shared" si="328"/>
        <v>-520</v>
      </c>
      <c r="AA281" s="267">
        <f>(VLOOKUP(A281,Hshldprojections2014!$A$2:$AW$319,40, FALSE)-VLOOKUP(A281,Hshldprojections2014!$A$2:$AW$319,30, FALSE))/10</f>
        <v>321.2</v>
      </c>
      <c r="AB281" s="267">
        <f>(VLOOKUP(A281,Hshldprojections2014!$A$2:$AW$319,41, FALSE)-VLOOKUP(A281,Hshldprojections2014!$A$2:$AW$319,31, FALSE))/10</f>
        <v>317</v>
      </c>
      <c r="AC281" s="267">
        <f>(VLOOKUP(A281,Hshldprojections2014!$A$2:$AW$319,42, FALSE)-VLOOKUP(A281,Hshldprojections2014!$A$2:$AW$319,32, FALSE))/10</f>
        <v>312.2</v>
      </c>
      <c r="AD281" s="267">
        <f>IF(IndividualLATest!$J$7=2014,(VLOOKUP($A281,Hshldprojections2014!$A$2:$AY$326,43,FALSE)-VLOOKUP($A281,Hshldprojections2014!$A$2:$AY$326,33,FALSE))/10,IF(IndividualLATest!$J$7=2016,(VLOOKUP($A281,Hshldprojections2016!$A$1:$AQ$322,33,FALSE)-VLOOKUP($A281,Hshldprojections2016!$A$1:$AQ$322,23,FALSE))/10,(VLOOKUP($A281,Hshldprojections2018!$A$1:$AQ$327,33,FALSE)-VLOOKUP($A281,Hshldprojections2018!$A$1:$AQ$327,23,FALSE))/10))</f>
        <v>319.7</v>
      </c>
      <c r="AE281" s="267">
        <f>IF(IndividualLATest!$J$7=2014,(VLOOKUP($A281,Hshldprojections2014!$A$2:$AY$326,44,FALSE)-VLOOKUP($A281,Hshldprojections2014!$A$2:$AY$326,34,FALSE))/10,IF(IndividualLATest!$J$7=2016,(VLOOKUP($A281,Hshldprojections2016!$A$1:$AQ$322,34,FALSE)-VLOOKUP($A281,Hshldprojections2016!$A$1:$AQ$322,24,FALSE))/10,(VLOOKUP($A281,Hshldprojections2018!$A$1:$AQ$327,34,FALSE)-VLOOKUP($A281,Hshldprojections2018!$A$1:$AQ$327,24,FALSE))/10))</f>
        <v>310.8</v>
      </c>
      <c r="AF281" s="267">
        <f>IF(IndividualLATest!$J$7=2014,(VLOOKUP($A281,Hshldprojections2014!$A$2:$AY$326,45,FALSE)-VLOOKUP($A281,Hshldprojections2014!$A$2:$AY$326,35,FALSE))/10,IF(IndividualLATest!$J$7=2016,(VLOOKUP($A281,Hshldprojections2016!$A$1:$AQ$322,35,FALSE)-VLOOKUP($A281,Hshldprojections2016!$A$1:$AQ$322,25,FALSE))/10,(VLOOKUP($A281,Hshldprojections2018!$A$1:$AQ$327,35,FALSE)-VLOOKUP($A281,Hshldprojections2018!$A$1:$AQ$327,25,FALSE))/10))</f>
        <v>302.60000000000002</v>
      </c>
      <c r="AG281" s="267">
        <f>IF(IndividualLATest!$J$7=2014,(VLOOKUP($A281,Hshldprojections2014!$A$2:$AY$326,46,FALSE)-VLOOKUP($A281,Hshldprojections2014!$A$2:$AY$326,36,FALSE))/10,IF(IndividualLATest!$J$7=2016,(VLOOKUP($A281,Hshldprojections2016!$A$1:$AQ$322,36,FALSE)-VLOOKUP($A281,Hshldprojections2016!$A$1:$AQ$322,26,FALSE))/10,(VLOOKUP($A281,Hshldprojections2018!$A$1:$AQ$327,36,FALSE)-VLOOKUP($A281,Hshldprojections2018!$A$1:$AQ$327,26,FALSE))/10))</f>
        <v>295.60000000000002</v>
      </c>
      <c r="AH281" s="267">
        <f>IF(IndividualLATest!$J$7=2014,(VLOOKUP($A281,Hshldprojections2014!$A$2:$AY$326,47,FALSE)-VLOOKUP($A281,Hshldprojections2014!$A$2:$AY$326,37,FALSE))/10,IF(IndividualLATest!$J$7=2016,(VLOOKUP($A281,Hshldprojections2016!$A$1:$AQ$322,37,FALSE)-VLOOKUP($A281,Hshldprojections2016!$A$1:$AQ$322,27,FALSE))/10,(VLOOKUP($A281,Hshldprojections2018!$A$1:$AQ$327,37,FALSE)-VLOOKUP($A281,Hshldprojections2018!$A$1:$AQ$327,27,FALSE))/10))</f>
        <v>287</v>
      </c>
      <c r="AI281" s="268">
        <f>VLOOKUP($A281,AffordabilityRatio!$A$2:$I$321,5,FALSE)</f>
        <v>9.4499999999999993</v>
      </c>
      <c r="AJ281" s="268">
        <f>VLOOKUP($A281,AffordabilityRatio!$A$2:$I$321,6,FALSE)</f>
        <v>9.76</v>
      </c>
      <c r="AK281" s="268">
        <f>VLOOKUP($A281,AffordabilityRatio!$A$2:$I$321,7,FALSE)</f>
        <v>9.48</v>
      </c>
      <c r="AL281" s="268">
        <f>IF((VLOOKUP($A281,AffordabilityRatio!$A$2:$I$321,8,FALSE))="",AK281,VLOOKUP($A281,AffordabilityRatio!$A$2:$I$321,8,FALSE))</f>
        <v>9.17</v>
      </c>
      <c r="AM281" s="268">
        <f>IF((VLOOKUP($A281,AffordabilityRatio!$A$2:$I$321,9,FALSE))="",AL281,VLOOKUP($A281,AffordabilityRatio!$A$2:$I$321,9,FALSE))</f>
        <v>10.34</v>
      </c>
      <c r="AN281" s="268">
        <f>IF((VLOOKUP($A281,AffordabilityRatio!$A$2:$I$321,9,FALSE))="",AM281,VLOOKUP($A281,AffordabilityRatio!$A$2:$I$321,9,FALSE))</f>
        <v>10.34</v>
      </c>
      <c r="AO281" s="268">
        <f>IF((VLOOKUP($A281,AffordabilityRatio!$A$2:$I$321,9,FALSE))="",AN281,VLOOKUP($A281,AffordabilityRatio!$A$2:$I$321,9,FALSE))</f>
        <v>10.34</v>
      </c>
      <c r="AP281" s="268">
        <f>IF((VLOOKUP($A281,AffordabilityRatio!$A$2:$I$321,9,FALSE))="",AO281,VLOOKUP($A281,AffordabilityRatio!$A$2:$I$321,9,FALSE))</f>
        <v>10.34</v>
      </c>
      <c r="AQ281" s="267">
        <f t="shared" si="282"/>
        <v>431</v>
      </c>
      <c r="AR281" s="267">
        <f t="shared" si="283"/>
        <v>431</v>
      </c>
      <c r="AS281" s="267">
        <f t="shared" si="284"/>
        <v>419</v>
      </c>
      <c r="AT281" s="267">
        <f t="shared" si="285"/>
        <v>423</v>
      </c>
      <c r="AU281" s="267">
        <f t="shared" si="286"/>
        <v>434</v>
      </c>
      <c r="AV281" s="267">
        <f t="shared" si="287"/>
        <v>423</v>
      </c>
      <c r="AW281" s="267">
        <f t="shared" si="288"/>
        <v>413</v>
      </c>
      <c r="AX281" s="267">
        <f t="shared" si="289"/>
        <v>401</v>
      </c>
      <c r="AY281" s="267">
        <f t="shared" si="290"/>
        <v>431</v>
      </c>
      <c r="AZ281" s="267">
        <f t="shared" si="291"/>
        <v>431</v>
      </c>
      <c r="BA281" s="267">
        <f t="shared" si="292"/>
        <v>419</v>
      </c>
      <c r="BB281" s="267">
        <f t="shared" si="293"/>
        <v>423</v>
      </c>
      <c r="BC281" s="267">
        <f t="shared" si="294"/>
        <v>434</v>
      </c>
      <c r="BD281" s="267">
        <f t="shared" si="295"/>
        <v>423</v>
      </c>
      <c r="BE281" s="267">
        <f t="shared" si="296"/>
        <v>413</v>
      </c>
      <c r="BF281" s="267">
        <f t="shared" si="297"/>
        <v>401</v>
      </c>
      <c r="BG281" s="269">
        <f>AY281*VLOOKUP($B281,'Major Cities &amp; Towns'!$A$28:$B$345,2,FALSE)</f>
        <v>431</v>
      </c>
      <c r="BH281" s="269">
        <f>AZ281*VLOOKUP($B281,'Major Cities &amp; Towns'!$A$28:$B$345,2,FALSE)</f>
        <v>431</v>
      </c>
      <c r="BI281" s="269">
        <f>BA281*VLOOKUP($B281,'Major Cities &amp; Towns'!$A$28:$B$345,2,FALSE)</f>
        <v>419</v>
      </c>
      <c r="BJ281" s="269">
        <f>BB281*VLOOKUP($B281,'Major Cities &amp; Towns'!$A$28:$B$345,2,FALSE)</f>
        <v>423</v>
      </c>
      <c r="BK281" s="269">
        <f>BC281*VLOOKUP($B281,'Major Cities &amp; Towns'!$A$28:$B$345,2,FALSE)</f>
        <v>434</v>
      </c>
      <c r="BL281" s="269">
        <f>BD281*VLOOKUP($B281,'Major Cities &amp; Towns'!$A$28:$B$345,2,FALSE)</f>
        <v>423</v>
      </c>
      <c r="BM281" s="269">
        <f>BE281*VLOOKUP($B281,'Major Cities &amp; Towns'!$A$28:$B$345,2,FALSE)</f>
        <v>413</v>
      </c>
      <c r="BN281" s="269">
        <f>BF281*VLOOKUP($B281,'Major Cities &amp; Towns'!$A$28:$B$345,2,FALSE)</f>
        <v>401</v>
      </c>
      <c r="BO281" s="270">
        <f t="shared" si="298"/>
        <v>431</v>
      </c>
      <c r="BP281" s="270">
        <f t="shared" si="299"/>
        <v>431</v>
      </c>
      <c r="BQ281" s="270">
        <f t="shared" si="300"/>
        <v>419</v>
      </c>
      <c r="BR281" s="270">
        <f t="shared" si="301"/>
        <v>423</v>
      </c>
      <c r="BS281" s="270">
        <f t="shared" si="302"/>
        <v>434</v>
      </c>
      <c r="BT281" s="270">
        <f t="shared" si="303"/>
        <v>423</v>
      </c>
      <c r="BU281" s="270">
        <f t="shared" si="304"/>
        <v>413</v>
      </c>
      <c r="BV281" s="270">
        <f t="shared" si="305"/>
        <v>401</v>
      </c>
      <c r="BW281" s="39">
        <f>VLOOKUP($A281,NetAdditions!$A$2:$H$336,6,FALSE)</f>
        <v>260</v>
      </c>
      <c r="BX281" s="39">
        <f>VLOOKUP($A281,NetAdditions!$A$2:$H$336,7,FALSE)</f>
        <v>280</v>
      </c>
      <c r="BY281" s="39">
        <f>IF((VLOOKUP($C281,NetAdditions!$A$2:$H$336,8,FALSE))="",(AVERAGE(VLOOKUP($C281,NetAdditions!$A$2:$H$336,5,FALSE),VLOOKUP($C281,NetAdditions!$A$2:$H$336,6,FALSE),VLOOKUP($C281,NetAdditions!$A$2:$H$336,7,FALSE))),VLOOKUP($C281,NetAdditions!$A$2:$H$336,8,FALSE))</f>
        <v>130</v>
      </c>
      <c r="BZ281" s="39">
        <f t="shared" si="306"/>
        <v>223.33333333333334</v>
      </c>
      <c r="CA281" s="39">
        <f t="shared" si="307"/>
        <v>211.11111111111111</v>
      </c>
      <c r="CB281" s="39">
        <f t="shared" si="308"/>
        <v>188.14814814814815</v>
      </c>
      <c r="CC281" s="39">
        <f t="shared" si="309"/>
        <v>207.53086419753086</v>
      </c>
      <c r="CD281" s="39">
        <f t="shared" si="310"/>
        <v>202.2633744855967</v>
      </c>
      <c r="CE281" s="276">
        <f t="shared" si="267"/>
        <v>1281</v>
      </c>
      <c r="CF281" s="276">
        <f t="shared" si="268"/>
        <v>1273</v>
      </c>
      <c r="CG281" s="276">
        <f t="shared" si="269"/>
        <v>1276</v>
      </c>
      <c r="CH281" s="276">
        <f t="shared" si="270"/>
        <v>1280</v>
      </c>
      <c r="CI281" s="276">
        <f t="shared" si="271"/>
        <v>1270</v>
      </c>
      <c r="CJ281" s="276">
        <f t="shared" si="272"/>
        <v>1237</v>
      </c>
      <c r="CK281" s="276">
        <f t="shared" si="311"/>
        <v>1103.0833333333335</v>
      </c>
      <c r="CL281" s="276">
        <f t="shared" si="312"/>
        <v>1096.1944444444446</v>
      </c>
      <c r="CM281" s="276">
        <f t="shared" si="313"/>
        <v>1169.6666666666665</v>
      </c>
      <c r="CN281" s="276">
        <f t="shared" si="314"/>
        <v>1280</v>
      </c>
      <c r="CO281" s="276">
        <f t="shared" si="315"/>
        <v>1270</v>
      </c>
      <c r="CP281" s="276">
        <f t="shared" si="316"/>
        <v>1237</v>
      </c>
      <c r="CQ281" s="39">
        <f t="shared" si="273"/>
        <v>670</v>
      </c>
      <c r="CR281" s="39">
        <f t="shared" si="274"/>
        <v>633.33333333333337</v>
      </c>
      <c r="CS281" s="277">
        <f t="shared" si="275"/>
        <v>564.44444444444446</v>
      </c>
      <c r="CT281" s="39">
        <f t="shared" si="276"/>
        <v>622.59259259259261</v>
      </c>
      <c r="CU281" s="39">
        <f t="shared" si="277"/>
        <v>606.79012345679007</v>
      </c>
      <c r="CV281" s="39">
        <f t="shared" si="317"/>
        <v>597.94238683127571</v>
      </c>
      <c r="CW281" s="297">
        <f t="shared" si="278"/>
        <v>0.60738838105310866</v>
      </c>
      <c r="CX281" s="279" t="str">
        <f t="shared" si="318"/>
        <v>Buffer and Action Plan</v>
      </c>
      <c r="CY281" s="278">
        <f t="shared" si="279"/>
        <v>0.57775637939335578</v>
      </c>
      <c r="CZ281" s="279" t="str">
        <f t="shared" si="319"/>
        <v>Buffer and Action Plan</v>
      </c>
      <c r="DA281" s="278">
        <f t="shared" si="280"/>
        <v>0.48256863303885256</v>
      </c>
      <c r="DB281" s="292" t="str">
        <f t="shared" si="320"/>
        <v>Presumption</v>
      </c>
      <c r="DC281" s="299">
        <f t="shared" si="321"/>
        <v>0.48640046296296297</v>
      </c>
      <c r="DD281" s="293" t="str">
        <f t="shared" si="322"/>
        <v>Presumption</v>
      </c>
      <c r="DE281" s="299">
        <f t="shared" si="323"/>
        <v>0.47778749878487409</v>
      </c>
      <c r="DF281" s="293" t="str">
        <f t="shared" si="324"/>
        <v>Presumption</v>
      </c>
      <c r="DG281" s="299">
        <f t="shared" si="325"/>
        <v>0.48338107262027141</v>
      </c>
      <c r="DH281" s="293" t="str">
        <f t="shared" si="326"/>
        <v>Presumption</v>
      </c>
    </row>
    <row r="282" spans="1:112" customFormat="1" ht="15.5" thickTop="1" thickBot="1">
      <c r="A282" s="3" t="s">
        <v>674</v>
      </c>
      <c r="B282" s="3" t="s">
        <v>675</v>
      </c>
      <c r="C282" s="3" t="s">
        <v>674</v>
      </c>
      <c r="D282" s="3" t="s">
        <v>131</v>
      </c>
      <c r="E282" s="3" t="str">
        <f>VLOOKUP(C282,PoliticalControl!A:K,11,FALSE)</f>
        <v>LAB</v>
      </c>
      <c r="F282" s="3" t="str">
        <f>VLOOKUP(C282,UrbanRuralClassification!A:N,13,FALSE)</f>
        <v>Urban with Major Conurbation</v>
      </c>
      <c r="G282" s="3" t="str">
        <f>VLOOKUP(C282,UrbanRuralClassification!A:N,14,FALSE)</f>
        <v>Predominantly Urban</v>
      </c>
      <c r="H282" s="262">
        <f>IF(ISBLANK((VLOOKUP($A282,'local-plan-data'!$C$1:$AD$566,27,FALSE)))=TRUE,"",VLOOKUP($A282,'local-plan-data'!$C$1:$AD$566,27,FALSE))</f>
        <v>43845</v>
      </c>
      <c r="I282" s="263">
        <f>VLOOKUP($A282,'local-plan-data'!$C$1:$AD$566,28,FALSE)</f>
        <v>3931</v>
      </c>
      <c r="J282" s="264">
        <f t="shared" si="281"/>
        <v>3931</v>
      </c>
      <c r="K282" s="259">
        <f t="shared" si="327"/>
        <v>3931</v>
      </c>
      <c r="L282" s="259">
        <f t="shared" si="327"/>
        <v>3931</v>
      </c>
      <c r="M282" s="259">
        <f t="shared" si="327"/>
        <v>3931</v>
      </c>
      <c r="N282" s="259">
        <f t="shared" si="327"/>
        <v>3931</v>
      </c>
      <c r="O282" s="259">
        <f t="shared" si="327"/>
        <v>3931</v>
      </c>
      <c r="P282" s="259">
        <f t="shared" si="327"/>
        <v>3931</v>
      </c>
      <c r="Q282" s="259">
        <f t="shared" si="327"/>
        <v>3931</v>
      </c>
      <c r="R282" s="259" t="str">
        <f t="shared" si="327"/>
        <v>-</v>
      </c>
      <c r="S282" s="259">
        <f t="shared" si="328"/>
        <v>2481</v>
      </c>
      <c r="T282" s="259">
        <f t="shared" si="328"/>
        <v>2116</v>
      </c>
      <c r="U282" s="259">
        <f t="shared" si="328"/>
        <v>1750</v>
      </c>
      <c r="V282" s="259">
        <f t="shared" si="328"/>
        <v>1385</v>
      </c>
      <c r="W282" s="259">
        <f t="shared" si="328"/>
        <v>1020</v>
      </c>
      <c r="X282" s="259">
        <f t="shared" si="328"/>
        <v>655</v>
      </c>
      <c r="Y282" s="259">
        <f t="shared" si="328"/>
        <v>289</v>
      </c>
      <c r="Z282" s="259">
        <f t="shared" si="328"/>
        <v>-76</v>
      </c>
      <c r="AA282" s="267">
        <f>(VLOOKUP(A282,Hshldprojections2014!$A$2:$AW$319,40, FALSE)-VLOOKUP(A282,Hshldprojections2014!$A$2:$AW$319,30, FALSE))/10</f>
        <v>3388.2</v>
      </c>
      <c r="AB282" s="267">
        <f>(VLOOKUP(A282,Hshldprojections2014!$A$2:$AW$319,41, FALSE)-VLOOKUP(A282,Hshldprojections2014!$A$2:$AW$319,31, FALSE))/10</f>
        <v>3312</v>
      </c>
      <c r="AC282" s="267">
        <f>(VLOOKUP(A282,Hshldprojections2014!$A$2:$AW$319,42, FALSE)-VLOOKUP(A282,Hshldprojections2014!$A$2:$AW$319,32, FALSE))/10</f>
        <v>3241.6</v>
      </c>
      <c r="AD282" s="267">
        <f>IF(IndividualLATest!$J$7=2014,(VLOOKUP($A282,Hshldprojections2014!$A$2:$AY$326,43,FALSE)-VLOOKUP($A282,Hshldprojections2014!$A$2:$AY$326,33,FALSE))/10,IF(IndividualLATest!$J$7=2016,(VLOOKUP($A282,Hshldprojections2016!$A$1:$AQ$322,33,FALSE)-VLOOKUP($A282,Hshldprojections2016!$A$1:$AQ$322,23,FALSE))/10,(VLOOKUP($A282,Hshldprojections2018!$A$1:$AQ$327,33,FALSE)-VLOOKUP($A282,Hshldprojections2018!$A$1:$AQ$327,23,FALSE))/10))</f>
        <v>2406.8000000000002</v>
      </c>
      <c r="AE282" s="267">
        <f>IF(IndividualLATest!$J$7=2014,(VLOOKUP($A282,Hshldprojections2014!$A$2:$AY$326,44,FALSE)-VLOOKUP($A282,Hshldprojections2014!$A$2:$AY$326,34,FALSE))/10,IF(IndividualLATest!$J$7=2016,(VLOOKUP($A282,Hshldprojections2016!$A$1:$AQ$322,34,FALSE)-VLOOKUP($A282,Hshldprojections2016!$A$1:$AQ$322,24,FALSE))/10,(VLOOKUP($A282,Hshldprojections2018!$A$1:$AQ$327,34,FALSE)-VLOOKUP($A282,Hshldprojections2018!$A$1:$AQ$327,24,FALSE))/10))</f>
        <v>2315.8000000000002</v>
      </c>
      <c r="AF282" s="267">
        <f>IF(IndividualLATest!$J$7=2014,(VLOOKUP($A282,Hshldprojections2014!$A$2:$AY$326,45,FALSE)-VLOOKUP($A282,Hshldprojections2014!$A$2:$AY$326,35,FALSE))/10,IF(IndividualLATest!$J$7=2016,(VLOOKUP($A282,Hshldprojections2016!$A$1:$AQ$322,35,FALSE)-VLOOKUP($A282,Hshldprojections2016!$A$1:$AQ$322,25,FALSE))/10,(VLOOKUP($A282,Hshldprojections2018!$A$1:$AQ$327,35,FALSE)-VLOOKUP($A282,Hshldprojections2018!$A$1:$AQ$327,25,FALSE))/10))</f>
        <v>2243.6</v>
      </c>
      <c r="AG282" s="267">
        <f>IF(IndividualLATest!$J$7=2014,(VLOOKUP($A282,Hshldprojections2014!$A$2:$AY$326,46,FALSE)-VLOOKUP($A282,Hshldprojections2014!$A$2:$AY$326,36,FALSE))/10,IF(IndividualLATest!$J$7=2016,(VLOOKUP($A282,Hshldprojections2016!$A$1:$AQ$322,36,FALSE)-VLOOKUP($A282,Hshldprojections2016!$A$1:$AQ$322,26,FALSE))/10,(VLOOKUP($A282,Hshldprojections2018!$A$1:$AQ$327,36,FALSE)-VLOOKUP($A282,Hshldprojections2018!$A$1:$AQ$327,26,FALSE))/10))</f>
        <v>2184.3000000000002</v>
      </c>
      <c r="AH282" s="267">
        <f>IF(IndividualLATest!$J$7=2014,(VLOOKUP($A282,Hshldprojections2014!$A$2:$AY$326,47,FALSE)-VLOOKUP($A282,Hshldprojections2014!$A$2:$AY$326,37,FALSE))/10,IF(IndividualLATest!$J$7=2016,(VLOOKUP($A282,Hshldprojections2016!$A$1:$AQ$322,37,FALSE)-VLOOKUP($A282,Hshldprojections2016!$A$1:$AQ$322,27,FALSE))/10,(VLOOKUP($A282,Hshldprojections2018!$A$1:$AQ$327,37,FALSE)-VLOOKUP($A282,Hshldprojections2018!$A$1:$AQ$327,27,FALSE))/10))</f>
        <v>2137.3000000000002</v>
      </c>
      <c r="AI282" s="268">
        <f>VLOOKUP($A282,AffordabilityRatio!$A$2:$I$321,5,FALSE)</f>
        <v>9.82</v>
      </c>
      <c r="AJ282" s="268">
        <f>VLOOKUP($A282,AffordabilityRatio!$A$2:$I$321,6,FALSE)</f>
        <v>9.85</v>
      </c>
      <c r="AK282" s="268">
        <f>VLOOKUP($A282,AffordabilityRatio!$A$2:$I$321,7,FALSE)</f>
        <v>10.67</v>
      </c>
      <c r="AL282" s="268">
        <f>IF((VLOOKUP($A282,AffordabilityRatio!$A$2:$I$321,8,FALSE))="",AK282,VLOOKUP($A282,AffordabilityRatio!$A$2:$I$321,8,FALSE))</f>
        <v>10.210000000000001</v>
      </c>
      <c r="AM282" s="268">
        <f>IF((VLOOKUP($A282,AffordabilityRatio!$A$2:$I$321,9,FALSE))="",AL282,VLOOKUP($A282,AffordabilityRatio!$A$2:$I$321,9,FALSE))</f>
        <v>11</v>
      </c>
      <c r="AN282" s="268">
        <f>IF((VLOOKUP($A282,AffordabilityRatio!$A$2:$I$321,9,FALSE))="",AM282,VLOOKUP($A282,AffordabilityRatio!$A$2:$I$321,9,FALSE))</f>
        <v>11</v>
      </c>
      <c r="AO282" s="268">
        <f>IF((VLOOKUP($A282,AffordabilityRatio!$A$2:$I$321,9,FALSE))="",AN282,VLOOKUP($A282,AffordabilityRatio!$A$2:$I$321,9,FALSE))</f>
        <v>11</v>
      </c>
      <c r="AP282" s="268">
        <f>IF((VLOOKUP($A282,AffordabilityRatio!$A$2:$I$321,9,FALSE))="",AO282,VLOOKUP($A282,AffordabilityRatio!$A$2:$I$321,9,FALSE))</f>
        <v>11</v>
      </c>
      <c r="AQ282" s="267">
        <f t="shared" si="282"/>
        <v>4621</v>
      </c>
      <c r="AR282" s="267">
        <f t="shared" si="283"/>
        <v>4523</v>
      </c>
      <c r="AS282" s="267">
        <f t="shared" si="284"/>
        <v>4593</v>
      </c>
      <c r="AT282" s="267">
        <f t="shared" si="285"/>
        <v>3341</v>
      </c>
      <c r="AU282" s="267">
        <f t="shared" si="286"/>
        <v>3329</v>
      </c>
      <c r="AV282" s="267">
        <f t="shared" si="287"/>
        <v>3225</v>
      </c>
      <c r="AW282" s="267">
        <f t="shared" si="288"/>
        <v>3140</v>
      </c>
      <c r="AX282" s="267">
        <f t="shared" si="289"/>
        <v>3072</v>
      </c>
      <c r="AY282" s="267">
        <f t="shared" si="290"/>
        <v>4621</v>
      </c>
      <c r="AZ282" s="267">
        <f t="shared" si="291"/>
        <v>4523</v>
      </c>
      <c r="BA282" s="267">
        <f t="shared" si="292"/>
        <v>4593</v>
      </c>
      <c r="BB282" s="267">
        <f t="shared" si="293"/>
        <v>3341</v>
      </c>
      <c r="BC282" s="267">
        <f t="shared" si="294"/>
        <v>3329</v>
      </c>
      <c r="BD282" s="267">
        <f t="shared" si="295"/>
        <v>3225</v>
      </c>
      <c r="BE282" s="267">
        <f t="shared" si="296"/>
        <v>3140</v>
      </c>
      <c r="BF282" s="267">
        <f t="shared" si="297"/>
        <v>3072</v>
      </c>
      <c r="BG282" s="269">
        <f>AY282*VLOOKUP($B282,'Major Cities &amp; Towns'!$A$28:$B$345,2,FALSE)</f>
        <v>6238.35</v>
      </c>
      <c r="BH282" s="269">
        <f>AZ282*VLOOKUP($B282,'Major Cities &amp; Towns'!$A$28:$B$345,2,FALSE)</f>
        <v>6106.05</v>
      </c>
      <c r="BI282" s="269">
        <f>BA282*VLOOKUP($B282,'Major Cities &amp; Towns'!$A$28:$B$345,2,FALSE)</f>
        <v>6200.55</v>
      </c>
      <c r="BJ282" s="269">
        <f>BB282*VLOOKUP($B282,'Major Cities &amp; Towns'!$A$28:$B$345,2,FALSE)</f>
        <v>4510.3500000000004</v>
      </c>
      <c r="BK282" s="269">
        <f>BC282*VLOOKUP($B282,'Major Cities &amp; Towns'!$A$28:$B$345,2,FALSE)</f>
        <v>4494.1500000000005</v>
      </c>
      <c r="BL282" s="269">
        <f>BD282*VLOOKUP($B282,'Major Cities &amp; Towns'!$A$28:$B$345,2,FALSE)</f>
        <v>4353.75</v>
      </c>
      <c r="BM282" s="269">
        <f>BE282*VLOOKUP($B282,'Major Cities &amp; Towns'!$A$28:$B$345,2,FALSE)</f>
        <v>4239</v>
      </c>
      <c r="BN282" s="269">
        <f>BF282*VLOOKUP($B282,'Major Cities &amp; Towns'!$A$28:$B$345,2,FALSE)</f>
        <v>4147.2000000000007</v>
      </c>
      <c r="BO282" s="270">
        <f t="shared" si="298"/>
        <v>3931</v>
      </c>
      <c r="BP282" s="270">
        <f t="shared" si="299"/>
        <v>3931</v>
      </c>
      <c r="BQ282" s="270">
        <f t="shared" si="300"/>
        <v>3931</v>
      </c>
      <c r="BR282" s="270">
        <f t="shared" si="301"/>
        <v>3341</v>
      </c>
      <c r="BS282" s="270">
        <f t="shared" si="302"/>
        <v>3329</v>
      </c>
      <c r="BT282" s="270">
        <f t="shared" si="303"/>
        <v>3225</v>
      </c>
      <c r="BU282" s="270">
        <f t="shared" si="304"/>
        <v>3766.298630136986</v>
      </c>
      <c r="BV282" s="270">
        <f t="shared" si="305"/>
        <v>3072</v>
      </c>
      <c r="BW282" s="39">
        <f>VLOOKUP($A282,NetAdditions!$A$2:$H$336,6,FALSE)</f>
        <v>1524</v>
      </c>
      <c r="BX282" s="39">
        <f>VLOOKUP($A282,NetAdditions!$A$2:$H$336,7,FALSE)</f>
        <v>4564</v>
      </c>
      <c r="BY282" s="39">
        <f>IF((VLOOKUP($C282,NetAdditions!$A$2:$H$336,8,FALSE))="",(AVERAGE(VLOOKUP($C282,NetAdditions!$A$2:$H$336,5,FALSE),VLOOKUP($C282,NetAdditions!$A$2:$H$336,6,FALSE),VLOOKUP($C282,NetAdditions!$A$2:$H$336,7,FALSE))),VLOOKUP($C282,NetAdditions!$A$2:$H$336,8,FALSE))</f>
        <v>3248</v>
      </c>
      <c r="BZ282" s="39">
        <f t="shared" si="306"/>
        <v>3112</v>
      </c>
      <c r="CA282" s="39">
        <f t="shared" si="307"/>
        <v>3641.3333333333335</v>
      </c>
      <c r="CB282" s="39">
        <f t="shared" si="308"/>
        <v>3333.7777777777778</v>
      </c>
      <c r="CC282" s="39">
        <f t="shared" si="309"/>
        <v>3362.3703703703704</v>
      </c>
      <c r="CD282" s="39">
        <f t="shared" si="310"/>
        <v>3445.8271604938273</v>
      </c>
      <c r="CE282" s="276">
        <f t="shared" si="267"/>
        <v>11793</v>
      </c>
      <c r="CF282" s="276">
        <f t="shared" si="268"/>
        <v>11203</v>
      </c>
      <c r="CG282" s="276">
        <f t="shared" si="269"/>
        <v>10601</v>
      </c>
      <c r="CH282" s="276">
        <f t="shared" si="270"/>
        <v>9895</v>
      </c>
      <c r="CI282" s="276">
        <f t="shared" si="271"/>
        <v>10320.298630136986</v>
      </c>
      <c r="CJ282" s="276">
        <f t="shared" si="272"/>
        <v>10063.298630136986</v>
      </c>
      <c r="CK282" s="276">
        <f t="shared" si="311"/>
        <v>10155.083333333334</v>
      </c>
      <c r="CL282" s="276">
        <f t="shared" si="312"/>
        <v>9647.0277777777792</v>
      </c>
      <c r="CM282" s="276">
        <f t="shared" si="313"/>
        <v>9717.5833333333321</v>
      </c>
      <c r="CN282" s="276">
        <f t="shared" si="314"/>
        <v>9895</v>
      </c>
      <c r="CO282" s="276">
        <f t="shared" si="315"/>
        <v>10320.298630136986</v>
      </c>
      <c r="CP282" s="276">
        <f t="shared" si="316"/>
        <v>10063.298630136986</v>
      </c>
      <c r="CQ282" s="39">
        <f t="shared" si="273"/>
        <v>9336</v>
      </c>
      <c r="CR282" s="39">
        <f t="shared" si="274"/>
        <v>10924</v>
      </c>
      <c r="CS282" s="277">
        <f t="shared" si="275"/>
        <v>10001.333333333334</v>
      </c>
      <c r="CT282" s="39">
        <f t="shared" si="276"/>
        <v>10087.111111111111</v>
      </c>
      <c r="CU282" s="39">
        <f t="shared" si="277"/>
        <v>10337.481481481482</v>
      </c>
      <c r="CV282" s="39">
        <f t="shared" si="317"/>
        <v>10141.975308641975</v>
      </c>
      <c r="CW282" s="297">
        <f t="shared" si="278"/>
        <v>0.91934252960340057</v>
      </c>
      <c r="CX282" s="279" t="str">
        <f t="shared" si="318"/>
        <v>Action Plan</v>
      </c>
      <c r="CY282" s="278">
        <f t="shared" si="279"/>
        <v>1.1323694978015679</v>
      </c>
      <c r="CZ282" s="279" t="str">
        <f t="shared" si="319"/>
        <v>Pass</v>
      </c>
      <c r="DA282" s="278">
        <f t="shared" si="280"/>
        <v>1.0291996466885631</v>
      </c>
      <c r="DB282" s="292" t="str">
        <f t="shared" si="320"/>
        <v>Pass</v>
      </c>
      <c r="DC282" s="299">
        <f t="shared" si="321"/>
        <v>1.0194149682780305</v>
      </c>
      <c r="DD282" s="293" t="str">
        <f t="shared" si="322"/>
        <v>Pass</v>
      </c>
      <c r="DE282" s="299">
        <f t="shared" si="323"/>
        <v>1.0016649567963392</v>
      </c>
      <c r="DF282" s="293" t="str">
        <f t="shared" si="324"/>
        <v>Pass</v>
      </c>
      <c r="DG282" s="299">
        <f t="shared" si="325"/>
        <v>1.0078181798430759</v>
      </c>
      <c r="DH282" s="293" t="str">
        <f t="shared" si="326"/>
        <v>Pass</v>
      </c>
    </row>
    <row r="283" spans="1:112" ht="15" thickTop="1" thickBot="1">
      <c r="A283" s="38" t="s">
        <v>676</v>
      </c>
      <c r="B283" s="38" t="s">
        <v>677</v>
      </c>
      <c r="C283" s="38" t="s">
        <v>676</v>
      </c>
      <c r="D283" s="38" t="s">
        <v>116</v>
      </c>
      <c r="E283" s="38" t="str">
        <f>VLOOKUP(C283,PoliticalControl!A:K,11,FALSE)</f>
        <v>LAB</v>
      </c>
      <c r="F283" s="38" t="str">
        <f>VLOOKUP(C283,UrbanRuralClassification!A:N,13,FALSE)</f>
        <v>Urban with Major Conurbation</v>
      </c>
      <c r="G283" s="38" t="str">
        <f>VLOOKUP(C283,UrbanRuralClassification!A:N,14,FALSE)</f>
        <v>Predominantly Urban</v>
      </c>
      <c r="H283" s="258">
        <f>IF(ISBLANK((VLOOKUP($A283,'local-plan-data'!$C$1:$AD$566,27,FALSE)))=TRUE,"",VLOOKUP($A283,'local-plan-data'!$C$1:$AD$566,27,FALSE))</f>
        <v>40933</v>
      </c>
      <c r="I283" s="259">
        <f>VLOOKUP($A283,'local-plan-data'!$C$1:$AD$566,28,FALSE)</f>
        <v>678.33333333333337</v>
      </c>
      <c r="J283" s="260">
        <f t="shared" si="281"/>
        <v>678.33333333333337</v>
      </c>
      <c r="K283" s="259" t="str">
        <f t="shared" si="327"/>
        <v>-</v>
      </c>
      <c r="L283" s="259" t="str">
        <f t="shared" si="327"/>
        <v>-</v>
      </c>
      <c r="M283" s="259" t="str">
        <f t="shared" si="327"/>
        <v>-</v>
      </c>
      <c r="N283" s="259" t="str">
        <f t="shared" si="327"/>
        <v>-</v>
      </c>
      <c r="O283" s="259" t="str">
        <f t="shared" si="327"/>
        <v>-</v>
      </c>
      <c r="P283" s="259" t="str">
        <f t="shared" si="327"/>
        <v>-</v>
      </c>
      <c r="Q283" s="259" t="str">
        <f t="shared" si="327"/>
        <v>-</v>
      </c>
      <c r="R283" s="259" t="str">
        <f t="shared" si="327"/>
        <v>-</v>
      </c>
      <c r="S283" s="259">
        <f t="shared" si="328"/>
        <v>-431</v>
      </c>
      <c r="T283" s="259">
        <f t="shared" si="328"/>
        <v>-796</v>
      </c>
      <c r="U283" s="259">
        <f t="shared" si="328"/>
        <v>-1162</v>
      </c>
      <c r="V283" s="259">
        <f t="shared" si="328"/>
        <v>-1527</v>
      </c>
      <c r="W283" s="259">
        <f t="shared" si="328"/>
        <v>-1892</v>
      </c>
      <c r="X283" s="259">
        <f t="shared" si="328"/>
        <v>-2257</v>
      </c>
      <c r="Y283" s="259">
        <f t="shared" si="328"/>
        <v>-2623</v>
      </c>
      <c r="Z283" s="259">
        <f t="shared" si="328"/>
        <v>-2988</v>
      </c>
      <c r="AA283" s="267">
        <f>(VLOOKUP(A283,Hshldprojections2014!$A$2:$AW$319,40, FALSE)-VLOOKUP(A283,Hshldprojections2014!$A$2:$AW$319,30, FALSE))/10</f>
        <v>1020.2</v>
      </c>
      <c r="AB283" s="267">
        <f>(VLOOKUP(A283,Hshldprojections2014!$A$2:$AW$319,41, FALSE)-VLOOKUP(A283,Hshldprojections2014!$A$2:$AW$319,31, FALSE))/10</f>
        <v>1016.8</v>
      </c>
      <c r="AC283" s="267">
        <f>(VLOOKUP(A283,Hshldprojections2014!$A$2:$AW$319,42, FALSE)-VLOOKUP(A283,Hshldprojections2014!$A$2:$AW$319,32, FALSE))/10</f>
        <v>1015</v>
      </c>
      <c r="AD283" s="267">
        <f>IF(IndividualLATest!$J$7=2014,(VLOOKUP($A283,Hshldprojections2014!$A$2:$AY$326,43,FALSE)-VLOOKUP($A283,Hshldprojections2014!$A$2:$AY$326,33,FALSE))/10,IF(IndividualLATest!$J$7=2016,(VLOOKUP($A283,Hshldprojections2016!$A$1:$AQ$322,33,FALSE)-VLOOKUP($A283,Hshldprojections2016!$A$1:$AQ$322,23,FALSE))/10,(VLOOKUP($A283,Hshldprojections2018!$A$1:$AQ$327,33,FALSE)-VLOOKUP($A283,Hshldprojections2018!$A$1:$AQ$327,23,FALSE))/10))</f>
        <v>587.9</v>
      </c>
      <c r="AE283" s="267">
        <f>IF(IndividualLATest!$J$7=2014,(VLOOKUP($A283,Hshldprojections2014!$A$2:$AY$326,44,FALSE)-VLOOKUP($A283,Hshldprojections2014!$A$2:$AY$326,34,FALSE))/10,IF(IndividualLATest!$J$7=2016,(VLOOKUP($A283,Hshldprojections2016!$A$1:$AQ$322,34,FALSE)-VLOOKUP($A283,Hshldprojections2016!$A$1:$AQ$322,24,FALSE))/10,(VLOOKUP($A283,Hshldprojections2018!$A$1:$AQ$327,34,FALSE)-VLOOKUP($A283,Hshldprojections2018!$A$1:$AQ$327,24,FALSE))/10))</f>
        <v>583.29999999999995</v>
      </c>
      <c r="AF283" s="267">
        <f>IF(IndividualLATest!$J$7=2014,(VLOOKUP($A283,Hshldprojections2014!$A$2:$AY$326,45,FALSE)-VLOOKUP($A283,Hshldprojections2014!$A$2:$AY$326,35,FALSE))/10,IF(IndividualLATest!$J$7=2016,(VLOOKUP($A283,Hshldprojections2016!$A$1:$AQ$322,35,FALSE)-VLOOKUP($A283,Hshldprojections2016!$A$1:$AQ$322,25,FALSE))/10,(VLOOKUP($A283,Hshldprojections2018!$A$1:$AQ$327,35,FALSE)-VLOOKUP($A283,Hshldprojections2018!$A$1:$AQ$327,25,FALSE))/10))</f>
        <v>579.4</v>
      </c>
      <c r="AG283" s="267">
        <f>IF(IndividualLATest!$J$7=2014,(VLOOKUP($A283,Hshldprojections2014!$A$2:$AY$326,46,FALSE)-VLOOKUP($A283,Hshldprojections2014!$A$2:$AY$326,36,FALSE))/10,IF(IndividualLATest!$J$7=2016,(VLOOKUP($A283,Hshldprojections2016!$A$1:$AQ$322,36,FALSE)-VLOOKUP($A283,Hshldprojections2016!$A$1:$AQ$322,26,FALSE))/10,(VLOOKUP($A283,Hshldprojections2018!$A$1:$AQ$327,36,FALSE)-VLOOKUP($A283,Hshldprojections2018!$A$1:$AQ$327,26,FALSE))/10))</f>
        <v>575.29999999999995</v>
      </c>
      <c r="AH283" s="267">
        <f>IF(IndividualLATest!$J$7=2014,(VLOOKUP($A283,Hshldprojections2014!$A$2:$AY$326,47,FALSE)-VLOOKUP($A283,Hshldprojections2014!$A$2:$AY$326,37,FALSE))/10,IF(IndividualLATest!$J$7=2016,(VLOOKUP($A283,Hshldprojections2016!$A$1:$AQ$322,37,FALSE)-VLOOKUP($A283,Hshldprojections2016!$A$1:$AQ$322,27,FALSE))/10,(VLOOKUP($A283,Hshldprojections2018!$A$1:$AQ$327,37,FALSE)-VLOOKUP($A283,Hshldprojections2018!$A$1:$AQ$327,27,FALSE))/10))</f>
        <v>573.9</v>
      </c>
      <c r="AI283" s="268">
        <f>VLOOKUP($A283,AffordabilityRatio!$A$2:$I$321,5,FALSE)</f>
        <v>8.9499999999999993</v>
      </c>
      <c r="AJ283" s="268">
        <f>VLOOKUP($A283,AffordabilityRatio!$A$2:$I$321,6,FALSE)</f>
        <v>9.2799999999999994</v>
      </c>
      <c r="AK283" s="268">
        <f>VLOOKUP($A283,AffordabilityRatio!$A$2:$I$321,7,FALSE)</f>
        <v>9.43</v>
      </c>
      <c r="AL283" s="268">
        <f>IF((VLOOKUP($A283,AffordabilityRatio!$A$2:$I$321,8,FALSE))="",AK283,VLOOKUP($A283,AffordabilityRatio!$A$2:$I$321,8,FALSE))</f>
        <v>9.51</v>
      </c>
      <c r="AM283" s="268">
        <f>IF((VLOOKUP($A283,AffordabilityRatio!$A$2:$I$321,9,FALSE))="",AL283,VLOOKUP($A283,AffordabilityRatio!$A$2:$I$321,9,FALSE))</f>
        <v>10.3</v>
      </c>
      <c r="AN283" s="268">
        <f>IF((VLOOKUP($A283,AffordabilityRatio!$A$2:$I$321,9,FALSE))="",AM283,VLOOKUP($A283,AffordabilityRatio!$A$2:$I$321,9,FALSE))</f>
        <v>10.3</v>
      </c>
      <c r="AO283" s="268">
        <f>IF((VLOOKUP($A283,AffordabilityRatio!$A$2:$I$321,9,FALSE))="",AN283,VLOOKUP($A283,AffordabilityRatio!$A$2:$I$321,9,FALSE))</f>
        <v>10.3</v>
      </c>
      <c r="AP283" s="268">
        <f>IF((VLOOKUP($A283,AffordabilityRatio!$A$2:$I$321,9,FALSE))="",AO283,VLOOKUP($A283,AffordabilityRatio!$A$2:$I$321,9,FALSE))</f>
        <v>10.3</v>
      </c>
      <c r="AQ283" s="267">
        <f t="shared" si="282"/>
        <v>1336</v>
      </c>
      <c r="AR283" s="267">
        <f t="shared" si="283"/>
        <v>1352</v>
      </c>
      <c r="AS283" s="267">
        <f t="shared" si="284"/>
        <v>1359</v>
      </c>
      <c r="AT283" s="267">
        <f t="shared" si="285"/>
        <v>790</v>
      </c>
      <c r="AU283" s="267">
        <f t="shared" si="286"/>
        <v>813</v>
      </c>
      <c r="AV283" s="267">
        <f t="shared" si="287"/>
        <v>808</v>
      </c>
      <c r="AW283" s="267">
        <f t="shared" si="288"/>
        <v>802</v>
      </c>
      <c r="AX283" s="267">
        <f t="shared" si="289"/>
        <v>800</v>
      </c>
      <c r="AY283" s="267">
        <f t="shared" si="290"/>
        <v>1336</v>
      </c>
      <c r="AZ283" s="267">
        <f t="shared" si="291"/>
        <v>1352</v>
      </c>
      <c r="BA283" s="267">
        <f t="shared" si="292"/>
        <v>1359</v>
      </c>
      <c r="BB283" s="267">
        <f t="shared" si="293"/>
        <v>790</v>
      </c>
      <c r="BC283" s="267">
        <f t="shared" si="294"/>
        <v>813</v>
      </c>
      <c r="BD283" s="267">
        <f t="shared" si="295"/>
        <v>808</v>
      </c>
      <c r="BE283" s="267">
        <f t="shared" si="296"/>
        <v>802</v>
      </c>
      <c r="BF283" s="267">
        <f t="shared" si="297"/>
        <v>800</v>
      </c>
      <c r="BG283" s="269">
        <f>AY283*VLOOKUP($B283,'Major Cities &amp; Towns'!$A$28:$B$345,2,FALSE)</f>
        <v>1336</v>
      </c>
      <c r="BH283" s="269">
        <f>AZ283*VLOOKUP($B283,'Major Cities &amp; Towns'!$A$28:$B$345,2,FALSE)</f>
        <v>1352</v>
      </c>
      <c r="BI283" s="269">
        <f>BA283*VLOOKUP($B283,'Major Cities &amp; Towns'!$A$28:$B$345,2,FALSE)</f>
        <v>1359</v>
      </c>
      <c r="BJ283" s="269">
        <f>BB283*VLOOKUP($B283,'Major Cities &amp; Towns'!$A$28:$B$345,2,FALSE)</f>
        <v>790</v>
      </c>
      <c r="BK283" s="269">
        <f>BC283*VLOOKUP($B283,'Major Cities &amp; Towns'!$A$28:$B$345,2,FALSE)</f>
        <v>813</v>
      </c>
      <c r="BL283" s="269">
        <f>BD283*VLOOKUP($B283,'Major Cities &amp; Towns'!$A$28:$B$345,2,FALSE)</f>
        <v>808</v>
      </c>
      <c r="BM283" s="269">
        <f>BE283*VLOOKUP($B283,'Major Cities &amp; Towns'!$A$28:$B$345,2,FALSE)</f>
        <v>802</v>
      </c>
      <c r="BN283" s="269">
        <f>BF283*VLOOKUP($B283,'Major Cities &amp; Towns'!$A$28:$B$345,2,FALSE)</f>
        <v>800</v>
      </c>
      <c r="BO283" s="270">
        <f t="shared" si="298"/>
        <v>1336</v>
      </c>
      <c r="BP283" s="270">
        <f t="shared" si="299"/>
        <v>1352</v>
      </c>
      <c r="BQ283" s="270">
        <f t="shared" si="300"/>
        <v>1359</v>
      </c>
      <c r="BR283" s="270">
        <f t="shared" si="301"/>
        <v>790</v>
      </c>
      <c r="BS283" s="270">
        <f t="shared" si="302"/>
        <v>813</v>
      </c>
      <c r="BT283" s="270">
        <f t="shared" si="303"/>
        <v>808</v>
      </c>
      <c r="BU283" s="270">
        <f t="shared" si="304"/>
        <v>802</v>
      </c>
      <c r="BV283" s="270">
        <f t="shared" si="305"/>
        <v>800</v>
      </c>
      <c r="BW283" s="39">
        <f>VLOOKUP($A283,NetAdditions!$A$2:$H$336,6,FALSE)</f>
        <v>953</v>
      </c>
      <c r="BX283" s="39">
        <f>VLOOKUP($A283,NetAdditions!$A$2:$H$336,7,FALSE)</f>
        <v>689</v>
      </c>
      <c r="BY283" s="39">
        <f>IF((VLOOKUP($C283,NetAdditions!$A$2:$H$336,8,FALSE))="",(AVERAGE(VLOOKUP($C283,NetAdditions!$A$2:$H$336,5,FALSE),VLOOKUP($C283,NetAdditions!$A$2:$H$336,6,FALSE),VLOOKUP($C283,NetAdditions!$A$2:$H$336,7,FALSE))),VLOOKUP($C283,NetAdditions!$A$2:$H$336,8,FALSE))</f>
        <v>1081</v>
      </c>
      <c r="BZ283" s="39">
        <f t="shared" si="306"/>
        <v>907.66666666666663</v>
      </c>
      <c r="CA283" s="39">
        <f t="shared" si="307"/>
        <v>892.55555555555554</v>
      </c>
      <c r="CB283" s="39">
        <f t="shared" si="308"/>
        <v>960.40740740740739</v>
      </c>
      <c r="CC283" s="39">
        <f t="shared" si="309"/>
        <v>920.20987654320982</v>
      </c>
      <c r="CD283" s="39">
        <f t="shared" si="310"/>
        <v>924.39094650205755</v>
      </c>
      <c r="CE283" s="276">
        <f t="shared" si="267"/>
        <v>4047</v>
      </c>
      <c r="CF283" s="276">
        <f t="shared" si="268"/>
        <v>3501</v>
      </c>
      <c r="CG283" s="276">
        <f t="shared" si="269"/>
        <v>2962</v>
      </c>
      <c r="CH283" s="276">
        <f t="shared" si="270"/>
        <v>2411</v>
      </c>
      <c r="CI283" s="276">
        <f t="shared" si="271"/>
        <v>2423</v>
      </c>
      <c r="CJ283" s="276">
        <f t="shared" si="272"/>
        <v>2410</v>
      </c>
      <c r="CK283" s="276">
        <f t="shared" si="311"/>
        <v>3484.916666666667</v>
      </c>
      <c r="CL283" s="276">
        <f t="shared" si="312"/>
        <v>3014.75</v>
      </c>
      <c r="CM283" s="276">
        <f t="shared" si="313"/>
        <v>2715.1666666666665</v>
      </c>
      <c r="CN283" s="276">
        <f t="shared" si="314"/>
        <v>2411</v>
      </c>
      <c r="CO283" s="276">
        <f t="shared" si="315"/>
        <v>2423</v>
      </c>
      <c r="CP283" s="276">
        <f t="shared" si="316"/>
        <v>2410</v>
      </c>
      <c r="CQ283" s="39">
        <f t="shared" si="273"/>
        <v>2723</v>
      </c>
      <c r="CR283" s="39">
        <f t="shared" si="274"/>
        <v>2677.6666666666665</v>
      </c>
      <c r="CS283" s="277">
        <f t="shared" si="275"/>
        <v>2881.2222222222222</v>
      </c>
      <c r="CT283" s="39">
        <f t="shared" si="276"/>
        <v>2760.6296296296296</v>
      </c>
      <c r="CU283" s="39">
        <f t="shared" si="277"/>
        <v>2773.1728395061727</v>
      </c>
      <c r="CV283" s="39">
        <f t="shared" si="317"/>
        <v>2805.0082304526745</v>
      </c>
      <c r="CW283" s="297">
        <f t="shared" si="278"/>
        <v>0.78136732107415285</v>
      </c>
      <c r="CX283" s="279" t="str">
        <f t="shared" si="318"/>
        <v>Buffer and Action Plan</v>
      </c>
      <c r="CY283" s="278">
        <f t="shared" si="279"/>
        <v>0.88818862813389721</v>
      </c>
      <c r="CZ283" s="279" t="str">
        <f t="shared" si="319"/>
        <v>Action Plan</v>
      </c>
      <c r="DA283" s="278">
        <f t="shared" si="280"/>
        <v>1.0611585128803225</v>
      </c>
      <c r="DB283" s="292" t="str">
        <f t="shared" si="320"/>
        <v>Pass</v>
      </c>
      <c r="DC283" s="299">
        <f t="shared" si="321"/>
        <v>1.1450143631810989</v>
      </c>
      <c r="DD283" s="293" t="str">
        <f t="shared" si="322"/>
        <v>Pass</v>
      </c>
      <c r="DE283" s="299">
        <f t="shared" si="323"/>
        <v>1.1445203629823246</v>
      </c>
      <c r="DF283" s="293" t="str">
        <f t="shared" si="324"/>
        <v>Pass</v>
      </c>
      <c r="DG283" s="299">
        <f t="shared" si="325"/>
        <v>1.1639038300633504</v>
      </c>
      <c r="DH283" s="293" t="str">
        <f t="shared" si="326"/>
        <v>Pass</v>
      </c>
    </row>
    <row r="284" spans="1:112" ht="15" thickTop="1" thickBot="1">
      <c r="A284" s="38" t="s">
        <v>678</v>
      </c>
      <c r="B284" s="38" t="s">
        <v>679</v>
      </c>
      <c r="C284" s="38" t="s">
        <v>678</v>
      </c>
      <c r="D284" s="38" t="s">
        <v>113</v>
      </c>
      <c r="E284" s="38" t="str">
        <f>VLOOKUP(C284,PoliticalControl!A:K,11,FALSE)</f>
        <v>NOC</v>
      </c>
      <c r="F284" s="38" t="str">
        <f>VLOOKUP(C284,UrbanRuralClassification!A:N,13,FALSE)</f>
        <v>Urban with Significant Rural (rural including hub towns 26-49%)</v>
      </c>
      <c r="G284" s="38" t="str">
        <f>VLOOKUP(C284,UrbanRuralClassification!A:N,14,FALSE)</f>
        <v>Urban with Significant Rural</v>
      </c>
      <c r="H284" s="258">
        <f>IF(ISBLANK((VLOOKUP($A284,'local-plan-data'!$C$1:$AD$566,27,FALSE)))=TRUE,"",VLOOKUP($A284,'local-plan-data'!$C$1:$AD$566,27,FALSE))</f>
        <v>40346</v>
      </c>
      <c r="I284" s="259">
        <f>VLOOKUP($A284,'local-plan-data'!$C$1:$AD$566,28,FALSE)</f>
        <v>300</v>
      </c>
      <c r="J284" s="260">
        <f t="shared" si="281"/>
        <v>300</v>
      </c>
      <c r="K284" s="259" t="str">
        <f t="shared" si="327"/>
        <v>-</v>
      </c>
      <c r="L284" s="259" t="str">
        <f t="shared" si="327"/>
        <v>-</v>
      </c>
      <c r="M284" s="259" t="str">
        <f t="shared" si="327"/>
        <v>-</v>
      </c>
      <c r="N284" s="259" t="str">
        <f t="shared" si="327"/>
        <v>-</v>
      </c>
      <c r="O284" s="259" t="str">
        <f t="shared" si="327"/>
        <v>-</v>
      </c>
      <c r="P284" s="259" t="str">
        <f t="shared" si="327"/>
        <v>-</v>
      </c>
      <c r="Q284" s="259" t="str">
        <f t="shared" si="327"/>
        <v>-</v>
      </c>
      <c r="R284" s="259" t="str">
        <f t="shared" si="327"/>
        <v>-</v>
      </c>
      <c r="S284" s="259">
        <f t="shared" si="328"/>
        <v>-1019</v>
      </c>
      <c r="T284" s="259">
        <f t="shared" si="328"/>
        <v>-1384</v>
      </c>
      <c r="U284" s="259">
        <f t="shared" si="328"/>
        <v>-1750</v>
      </c>
      <c r="V284" s="259">
        <f t="shared" si="328"/>
        <v>-2115</v>
      </c>
      <c r="W284" s="259">
        <f t="shared" si="328"/>
        <v>-2480</v>
      </c>
      <c r="X284" s="259">
        <f t="shared" si="328"/>
        <v>-2845</v>
      </c>
      <c r="Y284" s="259">
        <f t="shared" si="328"/>
        <v>-3211</v>
      </c>
      <c r="Z284" s="259">
        <f t="shared" si="328"/>
        <v>-3576</v>
      </c>
      <c r="AA284" s="267">
        <f>(VLOOKUP(A284,Hshldprojections2014!$A$2:$AW$319,40, FALSE)-VLOOKUP(A284,Hshldprojections2014!$A$2:$AW$319,30, FALSE))/10</f>
        <v>491.5</v>
      </c>
      <c r="AB284" s="267">
        <f>(VLOOKUP(A284,Hshldprojections2014!$A$2:$AW$319,41, FALSE)-VLOOKUP(A284,Hshldprojections2014!$A$2:$AW$319,31, FALSE))/10</f>
        <v>487.2</v>
      </c>
      <c r="AC284" s="267">
        <f>(VLOOKUP(A284,Hshldprojections2014!$A$2:$AW$319,42, FALSE)-VLOOKUP(A284,Hshldprojections2014!$A$2:$AW$319,32, FALSE))/10</f>
        <v>484.3</v>
      </c>
      <c r="AD284" s="267">
        <f>IF(IndividualLATest!$J$7=2014,(VLOOKUP($A284,Hshldprojections2014!$A$2:$AY$326,43,FALSE)-VLOOKUP($A284,Hshldprojections2014!$A$2:$AY$326,33,FALSE))/10,IF(IndividualLATest!$J$7=2016,(VLOOKUP($A284,Hshldprojections2016!$A$1:$AQ$322,33,FALSE)-VLOOKUP($A284,Hshldprojections2016!$A$1:$AQ$322,23,FALSE))/10,(VLOOKUP($A284,Hshldprojections2018!$A$1:$AQ$327,33,FALSE)-VLOOKUP($A284,Hshldprojections2018!$A$1:$AQ$327,23,FALSE))/10))</f>
        <v>349.5</v>
      </c>
      <c r="AE284" s="267">
        <f>IF(IndividualLATest!$J$7=2014,(VLOOKUP($A284,Hshldprojections2014!$A$2:$AY$326,44,FALSE)-VLOOKUP($A284,Hshldprojections2014!$A$2:$AY$326,34,FALSE))/10,IF(IndividualLATest!$J$7=2016,(VLOOKUP($A284,Hshldprojections2016!$A$1:$AQ$322,34,FALSE)-VLOOKUP($A284,Hshldprojections2016!$A$1:$AQ$322,24,FALSE))/10,(VLOOKUP($A284,Hshldprojections2018!$A$1:$AQ$327,34,FALSE)-VLOOKUP($A284,Hshldprojections2018!$A$1:$AQ$327,24,FALSE))/10))</f>
        <v>341.1</v>
      </c>
      <c r="AF284" s="267">
        <f>IF(IndividualLATest!$J$7=2014,(VLOOKUP($A284,Hshldprojections2014!$A$2:$AY$326,45,FALSE)-VLOOKUP($A284,Hshldprojections2014!$A$2:$AY$326,35,FALSE))/10,IF(IndividualLATest!$J$7=2016,(VLOOKUP($A284,Hshldprojections2016!$A$1:$AQ$322,35,FALSE)-VLOOKUP($A284,Hshldprojections2016!$A$1:$AQ$322,25,FALSE))/10,(VLOOKUP($A284,Hshldprojections2018!$A$1:$AQ$327,35,FALSE)-VLOOKUP($A284,Hshldprojections2018!$A$1:$AQ$327,25,FALSE))/10))</f>
        <v>334.5</v>
      </c>
      <c r="AG284" s="267">
        <f>IF(IndividualLATest!$J$7=2014,(VLOOKUP($A284,Hshldprojections2014!$A$2:$AY$326,46,FALSE)-VLOOKUP($A284,Hshldprojections2014!$A$2:$AY$326,36,FALSE))/10,IF(IndividualLATest!$J$7=2016,(VLOOKUP($A284,Hshldprojections2016!$A$1:$AQ$322,36,FALSE)-VLOOKUP($A284,Hshldprojections2016!$A$1:$AQ$322,26,FALSE))/10,(VLOOKUP($A284,Hshldprojections2018!$A$1:$AQ$327,36,FALSE)-VLOOKUP($A284,Hshldprojections2018!$A$1:$AQ$327,26,FALSE))/10))</f>
        <v>327.5</v>
      </c>
      <c r="AH284" s="267">
        <f>IF(IndividualLATest!$J$7=2014,(VLOOKUP($A284,Hshldprojections2014!$A$2:$AY$326,47,FALSE)-VLOOKUP($A284,Hshldprojections2014!$A$2:$AY$326,37,FALSE))/10,IF(IndividualLATest!$J$7=2016,(VLOOKUP($A284,Hshldprojections2016!$A$1:$AQ$322,37,FALSE)-VLOOKUP($A284,Hshldprojections2016!$A$1:$AQ$322,27,FALSE))/10,(VLOOKUP($A284,Hshldprojections2018!$A$1:$AQ$327,37,FALSE)-VLOOKUP($A284,Hshldprojections2018!$A$1:$AQ$327,27,FALSE))/10))</f>
        <v>321.89999999999998</v>
      </c>
      <c r="AI284" s="268">
        <f>VLOOKUP($A284,AffordabilityRatio!$A$2:$I$321,5,FALSE)</f>
        <v>13.45</v>
      </c>
      <c r="AJ284" s="268">
        <f>VLOOKUP($A284,AffordabilityRatio!$A$2:$I$321,6,FALSE)</f>
        <v>12.71</v>
      </c>
      <c r="AK284" s="268">
        <f>VLOOKUP($A284,AffordabilityRatio!$A$2:$I$321,7,FALSE)</f>
        <v>12.49</v>
      </c>
      <c r="AL284" s="268">
        <f>IF((VLOOKUP($A284,AffordabilityRatio!$A$2:$I$321,8,FALSE))="",AK284,VLOOKUP($A284,AffordabilityRatio!$A$2:$I$321,8,FALSE))</f>
        <v>13.35</v>
      </c>
      <c r="AM284" s="268">
        <f>IF((VLOOKUP($A284,AffordabilityRatio!$A$2:$I$321,9,FALSE))="",AL284,VLOOKUP($A284,AffordabilityRatio!$A$2:$I$321,9,FALSE))</f>
        <v>15.42</v>
      </c>
      <c r="AN284" s="268">
        <f>IF((VLOOKUP($A284,AffordabilityRatio!$A$2:$I$321,9,FALSE))="",AM284,VLOOKUP($A284,AffordabilityRatio!$A$2:$I$321,9,FALSE))</f>
        <v>15.42</v>
      </c>
      <c r="AO284" s="268">
        <f>IF((VLOOKUP($A284,AffordabilityRatio!$A$2:$I$321,9,FALSE))="",AN284,VLOOKUP($A284,AffordabilityRatio!$A$2:$I$321,9,FALSE))</f>
        <v>15.42</v>
      </c>
      <c r="AP284" s="268">
        <f>IF((VLOOKUP($A284,AffordabilityRatio!$A$2:$I$321,9,FALSE))="",AO284,VLOOKUP($A284,AffordabilityRatio!$A$2:$I$321,9,FALSE))</f>
        <v>15.42</v>
      </c>
      <c r="AQ284" s="267">
        <f t="shared" si="282"/>
        <v>782</v>
      </c>
      <c r="AR284" s="267">
        <f t="shared" si="283"/>
        <v>752</v>
      </c>
      <c r="AS284" s="267">
        <f t="shared" si="284"/>
        <v>741</v>
      </c>
      <c r="AT284" s="267">
        <f t="shared" si="285"/>
        <v>554</v>
      </c>
      <c r="AU284" s="267">
        <f t="shared" si="286"/>
        <v>585</v>
      </c>
      <c r="AV284" s="267">
        <f t="shared" si="287"/>
        <v>573</v>
      </c>
      <c r="AW284" s="267">
        <f t="shared" si="288"/>
        <v>561</v>
      </c>
      <c r="AX284" s="267">
        <f t="shared" si="289"/>
        <v>552</v>
      </c>
      <c r="AY284" s="267">
        <f t="shared" si="290"/>
        <v>688.1</v>
      </c>
      <c r="AZ284" s="267">
        <f t="shared" si="291"/>
        <v>682.07999999999993</v>
      </c>
      <c r="BA284" s="267">
        <f t="shared" si="292"/>
        <v>678.02</v>
      </c>
      <c r="BB284" s="267">
        <f t="shared" si="293"/>
        <v>489.3</v>
      </c>
      <c r="BC284" s="267">
        <f t="shared" si="294"/>
        <v>477.54000000000008</v>
      </c>
      <c r="BD284" s="267">
        <f t="shared" si="295"/>
        <v>468.3</v>
      </c>
      <c r="BE284" s="267">
        <f t="shared" si="296"/>
        <v>458.5</v>
      </c>
      <c r="BF284" s="267">
        <f t="shared" si="297"/>
        <v>450.65999999999997</v>
      </c>
      <c r="BG284" s="269">
        <f>AY284*VLOOKUP($B284,'Major Cities &amp; Towns'!$A$28:$B$345,2,FALSE)</f>
        <v>688.1</v>
      </c>
      <c r="BH284" s="269">
        <f>AZ284*VLOOKUP($B284,'Major Cities &amp; Towns'!$A$28:$B$345,2,FALSE)</f>
        <v>682.07999999999993</v>
      </c>
      <c r="BI284" s="269">
        <f>BA284*VLOOKUP($B284,'Major Cities &amp; Towns'!$A$28:$B$345,2,FALSE)</f>
        <v>678.02</v>
      </c>
      <c r="BJ284" s="269">
        <f>BB284*VLOOKUP($B284,'Major Cities &amp; Towns'!$A$28:$B$345,2,FALSE)</f>
        <v>489.3</v>
      </c>
      <c r="BK284" s="269">
        <f>BC284*VLOOKUP($B284,'Major Cities &amp; Towns'!$A$28:$B$345,2,FALSE)</f>
        <v>477.54000000000008</v>
      </c>
      <c r="BL284" s="269">
        <f>BD284*VLOOKUP($B284,'Major Cities &amp; Towns'!$A$28:$B$345,2,FALSE)</f>
        <v>468.3</v>
      </c>
      <c r="BM284" s="269">
        <f>BE284*VLOOKUP($B284,'Major Cities &amp; Towns'!$A$28:$B$345,2,FALSE)</f>
        <v>458.5</v>
      </c>
      <c r="BN284" s="269">
        <f>BF284*VLOOKUP($B284,'Major Cities &amp; Towns'!$A$28:$B$345,2,FALSE)</f>
        <v>450.65999999999997</v>
      </c>
      <c r="BO284" s="270">
        <f t="shared" si="298"/>
        <v>782</v>
      </c>
      <c r="BP284" s="270">
        <f t="shared" si="299"/>
        <v>752</v>
      </c>
      <c r="BQ284" s="270">
        <f t="shared" si="300"/>
        <v>741</v>
      </c>
      <c r="BR284" s="270">
        <f t="shared" si="301"/>
        <v>554</v>
      </c>
      <c r="BS284" s="270">
        <f t="shared" si="302"/>
        <v>585</v>
      </c>
      <c r="BT284" s="270">
        <f t="shared" si="303"/>
        <v>573</v>
      </c>
      <c r="BU284" s="270">
        <f t="shared" si="304"/>
        <v>561</v>
      </c>
      <c r="BV284" s="270">
        <f t="shared" si="305"/>
        <v>552</v>
      </c>
      <c r="BW284" s="39">
        <f>VLOOKUP($A284,NetAdditions!$A$2:$H$336,6,FALSE)</f>
        <v>553</v>
      </c>
      <c r="BX284" s="39">
        <f>VLOOKUP($A284,NetAdditions!$A$2:$H$336,7,FALSE)</f>
        <v>474</v>
      </c>
      <c r="BY284" s="39">
        <f>IF((VLOOKUP($C284,NetAdditions!$A$2:$H$336,8,FALSE))="",(AVERAGE(VLOOKUP($C284,NetAdditions!$A$2:$H$336,5,FALSE),VLOOKUP($C284,NetAdditions!$A$2:$H$336,6,FALSE),VLOOKUP($C284,NetAdditions!$A$2:$H$336,7,FALSE))),VLOOKUP($C284,NetAdditions!$A$2:$H$336,8,FALSE))</f>
        <v>690</v>
      </c>
      <c r="BZ284" s="39">
        <f t="shared" si="306"/>
        <v>572.33333333333337</v>
      </c>
      <c r="CA284" s="39">
        <f t="shared" si="307"/>
        <v>578.77777777777783</v>
      </c>
      <c r="CB284" s="39">
        <f t="shared" si="308"/>
        <v>613.70370370370381</v>
      </c>
      <c r="CC284" s="39">
        <f t="shared" si="309"/>
        <v>588.27160493827171</v>
      </c>
      <c r="CD284" s="39">
        <f t="shared" si="310"/>
        <v>593.58436213991774</v>
      </c>
      <c r="CE284" s="276">
        <f t="shared" si="267"/>
        <v>2275</v>
      </c>
      <c r="CF284" s="276">
        <f t="shared" si="268"/>
        <v>2047</v>
      </c>
      <c r="CG284" s="276">
        <f t="shared" si="269"/>
        <v>1880</v>
      </c>
      <c r="CH284" s="276">
        <f t="shared" si="270"/>
        <v>1712</v>
      </c>
      <c r="CI284" s="276">
        <f t="shared" si="271"/>
        <v>1719</v>
      </c>
      <c r="CJ284" s="276">
        <f t="shared" si="272"/>
        <v>1686</v>
      </c>
      <c r="CK284" s="276">
        <f t="shared" si="311"/>
        <v>1959.0277777777778</v>
      </c>
      <c r="CL284" s="276">
        <f t="shared" si="312"/>
        <v>1762.6944444444446</v>
      </c>
      <c r="CM284" s="276">
        <f t="shared" si="313"/>
        <v>1723.3333333333333</v>
      </c>
      <c r="CN284" s="276">
        <f t="shared" si="314"/>
        <v>1712</v>
      </c>
      <c r="CO284" s="276">
        <f t="shared" si="315"/>
        <v>1719</v>
      </c>
      <c r="CP284" s="276">
        <f t="shared" si="316"/>
        <v>1686</v>
      </c>
      <c r="CQ284" s="39">
        <f t="shared" si="273"/>
        <v>1717</v>
      </c>
      <c r="CR284" s="39">
        <f t="shared" si="274"/>
        <v>1736.3333333333335</v>
      </c>
      <c r="CS284" s="277">
        <f t="shared" si="275"/>
        <v>1841.1111111111113</v>
      </c>
      <c r="CT284" s="39">
        <f t="shared" si="276"/>
        <v>1764.8148148148152</v>
      </c>
      <c r="CU284" s="39">
        <f t="shared" si="277"/>
        <v>1780.7530864197533</v>
      </c>
      <c r="CV284" s="39">
        <f t="shared" si="317"/>
        <v>1795.5596707818931</v>
      </c>
      <c r="CW284" s="297">
        <f t="shared" si="278"/>
        <v>0.87645515774548033</v>
      </c>
      <c r="CX284" s="279" t="str">
        <f t="shared" si="318"/>
        <v>Action Plan</v>
      </c>
      <c r="CY284" s="278">
        <f t="shared" si="279"/>
        <v>0.98504499109633292</v>
      </c>
      <c r="CZ284" s="279" t="str">
        <f t="shared" si="319"/>
        <v>Pass</v>
      </c>
      <c r="DA284" s="278">
        <f t="shared" si="280"/>
        <v>1.0683430045132174</v>
      </c>
      <c r="DB284" s="292" t="str">
        <f t="shared" si="320"/>
        <v>Pass</v>
      </c>
      <c r="DC284" s="299">
        <f t="shared" si="321"/>
        <v>1.0308497750086538</v>
      </c>
      <c r="DD284" s="293" t="str">
        <f t="shared" si="322"/>
        <v>Pass</v>
      </c>
      <c r="DE284" s="299">
        <f t="shared" si="323"/>
        <v>1.0359238431761217</v>
      </c>
      <c r="DF284" s="293" t="str">
        <f t="shared" si="324"/>
        <v>Pass</v>
      </c>
      <c r="DG284" s="299">
        <f t="shared" si="325"/>
        <v>1.0649820111399129</v>
      </c>
      <c r="DH284" s="293" t="str">
        <f t="shared" si="326"/>
        <v>Pass</v>
      </c>
    </row>
    <row r="285" spans="1:112" ht="15" thickTop="1" thickBot="1">
      <c r="A285" s="38" t="s">
        <v>680</v>
      </c>
      <c r="B285" s="38" t="s">
        <v>681</v>
      </c>
      <c r="C285" s="38" t="s">
        <v>680</v>
      </c>
      <c r="D285" s="38" t="s">
        <v>128</v>
      </c>
      <c r="E285" s="38" t="str">
        <f>VLOOKUP(C285,PoliticalControl!A:K,11,FALSE)</f>
        <v>IND/OTHER</v>
      </c>
      <c r="F285" s="38" t="str">
        <f>VLOOKUP(C285,UrbanRuralClassification!A:N,13,FALSE)</f>
        <v xml:space="preserve">Mainly Rural (rural including hub towns &gt;=80%) </v>
      </c>
      <c r="G285" s="38" t="str">
        <f>VLOOKUP(C285,UrbanRuralClassification!A:N,14,FALSE)</f>
        <v>Predominantly Rural</v>
      </c>
      <c r="H285" s="258" t="str">
        <f>IF(ISBLANK((VLOOKUP($A285,'local-plan-data'!$C$1:$AD$566,27,FALSE)))=TRUE,"",VLOOKUP($A285,'local-plan-data'!$C$1:$AD$566,27,FALSE))</f>
        <v/>
      </c>
      <c r="I285" s="259">
        <f>VLOOKUP($A285,'local-plan-data'!$C$1:$AD$566,28,FALSE)</f>
        <v>636.36363636363637</v>
      </c>
      <c r="J285" s="260">
        <f t="shared" si="281"/>
        <v>636.36363636363637</v>
      </c>
      <c r="K285" s="259" t="str">
        <f t="shared" si="327"/>
        <v>-</v>
      </c>
      <c r="L285" s="259" t="str">
        <f t="shared" si="327"/>
        <v>-</v>
      </c>
      <c r="M285" s="259" t="str">
        <f t="shared" si="327"/>
        <v>-</v>
      </c>
      <c r="N285" s="259" t="str">
        <f t="shared" si="327"/>
        <v>-</v>
      </c>
      <c r="O285" s="259" t="str">
        <f t="shared" si="327"/>
        <v>-</v>
      </c>
      <c r="P285" s="259" t="str">
        <f t="shared" si="327"/>
        <v>-</v>
      </c>
      <c r="Q285" s="259" t="str">
        <f t="shared" si="327"/>
        <v>-</v>
      </c>
      <c r="R285" s="259" t="str">
        <f t="shared" si="327"/>
        <v>-</v>
      </c>
      <c r="S285" s="259" t="str">
        <f t="shared" si="328"/>
        <v>-</v>
      </c>
      <c r="T285" s="259" t="str">
        <f t="shared" si="328"/>
        <v>-</v>
      </c>
      <c r="U285" s="259" t="str">
        <f t="shared" si="328"/>
        <v>-</v>
      </c>
      <c r="V285" s="259" t="str">
        <f t="shared" si="328"/>
        <v>-</v>
      </c>
      <c r="W285" s="259" t="str">
        <f t="shared" si="328"/>
        <v>-</v>
      </c>
      <c r="X285" s="259" t="str">
        <f t="shared" si="328"/>
        <v>-</v>
      </c>
      <c r="Y285" s="259" t="str">
        <f t="shared" si="328"/>
        <v>-</v>
      </c>
      <c r="Z285" s="259" t="str">
        <f t="shared" si="328"/>
        <v>-</v>
      </c>
      <c r="AA285" s="267">
        <f>(VLOOKUP(A285,Hshldprojections2014!$A$2:$AW$319,40, FALSE)-VLOOKUP(A285,Hshldprojections2014!$A$2:$AW$319,30, FALSE))/10</f>
        <v>516.5</v>
      </c>
      <c r="AB285" s="267">
        <f>(VLOOKUP(A285,Hshldprojections2014!$A$2:$AW$319,41, FALSE)-VLOOKUP(A285,Hshldprojections2014!$A$2:$AW$319,31, FALSE))/10</f>
        <v>510.6</v>
      </c>
      <c r="AC285" s="267">
        <f>(VLOOKUP(A285,Hshldprojections2014!$A$2:$AW$319,42, FALSE)-VLOOKUP(A285,Hshldprojections2014!$A$2:$AW$319,32, FALSE))/10</f>
        <v>504.3</v>
      </c>
      <c r="AD285" s="267">
        <f>IF(IndividualLATest!$J$7=2014,(VLOOKUP($A285,Hshldprojections2014!$A$2:$AY$326,43,FALSE)-VLOOKUP($A285,Hshldprojections2014!$A$2:$AY$326,33,FALSE))/10,IF(IndividualLATest!$J$7=2016,(VLOOKUP($A285,Hshldprojections2016!$A$1:$AQ$322,33,FALSE)-VLOOKUP($A285,Hshldprojections2016!$A$1:$AQ$322,23,FALSE))/10,(VLOOKUP($A285,Hshldprojections2018!$A$1:$AQ$327,33,FALSE)-VLOOKUP($A285,Hshldprojections2018!$A$1:$AQ$327,23,FALSE))/10))</f>
        <v>471.6</v>
      </c>
      <c r="AE285" s="267">
        <f>IF(IndividualLATest!$J$7=2014,(VLOOKUP($A285,Hshldprojections2014!$A$2:$AY$326,44,FALSE)-VLOOKUP($A285,Hshldprojections2014!$A$2:$AY$326,34,FALSE))/10,IF(IndividualLATest!$J$7=2016,(VLOOKUP($A285,Hshldprojections2016!$A$1:$AQ$322,34,FALSE)-VLOOKUP($A285,Hshldprojections2016!$A$1:$AQ$322,24,FALSE))/10,(VLOOKUP($A285,Hshldprojections2018!$A$1:$AQ$327,34,FALSE)-VLOOKUP($A285,Hshldprojections2018!$A$1:$AQ$327,24,FALSE))/10))</f>
        <v>457.1</v>
      </c>
      <c r="AF285" s="267">
        <f>IF(IndividualLATest!$J$7=2014,(VLOOKUP($A285,Hshldprojections2014!$A$2:$AY$326,45,FALSE)-VLOOKUP($A285,Hshldprojections2014!$A$2:$AY$326,35,FALSE))/10,IF(IndividualLATest!$J$7=2016,(VLOOKUP($A285,Hshldprojections2016!$A$1:$AQ$322,35,FALSE)-VLOOKUP($A285,Hshldprojections2016!$A$1:$AQ$322,25,FALSE))/10,(VLOOKUP($A285,Hshldprojections2018!$A$1:$AQ$327,35,FALSE)-VLOOKUP($A285,Hshldprojections2018!$A$1:$AQ$327,25,FALSE))/10))</f>
        <v>441.8</v>
      </c>
      <c r="AG285" s="267">
        <f>IF(IndividualLATest!$J$7=2014,(VLOOKUP($A285,Hshldprojections2014!$A$2:$AY$326,46,FALSE)-VLOOKUP($A285,Hshldprojections2014!$A$2:$AY$326,36,FALSE))/10,IF(IndividualLATest!$J$7=2016,(VLOOKUP($A285,Hshldprojections2016!$A$1:$AQ$322,36,FALSE)-VLOOKUP($A285,Hshldprojections2016!$A$1:$AQ$322,26,FALSE))/10,(VLOOKUP($A285,Hshldprojections2018!$A$1:$AQ$327,36,FALSE)-VLOOKUP($A285,Hshldprojections2018!$A$1:$AQ$327,26,FALSE))/10))</f>
        <v>427.5</v>
      </c>
      <c r="AH285" s="267">
        <f>IF(IndividualLATest!$J$7=2014,(VLOOKUP($A285,Hshldprojections2014!$A$2:$AY$326,47,FALSE)-VLOOKUP($A285,Hshldprojections2014!$A$2:$AY$326,37,FALSE))/10,IF(IndividualLATest!$J$7=2016,(VLOOKUP($A285,Hshldprojections2016!$A$1:$AQ$322,37,FALSE)-VLOOKUP($A285,Hshldprojections2016!$A$1:$AQ$322,27,FALSE))/10,(VLOOKUP($A285,Hshldprojections2018!$A$1:$AQ$327,37,FALSE)-VLOOKUP($A285,Hshldprojections2018!$A$1:$AQ$327,27,FALSE))/10))</f>
        <v>415.4</v>
      </c>
      <c r="AI285" s="268">
        <f>VLOOKUP($A285,AffordabilityRatio!$A$2:$I$321,5,FALSE)</f>
        <v>13.52</v>
      </c>
      <c r="AJ285" s="268">
        <f>VLOOKUP($A285,AffordabilityRatio!$A$2:$I$321,6,FALSE)</f>
        <v>13.7</v>
      </c>
      <c r="AK285" s="268">
        <f>VLOOKUP($A285,AffordabilityRatio!$A$2:$I$321,7,FALSE)</f>
        <v>13.48</v>
      </c>
      <c r="AL285" s="268">
        <f>IF((VLOOKUP($A285,AffordabilityRatio!$A$2:$I$321,8,FALSE))="",AK285,VLOOKUP($A285,AffordabilityRatio!$A$2:$I$321,8,FALSE))</f>
        <v>12.81</v>
      </c>
      <c r="AM285" s="268">
        <f>IF((VLOOKUP($A285,AffordabilityRatio!$A$2:$I$321,9,FALSE))="",AL285,VLOOKUP($A285,AffordabilityRatio!$A$2:$I$321,9,FALSE))</f>
        <v>13.4</v>
      </c>
      <c r="AN285" s="268">
        <f>IF((VLOOKUP($A285,AffordabilityRatio!$A$2:$I$321,9,FALSE))="",AM285,VLOOKUP($A285,AffordabilityRatio!$A$2:$I$321,9,FALSE))</f>
        <v>13.4</v>
      </c>
      <c r="AO285" s="268">
        <f>IF((VLOOKUP($A285,AffordabilityRatio!$A$2:$I$321,9,FALSE))="",AN285,VLOOKUP($A285,AffordabilityRatio!$A$2:$I$321,9,FALSE))</f>
        <v>13.4</v>
      </c>
      <c r="AP285" s="268">
        <f>IF((VLOOKUP($A285,AffordabilityRatio!$A$2:$I$321,9,FALSE))="",AO285,VLOOKUP($A285,AffordabilityRatio!$A$2:$I$321,9,FALSE))</f>
        <v>13.4</v>
      </c>
      <c r="AQ285" s="267">
        <f t="shared" si="282"/>
        <v>824</v>
      </c>
      <c r="AR285" s="267">
        <f t="shared" si="283"/>
        <v>820</v>
      </c>
      <c r="AS285" s="267">
        <f t="shared" si="284"/>
        <v>803</v>
      </c>
      <c r="AT285" s="267">
        <f t="shared" si="285"/>
        <v>731</v>
      </c>
      <c r="AU285" s="267">
        <f t="shared" si="286"/>
        <v>726</v>
      </c>
      <c r="AV285" s="267">
        <f t="shared" si="287"/>
        <v>701</v>
      </c>
      <c r="AW285" s="267">
        <f t="shared" si="288"/>
        <v>679</v>
      </c>
      <c r="AX285" s="267">
        <f t="shared" si="289"/>
        <v>659</v>
      </c>
      <c r="AY285" s="267">
        <f t="shared" si="290"/>
        <v>824</v>
      </c>
      <c r="AZ285" s="267">
        <f t="shared" si="291"/>
        <v>820</v>
      </c>
      <c r="BA285" s="267">
        <f t="shared" si="292"/>
        <v>803</v>
      </c>
      <c r="BB285" s="267">
        <f t="shared" si="293"/>
        <v>731</v>
      </c>
      <c r="BC285" s="267">
        <f t="shared" si="294"/>
        <v>726</v>
      </c>
      <c r="BD285" s="267">
        <f t="shared" si="295"/>
        <v>701</v>
      </c>
      <c r="BE285" s="267">
        <f t="shared" si="296"/>
        <v>679</v>
      </c>
      <c r="BF285" s="267">
        <f t="shared" si="297"/>
        <v>659</v>
      </c>
      <c r="BG285" s="269">
        <f>AY285*VLOOKUP($B285,'Major Cities &amp; Towns'!$A$28:$B$345,2,FALSE)</f>
        <v>824</v>
      </c>
      <c r="BH285" s="269">
        <f>AZ285*VLOOKUP($B285,'Major Cities &amp; Towns'!$A$28:$B$345,2,FALSE)</f>
        <v>820</v>
      </c>
      <c r="BI285" s="269">
        <f>BA285*VLOOKUP($B285,'Major Cities &amp; Towns'!$A$28:$B$345,2,FALSE)</f>
        <v>803</v>
      </c>
      <c r="BJ285" s="269">
        <f>BB285*VLOOKUP($B285,'Major Cities &amp; Towns'!$A$28:$B$345,2,FALSE)</f>
        <v>731</v>
      </c>
      <c r="BK285" s="269">
        <f>BC285*VLOOKUP($B285,'Major Cities &amp; Towns'!$A$28:$B$345,2,FALSE)</f>
        <v>726</v>
      </c>
      <c r="BL285" s="269">
        <f>BD285*VLOOKUP($B285,'Major Cities &amp; Towns'!$A$28:$B$345,2,FALSE)</f>
        <v>701</v>
      </c>
      <c r="BM285" s="269">
        <f>BE285*VLOOKUP($B285,'Major Cities &amp; Towns'!$A$28:$B$345,2,FALSE)</f>
        <v>679</v>
      </c>
      <c r="BN285" s="269">
        <f>BF285*VLOOKUP($B285,'Major Cities &amp; Towns'!$A$28:$B$345,2,FALSE)</f>
        <v>659</v>
      </c>
      <c r="BO285" s="270">
        <f t="shared" si="298"/>
        <v>824</v>
      </c>
      <c r="BP285" s="270">
        <f t="shared" si="299"/>
        <v>820</v>
      </c>
      <c r="BQ285" s="270">
        <f t="shared" si="300"/>
        <v>803</v>
      </c>
      <c r="BR285" s="270">
        <f t="shared" si="301"/>
        <v>731</v>
      </c>
      <c r="BS285" s="270">
        <f t="shared" si="302"/>
        <v>726</v>
      </c>
      <c r="BT285" s="270">
        <f t="shared" si="303"/>
        <v>701</v>
      </c>
      <c r="BU285" s="270">
        <f t="shared" si="304"/>
        <v>679</v>
      </c>
      <c r="BV285" s="270">
        <f t="shared" si="305"/>
        <v>659</v>
      </c>
      <c r="BW285" s="39">
        <f>VLOOKUP($A285,NetAdditions!$A$2:$H$336,6,FALSE)</f>
        <v>983</v>
      </c>
      <c r="BX285" s="39">
        <f>VLOOKUP($A285,NetAdditions!$A$2:$H$336,7,FALSE)</f>
        <v>485</v>
      </c>
      <c r="BY285" s="39">
        <f>IF((VLOOKUP($C285,NetAdditions!$A$2:$H$336,8,FALSE))="",(AVERAGE(VLOOKUP($C285,NetAdditions!$A$2:$H$336,5,FALSE),VLOOKUP($C285,NetAdditions!$A$2:$H$336,6,FALSE),VLOOKUP($C285,NetAdditions!$A$2:$H$336,7,FALSE))),VLOOKUP($C285,NetAdditions!$A$2:$H$336,8,FALSE))</f>
        <v>340</v>
      </c>
      <c r="BZ285" s="39">
        <f t="shared" si="306"/>
        <v>602.66666666666663</v>
      </c>
      <c r="CA285" s="39">
        <f t="shared" si="307"/>
        <v>475.88888888888886</v>
      </c>
      <c r="CB285" s="39">
        <f t="shared" si="308"/>
        <v>472.85185185185179</v>
      </c>
      <c r="CC285" s="39">
        <f t="shared" si="309"/>
        <v>517.13580246913568</v>
      </c>
      <c r="CD285" s="39">
        <f t="shared" si="310"/>
        <v>488.62551440329207</v>
      </c>
      <c r="CE285" s="276">
        <f t="shared" si="267"/>
        <v>2447</v>
      </c>
      <c r="CF285" s="276">
        <f t="shared" si="268"/>
        <v>2354</v>
      </c>
      <c r="CG285" s="276">
        <f t="shared" si="269"/>
        <v>2260</v>
      </c>
      <c r="CH285" s="276">
        <f t="shared" si="270"/>
        <v>2158</v>
      </c>
      <c r="CI285" s="276">
        <f t="shared" si="271"/>
        <v>2106</v>
      </c>
      <c r="CJ285" s="276">
        <f t="shared" si="272"/>
        <v>2039</v>
      </c>
      <c r="CK285" s="276">
        <f t="shared" si="311"/>
        <v>2107.1388888888891</v>
      </c>
      <c r="CL285" s="276">
        <f t="shared" si="312"/>
        <v>2027.0555555555557</v>
      </c>
      <c r="CM285" s="276">
        <f t="shared" si="313"/>
        <v>2071.6666666666665</v>
      </c>
      <c r="CN285" s="276">
        <f t="shared" si="314"/>
        <v>2158</v>
      </c>
      <c r="CO285" s="276">
        <f t="shared" si="315"/>
        <v>2106</v>
      </c>
      <c r="CP285" s="276">
        <f t="shared" si="316"/>
        <v>2039</v>
      </c>
      <c r="CQ285" s="39">
        <f t="shared" si="273"/>
        <v>1808</v>
      </c>
      <c r="CR285" s="39">
        <f t="shared" si="274"/>
        <v>1427.6666666666665</v>
      </c>
      <c r="CS285" s="277">
        <f t="shared" si="275"/>
        <v>1418.5555555555554</v>
      </c>
      <c r="CT285" s="39">
        <f t="shared" si="276"/>
        <v>1551.4074074074072</v>
      </c>
      <c r="CU285" s="39">
        <f t="shared" si="277"/>
        <v>1465.8765432098762</v>
      </c>
      <c r="CV285" s="39">
        <f t="shared" si="317"/>
        <v>1478.6131687242796</v>
      </c>
      <c r="CW285" s="297">
        <f t="shared" si="278"/>
        <v>0.85803551419117541</v>
      </c>
      <c r="CX285" s="279" t="str">
        <f t="shared" si="318"/>
        <v>Action Plan</v>
      </c>
      <c r="CY285" s="278">
        <f t="shared" si="279"/>
        <v>0.7043056431057636</v>
      </c>
      <c r="CZ285" s="279" t="str">
        <f t="shared" si="319"/>
        <v>Buffer and Action Plan</v>
      </c>
      <c r="DA285" s="278">
        <f t="shared" si="280"/>
        <v>0.68474121748458028</v>
      </c>
      <c r="DB285" s="292" t="str">
        <f t="shared" si="320"/>
        <v>Presumption</v>
      </c>
      <c r="DC285" s="299">
        <f t="shared" si="321"/>
        <v>0.71890982734356212</v>
      </c>
      <c r="DD285" s="293" t="str">
        <f t="shared" si="322"/>
        <v>Presumption</v>
      </c>
      <c r="DE285" s="299">
        <f t="shared" si="323"/>
        <v>0.69604774131523084</v>
      </c>
      <c r="DF285" s="293" t="str">
        <f t="shared" si="324"/>
        <v>Presumption</v>
      </c>
      <c r="DG285" s="299">
        <f t="shared" si="325"/>
        <v>0.72516585028164771</v>
      </c>
      <c r="DH285" s="293" t="str">
        <f t="shared" si="326"/>
        <v>Presumption</v>
      </c>
    </row>
    <row r="286" spans="1:112" ht="15" thickTop="1" thickBot="1">
      <c r="A286" s="38" t="s">
        <v>682</v>
      </c>
      <c r="B286" s="38" t="s">
        <v>683</v>
      </c>
      <c r="C286" s="38" t="s">
        <v>682</v>
      </c>
      <c r="D286" s="38" t="s">
        <v>113</v>
      </c>
      <c r="E286" s="38" t="str">
        <f>VLOOKUP(C286,PoliticalControl!A:K,11,FALSE)</f>
        <v>LD</v>
      </c>
      <c r="F286" s="38" t="str">
        <f>VLOOKUP(C286,UrbanRuralClassification!A:N,13,FALSE)</f>
        <v xml:space="preserve">Largely Rural (rural including hub towns 50-79%) </v>
      </c>
      <c r="G286" s="38" t="str">
        <f>VLOOKUP(C286,UrbanRuralClassification!A:N,14,FALSE)</f>
        <v>Predominantly Rural</v>
      </c>
      <c r="H286" s="258">
        <f>IF(ISBLANK((VLOOKUP($A286,'local-plan-data'!$C$1:$AD$566,27,FALSE)))=TRUE,"",VLOOKUP($A286,'local-plan-data'!$C$1:$AD$566,27,FALSE))</f>
        <v>42718</v>
      </c>
      <c r="I286" s="259">
        <f>VLOOKUP($A286,'local-plan-data'!$C$1:$AD$566,28,FALSE)</f>
        <v>1138</v>
      </c>
      <c r="J286" s="260">
        <f t="shared" si="281"/>
        <v>1138</v>
      </c>
      <c r="K286" s="259">
        <f t="shared" si="327"/>
        <v>1138</v>
      </c>
      <c r="L286" s="259">
        <f t="shared" si="327"/>
        <v>1138</v>
      </c>
      <c r="M286" s="259">
        <f t="shared" si="327"/>
        <v>1138</v>
      </c>
      <c r="N286" s="259">
        <f t="shared" si="327"/>
        <v>1138</v>
      </c>
      <c r="O286" s="259" t="str">
        <f t="shared" si="327"/>
        <v>-</v>
      </c>
      <c r="P286" s="259" t="str">
        <f t="shared" si="327"/>
        <v>-</v>
      </c>
      <c r="Q286" s="259" t="str">
        <f t="shared" si="327"/>
        <v>-</v>
      </c>
      <c r="R286" s="259" t="str">
        <f t="shared" si="327"/>
        <v>-</v>
      </c>
      <c r="S286" s="259">
        <f t="shared" si="328"/>
        <v>1353</v>
      </c>
      <c r="T286" s="259">
        <f t="shared" si="328"/>
        <v>988</v>
      </c>
      <c r="U286" s="259">
        <f t="shared" si="328"/>
        <v>622</v>
      </c>
      <c r="V286" s="259">
        <f t="shared" si="328"/>
        <v>257</v>
      </c>
      <c r="W286" s="259">
        <f t="shared" si="328"/>
        <v>-108</v>
      </c>
      <c r="X286" s="259">
        <f t="shared" si="328"/>
        <v>-473</v>
      </c>
      <c r="Y286" s="259">
        <f t="shared" si="328"/>
        <v>-839</v>
      </c>
      <c r="Z286" s="259">
        <f t="shared" si="328"/>
        <v>-1204</v>
      </c>
      <c r="AA286" s="267">
        <f>(VLOOKUP(A286,Hshldprojections2014!$A$2:$AW$319,40, FALSE)-VLOOKUP(A286,Hshldprojections2014!$A$2:$AW$319,30, FALSE))/10</f>
        <v>504.1</v>
      </c>
      <c r="AB286" s="267">
        <f>(VLOOKUP(A286,Hshldprojections2014!$A$2:$AW$319,41, FALSE)-VLOOKUP(A286,Hshldprojections2014!$A$2:$AW$319,31, FALSE))/10</f>
        <v>496.9</v>
      </c>
      <c r="AC286" s="267">
        <f>(VLOOKUP(A286,Hshldprojections2014!$A$2:$AW$319,42, FALSE)-VLOOKUP(A286,Hshldprojections2014!$A$2:$AW$319,32, FALSE))/10</f>
        <v>490.3</v>
      </c>
      <c r="AD286" s="267">
        <f>IF(IndividualLATest!$J$7=2014,(VLOOKUP($A286,Hshldprojections2014!$A$2:$AY$326,43,FALSE)-VLOOKUP($A286,Hshldprojections2014!$A$2:$AY$326,33,FALSE))/10,IF(IndividualLATest!$J$7=2016,(VLOOKUP($A286,Hshldprojections2016!$A$1:$AQ$322,33,FALSE)-VLOOKUP($A286,Hshldprojections2016!$A$1:$AQ$322,23,FALSE))/10,(VLOOKUP($A286,Hshldprojections2018!$A$1:$AQ$327,33,FALSE)-VLOOKUP($A286,Hshldprojections2018!$A$1:$AQ$327,23,FALSE))/10))</f>
        <v>722.2</v>
      </c>
      <c r="AE286" s="267">
        <f>IF(IndividualLATest!$J$7=2014,(VLOOKUP($A286,Hshldprojections2014!$A$2:$AY$326,44,FALSE)-VLOOKUP($A286,Hshldprojections2014!$A$2:$AY$326,34,FALSE))/10,IF(IndividualLATest!$J$7=2016,(VLOOKUP($A286,Hshldprojections2016!$A$1:$AQ$322,34,FALSE)-VLOOKUP($A286,Hshldprojections2016!$A$1:$AQ$322,24,FALSE))/10,(VLOOKUP($A286,Hshldprojections2018!$A$1:$AQ$327,34,FALSE)-VLOOKUP($A286,Hshldprojections2018!$A$1:$AQ$327,24,FALSE))/10))</f>
        <v>691.8</v>
      </c>
      <c r="AF286" s="267">
        <f>IF(IndividualLATest!$J$7=2014,(VLOOKUP($A286,Hshldprojections2014!$A$2:$AY$326,45,FALSE)-VLOOKUP($A286,Hshldprojections2014!$A$2:$AY$326,35,FALSE))/10,IF(IndividualLATest!$J$7=2016,(VLOOKUP($A286,Hshldprojections2016!$A$1:$AQ$322,35,FALSE)-VLOOKUP($A286,Hshldprojections2016!$A$1:$AQ$322,25,FALSE))/10,(VLOOKUP($A286,Hshldprojections2018!$A$1:$AQ$327,35,FALSE)-VLOOKUP($A286,Hshldprojections2018!$A$1:$AQ$327,25,FALSE))/10))</f>
        <v>664.8</v>
      </c>
      <c r="AG286" s="267">
        <f>IF(IndividualLATest!$J$7=2014,(VLOOKUP($A286,Hshldprojections2014!$A$2:$AY$326,46,FALSE)-VLOOKUP($A286,Hshldprojections2014!$A$2:$AY$326,36,FALSE))/10,IF(IndividualLATest!$J$7=2016,(VLOOKUP($A286,Hshldprojections2016!$A$1:$AQ$322,36,FALSE)-VLOOKUP($A286,Hshldprojections2016!$A$1:$AQ$322,26,FALSE))/10,(VLOOKUP($A286,Hshldprojections2018!$A$1:$AQ$327,36,FALSE)-VLOOKUP($A286,Hshldprojections2018!$A$1:$AQ$327,26,FALSE))/10))</f>
        <v>641.1</v>
      </c>
      <c r="AH286" s="267">
        <f>IF(IndividualLATest!$J$7=2014,(VLOOKUP($A286,Hshldprojections2014!$A$2:$AY$326,47,FALSE)-VLOOKUP($A286,Hshldprojections2014!$A$2:$AY$326,37,FALSE))/10,IF(IndividualLATest!$J$7=2016,(VLOOKUP($A286,Hshldprojections2016!$A$1:$AQ$322,37,FALSE)-VLOOKUP($A286,Hshldprojections2016!$A$1:$AQ$322,27,FALSE))/10,(VLOOKUP($A286,Hshldprojections2018!$A$1:$AQ$327,37,FALSE)-VLOOKUP($A286,Hshldprojections2018!$A$1:$AQ$327,27,FALSE))/10))</f>
        <v>620.5</v>
      </c>
      <c r="AI286" s="268">
        <f>VLOOKUP($A286,AffordabilityRatio!$A$2:$I$321,5,FALSE)</f>
        <v>8.9700000000000006</v>
      </c>
      <c r="AJ286" s="268">
        <f>VLOOKUP($A286,AffordabilityRatio!$A$2:$I$321,6,FALSE)</f>
        <v>9.8699999999999992</v>
      </c>
      <c r="AK286" s="268">
        <f>VLOOKUP($A286,AffordabilityRatio!$A$2:$I$321,7,FALSE)</f>
        <v>9.5299999999999994</v>
      </c>
      <c r="AL286" s="268">
        <f>IF((VLOOKUP($A286,AffordabilityRatio!$A$2:$I$321,8,FALSE))="",AK286,VLOOKUP($A286,AffordabilityRatio!$A$2:$I$321,8,FALSE))</f>
        <v>9.42</v>
      </c>
      <c r="AM286" s="268">
        <f>IF((VLOOKUP($A286,AffordabilityRatio!$A$2:$I$321,9,FALSE))="",AL286,VLOOKUP($A286,AffordabilityRatio!$A$2:$I$321,9,FALSE))</f>
        <v>9.9600000000000009</v>
      </c>
      <c r="AN286" s="268">
        <f>IF((VLOOKUP($A286,AffordabilityRatio!$A$2:$I$321,9,FALSE))="",AM286,VLOOKUP($A286,AffordabilityRatio!$A$2:$I$321,9,FALSE))</f>
        <v>9.9600000000000009</v>
      </c>
      <c r="AO286" s="268">
        <f>IF((VLOOKUP($A286,AffordabilityRatio!$A$2:$I$321,9,FALSE))="",AN286,VLOOKUP($A286,AffordabilityRatio!$A$2:$I$321,9,FALSE))</f>
        <v>9.9600000000000009</v>
      </c>
      <c r="AP286" s="268">
        <f>IF((VLOOKUP($A286,AffordabilityRatio!$A$2:$I$321,9,FALSE))="",AO286,VLOOKUP($A286,AffordabilityRatio!$A$2:$I$321,9,FALSE))</f>
        <v>9.9600000000000009</v>
      </c>
      <c r="AQ286" s="267">
        <f t="shared" si="282"/>
        <v>661</v>
      </c>
      <c r="AR286" s="267">
        <f t="shared" si="283"/>
        <v>679</v>
      </c>
      <c r="AS286" s="267">
        <f t="shared" si="284"/>
        <v>660</v>
      </c>
      <c r="AT286" s="267">
        <f t="shared" si="285"/>
        <v>967</v>
      </c>
      <c r="AU286" s="267">
        <f t="shared" si="286"/>
        <v>949</v>
      </c>
      <c r="AV286" s="267">
        <f t="shared" si="287"/>
        <v>912</v>
      </c>
      <c r="AW286" s="267">
        <f t="shared" si="288"/>
        <v>880</v>
      </c>
      <c r="AX286" s="267">
        <f t="shared" si="289"/>
        <v>852</v>
      </c>
      <c r="AY286" s="267">
        <f t="shared" si="290"/>
        <v>661</v>
      </c>
      <c r="AZ286" s="267">
        <f t="shared" si="291"/>
        <v>679</v>
      </c>
      <c r="BA286" s="267">
        <f t="shared" si="292"/>
        <v>660</v>
      </c>
      <c r="BB286" s="267">
        <f t="shared" si="293"/>
        <v>967</v>
      </c>
      <c r="BC286" s="267">
        <f t="shared" si="294"/>
        <v>949</v>
      </c>
      <c r="BD286" s="267">
        <f t="shared" si="295"/>
        <v>912</v>
      </c>
      <c r="BE286" s="267">
        <f t="shared" si="296"/>
        <v>880</v>
      </c>
      <c r="BF286" s="267">
        <f t="shared" si="297"/>
        <v>852</v>
      </c>
      <c r="BG286" s="269">
        <f>AY286*VLOOKUP($B286,'Major Cities &amp; Towns'!$A$28:$B$345,2,FALSE)</f>
        <v>661</v>
      </c>
      <c r="BH286" s="269">
        <f>AZ286*VLOOKUP($B286,'Major Cities &amp; Towns'!$A$28:$B$345,2,FALSE)</f>
        <v>679</v>
      </c>
      <c r="BI286" s="269">
        <f>BA286*VLOOKUP($B286,'Major Cities &amp; Towns'!$A$28:$B$345,2,FALSE)</f>
        <v>660</v>
      </c>
      <c r="BJ286" s="269">
        <f>BB286*VLOOKUP($B286,'Major Cities &amp; Towns'!$A$28:$B$345,2,FALSE)</f>
        <v>967</v>
      </c>
      <c r="BK286" s="269">
        <f>BC286*VLOOKUP($B286,'Major Cities &amp; Towns'!$A$28:$B$345,2,FALSE)</f>
        <v>949</v>
      </c>
      <c r="BL286" s="269">
        <f>BD286*VLOOKUP($B286,'Major Cities &amp; Towns'!$A$28:$B$345,2,FALSE)</f>
        <v>912</v>
      </c>
      <c r="BM286" s="269">
        <f>BE286*VLOOKUP($B286,'Major Cities &amp; Towns'!$A$28:$B$345,2,FALSE)</f>
        <v>880</v>
      </c>
      <c r="BN286" s="269">
        <f>BF286*VLOOKUP($B286,'Major Cities &amp; Towns'!$A$28:$B$345,2,FALSE)</f>
        <v>852</v>
      </c>
      <c r="BO286" s="270">
        <f t="shared" si="298"/>
        <v>661</v>
      </c>
      <c r="BP286" s="270">
        <f t="shared" si="299"/>
        <v>679</v>
      </c>
      <c r="BQ286" s="270">
        <f t="shared" si="300"/>
        <v>660</v>
      </c>
      <c r="BR286" s="270">
        <f t="shared" si="301"/>
        <v>967</v>
      </c>
      <c r="BS286" s="270">
        <f t="shared" si="302"/>
        <v>949</v>
      </c>
      <c r="BT286" s="270">
        <f t="shared" si="303"/>
        <v>912</v>
      </c>
      <c r="BU286" s="270">
        <f t="shared" si="304"/>
        <v>880</v>
      </c>
      <c r="BV286" s="270">
        <f t="shared" si="305"/>
        <v>852</v>
      </c>
      <c r="BW286" s="39">
        <f>VLOOKUP($A286,NetAdditions!$A$2:$H$336,6,FALSE)</f>
        <v>1251</v>
      </c>
      <c r="BX286" s="39">
        <f>VLOOKUP($A286,NetAdditions!$A$2:$H$336,7,FALSE)</f>
        <v>1405</v>
      </c>
      <c r="BY286" s="39">
        <f>IF((VLOOKUP($C286,NetAdditions!$A$2:$H$336,8,FALSE))="",(AVERAGE(VLOOKUP($C286,NetAdditions!$A$2:$H$336,5,FALSE),VLOOKUP($C286,NetAdditions!$A$2:$H$336,6,FALSE),VLOOKUP($C286,NetAdditions!$A$2:$H$336,7,FALSE))),VLOOKUP($C286,NetAdditions!$A$2:$H$336,8,FALSE))</f>
        <v>1024</v>
      </c>
      <c r="BZ286" s="39">
        <f t="shared" si="306"/>
        <v>1226.6666666666667</v>
      </c>
      <c r="CA286" s="39">
        <f t="shared" si="307"/>
        <v>1218.5555555555557</v>
      </c>
      <c r="CB286" s="39">
        <f t="shared" si="308"/>
        <v>1156.4074074074076</v>
      </c>
      <c r="CC286" s="39">
        <f t="shared" si="309"/>
        <v>1200.5432098765434</v>
      </c>
      <c r="CD286" s="39">
        <f t="shared" si="310"/>
        <v>1191.8353909465022</v>
      </c>
      <c r="CE286" s="276">
        <f t="shared" si="267"/>
        <v>2000</v>
      </c>
      <c r="CF286" s="276">
        <f t="shared" si="268"/>
        <v>2306</v>
      </c>
      <c r="CG286" s="276">
        <f t="shared" si="269"/>
        <v>2576</v>
      </c>
      <c r="CH286" s="276">
        <f t="shared" si="270"/>
        <v>2828</v>
      </c>
      <c r="CI286" s="276">
        <f t="shared" si="271"/>
        <v>2741</v>
      </c>
      <c r="CJ286" s="276">
        <f t="shared" si="272"/>
        <v>2644</v>
      </c>
      <c r="CK286" s="276">
        <f t="shared" si="311"/>
        <v>1722.2222222222224</v>
      </c>
      <c r="CL286" s="276">
        <f t="shared" si="312"/>
        <v>1985.7222222222224</v>
      </c>
      <c r="CM286" s="276">
        <f t="shared" si="313"/>
        <v>2361.333333333333</v>
      </c>
      <c r="CN286" s="276">
        <f t="shared" si="314"/>
        <v>2828</v>
      </c>
      <c r="CO286" s="276">
        <f t="shared" si="315"/>
        <v>2741</v>
      </c>
      <c r="CP286" s="276">
        <f t="shared" si="316"/>
        <v>2644</v>
      </c>
      <c r="CQ286" s="39">
        <f t="shared" si="273"/>
        <v>3680</v>
      </c>
      <c r="CR286" s="39">
        <f t="shared" si="274"/>
        <v>3655.666666666667</v>
      </c>
      <c r="CS286" s="277">
        <f t="shared" si="275"/>
        <v>3469.2222222222226</v>
      </c>
      <c r="CT286" s="39">
        <f t="shared" si="276"/>
        <v>3601.6296296296305</v>
      </c>
      <c r="CU286" s="39">
        <f t="shared" si="277"/>
        <v>3575.5061728395067</v>
      </c>
      <c r="CV286" s="39">
        <f t="shared" si="317"/>
        <v>3548.7860082304533</v>
      </c>
      <c r="CW286" s="297">
        <f t="shared" si="278"/>
        <v>2.136774193548387</v>
      </c>
      <c r="CX286" s="279" t="str">
        <f t="shared" si="318"/>
        <v>Pass</v>
      </c>
      <c r="CY286" s="278">
        <f t="shared" si="279"/>
        <v>1.8409758554122486</v>
      </c>
      <c r="CZ286" s="279" t="str">
        <f t="shared" si="319"/>
        <v>Pass</v>
      </c>
      <c r="DA286" s="278">
        <f t="shared" si="280"/>
        <v>1.4691793713532848</v>
      </c>
      <c r="DB286" s="292" t="str">
        <f t="shared" si="320"/>
        <v>Pass</v>
      </c>
      <c r="DC286" s="299">
        <f t="shared" si="321"/>
        <v>1.273560689402274</v>
      </c>
      <c r="DD286" s="293" t="str">
        <f t="shared" si="322"/>
        <v>Pass</v>
      </c>
      <c r="DE286" s="299">
        <f t="shared" si="323"/>
        <v>1.3044531823566241</v>
      </c>
      <c r="DF286" s="293" t="str">
        <f t="shared" si="324"/>
        <v>Pass</v>
      </c>
      <c r="DG286" s="299">
        <f t="shared" si="325"/>
        <v>1.3422034826892788</v>
      </c>
      <c r="DH286" s="293" t="str">
        <f t="shared" si="326"/>
        <v>Pass</v>
      </c>
    </row>
    <row r="287" spans="1:112" ht="15" thickTop="1" thickBot="1">
      <c r="A287" s="38" t="s">
        <v>684</v>
      </c>
      <c r="B287" s="38" t="s">
        <v>685</v>
      </c>
      <c r="C287" s="38" t="s">
        <v>684</v>
      </c>
      <c r="D287" s="38" t="s">
        <v>136</v>
      </c>
      <c r="E287" s="38" t="str">
        <f>VLOOKUP(C287,PoliticalControl!A:K,11,FALSE)</f>
        <v>LAB</v>
      </c>
      <c r="F287" s="38" t="str">
        <f>VLOOKUP(C287,UrbanRuralClassification!A:N,13,FALSE)</f>
        <v>Urban with City and Town</v>
      </c>
      <c r="G287" s="38" t="str">
        <f>VLOOKUP(C287,UrbanRuralClassification!A:N,14,FALSE)</f>
        <v>Predominantly Urban</v>
      </c>
      <c r="H287" s="258">
        <f>IF(ISBLANK((VLOOKUP($A287,'local-plan-data'!$C$1:$AD$566,27,FALSE)))=TRUE,"",VLOOKUP($A287,'local-plan-data'!$C$1:$AD$566,27,FALSE))</f>
        <v>39918</v>
      </c>
      <c r="I287" s="259">
        <f>VLOOKUP($A287,'local-plan-data'!$C$1:$AD$566,28,FALSE)</f>
        <v>1521.8181818181818</v>
      </c>
      <c r="J287" s="260">
        <f t="shared" si="281"/>
        <v>1521.8181818181818</v>
      </c>
      <c r="K287" s="259" t="str">
        <f t="shared" si="327"/>
        <v>-</v>
      </c>
      <c r="L287" s="259" t="str">
        <f t="shared" si="327"/>
        <v>-</v>
      </c>
      <c r="M287" s="259" t="str">
        <f t="shared" si="327"/>
        <v>-</v>
      </c>
      <c r="N287" s="259" t="str">
        <f t="shared" si="327"/>
        <v>-</v>
      </c>
      <c r="O287" s="259" t="str">
        <f t="shared" si="327"/>
        <v>-</v>
      </c>
      <c r="P287" s="259" t="str">
        <f t="shared" si="327"/>
        <v>-</v>
      </c>
      <c r="Q287" s="259" t="str">
        <f t="shared" si="327"/>
        <v>-</v>
      </c>
      <c r="R287" s="259" t="str">
        <f t="shared" si="327"/>
        <v>-</v>
      </c>
      <c r="S287" s="259">
        <f t="shared" si="328"/>
        <v>-1447</v>
      </c>
      <c r="T287" s="259">
        <f t="shared" si="328"/>
        <v>-1812</v>
      </c>
      <c r="U287" s="259">
        <f t="shared" si="328"/>
        <v>-2178</v>
      </c>
      <c r="V287" s="259">
        <f t="shared" si="328"/>
        <v>-2543</v>
      </c>
      <c r="W287" s="259">
        <f t="shared" si="328"/>
        <v>-2908</v>
      </c>
      <c r="X287" s="259">
        <f t="shared" si="328"/>
        <v>-3273</v>
      </c>
      <c r="Y287" s="259">
        <f t="shared" si="328"/>
        <v>-3639</v>
      </c>
      <c r="Z287" s="259">
        <f t="shared" si="328"/>
        <v>-4004</v>
      </c>
      <c r="AA287" s="267">
        <f>(VLOOKUP(A287,Hshldprojections2014!$A$2:$AW$319,40, FALSE)-VLOOKUP(A287,Hshldprojections2014!$A$2:$AW$319,30, FALSE))/10</f>
        <v>908</v>
      </c>
      <c r="AB287" s="267">
        <f>(VLOOKUP(A287,Hshldprojections2014!$A$2:$AW$319,41, FALSE)-VLOOKUP(A287,Hshldprojections2014!$A$2:$AW$319,31, FALSE))/10</f>
        <v>891.2</v>
      </c>
      <c r="AC287" s="267">
        <f>(VLOOKUP(A287,Hshldprojections2014!$A$2:$AW$319,42, FALSE)-VLOOKUP(A287,Hshldprojections2014!$A$2:$AW$319,32, FALSE))/10</f>
        <v>878.6</v>
      </c>
      <c r="AD287" s="267">
        <f>IF(IndividualLATest!$J$7=2014,(VLOOKUP($A287,Hshldprojections2014!$A$2:$AY$326,43,FALSE)-VLOOKUP($A287,Hshldprojections2014!$A$2:$AY$326,33,FALSE))/10,IF(IndividualLATest!$J$7=2016,(VLOOKUP($A287,Hshldprojections2016!$A$1:$AQ$322,33,FALSE)-VLOOKUP($A287,Hshldprojections2016!$A$1:$AQ$322,23,FALSE))/10,(VLOOKUP($A287,Hshldprojections2018!$A$1:$AQ$327,33,FALSE)-VLOOKUP($A287,Hshldprojections2018!$A$1:$AQ$327,23,FALSE))/10))</f>
        <v>1530.9</v>
      </c>
      <c r="AE287" s="267">
        <f>IF(IndividualLATest!$J$7=2014,(VLOOKUP($A287,Hshldprojections2014!$A$2:$AY$326,44,FALSE)-VLOOKUP($A287,Hshldprojections2014!$A$2:$AY$326,34,FALSE))/10,IF(IndividualLATest!$J$7=2016,(VLOOKUP($A287,Hshldprojections2016!$A$1:$AQ$322,34,FALSE)-VLOOKUP($A287,Hshldprojections2016!$A$1:$AQ$322,24,FALSE))/10,(VLOOKUP($A287,Hshldprojections2018!$A$1:$AQ$327,34,FALSE)-VLOOKUP($A287,Hshldprojections2018!$A$1:$AQ$327,24,FALSE))/10))</f>
        <v>1501.2</v>
      </c>
      <c r="AF287" s="267">
        <f>IF(IndividualLATest!$J$7=2014,(VLOOKUP($A287,Hshldprojections2014!$A$2:$AY$326,45,FALSE)-VLOOKUP($A287,Hshldprojections2014!$A$2:$AY$326,35,FALSE))/10,IF(IndividualLATest!$J$7=2016,(VLOOKUP($A287,Hshldprojections2016!$A$1:$AQ$322,35,FALSE)-VLOOKUP($A287,Hshldprojections2016!$A$1:$AQ$322,25,FALSE))/10,(VLOOKUP($A287,Hshldprojections2018!$A$1:$AQ$327,35,FALSE)-VLOOKUP($A287,Hshldprojections2018!$A$1:$AQ$327,25,FALSE))/10))</f>
        <v>1481.2</v>
      </c>
      <c r="AG287" s="267">
        <f>IF(IndividualLATest!$J$7=2014,(VLOOKUP($A287,Hshldprojections2014!$A$2:$AY$326,46,FALSE)-VLOOKUP($A287,Hshldprojections2014!$A$2:$AY$326,36,FALSE))/10,IF(IndividualLATest!$J$7=2016,(VLOOKUP($A287,Hshldprojections2016!$A$1:$AQ$322,36,FALSE)-VLOOKUP($A287,Hshldprojections2016!$A$1:$AQ$322,26,FALSE))/10,(VLOOKUP($A287,Hshldprojections2018!$A$1:$AQ$327,36,FALSE)-VLOOKUP($A287,Hshldprojections2018!$A$1:$AQ$327,26,FALSE))/10))</f>
        <v>1463.2</v>
      </c>
      <c r="AH287" s="267">
        <f>IF(IndividualLATest!$J$7=2014,(VLOOKUP($A287,Hshldprojections2014!$A$2:$AY$326,47,FALSE)-VLOOKUP($A287,Hshldprojections2014!$A$2:$AY$326,37,FALSE))/10,IF(IndividualLATest!$J$7=2016,(VLOOKUP($A287,Hshldprojections2016!$A$1:$AQ$322,37,FALSE)-VLOOKUP($A287,Hshldprojections2016!$A$1:$AQ$322,27,FALSE))/10,(VLOOKUP($A287,Hshldprojections2018!$A$1:$AQ$327,37,FALSE)-VLOOKUP($A287,Hshldprojections2018!$A$1:$AQ$327,27,FALSE))/10))</f>
        <v>1448.1</v>
      </c>
      <c r="AI287" s="268">
        <f>VLOOKUP($A287,AffordabilityRatio!$A$2:$I$321,5,FALSE)</f>
        <v>5.79</v>
      </c>
      <c r="AJ287" s="268">
        <f>VLOOKUP($A287,AffordabilityRatio!$A$2:$I$321,6,FALSE)</f>
        <v>5.61</v>
      </c>
      <c r="AK287" s="268">
        <f>VLOOKUP($A287,AffordabilityRatio!$A$2:$I$321,7,FALSE)</f>
        <v>5.63</v>
      </c>
      <c r="AL287" s="268">
        <f>IF((VLOOKUP($A287,AffordabilityRatio!$A$2:$I$321,8,FALSE))="",AK287,VLOOKUP($A287,AffordabilityRatio!$A$2:$I$321,8,FALSE))</f>
        <v>5.67</v>
      </c>
      <c r="AM287" s="268">
        <f>IF((VLOOKUP($A287,AffordabilityRatio!$A$2:$I$321,9,FALSE))="",AL287,VLOOKUP($A287,AffordabilityRatio!$A$2:$I$321,9,FALSE))</f>
        <v>5.93</v>
      </c>
      <c r="AN287" s="268">
        <f>IF((VLOOKUP($A287,AffordabilityRatio!$A$2:$I$321,9,FALSE))="",AM287,VLOOKUP($A287,AffordabilityRatio!$A$2:$I$321,9,FALSE))</f>
        <v>5.93</v>
      </c>
      <c r="AO287" s="268">
        <f>IF((VLOOKUP($A287,AffordabilityRatio!$A$2:$I$321,9,FALSE))="",AN287,VLOOKUP($A287,AffordabilityRatio!$A$2:$I$321,9,FALSE))</f>
        <v>5.93</v>
      </c>
      <c r="AP287" s="268">
        <f>IF((VLOOKUP($A287,AffordabilityRatio!$A$2:$I$321,9,FALSE))="",AO287,VLOOKUP($A287,AffordabilityRatio!$A$2:$I$321,9,FALSE))</f>
        <v>5.93</v>
      </c>
      <c r="AQ287" s="267">
        <f t="shared" si="282"/>
        <v>1010</v>
      </c>
      <c r="AR287" s="267">
        <f t="shared" si="283"/>
        <v>981</v>
      </c>
      <c r="AS287" s="267">
        <f t="shared" si="284"/>
        <v>968</v>
      </c>
      <c r="AT287" s="267">
        <f t="shared" si="285"/>
        <v>1691</v>
      </c>
      <c r="AU287" s="267">
        <f t="shared" si="286"/>
        <v>1682</v>
      </c>
      <c r="AV287" s="267">
        <f t="shared" si="287"/>
        <v>1660</v>
      </c>
      <c r="AW287" s="267">
        <f t="shared" si="288"/>
        <v>1640</v>
      </c>
      <c r="AX287" s="267">
        <f t="shared" si="289"/>
        <v>1623</v>
      </c>
      <c r="AY287" s="267">
        <f t="shared" si="290"/>
        <v>1010</v>
      </c>
      <c r="AZ287" s="267">
        <f t="shared" si="291"/>
        <v>981</v>
      </c>
      <c r="BA287" s="267">
        <f t="shared" si="292"/>
        <v>968</v>
      </c>
      <c r="BB287" s="267">
        <f t="shared" si="293"/>
        <v>1691</v>
      </c>
      <c r="BC287" s="267">
        <f t="shared" si="294"/>
        <v>1682</v>
      </c>
      <c r="BD287" s="267">
        <f t="shared" si="295"/>
        <v>1660</v>
      </c>
      <c r="BE287" s="267">
        <f t="shared" si="296"/>
        <v>1640</v>
      </c>
      <c r="BF287" s="267">
        <f t="shared" si="297"/>
        <v>1623</v>
      </c>
      <c r="BG287" s="269">
        <f>AY287*VLOOKUP($B287,'Major Cities &amp; Towns'!$A$28:$B$345,2,FALSE)</f>
        <v>1010</v>
      </c>
      <c r="BH287" s="269">
        <f>AZ287*VLOOKUP($B287,'Major Cities &amp; Towns'!$A$28:$B$345,2,FALSE)</f>
        <v>981</v>
      </c>
      <c r="BI287" s="269">
        <f>BA287*VLOOKUP($B287,'Major Cities &amp; Towns'!$A$28:$B$345,2,FALSE)</f>
        <v>968</v>
      </c>
      <c r="BJ287" s="269">
        <f>BB287*VLOOKUP($B287,'Major Cities &amp; Towns'!$A$28:$B$345,2,FALSE)</f>
        <v>1691</v>
      </c>
      <c r="BK287" s="269">
        <f>BC287*VLOOKUP($B287,'Major Cities &amp; Towns'!$A$28:$B$345,2,FALSE)</f>
        <v>1682</v>
      </c>
      <c r="BL287" s="269">
        <f>BD287*VLOOKUP($B287,'Major Cities &amp; Towns'!$A$28:$B$345,2,FALSE)</f>
        <v>1660</v>
      </c>
      <c r="BM287" s="269">
        <f>BE287*VLOOKUP($B287,'Major Cities &amp; Towns'!$A$28:$B$345,2,FALSE)</f>
        <v>1640</v>
      </c>
      <c r="BN287" s="269">
        <f>BF287*VLOOKUP($B287,'Major Cities &amp; Towns'!$A$28:$B$345,2,FALSE)</f>
        <v>1623</v>
      </c>
      <c r="BO287" s="270">
        <f t="shared" si="298"/>
        <v>1010</v>
      </c>
      <c r="BP287" s="270">
        <f t="shared" si="299"/>
        <v>981</v>
      </c>
      <c r="BQ287" s="270">
        <f t="shared" si="300"/>
        <v>968</v>
      </c>
      <c r="BR287" s="270">
        <f t="shared" si="301"/>
        <v>1691</v>
      </c>
      <c r="BS287" s="270">
        <f t="shared" si="302"/>
        <v>1682</v>
      </c>
      <c r="BT287" s="270">
        <f t="shared" si="303"/>
        <v>1660</v>
      </c>
      <c r="BU287" s="270">
        <f t="shared" si="304"/>
        <v>1640</v>
      </c>
      <c r="BV287" s="270">
        <f t="shared" si="305"/>
        <v>1623</v>
      </c>
      <c r="BW287" s="39">
        <f>VLOOKUP($A287,NetAdditions!$A$2:$H$336,6,FALSE)</f>
        <v>2114</v>
      </c>
      <c r="BX287" s="39">
        <f>VLOOKUP($A287,NetAdditions!$A$2:$H$336,7,FALSE)</f>
        <v>1758</v>
      </c>
      <c r="BY287" s="39">
        <f>IF((VLOOKUP($C287,NetAdditions!$A$2:$H$336,8,FALSE))="",(AVERAGE(VLOOKUP($C287,NetAdditions!$A$2:$H$336,5,FALSE),VLOOKUP($C287,NetAdditions!$A$2:$H$336,6,FALSE),VLOOKUP($C287,NetAdditions!$A$2:$H$336,7,FALSE))),VLOOKUP($C287,NetAdditions!$A$2:$H$336,8,FALSE))</f>
        <v>1227</v>
      </c>
      <c r="BZ287" s="39">
        <f t="shared" si="306"/>
        <v>1699.6666666666667</v>
      </c>
      <c r="CA287" s="39">
        <f t="shared" si="307"/>
        <v>1561.5555555555557</v>
      </c>
      <c r="CB287" s="39">
        <f t="shared" si="308"/>
        <v>1496.0740740740741</v>
      </c>
      <c r="CC287" s="39">
        <f t="shared" si="309"/>
        <v>1585.7654320987656</v>
      </c>
      <c r="CD287" s="39">
        <f t="shared" si="310"/>
        <v>1547.798353909465</v>
      </c>
      <c r="CE287" s="276">
        <f t="shared" si="267"/>
        <v>2959</v>
      </c>
      <c r="CF287" s="276">
        <f t="shared" si="268"/>
        <v>3640</v>
      </c>
      <c r="CG287" s="276">
        <f t="shared" si="269"/>
        <v>4341</v>
      </c>
      <c r="CH287" s="276">
        <f t="shared" si="270"/>
        <v>5033</v>
      </c>
      <c r="CI287" s="276">
        <f t="shared" si="271"/>
        <v>4982</v>
      </c>
      <c r="CJ287" s="276">
        <f t="shared" si="272"/>
        <v>4923</v>
      </c>
      <c r="CK287" s="276">
        <f t="shared" si="311"/>
        <v>2548.0277777777778</v>
      </c>
      <c r="CL287" s="276">
        <f t="shared" si="312"/>
        <v>3134.4444444444448</v>
      </c>
      <c r="CM287" s="276">
        <f t="shared" si="313"/>
        <v>3979.25</v>
      </c>
      <c r="CN287" s="276">
        <f t="shared" si="314"/>
        <v>5033</v>
      </c>
      <c r="CO287" s="276">
        <f t="shared" si="315"/>
        <v>4982</v>
      </c>
      <c r="CP287" s="276">
        <f t="shared" si="316"/>
        <v>4923</v>
      </c>
      <c r="CQ287" s="39">
        <f t="shared" si="273"/>
        <v>5099</v>
      </c>
      <c r="CR287" s="39">
        <f t="shared" si="274"/>
        <v>4684.666666666667</v>
      </c>
      <c r="CS287" s="277">
        <f t="shared" si="275"/>
        <v>4488.2222222222226</v>
      </c>
      <c r="CT287" s="39">
        <f t="shared" si="276"/>
        <v>4757.2962962962965</v>
      </c>
      <c r="CU287" s="39">
        <f t="shared" si="277"/>
        <v>4643.3950617283954</v>
      </c>
      <c r="CV287" s="39">
        <f t="shared" si="317"/>
        <v>4629.6378600823045</v>
      </c>
      <c r="CW287" s="297">
        <f t="shared" si="278"/>
        <v>2.0011555778434302</v>
      </c>
      <c r="CX287" s="279" t="str">
        <f t="shared" si="318"/>
        <v>Pass</v>
      </c>
      <c r="CY287" s="278">
        <f t="shared" si="279"/>
        <v>1.4945763913505847</v>
      </c>
      <c r="CZ287" s="279" t="str">
        <f t="shared" si="319"/>
        <v>Pass</v>
      </c>
      <c r="DA287" s="278">
        <f t="shared" si="280"/>
        <v>1.1279065708920581</v>
      </c>
      <c r="DB287" s="292" t="str">
        <f t="shared" si="320"/>
        <v>Pass</v>
      </c>
      <c r="DC287" s="299">
        <f t="shared" si="321"/>
        <v>0.94522080196628189</v>
      </c>
      <c r="DD287" s="293" t="str">
        <f t="shared" si="322"/>
        <v>Action Plan</v>
      </c>
      <c r="DE287" s="299">
        <f t="shared" si="323"/>
        <v>0.93203433595511753</v>
      </c>
      <c r="DF287" s="293" t="str">
        <f t="shared" si="324"/>
        <v>Action Plan</v>
      </c>
      <c r="DG287" s="299">
        <f t="shared" si="325"/>
        <v>0.94040988423365923</v>
      </c>
      <c r="DH287" s="293" t="str">
        <f t="shared" si="326"/>
        <v>Action Plan</v>
      </c>
    </row>
    <row r="288" spans="1:112" ht="15" thickTop="1" thickBot="1">
      <c r="A288" s="38" t="s">
        <v>686</v>
      </c>
      <c r="B288" s="38" t="s">
        <v>687</v>
      </c>
      <c r="C288" s="38" t="s">
        <v>686</v>
      </c>
      <c r="D288" s="38" t="s">
        <v>154</v>
      </c>
      <c r="E288" s="38" t="str">
        <f>VLOOKUP(C288,PoliticalControl!A:K,11,FALSE)</f>
        <v>CON</v>
      </c>
      <c r="F288" s="38" t="str">
        <f>VLOOKUP(C288,UrbanRuralClassification!A:N,13,FALSE)</f>
        <v>Urban with Major Conurbation</v>
      </c>
      <c r="G288" s="38" t="str">
        <f>VLOOKUP(C288,UrbanRuralClassification!A:N,14,FALSE)</f>
        <v>Predominantly Urban</v>
      </c>
      <c r="H288" s="258">
        <f>IF(ISBLANK((VLOOKUP($A288,'local-plan-data'!$C$1:$AD$566,27,FALSE)))=TRUE,"",VLOOKUP($A288,'local-plan-data'!$C$1:$AD$566,27,FALSE))</f>
        <v>40577</v>
      </c>
      <c r="I288" s="259">
        <f>VLOOKUP($A288,'local-plan-data'!$C$1:$AD$566,28,FALSE)</f>
        <v>598.65</v>
      </c>
      <c r="J288" s="260">
        <f t="shared" si="281"/>
        <v>598.65</v>
      </c>
      <c r="K288" s="259" t="str">
        <f t="shared" si="327"/>
        <v>-</v>
      </c>
      <c r="L288" s="259" t="str">
        <f t="shared" si="327"/>
        <v>-</v>
      </c>
      <c r="M288" s="259" t="str">
        <f t="shared" si="327"/>
        <v>-</v>
      </c>
      <c r="N288" s="259" t="str">
        <f t="shared" si="327"/>
        <v>-</v>
      </c>
      <c r="O288" s="259" t="str">
        <f t="shared" si="327"/>
        <v>-</v>
      </c>
      <c r="P288" s="259" t="str">
        <f t="shared" si="327"/>
        <v>-</v>
      </c>
      <c r="Q288" s="259" t="str">
        <f t="shared" si="327"/>
        <v>-</v>
      </c>
      <c r="R288" s="259" t="str">
        <f t="shared" si="327"/>
        <v>-</v>
      </c>
      <c r="S288" s="259">
        <f t="shared" si="328"/>
        <v>-788</v>
      </c>
      <c r="T288" s="259">
        <f t="shared" si="328"/>
        <v>-1153</v>
      </c>
      <c r="U288" s="259">
        <f t="shared" si="328"/>
        <v>-1519</v>
      </c>
      <c r="V288" s="259">
        <f t="shared" si="328"/>
        <v>-1884</v>
      </c>
      <c r="W288" s="259">
        <f t="shared" si="328"/>
        <v>-2249</v>
      </c>
      <c r="X288" s="259">
        <f t="shared" si="328"/>
        <v>-2614</v>
      </c>
      <c r="Y288" s="259">
        <f t="shared" si="328"/>
        <v>-2980</v>
      </c>
      <c r="Z288" s="259">
        <f t="shared" si="328"/>
        <v>-3345</v>
      </c>
      <c r="AA288" s="267">
        <f>(VLOOKUP(A288,Hshldprojections2014!$A$2:$AW$319,40, FALSE)-VLOOKUP(A288,Hshldprojections2014!$A$2:$AW$319,30, FALSE))/10</f>
        <v>799.3</v>
      </c>
      <c r="AB288" s="267">
        <f>(VLOOKUP(A288,Hshldprojections2014!$A$2:$AW$319,41, FALSE)-VLOOKUP(A288,Hshldprojections2014!$A$2:$AW$319,31, FALSE))/10</f>
        <v>797.7</v>
      </c>
      <c r="AC288" s="267">
        <f>(VLOOKUP(A288,Hshldprojections2014!$A$2:$AW$319,42, FALSE)-VLOOKUP(A288,Hshldprojections2014!$A$2:$AW$319,32, FALSE))/10</f>
        <v>795.5</v>
      </c>
      <c r="AD288" s="267">
        <f>IF(IndividualLATest!$J$7=2014,(VLOOKUP($A288,Hshldprojections2014!$A$2:$AY$326,43,FALSE)-VLOOKUP($A288,Hshldprojections2014!$A$2:$AY$326,33,FALSE))/10,IF(IndividualLATest!$J$7=2016,(VLOOKUP($A288,Hshldprojections2016!$A$1:$AQ$322,33,FALSE)-VLOOKUP($A288,Hshldprojections2016!$A$1:$AQ$322,23,FALSE))/10,(VLOOKUP($A288,Hshldprojections2018!$A$1:$AQ$327,33,FALSE)-VLOOKUP($A288,Hshldprojections2018!$A$1:$AQ$327,23,FALSE))/10))</f>
        <v>765.3</v>
      </c>
      <c r="AE288" s="267">
        <f>IF(IndividualLATest!$J$7=2014,(VLOOKUP($A288,Hshldprojections2014!$A$2:$AY$326,44,FALSE)-VLOOKUP($A288,Hshldprojections2014!$A$2:$AY$326,34,FALSE))/10,IF(IndividualLATest!$J$7=2016,(VLOOKUP($A288,Hshldprojections2016!$A$1:$AQ$322,34,FALSE)-VLOOKUP($A288,Hshldprojections2016!$A$1:$AQ$322,24,FALSE))/10,(VLOOKUP($A288,Hshldprojections2018!$A$1:$AQ$327,34,FALSE)-VLOOKUP($A288,Hshldprojections2018!$A$1:$AQ$327,24,FALSE))/10))</f>
        <v>773.4</v>
      </c>
      <c r="AF288" s="267">
        <f>IF(IndividualLATest!$J$7=2014,(VLOOKUP($A288,Hshldprojections2014!$A$2:$AY$326,45,FALSE)-VLOOKUP($A288,Hshldprojections2014!$A$2:$AY$326,35,FALSE))/10,IF(IndividualLATest!$J$7=2016,(VLOOKUP($A288,Hshldprojections2016!$A$1:$AQ$322,35,FALSE)-VLOOKUP($A288,Hshldprojections2016!$A$1:$AQ$322,25,FALSE))/10,(VLOOKUP($A288,Hshldprojections2018!$A$1:$AQ$327,35,FALSE)-VLOOKUP($A288,Hshldprojections2018!$A$1:$AQ$327,25,FALSE))/10))</f>
        <v>783.2</v>
      </c>
      <c r="AG288" s="267">
        <f>IF(IndividualLATest!$J$7=2014,(VLOOKUP($A288,Hshldprojections2014!$A$2:$AY$326,46,FALSE)-VLOOKUP($A288,Hshldprojections2014!$A$2:$AY$326,36,FALSE))/10,IF(IndividualLATest!$J$7=2016,(VLOOKUP($A288,Hshldprojections2016!$A$1:$AQ$322,36,FALSE)-VLOOKUP($A288,Hshldprojections2016!$A$1:$AQ$322,26,FALSE))/10,(VLOOKUP($A288,Hshldprojections2018!$A$1:$AQ$327,36,FALSE)-VLOOKUP($A288,Hshldprojections2018!$A$1:$AQ$327,26,FALSE))/10))</f>
        <v>792.2</v>
      </c>
      <c r="AH288" s="267">
        <f>IF(IndividualLATest!$J$7=2014,(VLOOKUP($A288,Hshldprojections2014!$A$2:$AY$326,47,FALSE)-VLOOKUP($A288,Hshldprojections2014!$A$2:$AY$326,37,FALSE))/10,IF(IndividualLATest!$J$7=2016,(VLOOKUP($A288,Hshldprojections2016!$A$1:$AQ$322,37,FALSE)-VLOOKUP($A288,Hshldprojections2016!$A$1:$AQ$322,27,FALSE))/10,(VLOOKUP($A288,Hshldprojections2018!$A$1:$AQ$327,37,FALSE)-VLOOKUP($A288,Hshldprojections2018!$A$1:$AQ$327,27,FALSE))/10))</f>
        <v>801.3</v>
      </c>
      <c r="AI288" s="268">
        <f>VLOOKUP($A288,AffordabilityRatio!$A$2:$I$321,5,FALSE)</f>
        <v>5.99</v>
      </c>
      <c r="AJ288" s="268">
        <f>VLOOKUP($A288,AffordabilityRatio!$A$2:$I$321,6,FALSE)</f>
        <v>6.2</v>
      </c>
      <c r="AK288" s="268">
        <f>VLOOKUP($A288,AffordabilityRatio!$A$2:$I$321,7,FALSE)</f>
        <v>5.71</v>
      </c>
      <c r="AL288" s="268">
        <f>IF((VLOOKUP($A288,AffordabilityRatio!$A$2:$I$321,8,FALSE))="",AK288,VLOOKUP($A288,AffordabilityRatio!$A$2:$I$321,8,FALSE))</f>
        <v>5.53</v>
      </c>
      <c r="AM288" s="268">
        <f>IF((VLOOKUP($A288,AffordabilityRatio!$A$2:$I$321,9,FALSE))="",AL288,VLOOKUP($A288,AffordabilityRatio!$A$2:$I$321,9,FALSE))</f>
        <v>6.35</v>
      </c>
      <c r="AN288" s="268">
        <f>IF((VLOOKUP($A288,AffordabilityRatio!$A$2:$I$321,9,FALSE))="",AM288,VLOOKUP($A288,AffordabilityRatio!$A$2:$I$321,9,FALSE))</f>
        <v>6.35</v>
      </c>
      <c r="AO288" s="268">
        <f>IF((VLOOKUP($A288,AffordabilityRatio!$A$2:$I$321,9,FALSE))="",AN288,VLOOKUP($A288,AffordabilityRatio!$A$2:$I$321,9,FALSE))</f>
        <v>6.35</v>
      </c>
      <c r="AP288" s="268">
        <f>IF((VLOOKUP($A288,AffordabilityRatio!$A$2:$I$321,9,FALSE))="",AO288,VLOOKUP($A288,AffordabilityRatio!$A$2:$I$321,9,FALSE))</f>
        <v>6.35</v>
      </c>
      <c r="AQ288" s="267">
        <f t="shared" si="282"/>
        <v>899</v>
      </c>
      <c r="AR288" s="267">
        <f t="shared" si="283"/>
        <v>907</v>
      </c>
      <c r="AS288" s="267">
        <f t="shared" si="284"/>
        <v>881</v>
      </c>
      <c r="AT288" s="267">
        <f t="shared" si="285"/>
        <v>838</v>
      </c>
      <c r="AU288" s="267">
        <f t="shared" si="286"/>
        <v>887</v>
      </c>
      <c r="AV288" s="267">
        <f t="shared" si="287"/>
        <v>898</v>
      </c>
      <c r="AW288" s="267">
        <f t="shared" si="288"/>
        <v>909</v>
      </c>
      <c r="AX288" s="267">
        <f t="shared" si="289"/>
        <v>919</v>
      </c>
      <c r="AY288" s="267">
        <f t="shared" si="290"/>
        <v>899</v>
      </c>
      <c r="AZ288" s="267">
        <f t="shared" si="291"/>
        <v>907</v>
      </c>
      <c r="BA288" s="267">
        <f t="shared" si="292"/>
        <v>881</v>
      </c>
      <c r="BB288" s="267">
        <f t="shared" si="293"/>
        <v>838</v>
      </c>
      <c r="BC288" s="267">
        <f t="shared" si="294"/>
        <v>887</v>
      </c>
      <c r="BD288" s="267">
        <f t="shared" si="295"/>
        <v>898</v>
      </c>
      <c r="BE288" s="267">
        <f t="shared" si="296"/>
        <v>909</v>
      </c>
      <c r="BF288" s="267">
        <f t="shared" si="297"/>
        <v>919</v>
      </c>
      <c r="BG288" s="269">
        <f>AY288*VLOOKUP($B288,'Major Cities &amp; Towns'!$A$28:$B$345,2,FALSE)</f>
        <v>899</v>
      </c>
      <c r="BH288" s="269">
        <f>AZ288*VLOOKUP($B288,'Major Cities &amp; Towns'!$A$28:$B$345,2,FALSE)</f>
        <v>907</v>
      </c>
      <c r="BI288" s="269">
        <f>BA288*VLOOKUP($B288,'Major Cities &amp; Towns'!$A$28:$B$345,2,FALSE)</f>
        <v>881</v>
      </c>
      <c r="BJ288" s="269">
        <f>BB288*VLOOKUP($B288,'Major Cities &amp; Towns'!$A$28:$B$345,2,FALSE)</f>
        <v>838</v>
      </c>
      <c r="BK288" s="269">
        <f>BC288*VLOOKUP($B288,'Major Cities &amp; Towns'!$A$28:$B$345,2,FALSE)</f>
        <v>887</v>
      </c>
      <c r="BL288" s="269">
        <f>BD288*VLOOKUP($B288,'Major Cities &amp; Towns'!$A$28:$B$345,2,FALSE)</f>
        <v>898</v>
      </c>
      <c r="BM288" s="269">
        <f>BE288*VLOOKUP($B288,'Major Cities &amp; Towns'!$A$28:$B$345,2,FALSE)</f>
        <v>909</v>
      </c>
      <c r="BN288" s="269">
        <f>BF288*VLOOKUP($B288,'Major Cities &amp; Towns'!$A$28:$B$345,2,FALSE)</f>
        <v>919</v>
      </c>
      <c r="BO288" s="270">
        <f t="shared" si="298"/>
        <v>899</v>
      </c>
      <c r="BP288" s="270">
        <f t="shared" si="299"/>
        <v>907</v>
      </c>
      <c r="BQ288" s="270">
        <f t="shared" si="300"/>
        <v>881</v>
      </c>
      <c r="BR288" s="270">
        <f t="shared" si="301"/>
        <v>838</v>
      </c>
      <c r="BS288" s="270">
        <f t="shared" si="302"/>
        <v>887</v>
      </c>
      <c r="BT288" s="270">
        <f t="shared" si="303"/>
        <v>898</v>
      </c>
      <c r="BU288" s="270">
        <f t="shared" si="304"/>
        <v>909</v>
      </c>
      <c r="BV288" s="270">
        <f t="shared" si="305"/>
        <v>919</v>
      </c>
      <c r="BW288" s="39">
        <f>VLOOKUP($A288,NetAdditions!$A$2:$H$336,6,FALSE)</f>
        <v>770</v>
      </c>
      <c r="BX288" s="39">
        <f>VLOOKUP($A288,NetAdditions!$A$2:$H$336,7,FALSE)</f>
        <v>615</v>
      </c>
      <c r="BY288" s="39">
        <f>IF((VLOOKUP($C288,NetAdditions!$A$2:$H$336,8,FALSE))="",(AVERAGE(VLOOKUP($C288,NetAdditions!$A$2:$H$336,5,FALSE),VLOOKUP($C288,NetAdditions!$A$2:$H$336,6,FALSE),VLOOKUP($C288,NetAdditions!$A$2:$H$336,7,FALSE))),VLOOKUP($C288,NetAdditions!$A$2:$H$336,8,FALSE))</f>
        <v>145</v>
      </c>
      <c r="BZ288" s="39">
        <f t="shared" si="306"/>
        <v>510</v>
      </c>
      <c r="CA288" s="39">
        <f t="shared" si="307"/>
        <v>423.33333333333331</v>
      </c>
      <c r="CB288" s="39">
        <f t="shared" si="308"/>
        <v>359.4444444444444</v>
      </c>
      <c r="CC288" s="39">
        <f t="shared" si="309"/>
        <v>430.92592592592587</v>
      </c>
      <c r="CD288" s="39">
        <f t="shared" si="310"/>
        <v>404.56790123456784</v>
      </c>
      <c r="CE288" s="276">
        <f t="shared" si="267"/>
        <v>2687</v>
      </c>
      <c r="CF288" s="276">
        <f t="shared" si="268"/>
        <v>2626</v>
      </c>
      <c r="CG288" s="276">
        <f t="shared" si="269"/>
        <v>2606</v>
      </c>
      <c r="CH288" s="276">
        <f t="shared" si="270"/>
        <v>2623</v>
      </c>
      <c r="CI288" s="276">
        <f t="shared" si="271"/>
        <v>2694</v>
      </c>
      <c r="CJ288" s="276">
        <f t="shared" si="272"/>
        <v>2726</v>
      </c>
      <c r="CK288" s="276">
        <f t="shared" si="311"/>
        <v>2313.8055555555557</v>
      </c>
      <c r="CL288" s="276">
        <f t="shared" si="312"/>
        <v>2261.2777777777778</v>
      </c>
      <c r="CM288" s="276">
        <f t="shared" si="313"/>
        <v>2388.833333333333</v>
      </c>
      <c r="CN288" s="276">
        <f t="shared" si="314"/>
        <v>2623</v>
      </c>
      <c r="CO288" s="276">
        <f t="shared" si="315"/>
        <v>2694</v>
      </c>
      <c r="CP288" s="276">
        <f t="shared" si="316"/>
        <v>2726</v>
      </c>
      <c r="CQ288" s="39">
        <f t="shared" si="273"/>
        <v>1530</v>
      </c>
      <c r="CR288" s="39">
        <f t="shared" si="274"/>
        <v>1270</v>
      </c>
      <c r="CS288" s="277">
        <f t="shared" si="275"/>
        <v>1078.3333333333333</v>
      </c>
      <c r="CT288" s="39">
        <f t="shared" si="276"/>
        <v>1292.7777777777776</v>
      </c>
      <c r="CU288" s="39">
        <f t="shared" si="277"/>
        <v>1213.7037037037035</v>
      </c>
      <c r="CV288" s="39">
        <f t="shared" si="317"/>
        <v>1194.9382716049381</v>
      </c>
      <c r="CW288" s="297">
        <f t="shared" si="278"/>
        <v>0.66124830426065762</v>
      </c>
      <c r="CX288" s="279" t="str">
        <f t="shared" si="318"/>
        <v>Buffer and Action Plan</v>
      </c>
      <c r="CY288" s="278">
        <f t="shared" si="279"/>
        <v>0.56162936392894869</v>
      </c>
      <c r="CZ288" s="279" t="str">
        <f t="shared" si="319"/>
        <v>Buffer and Action Plan</v>
      </c>
      <c r="DA288" s="278">
        <f t="shared" si="280"/>
        <v>0.45140584664759648</v>
      </c>
      <c r="DB288" s="292" t="str">
        <f t="shared" si="320"/>
        <v>Presumption</v>
      </c>
      <c r="DC288" s="299">
        <f t="shared" si="321"/>
        <v>0.49286228660990378</v>
      </c>
      <c r="DD288" s="293" t="str">
        <f t="shared" si="322"/>
        <v>Presumption</v>
      </c>
      <c r="DE288" s="299">
        <f t="shared" si="323"/>
        <v>0.45052104814539845</v>
      </c>
      <c r="DF288" s="293" t="str">
        <f t="shared" si="324"/>
        <v>Presumption</v>
      </c>
      <c r="DG288" s="299">
        <f t="shared" si="325"/>
        <v>0.4383485955997572</v>
      </c>
      <c r="DH288" s="293" t="str">
        <f t="shared" si="326"/>
        <v>Presumption</v>
      </c>
    </row>
    <row r="289" spans="1:112" customFormat="1" ht="15.5" thickTop="1" thickBot="1">
      <c r="A289" s="3" t="s">
        <v>688</v>
      </c>
      <c r="B289" s="3" t="s">
        <v>689</v>
      </c>
      <c r="C289" s="3" t="s">
        <v>688</v>
      </c>
      <c r="D289" s="3" t="s">
        <v>131</v>
      </c>
      <c r="E289" s="3" t="str">
        <f>VLOOKUP(C289,PoliticalControl!A:K,11,FALSE)</f>
        <v>LAB</v>
      </c>
      <c r="F289" s="3" t="str">
        <f>VLOOKUP(C289,UrbanRuralClassification!A:N,13,FALSE)</f>
        <v>Urban with Major Conurbation</v>
      </c>
      <c r="G289" s="3" t="str">
        <f>VLOOKUP(C289,UrbanRuralClassification!A:N,14,FALSE)</f>
        <v>Predominantly Urban</v>
      </c>
      <c r="H289" s="262">
        <f>IF(ISBLANK((VLOOKUP($A289,'local-plan-data'!$C$1:$AD$566,27,FALSE)))=TRUE,"",VLOOKUP($A289,'local-plan-data'!$C$1:$AD$566,27,FALSE))</f>
        <v>40969</v>
      </c>
      <c r="I289" s="263">
        <f>VLOOKUP($A289,'local-plan-data'!$C$1:$AD$566,28,FALSE)</f>
        <v>691</v>
      </c>
      <c r="J289" s="264">
        <f t="shared" si="281"/>
        <v>691</v>
      </c>
      <c r="K289" s="259" t="str">
        <f t="shared" si="327"/>
        <v>-</v>
      </c>
      <c r="L289" s="259" t="str">
        <f t="shared" si="327"/>
        <v>-</v>
      </c>
      <c r="M289" s="259" t="str">
        <f t="shared" si="327"/>
        <v>-</v>
      </c>
      <c r="N289" s="259" t="str">
        <f t="shared" si="327"/>
        <v>-</v>
      </c>
      <c r="O289" s="259" t="str">
        <f t="shared" si="327"/>
        <v>-</v>
      </c>
      <c r="P289" s="259" t="str">
        <f t="shared" si="327"/>
        <v>-</v>
      </c>
      <c r="Q289" s="259" t="str">
        <f t="shared" si="327"/>
        <v>-</v>
      </c>
      <c r="R289" s="259" t="str">
        <f t="shared" si="327"/>
        <v>-</v>
      </c>
      <c r="S289" s="259">
        <f t="shared" si="328"/>
        <v>-396</v>
      </c>
      <c r="T289" s="259">
        <f t="shared" si="328"/>
        <v>-761</v>
      </c>
      <c r="U289" s="259">
        <f t="shared" si="328"/>
        <v>-1127</v>
      </c>
      <c r="V289" s="259">
        <f t="shared" si="328"/>
        <v>-1492</v>
      </c>
      <c r="W289" s="259">
        <f t="shared" si="328"/>
        <v>-1857</v>
      </c>
      <c r="X289" s="259">
        <f t="shared" si="328"/>
        <v>-2222</v>
      </c>
      <c r="Y289" s="259">
        <f t="shared" si="328"/>
        <v>-2588</v>
      </c>
      <c r="Z289" s="259">
        <f t="shared" si="328"/>
        <v>-2953</v>
      </c>
      <c r="AA289" s="267">
        <f>(VLOOKUP(A289,Hshldprojections2014!$A$2:$AW$319,40, FALSE)-VLOOKUP(A289,Hshldprojections2014!$A$2:$AW$319,30, FALSE))/10</f>
        <v>1717.9</v>
      </c>
      <c r="AB289" s="267">
        <f>(VLOOKUP(A289,Hshldprojections2014!$A$2:$AW$319,41, FALSE)-VLOOKUP(A289,Hshldprojections2014!$A$2:$AW$319,31, FALSE))/10</f>
        <v>1708.6</v>
      </c>
      <c r="AC289" s="267">
        <f>(VLOOKUP(A289,Hshldprojections2014!$A$2:$AW$319,42, FALSE)-VLOOKUP(A289,Hshldprojections2014!$A$2:$AW$319,32, FALSE))/10</f>
        <v>1696.4</v>
      </c>
      <c r="AD289" s="267">
        <f>IF(IndividualLATest!$J$7=2014,(VLOOKUP($A289,Hshldprojections2014!$A$2:$AY$326,43,FALSE)-VLOOKUP($A289,Hshldprojections2014!$A$2:$AY$326,33,FALSE))/10,IF(IndividualLATest!$J$7=2016,(VLOOKUP($A289,Hshldprojections2016!$A$1:$AQ$322,33,FALSE)-VLOOKUP($A289,Hshldprojections2016!$A$1:$AQ$322,23,FALSE))/10,(VLOOKUP($A289,Hshldprojections2018!$A$1:$AQ$327,33,FALSE)-VLOOKUP($A289,Hshldprojections2018!$A$1:$AQ$327,23,FALSE))/10))</f>
        <v>788.8</v>
      </c>
      <c r="AE289" s="267">
        <f>IF(IndividualLATest!$J$7=2014,(VLOOKUP($A289,Hshldprojections2014!$A$2:$AY$326,44,FALSE)-VLOOKUP($A289,Hshldprojections2014!$A$2:$AY$326,34,FALSE))/10,IF(IndividualLATest!$J$7=2016,(VLOOKUP($A289,Hshldprojections2016!$A$1:$AQ$322,34,FALSE)-VLOOKUP($A289,Hshldprojections2016!$A$1:$AQ$322,24,FALSE))/10,(VLOOKUP($A289,Hshldprojections2018!$A$1:$AQ$327,34,FALSE)-VLOOKUP($A289,Hshldprojections2018!$A$1:$AQ$327,24,FALSE))/10))</f>
        <v>757.6</v>
      </c>
      <c r="AF289" s="267">
        <f>IF(IndividualLATest!$J$7=2014,(VLOOKUP($A289,Hshldprojections2014!$A$2:$AY$326,45,FALSE)-VLOOKUP($A289,Hshldprojections2014!$A$2:$AY$326,35,FALSE))/10,IF(IndividualLATest!$J$7=2016,(VLOOKUP($A289,Hshldprojections2016!$A$1:$AQ$322,35,FALSE)-VLOOKUP($A289,Hshldprojections2016!$A$1:$AQ$322,25,FALSE))/10,(VLOOKUP($A289,Hshldprojections2018!$A$1:$AQ$327,35,FALSE)-VLOOKUP($A289,Hshldprojections2018!$A$1:$AQ$327,25,FALSE))/10))</f>
        <v>724.7</v>
      </c>
      <c r="AG289" s="267">
        <f>IF(IndividualLATest!$J$7=2014,(VLOOKUP($A289,Hshldprojections2014!$A$2:$AY$326,46,FALSE)-VLOOKUP($A289,Hshldprojections2014!$A$2:$AY$326,36,FALSE))/10,IF(IndividualLATest!$J$7=2016,(VLOOKUP($A289,Hshldprojections2016!$A$1:$AQ$322,36,FALSE)-VLOOKUP($A289,Hshldprojections2016!$A$1:$AQ$322,26,FALSE))/10,(VLOOKUP($A289,Hshldprojections2018!$A$1:$AQ$327,36,FALSE)-VLOOKUP($A289,Hshldprojections2018!$A$1:$AQ$327,26,FALSE))/10))</f>
        <v>702.9</v>
      </c>
      <c r="AH289" s="267">
        <f>IF(IndividualLATest!$J$7=2014,(VLOOKUP($A289,Hshldprojections2014!$A$2:$AY$326,47,FALSE)-VLOOKUP($A289,Hshldprojections2014!$A$2:$AY$326,37,FALSE))/10,IF(IndividualLATest!$J$7=2016,(VLOOKUP($A289,Hshldprojections2016!$A$1:$AQ$322,37,FALSE)-VLOOKUP($A289,Hshldprojections2016!$A$1:$AQ$322,27,FALSE))/10,(VLOOKUP($A289,Hshldprojections2018!$A$1:$AQ$327,37,FALSE)-VLOOKUP($A289,Hshldprojections2018!$A$1:$AQ$327,27,FALSE))/10))</f>
        <v>683.9</v>
      </c>
      <c r="AI289" s="268">
        <f>VLOOKUP($A289,AffordabilityRatio!$A$2:$I$321,5,FALSE)</f>
        <v>15.64</v>
      </c>
      <c r="AJ289" s="268">
        <f>VLOOKUP($A289,AffordabilityRatio!$A$2:$I$321,6,FALSE)</f>
        <v>14.85</v>
      </c>
      <c r="AK289" s="268">
        <f>VLOOKUP($A289,AffordabilityRatio!$A$2:$I$321,7,FALSE)</f>
        <v>14.41</v>
      </c>
      <c r="AL289" s="268">
        <f>IF((VLOOKUP($A289,AffordabilityRatio!$A$2:$I$321,8,FALSE))="",AK289,VLOOKUP($A289,AffordabilityRatio!$A$2:$I$321,8,FALSE))</f>
        <v>13.31</v>
      </c>
      <c r="AM289" s="268">
        <f>IF((VLOOKUP($A289,AffordabilityRatio!$A$2:$I$321,9,FALSE))="",AL289,VLOOKUP($A289,AffordabilityRatio!$A$2:$I$321,9,FALSE))</f>
        <v>15.57</v>
      </c>
      <c r="AN289" s="268">
        <f>IF((VLOOKUP($A289,AffordabilityRatio!$A$2:$I$321,9,FALSE))="",AM289,VLOOKUP($A289,AffordabilityRatio!$A$2:$I$321,9,FALSE))</f>
        <v>15.57</v>
      </c>
      <c r="AO289" s="268">
        <f>IF((VLOOKUP($A289,AffordabilityRatio!$A$2:$I$321,9,FALSE))="",AN289,VLOOKUP($A289,AffordabilityRatio!$A$2:$I$321,9,FALSE))</f>
        <v>15.57</v>
      </c>
      <c r="AP289" s="268">
        <f>IF((VLOOKUP($A289,AffordabilityRatio!$A$2:$I$321,9,FALSE))="",AO289,VLOOKUP($A289,AffordabilityRatio!$A$2:$I$321,9,FALSE))</f>
        <v>15.57</v>
      </c>
      <c r="AQ289" s="267">
        <f t="shared" si="282"/>
        <v>2968</v>
      </c>
      <c r="AR289" s="267">
        <f t="shared" si="283"/>
        <v>2867</v>
      </c>
      <c r="AS289" s="267">
        <f t="shared" si="284"/>
        <v>2800</v>
      </c>
      <c r="AT289" s="267">
        <f t="shared" si="285"/>
        <v>1248</v>
      </c>
      <c r="AU289" s="267">
        <f t="shared" si="286"/>
        <v>1305</v>
      </c>
      <c r="AV289" s="267">
        <f t="shared" si="287"/>
        <v>1249</v>
      </c>
      <c r="AW289" s="267">
        <f t="shared" si="288"/>
        <v>1211</v>
      </c>
      <c r="AX289" s="267">
        <f t="shared" si="289"/>
        <v>1178</v>
      </c>
      <c r="AY289" s="267">
        <f t="shared" si="290"/>
        <v>2405.0600000000004</v>
      </c>
      <c r="AZ289" s="267">
        <f t="shared" si="291"/>
        <v>2392.04</v>
      </c>
      <c r="BA289" s="267">
        <f t="shared" si="292"/>
        <v>2374.96</v>
      </c>
      <c r="BB289" s="267">
        <f t="shared" si="293"/>
        <v>1104.32</v>
      </c>
      <c r="BC289" s="267">
        <f t="shared" si="294"/>
        <v>1060.6400000000001</v>
      </c>
      <c r="BD289" s="267">
        <f t="shared" si="295"/>
        <v>1014.5800000000002</v>
      </c>
      <c r="BE289" s="267">
        <f t="shared" si="296"/>
        <v>984.06</v>
      </c>
      <c r="BF289" s="267">
        <f t="shared" si="297"/>
        <v>967.40000000000009</v>
      </c>
      <c r="BG289" s="269">
        <f>AY289*VLOOKUP($B289,'Major Cities &amp; Towns'!$A$28:$B$345,2,FALSE)</f>
        <v>3246.8310000000006</v>
      </c>
      <c r="BH289" s="269">
        <f>AZ289*VLOOKUP($B289,'Major Cities &amp; Towns'!$A$28:$B$345,2,FALSE)</f>
        <v>3229.2540000000004</v>
      </c>
      <c r="BI289" s="269">
        <f>BA289*VLOOKUP($B289,'Major Cities &amp; Towns'!$A$28:$B$345,2,FALSE)</f>
        <v>3206.1960000000004</v>
      </c>
      <c r="BJ289" s="269">
        <f>BB289*VLOOKUP($B289,'Major Cities &amp; Towns'!$A$28:$B$345,2,FALSE)</f>
        <v>1490.8320000000001</v>
      </c>
      <c r="BK289" s="269">
        <f>BC289*VLOOKUP($B289,'Major Cities &amp; Towns'!$A$28:$B$345,2,FALSE)</f>
        <v>1431.8640000000003</v>
      </c>
      <c r="BL289" s="269">
        <f>BD289*VLOOKUP($B289,'Major Cities &amp; Towns'!$A$28:$B$345,2,FALSE)</f>
        <v>1369.6830000000002</v>
      </c>
      <c r="BM289" s="269">
        <f>BE289*VLOOKUP($B289,'Major Cities &amp; Towns'!$A$28:$B$345,2,FALSE)</f>
        <v>1328.481</v>
      </c>
      <c r="BN289" s="269">
        <f>BF289*VLOOKUP($B289,'Major Cities &amp; Towns'!$A$28:$B$345,2,FALSE)</f>
        <v>1305.9900000000002</v>
      </c>
      <c r="BO289" s="270">
        <f t="shared" si="298"/>
        <v>2968</v>
      </c>
      <c r="BP289" s="270">
        <f t="shared" si="299"/>
        <v>2867</v>
      </c>
      <c r="BQ289" s="270">
        <f t="shared" si="300"/>
        <v>2800</v>
      </c>
      <c r="BR289" s="270">
        <f t="shared" si="301"/>
        <v>1248</v>
      </c>
      <c r="BS289" s="270">
        <f t="shared" si="302"/>
        <v>1305</v>
      </c>
      <c r="BT289" s="270">
        <f t="shared" si="303"/>
        <v>1249</v>
      </c>
      <c r="BU289" s="270">
        <f t="shared" si="304"/>
        <v>1211</v>
      </c>
      <c r="BV289" s="270">
        <f t="shared" si="305"/>
        <v>1178</v>
      </c>
      <c r="BW289" s="39">
        <f>VLOOKUP($A289,NetAdditions!$A$2:$H$336,6,FALSE)</f>
        <v>613</v>
      </c>
      <c r="BX289" s="39">
        <f>VLOOKUP($A289,NetAdditions!$A$2:$H$336,7,FALSE)</f>
        <v>915</v>
      </c>
      <c r="BY289" s="39">
        <f>IF((VLOOKUP($C289,NetAdditions!$A$2:$H$336,8,FALSE))="",(AVERAGE(VLOOKUP($C289,NetAdditions!$A$2:$H$336,5,FALSE),VLOOKUP($C289,NetAdditions!$A$2:$H$336,6,FALSE),VLOOKUP($C289,NetAdditions!$A$2:$H$336,7,FALSE))),VLOOKUP($C289,NetAdditions!$A$2:$H$336,8,FALSE))</f>
        <v>1263</v>
      </c>
      <c r="BZ289" s="39">
        <f t="shared" si="306"/>
        <v>930.33333333333337</v>
      </c>
      <c r="CA289" s="39">
        <f t="shared" si="307"/>
        <v>1036.1111111111111</v>
      </c>
      <c r="CB289" s="39">
        <f t="shared" si="308"/>
        <v>1076.4814814814815</v>
      </c>
      <c r="CC289" s="39">
        <f t="shared" si="309"/>
        <v>1014.3086419753087</v>
      </c>
      <c r="CD289" s="39">
        <f t="shared" si="310"/>
        <v>1042.3004115226338</v>
      </c>
      <c r="CE289" s="276">
        <f t="shared" si="267"/>
        <v>8635</v>
      </c>
      <c r="CF289" s="276">
        <f t="shared" si="268"/>
        <v>6915</v>
      </c>
      <c r="CG289" s="276">
        <f t="shared" si="269"/>
        <v>5353</v>
      </c>
      <c r="CH289" s="276">
        <f t="shared" si="270"/>
        <v>3802</v>
      </c>
      <c r="CI289" s="276">
        <f t="shared" si="271"/>
        <v>3765</v>
      </c>
      <c r="CJ289" s="276">
        <f t="shared" si="272"/>
        <v>3638</v>
      </c>
      <c r="CK289" s="276">
        <f t="shared" si="311"/>
        <v>7435.6944444444453</v>
      </c>
      <c r="CL289" s="276">
        <f t="shared" si="312"/>
        <v>5954.5833333333339</v>
      </c>
      <c r="CM289" s="276">
        <f t="shared" si="313"/>
        <v>4906.9166666666661</v>
      </c>
      <c r="CN289" s="276">
        <f t="shared" si="314"/>
        <v>3802</v>
      </c>
      <c r="CO289" s="276">
        <f t="shared" si="315"/>
        <v>3765</v>
      </c>
      <c r="CP289" s="276">
        <f t="shared" si="316"/>
        <v>3638</v>
      </c>
      <c r="CQ289" s="39">
        <f t="shared" si="273"/>
        <v>2791</v>
      </c>
      <c r="CR289" s="39">
        <f t="shared" si="274"/>
        <v>3108.3333333333335</v>
      </c>
      <c r="CS289" s="277">
        <f t="shared" si="275"/>
        <v>3229.4444444444443</v>
      </c>
      <c r="CT289" s="39">
        <f t="shared" si="276"/>
        <v>3042.9259259259261</v>
      </c>
      <c r="CU289" s="39">
        <f t="shared" si="277"/>
        <v>3126.9012345679012</v>
      </c>
      <c r="CV289" s="39">
        <f t="shared" si="317"/>
        <v>3133.0905349794239</v>
      </c>
      <c r="CW289" s="297">
        <f t="shared" si="278"/>
        <v>0.37535162597829536</v>
      </c>
      <c r="CX289" s="279" t="str">
        <f t="shared" si="318"/>
        <v>Buffer and Action Plan</v>
      </c>
      <c r="CY289" s="278">
        <f t="shared" si="279"/>
        <v>0.52200685746273878</v>
      </c>
      <c r="CZ289" s="279" t="str">
        <f t="shared" si="319"/>
        <v>Buffer and Action Plan</v>
      </c>
      <c r="DA289" s="278">
        <f t="shared" si="280"/>
        <v>0.65814128582669595</v>
      </c>
      <c r="DB289" s="292" t="str">
        <f t="shared" si="320"/>
        <v>Presumption</v>
      </c>
      <c r="DC289" s="299">
        <f t="shared" si="321"/>
        <v>0.80034874432559866</v>
      </c>
      <c r="DD289" s="293" t="str">
        <f t="shared" si="322"/>
        <v>Buffer and Action Plan</v>
      </c>
      <c r="DE289" s="299">
        <f t="shared" si="323"/>
        <v>0.83051825619333364</v>
      </c>
      <c r="DF289" s="293" t="str">
        <f t="shared" si="324"/>
        <v>Buffer and Action Plan</v>
      </c>
      <c r="DG289" s="299">
        <f t="shared" si="325"/>
        <v>0.86121235156113907</v>
      </c>
      <c r="DH289" s="293" t="str">
        <f t="shared" si="326"/>
        <v>Action Plan</v>
      </c>
    </row>
    <row r="290" spans="1:112" customFormat="1" ht="15.5" thickTop="1" thickBot="1">
      <c r="A290" s="3" t="s">
        <v>690</v>
      </c>
      <c r="B290" s="3" t="s">
        <v>691</v>
      </c>
      <c r="C290" s="3" t="s">
        <v>690</v>
      </c>
      <c r="D290" s="3" t="s">
        <v>131</v>
      </c>
      <c r="E290" s="3" t="str">
        <f>VLOOKUP(C290,PoliticalControl!A:K,11,FALSE)</f>
        <v>CON</v>
      </c>
      <c r="F290" s="3" t="str">
        <f>VLOOKUP(C290,UrbanRuralClassification!A:N,13,FALSE)</f>
        <v>Urban with Major Conurbation</v>
      </c>
      <c r="G290" s="3" t="str">
        <f>VLOOKUP(C290,UrbanRuralClassification!A:N,14,FALSE)</f>
        <v>Predominantly Urban</v>
      </c>
      <c r="H290" s="262">
        <f>IF(ISBLANK((VLOOKUP($A290,'local-plan-data'!$C$1:$AD$566,27,FALSE)))=TRUE,"",VLOOKUP($A290,'local-plan-data'!$C$1:$AD$566,27,FALSE))</f>
        <v>42438</v>
      </c>
      <c r="I290" s="263">
        <f>VLOOKUP($A290,'local-plan-data'!$C$1:$AD$566,28,FALSE)</f>
        <v>1812</v>
      </c>
      <c r="J290" s="264">
        <f t="shared" si="281"/>
        <v>1812</v>
      </c>
      <c r="K290" s="259">
        <f t="shared" si="327"/>
        <v>1812</v>
      </c>
      <c r="L290" s="259">
        <f t="shared" si="327"/>
        <v>1812</v>
      </c>
      <c r="M290" s="259">
        <f t="shared" si="327"/>
        <v>1812</v>
      </c>
      <c r="N290" s="259" t="str">
        <f t="shared" si="327"/>
        <v>-</v>
      </c>
      <c r="O290" s="259" t="str">
        <f t="shared" si="327"/>
        <v>-</v>
      </c>
      <c r="P290" s="259" t="str">
        <f t="shared" si="327"/>
        <v>-</v>
      </c>
      <c r="Q290" s="259" t="str">
        <f t="shared" si="327"/>
        <v>-</v>
      </c>
      <c r="R290" s="259" t="str">
        <f t="shared" si="327"/>
        <v>-</v>
      </c>
      <c r="S290" s="259">
        <f t="shared" si="328"/>
        <v>1073</v>
      </c>
      <c r="T290" s="259">
        <f t="shared" si="328"/>
        <v>708</v>
      </c>
      <c r="U290" s="259">
        <f t="shared" si="328"/>
        <v>342</v>
      </c>
      <c r="V290" s="259">
        <f t="shared" si="328"/>
        <v>-23</v>
      </c>
      <c r="W290" s="259">
        <f t="shared" si="328"/>
        <v>-388</v>
      </c>
      <c r="X290" s="259">
        <f t="shared" si="328"/>
        <v>-753</v>
      </c>
      <c r="Y290" s="259">
        <f t="shared" si="328"/>
        <v>-1119</v>
      </c>
      <c r="Z290" s="259">
        <f t="shared" si="328"/>
        <v>-1484</v>
      </c>
      <c r="AA290" s="267">
        <f>(VLOOKUP(A290,Hshldprojections2014!$A$2:$AW$319,40, FALSE)-VLOOKUP(A290,Hshldprojections2014!$A$2:$AW$319,30, FALSE))/10</f>
        <v>1437.1</v>
      </c>
      <c r="AB290" s="267">
        <f>(VLOOKUP(A290,Hshldprojections2014!$A$2:$AW$319,41, FALSE)-VLOOKUP(A290,Hshldprojections2014!$A$2:$AW$319,31, FALSE))/10</f>
        <v>1418.3</v>
      </c>
      <c r="AC290" s="267">
        <f>(VLOOKUP(A290,Hshldprojections2014!$A$2:$AW$319,42, FALSE)-VLOOKUP(A290,Hshldprojections2014!$A$2:$AW$319,32, FALSE))/10</f>
        <v>1406.2</v>
      </c>
      <c r="AD290" s="267">
        <f>IF(IndividualLATest!$J$7=2014,(VLOOKUP($A290,Hshldprojections2014!$A$2:$AY$326,43,FALSE)-VLOOKUP($A290,Hshldprojections2014!$A$2:$AY$326,33,FALSE))/10,IF(IndividualLATest!$J$7=2016,(VLOOKUP($A290,Hshldprojections2016!$A$1:$AQ$322,33,FALSE)-VLOOKUP($A290,Hshldprojections2016!$A$1:$AQ$322,23,FALSE))/10,(VLOOKUP($A290,Hshldprojections2018!$A$1:$AQ$327,33,FALSE)-VLOOKUP($A290,Hshldprojections2018!$A$1:$AQ$327,23,FALSE))/10))</f>
        <v>824.5</v>
      </c>
      <c r="AE290" s="267">
        <f>IF(IndividualLATest!$J$7=2014,(VLOOKUP($A290,Hshldprojections2014!$A$2:$AY$326,44,FALSE)-VLOOKUP($A290,Hshldprojections2014!$A$2:$AY$326,34,FALSE))/10,IF(IndividualLATest!$J$7=2016,(VLOOKUP($A290,Hshldprojections2016!$A$1:$AQ$322,34,FALSE)-VLOOKUP($A290,Hshldprojections2016!$A$1:$AQ$322,24,FALSE))/10,(VLOOKUP($A290,Hshldprojections2018!$A$1:$AQ$327,34,FALSE)-VLOOKUP($A290,Hshldprojections2018!$A$1:$AQ$327,24,FALSE))/10))</f>
        <v>803.4</v>
      </c>
      <c r="AF290" s="267">
        <f>IF(IndividualLATest!$J$7=2014,(VLOOKUP($A290,Hshldprojections2014!$A$2:$AY$326,45,FALSE)-VLOOKUP($A290,Hshldprojections2014!$A$2:$AY$326,35,FALSE))/10,IF(IndividualLATest!$J$7=2016,(VLOOKUP($A290,Hshldprojections2016!$A$1:$AQ$322,35,FALSE)-VLOOKUP($A290,Hshldprojections2016!$A$1:$AQ$322,25,FALSE))/10,(VLOOKUP($A290,Hshldprojections2018!$A$1:$AQ$327,35,FALSE)-VLOOKUP($A290,Hshldprojections2018!$A$1:$AQ$327,25,FALSE))/10))</f>
        <v>796.2</v>
      </c>
      <c r="AG290" s="267">
        <f>IF(IndividualLATest!$J$7=2014,(VLOOKUP($A290,Hshldprojections2014!$A$2:$AY$326,46,FALSE)-VLOOKUP($A290,Hshldprojections2014!$A$2:$AY$326,36,FALSE))/10,IF(IndividualLATest!$J$7=2016,(VLOOKUP($A290,Hshldprojections2016!$A$1:$AQ$322,36,FALSE)-VLOOKUP($A290,Hshldprojections2016!$A$1:$AQ$322,26,FALSE))/10,(VLOOKUP($A290,Hshldprojections2018!$A$1:$AQ$327,36,FALSE)-VLOOKUP($A290,Hshldprojections2018!$A$1:$AQ$327,26,FALSE))/10))</f>
        <v>800.4</v>
      </c>
      <c r="AH290" s="267">
        <f>IF(IndividualLATest!$J$7=2014,(VLOOKUP($A290,Hshldprojections2014!$A$2:$AY$326,47,FALSE)-VLOOKUP($A290,Hshldprojections2014!$A$2:$AY$326,37,FALSE))/10,IF(IndividualLATest!$J$7=2016,(VLOOKUP($A290,Hshldprojections2016!$A$1:$AQ$322,37,FALSE)-VLOOKUP($A290,Hshldprojections2016!$A$1:$AQ$322,27,FALSE))/10,(VLOOKUP($A290,Hshldprojections2018!$A$1:$AQ$327,37,FALSE)-VLOOKUP($A290,Hshldprojections2018!$A$1:$AQ$327,27,FALSE))/10))</f>
        <v>810.5</v>
      </c>
      <c r="AI290" s="268">
        <f>VLOOKUP($A290,AffordabilityRatio!$A$2:$I$321,5,FALSE)</f>
        <v>19.829999999999998</v>
      </c>
      <c r="AJ290" s="268">
        <f>VLOOKUP($A290,AffordabilityRatio!$A$2:$I$321,6,FALSE)</f>
        <v>17.899999999999999</v>
      </c>
      <c r="AK290" s="268">
        <f>VLOOKUP($A290,AffordabilityRatio!$A$2:$I$321,7,FALSE)</f>
        <v>17.95</v>
      </c>
      <c r="AL290" s="268">
        <f>IF((VLOOKUP($A290,AffordabilityRatio!$A$2:$I$321,8,FALSE))="",AK290,VLOOKUP($A290,AffordabilityRatio!$A$2:$I$321,8,FALSE))</f>
        <v>19.399999999999999</v>
      </c>
      <c r="AM290" s="268">
        <f>IF((VLOOKUP($A290,AffordabilityRatio!$A$2:$I$321,9,FALSE))="",AL290,VLOOKUP($A290,AffordabilityRatio!$A$2:$I$321,9,FALSE))</f>
        <v>19.100000000000001</v>
      </c>
      <c r="AN290" s="268">
        <f>IF((VLOOKUP($A290,AffordabilityRatio!$A$2:$I$321,9,FALSE))="",AM290,VLOOKUP($A290,AffordabilityRatio!$A$2:$I$321,9,FALSE))</f>
        <v>19.100000000000001</v>
      </c>
      <c r="AO290" s="268">
        <f>IF((VLOOKUP($A290,AffordabilityRatio!$A$2:$I$321,9,FALSE))="",AN290,VLOOKUP($A290,AffordabilityRatio!$A$2:$I$321,9,FALSE))</f>
        <v>19.100000000000001</v>
      </c>
      <c r="AP290" s="268">
        <f>IF((VLOOKUP($A290,AffordabilityRatio!$A$2:$I$321,9,FALSE))="",AO290,VLOOKUP($A290,AffordabilityRatio!$A$2:$I$321,9,FALSE))</f>
        <v>19.100000000000001</v>
      </c>
      <c r="AQ290" s="267">
        <f t="shared" si="282"/>
        <v>2859</v>
      </c>
      <c r="AR290" s="267">
        <f t="shared" si="283"/>
        <v>2650</v>
      </c>
      <c r="AS290" s="267">
        <f t="shared" si="284"/>
        <v>2632</v>
      </c>
      <c r="AT290" s="267">
        <f t="shared" si="285"/>
        <v>1618</v>
      </c>
      <c r="AU290" s="267">
        <f t="shared" si="286"/>
        <v>1562</v>
      </c>
      <c r="AV290" s="267">
        <f t="shared" si="287"/>
        <v>1548</v>
      </c>
      <c r="AW290" s="267">
        <f t="shared" si="288"/>
        <v>1556</v>
      </c>
      <c r="AX290" s="267">
        <f t="shared" si="289"/>
        <v>1575</v>
      </c>
      <c r="AY290" s="267">
        <f t="shared" si="290"/>
        <v>2536.8000000000002</v>
      </c>
      <c r="AZ290" s="267">
        <f t="shared" si="291"/>
        <v>2536.8000000000002</v>
      </c>
      <c r="BA290" s="267">
        <f t="shared" si="292"/>
        <v>2536.8000000000002</v>
      </c>
      <c r="BB290" s="267">
        <f t="shared" si="293"/>
        <v>1618</v>
      </c>
      <c r="BC290" s="267">
        <f t="shared" si="294"/>
        <v>1562</v>
      </c>
      <c r="BD290" s="267">
        <f t="shared" si="295"/>
        <v>1548</v>
      </c>
      <c r="BE290" s="267">
        <f t="shared" si="296"/>
        <v>1556</v>
      </c>
      <c r="BF290" s="267">
        <f t="shared" si="297"/>
        <v>1575</v>
      </c>
      <c r="BG290" s="269">
        <f>AY290*VLOOKUP($B290,'Major Cities &amp; Towns'!$A$28:$B$345,2,FALSE)</f>
        <v>3424.6800000000003</v>
      </c>
      <c r="BH290" s="269">
        <f>AZ290*VLOOKUP($B290,'Major Cities &amp; Towns'!$A$28:$B$345,2,FALSE)</f>
        <v>3424.6800000000003</v>
      </c>
      <c r="BI290" s="269">
        <f>BA290*VLOOKUP($B290,'Major Cities &amp; Towns'!$A$28:$B$345,2,FALSE)</f>
        <v>3424.6800000000003</v>
      </c>
      <c r="BJ290" s="269">
        <f>BB290*VLOOKUP($B290,'Major Cities &amp; Towns'!$A$28:$B$345,2,FALSE)</f>
        <v>2184.3000000000002</v>
      </c>
      <c r="BK290" s="269">
        <f>BC290*VLOOKUP($B290,'Major Cities &amp; Towns'!$A$28:$B$345,2,FALSE)</f>
        <v>2108.7000000000003</v>
      </c>
      <c r="BL290" s="269">
        <f>BD290*VLOOKUP($B290,'Major Cities &amp; Towns'!$A$28:$B$345,2,FALSE)</f>
        <v>2089.8000000000002</v>
      </c>
      <c r="BM290" s="269">
        <f>BE290*VLOOKUP($B290,'Major Cities &amp; Towns'!$A$28:$B$345,2,FALSE)</f>
        <v>2100.6000000000004</v>
      </c>
      <c r="BN290" s="269">
        <f>BF290*VLOOKUP($B290,'Major Cities &amp; Towns'!$A$28:$B$345,2,FALSE)</f>
        <v>2126.25</v>
      </c>
      <c r="BO290" s="270">
        <f t="shared" si="298"/>
        <v>1812</v>
      </c>
      <c r="BP290" s="270">
        <f t="shared" si="299"/>
        <v>1812</v>
      </c>
      <c r="BQ290" s="270">
        <f t="shared" si="300"/>
        <v>1863.6712328767126</v>
      </c>
      <c r="BR290" s="270">
        <f t="shared" si="301"/>
        <v>1618</v>
      </c>
      <c r="BS290" s="270">
        <f t="shared" si="302"/>
        <v>1562</v>
      </c>
      <c r="BT290" s="270">
        <f t="shared" si="303"/>
        <v>1548</v>
      </c>
      <c r="BU290" s="270">
        <f t="shared" si="304"/>
        <v>1556</v>
      </c>
      <c r="BV290" s="270">
        <f t="shared" si="305"/>
        <v>1575</v>
      </c>
      <c r="BW290" s="39">
        <f>VLOOKUP($A290,NetAdditions!$A$2:$H$336,6,FALSE)</f>
        <v>1913</v>
      </c>
      <c r="BX290" s="39">
        <f>VLOOKUP($A290,NetAdditions!$A$2:$H$336,7,FALSE)</f>
        <v>1315</v>
      </c>
      <c r="BY290" s="39">
        <f>IF((VLOOKUP($C290,NetAdditions!$A$2:$H$336,8,FALSE))="",(AVERAGE(VLOOKUP($C290,NetAdditions!$A$2:$H$336,5,FALSE),VLOOKUP($C290,NetAdditions!$A$2:$H$336,6,FALSE),VLOOKUP($C290,NetAdditions!$A$2:$H$336,7,FALSE))),VLOOKUP($C290,NetAdditions!$A$2:$H$336,8,FALSE))</f>
        <v>1415</v>
      </c>
      <c r="BZ290" s="39">
        <f t="shared" si="306"/>
        <v>1547.6666666666667</v>
      </c>
      <c r="CA290" s="39">
        <f t="shared" si="307"/>
        <v>1425.8888888888889</v>
      </c>
      <c r="CB290" s="39">
        <f t="shared" si="308"/>
        <v>1462.851851851852</v>
      </c>
      <c r="CC290" s="39">
        <f t="shared" si="309"/>
        <v>1478.8024691358025</v>
      </c>
      <c r="CD290" s="39">
        <f t="shared" si="310"/>
        <v>1455.8477366255145</v>
      </c>
      <c r="CE290" s="276">
        <f t="shared" si="267"/>
        <v>5487.6712328767126</v>
      </c>
      <c r="CF290" s="276">
        <f t="shared" si="268"/>
        <v>5293.6712328767126</v>
      </c>
      <c r="CG290" s="276">
        <f t="shared" si="269"/>
        <v>5043.6712328767126</v>
      </c>
      <c r="CH290" s="276">
        <f t="shared" si="270"/>
        <v>4728</v>
      </c>
      <c r="CI290" s="276">
        <f t="shared" si="271"/>
        <v>4666</v>
      </c>
      <c r="CJ290" s="276">
        <f t="shared" si="272"/>
        <v>4679</v>
      </c>
      <c r="CK290" s="276">
        <f t="shared" si="311"/>
        <v>4725.4946727549468</v>
      </c>
      <c r="CL290" s="276">
        <f t="shared" si="312"/>
        <v>4558.4391171993921</v>
      </c>
      <c r="CM290" s="276">
        <f t="shared" si="313"/>
        <v>4623.3652968036531</v>
      </c>
      <c r="CN290" s="276">
        <f t="shared" si="314"/>
        <v>4728</v>
      </c>
      <c r="CO290" s="276">
        <f t="shared" si="315"/>
        <v>4666</v>
      </c>
      <c r="CP290" s="276">
        <f t="shared" si="316"/>
        <v>4679</v>
      </c>
      <c r="CQ290" s="39">
        <f t="shared" si="273"/>
        <v>4643</v>
      </c>
      <c r="CR290" s="39">
        <f t="shared" si="274"/>
        <v>4277.666666666667</v>
      </c>
      <c r="CS290" s="277">
        <f t="shared" si="275"/>
        <v>4388.5555555555557</v>
      </c>
      <c r="CT290" s="39">
        <f t="shared" si="276"/>
        <v>4436.4074074074078</v>
      </c>
      <c r="CU290" s="39">
        <f t="shared" si="277"/>
        <v>4367.5432098765432</v>
      </c>
      <c r="CV290" s="39">
        <f t="shared" si="317"/>
        <v>4397.5020576131692</v>
      </c>
      <c r="CW290" s="297">
        <f t="shared" si="278"/>
        <v>0.98254263765641858</v>
      </c>
      <c r="CX290" s="279" t="str">
        <f t="shared" si="318"/>
        <v>Pass</v>
      </c>
      <c r="CY290" s="278">
        <f t="shared" si="279"/>
        <v>0.93840601062908879</v>
      </c>
      <c r="CZ290" s="279" t="str">
        <f t="shared" si="319"/>
        <v>Action Plan</v>
      </c>
      <c r="DA290" s="278">
        <f t="shared" si="280"/>
        <v>0.94921237536423253</v>
      </c>
      <c r="DB290" s="292" t="str">
        <f t="shared" si="320"/>
        <v>Action Plan</v>
      </c>
      <c r="DC290" s="299">
        <f t="shared" si="321"/>
        <v>0.93832643980698138</v>
      </c>
      <c r="DD290" s="293" t="str">
        <f t="shared" si="322"/>
        <v>Action Plan</v>
      </c>
      <c r="DE290" s="299">
        <f t="shared" si="323"/>
        <v>0.93603583580723171</v>
      </c>
      <c r="DF290" s="293" t="str">
        <f t="shared" si="324"/>
        <v>Action Plan</v>
      </c>
      <c r="DG290" s="299">
        <f t="shared" si="325"/>
        <v>0.93983801188569549</v>
      </c>
      <c r="DH290" s="293" t="str">
        <f t="shared" si="326"/>
        <v>Action Plan</v>
      </c>
    </row>
    <row r="291" spans="1:112" ht="15" thickTop="1" thickBot="1">
      <c r="A291" s="38" t="s">
        <v>692</v>
      </c>
      <c r="B291" s="38" t="s">
        <v>693</v>
      </c>
      <c r="C291" s="38" t="s">
        <v>692</v>
      </c>
      <c r="D291" s="38" t="s">
        <v>116</v>
      </c>
      <c r="E291" s="38" t="str">
        <f>VLOOKUP(C291,PoliticalControl!A:K,11,FALSE)</f>
        <v>LAB</v>
      </c>
      <c r="F291" s="38" t="str">
        <f>VLOOKUP(C291,UrbanRuralClassification!A:N,13,FALSE)</f>
        <v>Urban with City and Town</v>
      </c>
      <c r="G291" s="38" t="str">
        <f>VLOOKUP(C291,UrbanRuralClassification!A:N,14,FALSE)</f>
        <v>Predominantly Urban</v>
      </c>
      <c r="H291" s="258">
        <f>IF(ISBLANK((VLOOKUP($A291,'local-plan-data'!$C$1:$AD$566,27,FALSE)))=TRUE,"",VLOOKUP($A291,'local-plan-data'!$C$1:$AD$566,27,FALSE))</f>
        <v>41841</v>
      </c>
      <c r="I291" s="259">
        <f>VLOOKUP($A291,'local-plan-data'!$C$1:$AD$566,28,FALSE)</f>
        <v>0</v>
      </c>
      <c r="J291" s="260">
        <f t="shared" si="281"/>
        <v>0</v>
      </c>
      <c r="K291" s="259">
        <f t="shared" si="327"/>
        <v>0</v>
      </c>
      <c r="L291" s="259">
        <f t="shared" si="327"/>
        <v>0</v>
      </c>
      <c r="M291" s="259" t="str">
        <f t="shared" si="327"/>
        <v>-</v>
      </c>
      <c r="N291" s="259" t="str">
        <f t="shared" si="327"/>
        <v>-</v>
      </c>
      <c r="O291" s="259" t="str">
        <f t="shared" si="327"/>
        <v>-</v>
      </c>
      <c r="P291" s="259" t="str">
        <f t="shared" si="327"/>
        <v>-</v>
      </c>
      <c r="Q291" s="259" t="str">
        <f t="shared" si="327"/>
        <v>-</v>
      </c>
      <c r="R291" s="259" t="str">
        <f t="shared" si="327"/>
        <v>-</v>
      </c>
      <c r="S291" s="259">
        <f t="shared" si="328"/>
        <v>476</v>
      </c>
      <c r="T291" s="259">
        <f t="shared" si="328"/>
        <v>111</v>
      </c>
      <c r="U291" s="259">
        <f t="shared" si="328"/>
        <v>-255</v>
      </c>
      <c r="V291" s="259">
        <f t="shared" si="328"/>
        <v>-620</v>
      </c>
      <c r="W291" s="259">
        <f t="shared" si="328"/>
        <v>-985</v>
      </c>
      <c r="X291" s="259">
        <f t="shared" si="328"/>
        <v>-1350</v>
      </c>
      <c r="Y291" s="259">
        <f t="shared" si="328"/>
        <v>-1716</v>
      </c>
      <c r="Z291" s="259">
        <f t="shared" si="328"/>
        <v>-2081</v>
      </c>
      <c r="AA291" s="267">
        <f>(VLOOKUP(A291,Hshldprojections2014!$A$2:$AW$319,40, FALSE)-VLOOKUP(A291,Hshldprojections2014!$A$2:$AW$319,30, FALSE))/10</f>
        <v>773.1</v>
      </c>
      <c r="AB291" s="267">
        <f>(VLOOKUP(A291,Hshldprojections2014!$A$2:$AW$319,41, FALSE)-VLOOKUP(A291,Hshldprojections2014!$A$2:$AW$319,31, FALSE))/10</f>
        <v>750.6</v>
      </c>
      <c r="AC291" s="267">
        <f>(VLOOKUP(A291,Hshldprojections2014!$A$2:$AW$319,42, FALSE)-VLOOKUP(A291,Hshldprojections2014!$A$2:$AW$319,32, FALSE))/10</f>
        <v>732.9</v>
      </c>
      <c r="AD291" s="267">
        <f>IF(IndividualLATest!$J$7=2014,(VLOOKUP($A291,Hshldprojections2014!$A$2:$AY$326,43,FALSE)-VLOOKUP($A291,Hshldprojections2014!$A$2:$AY$326,33,FALSE))/10,IF(IndividualLATest!$J$7=2016,(VLOOKUP($A291,Hshldprojections2016!$A$1:$AQ$322,33,FALSE)-VLOOKUP($A291,Hshldprojections2016!$A$1:$AQ$322,23,FALSE))/10,(VLOOKUP($A291,Hshldprojections2018!$A$1:$AQ$327,33,FALSE)-VLOOKUP($A291,Hshldprojections2018!$A$1:$AQ$327,23,FALSE))/10))</f>
        <v>401.4</v>
      </c>
      <c r="AE291" s="267">
        <f>IF(IndividualLATest!$J$7=2014,(VLOOKUP($A291,Hshldprojections2014!$A$2:$AY$326,44,FALSE)-VLOOKUP($A291,Hshldprojections2014!$A$2:$AY$326,34,FALSE))/10,IF(IndividualLATest!$J$7=2016,(VLOOKUP($A291,Hshldprojections2016!$A$1:$AQ$322,34,FALSE)-VLOOKUP($A291,Hshldprojections2016!$A$1:$AQ$322,24,FALSE))/10,(VLOOKUP($A291,Hshldprojections2018!$A$1:$AQ$327,34,FALSE)-VLOOKUP($A291,Hshldprojections2018!$A$1:$AQ$327,24,FALSE))/10))</f>
        <v>386</v>
      </c>
      <c r="AF291" s="267">
        <f>IF(IndividualLATest!$J$7=2014,(VLOOKUP($A291,Hshldprojections2014!$A$2:$AY$326,45,FALSE)-VLOOKUP($A291,Hshldprojections2014!$A$2:$AY$326,35,FALSE))/10,IF(IndividualLATest!$J$7=2016,(VLOOKUP($A291,Hshldprojections2016!$A$1:$AQ$322,35,FALSE)-VLOOKUP($A291,Hshldprojections2016!$A$1:$AQ$322,25,FALSE))/10,(VLOOKUP($A291,Hshldprojections2018!$A$1:$AQ$327,35,FALSE)-VLOOKUP($A291,Hshldprojections2018!$A$1:$AQ$327,25,FALSE))/10))</f>
        <v>379.1</v>
      </c>
      <c r="AG291" s="267">
        <f>IF(IndividualLATest!$J$7=2014,(VLOOKUP($A291,Hshldprojections2014!$A$2:$AY$326,46,FALSE)-VLOOKUP($A291,Hshldprojections2014!$A$2:$AY$326,36,FALSE))/10,IF(IndividualLATest!$J$7=2016,(VLOOKUP($A291,Hshldprojections2016!$A$1:$AQ$322,36,FALSE)-VLOOKUP($A291,Hshldprojections2016!$A$1:$AQ$322,26,FALSE))/10,(VLOOKUP($A291,Hshldprojections2018!$A$1:$AQ$327,36,FALSE)-VLOOKUP($A291,Hshldprojections2018!$A$1:$AQ$327,26,FALSE))/10))</f>
        <v>375</v>
      </c>
      <c r="AH291" s="267">
        <f>IF(IndividualLATest!$J$7=2014,(VLOOKUP($A291,Hshldprojections2014!$A$2:$AY$326,47,FALSE)-VLOOKUP($A291,Hshldprojections2014!$A$2:$AY$326,37,FALSE))/10,IF(IndividualLATest!$J$7=2016,(VLOOKUP($A291,Hshldprojections2016!$A$1:$AQ$322,37,FALSE)-VLOOKUP($A291,Hshldprojections2016!$A$1:$AQ$322,27,FALSE))/10,(VLOOKUP($A291,Hshldprojections2018!$A$1:$AQ$327,37,FALSE)-VLOOKUP($A291,Hshldprojections2018!$A$1:$AQ$327,27,FALSE))/10))</f>
        <v>372.7</v>
      </c>
      <c r="AI291" s="268">
        <f>VLOOKUP($A291,AffordabilityRatio!$A$2:$I$321,5,FALSE)</f>
        <v>6.35</v>
      </c>
      <c r="AJ291" s="268">
        <f>VLOOKUP($A291,AffordabilityRatio!$A$2:$I$321,6,FALSE)</f>
        <v>6.31</v>
      </c>
      <c r="AK291" s="268">
        <f>VLOOKUP($A291,AffordabilityRatio!$A$2:$I$321,7,FALSE)</f>
        <v>6.75</v>
      </c>
      <c r="AL291" s="268">
        <f>IF((VLOOKUP($A291,AffordabilityRatio!$A$2:$I$321,8,FALSE))="",AK291,VLOOKUP($A291,AffordabilityRatio!$A$2:$I$321,8,FALSE))</f>
        <v>6.45</v>
      </c>
      <c r="AM291" s="268">
        <f>IF((VLOOKUP($A291,AffordabilityRatio!$A$2:$I$321,9,FALSE))="",AL291,VLOOKUP($A291,AffordabilityRatio!$A$2:$I$321,9,FALSE))</f>
        <v>7.08</v>
      </c>
      <c r="AN291" s="268">
        <f>IF((VLOOKUP($A291,AffordabilityRatio!$A$2:$I$321,9,FALSE))="",AM291,VLOOKUP($A291,AffordabilityRatio!$A$2:$I$321,9,FALSE))</f>
        <v>7.08</v>
      </c>
      <c r="AO291" s="268">
        <f>IF((VLOOKUP($A291,AffordabilityRatio!$A$2:$I$321,9,FALSE))="",AN291,VLOOKUP($A291,AffordabilityRatio!$A$2:$I$321,9,FALSE))</f>
        <v>7.08</v>
      </c>
      <c r="AP291" s="268">
        <f>IF((VLOOKUP($A291,AffordabilityRatio!$A$2:$I$321,9,FALSE))="",AO291,VLOOKUP($A291,AffordabilityRatio!$A$2:$I$321,9,FALSE))</f>
        <v>7.08</v>
      </c>
      <c r="AQ291" s="267">
        <f t="shared" si="282"/>
        <v>887</v>
      </c>
      <c r="AR291" s="267">
        <f t="shared" si="283"/>
        <v>859</v>
      </c>
      <c r="AS291" s="267">
        <f t="shared" si="284"/>
        <v>859</v>
      </c>
      <c r="AT291" s="267">
        <f t="shared" si="285"/>
        <v>463</v>
      </c>
      <c r="AU291" s="267">
        <f t="shared" si="286"/>
        <v>460</v>
      </c>
      <c r="AV291" s="267">
        <f t="shared" si="287"/>
        <v>452</v>
      </c>
      <c r="AW291" s="267">
        <f t="shared" si="288"/>
        <v>447</v>
      </c>
      <c r="AX291" s="267">
        <f t="shared" si="289"/>
        <v>444</v>
      </c>
      <c r="AY291" s="267">
        <f t="shared" si="290"/>
        <v>0</v>
      </c>
      <c r="AZ291" s="267">
        <f t="shared" si="291"/>
        <v>0</v>
      </c>
      <c r="BA291" s="267">
        <f t="shared" si="292"/>
        <v>859</v>
      </c>
      <c r="BB291" s="267">
        <f t="shared" si="293"/>
        <v>463</v>
      </c>
      <c r="BC291" s="267">
        <f t="shared" si="294"/>
        <v>460</v>
      </c>
      <c r="BD291" s="267">
        <f t="shared" si="295"/>
        <v>452</v>
      </c>
      <c r="BE291" s="267">
        <f t="shared" si="296"/>
        <v>447</v>
      </c>
      <c r="BF291" s="267">
        <f t="shared" si="297"/>
        <v>444</v>
      </c>
      <c r="BG291" s="269">
        <f>AY291*VLOOKUP($B291,'Major Cities &amp; Towns'!$A$28:$B$345,2,FALSE)</f>
        <v>0</v>
      </c>
      <c r="BH291" s="269">
        <f>AZ291*VLOOKUP($B291,'Major Cities &amp; Towns'!$A$28:$B$345,2,FALSE)</f>
        <v>0</v>
      </c>
      <c r="BI291" s="269">
        <f>BA291*VLOOKUP($B291,'Major Cities &amp; Towns'!$A$28:$B$345,2,FALSE)</f>
        <v>859</v>
      </c>
      <c r="BJ291" s="269">
        <f>BB291*VLOOKUP($B291,'Major Cities &amp; Towns'!$A$28:$B$345,2,FALSE)</f>
        <v>463</v>
      </c>
      <c r="BK291" s="269">
        <f>BC291*VLOOKUP($B291,'Major Cities &amp; Towns'!$A$28:$B$345,2,FALSE)</f>
        <v>460</v>
      </c>
      <c r="BL291" s="269">
        <f>BD291*VLOOKUP($B291,'Major Cities &amp; Towns'!$A$28:$B$345,2,FALSE)</f>
        <v>452</v>
      </c>
      <c r="BM291" s="269">
        <f>BE291*VLOOKUP($B291,'Major Cities &amp; Towns'!$A$28:$B$345,2,FALSE)</f>
        <v>447</v>
      </c>
      <c r="BN291" s="269">
        <f>BF291*VLOOKUP($B291,'Major Cities &amp; Towns'!$A$28:$B$345,2,FALSE)</f>
        <v>444</v>
      </c>
      <c r="BO291" s="270">
        <f t="shared" si="298"/>
        <v>0</v>
      </c>
      <c r="BP291" s="270">
        <f t="shared" si="299"/>
        <v>597.76986301369868</v>
      </c>
      <c r="BQ291" s="270">
        <f t="shared" si="300"/>
        <v>859</v>
      </c>
      <c r="BR291" s="270">
        <f t="shared" si="301"/>
        <v>463</v>
      </c>
      <c r="BS291" s="270">
        <f t="shared" si="302"/>
        <v>460</v>
      </c>
      <c r="BT291" s="270">
        <f t="shared" si="303"/>
        <v>452</v>
      </c>
      <c r="BU291" s="270">
        <f t="shared" si="304"/>
        <v>447</v>
      </c>
      <c r="BV291" s="270">
        <f t="shared" si="305"/>
        <v>444</v>
      </c>
      <c r="BW291" s="39">
        <f>VLOOKUP($A291,NetAdditions!$A$2:$H$336,6,FALSE)</f>
        <v>503</v>
      </c>
      <c r="BX291" s="39">
        <f>VLOOKUP($A291,NetAdditions!$A$2:$H$336,7,FALSE)</f>
        <v>541</v>
      </c>
      <c r="BY291" s="39">
        <f>IF((VLOOKUP($C291,NetAdditions!$A$2:$H$336,8,FALSE))="",(AVERAGE(VLOOKUP($C291,NetAdditions!$A$2:$H$336,5,FALSE),VLOOKUP($C291,NetAdditions!$A$2:$H$336,6,FALSE),VLOOKUP($C291,NetAdditions!$A$2:$H$336,7,FALSE))),VLOOKUP($C291,NetAdditions!$A$2:$H$336,8,FALSE))</f>
        <v>571</v>
      </c>
      <c r="BZ291" s="39">
        <f t="shared" si="306"/>
        <v>538.33333333333337</v>
      </c>
      <c r="CA291" s="39">
        <f t="shared" si="307"/>
        <v>550.1111111111112</v>
      </c>
      <c r="CB291" s="39">
        <f t="shared" si="308"/>
        <v>553.14814814814827</v>
      </c>
      <c r="CC291" s="39">
        <f t="shared" si="309"/>
        <v>547.19753086419757</v>
      </c>
      <c r="CD291" s="39">
        <f t="shared" si="310"/>
        <v>550.15226337448576</v>
      </c>
      <c r="CE291" s="276">
        <f t="shared" si="267"/>
        <v>1456.7698630136988</v>
      </c>
      <c r="CF291" s="276">
        <f t="shared" si="268"/>
        <v>1919.7698630136988</v>
      </c>
      <c r="CG291" s="276">
        <f t="shared" si="269"/>
        <v>1782</v>
      </c>
      <c r="CH291" s="276">
        <f t="shared" si="270"/>
        <v>1375</v>
      </c>
      <c r="CI291" s="276">
        <f t="shared" si="271"/>
        <v>1359</v>
      </c>
      <c r="CJ291" s="276">
        <f t="shared" si="272"/>
        <v>1343</v>
      </c>
      <c r="CK291" s="276">
        <f t="shared" si="311"/>
        <v>1254.4407153729073</v>
      </c>
      <c r="CL291" s="276">
        <f t="shared" si="312"/>
        <v>1653.1351598173519</v>
      </c>
      <c r="CM291" s="276">
        <f t="shared" si="313"/>
        <v>1633.5</v>
      </c>
      <c r="CN291" s="276">
        <f t="shared" si="314"/>
        <v>1375</v>
      </c>
      <c r="CO291" s="276">
        <f t="shared" si="315"/>
        <v>1359</v>
      </c>
      <c r="CP291" s="276">
        <f t="shared" si="316"/>
        <v>1343</v>
      </c>
      <c r="CQ291" s="39">
        <f t="shared" si="273"/>
        <v>1615</v>
      </c>
      <c r="CR291" s="39">
        <f t="shared" si="274"/>
        <v>1650.3333333333335</v>
      </c>
      <c r="CS291" s="277">
        <f t="shared" si="275"/>
        <v>1659.4444444444448</v>
      </c>
      <c r="CT291" s="39">
        <f t="shared" si="276"/>
        <v>1641.5925925925928</v>
      </c>
      <c r="CU291" s="39">
        <f t="shared" si="277"/>
        <v>1650.4567901234573</v>
      </c>
      <c r="CV291" s="39">
        <f t="shared" si="317"/>
        <v>1650.4979423868317</v>
      </c>
      <c r="CW291" s="297">
        <f t="shared" si="278"/>
        <v>1.2874263249020177</v>
      </c>
      <c r="CX291" s="279" t="str">
        <f t="shared" si="318"/>
        <v>Pass</v>
      </c>
      <c r="CY291" s="278">
        <f t="shared" si="279"/>
        <v>0.99830514373408641</v>
      </c>
      <c r="CZ291" s="279" t="str">
        <f t="shared" si="319"/>
        <v>Pass</v>
      </c>
      <c r="DA291" s="278">
        <f t="shared" si="280"/>
        <v>1.0158827330544504</v>
      </c>
      <c r="DB291" s="292" t="str">
        <f t="shared" si="320"/>
        <v>Pass</v>
      </c>
      <c r="DC291" s="299">
        <f t="shared" si="321"/>
        <v>1.193885521885522</v>
      </c>
      <c r="DD291" s="293" t="str">
        <f t="shared" si="322"/>
        <v>Pass</v>
      </c>
      <c r="DE291" s="299">
        <f t="shared" si="323"/>
        <v>1.2144641575595712</v>
      </c>
      <c r="DF291" s="293" t="str">
        <f t="shared" si="324"/>
        <v>Pass</v>
      </c>
      <c r="DG291" s="299">
        <f t="shared" si="325"/>
        <v>1.2289634716208724</v>
      </c>
      <c r="DH291" s="293" t="str">
        <f t="shared" si="326"/>
        <v>Pass</v>
      </c>
    </row>
    <row r="292" spans="1:112" ht="15" thickTop="1" thickBot="1">
      <c r="A292" s="38" t="s">
        <v>694</v>
      </c>
      <c r="B292" s="38" t="s">
        <v>695</v>
      </c>
      <c r="C292" s="38" t="s">
        <v>694</v>
      </c>
      <c r="D292" s="38" t="s">
        <v>154</v>
      </c>
      <c r="E292" s="38" t="str">
        <f>VLOOKUP(C292,PoliticalControl!A:K,11,FALSE)</f>
        <v>NOC</v>
      </c>
      <c r="F292" s="38" t="str">
        <f>VLOOKUP(C292,UrbanRuralClassification!A:N,13,FALSE)</f>
        <v>Urban with City and Town</v>
      </c>
      <c r="G292" s="38" t="str">
        <f>VLOOKUP(C292,UrbanRuralClassification!A:N,14,FALSE)</f>
        <v>Predominantly Urban</v>
      </c>
      <c r="H292" s="258">
        <f>IF(ISBLANK((VLOOKUP($A292,'local-plan-data'!$C$1:$AD$566,27,FALSE)))=TRUE,"",VLOOKUP($A292,'local-plan-data'!$C$1:$AD$566,27,FALSE))</f>
        <v>42999</v>
      </c>
      <c r="I292" s="259">
        <f>VLOOKUP($A292,'local-plan-data'!$C$1:$AD$566,28,FALSE)</f>
        <v>932</v>
      </c>
      <c r="J292" s="260">
        <f t="shared" si="281"/>
        <v>932</v>
      </c>
      <c r="K292" s="259">
        <f t="shared" si="327"/>
        <v>932</v>
      </c>
      <c r="L292" s="259">
        <f t="shared" si="327"/>
        <v>932</v>
      </c>
      <c r="M292" s="259">
        <f t="shared" si="327"/>
        <v>932</v>
      </c>
      <c r="N292" s="259">
        <f t="shared" si="327"/>
        <v>932</v>
      </c>
      <c r="O292" s="259">
        <f t="shared" si="327"/>
        <v>932</v>
      </c>
      <c r="P292" s="259" t="str">
        <f t="shared" si="327"/>
        <v>-</v>
      </c>
      <c r="Q292" s="259" t="str">
        <f t="shared" si="327"/>
        <v>-</v>
      </c>
      <c r="R292" s="259" t="str">
        <f t="shared" si="327"/>
        <v>-</v>
      </c>
      <c r="S292" s="259">
        <f t="shared" si="328"/>
        <v>1634</v>
      </c>
      <c r="T292" s="259">
        <f t="shared" si="328"/>
        <v>1269</v>
      </c>
      <c r="U292" s="259">
        <f t="shared" si="328"/>
        <v>903</v>
      </c>
      <c r="V292" s="259">
        <f t="shared" si="328"/>
        <v>538</v>
      </c>
      <c r="W292" s="259">
        <f t="shared" si="328"/>
        <v>173</v>
      </c>
      <c r="X292" s="259">
        <f t="shared" si="328"/>
        <v>-192</v>
      </c>
      <c r="Y292" s="259">
        <f t="shared" si="328"/>
        <v>-558</v>
      </c>
      <c r="Z292" s="259">
        <f t="shared" si="328"/>
        <v>-923</v>
      </c>
      <c r="AA292" s="267">
        <f>(VLOOKUP(A292,Hshldprojections2014!$A$2:$AW$319,40, FALSE)-VLOOKUP(A292,Hshldprojections2014!$A$2:$AW$319,30, FALSE))/10</f>
        <v>474.7</v>
      </c>
      <c r="AB292" s="267">
        <f>(VLOOKUP(A292,Hshldprojections2014!$A$2:$AW$319,41, FALSE)-VLOOKUP(A292,Hshldprojections2014!$A$2:$AW$319,31, FALSE))/10</f>
        <v>479.1</v>
      </c>
      <c r="AC292" s="267">
        <f>(VLOOKUP(A292,Hshldprojections2014!$A$2:$AW$319,42, FALSE)-VLOOKUP(A292,Hshldprojections2014!$A$2:$AW$319,32, FALSE))/10</f>
        <v>475.9</v>
      </c>
      <c r="AD292" s="267">
        <f>IF(IndividualLATest!$J$7=2014,(VLOOKUP($A292,Hshldprojections2014!$A$2:$AY$326,43,FALSE)-VLOOKUP($A292,Hshldprojections2014!$A$2:$AY$326,33,FALSE))/10,IF(IndividualLATest!$J$7=2016,(VLOOKUP($A292,Hshldprojections2016!$A$1:$AQ$322,33,FALSE)-VLOOKUP($A292,Hshldprojections2016!$A$1:$AQ$322,23,FALSE))/10,(VLOOKUP($A292,Hshldprojections2018!$A$1:$AQ$327,33,FALSE)-VLOOKUP($A292,Hshldprojections2018!$A$1:$AQ$327,23,FALSE))/10))</f>
        <v>493.3</v>
      </c>
      <c r="AE292" s="267">
        <f>IF(IndividualLATest!$J$7=2014,(VLOOKUP($A292,Hshldprojections2014!$A$2:$AY$326,44,FALSE)-VLOOKUP($A292,Hshldprojections2014!$A$2:$AY$326,34,FALSE))/10,IF(IndividualLATest!$J$7=2016,(VLOOKUP($A292,Hshldprojections2016!$A$1:$AQ$322,34,FALSE)-VLOOKUP($A292,Hshldprojections2016!$A$1:$AQ$322,24,FALSE))/10,(VLOOKUP($A292,Hshldprojections2018!$A$1:$AQ$327,34,FALSE)-VLOOKUP($A292,Hshldprojections2018!$A$1:$AQ$327,24,FALSE))/10))</f>
        <v>495.1</v>
      </c>
      <c r="AF292" s="267">
        <f>IF(IndividualLATest!$J$7=2014,(VLOOKUP($A292,Hshldprojections2014!$A$2:$AY$326,45,FALSE)-VLOOKUP($A292,Hshldprojections2014!$A$2:$AY$326,35,FALSE))/10,IF(IndividualLATest!$J$7=2016,(VLOOKUP($A292,Hshldprojections2016!$A$1:$AQ$322,35,FALSE)-VLOOKUP($A292,Hshldprojections2016!$A$1:$AQ$322,25,FALSE))/10,(VLOOKUP($A292,Hshldprojections2018!$A$1:$AQ$327,35,FALSE)-VLOOKUP($A292,Hshldprojections2018!$A$1:$AQ$327,25,FALSE))/10))</f>
        <v>494.7</v>
      </c>
      <c r="AG292" s="267">
        <f>IF(IndividualLATest!$J$7=2014,(VLOOKUP($A292,Hshldprojections2014!$A$2:$AY$326,46,FALSE)-VLOOKUP($A292,Hshldprojections2014!$A$2:$AY$326,36,FALSE))/10,IF(IndividualLATest!$J$7=2016,(VLOOKUP($A292,Hshldprojections2016!$A$1:$AQ$322,36,FALSE)-VLOOKUP($A292,Hshldprojections2016!$A$1:$AQ$322,26,FALSE))/10,(VLOOKUP($A292,Hshldprojections2018!$A$1:$AQ$327,36,FALSE)-VLOOKUP($A292,Hshldprojections2018!$A$1:$AQ$327,26,FALSE))/10))</f>
        <v>489.4</v>
      </c>
      <c r="AH292" s="267">
        <f>IF(IndividualLATest!$J$7=2014,(VLOOKUP($A292,Hshldprojections2014!$A$2:$AY$326,47,FALSE)-VLOOKUP($A292,Hshldprojections2014!$A$2:$AY$326,37,FALSE))/10,IF(IndividualLATest!$J$7=2016,(VLOOKUP($A292,Hshldprojections2016!$A$1:$AQ$322,37,FALSE)-VLOOKUP($A292,Hshldprojections2016!$A$1:$AQ$322,27,FALSE))/10,(VLOOKUP($A292,Hshldprojections2018!$A$1:$AQ$327,37,FALSE)-VLOOKUP($A292,Hshldprojections2018!$A$1:$AQ$327,27,FALSE))/10))</f>
        <v>483</v>
      </c>
      <c r="AI292" s="268">
        <f>VLOOKUP($A292,AffordabilityRatio!$A$2:$I$321,5,FALSE)</f>
        <v>9.27</v>
      </c>
      <c r="AJ292" s="268">
        <f>VLOOKUP($A292,AffordabilityRatio!$A$2:$I$321,6,FALSE)</f>
        <v>9.6199999999999992</v>
      </c>
      <c r="AK292" s="268">
        <f>VLOOKUP($A292,AffordabilityRatio!$A$2:$I$321,7,FALSE)</f>
        <v>9.07</v>
      </c>
      <c r="AL292" s="268">
        <f>IF((VLOOKUP($A292,AffordabilityRatio!$A$2:$I$321,8,FALSE))="",AK292,VLOOKUP($A292,AffordabilityRatio!$A$2:$I$321,8,FALSE))</f>
        <v>9.18</v>
      </c>
      <c r="AM292" s="268">
        <f>IF((VLOOKUP($A292,AffordabilityRatio!$A$2:$I$321,9,FALSE))="",AL292,VLOOKUP($A292,AffordabilityRatio!$A$2:$I$321,9,FALSE))</f>
        <v>10.73</v>
      </c>
      <c r="AN292" s="268">
        <f>IF((VLOOKUP($A292,AffordabilityRatio!$A$2:$I$321,9,FALSE))="",AM292,VLOOKUP($A292,AffordabilityRatio!$A$2:$I$321,9,FALSE))</f>
        <v>10.73</v>
      </c>
      <c r="AO292" s="268">
        <f>IF((VLOOKUP($A292,AffordabilityRatio!$A$2:$I$321,9,FALSE))="",AN292,VLOOKUP($A292,AffordabilityRatio!$A$2:$I$321,9,FALSE))</f>
        <v>10.73</v>
      </c>
      <c r="AP292" s="268">
        <f>IF((VLOOKUP($A292,AffordabilityRatio!$A$2:$I$321,9,FALSE))="",AO292,VLOOKUP($A292,AffordabilityRatio!$A$2:$I$321,9,FALSE))</f>
        <v>10.73</v>
      </c>
      <c r="AQ292" s="267">
        <f t="shared" si="282"/>
        <v>631</v>
      </c>
      <c r="AR292" s="267">
        <f t="shared" si="283"/>
        <v>647</v>
      </c>
      <c r="AS292" s="267">
        <f t="shared" si="284"/>
        <v>627</v>
      </c>
      <c r="AT292" s="267">
        <f t="shared" si="285"/>
        <v>653</v>
      </c>
      <c r="AU292" s="267">
        <f t="shared" si="286"/>
        <v>703</v>
      </c>
      <c r="AV292" s="267">
        <f t="shared" si="287"/>
        <v>703</v>
      </c>
      <c r="AW292" s="267">
        <f t="shared" si="288"/>
        <v>695</v>
      </c>
      <c r="AX292" s="267">
        <f t="shared" si="289"/>
        <v>686</v>
      </c>
      <c r="AY292" s="267">
        <f t="shared" si="290"/>
        <v>631</v>
      </c>
      <c r="AZ292" s="267">
        <f t="shared" si="291"/>
        <v>647</v>
      </c>
      <c r="BA292" s="267">
        <f t="shared" si="292"/>
        <v>627</v>
      </c>
      <c r="BB292" s="267">
        <f t="shared" si="293"/>
        <v>653</v>
      </c>
      <c r="BC292" s="267">
        <f t="shared" si="294"/>
        <v>703</v>
      </c>
      <c r="BD292" s="267">
        <f t="shared" si="295"/>
        <v>703</v>
      </c>
      <c r="BE292" s="267">
        <f t="shared" si="296"/>
        <v>695</v>
      </c>
      <c r="BF292" s="267">
        <f t="shared" si="297"/>
        <v>686</v>
      </c>
      <c r="BG292" s="269">
        <f>AY292*VLOOKUP($B292,'Major Cities &amp; Towns'!$A$28:$B$345,2,FALSE)</f>
        <v>631</v>
      </c>
      <c r="BH292" s="269">
        <f>AZ292*VLOOKUP($B292,'Major Cities &amp; Towns'!$A$28:$B$345,2,FALSE)</f>
        <v>647</v>
      </c>
      <c r="BI292" s="269">
        <f>BA292*VLOOKUP($B292,'Major Cities &amp; Towns'!$A$28:$B$345,2,FALSE)</f>
        <v>627</v>
      </c>
      <c r="BJ292" s="269">
        <f>BB292*VLOOKUP($B292,'Major Cities &amp; Towns'!$A$28:$B$345,2,FALSE)</f>
        <v>653</v>
      </c>
      <c r="BK292" s="269">
        <f>BC292*VLOOKUP($B292,'Major Cities &amp; Towns'!$A$28:$B$345,2,FALSE)</f>
        <v>703</v>
      </c>
      <c r="BL292" s="269">
        <f>BD292*VLOOKUP($B292,'Major Cities &amp; Towns'!$A$28:$B$345,2,FALSE)</f>
        <v>703</v>
      </c>
      <c r="BM292" s="269">
        <f>BE292*VLOOKUP($B292,'Major Cities &amp; Towns'!$A$28:$B$345,2,FALSE)</f>
        <v>695</v>
      </c>
      <c r="BN292" s="269">
        <f>BF292*VLOOKUP($B292,'Major Cities &amp; Towns'!$A$28:$B$345,2,FALSE)</f>
        <v>686</v>
      </c>
      <c r="BO292" s="270">
        <f t="shared" si="298"/>
        <v>631</v>
      </c>
      <c r="BP292" s="270">
        <f t="shared" si="299"/>
        <v>647</v>
      </c>
      <c r="BQ292" s="270">
        <f t="shared" si="300"/>
        <v>627</v>
      </c>
      <c r="BR292" s="270">
        <f t="shared" si="301"/>
        <v>653</v>
      </c>
      <c r="BS292" s="270">
        <f t="shared" si="302"/>
        <v>703</v>
      </c>
      <c r="BT292" s="270">
        <f t="shared" si="303"/>
        <v>703</v>
      </c>
      <c r="BU292" s="270">
        <f t="shared" si="304"/>
        <v>695</v>
      </c>
      <c r="BV292" s="270">
        <f t="shared" si="305"/>
        <v>686</v>
      </c>
      <c r="BW292" s="39">
        <f>VLOOKUP($A292,NetAdditions!$A$2:$H$336,6,FALSE)</f>
        <v>961</v>
      </c>
      <c r="BX292" s="39">
        <f>VLOOKUP($A292,NetAdditions!$A$2:$H$336,7,FALSE)</f>
        <v>1036</v>
      </c>
      <c r="BY292" s="39">
        <f>IF((VLOOKUP($C292,NetAdditions!$A$2:$H$336,8,FALSE))="",(AVERAGE(VLOOKUP($C292,NetAdditions!$A$2:$H$336,5,FALSE),VLOOKUP($C292,NetAdditions!$A$2:$H$336,6,FALSE),VLOOKUP($C292,NetAdditions!$A$2:$H$336,7,FALSE))),VLOOKUP($C292,NetAdditions!$A$2:$H$336,8,FALSE))</f>
        <v>752</v>
      </c>
      <c r="BZ292" s="39">
        <f t="shared" si="306"/>
        <v>916.33333333333337</v>
      </c>
      <c r="CA292" s="39">
        <f t="shared" si="307"/>
        <v>901.44444444444446</v>
      </c>
      <c r="CB292" s="39">
        <f t="shared" si="308"/>
        <v>856.59259259259261</v>
      </c>
      <c r="CC292" s="39">
        <f t="shared" si="309"/>
        <v>891.45679012345681</v>
      </c>
      <c r="CD292" s="39">
        <f t="shared" si="310"/>
        <v>883.16460905349788</v>
      </c>
      <c r="CE292" s="276">
        <f t="shared" si="267"/>
        <v>1905</v>
      </c>
      <c r="CF292" s="276">
        <f t="shared" si="268"/>
        <v>1927</v>
      </c>
      <c r="CG292" s="276">
        <f t="shared" si="269"/>
        <v>1983</v>
      </c>
      <c r="CH292" s="276">
        <f t="shared" si="270"/>
        <v>2059</v>
      </c>
      <c r="CI292" s="276">
        <f t="shared" si="271"/>
        <v>2101</v>
      </c>
      <c r="CJ292" s="276">
        <f t="shared" si="272"/>
        <v>2084</v>
      </c>
      <c r="CK292" s="276">
        <f t="shared" si="311"/>
        <v>1640.4166666666667</v>
      </c>
      <c r="CL292" s="276">
        <f t="shared" si="312"/>
        <v>1659.3611111111113</v>
      </c>
      <c r="CM292" s="276">
        <f t="shared" si="313"/>
        <v>1817.75</v>
      </c>
      <c r="CN292" s="276">
        <f t="shared" si="314"/>
        <v>2059</v>
      </c>
      <c r="CO292" s="276">
        <f t="shared" si="315"/>
        <v>2101</v>
      </c>
      <c r="CP292" s="276">
        <f t="shared" si="316"/>
        <v>2084</v>
      </c>
      <c r="CQ292" s="39">
        <f t="shared" si="273"/>
        <v>2749</v>
      </c>
      <c r="CR292" s="39">
        <f t="shared" si="274"/>
        <v>2704.3333333333335</v>
      </c>
      <c r="CS292" s="277">
        <f t="shared" si="275"/>
        <v>2569.7777777777778</v>
      </c>
      <c r="CT292" s="39">
        <f t="shared" si="276"/>
        <v>2674.3703703703704</v>
      </c>
      <c r="CU292" s="39">
        <f t="shared" si="277"/>
        <v>2649.4938271604938</v>
      </c>
      <c r="CV292" s="39">
        <f t="shared" si="317"/>
        <v>2631.2139917695472</v>
      </c>
      <c r="CW292" s="297">
        <f t="shared" si="278"/>
        <v>1.675793751587503</v>
      </c>
      <c r="CX292" s="279" t="str">
        <f t="shared" si="318"/>
        <v>Pass</v>
      </c>
      <c r="CY292" s="278">
        <f t="shared" si="279"/>
        <v>1.6297437099285199</v>
      </c>
      <c r="CZ292" s="279" t="str">
        <f t="shared" si="319"/>
        <v>Pass</v>
      </c>
      <c r="DA292" s="278">
        <f t="shared" si="280"/>
        <v>1.4137135347422791</v>
      </c>
      <c r="DB292" s="292" t="str">
        <f t="shared" si="320"/>
        <v>Pass</v>
      </c>
      <c r="DC292" s="299">
        <f t="shared" si="321"/>
        <v>1.2988685625888152</v>
      </c>
      <c r="DD292" s="293" t="str">
        <f t="shared" si="322"/>
        <v>Pass</v>
      </c>
      <c r="DE292" s="299">
        <f t="shared" si="323"/>
        <v>1.2610632209236048</v>
      </c>
      <c r="DF292" s="293" t="str">
        <f t="shared" si="324"/>
        <v>Pass</v>
      </c>
      <c r="DG292" s="299">
        <f t="shared" si="325"/>
        <v>1.2625786908683048</v>
      </c>
      <c r="DH292" s="293" t="str">
        <f t="shared" si="326"/>
        <v>Pass</v>
      </c>
    </row>
    <row r="293" spans="1:112" ht="15" thickTop="1" thickBot="1">
      <c r="A293" s="38" t="s">
        <v>696</v>
      </c>
      <c r="B293" s="38" t="s">
        <v>697</v>
      </c>
      <c r="C293" s="38" t="s">
        <v>696</v>
      </c>
      <c r="D293" s="38" t="s">
        <v>128</v>
      </c>
      <c r="E293" s="38" t="str">
        <f>VLOOKUP(C293,PoliticalControl!A:K,11,FALSE)</f>
        <v>LD</v>
      </c>
      <c r="F293" s="38" t="str">
        <f>VLOOKUP(C293,UrbanRuralClassification!A:N,13,FALSE)</f>
        <v>Urban with Major Conurbation</v>
      </c>
      <c r="G293" s="38" t="str">
        <f>VLOOKUP(C293,UrbanRuralClassification!A:N,14,FALSE)</f>
        <v>Predominantly Urban</v>
      </c>
      <c r="H293" s="258">
        <f>IF(ISBLANK((VLOOKUP($A293,'local-plan-data'!$C$1:$AD$566,27,FALSE)))=TRUE,"",VLOOKUP($A293,'local-plan-data'!$C$1:$AD$566,27,FALSE))</f>
        <v>41304</v>
      </c>
      <c r="I293" s="259">
        <f>VLOOKUP($A293,'local-plan-data'!$C$1:$AD$566,28,FALSE)</f>
        <v>260</v>
      </c>
      <c r="J293" s="260">
        <f t="shared" si="281"/>
        <v>260</v>
      </c>
      <c r="K293" s="259" t="str">
        <f t="shared" si="327"/>
        <v>-</v>
      </c>
      <c r="L293" s="259" t="str">
        <f t="shared" si="327"/>
        <v>-</v>
      </c>
      <c r="M293" s="259" t="str">
        <f t="shared" si="327"/>
        <v>-</v>
      </c>
      <c r="N293" s="259" t="str">
        <f t="shared" si="327"/>
        <v>-</v>
      </c>
      <c r="O293" s="259" t="str">
        <f t="shared" si="327"/>
        <v>-</v>
      </c>
      <c r="P293" s="259" t="str">
        <f t="shared" si="327"/>
        <v>-</v>
      </c>
      <c r="Q293" s="259" t="str">
        <f t="shared" si="327"/>
        <v>-</v>
      </c>
      <c r="R293" s="259" t="str">
        <f t="shared" si="327"/>
        <v>-</v>
      </c>
      <c r="S293" s="259">
        <f t="shared" si="328"/>
        <v>-61</v>
      </c>
      <c r="T293" s="259">
        <f t="shared" si="328"/>
        <v>-426</v>
      </c>
      <c r="U293" s="259">
        <f t="shared" si="328"/>
        <v>-792</v>
      </c>
      <c r="V293" s="259">
        <f t="shared" si="328"/>
        <v>-1157</v>
      </c>
      <c r="W293" s="259">
        <f t="shared" si="328"/>
        <v>-1522</v>
      </c>
      <c r="X293" s="259">
        <f t="shared" si="328"/>
        <v>-1887</v>
      </c>
      <c r="Y293" s="259">
        <f t="shared" si="328"/>
        <v>-2253</v>
      </c>
      <c r="Z293" s="259">
        <f t="shared" si="328"/>
        <v>-2618</v>
      </c>
      <c r="AA293" s="267">
        <f>(VLOOKUP(A293,Hshldprojections2014!$A$2:$AW$319,40, FALSE)-VLOOKUP(A293,Hshldprojections2014!$A$2:$AW$319,30, FALSE))/10</f>
        <v>570.20000000000005</v>
      </c>
      <c r="AB293" s="267">
        <f>(VLOOKUP(A293,Hshldprojections2014!$A$2:$AW$319,41, FALSE)-VLOOKUP(A293,Hshldprojections2014!$A$2:$AW$319,31, FALSE))/10</f>
        <v>566.29999999999995</v>
      </c>
      <c r="AC293" s="267">
        <f>(VLOOKUP(A293,Hshldprojections2014!$A$2:$AW$319,42, FALSE)-VLOOKUP(A293,Hshldprojections2014!$A$2:$AW$319,32, FALSE))/10</f>
        <v>562</v>
      </c>
      <c r="AD293" s="267">
        <f>IF(IndividualLATest!$J$7=2014,(VLOOKUP($A293,Hshldprojections2014!$A$2:$AY$326,43,FALSE)-VLOOKUP($A293,Hshldprojections2014!$A$2:$AY$326,33,FALSE))/10,IF(IndividualLATest!$J$7=2016,(VLOOKUP($A293,Hshldprojections2016!$A$1:$AQ$322,33,FALSE)-VLOOKUP($A293,Hshldprojections2016!$A$1:$AQ$322,23,FALSE))/10,(VLOOKUP($A293,Hshldprojections2018!$A$1:$AQ$327,33,FALSE)-VLOOKUP($A293,Hshldprojections2018!$A$1:$AQ$327,23,FALSE))/10))</f>
        <v>109.2</v>
      </c>
      <c r="AE293" s="267">
        <f>IF(IndividualLATest!$J$7=2014,(VLOOKUP($A293,Hshldprojections2014!$A$2:$AY$326,44,FALSE)-VLOOKUP($A293,Hshldprojections2014!$A$2:$AY$326,34,FALSE))/10,IF(IndividualLATest!$J$7=2016,(VLOOKUP($A293,Hshldprojections2016!$A$1:$AQ$322,34,FALSE)-VLOOKUP($A293,Hshldprojections2016!$A$1:$AQ$322,24,FALSE))/10,(VLOOKUP($A293,Hshldprojections2018!$A$1:$AQ$327,34,FALSE)-VLOOKUP($A293,Hshldprojections2018!$A$1:$AQ$327,24,FALSE))/10))</f>
        <v>107.9</v>
      </c>
      <c r="AF293" s="267">
        <f>IF(IndividualLATest!$J$7=2014,(VLOOKUP($A293,Hshldprojections2014!$A$2:$AY$326,45,FALSE)-VLOOKUP($A293,Hshldprojections2014!$A$2:$AY$326,35,FALSE))/10,IF(IndividualLATest!$J$7=2016,(VLOOKUP($A293,Hshldprojections2016!$A$1:$AQ$322,35,FALSE)-VLOOKUP($A293,Hshldprojections2016!$A$1:$AQ$322,25,FALSE))/10,(VLOOKUP($A293,Hshldprojections2018!$A$1:$AQ$327,35,FALSE)-VLOOKUP($A293,Hshldprojections2018!$A$1:$AQ$327,25,FALSE))/10))</f>
        <v>105.8</v>
      </c>
      <c r="AG293" s="267">
        <f>IF(IndividualLATest!$J$7=2014,(VLOOKUP($A293,Hshldprojections2014!$A$2:$AY$326,46,FALSE)-VLOOKUP($A293,Hshldprojections2014!$A$2:$AY$326,36,FALSE))/10,IF(IndividualLATest!$J$7=2016,(VLOOKUP($A293,Hshldprojections2016!$A$1:$AQ$322,36,FALSE)-VLOOKUP($A293,Hshldprojections2016!$A$1:$AQ$322,26,FALSE))/10,(VLOOKUP($A293,Hshldprojections2018!$A$1:$AQ$327,36,FALSE)-VLOOKUP($A293,Hshldprojections2018!$A$1:$AQ$327,26,FALSE))/10))</f>
        <v>107.1</v>
      </c>
      <c r="AH293" s="267">
        <f>IF(IndividualLATest!$J$7=2014,(VLOOKUP($A293,Hshldprojections2014!$A$2:$AY$326,47,FALSE)-VLOOKUP($A293,Hshldprojections2014!$A$2:$AY$326,37,FALSE))/10,IF(IndividualLATest!$J$7=2016,(VLOOKUP($A293,Hshldprojections2016!$A$1:$AQ$322,37,FALSE)-VLOOKUP($A293,Hshldprojections2016!$A$1:$AQ$322,27,FALSE))/10,(VLOOKUP($A293,Hshldprojections2018!$A$1:$AQ$327,37,FALSE)-VLOOKUP($A293,Hshldprojections2018!$A$1:$AQ$327,27,FALSE))/10))</f>
        <v>108.4</v>
      </c>
      <c r="AI293" s="268">
        <f>VLOOKUP($A293,AffordabilityRatio!$A$2:$I$321,5,FALSE)</f>
        <v>12.77</v>
      </c>
      <c r="AJ293" s="268">
        <f>VLOOKUP($A293,AffordabilityRatio!$A$2:$I$321,6,FALSE)</f>
        <v>12.53</v>
      </c>
      <c r="AK293" s="268">
        <f>VLOOKUP($A293,AffordabilityRatio!$A$2:$I$321,7,FALSE)</f>
        <v>11.82</v>
      </c>
      <c r="AL293" s="268">
        <f>IF((VLOOKUP($A293,AffordabilityRatio!$A$2:$I$321,8,FALSE))="",AK293,VLOOKUP($A293,AffordabilityRatio!$A$2:$I$321,8,FALSE))</f>
        <v>11.82</v>
      </c>
      <c r="AM293" s="268">
        <f>IF((VLOOKUP($A293,AffordabilityRatio!$A$2:$I$321,9,FALSE))="",AL293,VLOOKUP($A293,AffordabilityRatio!$A$2:$I$321,9,FALSE))</f>
        <v>12.47</v>
      </c>
      <c r="AN293" s="268">
        <f>IF((VLOOKUP($A293,AffordabilityRatio!$A$2:$I$321,9,FALSE))="",AM293,VLOOKUP($A293,AffordabilityRatio!$A$2:$I$321,9,FALSE))</f>
        <v>12.47</v>
      </c>
      <c r="AO293" s="268">
        <f>IF((VLOOKUP($A293,AffordabilityRatio!$A$2:$I$321,9,FALSE))="",AN293,VLOOKUP($A293,AffordabilityRatio!$A$2:$I$321,9,FALSE))</f>
        <v>12.47</v>
      </c>
      <c r="AP293" s="268">
        <f>IF((VLOOKUP($A293,AffordabilityRatio!$A$2:$I$321,9,FALSE))="",AO293,VLOOKUP($A293,AffordabilityRatio!$A$2:$I$321,9,FALSE))</f>
        <v>12.47</v>
      </c>
      <c r="AQ293" s="267">
        <f t="shared" si="282"/>
        <v>883</v>
      </c>
      <c r="AR293" s="267">
        <f t="shared" si="283"/>
        <v>868</v>
      </c>
      <c r="AS293" s="267">
        <f t="shared" si="284"/>
        <v>837</v>
      </c>
      <c r="AT293" s="267">
        <f t="shared" si="285"/>
        <v>163</v>
      </c>
      <c r="AU293" s="267">
        <f t="shared" si="286"/>
        <v>165</v>
      </c>
      <c r="AV293" s="267">
        <f t="shared" si="287"/>
        <v>162</v>
      </c>
      <c r="AW293" s="267">
        <f t="shared" si="288"/>
        <v>164</v>
      </c>
      <c r="AX293" s="267">
        <f t="shared" si="289"/>
        <v>166</v>
      </c>
      <c r="AY293" s="267">
        <f t="shared" si="290"/>
        <v>798.28000000000009</v>
      </c>
      <c r="AZ293" s="267">
        <f t="shared" si="291"/>
        <v>792.81999999999994</v>
      </c>
      <c r="BA293" s="267">
        <f t="shared" si="292"/>
        <v>786.8</v>
      </c>
      <c r="BB293" s="267">
        <f t="shared" si="293"/>
        <v>163</v>
      </c>
      <c r="BC293" s="267">
        <f t="shared" si="294"/>
        <v>165</v>
      </c>
      <c r="BD293" s="267">
        <f t="shared" si="295"/>
        <v>162</v>
      </c>
      <c r="BE293" s="267">
        <f t="shared" si="296"/>
        <v>164</v>
      </c>
      <c r="BF293" s="267">
        <f t="shared" si="297"/>
        <v>166</v>
      </c>
      <c r="BG293" s="269">
        <f>AY293*VLOOKUP($B293,'Major Cities &amp; Towns'!$A$28:$B$345,2,FALSE)</f>
        <v>798.28000000000009</v>
      </c>
      <c r="BH293" s="269">
        <f>AZ293*VLOOKUP($B293,'Major Cities &amp; Towns'!$A$28:$B$345,2,FALSE)</f>
        <v>792.81999999999994</v>
      </c>
      <c r="BI293" s="269">
        <f>BA293*VLOOKUP($B293,'Major Cities &amp; Towns'!$A$28:$B$345,2,FALSE)</f>
        <v>786.8</v>
      </c>
      <c r="BJ293" s="269">
        <f>BB293*VLOOKUP($B293,'Major Cities &amp; Towns'!$A$28:$B$345,2,FALSE)</f>
        <v>163</v>
      </c>
      <c r="BK293" s="269">
        <f>BC293*VLOOKUP($B293,'Major Cities &amp; Towns'!$A$28:$B$345,2,FALSE)</f>
        <v>165</v>
      </c>
      <c r="BL293" s="269">
        <f>BD293*VLOOKUP($B293,'Major Cities &amp; Towns'!$A$28:$B$345,2,FALSE)</f>
        <v>162</v>
      </c>
      <c r="BM293" s="269">
        <f>BE293*VLOOKUP($B293,'Major Cities &amp; Towns'!$A$28:$B$345,2,FALSE)</f>
        <v>164</v>
      </c>
      <c r="BN293" s="269">
        <f>BF293*VLOOKUP($B293,'Major Cities &amp; Towns'!$A$28:$B$345,2,FALSE)</f>
        <v>166</v>
      </c>
      <c r="BO293" s="270">
        <f t="shared" si="298"/>
        <v>883</v>
      </c>
      <c r="BP293" s="270">
        <f t="shared" si="299"/>
        <v>868</v>
      </c>
      <c r="BQ293" s="270">
        <f t="shared" si="300"/>
        <v>837</v>
      </c>
      <c r="BR293" s="270">
        <f t="shared" si="301"/>
        <v>163</v>
      </c>
      <c r="BS293" s="270">
        <f t="shared" si="302"/>
        <v>165</v>
      </c>
      <c r="BT293" s="270">
        <f t="shared" si="303"/>
        <v>162</v>
      </c>
      <c r="BU293" s="270">
        <f t="shared" si="304"/>
        <v>164</v>
      </c>
      <c r="BV293" s="270">
        <f t="shared" si="305"/>
        <v>166</v>
      </c>
      <c r="BW293" s="39">
        <f>VLOOKUP($A293,NetAdditions!$A$2:$H$336,6,FALSE)</f>
        <v>268</v>
      </c>
      <c r="BX293" s="39">
        <f>VLOOKUP($A293,NetAdditions!$A$2:$H$336,7,FALSE)</f>
        <v>264</v>
      </c>
      <c r="BY293" s="39">
        <f>IF((VLOOKUP($C293,NetAdditions!$A$2:$H$336,8,FALSE))="",(AVERAGE(VLOOKUP($C293,NetAdditions!$A$2:$H$336,5,FALSE),VLOOKUP($C293,NetAdditions!$A$2:$H$336,6,FALSE),VLOOKUP($C293,NetAdditions!$A$2:$H$336,7,FALSE))),VLOOKUP($C293,NetAdditions!$A$2:$H$336,8,FALSE))</f>
        <v>395</v>
      </c>
      <c r="BZ293" s="39">
        <f t="shared" si="306"/>
        <v>309</v>
      </c>
      <c r="CA293" s="39">
        <f t="shared" si="307"/>
        <v>322.66666666666669</v>
      </c>
      <c r="CB293" s="39">
        <f t="shared" si="308"/>
        <v>342.22222222222223</v>
      </c>
      <c r="CC293" s="39">
        <f t="shared" si="309"/>
        <v>324.62962962962962</v>
      </c>
      <c r="CD293" s="39">
        <f t="shared" si="310"/>
        <v>329.83950617283949</v>
      </c>
      <c r="CE293" s="276">
        <f t="shared" si="267"/>
        <v>2588</v>
      </c>
      <c r="CF293" s="276">
        <f t="shared" si="268"/>
        <v>1868</v>
      </c>
      <c r="CG293" s="276">
        <f t="shared" si="269"/>
        <v>1165</v>
      </c>
      <c r="CH293" s="276">
        <f t="shared" si="270"/>
        <v>490</v>
      </c>
      <c r="CI293" s="276">
        <f t="shared" si="271"/>
        <v>491</v>
      </c>
      <c r="CJ293" s="276">
        <f t="shared" si="272"/>
        <v>492</v>
      </c>
      <c r="CK293" s="276">
        <f t="shared" si="311"/>
        <v>2228.5555555555557</v>
      </c>
      <c r="CL293" s="276">
        <f t="shared" si="312"/>
        <v>1608.5555555555557</v>
      </c>
      <c r="CM293" s="276">
        <f t="shared" si="313"/>
        <v>1067.9166666666665</v>
      </c>
      <c r="CN293" s="276">
        <f t="shared" si="314"/>
        <v>490</v>
      </c>
      <c r="CO293" s="276">
        <f t="shared" si="315"/>
        <v>491</v>
      </c>
      <c r="CP293" s="276">
        <f t="shared" si="316"/>
        <v>492</v>
      </c>
      <c r="CQ293" s="39">
        <f t="shared" si="273"/>
        <v>927</v>
      </c>
      <c r="CR293" s="39">
        <f t="shared" si="274"/>
        <v>968</v>
      </c>
      <c r="CS293" s="277">
        <f t="shared" si="275"/>
        <v>1026.6666666666667</v>
      </c>
      <c r="CT293" s="39">
        <f t="shared" si="276"/>
        <v>973.88888888888891</v>
      </c>
      <c r="CU293" s="39">
        <f t="shared" si="277"/>
        <v>989.51851851851848</v>
      </c>
      <c r="CV293" s="39">
        <f t="shared" si="317"/>
        <v>996.69135802469134</v>
      </c>
      <c r="CW293" s="297">
        <f t="shared" si="278"/>
        <v>0.41596450117166073</v>
      </c>
      <c r="CX293" s="279" t="str">
        <f t="shared" si="318"/>
        <v>Buffer and Action Plan</v>
      </c>
      <c r="CY293" s="278">
        <f t="shared" si="279"/>
        <v>0.60178213718311802</v>
      </c>
      <c r="CZ293" s="279" t="str">
        <f t="shared" si="319"/>
        <v>Buffer and Action Plan</v>
      </c>
      <c r="DA293" s="278">
        <f t="shared" si="280"/>
        <v>0.96137339055794013</v>
      </c>
      <c r="DB293" s="292" t="str">
        <f t="shared" si="320"/>
        <v>Pass</v>
      </c>
      <c r="DC293" s="299">
        <f t="shared" si="321"/>
        <v>1.9875283446712018</v>
      </c>
      <c r="DD293" s="293" t="str">
        <f t="shared" si="322"/>
        <v>Pass</v>
      </c>
      <c r="DE293" s="299">
        <f t="shared" si="323"/>
        <v>2.015312665007166</v>
      </c>
      <c r="DF293" s="293" t="str">
        <f t="shared" si="324"/>
        <v>Pass</v>
      </c>
      <c r="DG293" s="299">
        <f t="shared" si="325"/>
        <v>2.0257954431396166</v>
      </c>
      <c r="DH293" s="293" t="str">
        <f t="shared" si="326"/>
        <v>Pass</v>
      </c>
    </row>
    <row r="294" spans="1:112" ht="15" thickTop="1" thickBot="1">
      <c r="A294" s="38" t="s">
        <v>698</v>
      </c>
      <c r="B294" s="38" t="s">
        <v>699</v>
      </c>
      <c r="C294" s="38" t="s">
        <v>698</v>
      </c>
      <c r="D294" s="38" t="s">
        <v>113</v>
      </c>
      <c r="E294" s="38" t="str">
        <f>VLOOKUP(C294,PoliticalControl!A:K,11,FALSE)</f>
        <v>NOC</v>
      </c>
      <c r="F294" s="38" t="str">
        <f>VLOOKUP(C294,UrbanRuralClassification!A:N,13,FALSE)</f>
        <v xml:space="preserve">Largely Rural (rural including hub towns 50-79%) </v>
      </c>
      <c r="G294" s="38" t="str">
        <f>VLOOKUP(C294,UrbanRuralClassification!A:N,14,FALSE)</f>
        <v>Predominantly Rural</v>
      </c>
      <c r="H294" s="258">
        <f>IF(ISBLANK((VLOOKUP($A294,'local-plan-data'!$C$1:$AD$566,27,FALSE)))=TRUE,"",VLOOKUP($A294,'local-plan-data'!$C$1:$AD$566,27,FALSE))</f>
        <v>43151</v>
      </c>
      <c r="I294" s="259">
        <f>VLOOKUP($A294,'local-plan-data'!$C$1:$AD$566,28,FALSE)</f>
        <v>590</v>
      </c>
      <c r="J294" s="260">
        <f t="shared" si="281"/>
        <v>590</v>
      </c>
      <c r="K294" s="259">
        <f t="shared" si="327"/>
        <v>590</v>
      </c>
      <c r="L294" s="259">
        <f t="shared" si="327"/>
        <v>590</v>
      </c>
      <c r="M294" s="259">
        <f t="shared" si="327"/>
        <v>590</v>
      </c>
      <c r="N294" s="259">
        <f t="shared" si="327"/>
        <v>590</v>
      </c>
      <c r="O294" s="259">
        <f t="shared" si="327"/>
        <v>590</v>
      </c>
      <c r="P294" s="259" t="str">
        <f t="shared" si="327"/>
        <v>-</v>
      </c>
      <c r="Q294" s="259" t="str">
        <f t="shared" si="327"/>
        <v>-</v>
      </c>
      <c r="R294" s="259" t="str">
        <f t="shared" si="327"/>
        <v>-</v>
      </c>
      <c r="S294" s="259">
        <f t="shared" si="328"/>
        <v>1786</v>
      </c>
      <c r="T294" s="259">
        <f t="shared" si="328"/>
        <v>1421</v>
      </c>
      <c r="U294" s="259">
        <f t="shared" si="328"/>
        <v>1055</v>
      </c>
      <c r="V294" s="259">
        <f t="shared" si="328"/>
        <v>690</v>
      </c>
      <c r="W294" s="259">
        <f t="shared" si="328"/>
        <v>325</v>
      </c>
      <c r="X294" s="259">
        <f t="shared" si="328"/>
        <v>-40</v>
      </c>
      <c r="Y294" s="259">
        <f t="shared" si="328"/>
        <v>-406</v>
      </c>
      <c r="Z294" s="259">
        <f t="shared" si="328"/>
        <v>-771</v>
      </c>
      <c r="AA294" s="267">
        <f>(VLOOKUP(A294,Hshldprojections2014!$A$2:$AW$319,40, FALSE)-VLOOKUP(A294,Hshldprojections2014!$A$2:$AW$319,30, FALSE))/10</f>
        <v>388.5</v>
      </c>
      <c r="AB294" s="267">
        <f>(VLOOKUP(A294,Hshldprojections2014!$A$2:$AW$319,41, FALSE)-VLOOKUP(A294,Hshldprojections2014!$A$2:$AW$319,31, FALSE))/10</f>
        <v>388.4</v>
      </c>
      <c r="AC294" s="267">
        <f>(VLOOKUP(A294,Hshldprojections2014!$A$2:$AW$319,42, FALSE)-VLOOKUP(A294,Hshldprojections2014!$A$2:$AW$319,32, FALSE))/10</f>
        <v>391.5</v>
      </c>
      <c r="AD294" s="267">
        <f>IF(IndividualLATest!$J$7=2014,(VLOOKUP($A294,Hshldprojections2014!$A$2:$AY$326,43,FALSE)-VLOOKUP($A294,Hshldprojections2014!$A$2:$AY$326,33,FALSE))/10,IF(IndividualLATest!$J$7=2016,(VLOOKUP($A294,Hshldprojections2016!$A$1:$AQ$322,33,FALSE)-VLOOKUP($A294,Hshldprojections2016!$A$1:$AQ$322,23,FALSE))/10,(VLOOKUP($A294,Hshldprojections2018!$A$1:$AQ$327,33,FALSE)-VLOOKUP($A294,Hshldprojections2018!$A$1:$AQ$327,23,FALSE))/10))</f>
        <v>199</v>
      </c>
      <c r="AE294" s="267">
        <f>IF(IndividualLATest!$J$7=2014,(VLOOKUP($A294,Hshldprojections2014!$A$2:$AY$326,44,FALSE)-VLOOKUP($A294,Hshldprojections2014!$A$2:$AY$326,34,FALSE))/10,IF(IndividualLATest!$J$7=2016,(VLOOKUP($A294,Hshldprojections2016!$A$1:$AQ$322,34,FALSE)-VLOOKUP($A294,Hshldprojections2016!$A$1:$AQ$322,24,FALSE))/10,(VLOOKUP($A294,Hshldprojections2018!$A$1:$AQ$327,34,FALSE)-VLOOKUP($A294,Hshldprojections2018!$A$1:$AQ$327,24,FALSE))/10))</f>
        <v>192.1</v>
      </c>
      <c r="AF294" s="267">
        <f>IF(IndividualLATest!$J$7=2014,(VLOOKUP($A294,Hshldprojections2014!$A$2:$AY$326,45,FALSE)-VLOOKUP($A294,Hshldprojections2014!$A$2:$AY$326,35,FALSE))/10,IF(IndividualLATest!$J$7=2016,(VLOOKUP($A294,Hshldprojections2016!$A$1:$AQ$322,35,FALSE)-VLOOKUP($A294,Hshldprojections2016!$A$1:$AQ$322,25,FALSE))/10,(VLOOKUP($A294,Hshldprojections2018!$A$1:$AQ$327,35,FALSE)-VLOOKUP($A294,Hshldprojections2018!$A$1:$AQ$327,25,FALSE))/10))</f>
        <v>182</v>
      </c>
      <c r="AG294" s="267">
        <f>IF(IndividualLATest!$J$7=2014,(VLOOKUP($A294,Hshldprojections2014!$A$2:$AY$326,46,FALSE)-VLOOKUP($A294,Hshldprojections2014!$A$2:$AY$326,36,FALSE))/10,IF(IndividualLATest!$J$7=2016,(VLOOKUP($A294,Hshldprojections2016!$A$1:$AQ$322,36,FALSE)-VLOOKUP($A294,Hshldprojections2016!$A$1:$AQ$322,26,FALSE))/10,(VLOOKUP($A294,Hshldprojections2018!$A$1:$AQ$327,36,FALSE)-VLOOKUP($A294,Hshldprojections2018!$A$1:$AQ$327,26,FALSE))/10))</f>
        <v>172.4</v>
      </c>
      <c r="AH294" s="267">
        <f>IF(IndividualLATest!$J$7=2014,(VLOOKUP($A294,Hshldprojections2014!$A$2:$AY$326,47,FALSE)-VLOOKUP($A294,Hshldprojections2014!$A$2:$AY$326,37,FALSE))/10,IF(IndividualLATest!$J$7=2016,(VLOOKUP($A294,Hshldprojections2016!$A$1:$AQ$322,37,FALSE)-VLOOKUP($A294,Hshldprojections2016!$A$1:$AQ$322,27,FALSE))/10,(VLOOKUP($A294,Hshldprojections2018!$A$1:$AQ$327,37,FALSE)-VLOOKUP($A294,Hshldprojections2018!$A$1:$AQ$327,27,FALSE))/10))</f>
        <v>167.4</v>
      </c>
      <c r="AI294" s="268">
        <f>VLOOKUP($A294,AffordabilityRatio!$A$2:$I$321,5,FALSE)</f>
        <v>14.47</v>
      </c>
      <c r="AJ294" s="268">
        <f>VLOOKUP($A294,AffordabilityRatio!$A$2:$I$321,6,FALSE)</f>
        <v>16.21</v>
      </c>
      <c r="AK294" s="268">
        <f>VLOOKUP($A294,AffordabilityRatio!$A$2:$I$321,7,FALSE)</f>
        <v>15.66</v>
      </c>
      <c r="AL294" s="268">
        <f>IF((VLOOKUP($A294,AffordabilityRatio!$A$2:$I$321,8,FALSE))="",AK294,VLOOKUP($A294,AffordabilityRatio!$A$2:$I$321,8,FALSE))</f>
        <v>16.489999999999998</v>
      </c>
      <c r="AM294" s="268">
        <f>IF((VLOOKUP($A294,AffordabilityRatio!$A$2:$I$321,9,FALSE))="",AL294,VLOOKUP($A294,AffordabilityRatio!$A$2:$I$321,9,FALSE))</f>
        <v>18.32</v>
      </c>
      <c r="AN294" s="268">
        <f>IF((VLOOKUP($A294,AffordabilityRatio!$A$2:$I$321,9,FALSE))="",AM294,VLOOKUP($A294,AffordabilityRatio!$A$2:$I$321,9,FALSE))</f>
        <v>18.32</v>
      </c>
      <c r="AO294" s="268">
        <f>IF((VLOOKUP($A294,AffordabilityRatio!$A$2:$I$321,9,FALSE))="",AN294,VLOOKUP($A294,AffordabilityRatio!$A$2:$I$321,9,FALSE))</f>
        <v>18.32</v>
      </c>
      <c r="AP294" s="268">
        <f>IF((VLOOKUP($A294,AffordabilityRatio!$A$2:$I$321,9,FALSE))="",AO294,VLOOKUP($A294,AffordabilityRatio!$A$2:$I$321,9,FALSE))</f>
        <v>18.32</v>
      </c>
      <c r="AQ294" s="267">
        <f t="shared" si="282"/>
        <v>643</v>
      </c>
      <c r="AR294" s="267">
        <f t="shared" si="283"/>
        <v>685</v>
      </c>
      <c r="AS294" s="267">
        <f t="shared" si="284"/>
        <v>677</v>
      </c>
      <c r="AT294" s="267">
        <f t="shared" si="285"/>
        <v>354</v>
      </c>
      <c r="AU294" s="267">
        <f t="shared" si="286"/>
        <v>364</v>
      </c>
      <c r="AV294" s="267">
        <f t="shared" si="287"/>
        <v>345</v>
      </c>
      <c r="AW294" s="267">
        <f t="shared" si="288"/>
        <v>327</v>
      </c>
      <c r="AX294" s="267">
        <f t="shared" si="289"/>
        <v>317</v>
      </c>
      <c r="AY294" s="267">
        <f t="shared" si="290"/>
        <v>643</v>
      </c>
      <c r="AZ294" s="267">
        <f t="shared" si="291"/>
        <v>685</v>
      </c>
      <c r="BA294" s="267">
        <f t="shared" si="292"/>
        <v>677</v>
      </c>
      <c r="BB294" s="267">
        <f t="shared" si="293"/>
        <v>354</v>
      </c>
      <c r="BC294" s="267">
        <f t="shared" si="294"/>
        <v>364</v>
      </c>
      <c r="BD294" s="267">
        <f t="shared" si="295"/>
        <v>345</v>
      </c>
      <c r="BE294" s="267">
        <f t="shared" si="296"/>
        <v>327</v>
      </c>
      <c r="BF294" s="267">
        <f t="shared" si="297"/>
        <v>317</v>
      </c>
      <c r="BG294" s="269">
        <f>AY294*VLOOKUP($B294,'Major Cities &amp; Towns'!$A$28:$B$345,2,FALSE)</f>
        <v>643</v>
      </c>
      <c r="BH294" s="269">
        <f>AZ294*VLOOKUP($B294,'Major Cities &amp; Towns'!$A$28:$B$345,2,FALSE)</f>
        <v>685</v>
      </c>
      <c r="BI294" s="269">
        <f>BA294*VLOOKUP($B294,'Major Cities &amp; Towns'!$A$28:$B$345,2,FALSE)</f>
        <v>677</v>
      </c>
      <c r="BJ294" s="269">
        <f>BB294*VLOOKUP($B294,'Major Cities &amp; Towns'!$A$28:$B$345,2,FALSE)</f>
        <v>354</v>
      </c>
      <c r="BK294" s="269">
        <f>BC294*VLOOKUP($B294,'Major Cities &amp; Towns'!$A$28:$B$345,2,FALSE)</f>
        <v>364</v>
      </c>
      <c r="BL294" s="269">
        <f>BD294*VLOOKUP($B294,'Major Cities &amp; Towns'!$A$28:$B$345,2,FALSE)</f>
        <v>345</v>
      </c>
      <c r="BM294" s="269">
        <f>BE294*VLOOKUP($B294,'Major Cities &amp; Towns'!$A$28:$B$345,2,FALSE)</f>
        <v>327</v>
      </c>
      <c r="BN294" s="269">
        <f>BF294*VLOOKUP($B294,'Major Cities &amp; Towns'!$A$28:$B$345,2,FALSE)</f>
        <v>317</v>
      </c>
      <c r="BO294" s="270">
        <f t="shared" si="298"/>
        <v>590</v>
      </c>
      <c r="BP294" s="270">
        <f t="shared" si="299"/>
        <v>590</v>
      </c>
      <c r="BQ294" s="270">
        <f t="shared" si="300"/>
        <v>590</v>
      </c>
      <c r="BR294" s="270">
        <f t="shared" si="301"/>
        <v>354</v>
      </c>
      <c r="BS294" s="270">
        <f t="shared" si="302"/>
        <v>364</v>
      </c>
      <c r="BT294" s="270">
        <f t="shared" si="303"/>
        <v>345</v>
      </c>
      <c r="BU294" s="270">
        <f t="shared" si="304"/>
        <v>327</v>
      </c>
      <c r="BV294" s="270">
        <f t="shared" si="305"/>
        <v>317</v>
      </c>
      <c r="BW294" s="39">
        <f>VLOOKUP($A294,NetAdditions!$A$2:$H$336,6,FALSE)</f>
        <v>342</v>
      </c>
      <c r="BX294" s="39">
        <f>VLOOKUP($A294,NetAdditions!$A$2:$H$336,7,FALSE)</f>
        <v>605</v>
      </c>
      <c r="BY294" s="39">
        <f>IF((VLOOKUP($C294,NetAdditions!$A$2:$H$336,8,FALSE))="",(AVERAGE(VLOOKUP($C294,NetAdditions!$A$2:$H$336,5,FALSE),VLOOKUP($C294,NetAdditions!$A$2:$H$336,6,FALSE),VLOOKUP($C294,NetAdditions!$A$2:$H$336,7,FALSE))),VLOOKUP($C294,NetAdditions!$A$2:$H$336,8,FALSE))</f>
        <v>666</v>
      </c>
      <c r="BZ294" s="39">
        <f t="shared" si="306"/>
        <v>537.66666666666663</v>
      </c>
      <c r="CA294" s="39">
        <f t="shared" si="307"/>
        <v>602.8888888888888</v>
      </c>
      <c r="CB294" s="39">
        <f t="shared" si="308"/>
        <v>602.18518518518511</v>
      </c>
      <c r="CC294" s="39">
        <f t="shared" si="309"/>
        <v>580.91358024691351</v>
      </c>
      <c r="CD294" s="39">
        <f t="shared" si="310"/>
        <v>595.32921810699588</v>
      </c>
      <c r="CE294" s="276">
        <f t="shared" si="267"/>
        <v>1770</v>
      </c>
      <c r="CF294" s="276">
        <f t="shared" si="268"/>
        <v>1534</v>
      </c>
      <c r="CG294" s="276">
        <f t="shared" si="269"/>
        <v>1308</v>
      </c>
      <c r="CH294" s="276">
        <f t="shared" si="270"/>
        <v>1063</v>
      </c>
      <c r="CI294" s="276">
        <f t="shared" si="271"/>
        <v>1036</v>
      </c>
      <c r="CJ294" s="276">
        <f t="shared" si="272"/>
        <v>989</v>
      </c>
      <c r="CK294" s="276">
        <f t="shared" si="311"/>
        <v>1524.1666666666667</v>
      </c>
      <c r="CL294" s="276">
        <f t="shared" si="312"/>
        <v>1320.9444444444446</v>
      </c>
      <c r="CM294" s="276">
        <f t="shared" si="313"/>
        <v>1199</v>
      </c>
      <c r="CN294" s="276">
        <f t="shared" si="314"/>
        <v>1063</v>
      </c>
      <c r="CO294" s="276">
        <f t="shared" si="315"/>
        <v>1036</v>
      </c>
      <c r="CP294" s="276">
        <f t="shared" si="316"/>
        <v>989</v>
      </c>
      <c r="CQ294" s="39">
        <f t="shared" si="273"/>
        <v>1613</v>
      </c>
      <c r="CR294" s="39">
        <f t="shared" si="274"/>
        <v>1808.6666666666665</v>
      </c>
      <c r="CS294" s="277">
        <f t="shared" si="275"/>
        <v>1806.5555555555552</v>
      </c>
      <c r="CT294" s="39">
        <f t="shared" si="276"/>
        <v>1742.7407407407404</v>
      </c>
      <c r="CU294" s="39">
        <f t="shared" si="277"/>
        <v>1785.9876543209875</v>
      </c>
      <c r="CV294" s="39">
        <f t="shared" si="317"/>
        <v>1778.4279835390944</v>
      </c>
      <c r="CW294" s="297">
        <f t="shared" si="278"/>
        <v>1.0582832148715144</v>
      </c>
      <c r="CX294" s="279" t="str">
        <f t="shared" si="318"/>
        <v>Pass</v>
      </c>
      <c r="CY294" s="278">
        <f t="shared" si="279"/>
        <v>1.3692223577406735</v>
      </c>
      <c r="CZ294" s="279" t="str">
        <f t="shared" si="319"/>
        <v>Pass</v>
      </c>
      <c r="DA294" s="278">
        <f t="shared" si="280"/>
        <v>1.506718561764433</v>
      </c>
      <c r="DB294" s="292" t="str">
        <f t="shared" si="320"/>
        <v>Pass</v>
      </c>
      <c r="DC294" s="299">
        <f t="shared" si="321"/>
        <v>1.6394550712518725</v>
      </c>
      <c r="DD294" s="293" t="str">
        <f t="shared" si="322"/>
        <v>Pass</v>
      </c>
      <c r="DE294" s="299">
        <f t="shared" si="323"/>
        <v>1.7239263072596405</v>
      </c>
      <c r="DF294" s="293" t="str">
        <f t="shared" si="324"/>
        <v>Pass</v>
      </c>
      <c r="DG294" s="299">
        <f t="shared" si="325"/>
        <v>1.798208274559246</v>
      </c>
      <c r="DH294" s="293" t="str">
        <f t="shared" si="326"/>
        <v>Pass</v>
      </c>
    </row>
    <row r="295" spans="1:112" ht="15" thickTop="1" thickBot="1">
      <c r="A295" s="38" t="s">
        <v>700</v>
      </c>
      <c r="B295" s="38" t="s">
        <v>701</v>
      </c>
      <c r="C295" s="38" t="s">
        <v>700</v>
      </c>
      <c r="D295" s="38" t="s">
        <v>113</v>
      </c>
      <c r="E295" s="38" t="str">
        <f>VLOOKUP(C295,PoliticalControl!A:K,11,FALSE)</f>
        <v>CON</v>
      </c>
      <c r="F295" s="38" t="str">
        <f>VLOOKUP(C295,UrbanRuralClassification!A:N,13,FALSE)</f>
        <v xml:space="preserve">Mainly Rural (rural including hub towns &gt;=80%) </v>
      </c>
      <c r="G295" s="38" t="str">
        <f>VLOOKUP(C295,UrbanRuralClassification!A:N,14,FALSE)</f>
        <v>Predominantly Rural</v>
      </c>
      <c r="H295" s="258">
        <f>IF(ISBLANK((VLOOKUP($A295,'local-plan-data'!$C$1:$AD$566,27,FALSE)))=TRUE,"",VLOOKUP($A295,'local-plan-data'!$C$1:$AD$566,27,FALSE))</f>
        <v>41324</v>
      </c>
      <c r="I295" s="259">
        <f>VLOOKUP($A295,'local-plan-data'!$C$1:$AD$566,28,FALSE)</f>
        <v>449.52380952380952</v>
      </c>
      <c r="J295" s="260">
        <f t="shared" si="281"/>
        <v>449.52380952380952</v>
      </c>
      <c r="K295" s="259" t="str">
        <f t="shared" si="327"/>
        <v>-</v>
      </c>
      <c r="L295" s="259" t="str">
        <f t="shared" si="327"/>
        <v>-</v>
      </c>
      <c r="M295" s="259" t="str">
        <f t="shared" si="327"/>
        <v>-</v>
      </c>
      <c r="N295" s="259" t="str">
        <f t="shared" si="327"/>
        <v>-</v>
      </c>
      <c r="O295" s="259" t="str">
        <f t="shared" si="327"/>
        <v>-</v>
      </c>
      <c r="P295" s="259" t="str">
        <f t="shared" si="327"/>
        <v>-</v>
      </c>
      <c r="Q295" s="259" t="str">
        <f t="shared" si="327"/>
        <v>-</v>
      </c>
      <c r="R295" s="259" t="str">
        <f t="shared" si="327"/>
        <v>-</v>
      </c>
      <c r="S295" s="259">
        <f t="shared" si="328"/>
        <v>-41</v>
      </c>
      <c r="T295" s="259">
        <f t="shared" si="328"/>
        <v>-406</v>
      </c>
      <c r="U295" s="259">
        <f t="shared" si="328"/>
        <v>-772</v>
      </c>
      <c r="V295" s="259">
        <f t="shared" si="328"/>
        <v>-1137</v>
      </c>
      <c r="W295" s="259">
        <f t="shared" si="328"/>
        <v>-1502</v>
      </c>
      <c r="X295" s="259">
        <f t="shared" si="328"/>
        <v>-1867</v>
      </c>
      <c r="Y295" s="259">
        <f t="shared" si="328"/>
        <v>-2233</v>
      </c>
      <c r="Z295" s="259">
        <f t="shared" si="328"/>
        <v>-2598</v>
      </c>
      <c r="AA295" s="267">
        <f>(VLOOKUP(A295,Hshldprojections2014!$A$2:$AW$319,40, FALSE)-VLOOKUP(A295,Hshldprojections2014!$A$2:$AW$319,30, FALSE))/10</f>
        <v>883.1</v>
      </c>
      <c r="AB295" s="267">
        <f>(VLOOKUP(A295,Hshldprojections2014!$A$2:$AW$319,41, FALSE)-VLOOKUP(A295,Hshldprojections2014!$A$2:$AW$319,31, FALSE))/10</f>
        <v>879.4</v>
      </c>
      <c r="AC295" s="267">
        <f>(VLOOKUP(A295,Hshldprojections2014!$A$2:$AW$319,42, FALSE)-VLOOKUP(A295,Hshldprojections2014!$A$2:$AW$319,32, FALSE))/10</f>
        <v>875.1</v>
      </c>
      <c r="AD295" s="267">
        <f>IF(IndividualLATest!$J$7=2014,(VLOOKUP($A295,Hshldprojections2014!$A$2:$AY$326,43,FALSE)-VLOOKUP($A295,Hshldprojections2014!$A$2:$AY$326,33,FALSE))/10,IF(IndividualLATest!$J$7=2016,(VLOOKUP($A295,Hshldprojections2016!$A$1:$AQ$322,33,FALSE)-VLOOKUP($A295,Hshldprojections2016!$A$1:$AQ$322,23,FALSE))/10,(VLOOKUP($A295,Hshldprojections2018!$A$1:$AQ$327,33,FALSE)-VLOOKUP($A295,Hshldprojections2018!$A$1:$AQ$327,23,FALSE))/10))</f>
        <v>598.20000000000005</v>
      </c>
      <c r="AE295" s="267">
        <f>IF(IndividualLATest!$J$7=2014,(VLOOKUP($A295,Hshldprojections2014!$A$2:$AY$326,44,FALSE)-VLOOKUP($A295,Hshldprojections2014!$A$2:$AY$326,34,FALSE))/10,IF(IndividualLATest!$J$7=2016,(VLOOKUP($A295,Hshldprojections2016!$A$1:$AQ$322,34,FALSE)-VLOOKUP($A295,Hshldprojections2016!$A$1:$AQ$322,24,FALSE))/10,(VLOOKUP($A295,Hshldprojections2018!$A$1:$AQ$327,34,FALSE)-VLOOKUP($A295,Hshldprojections2018!$A$1:$AQ$327,24,FALSE))/10))</f>
        <v>580.5</v>
      </c>
      <c r="AF295" s="267">
        <f>IF(IndividualLATest!$J$7=2014,(VLOOKUP($A295,Hshldprojections2014!$A$2:$AY$326,45,FALSE)-VLOOKUP($A295,Hshldprojections2014!$A$2:$AY$326,35,FALSE))/10,IF(IndividualLATest!$J$7=2016,(VLOOKUP($A295,Hshldprojections2016!$A$1:$AQ$322,35,FALSE)-VLOOKUP($A295,Hshldprojections2016!$A$1:$AQ$322,25,FALSE))/10,(VLOOKUP($A295,Hshldprojections2018!$A$1:$AQ$327,35,FALSE)-VLOOKUP($A295,Hshldprojections2018!$A$1:$AQ$327,25,FALSE))/10))</f>
        <v>565.5</v>
      </c>
      <c r="AG295" s="267">
        <f>IF(IndividualLATest!$J$7=2014,(VLOOKUP($A295,Hshldprojections2014!$A$2:$AY$326,46,FALSE)-VLOOKUP($A295,Hshldprojections2014!$A$2:$AY$326,36,FALSE))/10,IF(IndividualLATest!$J$7=2016,(VLOOKUP($A295,Hshldprojections2016!$A$1:$AQ$322,36,FALSE)-VLOOKUP($A295,Hshldprojections2016!$A$1:$AQ$322,26,FALSE))/10,(VLOOKUP($A295,Hshldprojections2018!$A$1:$AQ$327,36,FALSE)-VLOOKUP($A295,Hshldprojections2018!$A$1:$AQ$327,26,FALSE))/10))</f>
        <v>551</v>
      </c>
      <c r="AH295" s="267">
        <f>IF(IndividualLATest!$J$7=2014,(VLOOKUP($A295,Hshldprojections2014!$A$2:$AY$326,47,FALSE)-VLOOKUP($A295,Hshldprojections2014!$A$2:$AY$326,37,FALSE))/10,IF(IndividualLATest!$J$7=2016,(VLOOKUP($A295,Hshldprojections2016!$A$1:$AQ$322,37,FALSE)-VLOOKUP($A295,Hshldprojections2016!$A$1:$AQ$322,27,FALSE))/10,(VLOOKUP($A295,Hshldprojections2018!$A$1:$AQ$327,37,FALSE)-VLOOKUP($A295,Hshldprojections2018!$A$1:$AQ$327,27,FALSE))/10))</f>
        <v>540.29999999999995</v>
      </c>
      <c r="AI295" s="268">
        <f>VLOOKUP($A295,AffordabilityRatio!$A$2:$I$321,5,FALSE)</f>
        <v>11.59</v>
      </c>
      <c r="AJ295" s="268">
        <f>VLOOKUP($A295,AffordabilityRatio!$A$2:$I$321,6,FALSE)</f>
        <v>11.82</v>
      </c>
      <c r="AK295" s="268">
        <f>VLOOKUP($A295,AffordabilityRatio!$A$2:$I$321,7,FALSE)</f>
        <v>11.57</v>
      </c>
      <c r="AL295" s="268">
        <f>IF((VLOOKUP($A295,AffordabilityRatio!$A$2:$I$321,8,FALSE))="",AK295,VLOOKUP($A295,AffordabilityRatio!$A$2:$I$321,8,FALSE))</f>
        <v>11.57</v>
      </c>
      <c r="AM295" s="268">
        <f>IF((VLOOKUP($A295,AffordabilityRatio!$A$2:$I$321,9,FALSE))="",AL295,VLOOKUP($A295,AffordabilityRatio!$A$2:$I$321,9,FALSE))</f>
        <v>13.76</v>
      </c>
      <c r="AN295" s="268">
        <f>IF((VLOOKUP($A295,AffordabilityRatio!$A$2:$I$321,9,FALSE))="",AM295,VLOOKUP($A295,AffordabilityRatio!$A$2:$I$321,9,FALSE))</f>
        <v>13.76</v>
      </c>
      <c r="AO295" s="268">
        <f>IF((VLOOKUP($A295,AffordabilityRatio!$A$2:$I$321,9,FALSE))="",AN295,VLOOKUP($A295,AffordabilityRatio!$A$2:$I$321,9,FALSE))</f>
        <v>13.76</v>
      </c>
      <c r="AP295" s="268">
        <f>IF((VLOOKUP($A295,AffordabilityRatio!$A$2:$I$321,9,FALSE))="",AO295,VLOOKUP($A295,AffordabilityRatio!$A$2:$I$321,9,FALSE))</f>
        <v>13.76</v>
      </c>
      <c r="AQ295" s="267">
        <f t="shared" si="282"/>
        <v>1302</v>
      </c>
      <c r="AR295" s="267">
        <f t="shared" si="283"/>
        <v>1309</v>
      </c>
      <c r="AS295" s="267">
        <f t="shared" si="284"/>
        <v>1289</v>
      </c>
      <c r="AT295" s="267">
        <f t="shared" si="285"/>
        <v>881</v>
      </c>
      <c r="AU295" s="267">
        <f t="shared" si="286"/>
        <v>935</v>
      </c>
      <c r="AV295" s="267">
        <f t="shared" si="287"/>
        <v>910</v>
      </c>
      <c r="AW295" s="267">
        <f t="shared" si="288"/>
        <v>887</v>
      </c>
      <c r="AX295" s="267">
        <f t="shared" si="289"/>
        <v>870</v>
      </c>
      <c r="AY295" s="267">
        <f t="shared" si="290"/>
        <v>1236.3400000000001</v>
      </c>
      <c r="AZ295" s="267">
        <f t="shared" si="291"/>
        <v>1231.1599999999999</v>
      </c>
      <c r="BA295" s="267">
        <f t="shared" si="292"/>
        <v>1225.1400000000001</v>
      </c>
      <c r="BB295" s="267">
        <f t="shared" si="293"/>
        <v>837.48</v>
      </c>
      <c r="BC295" s="267">
        <f t="shared" si="294"/>
        <v>812.7</v>
      </c>
      <c r="BD295" s="267">
        <f t="shared" si="295"/>
        <v>791.7</v>
      </c>
      <c r="BE295" s="267">
        <f t="shared" si="296"/>
        <v>771.4</v>
      </c>
      <c r="BF295" s="267">
        <f t="shared" si="297"/>
        <v>756.42</v>
      </c>
      <c r="BG295" s="269">
        <f>AY295*VLOOKUP($B295,'Major Cities &amp; Towns'!$A$28:$B$345,2,FALSE)</f>
        <v>1236.3400000000001</v>
      </c>
      <c r="BH295" s="269">
        <f>AZ295*VLOOKUP($B295,'Major Cities &amp; Towns'!$A$28:$B$345,2,FALSE)</f>
        <v>1231.1599999999999</v>
      </c>
      <c r="BI295" s="269">
        <f>BA295*VLOOKUP($B295,'Major Cities &amp; Towns'!$A$28:$B$345,2,FALSE)</f>
        <v>1225.1400000000001</v>
      </c>
      <c r="BJ295" s="269">
        <f>BB295*VLOOKUP($B295,'Major Cities &amp; Towns'!$A$28:$B$345,2,FALSE)</f>
        <v>837.48</v>
      </c>
      <c r="BK295" s="269">
        <f>BC295*VLOOKUP($B295,'Major Cities &amp; Towns'!$A$28:$B$345,2,FALSE)</f>
        <v>812.7</v>
      </c>
      <c r="BL295" s="269">
        <f>BD295*VLOOKUP($B295,'Major Cities &amp; Towns'!$A$28:$B$345,2,FALSE)</f>
        <v>791.7</v>
      </c>
      <c r="BM295" s="269">
        <f>BE295*VLOOKUP($B295,'Major Cities &amp; Towns'!$A$28:$B$345,2,FALSE)</f>
        <v>771.4</v>
      </c>
      <c r="BN295" s="269">
        <f>BF295*VLOOKUP($B295,'Major Cities &amp; Towns'!$A$28:$B$345,2,FALSE)</f>
        <v>756.42</v>
      </c>
      <c r="BO295" s="270">
        <f t="shared" si="298"/>
        <v>1302</v>
      </c>
      <c r="BP295" s="270">
        <f t="shared" si="299"/>
        <v>1309</v>
      </c>
      <c r="BQ295" s="270">
        <f t="shared" si="300"/>
        <v>1289</v>
      </c>
      <c r="BR295" s="270">
        <f t="shared" si="301"/>
        <v>881</v>
      </c>
      <c r="BS295" s="270">
        <f t="shared" si="302"/>
        <v>935</v>
      </c>
      <c r="BT295" s="270">
        <f t="shared" si="303"/>
        <v>910</v>
      </c>
      <c r="BU295" s="270">
        <f t="shared" si="304"/>
        <v>887</v>
      </c>
      <c r="BV295" s="270">
        <f t="shared" si="305"/>
        <v>870</v>
      </c>
      <c r="BW295" s="39">
        <f>VLOOKUP($A295,NetAdditions!$A$2:$H$336,6,FALSE)</f>
        <v>841</v>
      </c>
      <c r="BX295" s="39">
        <f>VLOOKUP($A295,NetAdditions!$A$2:$H$336,7,FALSE)</f>
        <v>1034</v>
      </c>
      <c r="BY295" s="39">
        <f>IF((VLOOKUP($C295,NetAdditions!$A$2:$H$336,8,FALSE))="",(AVERAGE(VLOOKUP($C295,NetAdditions!$A$2:$H$336,5,FALSE),VLOOKUP($C295,NetAdditions!$A$2:$H$336,6,FALSE),VLOOKUP($C295,NetAdditions!$A$2:$H$336,7,FALSE))),VLOOKUP($C295,NetAdditions!$A$2:$H$336,8,FALSE))</f>
        <v>724</v>
      </c>
      <c r="BZ295" s="39">
        <f t="shared" si="306"/>
        <v>866.33333333333337</v>
      </c>
      <c r="CA295" s="39">
        <f t="shared" si="307"/>
        <v>874.77777777777783</v>
      </c>
      <c r="CB295" s="39">
        <f t="shared" si="308"/>
        <v>821.70370370370381</v>
      </c>
      <c r="CC295" s="39">
        <f t="shared" si="309"/>
        <v>854.27160493827171</v>
      </c>
      <c r="CD295" s="39">
        <f t="shared" si="310"/>
        <v>850.25102880658449</v>
      </c>
      <c r="CE295" s="276">
        <f t="shared" si="267"/>
        <v>3900</v>
      </c>
      <c r="CF295" s="276">
        <f t="shared" si="268"/>
        <v>3479</v>
      </c>
      <c r="CG295" s="276">
        <f t="shared" si="269"/>
        <v>3105</v>
      </c>
      <c r="CH295" s="276">
        <f t="shared" si="270"/>
        <v>2726</v>
      </c>
      <c r="CI295" s="276">
        <f t="shared" si="271"/>
        <v>2732</v>
      </c>
      <c r="CJ295" s="276">
        <f t="shared" si="272"/>
        <v>2667</v>
      </c>
      <c r="CK295" s="276">
        <f t="shared" si="311"/>
        <v>3358.3333333333335</v>
      </c>
      <c r="CL295" s="276">
        <f t="shared" si="312"/>
        <v>2995.8055555555557</v>
      </c>
      <c r="CM295" s="276">
        <f t="shared" si="313"/>
        <v>2846.25</v>
      </c>
      <c r="CN295" s="276">
        <f t="shared" si="314"/>
        <v>2726</v>
      </c>
      <c r="CO295" s="276">
        <f t="shared" si="315"/>
        <v>2732</v>
      </c>
      <c r="CP295" s="276">
        <f t="shared" si="316"/>
        <v>2667</v>
      </c>
      <c r="CQ295" s="39">
        <f t="shared" si="273"/>
        <v>2599</v>
      </c>
      <c r="CR295" s="39">
        <f t="shared" si="274"/>
        <v>2624.3333333333335</v>
      </c>
      <c r="CS295" s="277">
        <f t="shared" si="275"/>
        <v>2465.1111111111113</v>
      </c>
      <c r="CT295" s="39">
        <f t="shared" si="276"/>
        <v>2562.8148148148152</v>
      </c>
      <c r="CU295" s="39">
        <f t="shared" si="277"/>
        <v>2550.7530864197533</v>
      </c>
      <c r="CV295" s="39">
        <f t="shared" si="317"/>
        <v>2526.2263374485601</v>
      </c>
      <c r="CW295" s="297">
        <f t="shared" si="278"/>
        <v>0.77389578163771711</v>
      </c>
      <c r="CX295" s="279" t="str">
        <f t="shared" si="318"/>
        <v>Buffer and Action Plan</v>
      </c>
      <c r="CY295" s="278">
        <f t="shared" si="279"/>
        <v>0.87600255913360348</v>
      </c>
      <c r="CZ295" s="279" t="str">
        <f t="shared" si="319"/>
        <v>Action Plan</v>
      </c>
      <c r="DA295" s="278">
        <f t="shared" si="280"/>
        <v>0.86609086029375892</v>
      </c>
      <c r="DB295" s="292" t="str">
        <f t="shared" si="320"/>
        <v>Action Plan</v>
      </c>
      <c r="DC295" s="299">
        <f t="shared" si="321"/>
        <v>0.94013749626368859</v>
      </c>
      <c r="DD295" s="293" t="str">
        <f t="shared" si="322"/>
        <v>Action Plan</v>
      </c>
      <c r="DE295" s="299">
        <f t="shared" si="323"/>
        <v>0.93365779151528305</v>
      </c>
      <c r="DF295" s="293" t="str">
        <f t="shared" si="324"/>
        <v>Action Plan</v>
      </c>
      <c r="DG295" s="299">
        <f t="shared" si="325"/>
        <v>0.94721647448389956</v>
      </c>
      <c r="DH295" s="293" t="str">
        <f t="shared" si="326"/>
        <v>Action Plan</v>
      </c>
    </row>
    <row r="296" spans="1:112" ht="15" thickTop="1" thickBot="1">
      <c r="A296" s="38" t="s">
        <v>702</v>
      </c>
      <c r="B296" s="38" t="s">
        <v>703</v>
      </c>
      <c r="C296" s="38" t="s">
        <v>702</v>
      </c>
      <c r="D296" s="38" t="s">
        <v>119</v>
      </c>
      <c r="E296" s="38" t="e">
        <f>VLOOKUP(C296,PoliticalControl!A:K,11,FALSE)</f>
        <v>#N/A</v>
      </c>
      <c r="F296" s="38" t="str">
        <f>VLOOKUP(C296,UrbanRuralClassification!A:N,13,FALSE)</f>
        <v>Urban with Significant Rural (rural including hub towns 26-49%)</v>
      </c>
      <c r="G296" s="38" t="str">
        <f>VLOOKUP(C296,UrbanRuralClassification!A:N,14,FALSE)</f>
        <v>Urban with Significant Rural</v>
      </c>
      <c r="H296" s="258">
        <f>IF(ISBLANK((VLOOKUP($A296,'local-plan-data'!$C$1:$AD$566,27,FALSE)))=TRUE,"",VLOOKUP($A296,'local-plan-data'!$C$1:$AD$566,27,FALSE))</f>
        <v>42565</v>
      </c>
      <c r="I296" s="259">
        <f>VLOOKUP($A296,'local-plan-data'!$C$1:$AD$566,28,FALSE)</f>
        <v>350</v>
      </c>
      <c r="J296" s="260">
        <f t="shared" si="281"/>
        <v>350</v>
      </c>
      <c r="K296" s="259">
        <f t="shared" si="327"/>
        <v>350</v>
      </c>
      <c r="L296" s="259">
        <f t="shared" si="327"/>
        <v>350</v>
      </c>
      <c r="M296" s="259">
        <f t="shared" si="327"/>
        <v>350</v>
      </c>
      <c r="N296" s="259">
        <f t="shared" si="327"/>
        <v>350</v>
      </c>
      <c r="O296" s="259" t="str">
        <f t="shared" si="327"/>
        <v>-</v>
      </c>
      <c r="P296" s="259" t="str">
        <f t="shared" si="327"/>
        <v>-</v>
      </c>
      <c r="Q296" s="259" t="str">
        <f t="shared" si="327"/>
        <v>-</v>
      </c>
      <c r="R296" s="259" t="str">
        <f t="shared" si="327"/>
        <v>-</v>
      </c>
      <c r="S296" s="259">
        <f t="shared" si="328"/>
        <v>1200</v>
      </c>
      <c r="T296" s="259">
        <f t="shared" si="328"/>
        <v>835</v>
      </c>
      <c r="U296" s="259">
        <f t="shared" si="328"/>
        <v>469</v>
      </c>
      <c r="V296" s="259">
        <f t="shared" si="328"/>
        <v>104</v>
      </c>
      <c r="W296" s="259">
        <f t="shared" si="328"/>
        <v>-261</v>
      </c>
      <c r="X296" s="259">
        <f t="shared" si="328"/>
        <v>-626</v>
      </c>
      <c r="Y296" s="259">
        <f t="shared" si="328"/>
        <v>-992</v>
      </c>
      <c r="Z296" s="259">
        <f t="shared" si="328"/>
        <v>-1357</v>
      </c>
      <c r="AA296" s="267">
        <f>(VLOOKUP(A296,Hshldprojections2014!$A$2:$AW$319,40, FALSE)-VLOOKUP(A296,Hshldprojections2014!$A$2:$AW$319,30, FALSE))/10</f>
        <v>280.2</v>
      </c>
      <c r="AB296" s="267">
        <f>(VLOOKUP(A296,Hshldprojections2014!$A$2:$AW$319,41, FALSE)-VLOOKUP(A296,Hshldprojections2014!$A$2:$AW$319,31, FALSE))/10</f>
        <v>279.7</v>
      </c>
      <c r="AC296" s="267">
        <f>(VLOOKUP(A296,Hshldprojections2014!$A$2:$AW$319,42, FALSE)-VLOOKUP(A296,Hshldprojections2014!$A$2:$AW$319,32, FALSE))/10</f>
        <v>279.10000000000002</v>
      </c>
      <c r="AD296" s="267">
        <f>IF(IndividualLATest!$J$7=2014,(VLOOKUP($A296,Hshldprojections2014!$A$2:$AY$326,43,FALSE)-VLOOKUP($A296,Hshldprojections2014!$A$2:$AY$326,33,FALSE))/10,IF(IndividualLATest!$J$7=2016,(VLOOKUP($A296,Hshldprojections2016!$A$1:$AQ$322,33,FALSE)-VLOOKUP($A296,Hshldprojections2016!$A$1:$AQ$322,23,FALSE))/10,(VLOOKUP($A296,Hshldprojections2018!$A$1:$AQ$327,33,FALSE)-VLOOKUP($A296,Hshldprojections2018!$A$1:$AQ$327,23,FALSE))/10))</f>
        <v>295.5</v>
      </c>
      <c r="AE296" s="267">
        <f>IF(IndividualLATest!$J$7=2014,(VLOOKUP($A296,Hshldprojections2014!$A$2:$AY$326,44,FALSE)-VLOOKUP($A296,Hshldprojections2014!$A$2:$AY$326,34,FALSE))/10,IF(IndividualLATest!$J$7=2016,(VLOOKUP($A296,Hshldprojections2016!$A$1:$AQ$322,34,FALSE)-VLOOKUP($A296,Hshldprojections2016!$A$1:$AQ$322,24,FALSE))/10,(VLOOKUP($A296,Hshldprojections2018!$A$1:$AQ$327,34,FALSE)-VLOOKUP($A296,Hshldprojections2018!$A$1:$AQ$327,24,FALSE))/10))</f>
        <v>289.39999999999998</v>
      </c>
      <c r="AF296" s="267">
        <f>IF(IndividualLATest!$J$7=2014,(VLOOKUP($A296,Hshldprojections2014!$A$2:$AY$326,45,FALSE)-VLOOKUP($A296,Hshldprojections2014!$A$2:$AY$326,35,FALSE))/10,IF(IndividualLATest!$J$7=2016,(VLOOKUP($A296,Hshldprojections2016!$A$1:$AQ$322,35,FALSE)-VLOOKUP($A296,Hshldprojections2016!$A$1:$AQ$322,25,FALSE))/10,(VLOOKUP($A296,Hshldprojections2018!$A$1:$AQ$327,35,FALSE)-VLOOKUP($A296,Hshldprojections2018!$A$1:$AQ$327,25,FALSE))/10))</f>
        <v>282.60000000000002</v>
      </c>
      <c r="AG296" s="267">
        <f>IF(IndividualLATest!$J$7=2014,(VLOOKUP($A296,Hshldprojections2014!$A$2:$AY$326,46,FALSE)-VLOOKUP($A296,Hshldprojections2014!$A$2:$AY$326,36,FALSE))/10,IF(IndividualLATest!$J$7=2016,(VLOOKUP($A296,Hshldprojections2016!$A$1:$AQ$322,36,FALSE)-VLOOKUP($A296,Hshldprojections2016!$A$1:$AQ$322,26,FALSE))/10,(VLOOKUP($A296,Hshldprojections2018!$A$1:$AQ$327,36,FALSE)-VLOOKUP($A296,Hshldprojections2018!$A$1:$AQ$327,26,FALSE))/10))</f>
        <v>276.3</v>
      </c>
      <c r="AH296" s="267">
        <f>IF(IndividualLATest!$J$7=2014,(VLOOKUP($A296,Hshldprojections2014!$A$2:$AY$326,47,FALSE)-VLOOKUP($A296,Hshldprojections2014!$A$2:$AY$326,37,FALSE))/10,IF(IndividualLATest!$J$7=2016,(VLOOKUP($A296,Hshldprojections2016!$A$1:$AQ$322,37,FALSE)-VLOOKUP($A296,Hshldprojections2016!$A$1:$AQ$322,27,FALSE))/10,(VLOOKUP($A296,Hshldprojections2018!$A$1:$AQ$327,37,FALSE)-VLOOKUP($A296,Hshldprojections2018!$A$1:$AQ$327,27,FALSE))/10))</f>
        <v>271.7</v>
      </c>
      <c r="AI296" s="268">
        <f>VLOOKUP($A296,AffordabilityRatio!$A$2:$I$321,5,FALSE)</f>
        <v>7.49</v>
      </c>
      <c r="AJ296" s="268">
        <f>VLOOKUP($A296,AffordabilityRatio!$A$2:$I$321,6,FALSE)</f>
        <v>7.47</v>
      </c>
      <c r="AK296" s="268">
        <f>VLOOKUP($A296,AffordabilityRatio!$A$2:$I$321,7,FALSE)</f>
        <v>7.99</v>
      </c>
      <c r="AL296" s="268">
        <f>IF((VLOOKUP($A296,AffordabilityRatio!$A$2:$I$321,8,FALSE))="",AK296,VLOOKUP($A296,AffordabilityRatio!$A$2:$I$321,8,FALSE))</f>
        <v>7.48</v>
      </c>
      <c r="AM296" s="268">
        <f>IF((VLOOKUP($A296,AffordabilityRatio!$A$2:$I$321,9,FALSE))="",AL296,VLOOKUP($A296,AffordabilityRatio!$A$2:$I$321,9,FALSE))</f>
        <v>7.48</v>
      </c>
      <c r="AN296" s="268">
        <f>IF((VLOOKUP($A296,AffordabilityRatio!$A$2:$I$321,9,FALSE))="",AM296,VLOOKUP($A296,AffordabilityRatio!$A$2:$I$321,9,FALSE))</f>
        <v>7.48</v>
      </c>
      <c r="AO296" s="268">
        <f>IF((VLOOKUP($A296,AffordabilityRatio!$A$2:$I$321,9,FALSE))="",AN296,VLOOKUP($A296,AffordabilityRatio!$A$2:$I$321,9,FALSE))</f>
        <v>7.48</v>
      </c>
      <c r="AP296" s="268">
        <f>IF((VLOOKUP($A296,AffordabilityRatio!$A$2:$I$321,9,FALSE))="",AO296,VLOOKUP($A296,AffordabilityRatio!$A$2:$I$321,9,FALSE))</f>
        <v>7.48</v>
      </c>
      <c r="AQ296" s="267">
        <f t="shared" si="282"/>
        <v>341</v>
      </c>
      <c r="AR296" s="267">
        <f t="shared" si="283"/>
        <v>340</v>
      </c>
      <c r="AS296" s="267">
        <f t="shared" si="284"/>
        <v>349</v>
      </c>
      <c r="AT296" s="267">
        <f t="shared" si="285"/>
        <v>360</v>
      </c>
      <c r="AU296" s="267">
        <f t="shared" si="286"/>
        <v>352</v>
      </c>
      <c r="AV296" s="267">
        <f t="shared" si="287"/>
        <v>344</v>
      </c>
      <c r="AW296" s="267">
        <f t="shared" si="288"/>
        <v>336</v>
      </c>
      <c r="AX296" s="267">
        <f t="shared" si="289"/>
        <v>331</v>
      </c>
      <c r="AY296" s="267">
        <f t="shared" si="290"/>
        <v>341</v>
      </c>
      <c r="AZ296" s="267">
        <f t="shared" si="291"/>
        <v>340</v>
      </c>
      <c r="BA296" s="267">
        <f t="shared" si="292"/>
        <v>349</v>
      </c>
      <c r="BB296" s="267">
        <f t="shared" si="293"/>
        <v>360</v>
      </c>
      <c r="BC296" s="267">
        <f t="shared" si="294"/>
        <v>352</v>
      </c>
      <c r="BD296" s="267">
        <f t="shared" si="295"/>
        <v>344</v>
      </c>
      <c r="BE296" s="267">
        <f t="shared" si="296"/>
        <v>336</v>
      </c>
      <c r="BF296" s="267">
        <f t="shared" si="297"/>
        <v>331</v>
      </c>
      <c r="BG296" s="269">
        <f>AY296*VLOOKUP($B296,'Major Cities &amp; Towns'!$A$28:$B$345,2,FALSE)</f>
        <v>341</v>
      </c>
      <c r="BH296" s="269">
        <f>AZ296*VLOOKUP($B296,'Major Cities &amp; Towns'!$A$28:$B$345,2,FALSE)</f>
        <v>340</v>
      </c>
      <c r="BI296" s="269">
        <f>BA296*VLOOKUP($B296,'Major Cities &amp; Towns'!$A$28:$B$345,2,FALSE)</f>
        <v>349</v>
      </c>
      <c r="BJ296" s="269">
        <f>BB296*VLOOKUP($B296,'Major Cities &amp; Towns'!$A$28:$B$345,2,FALSE)</f>
        <v>360</v>
      </c>
      <c r="BK296" s="269">
        <f>BC296*VLOOKUP($B296,'Major Cities &amp; Towns'!$A$28:$B$345,2,FALSE)</f>
        <v>352</v>
      </c>
      <c r="BL296" s="269">
        <f>BD296*VLOOKUP($B296,'Major Cities &amp; Towns'!$A$28:$B$345,2,FALSE)</f>
        <v>344</v>
      </c>
      <c r="BM296" s="269">
        <f>BE296*VLOOKUP($B296,'Major Cities &amp; Towns'!$A$28:$B$345,2,FALSE)</f>
        <v>336</v>
      </c>
      <c r="BN296" s="269">
        <f>BF296*VLOOKUP($B296,'Major Cities &amp; Towns'!$A$28:$B$345,2,FALSE)</f>
        <v>331</v>
      </c>
      <c r="BO296" s="270">
        <f t="shared" si="298"/>
        <v>341</v>
      </c>
      <c r="BP296" s="270">
        <f t="shared" si="299"/>
        <v>340</v>
      </c>
      <c r="BQ296" s="270">
        <f t="shared" si="300"/>
        <v>349</v>
      </c>
      <c r="BR296" s="270">
        <f t="shared" si="301"/>
        <v>357.15068493150682</v>
      </c>
      <c r="BS296" s="270">
        <f t="shared" si="302"/>
        <v>352</v>
      </c>
      <c r="BT296" s="270">
        <f t="shared" si="303"/>
        <v>344</v>
      </c>
      <c r="BU296" s="270">
        <f t="shared" si="304"/>
        <v>336</v>
      </c>
      <c r="BV296" s="270">
        <f t="shared" si="305"/>
        <v>331</v>
      </c>
      <c r="BW296" s="39">
        <f>VLOOKUP($A296,NetAdditions!$A$2:$H$336,6,FALSE)</f>
        <v>339</v>
      </c>
      <c r="BX296" s="39">
        <f>VLOOKUP($A296,NetAdditions!$A$2:$H$336,7,FALSE)</f>
        <v>354</v>
      </c>
      <c r="BY296" s="39">
        <f>IF((VLOOKUP($C296,NetAdditions!$A$2:$H$336,8,FALSE))="",(AVERAGE(VLOOKUP($C296,NetAdditions!$A$2:$H$336,5,FALSE),VLOOKUP($C296,NetAdditions!$A$2:$H$336,6,FALSE),VLOOKUP($C296,NetAdditions!$A$2:$H$336,7,FALSE))),VLOOKUP($C296,NetAdditions!$A$2:$H$336,8,FALSE))</f>
        <v>322.33333333333331</v>
      </c>
      <c r="BZ296" s="39">
        <f t="shared" si="306"/>
        <v>338.4444444444444</v>
      </c>
      <c r="CA296" s="39">
        <f t="shared" si="307"/>
        <v>338.25925925925918</v>
      </c>
      <c r="CB296" s="39">
        <f t="shared" si="308"/>
        <v>333.0123456790123</v>
      </c>
      <c r="CC296" s="39">
        <f t="shared" si="309"/>
        <v>336.57201646090533</v>
      </c>
      <c r="CD296" s="39">
        <f t="shared" si="310"/>
        <v>335.94787379972558</v>
      </c>
      <c r="CE296" s="276">
        <f t="shared" si="267"/>
        <v>1030</v>
      </c>
      <c r="CF296" s="276">
        <f t="shared" si="268"/>
        <v>1046.1506849315069</v>
      </c>
      <c r="CG296" s="276">
        <f t="shared" si="269"/>
        <v>1058.1506849315069</v>
      </c>
      <c r="CH296" s="276">
        <f t="shared" si="270"/>
        <v>1053.1506849315069</v>
      </c>
      <c r="CI296" s="276">
        <f t="shared" si="271"/>
        <v>1032</v>
      </c>
      <c r="CJ296" s="276">
        <f t="shared" si="272"/>
        <v>1011</v>
      </c>
      <c r="CK296" s="276">
        <f t="shared" si="311"/>
        <v>886.94444444444446</v>
      </c>
      <c r="CL296" s="276">
        <f t="shared" si="312"/>
        <v>900.85197869101989</v>
      </c>
      <c r="CM296" s="276">
        <f t="shared" si="313"/>
        <v>969.97146118721469</v>
      </c>
      <c r="CN296" s="276">
        <f t="shared" si="314"/>
        <v>1053.1506849315069</v>
      </c>
      <c r="CO296" s="276">
        <f t="shared" si="315"/>
        <v>1032</v>
      </c>
      <c r="CP296" s="276">
        <f t="shared" si="316"/>
        <v>1011</v>
      </c>
      <c r="CQ296" s="39">
        <f t="shared" si="273"/>
        <v>1015.3333333333333</v>
      </c>
      <c r="CR296" s="39">
        <f t="shared" si="274"/>
        <v>1014.7777777777776</v>
      </c>
      <c r="CS296" s="277">
        <f t="shared" si="275"/>
        <v>999.03703703703695</v>
      </c>
      <c r="CT296" s="39">
        <f t="shared" si="276"/>
        <v>1009.7160493827159</v>
      </c>
      <c r="CU296" s="39">
        <f t="shared" si="277"/>
        <v>1007.8436213991768</v>
      </c>
      <c r="CV296" s="39">
        <f t="shared" si="317"/>
        <v>1005.5322359396432</v>
      </c>
      <c r="CW296" s="297">
        <f t="shared" si="278"/>
        <v>1.144754149702474</v>
      </c>
      <c r="CX296" s="279" t="str">
        <f t="shared" si="318"/>
        <v>Pass</v>
      </c>
      <c r="CY296" s="278">
        <f t="shared" si="279"/>
        <v>1.1264645044708645</v>
      </c>
      <c r="CZ296" s="279" t="str">
        <f t="shared" si="319"/>
        <v>Pass</v>
      </c>
      <c r="DA296" s="278">
        <f t="shared" si="280"/>
        <v>1.0299653928108843</v>
      </c>
      <c r="DB296" s="292" t="str">
        <f t="shared" si="320"/>
        <v>Pass</v>
      </c>
      <c r="DC296" s="299">
        <f t="shared" si="321"/>
        <v>0.95875743502781297</v>
      </c>
      <c r="DD296" s="293" t="str">
        <f t="shared" si="322"/>
        <v>Pass</v>
      </c>
      <c r="DE296" s="299">
        <f t="shared" si="323"/>
        <v>0.97659265639455117</v>
      </c>
      <c r="DF296" s="293" t="str">
        <f t="shared" si="324"/>
        <v>Pass</v>
      </c>
      <c r="DG296" s="299">
        <f t="shared" si="325"/>
        <v>0.99459172694326725</v>
      </c>
      <c r="DH296" s="293" t="str">
        <f t="shared" si="326"/>
        <v>Pass</v>
      </c>
    </row>
    <row r="297" spans="1:112" ht="15" thickTop="1" thickBot="1">
      <c r="A297" s="38" t="s">
        <v>704</v>
      </c>
      <c r="B297" s="38" t="s">
        <v>705</v>
      </c>
      <c r="C297" s="38" t="s">
        <v>704</v>
      </c>
      <c r="D297" s="38" t="s">
        <v>128</v>
      </c>
      <c r="E297" s="38" t="str">
        <f>VLOOKUP(C297,PoliticalControl!A:K,11,FALSE)</f>
        <v>CON</v>
      </c>
      <c r="F297" s="38" t="str">
        <f>VLOOKUP(C297,UrbanRuralClassification!A:N,13,FALSE)</f>
        <v>Urban with City and Town</v>
      </c>
      <c r="G297" s="38" t="str">
        <f>VLOOKUP(C297,UrbanRuralClassification!A:N,14,FALSE)</f>
        <v>Predominantly Urban</v>
      </c>
      <c r="H297" s="258" t="str">
        <f>IF(ISBLANK((VLOOKUP($A297,'local-plan-data'!$C$1:$AD$566,27,FALSE)))=TRUE,"",VLOOKUP($A297,'local-plan-data'!$C$1:$AD$566,27,FALSE))</f>
        <v/>
      </c>
      <c r="I297" s="259">
        <f>VLOOKUP($A297,'local-plan-data'!$C$1:$AD$566,28,FALSE)</f>
        <v>631.57894736842104</v>
      </c>
      <c r="J297" s="260">
        <f t="shared" si="281"/>
        <v>631.57894736842104</v>
      </c>
      <c r="K297" s="259" t="str">
        <f t="shared" si="327"/>
        <v>-</v>
      </c>
      <c r="L297" s="259" t="str">
        <f t="shared" si="327"/>
        <v>-</v>
      </c>
      <c r="M297" s="259" t="str">
        <f t="shared" si="327"/>
        <v>-</v>
      </c>
      <c r="N297" s="259" t="str">
        <f t="shared" si="327"/>
        <v>-</v>
      </c>
      <c r="O297" s="259" t="str">
        <f t="shared" si="327"/>
        <v>-</v>
      </c>
      <c r="P297" s="259" t="str">
        <f t="shared" si="327"/>
        <v>-</v>
      </c>
      <c r="Q297" s="259" t="str">
        <f t="shared" si="327"/>
        <v>-</v>
      </c>
      <c r="R297" s="259" t="str">
        <f t="shared" ref="L297:R322" si="329">IF(AND(ISNUMBER($H297),ISNUMBER($J297)),IF(($H297-R$1&gt;0),$J297,IF(DATEDIF($H297,R$1,"y")&lt;5,$J297,"-")),"-")</f>
        <v>-</v>
      </c>
      <c r="S297" s="259" t="str">
        <f t="shared" si="328"/>
        <v>-</v>
      </c>
      <c r="T297" s="259" t="str">
        <f t="shared" si="328"/>
        <v>-</v>
      </c>
      <c r="U297" s="259" t="str">
        <f t="shared" si="328"/>
        <v>-</v>
      </c>
      <c r="V297" s="259" t="str">
        <f t="shared" si="328"/>
        <v>-</v>
      </c>
      <c r="W297" s="259" t="str">
        <f t="shared" si="328"/>
        <v>-</v>
      </c>
      <c r="X297" s="259" t="str">
        <f t="shared" si="328"/>
        <v>-</v>
      </c>
      <c r="Y297" s="259" t="str">
        <f t="shared" si="328"/>
        <v>-</v>
      </c>
      <c r="Z297" s="259" t="str">
        <f t="shared" ref="T297:Z322" si="330">IFERROR((EDATE($H297,60))-Z$1,"-")</f>
        <v>-</v>
      </c>
      <c r="AA297" s="267">
        <f>(VLOOKUP(A297,Hshldprojections2014!$A$2:$AW$319,40, FALSE)-VLOOKUP(A297,Hshldprojections2014!$A$2:$AW$319,30, FALSE))/10</f>
        <v>619.4</v>
      </c>
      <c r="AB297" s="267">
        <f>(VLOOKUP(A297,Hshldprojections2014!$A$2:$AW$319,41, FALSE)-VLOOKUP(A297,Hshldprojections2014!$A$2:$AW$319,31, FALSE))/10</f>
        <v>619.79999999999995</v>
      </c>
      <c r="AC297" s="267">
        <f>(VLOOKUP(A297,Hshldprojections2014!$A$2:$AW$319,42, FALSE)-VLOOKUP(A297,Hshldprojections2014!$A$2:$AW$319,32, FALSE))/10</f>
        <v>625</v>
      </c>
      <c r="AD297" s="267">
        <f>IF(IndividualLATest!$J$7=2014,(VLOOKUP($A297,Hshldprojections2014!$A$2:$AY$326,43,FALSE)-VLOOKUP($A297,Hshldprojections2014!$A$2:$AY$326,33,FALSE))/10,IF(IndividualLATest!$J$7=2016,(VLOOKUP($A297,Hshldprojections2016!$A$1:$AQ$322,33,FALSE)-VLOOKUP($A297,Hshldprojections2016!$A$1:$AQ$322,23,FALSE))/10,(VLOOKUP($A297,Hshldprojections2018!$A$1:$AQ$327,33,FALSE)-VLOOKUP($A297,Hshldprojections2018!$A$1:$AQ$327,23,FALSE))/10))</f>
        <v>310.5</v>
      </c>
      <c r="AE297" s="267">
        <f>IF(IndividualLATest!$J$7=2014,(VLOOKUP($A297,Hshldprojections2014!$A$2:$AY$326,44,FALSE)-VLOOKUP($A297,Hshldprojections2014!$A$2:$AY$326,34,FALSE))/10,IF(IndividualLATest!$J$7=2016,(VLOOKUP($A297,Hshldprojections2016!$A$1:$AQ$322,34,FALSE)-VLOOKUP($A297,Hshldprojections2016!$A$1:$AQ$322,24,FALSE))/10,(VLOOKUP($A297,Hshldprojections2018!$A$1:$AQ$327,34,FALSE)-VLOOKUP($A297,Hshldprojections2018!$A$1:$AQ$327,24,FALSE))/10))</f>
        <v>310.60000000000002</v>
      </c>
      <c r="AF297" s="267">
        <f>IF(IndividualLATest!$J$7=2014,(VLOOKUP($A297,Hshldprojections2014!$A$2:$AY$326,45,FALSE)-VLOOKUP($A297,Hshldprojections2014!$A$2:$AY$326,35,FALSE))/10,IF(IndividualLATest!$J$7=2016,(VLOOKUP($A297,Hshldprojections2016!$A$1:$AQ$322,35,FALSE)-VLOOKUP($A297,Hshldprojections2016!$A$1:$AQ$322,25,FALSE))/10,(VLOOKUP($A297,Hshldprojections2018!$A$1:$AQ$327,35,FALSE)-VLOOKUP($A297,Hshldprojections2018!$A$1:$AQ$327,25,FALSE))/10))</f>
        <v>310.5</v>
      </c>
      <c r="AG297" s="267">
        <f>IF(IndividualLATest!$J$7=2014,(VLOOKUP($A297,Hshldprojections2014!$A$2:$AY$326,46,FALSE)-VLOOKUP($A297,Hshldprojections2014!$A$2:$AY$326,36,FALSE))/10,IF(IndividualLATest!$J$7=2016,(VLOOKUP($A297,Hshldprojections2016!$A$1:$AQ$322,36,FALSE)-VLOOKUP($A297,Hshldprojections2016!$A$1:$AQ$322,26,FALSE))/10,(VLOOKUP($A297,Hshldprojections2018!$A$1:$AQ$327,36,FALSE)-VLOOKUP($A297,Hshldprojections2018!$A$1:$AQ$327,26,FALSE))/10))</f>
        <v>308.89999999999998</v>
      </c>
      <c r="AH297" s="267">
        <f>IF(IndividualLATest!$J$7=2014,(VLOOKUP($A297,Hshldprojections2014!$A$2:$AY$326,47,FALSE)-VLOOKUP($A297,Hshldprojections2014!$A$2:$AY$326,37,FALSE))/10,IF(IndividualLATest!$J$7=2016,(VLOOKUP($A297,Hshldprojections2016!$A$1:$AQ$322,37,FALSE)-VLOOKUP($A297,Hshldprojections2016!$A$1:$AQ$322,27,FALSE))/10,(VLOOKUP($A297,Hshldprojections2018!$A$1:$AQ$327,37,FALSE)-VLOOKUP($A297,Hshldprojections2018!$A$1:$AQ$327,27,FALSE))/10))</f>
        <v>309.7</v>
      </c>
      <c r="AI297" s="268">
        <f>VLOOKUP($A297,AffordabilityRatio!$A$2:$I$321,5,FALSE)</f>
        <v>11.23</v>
      </c>
      <c r="AJ297" s="268">
        <f>VLOOKUP($A297,AffordabilityRatio!$A$2:$I$321,6,FALSE)</f>
        <v>10.98</v>
      </c>
      <c r="AK297" s="268">
        <f>VLOOKUP($A297,AffordabilityRatio!$A$2:$I$321,7,FALSE)</f>
        <v>10.69</v>
      </c>
      <c r="AL297" s="268">
        <f>IF((VLOOKUP($A297,AffordabilityRatio!$A$2:$I$321,8,FALSE))="",AK297,VLOOKUP($A297,AffordabilityRatio!$A$2:$I$321,8,FALSE))</f>
        <v>10.28</v>
      </c>
      <c r="AM297" s="268">
        <f>IF((VLOOKUP($A297,AffordabilityRatio!$A$2:$I$321,9,FALSE))="",AL297,VLOOKUP($A297,AffordabilityRatio!$A$2:$I$321,9,FALSE))</f>
        <v>12.37</v>
      </c>
      <c r="AN297" s="268">
        <f>IF((VLOOKUP($A297,AffordabilityRatio!$A$2:$I$321,9,FALSE))="",AM297,VLOOKUP($A297,AffordabilityRatio!$A$2:$I$321,9,FALSE))</f>
        <v>12.37</v>
      </c>
      <c r="AO297" s="268">
        <f>IF((VLOOKUP($A297,AffordabilityRatio!$A$2:$I$321,9,FALSE))="",AN297,VLOOKUP($A297,AffordabilityRatio!$A$2:$I$321,9,FALSE))</f>
        <v>12.37</v>
      </c>
      <c r="AP297" s="268">
        <f>IF((VLOOKUP($A297,AffordabilityRatio!$A$2:$I$321,9,FALSE))="",AO297,VLOOKUP($A297,AffordabilityRatio!$A$2:$I$321,9,FALSE))</f>
        <v>12.37</v>
      </c>
      <c r="AQ297" s="267">
        <f t="shared" si="282"/>
        <v>899</v>
      </c>
      <c r="AR297" s="267">
        <f t="shared" si="283"/>
        <v>890</v>
      </c>
      <c r="AS297" s="267">
        <f t="shared" si="284"/>
        <v>886</v>
      </c>
      <c r="AT297" s="267">
        <f t="shared" si="285"/>
        <v>432</v>
      </c>
      <c r="AU297" s="267">
        <f t="shared" si="286"/>
        <v>473</v>
      </c>
      <c r="AV297" s="267">
        <f t="shared" si="287"/>
        <v>473</v>
      </c>
      <c r="AW297" s="267">
        <f t="shared" si="288"/>
        <v>470</v>
      </c>
      <c r="AX297" s="267">
        <f t="shared" si="289"/>
        <v>472</v>
      </c>
      <c r="AY297" s="267">
        <f t="shared" si="290"/>
        <v>884.21052631578948</v>
      </c>
      <c r="AZ297" s="267">
        <f t="shared" si="291"/>
        <v>884.21052631578948</v>
      </c>
      <c r="BA297" s="267">
        <f t="shared" si="292"/>
        <v>884.21052631578948</v>
      </c>
      <c r="BB297" s="267">
        <f t="shared" si="293"/>
        <v>432</v>
      </c>
      <c r="BC297" s="267">
        <f t="shared" si="294"/>
        <v>473</v>
      </c>
      <c r="BD297" s="267">
        <f t="shared" si="295"/>
        <v>473</v>
      </c>
      <c r="BE297" s="267">
        <f t="shared" si="296"/>
        <v>470</v>
      </c>
      <c r="BF297" s="267">
        <f t="shared" si="297"/>
        <v>472</v>
      </c>
      <c r="BG297" s="269">
        <f>AY297*VLOOKUP($B297,'Major Cities &amp; Towns'!$A$28:$B$345,2,FALSE)</f>
        <v>884.21052631578948</v>
      </c>
      <c r="BH297" s="269">
        <f>AZ297*VLOOKUP($B297,'Major Cities &amp; Towns'!$A$28:$B$345,2,FALSE)</f>
        <v>884.21052631578948</v>
      </c>
      <c r="BI297" s="269">
        <f>BA297*VLOOKUP($B297,'Major Cities &amp; Towns'!$A$28:$B$345,2,FALSE)</f>
        <v>884.21052631578948</v>
      </c>
      <c r="BJ297" s="269">
        <f>BB297*VLOOKUP($B297,'Major Cities &amp; Towns'!$A$28:$B$345,2,FALSE)</f>
        <v>432</v>
      </c>
      <c r="BK297" s="269">
        <f>BC297*VLOOKUP($B297,'Major Cities &amp; Towns'!$A$28:$B$345,2,FALSE)</f>
        <v>473</v>
      </c>
      <c r="BL297" s="269">
        <f>BD297*VLOOKUP($B297,'Major Cities &amp; Towns'!$A$28:$B$345,2,FALSE)</f>
        <v>473</v>
      </c>
      <c r="BM297" s="269">
        <f>BE297*VLOOKUP($B297,'Major Cities &amp; Towns'!$A$28:$B$345,2,FALSE)</f>
        <v>470</v>
      </c>
      <c r="BN297" s="269">
        <f>BF297*VLOOKUP($B297,'Major Cities &amp; Towns'!$A$28:$B$345,2,FALSE)</f>
        <v>472</v>
      </c>
      <c r="BO297" s="270">
        <f t="shared" si="298"/>
        <v>899</v>
      </c>
      <c r="BP297" s="270">
        <f t="shared" si="299"/>
        <v>890</v>
      </c>
      <c r="BQ297" s="270">
        <f t="shared" si="300"/>
        <v>886</v>
      </c>
      <c r="BR297" s="270">
        <f t="shared" si="301"/>
        <v>432</v>
      </c>
      <c r="BS297" s="270">
        <f t="shared" si="302"/>
        <v>473</v>
      </c>
      <c r="BT297" s="270">
        <f t="shared" si="303"/>
        <v>473</v>
      </c>
      <c r="BU297" s="270">
        <f t="shared" si="304"/>
        <v>470</v>
      </c>
      <c r="BV297" s="270">
        <f t="shared" si="305"/>
        <v>472</v>
      </c>
      <c r="BW297" s="39">
        <f>VLOOKUP($A297,NetAdditions!$A$2:$H$336,6,FALSE)</f>
        <v>456</v>
      </c>
      <c r="BX297" s="39">
        <f>VLOOKUP($A297,NetAdditions!$A$2:$H$336,7,FALSE)</f>
        <v>671</v>
      </c>
      <c r="BY297" s="39">
        <f>IF((VLOOKUP($C297,NetAdditions!$A$2:$H$336,8,FALSE))="",(AVERAGE(VLOOKUP($C297,NetAdditions!$A$2:$H$336,5,FALSE),VLOOKUP($C297,NetAdditions!$A$2:$H$336,6,FALSE),VLOOKUP($C297,NetAdditions!$A$2:$H$336,7,FALSE))),VLOOKUP($C297,NetAdditions!$A$2:$H$336,8,FALSE))</f>
        <v>352</v>
      </c>
      <c r="BZ297" s="39">
        <f t="shared" si="306"/>
        <v>493</v>
      </c>
      <c r="CA297" s="39">
        <f t="shared" si="307"/>
        <v>505.33333333333331</v>
      </c>
      <c r="CB297" s="39">
        <f t="shared" si="308"/>
        <v>450.11111111111109</v>
      </c>
      <c r="CC297" s="39">
        <f t="shared" si="309"/>
        <v>482.81481481481478</v>
      </c>
      <c r="CD297" s="39">
        <f t="shared" si="310"/>
        <v>479.41975308641969</v>
      </c>
      <c r="CE297" s="276">
        <f t="shared" si="267"/>
        <v>2675</v>
      </c>
      <c r="CF297" s="276">
        <f t="shared" si="268"/>
        <v>2208</v>
      </c>
      <c r="CG297" s="276">
        <f t="shared" si="269"/>
        <v>1791</v>
      </c>
      <c r="CH297" s="276">
        <f t="shared" si="270"/>
        <v>1378</v>
      </c>
      <c r="CI297" s="276">
        <f t="shared" si="271"/>
        <v>1416</v>
      </c>
      <c r="CJ297" s="276">
        <f t="shared" si="272"/>
        <v>1415</v>
      </c>
      <c r="CK297" s="276">
        <f t="shared" si="311"/>
        <v>2303.4722222222222</v>
      </c>
      <c r="CL297" s="276">
        <f t="shared" si="312"/>
        <v>1901.3333333333335</v>
      </c>
      <c r="CM297" s="276">
        <f t="shared" si="313"/>
        <v>1641.75</v>
      </c>
      <c r="CN297" s="276">
        <f t="shared" si="314"/>
        <v>1378</v>
      </c>
      <c r="CO297" s="276">
        <f t="shared" si="315"/>
        <v>1416</v>
      </c>
      <c r="CP297" s="276">
        <f t="shared" si="316"/>
        <v>1415</v>
      </c>
      <c r="CQ297" s="39">
        <f t="shared" si="273"/>
        <v>1479</v>
      </c>
      <c r="CR297" s="39">
        <f t="shared" si="274"/>
        <v>1516</v>
      </c>
      <c r="CS297" s="277">
        <f t="shared" si="275"/>
        <v>1350.3333333333333</v>
      </c>
      <c r="CT297" s="39">
        <f t="shared" si="276"/>
        <v>1448.4444444444443</v>
      </c>
      <c r="CU297" s="39">
        <f t="shared" si="277"/>
        <v>1438.2592592592591</v>
      </c>
      <c r="CV297" s="39">
        <f t="shared" si="317"/>
        <v>1412.3456790123455</v>
      </c>
      <c r="CW297" s="297">
        <f t="shared" si="278"/>
        <v>0.64207416340066326</v>
      </c>
      <c r="CX297" s="279" t="str">
        <f t="shared" si="318"/>
        <v>Buffer and Action Plan</v>
      </c>
      <c r="CY297" s="278">
        <f t="shared" si="279"/>
        <v>0.7973352033660589</v>
      </c>
      <c r="CZ297" s="279" t="str">
        <f t="shared" si="319"/>
        <v>Buffer and Action Plan</v>
      </c>
      <c r="DA297" s="278">
        <f t="shared" si="280"/>
        <v>0.82249631998375716</v>
      </c>
      <c r="DB297" s="292" t="str">
        <f t="shared" si="320"/>
        <v>Buffer and Action Plan</v>
      </c>
      <c r="DC297" s="299">
        <f t="shared" si="321"/>
        <v>1.0511207869698436</v>
      </c>
      <c r="DD297" s="293" t="str">
        <f t="shared" si="322"/>
        <v>Pass</v>
      </c>
      <c r="DE297" s="299">
        <f t="shared" si="323"/>
        <v>1.0157198158610588</v>
      </c>
      <c r="DF297" s="293" t="str">
        <f t="shared" si="324"/>
        <v>Pass</v>
      </c>
      <c r="DG297" s="299">
        <f t="shared" si="325"/>
        <v>0.9981241547790427</v>
      </c>
      <c r="DH297" s="293" t="str">
        <f t="shared" si="326"/>
        <v>Pass</v>
      </c>
    </row>
    <row r="298" spans="1:112" ht="15" thickTop="1" thickBot="1">
      <c r="A298" s="38" t="s">
        <v>706</v>
      </c>
      <c r="B298" s="38" t="s">
        <v>707</v>
      </c>
      <c r="C298" s="38" t="s">
        <v>706</v>
      </c>
      <c r="D298" s="38" t="s">
        <v>113</v>
      </c>
      <c r="E298" s="38" t="str">
        <f>VLOOKUP(C298,PoliticalControl!A:K,11,FALSE)</f>
        <v>CON</v>
      </c>
      <c r="F298" s="38" t="str">
        <f>VLOOKUP(C298,UrbanRuralClassification!A:N,13,FALSE)</f>
        <v>Urban with Significant Rural (rural including hub towns 26-49%)</v>
      </c>
      <c r="G298" s="38" t="str">
        <f>VLOOKUP(C298,UrbanRuralClassification!A:N,14,FALSE)</f>
        <v>Urban with Significant Rural</v>
      </c>
      <c r="H298" s="258">
        <f>IF(ISBLANK((VLOOKUP($A298,'local-plan-data'!$C$1:$AD$566,27,FALSE)))=TRUE,"",VLOOKUP($A298,'local-plan-data'!$C$1:$AD$566,27,FALSE))</f>
        <v>41106</v>
      </c>
      <c r="I298" s="259">
        <f>VLOOKUP($A298,'local-plan-data'!$C$1:$AD$566,28,FALSE)</f>
        <v>525</v>
      </c>
      <c r="J298" s="260">
        <f t="shared" si="281"/>
        <v>525</v>
      </c>
      <c r="K298" s="259" t="str">
        <f t="shared" ref="K298:K322" si="331">IF(AND(ISNUMBER($H298),ISNUMBER($J298)),IF(($H298-K$1&gt;0),$J298,IF(DATEDIF($H298,K$1,"y")&lt;5,$J298,"-")),"-")</f>
        <v>-</v>
      </c>
      <c r="L298" s="259" t="str">
        <f t="shared" si="329"/>
        <v>-</v>
      </c>
      <c r="M298" s="259" t="str">
        <f t="shared" si="329"/>
        <v>-</v>
      </c>
      <c r="N298" s="259" t="str">
        <f t="shared" si="329"/>
        <v>-</v>
      </c>
      <c r="O298" s="259" t="str">
        <f t="shared" si="329"/>
        <v>-</v>
      </c>
      <c r="P298" s="259" t="str">
        <f t="shared" si="329"/>
        <v>-</v>
      </c>
      <c r="Q298" s="259" t="str">
        <f t="shared" si="329"/>
        <v>-</v>
      </c>
      <c r="R298" s="259" t="str">
        <f t="shared" si="329"/>
        <v>-</v>
      </c>
      <c r="S298" s="259">
        <f t="shared" ref="S298:S322" si="332">IFERROR((EDATE($H298,60))-S$1,"-")</f>
        <v>-259</v>
      </c>
      <c r="T298" s="259">
        <f t="shared" si="330"/>
        <v>-624</v>
      </c>
      <c r="U298" s="259">
        <f t="shared" si="330"/>
        <v>-990</v>
      </c>
      <c r="V298" s="259">
        <f t="shared" si="330"/>
        <v>-1355</v>
      </c>
      <c r="W298" s="259">
        <f t="shared" si="330"/>
        <v>-1720</v>
      </c>
      <c r="X298" s="259">
        <f t="shared" si="330"/>
        <v>-2085</v>
      </c>
      <c r="Y298" s="259">
        <f t="shared" si="330"/>
        <v>-2451</v>
      </c>
      <c r="Z298" s="259">
        <f t="shared" si="330"/>
        <v>-2816</v>
      </c>
      <c r="AA298" s="267">
        <f>(VLOOKUP(A298,Hshldprojections2014!$A$2:$AW$319,40, FALSE)-VLOOKUP(A298,Hshldprojections2014!$A$2:$AW$319,30, FALSE))/10</f>
        <v>389.1</v>
      </c>
      <c r="AB298" s="267">
        <f>(VLOOKUP(A298,Hshldprojections2014!$A$2:$AW$319,41, FALSE)-VLOOKUP(A298,Hshldprojections2014!$A$2:$AW$319,31, FALSE))/10</f>
        <v>384.7</v>
      </c>
      <c r="AC298" s="267">
        <f>(VLOOKUP(A298,Hshldprojections2014!$A$2:$AW$319,42, FALSE)-VLOOKUP(A298,Hshldprojections2014!$A$2:$AW$319,32, FALSE))/10</f>
        <v>381.2</v>
      </c>
      <c r="AD298" s="267">
        <f>IF(IndividualLATest!$J$7=2014,(VLOOKUP($A298,Hshldprojections2014!$A$2:$AY$326,43,FALSE)-VLOOKUP($A298,Hshldprojections2014!$A$2:$AY$326,33,FALSE))/10,IF(IndividualLATest!$J$7=2016,(VLOOKUP($A298,Hshldprojections2016!$A$1:$AQ$322,33,FALSE)-VLOOKUP($A298,Hshldprojections2016!$A$1:$AQ$322,23,FALSE))/10,(VLOOKUP($A298,Hshldprojections2018!$A$1:$AQ$327,33,FALSE)-VLOOKUP($A298,Hshldprojections2018!$A$1:$AQ$327,23,FALSE))/10))</f>
        <v>223.1</v>
      </c>
      <c r="AE298" s="267">
        <f>IF(IndividualLATest!$J$7=2014,(VLOOKUP($A298,Hshldprojections2014!$A$2:$AY$326,44,FALSE)-VLOOKUP($A298,Hshldprojections2014!$A$2:$AY$326,34,FALSE))/10,IF(IndividualLATest!$J$7=2016,(VLOOKUP($A298,Hshldprojections2016!$A$1:$AQ$322,34,FALSE)-VLOOKUP($A298,Hshldprojections2016!$A$1:$AQ$322,24,FALSE))/10,(VLOOKUP($A298,Hshldprojections2018!$A$1:$AQ$327,34,FALSE)-VLOOKUP($A298,Hshldprojections2018!$A$1:$AQ$327,24,FALSE))/10))</f>
        <v>211.3</v>
      </c>
      <c r="AF298" s="267">
        <f>IF(IndividualLATest!$J$7=2014,(VLOOKUP($A298,Hshldprojections2014!$A$2:$AY$326,45,FALSE)-VLOOKUP($A298,Hshldprojections2014!$A$2:$AY$326,35,FALSE))/10,IF(IndividualLATest!$J$7=2016,(VLOOKUP($A298,Hshldprojections2016!$A$1:$AQ$322,35,FALSE)-VLOOKUP($A298,Hshldprojections2016!$A$1:$AQ$322,25,FALSE))/10,(VLOOKUP($A298,Hshldprojections2018!$A$1:$AQ$327,35,FALSE)-VLOOKUP($A298,Hshldprojections2018!$A$1:$AQ$327,25,FALSE))/10))</f>
        <v>201.4</v>
      </c>
      <c r="AG298" s="267">
        <f>IF(IndividualLATest!$J$7=2014,(VLOOKUP($A298,Hshldprojections2014!$A$2:$AY$326,46,FALSE)-VLOOKUP($A298,Hshldprojections2014!$A$2:$AY$326,36,FALSE))/10,IF(IndividualLATest!$J$7=2016,(VLOOKUP($A298,Hshldprojections2016!$A$1:$AQ$322,36,FALSE)-VLOOKUP($A298,Hshldprojections2016!$A$1:$AQ$322,26,FALSE))/10,(VLOOKUP($A298,Hshldprojections2018!$A$1:$AQ$327,36,FALSE)-VLOOKUP($A298,Hshldprojections2018!$A$1:$AQ$327,26,FALSE))/10))</f>
        <v>193</v>
      </c>
      <c r="AH298" s="267">
        <f>IF(IndividualLATest!$J$7=2014,(VLOOKUP($A298,Hshldprojections2014!$A$2:$AY$326,47,FALSE)-VLOOKUP($A298,Hshldprojections2014!$A$2:$AY$326,37,FALSE))/10,IF(IndividualLATest!$J$7=2016,(VLOOKUP($A298,Hshldprojections2016!$A$1:$AQ$322,37,FALSE)-VLOOKUP($A298,Hshldprojections2016!$A$1:$AQ$322,27,FALSE))/10,(VLOOKUP($A298,Hshldprojections2018!$A$1:$AQ$327,37,FALSE)-VLOOKUP($A298,Hshldprojections2018!$A$1:$AQ$327,27,FALSE))/10))</f>
        <v>188.6</v>
      </c>
      <c r="AI298" s="268">
        <f>VLOOKUP($A298,AffordabilityRatio!$A$2:$I$321,5,FALSE)</f>
        <v>10.49</v>
      </c>
      <c r="AJ298" s="268">
        <f>VLOOKUP($A298,AffordabilityRatio!$A$2:$I$321,6,FALSE)</f>
        <v>9.61</v>
      </c>
      <c r="AK298" s="268">
        <f>VLOOKUP($A298,AffordabilityRatio!$A$2:$I$321,7,FALSE)</f>
        <v>9.59</v>
      </c>
      <c r="AL298" s="268">
        <f>IF((VLOOKUP($A298,AffordabilityRatio!$A$2:$I$321,8,FALSE))="",AK298,VLOOKUP($A298,AffordabilityRatio!$A$2:$I$321,8,FALSE))</f>
        <v>9.4700000000000006</v>
      </c>
      <c r="AM298" s="268">
        <f>IF((VLOOKUP($A298,AffordabilityRatio!$A$2:$I$321,9,FALSE))="",AL298,VLOOKUP($A298,AffordabilityRatio!$A$2:$I$321,9,FALSE))</f>
        <v>9.73</v>
      </c>
      <c r="AN298" s="268">
        <f>IF((VLOOKUP($A298,AffordabilityRatio!$A$2:$I$321,9,FALSE))="",AM298,VLOOKUP($A298,AffordabilityRatio!$A$2:$I$321,9,FALSE))</f>
        <v>9.73</v>
      </c>
      <c r="AO298" s="268">
        <f>IF((VLOOKUP($A298,AffordabilityRatio!$A$2:$I$321,9,FALSE))="",AN298,VLOOKUP($A298,AffordabilityRatio!$A$2:$I$321,9,FALSE))</f>
        <v>9.73</v>
      </c>
      <c r="AP298" s="268">
        <f>IF((VLOOKUP($A298,AffordabilityRatio!$A$2:$I$321,9,FALSE))="",AO298,VLOOKUP($A298,AffordabilityRatio!$A$2:$I$321,9,FALSE))</f>
        <v>9.73</v>
      </c>
      <c r="AQ298" s="267">
        <f t="shared" si="282"/>
        <v>547</v>
      </c>
      <c r="AR298" s="267">
        <f t="shared" si="283"/>
        <v>520</v>
      </c>
      <c r="AS298" s="267">
        <f t="shared" si="284"/>
        <v>514</v>
      </c>
      <c r="AT298" s="267">
        <f t="shared" si="285"/>
        <v>299</v>
      </c>
      <c r="AU298" s="267">
        <f t="shared" si="286"/>
        <v>287</v>
      </c>
      <c r="AV298" s="267">
        <f t="shared" si="287"/>
        <v>274</v>
      </c>
      <c r="AW298" s="267">
        <f t="shared" si="288"/>
        <v>262</v>
      </c>
      <c r="AX298" s="267">
        <f t="shared" si="289"/>
        <v>256</v>
      </c>
      <c r="AY298" s="267">
        <f t="shared" si="290"/>
        <v>547</v>
      </c>
      <c r="AZ298" s="267">
        <f t="shared" si="291"/>
        <v>520</v>
      </c>
      <c r="BA298" s="267">
        <f t="shared" si="292"/>
        <v>514</v>
      </c>
      <c r="BB298" s="267">
        <f t="shared" si="293"/>
        <v>299</v>
      </c>
      <c r="BC298" s="267">
        <f t="shared" si="294"/>
        <v>287</v>
      </c>
      <c r="BD298" s="267">
        <f t="shared" si="295"/>
        <v>274</v>
      </c>
      <c r="BE298" s="267">
        <f t="shared" si="296"/>
        <v>262</v>
      </c>
      <c r="BF298" s="267">
        <f t="shared" si="297"/>
        <v>256</v>
      </c>
      <c r="BG298" s="269">
        <f>AY298*VLOOKUP($B298,'Major Cities &amp; Towns'!$A$28:$B$345,2,FALSE)</f>
        <v>547</v>
      </c>
      <c r="BH298" s="269">
        <f>AZ298*VLOOKUP($B298,'Major Cities &amp; Towns'!$A$28:$B$345,2,FALSE)</f>
        <v>520</v>
      </c>
      <c r="BI298" s="269">
        <f>BA298*VLOOKUP($B298,'Major Cities &amp; Towns'!$A$28:$B$345,2,FALSE)</f>
        <v>514</v>
      </c>
      <c r="BJ298" s="269">
        <f>BB298*VLOOKUP($B298,'Major Cities &amp; Towns'!$A$28:$B$345,2,FALSE)</f>
        <v>299</v>
      </c>
      <c r="BK298" s="269">
        <f>BC298*VLOOKUP($B298,'Major Cities &amp; Towns'!$A$28:$B$345,2,FALSE)</f>
        <v>287</v>
      </c>
      <c r="BL298" s="269">
        <f>BD298*VLOOKUP($B298,'Major Cities &amp; Towns'!$A$28:$B$345,2,FALSE)</f>
        <v>274</v>
      </c>
      <c r="BM298" s="269">
        <f>BE298*VLOOKUP($B298,'Major Cities &amp; Towns'!$A$28:$B$345,2,FALSE)</f>
        <v>262</v>
      </c>
      <c r="BN298" s="269">
        <f>BF298*VLOOKUP($B298,'Major Cities &amp; Towns'!$A$28:$B$345,2,FALSE)</f>
        <v>256</v>
      </c>
      <c r="BO298" s="270">
        <f t="shared" si="298"/>
        <v>547</v>
      </c>
      <c r="BP298" s="270">
        <f t="shared" si="299"/>
        <v>520</v>
      </c>
      <c r="BQ298" s="270">
        <f t="shared" si="300"/>
        <v>514</v>
      </c>
      <c r="BR298" s="270">
        <f t="shared" si="301"/>
        <v>299</v>
      </c>
      <c r="BS298" s="270">
        <f t="shared" si="302"/>
        <v>287</v>
      </c>
      <c r="BT298" s="270">
        <f t="shared" si="303"/>
        <v>274</v>
      </c>
      <c r="BU298" s="270">
        <f t="shared" si="304"/>
        <v>262</v>
      </c>
      <c r="BV298" s="270">
        <f t="shared" si="305"/>
        <v>256</v>
      </c>
      <c r="BW298" s="39">
        <f>VLOOKUP($A298,NetAdditions!$A$2:$H$336,6,FALSE)</f>
        <v>527</v>
      </c>
      <c r="BX298" s="39">
        <f>VLOOKUP($A298,NetAdditions!$A$2:$H$336,7,FALSE)</f>
        <v>398</v>
      </c>
      <c r="BY298" s="39">
        <f>IF((VLOOKUP($C298,NetAdditions!$A$2:$H$336,8,FALSE))="",(AVERAGE(VLOOKUP($C298,NetAdditions!$A$2:$H$336,5,FALSE),VLOOKUP($C298,NetAdditions!$A$2:$H$336,6,FALSE),VLOOKUP($C298,NetAdditions!$A$2:$H$336,7,FALSE))),VLOOKUP($C298,NetAdditions!$A$2:$H$336,8,FALSE))</f>
        <v>617</v>
      </c>
      <c r="BZ298" s="39">
        <f t="shared" si="306"/>
        <v>514</v>
      </c>
      <c r="CA298" s="39">
        <f t="shared" si="307"/>
        <v>509.66666666666669</v>
      </c>
      <c r="CB298" s="39">
        <f t="shared" si="308"/>
        <v>546.88888888888891</v>
      </c>
      <c r="CC298" s="39">
        <f t="shared" si="309"/>
        <v>523.51851851851859</v>
      </c>
      <c r="CD298" s="39">
        <f t="shared" si="310"/>
        <v>526.69135802469145</v>
      </c>
      <c r="CE298" s="276">
        <f t="shared" si="267"/>
        <v>1581</v>
      </c>
      <c r="CF298" s="276">
        <f t="shared" si="268"/>
        <v>1333</v>
      </c>
      <c r="CG298" s="276">
        <f t="shared" si="269"/>
        <v>1100</v>
      </c>
      <c r="CH298" s="276">
        <f t="shared" si="270"/>
        <v>860</v>
      </c>
      <c r="CI298" s="276">
        <f t="shared" si="271"/>
        <v>823</v>
      </c>
      <c r="CJ298" s="276">
        <f t="shared" si="272"/>
        <v>792</v>
      </c>
      <c r="CK298" s="276">
        <f t="shared" si="311"/>
        <v>1361.4166666666667</v>
      </c>
      <c r="CL298" s="276">
        <f t="shared" si="312"/>
        <v>1147.8611111111111</v>
      </c>
      <c r="CM298" s="276">
        <f t="shared" si="313"/>
        <v>1008.3333333333333</v>
      </c>
      <c r="CN298" s="276">
        <f t="shared" si="314"/>
        <v>860</v>
      </c>
      <c r="CO298" s="276">
        <f t="shared" si="315"/>
        <v>823</v>
      </c>
      <c r="CP298" s="276">
        <f t="shared" si="316"/>
        <v>792</v>
      </c>
      <c r="CQ298" s="39">
        <f t="shared" si="273"/>
        <v>1542</v>
      </c>
      <c r="CR298" s="39">
        <f t="shared" si="274"/>
        <v>1529</v>
      </c>
      <c r="CS298" s="277">
        <f t="shared" si="275"/>
        <v>1640.6666666666667</v>
      </c>
      <c r="CT298" s="39">
        <f t="shared" si="276"/>
        <v>1570.5555555555557</v>
      </c>
      <c r="CU298" s="39">
        <f t="shared" si="277"/>
        <v>1580.0740740740744</v>
      </c>
      <c r="CV298" s="39">
        <f t="shared" si="317"/>
        <v>1597.0987654320988</v>
      </c>
      <c r="CW298" s="297">
        <f t="shared" si="278"/>
        <v>1.1326436922323559</v>
      </c>
      <c r="CX298" s="279" t="str">
        <f t="shared" si="318"/>
        <v>Pass</v>
      </c>
      <c r="CY298" s="278">
        <f t="shared" si="279"/>
        <v>1.3320426880913776</v>
      </c>
      <c r="CZ298" s="279" t="str">
        <f t="shared" si="319"/>
        <v>Pass</v>
      </c>
      <c r="DA298" s="278">
        <f t="shared" si="280"/>
        <v>1.6271074380165291</v>
      </c>
      <c r="DB298" s="292" t="str">
        <f t="shared" si="320"/>
        <v>Pass</v>
      </c>
      <c r="DC298" s="299">
        <f t="shared" si="321"/>
        <v>1.8262273901808788</v>
      </c>
      <c r="DD298" s="293" t="str">
        <f t="shared" si="322"/>
        <v>Pass</v>
      </c>
      <c r="DE298" s="299">
        <f t="shared" si="323"/>
        <v>1.9198955942576845</v>
      </c>
      <c r="DF298" s="293" t="str">
        <f t="shared" si="324"/>
        <v>Pass</v>
      </c>
      <c r="DG298" s="299">
        <f t="shared" si="325"/>
        <v>2.016538845242549</v>
      </c>
      <c r="DH298" s="293" t="str">
        <f t="shared" si="326"/>
        <v>Pass</v>
      </c>
    </row>
    <row r="299" spans="1:112" ht="15" thickTop="1" thickBot="1">
      <c r="A299" s="38" t="s">
        <v>708</v>
      </c>
      <c r="B299" s="38" t="s">
        <v>709</v>
      </c>
      <c r="C299" s="38" t="s">
        <v>708</v>
      </c>
      <c r="D299" s="38" t="s">
        <v>147</v>
      </c>
      <c r="E299" s="38" t="str">
        <f>VLOOKUP(C299,PoliticalControl!A:K,11,FALSE)</f>
        <v>NOC</v>
      </c>
      <c r="F299" s="38" t="str">
        <f>VLOOKUP(C299,UrbanRuralClassification!A:N,13,FALSE)</f>
        <v xml:space="preserve">Mainly Rural (rural including hub towns &gt;=80%) </v>
      </c>
      <c r="G299" s="38" t="str">
        <f>VLOOKUP(C299,UrbanRuralClassification!A:N,14,FALSE)</f>
        <v>Predominantly Rural</v>
      </c>
      <c r="H299" s="258">
        <f>IF(ISBLANK((VLOOKUP($A299,'local-plan-data'!$C$1:$AD$566,27,FALSE)))=TRUE,"",VLOOKUP($A299,'local-plan-data'!$C$1:$AD$566,27,FALSE))</f>
        <v>43550</v>
      </c>
      <c r="I299" s="259">
        <f>VLOOKUP($A299,'local-plan-data'!$C$1:$AD$566,28,FALSE)</f>
        <v>1335</v>
      </c>
      <c r="J299" s="260">
        <f t="shared" si="281"/>
        <v>1335</v>
      </c>
      <c r="K299" s="259">
        <f t="shared" si="331"/>
        <v>1335</v>
      </c>
      <c r="L299" s="259">
        <f t="shared" si="329"/>
        <v>1335</v>
      </c>
      <c r="M299" s="259">
        <f t="shared" si="329"/>
        <v>1335</v>
      </c>
      <c r="N299" s="259">
        <f t="shared" si="329"/>
        <v>1335</v>
      </c>
      <c r="O299" s="259">
        <f t="shared" si="329"/>
        <v>1335</v>
      </c>
      <c r="P299" s="259">
        <f t="shared" si="329"/>
        <v>1335</v>
      </c>
      <c r="Q299" s="259" t="str">
        <f t="shared" si="329"/>
        <v>-</v>
      </c>
      <c r="R299" s="259" t="str">
        <f t="shared" si="329"/>
        <v>-</v>
      </c>
      <c r="S299" s="259">
        <f t="shared" si="332"/>
        <v>2186</v>
      </c>
      <c r="T299" s="259">
        <f t="shared" si="330"/>
        <v>1821</v>
      </c>
      <c r="U299" s="259">
        <f t="shared" si="330"/>
        <v>1455</v>
      </c>
      <c r="V299" s="259">
        <f t="shared" si="330"/>
        <v>1090</v>
      </c>
      <c r="W299" s="259">
        <f t="shared" si="330"/>
        <v>725</v>
      </c>
      <c r="X299" s="259">
        <f t="shared" si="330"/>
        <v>360</v>
      </c>
      <c r="Y299" s="259">
        <f t="shared" si="330"/>
        <v>-6</v>
      </c>
      <c r="Z299" s="259">
        <f t="shared" si="330"/>
        <v>-371</v>
      </c>
      <c r="AA299" s="267">
        <f>(VLOOKUP(A299,Hshldprojections2014!$A$2:$AW$319,40, FALSE)-VLOOKUP(A299,Hshldprojections2014!$A$2:$AW$319,30, FALSE))/10</f>
        <v>233.8</v>
      </c>
      <c r="AB299" s="267">
        <f>(VLOOKUP(A299,Hshldprojections2014!$A$2:$AW$319,41, FALSE)-VLOOKUP(A299,Hshldprojections2014!$A$2:$AW$319,31, FALSE))/10</f>
        <v>230</v>
      </c>
      <c r="AC299" s="267">
        <f>(VLOOKUP(A299,Hshldprojections2014!$A$2:$AW$319,42, FALSE)-VLOOKUP(A299,Hshldprojections2014!$A$2:$AW$319,32, FALSE))/10</f>
        <v>227.3</v>
      </c>
      <c r="AD299" s="267">
        <f>IF(IndividualLATest!$J$7=2014,(VLOOKUP($A299,Hshldprojections2014!$A$2:$AY$326,43,FALSE)-VLOOKUP($A299,Hshldprojections2014!$A$2:$AY$326,33,FALSE))/10,IF(IndividualLATest!$J$7=2016,(VLOOKUP($A299,Hshldprojections2016!$A$1:$AQ$322,33,FALSE)-VLOOKUP($A299,Hshldprojections2016!$A$1:$AQ$322,23,FALSE))/10,(VLOOKUP($A299,Hshldprojections2018!$A$1:$AQ$327,33,FALSE)-VLOOKUP($A299,Hshldprojections2018!$A$1:$AQ$327,23,FALSE))/10))</f>
        <v>217.6</v>
      </c>
      <c r="AE299" s="267">
        <f>IF(IndividualLATest!$J$7=2014,(VLOOKUP($A299,Hshldprojections2014!$A$2:$AY$326,44,FALSE)-VLOOKUP($A299,Hshldprojections2014!$A$2:$AY$326,34,FALSE))/10,IF(IndividualLATest!$J$7=2016,(VLOOKUP($A299,Hshldprojections2016!$A$1:$AQ$322,34,FALSE)-VLOOKUP($A299,Hshldprojections2016!$A$1:$AQ$322,24,FALSE))/10,(VLOOKUP($A299,Hshldprojections2018!$A$1:$AQ$327,34,FALSE)-VLOOKUP($A299,Hshldprojections2018!$A$1:$AQ$327,24,FALSE))/10))</f>
        <v>212</v>
      </c>
      <c r="AF299" s="267">
        <f>IF(IndividualLATest!$J$7=2014,(VLOOKUP($A299,Hshldprojections2014!$A$2:$AY$326,45,FALSE)-VLOOKUP($A299,Hshldprojections2014!$A$2:$AY$326,35,FALSE))/10,IF(IndividualLATest!$J$7=2016,(VLOOKUP($A299,Hshldprojections2016!$A$1:$AQ$322,35,FALSE)-VLOOKUP($A299,Hshldprojections2016!$A$1:$AQ$322,25,FALSE))/10,(VLOOKUP($A299,Hshldprojections2018!$A$1:$AQ$327,35,FALSE)-VLOOKUP($A299,Hshldprojections2018!$A$1:$AQ$327,25,FALSE))/10))</f>
        <v>207.2</v>
      </c>
      <c r="AG299" s="267">
        <f>IF(IndividualLATest!$J$7=2014,(VLOOKUP($A299,Hshldprojections2014!$A$2:$AY$326,46,FALSE)-VLOOKUP($A299,Hshldprojections2014!$A$2:$AY$326,36,FALSE))/10,IF(IndividualLATest!$J$7=2016,(VLOOKUP($A299,Hshldprojections2016!$A$1:$AQ$322,36,FALSE)-VLOOKUP($A299,Hshldprojections2016!$A$1:$AQ$322,26,FALSE))/10,(VLOOKUP($A299,Hshldprojections2018!$A$1:$AQ$327,36,FALSE)-VLOOKUP($A299,Hshldprojections2018!$A$1:$AQ$327,26,FALSE))/10))</f>
        <v>201.7</v>
      </c>
      <c r="AH299" s="267">
        <f>IF(IndividualLATest!$J$7=2014,(VLOOKUP($A299,Hshldprojections2014!$A$2:$AY$326,47,FALSE)-VLOOKUP($A299,Hshldprojections2014!$A$2:$AY$326,37,FALSE))/10,IF(IndividualLATest!$J$7=2016,(VLOOKUP($A299,Hshldprojections2016!$A$1:$AQ$322,37,FALSE)-VLOOKUP($A299,Hshldprojections2016!$A$1:$AQ$322,27,FALSE))/10,(VLOOKUP($A299,Hshldprojections2018!$A$1:$AQ$327,37,FALSE)-VLOOKUP($A299,Hshldprojections2018!$A$1:$AQ$327,27,FALSE))/10))</f>
        <v>198.5</v>
      </c>
      <c r="AI299" s="268">
        <f>VLOOKUP($A299,AffordabilityRatio!$A$2:$I$321,5,FALSE)</f>
        <v>10.1</v>
      </c>
      <c r="AJ299" s="268">
        <f>VLOOKUP($A299,AffordabilityRatio!$A$2:$I$321,6,FALSE)</f>
        <v>9.73</v>
      </c>
      <c r="AK299" s="268">
        <f>VLOOKUP($A299,AffordabilityRatio!$A$2:$I$321,7,FALSE)</f>
        <v>10.62</v>
      </c>
      <c r="AL299" s="268">
        <f>IF((VLOOKUP($A299,AffordabilityRatio!$A$2:$I$321,8,FALSE))="",AK299,VLOOKUP($A299,AffordabilityRatio!$A$2:$I$321,8,FALSE))</f>
        <v>8.6999999999999993</v>
      </c>
      <c r="AM299" s="268">
        <f>IF((VLOOKUP($A299,AffordabilityRatio!$A$2:$I$321,9,FALSE))="",AL299,VLOOKUP($A299,AffordabilityRatio!$A$2:$I$321,9,FALSE))</f>
        <v>11.96</v>
      </c>
      <c r="AN299" s="268">
        <f>IF((VLOOKUP($A299,AffordabilityRatio!$A$2:$I$321,9,FALSE))="",AM299,VLOOKUP($A299,AffordabilityRatio!$A$2:$I$321,9,FALSE))</f>
        <v>11.96</v>
      </c>
      <c r="AO299" s="268">
        <f>IF((VLOOKUP($A299,AffordabilityRatio!$A$2:$I$321,9,FALSE))="",AN299,VLOOKUP($A299,AffordabilityRatio!$A$2:$I$321,9,FALSE))</f>
        <v>11.96</v>
      </c>
      <c r="AP299" s="268">
        <f>IF((VLOOKUP($A299,AffordabilityRatio!$A$2:$I$321,9,FALSE))="",AO299,VLOOKUP($A299,AffordabilityRatio!$A$2:$I$321,9,FALSE))</f>
        <v>11.96</v>
      </c>
      <c r="AQ299" s="267">
        <f t="shared" si="282"/>
        <v>323</v>
      </c>
      <c r="AR299" s="267">
        <f t="shared" si="283"/>
        <v>312</v>
      </c>
      <c r="AS299" s="267">
        <f t="shared" si="284"/>
        <v>321</v>
      </c>
      <c r="AT299" s="267">
        <f t="shared" si="285"/>
        <v>282</v>
      </c>
      <c r="AU299" s="267">
        <f t="shared" si="286"/>
        <v>317</v>
      </c>
      <c r="AV299" s="267">
        <f t="shared" si="287"/>
        <v>310</v>
      </c>
      <c r="AW299" s="267">
        <f t="shared" si="288"/>
        <v>302</v>
      </c>
      <c r="AX299" s="267">
        <f t="shared" si="289"/>
        <v>297</v>
      </c>
      <c r="AY299" s="267">
        <f t="shared" si="290"/>
        <v>323</v>
      </c>
      <c r="AZ299" s="267">
        <f t="shared" si="291"/>
        <v>312</v>
      </c>
      <c r="BA299" s="267">
        <f t="shared" si="292"/>
        <v>321</v>
      </c>
      <c r="BB299" s="267">
        <f t="shared" si="293"/>
        <v>282</v>
      </c>
      <c r="BC299" s="267">
        <f t="shared" si="294"/>
        <v>317</v>
      </c>
      <c r="BD299" s="267">
        <f t="shared" si="295"/>
        <v>310</v>
      </c>
      <c r="BE299" s="267">
        <f t="shared" si="296"/>
        <v>302</v>
      </c>
      <c r="BF299" s="267">
        <f t="shared" si="297"/>
        <v>297</v>
      </c>
      <c r="BG299" s="269">
        <f>AY299*VLOOKUP($B299,'Major Cities &amp; Towns'!$A$28:$B$345,2,FALSE)</f>
        <v>323</v>
      </c>
      <c r="BH299" s="269">
        <f>AZ299*VLOOKUP($B299,'Major Cities &amp; Towns'!$A$28:$B$345,2,FALSE)</f>
        <v>312</v>
      </c>
      <c r="BI299" s="269">
        <f>BA299*VLOOKUP($B299,'Major Cities &amp; Towns'!$A$28:$B$345,2,FALSE)</f>
        <v>321</v>
      </c>
      <c r="BJ299" s="269">
        <f>BB299*VLOOKUP($B299,'Major Cities &amp; Towns'!$A$28:$B$345,2,FALSE)</f>
        <v>282</v>
      </c>
      <c r="BK299" s="269">
        <f>BC299*VLOOKUP($B299,'Major Cities &amp; Towns'!$A$28:$B$345,2,FALSE)</f>
        <v>317</v>
      </c>
      <c r="BL299" s="269">
        <f>BD299*VLOOKUP($B299,'Major Cities &amp; Towns'!$A$28:$B$345,2,FALSE)</f>
        <v>310</v>
      </c>
      <c r="BM299" s="269">
        <f>BE299*VLOOKUP($B299,'Major Cities &amp; Towns'!$A$28:$B$345,2,FALSE)</f>
        <v>302</v>
      </c>
      <c r="BN299" s="269">
        <f>BF299*VLOOKUP($B299,'Major Cities &amp; Towns'!$A$28:$B$345,2,FALSE)</f>
        <v>297</v>
      </c>
      <c r="BO299" s="270">
        <f t="shared" si="298"/>
        <v>323</v>
      </c>
      <c r="BP299" s="270">
        <f t="shared" si="299"/>
        <v>312</v>
      </c>
      <c r="BQ299" s="270">
        <f t="shared" si="300"/>
        <v>321</v>
      </c>
      <c r="BR299" s="270">
        <f t="shared" si="301"/>
        <v>282</v>
      </c>
      <c r="BS299" s="270">
        <f t="shared" si="302"/>
        <v>317</v>
      </c>
      <c r="BT299" s="270">
        <f t="shared" si="303"/>
        <v>310</v>
      </c>
      <c r="BU299" s="270">
        <f t="shared" si="304"/>
        <v>302</v>
      </c>
      <c r="BV299" s="270">
        <f t="shared" si="305"/>
        <v>297</v>
      </c>
      <c r="BW299" s="39">
        <f>VLOOKUP($A299,NetAdditions!$A$2:$H$336,6,FALSE)</f>
        <v>141</v>
      </c>
      <c r="BX299" s="39">
        <f>VLOOKUP($A299,NetAdditions!$A$2:$H$336,7,FALSE)</f>
        <v>278</v>
      </c>
      <c r="BY299" s="39">
        <f>IF((VLOOKUP($C299,NetAdditions!$A$2:$H$336,8,FALSE))="",(AVERAGE(VLOOKUP($C299,NetAdditions!$A$2:$H$336,5,FALSE),VLOOKUP($C299,NetAdditions!$A$2:$H$336,6,FALSE),VLOOKUP($C299,NetAdditions!$A$2:$H$336,7,FALSE))),VLOOKUP($C299,NetAdditions!$A$2:$H$336,8,FALSE))</f>
        <v>295</v>
      </c>
      <c r="BZ299" s="39">
        <f t="shared" si="306"/>
        <v>238</v>
      </c>
      <c r="CA299" s="39">
        <f t="shared" si="307"/>
        <v>270.33333333333331</v>
      </c>
      <c r="CB299" s="39">
        <f t="shared" si="308"/>
        <v>267.77777777777777</v>
      </c>
      <c r="CC299" s="39">
        <f t="shared" si="309"/>
        <v>258.7037037037037</v>
      </c>
      <c r="CD299" s="39">
        <f t="shared" si="310"/>
        <v>265.60493827160491</v>
      </c>
      <c r="CE299" s="276">
        <f t="shared" si="267"/>
        <v>956</v>
      </c>
      <c r="CF299" s="276">
        <f t="shared" si="268"/>
        <v>915</v>
      </c>
      <c r="CG299" s="276">
        <f t="shared" si="269"/>
        <v>920</v>
      </c>
      <c r="CH299" s="276">
        <f t="shared" si="270"/>
        <v>909</v>
      </c>
      <c r="CI299" s="276">
        <f t="shared" si="271"/>
        <v>929</v>
      </c>
      <c r="CJ299" s="276">
        <f t="shared" si="272"/>
        <v>909</v>
      </c>
      <c r="CK299" s="276">
        <f t="shared" si="311"/>
        <v>823.22222222222229</v>
      </c>
      <c r="CL299" s="276">
        <f t="shared" si="312"/>
        <v>787.91666666666674</v>
      </c>
      <c r="CM299" s="276">
        <f t="shared" si="313"/>
        <v>843.33333333333326</v>
      </c>
      <c r="CN299" s="276">
        <f t="shared" si="314"/>
        <v>909</v>
      </c>
      <c r="CO299" s="276">
        <f t="shared" si="315"/>
        <v>929</v>
      </c>
      <c r="CP299" s="276">
        <f t="shared" si="316"/>
        <v>909</v>
      </c>
      <c r="CQ299" s="39">
        <f t="shared" si="273"/>
        <v>714</v>
      </c>
      <c r="CR299" s="39">
        <f t="shared" si="274"/>
        <v>811</v>
      </c>
      <c r="CS299" s="277">
        <f t="shared" si="275"/>
        <v>803.33333333333326</v>
      </c>
      <c r="CT299" s="39">
        <f t="shared" si="276"/>
        <v>776.11111111111109</v>
      </c>
      <c r="CU299" s="39">
        <f t="shared" si="277"/>
        <v>796.81481481481478</v>
      </c>
      <c r="CV299" s="39">
        <f t="shared" si="317"/>
        <v>792.08641975308637</v>
      </c>
      <c r="CW299" s="297">
        <f t="shared" si="278"/>
        <v>0.86732352544202995</v>
      </c>
      <c r="CX299" s="279" t="str">
        <f t="shared" si="318"/>
        <v>Action Plan</v>
      </c>
      <c r="CY299" s="278">
        <f t="shared" si="279"/>
        <v>1.0292966684294023</v>
      </c>
      <c r="CZ299" s="279" t="str">
        <f t="shared" si="319"/>
        <v>Pass</v>
      </c>
      <c r="DA299" s="278">
        <f t="shared" si="280"/>
        <v>0.95256916996047425</v>
      </c>
      <c r="DB299" s="292" t="str">
        <f t="shared" si="320"/>
        <v>Pass</v>
      </c>
      <c r="DC299" s="299">
        <f t="shared" si="321"/>
        <v>0.85380760298252045</v>
      </c>
      <c r="DD299" s="293" t="str">
        <f t="shared" si="322"/>
        <v>Action Plan</v>
      </c>
      <c r="DE299" s="299">
        <f t="shared" si="323"/>
        <v>0.857712394849101</v>
      </c>
      <c r="DF299" s="293" t="str">
        <f t="shared" si="324"/>
        <v>Action Plan</v>
      </c>
      <c r="DG299" s="299">
        <f t="shared" si="325"/>
        <v>0.87138219994838984</v>
      </c>
      <c r="DH299" s="293" t="str">
        <f t="shared" si="326"/>
        <v>Action Plan</v>
      </c>
    </row>
    <row r="300" spans="1:112" ht="15" thickTop="1" thickBot="1">
      <c r="A300" s="38" t="s">
        <v>710</v>
      </c>
      <c r="B300" s="38" t="s">
        <v>711</v>
      </c>
      <c r="C300" s="38" t="s">
        <v>710</v>
      </c>
      <c r="D300" s="38" t="s">
        <v>116</v>
      </c>
      <c r="E300" s="38" t="str">
        <f>VLOOKUP(C300,PoliticalControl!A:K,11,FALSE)</f>
        <v>NOC</v>
      </c>
      <c r="F300" s="38" t="str">
        <f>VLOOKUP(C300,UrbanRuralClassification!A:N,13,FALSE)</f>
        <v>Urban with Significant Rural (rural including hub towns 26-49%)</v>
      </c>
      <c r="G300" s="38" t="str">
        <f>VLOOKUP(C300,UrbanRuralClassification!A:N,14,FALSE)</f>
        <v>Urban with Significant Rural</v>
      </c>
      <c r="H300" s="258">
        <f>IF(ISBLANK((VLOOKUP($A300,'local-plan-data'!$C$1:$AD$566,27,FALSE)))=TRUE,"",VLOOKUP($A300,'local-plan-data'!$C$1:$AD$566,27,FALSE))</f>
        <v>41563</v>
      </c>
      <c r="I300" s="259">
        <f>VLOOKUP($A300,'local-plan-data'!$C$1:$AD$566,28,FALSE)</f>
        <v>324</v>
      </c>
      <c r="J300" s="260">
        <f t="shared" si="281"/>
        <v>324</v>
      </c>
      <c r="K300" s="259">
        <f t="shared" si="331"/>
        <v>324</v>
      </c>
      <c r="L300" s="259" t="str">
        <f t="shared" si="329"/>
        <v>-</v>
      </c>
      <c r="M300" s="259" t="str">
        <f t="shared" si="329"/>
        <v>-</v>
      </c>
      <c r="N300" s="259" t="str">
        <f t="shared" si="329"/>
        <v>-</v>
      </c>
      <c r="O300" s="259" t="str">
        <f t="shared" si="329"/>
        <v>-</v>
      </c>
      <c r="P300" s="259" t="str">
        <f t="shared" si="329"/>
        <v>-</v>
      </c>
      <c r="Q300" s="259" t="str">
        <f t="shared" si="329"/>
        <v>-</v>
      </c>
      <c r="R300" s="259" t="str">
        <f t="shared" si="329"/>
        <v>-</v>
      </c>
      <c r="S300" s="259">
        <f t="shared" si="332"/>
        <v>198</v>
      </c>
      <c r="T300" s="259">
        <f t="shared" si="330"/>
        <v>-167</v>
      </c>
      <c r="U300" s="259">
        <f t="shared" si="330"/>
        <v>-533</v>
      </c>
      <c r="V300" s="259">
        <f t="shared" si="330"/>
        <v>-898</v>
      </c>
      <c r="W300" s="259">
        <f t="shared" si="330"/>
        <v>-1263</v>
      </c>
      <c r="X300" s="259">
        <f t="shared" si="330"/>
        <v>-1628</v>
      </c>
      <c r="Y300" s="259">
        <f t="shared" si="330"/>
        <v>-1994</v>
      </c>
      <c r="Z300" s="259">
        <f t="shared" si="330"/>
        <v>-2359</v>
      </c>
      <c r="AA300" s="267">
        <f>(VLOOKUP(A300,Hshldprojections2014!$A$2:$AW$319,40, FALSE)-VLOOKUP(A300,Hshldprojections2014!$A$2:$AW$319,30, FALSE))/10</f>
        <v>175.8</v>
      </c>
      <c r="AB300" s="267">
        <f>(VLOOKUP(A300,Hshldprojections2014!$A$2:$AW$319,41, FALSE)-VLOOKUP(A300,Hshldprojections2014!$A$2:$AW$319,31, FALSE))/10</f>
        <v>170.7</v>
      </c>
      <c r="AC300" s="267">
        <f>(VLOOKUP(A300,Hshldprojections2014!$A$2:$AW$319,42, FALSE)-VLOOKUP(A300,Hshldprojections2014!$A$2:$AW$319,32, FALSE))/10</f>
        <v>165.8</v>
      </c>
      <c r="AD300" s="267">
        <f>IF(IndividualLATest!$J$7=2014,(VLOOKUP($A300,Hshldprojections2014!$A$2:$AY$326,43,FALSE)-VLOOKUP($A300,Hshldprojections2014!$A$2:$AY$326,33,FALSE))/10,IF(IndividualLATest!$J$7=2016,(VLOOKUP($A300,Hshldprojections2016!$A$1:$AQ$322,33,FALSE)-VLOOKUP($A300,Hshldprojections2016!$A$1:$AQ$322,23,FALSE))/10,(VLOOKUP($A300,Hshldprojections2018!$A$1:$AQ$327,33,FALSE)-VLOOKUP($A300,Hshldprojections2018!$A$1:$AQ$327,23,FALSE))/10))</f>
        <v>101.3</v>
      </c>
      <c r="AE300" s="267">
        <f>IF(IndividualLATest!$J$7=2014,(VLOOKUP($A300,Hshldprojections2014!$A$2:$AY$326,44,FALSE)-VLOOKUP($A300,Hshldprojections2014!$A$2:$AY$326,34,FALSE))/10,IF(IndividualLATest!$J$7=2016,(VLOOKUP($A300,Hshldprojections2016!$A$1:$AQ$322,34,FALSE)-VLOOKUP($A300,Hshldprojections2016!$A$1:$AQ$322,24,FALSE))/10,(VLOOKUP($A300,Hshldprojections2018!$A$1:$AQ$327,34,FALSE)-VLOOKUP($A300,Hshldprojections2018!$A$1:$AQ$327,24,FALSE))/10))</f>
        <v>96.6</v>
      </c>
      <c r="AF300" s="267">
        <f>IF(IndividualLATest!$J$7=2014,(VLOOKUP($A300,Hshldprojections2014!$A$2:$AY$326,45,FALSE)-VLOOKUP($A300,Hshldprojections2014!$A$2:$AY$326,35,FALSE))/10,IF(IndividualLATest!$J$7=2016,(VLOOKUP($A300,Hshldprojections2016!$A$1:$AQ$322,35,FALSE)-VLOOKUP($A300,Hshldprojections2016!$A$1:$AQ$322,25,FALSE))/10,(VLOOKUP($A300,Hshldprojections2018!$A$1:$AQ$327,35,FALSE)-VLOOKUP($A300,Hshldprojections2018!$A$1:$AQ$327,25,FALSE))/10))</f>
        <v>95.4</v>
      </c>
      <c r="AG300" s="267">
        <f>IF(IndividualLATest!$J$7=2014,(VLOOKUP($A300,Hshldprojections2014!$A$2:$AY$326,46,FALSE)-VLOOKUP($A300,Hshldprojections2014!$A$2:$AY$326,36,FALSE))/10,IF(IndividualLATest!$J$7=2016,(VLOOKUP($A300,Hshldprojections2016!$A$1:$AQ$322,36,FALSE)-VLOOKUP($A300,Hshldprojections2016!$A$1:$AQ$322,26,FALSE))/10,(VLOOKUP($A300,Hshldprojections2018!$A$1:$AQ$327,36,FALSE)-VLOOKUP($A300,Hshldprojections2018!$A$1:$AQ$327,26,FALSE))/10))</f>
        <v>93.4</v>
      </c>
      <c r="AH300" s="267">
        <f>IF(IndividualLATest!$J$7=2014,(VLOOKUP($A300,Hshldprojections2014!$A$2:$AY$326,47,FALSE)-VLOOKUP($A300,Hshldprojections2014!$A$2:$AY$326,37,FALSE))/10,IF(IndividualLATest!$J$7=2016,(VLOOKUP($A300,Hshldprojections2016!$A$1:$AQ$322,37,FALSE)-VLOOKUP($A300,Hshldprojections2016!$A$1:$AQ$322,27,FALSE))/10,(VLOOKUP($A300,Hshldprojections2018!$A$1:$AQ$327,37,FALSE)-VLOOKUP($A300,Hshldprojections2018!$A$1:$AQ$327,27,FALSE))/10))</f>
        <v>94.1</v>
      </c>
      <c r="AI300" s="268">
        <f>VLOOKUP($A300,AffordabilityRatio!$A$2:$I$321,5,FALSE)</f>
        <v>6.51</v>
      </c>
      <c r="AJ300" s="268">
        <f>VLOOKUP($A300,AffordabilityRatio!$A$2:$I$321,6,FALSE)</f>
        <v>6.54</v>
      </c>
      <c r="AK300" s="268">
        <f>VLOOKUP($A300,AffordabilityRatio!$A$2:$I$321,7,FALSE)</f>
        <v>6.69</v>
      </c>
      <c r="AL300" s="268">
        <f>IF((VLOOKUP($A300,AffordabilityRatio!$A$2:$I$321,8,FALSE))="",AK300,VLOOKUP($A300,AffordabilityRatio!$A$2:$I$321,8,FALSE))</f>
        <v>6.31</v>
      </c>
      <c r="AM300" s="268">
        <f>IF((VLOOKUP($A300,AffordabilityRatio!$A$2:$I$321,9,FALSE))="",AL300,VLOOKUP($A300,AffordabilityRatio!$A$2:$I$321,9,FALSE))</f>
        <v>7.47</v>
      </c>
      <c r="AN300" s="268">
        <f>IF((VLOOKUP($A300,AffordabilityRatio!$A$2:$I$321,9,FALSE))="",AM300,VLOOKUP($A300,AffordabilityRatio!$A$2:$I$321,9,FALSE))</f>
        <v>7.47</v>
      </c>
      <c r="AO300" s="268">
        <f>IF((VLOOKUP($A300,AffordabilityRatio!$A$2:$I$321,9,FALSE))="",AN300,VLOOKUP($A300,AffordabilityRatio!$A$2:$I$321,9,FALSE))</f>
        <v>7.47</v>
      </c>
      <c r="AP300" s="268">
        <f>IF((VLOOKUP($A300,AffordabilityRatio!$A$2:$I$321,9,FALSE))="",AO300,VLOOKUP($A300,AffordabilityRatio!$A$2:$I$321,9,FALSE))</f>
        <v>7.47</v>
      </c>
      <c r="AQ300" s="267">
        <f t="shared" si="282"/>
        <v>203</v>
      </c>
      <c r="AR300" s="267">
        <f t="shared" si="283"/>
        <v>198</v>
      </c>
      <c r="AS300" s="267">
        <f t="shared" si="284"/>
        <v>194</v>
      </c>
      <c r="AT300" s="267">
        <f t="shared" si="285"/>
        <v>116</v>
      </c>
      <c r="AU300" s="267">
        <f t="shared" si="286"/>
        <v>118</v>
      </c>
      <c r="AV300" s="267">
        <f t="shared" si="287"/>
        <v>116</v>
      </c>
      <c r="AW300" s="267">
        <f t="shared" si="288"/>
        <v>114</v>
      </c>
      <c r="AX300" s="267">
        <f t="shared" si="289"/>
        <v>115</v>
      </c>
      <c r="AY300" s="267">
        <f t="shared" si="290"/>
        <v>203</v>
      </c>
      <c r="AZ300" s="267">
        <f t="shared" si="291"/>
        <v>198</v>
      </c>
      <c r="BA300" s="267">
        <f t="shared" si="292"/>
        <v>194</v>
      </c>
      <c r="BB300" s="267">
        <f t="shared" si="293"/>
        <v>116</v>
      </c>
      <c r="BC300" s="267">
        <f t="shared" si="294"/>
        <v>118</v>
      </c>
      <c r="BD300" s="267">
        <f t="shared" si="295"/>
        <v>116</v>
      </c>
      <c r="BE300" s="267">
        <f t="shared" si="296"/>
        <v>114</v>
      </c>
      <c r="BF300" s="267">
        <f t="shared" si="297"/>
        <v>115</v>
      </c>
      <c r="BG300" s="269">
        <f>AY300*VLOOKUP($B300,'Major Cities &amp; Towns'!$A$28:$B$345,2,FALSE)</f>
        <v>203</v>
      </c>
      <c r="BH300" s="269">
        <f>AZ300*VLOOKUP($B300,'Major Cities &amp; Towns'!$A$28:$B$345,2,FALSE)</f>
        <v>198</v>
      </c>
      <c r="BI300" s="269">
        <f>BA300*VLOOKUP($B300,'Major Cities &amp; Towns'!$A$28:$B$345,2,FALSE)</f>
        <v>194</v>
      </c>
      <c r="BJ300" s="269">
        <f>BB300*VLOOKUP($B300,'Major Cities &amp; Towns'!$A$28:$B$345,2,FALSE)</f>
        <v>116</v>
      </c>
      <c r="BK300" s="269">
        <f>BC300*VLOOKUP($B300,'Major Cities &amp; Towns'!$A$28:$B$345,2,FALSE)</f>
        <v>118</v>
      </c>
      <c r="BL300" s="269">
        <f>BD300*VLOOKUP($B300,'Major Cities &amp; Towns'!$A$28:$B$345,2,FALSE)</f>
        <v>116</v>
      </c>
      <c r="BM300" s="269">
        <f>BE300*VLOOKUP($B300,'Major Cities &amp; Towns'!$A$28:$B$345,2,FALSE)</f>
        <v>114</v>
      </c>
      <c r="BN300" s="269">
        <f>BF300*VLOOKUP($B300,'Major Cities &amp; Towns'!$A$28:$B$345,2,FALSE)</f>
        <v>115</v>
      </c>
      <c r="BO300" s="270">
        <f t="shared" si="298"/>
        <v>203</v>
      </c>
      <c r="BP300" s="270">
        <f t="shared" si="299"/>
        <v>198</v>
      </c>
      <c r="BQ300" s="270">
        <f t="shared" si="300"/>
        <v>194</v>
      </c>
      <c r="BR300" s="270">
        <f t="shared" si="301"/>
        <v>116</v>
      </c>
      <c r="BS300" s="270">
        <f t="shared" si="302"/>
        <v>118</v>
      </c>
      <c r="BT300" s="270">
        <f t="shared" si="303"/>
        <v>116</v>
      </c>
      <c r="BU300" s="270">
        <f t="shared" si="304"/>
        <v>114</v>
      </c>
      <c r="BV300" s="270">
        <f t="shared" si="305"/>
        <v>115</v>
      </c>
      <c r="BW300" s="39">
        <f>VLOOKUP($A300,NetAdditions!$A$2:$H$336,6,FALSE)</f>
        <v>323</v>
      </c>
      <c r="BX300" s="39">
        <f>VLOOKUP($A300,NetAdditions!$A$2:$H$336,7,FALSE)</f>
        <v>616</v>
      </c>
      <c r="BY300" s="39">
        <f>IF((VLOOKUP($C300,NetAdditions!$A$2:$H$336,8,FALSE))="",(AVERAGE(VLOOKUP($C300,NetAdditions!$A$2:$H$336,5,FALSE),VLOOKUP($C300,NetAdditions!$A$2:$H$336,6,FALSE),VLOOKUP($C300,NetAdditions!$A$2:$H$336,7,FALSE))),VLOOKUP($C300,NetAdditions!$A$2:$H$336,8,FALSE))</f>
        <v>451</v>
      </c>
      <c r="BZ300" s="39">
        <f t="shared" si="306"/>
        <v>463.33333333333331</v>
      </c>
      <c r="CA300" s="39">
        <f t="shared" si="307"/>
        <v>510.11111111111109</v>
      </c>
      <c r="CB300" s="39">
        <f t="shared" si="308"/>
        <v>474.81481481481478</v>
      </c>
      <c r="CC300" s="39">
        <f t="shared" si="309"/>
        <v>482.75308641975306</v>
      </c>
      <c r="CD300" s="39">
        <f t="shared" si="310"/>
        <v>489.22633744855966</v>
      </c>
      <c r="CE300" s="276">
        <f t="shared" si="267"/>
        <v>595</v>
      </c>
      <c r="CF300" s="276">
        <f t="shared" si="268"/>
        <v>508</v>
      </c>
      <c r="CG300" s="276">
        <f t="shared" si="269"/>
        <v>428</v>
      </c>
      <c r="CH300" s="276">
        <f t="shared" si="270"/>
        <v>350</v>
      </c>
      <c r="CI300" s="276">
        <f t="shared" si="271"/>
        <v>348</v>
      </c>
      <c r="CJ300" s="276">
        <f t="shared" si="272"/>
        <v>345</v>
      </c>
      <c r="CK300" s="276">
        <f t="shared" si="311"/>
        <v>512.36111111111109</v>
      </c>
      <c r="CL300" s="276">
        <f t="shared" si="312"/>
        <v>437.44444444444446</v>
      </c>
      <c r="CM300" s="276">
        <f t="shared" si="313"/>
        <v>392.33333333333331</v>
      </c>
      <c r="CN300" s="276">
        <f t="shared" si="314"/>
        <v>350</v>
      </c>
      <c r="CO300" s="276">
        <f t="shared" si="315"/>
        <v>348</v>
      </c>
      <c r="CP300" s="276">
        <f t="shared" si="316"/>
        <v>345</v>
      </c>
      <c r="CQ300" s="39">
        <f t="shared" si="273"/>
        <v>1390</v>
      </c>
      <c r="CR300" s="39">
        <f t="shared" si="274"/>
        <v>1530.3333333333333</v>
      </c>
      <c r="CS300" s="277">
        <f t="shared" si="275"/>
        <v>1424.4444444444443</v>
      </c>
      <c r="CT300" s="39">
        <f t="shared" si="276"/>
        <v>1448.2592592592591</v>
      </c>
      <c r="CU300" s="39">
        <f t="shared" si="277"/>
        <v>1467.679012345679</v>
      </c>
      <c r="CV300" s="39">
        <f t="shared" si="317"/>
        <v>1446.7942386831276</v>
      </c>
      <c r="CW300" s="297">
        <f t="shared" si="278"/>
        <v>2.7129303334236923</v>
      </c>
      <c r="CX300" s="279" t="str">
        <f t="shared" si="318"/>
        <v>Pass</v>
      </c>
      <c r="CY300" s="278">
        <f t="shared" si="279"/>
        <v>3.498348996697993</v>
      </c>
      <c r="CZ300" s="279" t="str">
        <f t="shared" si="319"/>
        <v>Pass</v>
      </c>
      <c r="DA300" s="278">
        <f t="shared" si="280"/>
        <v>3.630699518549986</v>
      </c>
      <c r="DB300" s="292" t="str">
        <f t="shared" si="320"/>
        <v>Pass</v>
      </c>
      <c r="DC300" s="299">
        <f t="shared" si="321"/>
        <v>4.1378835978835973</v>
      </c>
      <c r="DD300" s="293" t="str">
        <f t="shared" si="322"/>
        <v>Pass</v>
      </c>
      <c r="DE300" s="299">
        <f t="shared" si="323"/>
        <v>4.2174684262806865</v>
      </c>
      <c r="DF300" s="293" t="str">
        <f t="shared" si="324"/>
        <v>Pass</v>
      </c>
      <c r="DG300" s="299">
        <f t="shared" si="325"/>
        <v>4.1936064889366014</v>
      </c>
      <c r="DH300" s="293" t="str">
        <f t="shared" si="326"/>
        <v>Pass</v>
      </c>
    </row>
    <row r="301" spans="1:112" ht="15" thickTop="1" thickBot="1">
      <c r="A301" s="38" t="s">
        <v>712</v>
      </c>
      <c r="B301" s="38" t="s">
        <v>713</v>
      </c>
      <c r="C301" s="38" t="s">
        <v>712</v>
      </c>
      <c r="D301" s="38" t="s">
        <v>119</v>
      </c>
      <c r="E301" s="38" t="str">
        <f>VLOOKUP(C301,PoliticalControl!A:K,11,FALSE)</f>
        <v>NOC</v>
      </c>
      <c r="F301" s="38" t="str">
        <f>VLOOKUP(C301,UrbanRuralClassification!A:N,13,FALSE)</f>
        <v xml:space="preserve">Mainly Rural (rural including hub towns &gt;=80%) </v>
      </c>
      <c r="G301" s="38" t="str">
        <f>VLOOKUP(C301,UrbanRuralClassification!A:N,14,FALSE)</f>
        <v>Predominantly Rural</v>
      </c>
      <c r="H301" s="258">
        <f>IF(ISBLANK((VLOOKUP($A301,'local-plan-data'!$C$1:$AD$566,27,FALSE)))=TRUE,"",VLOOKUP($A301,'local-plan-data'!$C$1:$AD$566,27,FALSE))</f>
        <v>42849</v>
      </c>
      <c r="I301" s="259">
        <f>VLOOKUP($A301,'local-plan-data'!$C$1:$AD$566,28,FALSE)</f>
        <v>1540</v>
      </c>
      <c r="J301" s="260">
        <f t="shared" si="281"/>
        <v>1540</v>
      </c>
      <c r="K301" s="259">
        <f t="shared" si="331"/>
        <v>1540</v>
      </c>
      <c r="L301" s="259">
        <f t="shared" si="329"/>
        <v>1540</v>
      </c>
      <c r="M301" s="259">
        <f t="shared" si="329"/>
        <v>1540</v>
      </c>
      <c r="N301" s="259">
        <f t="shared" si="329"/>
        <v>1540</v>
      </c>
      <c r="O301" s="259">
        <f t="shared" si="329"/>
        <v>1540</v>
      </c>
      <c r="P301" s="259" t="str">
        <f t="shared" si="329"/>
        <v>-</v>
      </c>
      <c r="Q301" s="259" t="str">
        <f t="shared" si="329"/>
        <v>-</v>
      </c>
      <c r="R301" s="259" t="str">
        <f t="shared" si="329"/>
        <v>-</v>
      </c>
      <c r="S301" s="259">
        <f t="shared" si="332"/>
        <v>1484</v>
      </c>
      <c r="T301" s="259">
        <f t="shared" si="330"/>
        <v>1119</v>
      </c>
      <c r="U301" s="259">
        <f t="shared" si="330"/>
        <v>753</v>
      </c>
      <c r="V301" s="259">
        <f t="shared" si="330"/>
        <v>388</v>
      </c>
      <c r="W301" s="259">
        <f t="shared" si="330"/>
        <v>23</v>
      </c>
      <c r="X301" s="259">
        <f t="shared" si="330"/>
        <v>-342</v>
      </c>
      <c r="Y301" s="259">
        <f t="shared" si="330"/>
        <v>-708</v>
      </c>
      <c r="Z301" s="259">
        <f t="shared" si="330"/>
        <v>-1073</v>
      </c>
      <c r="AA301" s="267">
        <f>(VLOOKUP(A301,Hshldprojections2014!$A$2:$AW$319,40, FALSE)-VLOOKUP(A301,Hshldprojections2014!$A$2:$AW$319,30, FALSE))/10</f>
        <v>297.3</v>
      </c>
      <c r="AB301" s="267">
        <f>(VLOOKUP(A301,Hshldprojections2014!$A$2:$AW$319,41, FALSE)-VLOOKUP(A301,Hshldprojections2014!$A$2:$AW$319,31, FALSE))/10</f>
        <v>292.5</v>
      </c>
      <c r="AC301" s="267">
        <f>(VLOOKUP(A301,Hshldprojections2014!$A$2:$AW$319,42, FALSE)-VLOOKUP(A301,Hshldprojections2014!$A$2:$AW$319,32, FALSE))/10</f>
        <v>289.7</v>
      </c>
      <c r="AD301" s="267">
        <f>IF(IndividualLATest!$J$7=2014,(VLOOKUP($A301,Hshldprojections2014!$A$2:$AY$326,43,FALSE)-VLOOKUP($A301,Hshldprojections2014!$A$2:$AY$326,33,FALSE))/10,IF(IndividualLATest!$J$7=2016,(VLOOKUP($A301,Hshldprojections2016!$A$1:$AQ$322,33,FALSE)-VLOOKUP($A301,Hshldprojections2016!$A$1:$AQ$322,23,FALSE))/10,(VLOOKUP($A301,Hshldprojections2018!$A$1:$AQ$327,33,FALSE)-VLOOKUP($A301,Hshldprojections2018!$A$1:$AQ$327,23,FALSE))/10))</f>
        <v>285</v>
      </c>
      <c r="AE301" s="267">
        <f>IF(IndividualLATest!$J$7=2014,(VLOOKUP($A301,Hshldprojections2014!$A$2:$AY$326,44,FALSE)-VLOOKUP($A301,Hshldprojections2014!$A$2:$AY$326,34,FALSE))/10,IF(IndividualLATest!$J$7=2016,(VLOOKUP($A301,Hshldprojections2016!$A$1:$AQ$322,34,FALSE)-VLOOKUP($A301,Hshldprojections2016!$A$1:$AQ$322,24,FALSE))/10,(VLOOKUP($A301,Hshldprojections2018!$A$1:$AQ$327,34,FALSE)-VLOOKUP($A301,Hshldprojections2018!$A$1:$AQ$327,24,FALSE))/10))</f>
        <v>279</v>
      </c>
      <c r="AF301" s="267">
        <f>IF(IndividualLATest!$J$7=2014,(VLOOKUP($A301,Hshldprojections2014!$A$2:$AY$326,45,FALSE)-VLOOKUP($A301,Hshldprojections2014!$A$2:$AY$326,35,FALSE))/10,IF(IndividualLATest!$J$7=2016,(VLOOKUP($A301,Hshldprojections2016!$A$1:$AQ$322,35,FALSE)-VLOOKUP($A301,Hshldprojections2016!$A$1:$AQ$322,25,FALSE))/10,(VLOOKUP($A301,Hshldprojections2018!$A$1:$AQ$327,35,FALSE)-VLOOKUP($A301,Hshldprojections2018!$A$1:$AQ$327,25,FALSE))/10))</f>
        <v>273</v>
      </c>
      <c r="AG301" s="267">
        <f>IF(IndividualLATest!$J$7=2014,(VLOOKUP($A301,Hshldprojections2014!$A$2:$AY$326,46,FALSE)-VLOOKUP($A301,Hshldprojections2014!$A$2:$AY$326,36,FALSE))/10,IF(IndividualLATest!$J$7=2016,(VLOOKUP($A301,Hshldprojections2016!$A$1:$AQ$322,36,FALSE)-VLOOKUP($A301,Hshldprojections2016!$A$1:$AQ$322,26,FALSE))/10,(VLOOKUP($A301,Hshldprojections2018!$A$1:$AQ$327,36,FALSE)-VLOOKUP($A301,Hshldprojections2018!$A$1:$AQ$327,26,FALSE))/10))</f>
        <v>265.89999999999998</v>
      </c>
      <c r="AH301" s="267">
        <f>IF(IndividualLATest!$J$7=2014,(VLOOKUP($A301,Hshldprojections2014!$A$2:$AY$326,47,FALSE)-VLOOKUP($A301,Hshldprojections2014!$A$2:$AY$326,37,FALSE))/10,IF(IndividualLATest!$J$7=2016,(VLOOKUP($A301,Hshldprojections2016!$A$1:$AQ$322,37,FALSE)-VLOOKUP($A301,Hshldprojections2016!$A$1:$AQ$322,27,FALSE))/10,(VLOOKUP($A301,Hshldprojections2018!$A$1:$AQ$327,37,FALSE)-VLOOKUP($A301,Hshldprojections2018!$A$1:$AQ$327,27,FALSE))/10))</f>
        <v>260.60000000000002</v>
      </c>
      <c r="AI301" s="268">
        <f>VLOOKUP($A301,AffordabilityRatio!$A$2:$I$321,5,FALSE)</f>
        <v>5.99</v>
      </c>
      <c r="AJ301" s="268">
        <f>VLOOKUP($A301,AffordabilityRatio!$A$2:$I$321,6,FALSE)</f>
        <v>6.37</v>
      </c>
      <c r="AK301" s="268">
        <f>VLOOKUP($A301,AffordabilityRatio!$A$2:$I$321,7,FALSE)</f>
        <v>6.47</v>
      </c>
      <c r="AL301" s="268">
        <f>IF((VLOOKUP($A301,AffordabilityRatio!$A$2:$I$321,8,FALSE))="",AK301,VLOOKUP($A301,AffordabilityRatio!$A$2:$I$321,8,FALSE))</f>
        <v>6.42</v>
      </c>
      <c r="AM301" s="268">
        <f>IF((VLOOKUP($A301,AffordabilityRatio!$A$2:$I$321,9,FALSE))="",AL301,VLOOKUP($A301,AffordabilityRatio!$A$2:$I$321,9,FALSE))</f>
        <v>6.85</v>
      </c>
      <c r="AN301" s="268">
        <f>IF((VLOOKUP($A301,AffordabilityRatio!$A$2:$I$321,9,FALSE))="",AM301,VLOOKUP($A301,AffordabilityRatio!$A$2:$I$321,9,FALSE))</f>
        <v>6.85</v>
      </c>
      <c r="AO301" s="268">
        <f>IF((VLOOKUP($A301,AffordabilityRatio!$A$2:$I$321,9,FALSE))="",AN301,VLOOKUP($A301,AffordabilityRatio!$A$2:$I$321,9,FALSE))</f>
        <v>6.85</v>
      </c>
      <c r="AP301" s="268">
        <f>IF((VLOOKUP($A301,AffordabilityRatio!$A$2:$I$321,9,FALSE))="",AO301,VLOOKUP($A301,AffordabilityRatio!$A$2:$I$321,9,FALSE))</f>
        <v>6.85</v>
      </c>
      <c r="AQ301" s="267">
        <f t="shared" si="282"/>
        <v>334</v>
      </c>
      <c r="AR301" s="267">
        <f t="shared" si="283"/>
        <v>336</v>
      </c>
      <c r="AS301" s="267">
        <f t="shared" si="284"/>
        <v>334</v>
      </c>
      <c r="AT301" s="267">
        <f t="shared" si="285"/>
        <v>328</v>
      </c>
      <c r="AU301" s="267">
        <f t="shared" si="286"/>
        <v>329</v>
      </c>
      <c r="AV301" s="267">
        <f t="shared" si="287"/>
        <v>322</v>
      </c>
      <c r="AW301" s="267">
        <f t="shared" si="288"/>
        <v>313</v>
      </c>
      <c r="AX301" s="267">
        <f t="shared" si="289"/>
        <v>307</v>
      </c>
      <c r="AY301" s="267">
        <f t="shared" si="290"/>
        <v>334</v>
      </c>
      <c r="AZ301" s="267">
        <f t="shared" si="291"/>
        <v>336</v>
      </c>
      <c r="BA301" s="267">
        <f t="shared" si="292"/>
        <v>334</v>
      </c>
      <c r="BB301" s="267">
        <f t="shared" si="293"/>
        <v>328</v>
      </c>
      <c r="BC301" s="267">
        <f t="shared" si="294"/>
        <v>329</v>
      </c>
      <c r="BD301" s="267">
        <f t="shared" si="295"/>
        <v>322</v>
      </c>
      <c r="BE301" s="267">
        <f t="shared" si="296"/>
        <v>313</v>
      </c>
      <c r="BF301" s="267">
        <f t="shared" si="297"/>
        <v>307</v>
      </c>
      <c r="BG301" s="269">
        <f>AY301*VLOOKUP($B301,'Major Cities &amp; Towns'!$A$28:$B$345,2,FALSE)</f>
        <v>334</v>
      </c>
      <c r="BH301" s="269">
        <f>AZ301*VLOOKUP($B301,'Major Cities &amp; Towns'!$A$28:$B$345,2,FALSE)</f>
        <v>336</v>
      </c>
      <c r="BI301" s="269">
        <f>BA301*VLOOKUP($B301,'Major Cities &amp; Towns'!$A$28:$B$345,2,FALSE)</f>
        <v>334</v>
      </c>
      <c r="BJ301" s="269">
        <f>BB301*VLOOKUP($B301,'Major Cities &amp; Towns'!$A$28:$B$345,2,FALSE)</f>
        <v>328</v>
      </c>
      <c r="BK301" s="269">
        <f>BC301*VLOOKUP($B301,'Major Cities &amp; Towns'!$A$28:$B$345,2,FALSE)</f>
        <v>329</v>
      </c>
      <c r="BL301" s="269">
        <f>BD301*VLOOKUP($B301,'Major Cities &amp; Towns'!$A$28:$B$345,2,FALSE)</f>
        <v>322</v>
      </c>
      <c r="BM301" s="269">
        <f>BE301*VLOOKUP($B301,'Major Cities &amp; Towns'!$A$28:$B$345,2,FALSE)</f>
        <v>313</v>
      </c>
      <c r="BN301" s="269">
        <f>BF301*VLOOKUP($B301,'Major Cities &amp; Towns'!$A$28:$B$345,2,FALSE)</f>
        <v>307</v>
      </c>
      <c r="BO301" s="270">
        <f t="shared" si="298"/>
        <v>334</v>
      </c>
      <c r="BP301" s="270">
        <f t="shared" si="299"/>
        <v>336</v>
      </c>
      <c r="BQ301" s="270">
        <f t="shared" si="300"/>
        <v>334</v>
      </c>
      <c r="BR301" s="270">
        <f t="shared" si="301"/>
        <v>328</v>
      </c>
      <c r="BS301" s="270">
        <f t="shared" si="302"/>
        <v>329</v>
      </c>
      <c r="BT301" s="270">
        <f t="shared" si="303"/>
        <v>322</v>
      </c>
      <c r="BU301" s="270">
        <f t="shared" si="304"/>
        <v>313</v>
      </c>
      <c r="BV301" s="270">
        <f t="shared" si="305"/>
        <v>307</v>
      </c>
      <c r="BW301" s="39">
        <f>VLOOKUP($A301,NetAdditions!$A$2:$H$336,6,FALSE)</f>
        <v>408</v>
      </c>
      <c r="BX301" s="39">
        <f>VLOOKUP($A301,NetAdditions!$A$2:$H$336,7,FALSE)</f>
        <v>572</v>
      </c>
      <c r="BY301" s="39">
        <f>IF((VLOOKUP($C301,NetAdditions!$A$2:$H$336,8,FALSE))="",(AVERAGE(VLOOKUP($C301,NetAdditions!$A$2:$H$336,5,FALSE),VLOOKUP($C301,NetAdditions!$A$2:$H$336,6,FALSE),VLOOKUP($C301,NetAdditions!$A$2:$H$336,7,FALSE))),VLOOKUP($C301,NetAdditions!$A$2:$H$336,8,FALSE))</f>
        <v>482</v>
      </c>
      <c r="BZ301" s="39">
        <f t="shared" si="306"/>
        <v>487.33333333333331</v>
      </c>
      <c r="CA301" s="39">
        <f t="shared" si="307"/>
        <v>513.77777777777771</v>
      </c>
      <c r="CB301" s="39">
        <f t="shared" si="308"/>
        <v>494.37037037037027</v>
      </c>
      <c r="CC301" s="39">
        <f t="shared" si="309"/>
        <v>498.49382716049377</v>
      </c>
      <c r="CD301" s="39">
        <f t="shared" si="310"/>
        <v>502.21399176954725</v>
      </c>
      <c r="CE301" s="276">
        <f t="shared" si="267"/>
        <v>1004</v>
      </c>
      <c r="CF301" s="276">
        <f t="shared" si="268"/>
        <v>998</v>
      </c>
      <c r="CG301" s="276">
        <f t="shared" si="269"/>
        <v>991</v>
      </c>
      <c r="CH301" s="276">
        <f t="shared" si="270"/>
        <v>979</v>
      </c>
      <c r="CI301" s="276">
        <f t="shared" si="271"/>
        <v>964</v>
      </c>
      <c r="CJ301" s="276">
        <f t="shared" si="272"/>
        <v>942</v>
      </c>
      <c r="CK301" s="276">
        <f t="shared" si="311"/>
        <v>864.55555555555566</v>
      </c>
      <c r="CL301" s="276">
        <f t="shared" si="312"/>
        <v>859.38888888888891</v>
      </c>
      <c r="CM301" s="276">
        <f t="shared" si="313"/>
        <v>908.41666666666663</v>
      </c>
      <c r="CN301" s="276">
        <f t="shared" si="314"/>
        <v>979</v>
      </c>
      <c r="CO301" s="276">
        <f t="shared" si="315"/>
        <v>964</v>
      </c>
      <c r="CP301" s="276">
        <f t="shared" si="316"/>
        <v>942</v>
      </c>
      <c r="CQ301" s="39">
        <f t="shared" si="273"/>
        <v>1462</v>
      </c>
      <c r="CR301" s="39">
        <f t="shared" si="274"/>
        <v>1541.3333333333333</v>
      </c>
      <c r="CS301" s="277">
        <f t="shared" si="275"/>
        <v>1483.1111111111109</v>
      </c>
      <c r="CT301" s="39">
        <f t="shared" si="276"/>
        <v>1495.4814814814813</v>
      </c>
      <c r="CU301" s="39">
        <f t="shared" si="277"/>
        <v>1506.6419753086418</v>
      </c>
      <c r="CV301" s="39">
        <f t="shared" si="317"/>
        <v>1495.0781893004112</v>
      </c>
      <c r="CW301" s="297">
        <f t="shared" si="278"/>
        <v>1.6910422824829712</v>
      </c>
      <c r="CX301" s="279" t="str">
        <f t="shared" si="318"/>
        <v>Pass</v>
      </c>
      <c r="CY301" s="278">
        <f t="shared" si="279"/>
        <v>1.7935225289288252</v>
      </c>
      <c r="CZ301" s="279" t="str">
        <f t="shared" si="319"/>
        <v>Pass</v>
      </c>
      <c r="DA301" s="278">
        <f t="shared" si="280"/>
        <v>1.6326330917652812</v>
      </c>
      <c r="DB301" s="292" t="str">
        <f t="shared" si="320"/>
        <v>Pass</v>
      </c>
      <c r="DC301" s="299">
        <f t="shared" si="321"/>
        <v>1.52756024666137</v>
      </c>
      <c r="DD301" s="293" t="str">
        <f t="shared" si="322"/>
        <v>Pass</v>
      </c>
      <c r="DE301" s="299">
        <f t="shared" si="323"/>
        <v>1.5629066133907072</v>
      </c>
      <c r="DF301" s="293" t="str">
        <f t="shared" si="324"/>
        <v>Pass</v>
      </c>
      <c r="DG301" s="299">
        <f t="shared" si="325"/>
        <v>1.5871318357753834</v>
      </c>
      <c r="DH301" s="293" t="str">
        <f t="shared" si="326"/>
        <v>Pass</v>
      </c>
    </row>
    <row r="302" spans="1:112" ht="15" thickTop="1" thickBot="1">
      <c r="A302" s="38" t="s">
        <v>714</v>
      </c>
      <c r="B302" s="38" t="s">
        <v>715</v>
      </c>
      <c r="C302" s="38" t="s">
        <v>714</v>
      </c>
      <c r="D302" s="38" t="s">
        <v>113</v>
      </c>
      <c r="E302" s="38" t="str">
        <f>VLOOKUP(C302,PoliticalControl!A:K,11,FALSE)</f>
        <v>CON</v>
      </c>
      <c r="F302" s="38" t="str">
        <f>VLOOKUP(C302,UrbanRuralClassification!A:N,13,FALSE)</f>
        <v xml:space="preserve">Mainly Rural (rural including hub towns &gt;=80%) </v>
      </c>
      <c r="G302" s="38" t="str">
        <f>VLOOKUP(C302,UrbanRuralClassification!A:N,14,FALSE)</f>
        <v>Predominantly Rural</v>
      </c>
      <c r="H302" s="258">
        <f>IF(ISBLANK((VLOOKUP($A302,'local-plan-data'!$C$1:$AD$566,27,FALSE)))=TRUE,"",VLOOKUP($A302,'local-plan-data'!$C$1:$AD$566,27,FALSE))</f>
        <v>43370</v>
      </c>
      <c r="I302" s="259">
        <f>VLOOKUP($A302,'local-plan-data'!$C$1:$AD$566,28,FALSE)</f>
        <v>797.5</v>
      </c>
      <c r="J302" s="260">
        <f t="shared" si="281"/>
        <v>797.5</v>
      </c>
      <c r="K302" s="259">
        <f t="shared" si="331"/>
        <v>797.5</v>
      </c>
      <c r="L302" s="259">
        <f t="shared" si="329"/>
        <v>797.5</v>
      </c>
      <c r="M302" s="259">
        <f t="shared" si="329"/>
        <v>797.5</v>
      </c>
      <c r="N302" s="259">
        <f t="shared" si="329"/>
        <v>797.5</v>
      </c>
      <c r="O302" s="259">
        <f t="shared" si="329"/>
        <v>797.5</v>
      </c>
      <c r="P302" s="259">
        <f t="shared" si="329"/>
        <v>797.5</v>
      </c>
      <c r="Q302" s="259" t="str">
        <f t="shared" si="329"/>
        <v>-</v>
      </c>
      <c r="R302" s="259" t="str">
        <f t="shared" si="329"/>
        <v>-</v>
      </c>
      <c r="S302" s="259">
        <f t="shared" si="332"/>
        <v>2005</v>
      </c>
      <c r="T302" s="259">
        <f t="shared" si="330"/>
        <v>1640</v>
      </c>
      <c r="U302" s="259">
        <f t="shared" si="330"/>
        <v>1274</v>
      </c>
      <c r="V302" s="259">
        <f t="shared" si="330"/>
        <v>909</v>
      </c>
      <c r="W302" s="259">
        <f t="shared" si="330"/>
        <v>544</v>
      </c>
      <c r="X302" s="259">
        <f t="shared" si="330"/>
        <v>179</v>
      </c>
      <c r="Y302" s="259">
        <f t="shared" si="330"/>
        <v>-187</v>
      </c>
      <c r="Z302" s="259">
        <f t="shared" si="330"/>
        <v>-552</v>
      </c>
      <c r="AA302" s="267">
        <f>(VLOOKUP(A302,Hshldprojections2014!$A$2:$AW$319,40, FALSE)-VLOOKUP(A302,Hshldprojections2014!$A$2:$AW$319,30, FALSE))/10</f>
        <v>406.2</v>
      </c>
      <c r="AB302" s="267">
        <f>(VLOOKUP(A302,Hshldprojections2014!$A$2:$AW$319,41, FALSE)-VLOOKUP(A302,Hshldprojections2014!$A$2:$AW$319,31, FALSE))/10</f>
        <v>405</v>
      </c>
      <c r="AC302" s="267">
        <f>(VLOOKUP(A302,Hshldprojections2014!$A$2:$AW$319,42, FALSE)-VLOOKUP(A302,Hshldprojections2014!$A$2:$AW$319,32, FALSE))/10</f>
        <v>402.7</v>
      </c>
      <c r="AD302" s="267">
        <f>IF(IndividualLATest!$J$7=2014,(VLOOKUP($A302,Hshldprojections2014!$A$2:$AY$326,43,FALSE)-VLOOKUP($A302,Hshldprojections2014!$A$2:$AY$326,33,FALSE))/10,IF(IndividualLATest!$J$7=2016,(VLOOKUP($A302,Hshldprojections2016!$A$1:$AQ$322,33,FALSE)-VLOOKUP($A302,Hshldprojections2016!$A$1:$AQ$322,23,FALSE))/10,(VLOOKUP($A302,Hshldprojections2018!$A$1:$AQ$327,33,FALSE)-VLOOKUP($A302,Hshldprojections2018!$A$1:$AQ$327,23,FALSE))/10))</f>
        <v>330</v>
      </c>
      <c r="AE302" s="267">
        <f>IF(IndividualLATest!$J$7=2014,(VLOOKUP($A302,Hshldprojections2014!$A$2:$AY$326,44,FALSE)-VLOOKUP($A302,Hshldprojections2014!$A$2:$AY$326,34,FALSE))/10,IF(IndividualLATest!$J$7=2016,(VLOOKUP($A302,Hshldprojections2016!$A$1:$AQ$322,34,FALSE)-VLOOKUP($A302,Hshldprojections2016!$A$1:$AQ$322,24,FALSE))/10,(VLOOKUP($A302,Hshldprojections2018!$A$1:$AQ$327,34,FALSE)-VLOOKUP($A302,Hshldprojections2018!$A$1:$AQ$327,24,FALSE))/10))</f>
        <v>320.89999999999998</v>
      </c>
      <c r="AF302" s="267">
        <f>IF(IndividualLATest!$J$7=2014,(VLOOKUP($A302,Hshldprojections2014!$A$2:$AY$326,45,FALSE)-VLOOKUP($A302,Hshldprojections2014!$A$2:$AY$326,35,FALSE))/10,IF(IndividualLATest!$J$7=2016,(VLOOKUP($A302,Hshldprojections2016!$A$1:$AQ$322,35,FALSE)-VLOOKUP($A302,Hshldprojections2016!$A$1:$AQ$322,25,FALSE))/10,(VLOOKUP($A302,Hshldprojections2018!$A$1:$AQ$327,35,FALSE)-VLOOKUP($A302,Hshldprojections2018!$A$1:$AQ$327,25,FALSE))/10))</f>
        <v>311.89999999999998</v>
      </c>
      <c r="AG302" s="267">
        <f>IF(IndividualLATest!$J$7=2014,(VLOOKUP($A302,Hshldprojections2014!$A$2:$AY$326,46,FALSE)-VLOOKUP($A302,Hshldprojections2014!$A$2:$AY$326,36,FALSE))/10,IF(IndividualLATest!$J$7=2016,(VLOOKUP($A302,Hshldprojections2016!$A$1:$AQ$322,36,FALSE)-VLOOKUP($A302,Hshldprojections2016!$A$1:$AQ$322,26,FALSE))/10,(VLOOKUP($A302,Hshldprojections2018!$A$1:$AQ$327,36,FALSE)-VLOOKUP($A302,Hshldprojections2018!$A$1:$AQ$327,26,FALSE))/10))</f>
        <v>304.7</v>
      </c>
      <c r="AH302" s="267">
        <f>IF(IndividualLATest!$J$7=2014,(VLOOKUP($A302,Hshldprojections2014!$A$2:$AY$326,47,FALSE)-VLOOKUP($A302,Hshldprojections2014!$A$2:$AY$326,37,FALSE))/10,IF(IndividualLATest!$J$7=2016,(VLOOKUP($A302,Hshldprojections2016!$A$1:$AQ$322,37,FALSE)-VLOOKUP($A302,Hshldprojections2016!$A$1:$AQ$322,27,FALSE))/10,(VLOOKUP($A302,Hshldprojections2018!$A$1:$AQ$327,37,FALSE)-VLOOKUP($A302,Hshldprojections2018!$A$1:$AQ$327,27,FALSE))/10))</f>
        <v>298.2</v>
      </c>
      <c r="AI302" s="268">
        <f>VLOOKUP($A302,AffordabilityRatio!$A$2:$I$321,5,FALSE)</f>
        <v>11.24</v>
      </c>
      <c r="AJ302" s="268">
        <f>VLOOKUP($A302,AffordabilityRatio!$A$2:$I$321,6,FALSE)</f>
        <v>11.55</v>
      </c>
      <c r="AK302" s="268">
        <f>VLOOKUP($A302,AffordabilityRatio!$A$2:$I$321,7,FALSE)</f>
        <v>10.48</v>
      </c>
      <c r="AL302" s="268">
        <f>IF((VLOOKUP($A302,AffordabilityRatio!$A$2:$I$321,8,FALSE))="",AK302,VLOOKUP($A302,AffordabilityRatio!$A$2:$I$321,8,FALSE))</f>
        <v>10.38</v>
      </c>
      <c r="AM302" s="268">
        <f>IF((VLOOKUP($A302,AffordabilityRatio!$A$2:$I$321,9,FALSE))="",AL302,VLOOKUP($A302,AffordabilityRatio!$A$2:$I$321,9,FALSE))</f>
        <v>11.4</v>
      </c>
      <c r="AN302" s="268">
        <f>IF((VLOOKUP($A302,AffordabilityRatio!$A$2:$I$321,9,FALSE))="",AM302,VLOOKUP($A302,AffordabilityRatio!$A$2:$I$321,9,FALSE))</f>
        <v>11.4</v>
      </c>
      <c r="AO302" s="268">
        <f>IF((VLOOKUP($A302,AffordabilityRatio!$A$2:$I$321,9,FALSE))="",AN302,VLOOKUP($A302,AffordabilityRatio!$A$2:$I$321,9,FALSE))</f>
        <v>11.4</v>
      </c>
      <c r="AP302" s="268">
        <f>IF((VLOOKUP($A302,AffordabilityRatio!$A$2:$I$321,9,FALSE))="",AO302,VLOOKUP($A302,AffordabilityRatio!$A$2:$I$321,9,FALSE))</f>
        <v>11.4</v>
      </c>
      <c r="AQ302" s="267">
        <f t="shared" si="282"/>
        <v>590</v>
      </c>
      <c r="AR302" s="267">
        <f t="shared" si="283"/>
        <v>596</v>
      </c>
      <c r="AS302" s="267">
        <f t="shared" si="284"/>
        <v>566</v>
      </c>
      <c r="AT302" s="267">
        <f t="shared" si="285"/>
        <v>462</v>
      </c>
      <c r="AU302" s="267">
        <f t="shared" si="286"/>
        <v>469</v>
      </c>
      <c r="AV302" s="267">
        <f t="shared" si="287"/>
        <v>456</v>
      </c>
      <c r="AW302" s="267">
        <f t="shared" si="288"/>
        <v>446</v>
      </c>
      <c r="AX302" s="267">
        <f t="shared" si="289"/>
        <v>436</v>
      </c>
      <c r="AY302" s="267">
        <f t="shared" si="290"/>
        <v>590</v>
      </c>
      <c r="AZ302" s="267">
        <f t="shared" si="291"/>
        <v>596</v>
      </c>
      <c r="BA302" s="267">
        <f t="shared" si="292"/>
        <v>566</v>
      </c>
      <c r="BB302" s="267">
        <f t="shared" si="293"/>
        <v>462</v>
      </c>
      <c r="BC302" s="267">
        <f t="shared" si="294"/>
        <v>469</v>
      </c>
      <c r="BD302" s="267">
        <f t="shared" si="295"/>
        <v>456</v>
      </c>
      <c r="BE302" s="267">
        <f t="shared" si="296"/>
        <v>446</v>
      </c>
      <c r="BF302" s="267">
        <f t="shared" si="297"/>
        <v>436</v>
      </c>
      <c r="BG302" s="269">
        <f>AY302*VLOOKUP($B302,'Major Cities &amp; Towns'!$A$28:$B$345,2,FALSE)</f>
        <v>590</v>
      </c>
      <c r="BH302" s="269">
        <f>AZ302*VLOOKUP($B302,'Major Cities &amp; Towns'!$A$28:$B$345,2,FALSE)</f>
        <v>596</v>
      </c>
      <c r="BI302" s="269">
        <f>BA302*VLOOKUP($B302,'Major Cities &amp; Towns'!$A$28:$B$345,2,FALSE)</f>
        <v>566</v>
      </c>
      <c r="BJ302" s="269">
        <f>BB302*VLOOKUP($B302,'Major Cities &amp; Towns'!$A$28:$B$345,2,FALSE)</f>
        <v>462</v>
      </c>
      <c r="BK302" s="269">
        <f>BC302*VLOOKUP($B302,'Major Cities &amp; Towns'!$A$28:$B$345,2,FALSE)</f>
        <v>469</v>
      </c>
      <c r="BL302" s="269">
        <f>BD302*VLOOKUP($B302,'Major Cities &amp; Towns'!$A$28:$B$345,2,FALSE)</f>
        <v>456</v>
      </c>
      <c r="BM302" s="269">
        <f>BE302*VLOOKUP($B302,'Major Cities &amp; Towns'!$A$28:$B$345,2,FALSE)</f>
        <v>446</v>
      </c>
      <c r="BN302" s="269">
        <f>BF302*VLOOKUP($B302,'Major Cities &amp; Towns'!$A$28:$B$345,2,FALSE)</f>
        <v>436</v>
      </c>
      <c r="BO302" s="270">
        <f t="shared" si="298"/>
        <v>590</v>
      </c>
      <c r="BP302" s="270">
        <f t="shared" si="299"/>
        <v>596</v>
      </c>
      <c r="BQ302" s="270">
        <f t="shared" si="300"/>
        <v>566</v>
      </c>
      <c r="BR302" s="270">
        <f t="shared" si="301"/>
        <v>462</v>
      </c>
      <c r="BS302" s="270">
        <f t="shared" si="302"/>
        <v>469</v>
      </c>
      <c r="BT302" s="270">
        <f t="shared" si="303"/>
        <v>456</v>
      </c>
      <c r="BU302" s="270">
        <f t="shared" si="304"/>
        <v>446</v>
      </c>
      <c r="BV302" s="270">
        <f t="shared" si="305"/>
        <v>436</v>
      </c>
      <c r="BW302" s="39">
        <f>VLOOKUP($A302,NetAdditions!$A$2:$H$336,6,FALSE)</f>
        <v>813</v>
      </c>
      <c r="BX302" s="39">
        <f>VLOOKUP($A302,NetAdditions!$A$2:$H$336,7,FALSE)</f>
        <v>1086</v>
      </c>
      <c r="BY302" s="39">
        <f>IF((VLOOKUP($C302,NetAdditions!$A$2:$H$336,8,FALSE))="",(AVERAGE(VLOOKUP($C302,NetAdditions!$A$2:$H$336,5,FALSE),VLOOKUP($C302,NetAdditions!$A$2:$H$336,6,FALSE),VLOOKUP($C302,NetAdditions!$A$2:$H$336,7,FALSE))),VLOOKUP($C302,NetAdditions!$A$2:$H$336,8,FALSE))</f>
        <v>868</v>
      </c>
      <c r="BZ302" s="39">
        <f t="shared" si="306"/>
        <v>922.33333333333337</v>
      </c>
      <c r="CA302" s="39">
        <f t="shared" si="307"/>
        <v>958.77777777777783</v>
      </c>
      <c r="CB302" s="39">
        <f t="shared" si="308"/>
        <v>916.37037037037044</v>
      </c>
      <c r="CC302" s="39">
        <f t="shared" si="309"/>
        <v>932.49382716049388</v>
      </c>
      <c r="CD302" s="39">
        <f t="shared" si="310"/>
        <v>935.88065843621405</v>
      </c>
      <c r="CE302" s="276">
        <f t="shared" si="267"/>
        <v>1752</v>
      </c>
      <c r="CF302" s="276">
        <f t="shared" si="268"/>
        <v>1624</v>
      </c>
      <c r="CG302" s="276">
        <f t="shared" si="269"/>
        <v>1497</v>
      </c>
      <c r="CH302" s="276">
        <f t="shared" si="270"/>
        <v>1387</v>
      </c>
      <c r="CI302" s="276">
        <f t="shared" si="271"/>
        <v>1371</v>
      </c>
      <c r="CJ302" s="276">
        <f t="shared" si="272"/>
        <v>1338</v>
      </c>
      <c r="CK302" s="276">
        <f t="shared" si="311"/>
        <v>1508.6666666666667</v>
      </c>
      <c r="CL302" s="276">
        <f t="shared" si="312"/>
        <v>1398.4444444444446</v>
      </c>
      <c r="CM302" s="276">
        <f t="shared" si="313"/>
        <v>1372.25</v>
      </c>
      <c r="CN302" s="276">
        <f t="shared" si="314"/>
        <v>1387</v>
      </c>
      <c r="CO302" s="276">
        <f t="shared" si="315"/>
        <v>1371</v>
      </c>
      <c r="CP302" s="276">
        <f t="shared" si="316"/>
        <v>1338</v>
      </c>
      <c r="CQ302" s="39">
        <f t="shared" si="273"/>
        <v>2767</v>
      </c>
      <c r="CR302" s="39">
        <f t="shared" si="274"/>
        <v>2876.3333333333335</v>
      </c>
      <c r="CS302" s="277">
        <f t="shared" si="275"/>
        <v>2749.1111111111113</v>
      </c>
      <c r="CT302" s="39">
        <f t="shared" si="276"/>
        <v>2797.4814814814818</v>
      </c>
      <c r="CU302" s="39">
        <f t="shared" si="277"/>
        <v>2807.641975308642</v>
      </c>
      <c r="CV302" s="39">
        <f t="shared" si="317"/>
        <v>2784.7448559670784</v>
      </c>
      <c r="CW302" s="297">
        <f t="shared" si="278"/>
        <v>1.834069818824569</v>
      </c>
      <c r="CX302" s="279" t="str">
        <f t="shared" si="318"/>
        <v>Pass</v>
      </c>
      <c r="CY302" s="278">
        <f t="shared" si="279"/>
        <v>2.056809153027173</v>
      </c>
      <c r="CZ302" s="279" t="str">
        <f t="shared" si="319"/>
        <v>Pass</v>
      </c>
      <c r="DA302" s="278">
        <f t="shared" si="280"/>
        <v>2.0033602558652661</v>
      </c>
      <c r="DB302" s="292" t="str">
        <f t="shared" si="320"/>
        <v>Pass</v>
      </c>
      <c r="DC302" s="299">
        <f t="shared" si="321"/>
        <v>2.01692969104649</v>
      </c>
      <c r="DD302" s="293" t="str">
        <f t="shared" si="322"/>
        <v>Pass</v>
      </c>
      <c r="DE302" s="299">
        <f t="shared" si="323"/>
        <v>2.0478789024862452</v>
      </c>
      <c r="DF302" s="293" t="str">
        <f t="shared" si="324"/>
        <v>Pass</v>
      </c>
      <c r="DG302" s="299">
        <f t="shared" si="325"/>
        <v>2.081274182337129</v>
      </c>
      <c r="DH302" s="293" t="str">
        <f t="shared" si="326"/>
        <v>Pass</v>
      </c>
    </row>
    <row r="303" spans="1:112" ht="15" thickTop="1" thickBot="1">
      <c r="A303" s="38" t="s">
        <v>716</v>
      </c>
      <c r="B303" s="38" t="s">
        <v>717</v>
      </c>
      <c r="C303" s="38" t="s">
        <v>716</v>
      </c>
      <c r="D303" s="38" t="s">
        <v>128</v>
      </c>
      <c r="E303" s="38" t="str">
        <f>VLOOKUP(C303,PoliticalControl!A:K,11,FALSE)</f>
        <v>CON</v>
      </c>
      <c r="F303" s="38" t="str">
        <f>VLOOKUP(C303,UrbanRuralClassification!A:N,13,FALSE)</f>
        <v xml:space="preserve">Largely Rural (rural including hub towns 50-79%) </v>
      </c>
      <c r="G303" s="38" t="str">
        <f>VLOOKUP(C303,UrbanRuralClassification!A:N,14,FALSE)</f>
        <v>Predominantly Rural</v>
      </c>
      <c r="H303" s="258" t="str">
        <f>IF(ISBLANK((VLOOKUP($A303,'local-plan-data'!$C$1:$AD$566,27,FALSE)))=TRUE,"",VLOOKUP($A303,'local-plan-data'!$C$1:$AD$566,27,FALSE))</f>
        <v/>
      </c>
      <c r="I303" s="259" t="str">
        <f>VLOOKUP($A303,'local-plan-data'!$C$1:$AD$566,28,FALSE)</f>
        <v/>
      </c>
      <c r="J303" s="260" t="str">
        <f t="shared" si="281"/>
        <v>-</v>
      </c>
      <c r="K303" s="259" t="str">
        <f t="shared" si="331"/>
        <v>-</v>
      </c>
      <c r="L303" s="259" t="str">
        <f t="shared" si="329"/>
        <v>-</v>
      </c>
      <c r="M303" s="259" t="str">
        <f t="shared" si="329"/>
        <v>-</v>
      </c>
      <c r="N303" s="259" t="str">
        <f t="shared" si="329"/>
        <v>-</v>
      </c>
      <c r="O303" s="259" t="str">
        <f t="shared" si="329"/>
        <v>-</v>
      </c>
      <c r="P303" s="259" t="str">
        <f t="shared" si="329"/>
        <v>-</v>
      </c>
      <c r="Q303" s="259" t="str">
        <f t="shared" si="329"/>
        <v>-</v>
      </c>
      <c r="R303" s="259" t="str">
        <f t="shared" si="329"/>
        <v>-</v>
      </c>
      <c r="S303" s="259" t="str">
        <f t="shared" si="332"/>
        <v>-</v>
      </c>
      <c r="T303" s="259" t="str">
        <f t="shared" si="330"/>
        <v>-</v>
      </c>
      <c r="U303" s="259" t="str">
        <f t="shared" si="330"/>
        <v>-</v>
      </c>
      <c r="V303" s="259" t="str">
        <f t="shared" si="330"/>
        <v>-</v>
      </c>
      <c r="W303" s="259" t="str">
        <f t="shared" si="330"/>
        <v>-</v>
      </c>
      <c r="X303" s="259" t="str">
        <f t="shared" si="330"/>
        <v>-</v>
      </c>
      <c r="Y303" s="259" t="str">
        <f t="shared" si="330"/>
        <v>-</v>
      </c>
      <c r="Z303" s="259" t="str">
        <f t="shared" si="330"/>
        <v>-</v>
      </c>
      <c r="AA303" s="267">
        <f>(VLOOKUP(A303,Hshldprojections2014!$A$2:$AW$319,40, FALSE)-VLOOKUP(A303,Hshldprojections2014!$A$2:$AW$319,30, FALSE))/10</f>
        <v>614.79999999999995</v>
      </c>
      <c r="AB303" s="267">
        <f>(VLOOKUP(A303,Hshldprojections2014!$A$2:$AW$319,41, FALSE)-VLOOKUP(A303,Hshldprojections2014!$A$2:$AW$319,31, FALSE))/10</f>
        <v>609.4</v>
      </c>
      <c r="AC303" s="267">
        <f>(VLOOKUP(A303,Hshldprojections2014!$A$2:$AW$319,42, FALSE)-VLOOKUP(A303,Hshldprojections2014!$A$2:$AW$319,32, FALSE))/10</f>
        <v>607.70000000000005</v>
      </c>
      <c r="AD303" s="267">
        <f>IF(IndividualLATest!$J$7=2014,(VLOOKUP($A303,Hshldprojections2014!$A$2:$AY$326,43,FALSE)-VLOOKUP($A303,Hshldprojections2014!$A$2:$AY$326,33,FALSE))/10,IF(IndividualLATest!$J$7=2016,(VLOOKUP($A303,Hshldprojections2016!$A$1:$AQ$322,33,FALSE)-VLOOKUP($A303,Hshldprojections2016!$A$1:$AQ$322,23,FALSE))/10,(VLOOKUP($A303,Hshldprojections2018!$A$1:$AQ$327,33,FALSE)-VLOOKUP($A303,Hshldprojections2018!$A$1:$AQ$327,23,FALSE))/10))</f>
        <v>337.8</v>
      </c>
      <c r="AE303" s="267">
        <f>IF(IndividualLATest!$J$7=2014,(VLOOKUP($A303,Hshldprojections2014!$A$2:$AY$326,44,FALSE)-VLOOKUP($A303,Hshldprojections2014!$A$2:$AY$326,34,FALSE))/10,IF(IndividualLATest!$J$7=2016,(VLOOKUP($A303,Hshldprojections2016!$A$1:$AQ$322,34,FALSE)-VLOOKUP($A303,Hshldprojections2016!$A$1:$AQ$322,24,FALSE))/10,(VLOOKUP($A303,Hshldprojections2018!$A$1:$AQ$327,34,FALSE)-VLOOKUP($A303,Hshldprojections2018!$A$1:$AQ$327,24,FALSE))/10))</f>
        <v>332.1</v>
      </c>
      <c r="AF303" s="267">
        <f>IF(IndividualLATest!$J$7=2014,(VLOOKUP($A303,Hshldprojections2014!$A$2:$AY$326,45,FALSE)-VLOOKUP($A303,Hshldprojections2014!$A$2:$AY$326,35,FALSE))/10,IF(IndividualLATest!$J$7=2016,(VLOOKUP($A303,Hshldprojections2016!$A$1:$AQ$322,35,FALSE)-VLOOKUP($A303,Hshldprojections2016!$A$1:$AQ$322,25,FALSE))/10,(VLOOKUP($A303,Hshldprojections2018!$A$1:$AQ$327,35,FALSE)-VLOOKUP($A303,Hshldprojections2018!$A$1:$AQ$327,25,FALSE))/10))</f>
        <v>330.7</v>
      </c>
      <c r="AG303" s="267">
        <f>IF(IndividualLATest!$J$7=2014,(VLOOKUP($A303,Hshldprojections2014!$A$2:$AY$326,46,FALSE)-VLOOKUP($A303,Hshldprojections2014!$A$2:$AY$326,36,FALSE))/10,IF(IndividualLATest!$J$7=2016,(VLOOKUP($A303,Hshldprojections2016!$A$1:$AQ$322,36,FALSE)-VLOOKUP($A303,Hshldprojections2016!$A$1:$AQ$322,26,FALSE))/10,(VLOOKUP($A303,Hshldprojections2018!$A$1:$AQ$327,36,FALSE)-VLOOKUP($A303,Hshldprojections2018!$A$1:$AQ$327,26,FALSE))/10))</f>
        <v>327.3</v>
      </c>
      <c r="AH303" s="267">
        <f>IF(IndividualLATest!$J$7=2014,(VLOOKUP($A303,Hshldprojections2014!$A$2:$AY$326,47,FALSE)-VLOOKUP($A303,Hshldprojections2014!$A$2:$AY$326,37,FALSE))/10,IF(IndividualLATest!$J$7=2016,(VLOOKUP($A303,Hshldprojections2016!$A$1:$AQ$322,37,FALSE)-VLOOKUP($A303,Hshldprojections2016!$A$1:$AQ$322,27,FALSE))/10,(VLOOKUP($A303,Hshldprojections2018!$A$1:$AQ$327,37,FALSE)-VLOOKUP($A303,Hshldprojections2018!$A$1:$AQ$327,27,FALSE))/10))</f>
        <v>328.3</v>
      </c>
      <c r="AI303" s="268">
        <f>VLOOKUP($A303,AffordabilityRatio!$A$2:$I$321,5,FALSE)</f>
        <v>9.24</v>
      </c>
      <c r="AJ303" s="268">
        <f>VLOOKUP($A303,AffordabilityRatio!$A$2:$I$321,6,FALSE)</f>
        <v>9.31</v>
      </c>
      <c r="AK303" s="268">
        <f>VLOOKUP($A303,AffordabilityRatio!$A$2:$I$321,7,FALSE)</f>
        <v>9.1300000000000008</v>
      </c>
      <c r="AL303" s="268">
        <f>IF((VLOOKUP($A303,AffordabilityRatio!$A$2:$I$321,8,FALSE))="",AK303,VLOOKUP($A303,AffordabilityRatio!$A$2:$I$321,8,FALSE))</f>
        <v>8.65</v>
      </c>
      <c r="AM303" s="268">
        <f>IF((VLOOKUP($A303,AffordabilityRatio!$A$2:$I$321,9,FALSE))="",AL303,VLOOKUP($A303,AffordabilityRatio!$A$2:$I$321,9,FALSE))</f>
        <v>9.5</v>
      </c>
      <c r="AN303" s="268">
        <f>IF((VLOOKUP($A303,AffordabilityRatio!$A$2:$I$321,9,FALSE))="",AM303,VLOOKUP($A303,AffordabilityRatio!$A$2:$I$321,9,FALSE))</f>
        <v>9.5</v>
      </c>
      <c r="AO303" s="268">
        <f>IF((VLOOKUP($A303,AffordabilityRatio!$A$2:$I$321,9,FALSE))="",AN303,VLOOKUP($A303,AffordabilityRatio!$A$2:$I$321,9,FALSE))</f>
        <v>9.5</v>
      </c>
      <c r="AP303" s="268">
        <f>IF((VLOOKUP($A303,AffordabilityRatio!$A$2:$I$321,9,FALSE))="",AO303,VLOOKUP($A303,AffordabilityRatio!$A$2:$I$321,9,FALSE))</f>
        <v>9.5</v>
      </c>
      <c r="AQ303" s="267">
        <f t="shared" si="282"/>
        <v>816</v>
      </c>
      <c r="AR303" s="267">
        <f t="shared" si="283"/>
        <v>812</v>
      </c>
      <c r="AS303" s="267">
        <f t="shared" si="284"/>
        <v>803</v>
      </c>
      <c r="AT303" s="267">
        <f t="shared" si="285"/>
        <v>436</v>
      </c>
      <c r="AU303" s="267">
        <f t="shared" si="286"/>
        <v>446</v>
      </c>
      <c r="AV303" s="267">
        <f t="shared" si="287"/>
        <v>444</v>
      </c>
      <c r="AW303" s="267">
        <f t="shared" si="288"/>
        <v>440</v>
      </c>
      <c r="AX303" s="267">
        <f t="shared" si="289"/>
        <v>441</v>
      </c>
      <c r="AY303" s="267">
        <f t="shared" si="290"/>
        <v>816</v>
      </c>
      <c r="AZ303" s="267">
        <f t="shared" si="291"/>
        <v>812</v>
      </c>
      <c r="BA303" s="267">
        <f t="shared" si="292"/>
        <v>803</v>
      </c>
      <c r="BB303" s="267">
        <f t="shared" si="293"/>
        <v>436</v>
      </c>
      <c r="BC303" s="267">
        <f t="shared" si="294"/>
        <v>446</v>
      </c>
      <c r="BD303" s="267">
        <f t="shared" si="295"/>
        <v>444</v>
      </c>
      <c r="BE303" s="267">
        <f t="shared" si="296"/>
        <v>440</v>
      </c>
      <c r="BF303" s="267">
        <f t="shared" si="297"/>
        <v>441</v>
      </c>
      <c r="BG303" s="269">
        <f>AY303*VLOOKUP($B303,'Major Cities &amp; Towns'!$A$28:$B$345,2,FALSE)</f>
        <v>816</v>
      </c>
      <c r="BH303" s="269">
        <f>AZ303*VLOOKUP($B303,'Major Cities &amp; Towns'!$A$28:$B$345,2,FALSE)</f>
        <v>812</v>
      </c>
      <c r="BI303" s="269">
        <f>BA303*VLOOKUP($B303,'Major Cities &amp; Towns'!$A$28:$B$345,2,FALSE)</f>
        <v>803</v>
      </c>
      <c r="BJ303" s="269">
        <f>BB303*VLOOKUP($B303,'Major Cities &amp; Towns'!$A$28:$B$345,2,FALSE)</f>
        <v>436</v>
      </c>
      <c r="BK303" s="269">
        <f>BC303*VLOOKUP($B303,'Major Cities &amp; Towns'!$A$28:$B$345,2,FALSE)</f>
        <v>446</v>
      </c>
      <c r="BL303" s="269">
        <f>BD303*VLOOKUP($B303,'Major Cities &amp; Towns'!$A$28:$B$345,2,FALSE)</f>
        <v>444</v>
      </c>
      <c r="BM303" s="269">
        <f>BE303*VLOOKUP($B303,'Major Cities &amp; Towns'!$A$28:$B$345,2,FALSE)</f>
        <v>440</v>
      </c>
      <c r="BN303" s="269">
        <f>BF303*VLOOKUP($B303,'Major Cities &amp; Towns'!$A$28:$B$345,2,FALSE)</f>
        <v>441</v>
      </c>
      <c r="BO303" s="270">
        <f t="shared" si="298"/>
        <v>816</v>
      </c>
      <c r="BP303" s="270">
        <f t="shared" si="299"/>
        <v>812</v>
      </c>
      <c r="BQ303" s="270">
        <f t="shared" si="300"/>
        <v>803</v>
      </c>
      <c r="BR303" s="270">
        <f t="shared" si="301"/>
        <v>436</v>
      </c>
      <c r="BS303" s="270">
        <f t="shared" si="302"/>
        <v>446</v>
      </c>
      <c r="BT303" s="270">
        <f t="shared" si="303"/>
        <v>444</v>
      </c>
      <c r="BU303" s="270">
        <f t="shared" si="304"/>
        <v>440</v>
      </c>
      <c r="BV303" s="270">
        <f t="shared" si="305"/>
        <v>441</v>
      </c>
      <c r="BW303" s="39" t="str">
        <f>VLOOKUP($A303,NetAdditions!$A$2:$H$336,6,FALSE)</f>
        <v>Not Applicable</v>
      </c>
      <c r="BX303" s="39">
        <f>VLOOKUP($A303,NetAdditions!$A$2:$H$336,7,FALSE)</f>
        <v>888</v>
      </c>
      <c r="BY303" s="39">
        <f>IF((VLOOKUP($C303,NetAdditions!$A$2:$H$336,8,FALSE))="",(AVERAGE(VLOOKUP($C303,NetAdditions!$A$2:$H$336,5,FALSE),VLOOKUP($C303,NetAdditions!$A$2:$H$336,6,FALSE),VLOOKUP($C303,NetAdditions!$A$2:$H$336,7,FALSE))),VLOOKUP($C303,NetAdditions!$A$2:$H$336,8,FALSE))</f>
        <v>841</v>
      </c>
      <c r="BZ303" s="39">
        <f t="shared" si="306"/>
        <v>864.5</v>
      </c>
      <c r="CA303" s="39">
        <f t="shared" si="307"/>
        <v>864.5</v>
      </c>
      <c r="CB303" s="39">
        <f t="shared" si="308"/>
        <v>856.66666666666663</v>
      </c>
      <c r="CC303" s="39">
        <f t="shared" si="309"/>
        <v>861.8888888888888</v>
      </c>
      <c r="CD303" s="39">
        <f t="shared" si="310"/>
        <v>861.01851851851836</v>
      </c>
      <c r="CE303" s="276">
        <f t="shared" si="267"/>
        <v>2431</v>
      </c>
      <c r="CF303" s="276">
        <f t="shared" si="268"/>
        <v>2051</v>
      </c>
      <c r="CG303" s="276">
        <f t="shared" si="269"/>
        <v>1685</v>
      </c>
      <c r="CH303" s="276">
        <f t="shared" si="270"/>
        <v>1326</v>
      </c>
      <c r="CI303" s="276">
        <f t="shared" si="271"/>
        <v>1330</v>
      </c>
      <c r="CJ303" s="276">
        <f t="shared" si="272"/>
        <v>1325</v>
      </c>
      <c r="CK303" s="276">
        <f t="shared" si="311"/>
        <v>2093.3611111111113</v>
      </c>
      <c r="CL303" s="276">
        <f t="shared" si="312"/>
        <v>1766.1388888888889</v>
      </c>
      <c r="CM303" s="276">
        <f t="shared" si="313"/>
        <v>1544.5833333333333</v>
      </c>
      <c r="CN303" s="276">
        <f t="shared" si="314"/>
        <v>1326</v>
      </c>
      <c r="CO303" s="276">
        <f t="shared" si="315"/>
        <v>1330</v>
      </c>
      <c r="CP303" s="276">
        <f t="shared" si="316"/>
        <v>1325</v>
      </c>
      <c r="CQ303" s="39">
        <f t="shared" si="273"/>
        <v>1729</v>
      </c>
      <c r="CR303" s="39">
        <f t="shared" si="274"/>
        <v>2593.5</v>
      </c>
      <c r="CS303" s="277">
        <f t="shared" si="275"/>
        <v>2570</v>
      </c>
      <c r="CT303" s="39">
        <f t="shared" si="276"/>
        <v>2585.6666666666665</v>
      </c>
      <c r="CU303" s="39">
        <f t="shared" si="277"/>
        <v>2583.0555555555552</v>
      </c>
      <c r="CV303" s="39">
        <f t="shared" si="317"/>
        <v>2579.5740740740739</v>
      </c>
      <c r="CW303" s="297">
        <f t="shared" si="278"/>
        <v>0.82594445402794536</v>
      </c>
      <c r="CX303" s="279" t="str">
        <f t="shared" si="318"/>
        <v>Buffer and Action Plan</v>
      </c>
      <c r="CY303" s="278">
        <f t="shared" si="279"/>
        <v>1.4684575580755257</v>
      </c>
      <c r="CZ303" s="279" t="str">
        <f t="shared" si="319"/>
        <v>Pass</v>
      </c>
      <c r="DA303" s="278">
        <f t="shared" si="280"/>
        <v>1.6638791475586729</v>
      </c>
      <c r="DB303" s="292" t="str">
        <f t="shared" si="320"/>
        <v>Pass</v>
      </c>
      <c r="DC303" s="299">
        <f t="shared" si="321"/>
        <v>1.9499748617395676</v>
      </c>
      <c r="DD303" s="293" t="str">
        <f t="shared" si="322"/>
        <v>Pass</v>
      </c>
      <c r="DE303" s="299">
        <f t="shared" si="323"/>
        <v>1.9421470342522971</v>
      </c>
      <c r="DF303" s="293" t="str">
        <f t="shared" si="324"/>
        <v>Pass</v>
      </c>
      <c r="DG303" s="299">
        <f t="shared" si="325"/>
        <v>1.9468483577917539</v>
      </c>
      <c r="DH303" s="293" t="str">
        <f t="shared" si="326"/>
        <v>Pass</v>
      </c>
    </row>
    <row r="304" spans="1:112" customFormat="1" ht="15.5" thickTop="1" thickBot="1">
      <c r="A304" s="3" t="s">
        <v>718</v>
      </c>
      <c r="B304" s="3" t="s">
        <v>719</v>
      </c>
      <c r="C304" s="3" t="s">
        <v>718</v>
      </c>
      <c r="D304" s="3" t="s">
        <v>131</v>
      </c>
      <c r="E304" s="3" t="str">
        <f>VLOOKUP(C304,PoliticalControl!A:K,11,FALSE)</f>
        <v>CON</v>
      </c>
      <c r="F304" s="3" t="str">
        <f>VLOOKUP(C304,UrbanRuralClassification!A:N,13,FALSE)</f>
        <v>Urban with Major Conurbation</v>
      </c>
      <c r="G304" s="3" t="str">
        <f>VLOOKUP(C304,UrbanRuralClassification!A:N,14,FALSE)</f>
        <v>Predominantly Urban</v>
      </c>
      <c r="H304" s="262">
        <f>IF(ISBLANK((VLOOKUP($A304,'local-plan-data'!$C$1:$AD$566,27,FALSE)))=TRUE,"",VLOOKUP($A304,'local-plan-data'!$C$1:$AD$566,27,FALSE))</f>
        <v>40569</v>
      </c>
      <c r="I304" s="263">
        <f>VLOOKUP($A304,'local-plan-data'!$C$1:$AD$566,28,FALSE)</f>
        <v>1068</v>
      </c>
      <c r="J304" s="264">
        <f t="shared" si="281"/>
        <v>1068</v>
      </c>
      <c r="K304" s="259" t="str">
        <f t="shared" si="331"/>
        <v>-</v>
      </c>
      <c r="L304" s="259" t="str">
        <f t="shared" si="329"/>
        <v>-</v>
      </c>
      <c r="M304" s="259" t="str">
        <f t="shared" si="329"/>
        <v>-</v>
      </c>
      <c r="N304" s="259" t="str">
        <f t="shared" si="329"/>
        <v>-</v>
      </c>
      <c r="O304" s="259" t="str">
        <f t="shared" si="329"/>
        <v>-</v>
      </c>
      <c r="P304" s="259" t="str">
        <f t="shared" si="329"/>
        <v>-</v>
      </c>
      <c r="Q304" s="259" t="str">
        <f t="shared" si="329"/>
        <v>-</v>
      </c>
      <c r="R304" s="259" t="str">
        <f t="shared" si="329"/>
        <v>-</v>
      </c>
      <c r="S304" s="259">
        <f t="shared" si="332"/>
        <v>-796</v>
      </c>
      <c r="T304" s="259">
        <f t="shared" si="330"/>
        <v>-1161</v>
      </c>
      <c r="U304" s="259">
        <f t="shared" si="330"/>
        <v>-1527</v>
      </c>
      <c r="V304" s="259">
        <f t="shared" si="330"/>
        <v>-1892</v>
      </c>
      <c r="W304" s="259">
        <f t="shared" si="330"/>
        <v>-2257</v>
      </c>
      <c r="X304" s="259">
        <f t="shared" si="330"/>
        <v>-2622</v>
      </c>
      <c r="Y304" s="259">
        <f t="shared" si="330"/>
        <v>-2988</v>
      </c>
      <c r="Z304" s="259">
        <f t="shared" si="330"/>
        <v>-3353</v>
      </c>
      <c r="AA304" s="267">
        <f>(VLOOKUP(A304,Hshldprojections2014!$A$2:$AW$319,40, FALSE)-VLOOKUP(A304,Hshldprojections2014!$A$2:$AW$319,30, FALSE))/10</f>
        <v>1699.6</v>
      </c>
      <c r="AB304" s="267">
        <f>(VLOOKUP(A304,Hshldprojections2014!$A$2:$AW$319,41, FALSE)-VLOOKUP(A304,Hshldprojections2014!$A$2:$AW$319,31, FALSE))/10</f>
        <v>1656.9</v>
      </c>
      <c r="AC304" s="267">
        <f>(VLOOKUP(A304,Hshldprojections2014!$A$2:$AW$319,42, FALSE)-VLOOKUP(A304,Hshldprojections2014!$A$2:$AW$319,32, FALSE))/10</f>
        <v>1626.2</v>
      </c>
      <c r="AD304" s="267">
        <f>IF(IndividualLATest!$J$7=2014,(VLOOKUP($A304,Hshldprojections2014!$A$2:$AY$326,43,FALSE)-VLOOKUP($A304,Hshldprojections2014!$A$2:$AY$326,33,FALSE))/10,IF(IndividualLATest!$J$7=2016,(VLOOKUP($A304,Hshldprojections2016!$A$1:$AQ$322,33,FALSE)-VLOOKUP($A304,Hshldprojections2016!$A$1:$AQ$322,23,FALSE))/10,(VLOOKUP($A304,Hshldprojections2018!$A$1:$AQ$327,33,FALSE)-VLOOKUP($A304,Hshldprojections2018!$A$1:$AQ$327,23,FALSE))/10))</f>
        <v>1360.8</v>
      </c>
      <c r="AE304" s="267">
        <f>IF(IndividualLATest!$J$7=2014,(VLOOKUP($A304,Hshldprojections2014!$A$2:$AY$326,44,FALSE)-VLOOKUP($A304,Hshldprojections2014!$A$2:$AY$326,34,FALSE))/10,IF(IndividualLATest!$J$7=2016,(VLOOKUP($A304,Hshldprojections2016!$A$1:$AQ$322,34,FALSE)-VLOOKUP($A304,Hshldprojections2016!$A$1:$AQ$322,24,FALSE))/10,(VLOOKUP($A304,Hshldprojections2018!$A$1:$AQ$327,34,FALSE)-VLOOKUP($A304,Hshldprojections2018!$A$1:$AQ$327,24,FALSE))/10))</f>
        <v>1300.5999999999999</v>
      </c>
      <c r="AF304" s="267">
        <f>IF(IndividualLATest!$J$7=2014,(VLOOKUP($A304,Hshldprojections2014!$A$2:$AY$326,45,FALSE)-VLOOKUP($A304,Hshldprojections2014!$A$2:$AY$326,35,FALSE))/10,IF(IndividualLATest!$J$7=2016,(VLOOKUP($A304,Hshldprojections2016!$A$1:$AQ$322,35,FALSE)-VLOOKUP($A304,Hshldprojections2016!$A$1:$AQ$322,25,FALSE))/10,(VLOOKUP($A304,Hshldprojections2018!$A$1:$AQ$327,35,FALSE)-VLOOKUP($A304,Hshldprojections2018!$A$1:$AQ$327,25,FALSE))/10))</f>
        <v>1255.7</v>
      </c>
      <c r="AG304" s="267">
        <f>IF(IndividualLATest!$J$7=2014,(VLOOKUP($A304,Hshldprojections2014!$A$2:$AY$326,46,FALSE)-VLOOKUP($A304,Hshldprojections2014!$A$2:$AY$326,36,FALSE))/10,IF(IndividualLATest!$J$7=2016,(VLOOKUP($A304,Hshldprojections2016!$A$1:$AQ$322,36,FALSE)-VLOOKUP($A304,Hshldprojections2016!$A$1:$AQ$322,26,FALSE))/10,(VLOOKUP($A304,Hshldprojections2018!$A$1:$AQ$327,36,FALSE)-VLOOKUP($A304,Hshldprojections2018!$A$1:$AQ$327,26,FALSE))/10))</f>
        <v>1222.4000000000001</v>
      </c>
      <c r="AH304" s="267">
        <f>IF(IndividualLATest!$J$7=2014,(VLOOKUP($A304,Hshldprojections2014!$A$2:$AY$326,47,FALSE)-VLOOKUP($A304,Hshldprojections2014!$A$2:$AY$326,37,FALSE))/10,IF(IndividualLATest!$J$7=2016,(VLOOKUP($A304,Hshldprojections2016!$A$1:$AQ$322,37,FALSE)-VLOOKUP($A304,Hshldprojections2016!$A$1:$AQ$322,27,FALSE))/10,(VLOOKUP($A304,Hshldprojections2018!$A$1:$AQ$327,37,FALSE)-VLOOKUP($A304,Hshldprojections2018!$A$1:$AQ$327,27,FALSE))/10))</f>
        <v>1200.9000000000001</v>
      </c>
      <c r="AI304" s="268">
        <f>VLOOKUP($A304,AffordabilityRatio!$A$2:$I$321,5,FALSE)</f>
        <v>24.91</v>
      </c>
      <c r="AJ304" s="268">
        <f>VLOOKUP($A304,AffordabilityRatio!$A$2:$I$321,6,FALSE)</f>
        <v>24.53</v>
      </c>
      <c r="AK304" s="268">
        <f>VLOOKUP($A304,AffordabilityRatio!$A$2:$I$321,7,FALSE)</f>
        <v>21.71</v>
      </c>
      <c r="AL304" s="268">
        <f>IF((VLOOKUP($A304,AffordabilityRatio!$A$2:$I$321,8,FALSE))="",AK304,VLOOKUP($A304,AffordabilityRatio!$A$2:$I$321,8,FALSE))</f>
        <v>21.4</v>
      </c>
      <c r="AM304" s="268">
        <f>IF((VLOOKUP($A304,AffordabilityRatio!$A$2:$I$321,9,FALSE))="",AL304,VLOOKUP($A304,AffordabilityRatio!$A$2:$I$321,9,FALSE))</f>
        <v>18.88</v>
      </c>
      <c r="AN304" s="268">
        <f>IF((VLOOKUP($A304,AffordabilityRatio!$A$2:$I$321,9,FALSE))="",AM304,VLOOKUP($A304,AffordabilityRatio!$A$2:$I$321,9,FALSE))</f>
        <v>18.88</v>
      </c>
      <c r="AO304" s="268">
        <f>IF((VLOOKUP($A304,AffordabilityRatio!$A$2:$I$321,9,FALSE))="",AN304,VLOOKUP($A304,AffordabilityRatio!$A$2:$I$321,9,FALSE))</f>
        <v>18.88</v>
      </c>
      <c r="AP304" s="268">
        <f>IF((VLOOKUP($A304,AffordabilityRatio!$A$2:$I$321,9,FALSE))="",AO304,VLOOKUP($A304,AffordabilityRatio!$A$2:$I$321,9,FALSE))</f>
        <v>18.88</v>
      </c>
      <c r="AQ304" s="267">
        <f t="shared" si="282"/>
        <v>3921</v>
      </c>
      <c r="AR304" s="267">
        <f t="shared" si="283"/>
        <v>3783</v>
      </c>
      <c r="AS304" s="267">
        <f t="shared" si="284"/>
        <v>3426</v>
      </c>
      <c r="AT304" s="267">
        <f t="shared" si="285"/>
        <v>2841</v>
      </c>
      <c r="AU304" s="267">
        <f t="shared" si="286"/>
        <v>2510</v>
      </c>
      <c r="AV304" s="267">
        <f t="shared" si="287"/>
        <v>2424</v>
      </c>
      <c r="AW304" s="267">
        <f t="shared" si="288"/>
        <v>2359</v>
      </c>
      <c r="AX304" s="267">
        <f t="shared" si="289"/>
        <v>2318</v>
      </c>
      <c r="AY304" s="267">
        <f t="shared" si="290"/>
        <v>2379.44</v>
      </c>
      <c r="AZ304" s="267">
        <f t="shared" si="291"/>
        <v>2319.6600000000003</v>
      </c>
      <c r="BA304" s="267">
        <f t="shared" si="292"/>
        <v>2276.6800000000003</v>
      </c>
      <c r="BB304" s="267">
        <f t="shared" si="293"/>
        <v>1905.12</v>
      </c>
      <c r="BC304" s="267">
        <f t="shared" si="294"/>
        <v>1820.84</v>
      </c>
      <c r="BD304" s="267">
        <f t="shared" si="295"/>
        <v>1757.98</v>
      </c>
      <c r="BE304" s="267">
        <f t="shared" si="296"/>
        <v>1711.3600000000001</v>
      </c>
      <c r="BF304" s="267">
        <f t="shared" si="297"/>
        <v>1681.2600000000002</v>
      </c>
      <c r="BG304" s="269">
        <f>AY304*VLOOKUP($B304,'Major Cities &amp; Towns'!$A$28:$B$345,2,FALSE)</f>
        <v>3212.2440000000001</v>
      </c>
      <c r="BH304" s="269">
        <f>AZ304*VLOOKUP($B304,'Major Cities &amp; Towns'!$A$28:$B$345,2,FALSE)</f>
        <v>3131.5410000000006</v>
      </c>
      <c r="BI304" s="269">
        <f>BA304*VLOOKUP($B304,'Major Cities &amp; Towns'!$A$28:$B$345,2,FALSE)</f>
        <v>3073.5180000000005</v>
      </c>
      <c r="BJ304" s="269">
        <f>BB304*VLOOKUP($B304,'Major Cities &amp; Towns'!$A$28:$B$345,2,FALSE)</f>
        <v>2571.9119999999998</v>
      </c>
      <c r="BK304" s="269">
        <f>BC304*VLOOKUP($B304,'Major Cities &amp; Towns'!$A$28:$B$345,2,FALSE)</f>
        <v>2458.134</v>
      </c>
      <c r="BL304" s="269">
        <f>BD304*VLOOKUP($B304,'Major Cities &amp; Towns'!$A$28:$B$345,2,FALSE)</f>
        <v>2373.2730000000001</v>
      </c>
      <c r="BM304" s="269">
        <f>BE304*VLOOKUP($B304,'Major Cities &amp; Towns'!$A$28:$B$345,2,FALSE)</f>
        <v>2310.3360000000002</v>
      </c>
      <c r="BN304" s="269">
        <f>BF304*VLOOKUP($B304,'Major Cities &amp; Towns'!$A$28:$B$345,2,FALSE)</f>
        <v>2269.7010000000005</v>
      </c>
      <c r="BO304" s="270">
        <f t="shared" si="298"/>
        <v>3921</v>
      </c>
      <c r="BP304" s="270">
        <f t="shared" si="299"/>
        <v>3783</v>
      </c>
      <c r="BQ304" s="270">
        <f t="shared" si="300"/>
        <v>3426</v>
      </c>
      <c r="BR304" s="270">
        <f t="shared" si="301"/>
        <v>2841</v>
      </c>
      <c r="BS304" s="270">
        <f t="shared" si="302"/>
        <v>2510</v>
      </c>
      <c r="BT304" s="270">
        <f t="shared" si="303"/>
        <v>2424</v>
      </c>
      <c r="BU304" s="270">
        <f t="shared" si="304"/>
        <v>2359</v>
      </c>
      <c r="BV304" s="270">
        <f t="shared" si="305"/>
        <v>2318</v>
      </c>
      <c r="BW304" s="39">
        <f>VLOOKUP($A304,NetAdditions!$A$2:$H$336,6,FALSE)</f>
        <v>803</v>
      </c>
      <c r="BX304" s="39">
        <f>VLOOKUP($A304,NetAdditions!$A$2:$H$336,7,FALSE)</f>
        <v>1110</v>
      </c>
      <c r="BY304" s="39">
        <f>IF((VLOOKUP($C304,NetAdditions!$A$2:$H$336,8,FALSE))="",(AVERAGE(VLOOKUP($C304,NetAdditions!$A$2:$H$336,5,FALSE),VLOOKUP($C304,NetAdditions!$A$2:$H$336,6,FALSE),VLOOKUP($C304,NetAdditions!$A$2:$H$336,7,FALSE))),VLOOKUP($C304,NetAdditions!$A$2:$H$336,8,FALSE))</f>
        <v>580</v>
      </c>
      <c r="BZ304" s="39">
        <f t="shared" si="306"/>
        <v>831</v>
      </c>
      <c r="CA304" s="39">
        <f t="shared" si="307"/>
        <v>840.33333333333337</v>
      </c>
      <c r="CB304" s="39">
        <f t="shared" si="308"/>
        <v>750.44444444444446</v>
      </c>
      <c r="CC304" s="39">
        <f t="shared" si="309"/>
        <v>807.25925925925924</v>
      </c>
      <c r="CD304" s="39">
        <f t="shared" si="310"/>
        <v>799.34567901234561</v>
      </c>
      <c r="CE304" s="276">
        <f t="shared" si="267"/>
        <v>11130</v>
      </c>
      <c r="CF304" s="276">
        <f t="shared" si="268"/>
        <v>10050</v>
      </c>
      <c r="CG304" s="276">
        <f t="shared" si="269"/>
        <v>8777</v>
      </c>
      <c r="CH304" s="276">
        <f t="shared" si="270"/>
        <v>7775</v>
      </c>
      <c r="CI304" s="276">
        <f t="shared" si="271"/>
        <v>7293</v>
      </c>
      <c r="CJ304" s="276">
        <f t="shared" si="272"/>
        <v>7101</v>
      </c>
      <c r="CK304" s="276">
        <f t="shared" si="311"/>
        <v>9584.1666666666679</v>
      </c>
      <c r="CL304" s="276">
        <f t="shared" si="312"/>
        <v>8654.1666666666679</v>
      </c>
      <c r="CM304" s="276">
        <f t="shared" si="313"/>
        <v>8045.583333333333</v>
      </c>
      <c r="CN304" s="276">
        <f t="shared" si="314"/>
        <v>7775</v>
      </c>
      <c r="CO304" s="276">
        <f t="shared" si="315"/>
        <v>7293</v>
      </c>
      <c r="CP304" s="276">
        <f t="shared" si="316"/>
        <v>7101</v>
      </c>
      <c r="CQ304" s="39">
        <f t="shared" si="273"/>
        <v>2493</v>
      </c>
      <c r="CR304" s="39">
        <f t="shared" si="274"/>
        <v>2521</v>
      </c>
      <c r="CS304" s="277">
        <f t="shared" si="275"/>
        <v>2251.3333333333335</v>
      </c>
      <c r="CT304" s="39">
        <f t="shared" si="276"/>
        <v>2421.7777777777778</v>
      </c>
      <c r="CU304" s="39">
        <f t="shared" si="277"/>
        <v>2398.037037037037</v>
      </c>
      <c r="CV304" s="39">
        <f t="shared" si="317"/>
        <v>2357.0493827160494</v>
      </c>
      <c r="CW304" s="297">
        <f t="shared" si="278"/>
        <v>0.26011651160768623</v>
      </c>
      <c r="CX304" s="279" t="str">
        <f t="shared" si="318"/>
        <v>Buffer and Action Plan</v>
      </c>
      <c r="CY304" s="278">
        <f t="shared" si="279"/>
        <v>0.29130476649012993</v>
      </c>
      <c r="CZ304" s="279" t="str">
        <f t="shared" si="319"/>
        <v>Presumption</v>
      </c>
      <c r="DA304" s="278">
        <f t="shared" si="280"/>
        <v>0.27982226273214084</v>
      </c>
      <c r="DB304" s="292" t="str">
        <f t="shared" si="320"/>
        <v>Presumption</v>
      </c>
      <c r="DC304" s="299">
        <f t="shared" si="321"/>
        <v>0.31148267238299393</v>
      </c>
      <c r="DD304" s="293" t="str">
        <f t="shared" si="322"/>
        <v>Presumption</v>
      </c>
      <c r="DE304" s="299">
        <f t="shared" si="323"/>
        <v>0.32881352489195625</v>
      </c>
      <c r="DF304" s="293" t="str">
        <f t="shared" si="324"/>
        <v>Presumption</v>
      </c>
      <c r="DG304" s="299">
        <f t="shared" si="325"/>
        <v>0.33193203530714682</v>
      </c>
      <c r="DH304" s="293" t="str">
        <f t="shared" si="326"/>
        <v>Presumption</v>
      </c>
    </row>
    <row r="305" spans="1:112" ht="15" thickTop="1" thickBot="1">
      <c r="A305" s="38" t="s">
        <v>720</v>
      </c>
      <c r="B305" s="38" t="s">
        <v>721</v>
      </c>
      <c r="C305" s="38" t="s">
        <v>720</v>
      </c>
      <c r="D305" s="38" t="s">
        <v>116</v>
      </c>
      <c r="E305" s="38" t="str">
        <f>VLOOKUP(C305,PoliticalControl!A:K,11,FALSE)</f>
        <v>LAB</v>
      </c>
      <c r="F305" s="38" t="str">
        <f>VLOOKUP(C305,UrbanRuralClassification!A:N,13,FALSE)</f>
        <v>Urban with Major Conurbation</v>
      </c>
      <c r="G305" s="38" t="str">
        <f>VLOOKUP(C305,UrbanRuralClassification!A:N,14,FALSE)</f>
        <v>Predominantly Urban</v>
      </c>
      <c r="H305" s="258">
        <f>IF(ISBLANK((VLOOKUP($A305,'local-plan-data'!$C$1:$AD$566,27,FALSE)))=TRUE,"",VLOOKUP($A305,'local-plan-data'!$C$1:$AD$566,27,FALSE))</f>
        <v>41528</v>
      </c>
      <c r="I305" s="259">
        <f>VLOOKUP($A305,'local-plan-data'!$C$1:$AD$566,28,FALSE)</f>
        <v>1000</v>
      </c>
      <c r="J305" s="260">
        <f t="shared" si="281"/>
        <v>1000</v>
      </c>
      <c r="K305" s="259">
        <f t="shared" si="331"/>
        <v>1000</v>
      </c>
      <c r="L305" s="259" t="str">
        <f t="shared" si="329"/>
        <v>-</v>
      </c>
      <c r="M305" s="259" t="str">
        <f t="shared" si="329"/>
        <v>-</v>
      </c>
      <c r="N305" s="259" t="str">
        <f t="shared" si="329"/>
        <v>-</v>
      </c>
      <c r="O305" s="259" t="str">
        <f t="shared" si="329"/>
        <v>-</v>
      </c>
      <c r="P305" s="259" t="str">
        <f t="shared" si="329"/>
        <v>-</v>
      </c>
      <c r="Q305" s="259" t="str">
        <f t="shared" si="329"/>
        <v>-</v>
      </c>
      <c r="R305" s="259" t="str">
        <f t="shared" si="329"/>
        <v>-</v>
      </c>
      <c r="S305" s="259">
        <f t="shared" si="332"/>
        <v>163</v>
      </c>
      <c r="T305" s="259">
        <f t="shared" si="330"/>
        <v>-202</v>
      </c>
      <c r="U305" s="259">
        <f t="shared" si="330"/>
        <v>-568</v>
      </c>
      <c r="V305" s="259">
        <f t="shared" si="330"/>
        <v>-933</v>
      </c>
      <c r="W305" s="259">
        <f t="shared" si="330"/>
        <v>-1298</v>
      </c>
      <c r="X305" s="259">
        <f t="shared" si="330"/>
        <v>-1663</v>
      </c>
      <c r="Y305" s="259">
        <f t="shared" si="330"/>
        <v>-2029</v>
      </c>
      <c r="Z305" s="259">
        <f t="shared" si="330"/>
        <v>-2394</v>
      </c>
      <c r="AA305" s="267">
        <f>(VLOOKUP(A305,Hshldprojections2014!$A$2:$AW$319,40, FALSE)-VLOOKUP(A305,Hshldprojections2014!$A$2:$AW$319,30, FALSE))/10</f>
        <v>871.4</v>
      </c>
      <c r="AB305" s="267">
        <f>(VLOOKUP(A305,Hshldprojections2014!$A$2:$AW$319,41, FALSE)-VLOOKUP(A305,Hshldprojections2014!$A$2:$AW$319,31, FALSE))/10</f>
        <v>841.8</v>
      </c>
      <c r="AC305" s="267">
        <f>(VLOOKUP(A305,Hshldprojections2014!$A$2:$AW$319,42, FALSE)-VLOOKUP(A305,Hshldprojections2014!$A$2:$AW$319,32, FALSE))/10</f>
        <v>816.4</v>
      </c>
      <c r="AD305" s="267">
        <f>IF(IndividualLATest!$J$7=2014,(VLOOKUP($A305,Hshldprojections2014!$A$2:$AY$326,43,FALSE)-VLOOKUP($A305,Hshldprojections2014!$A$2:$AY$326,33,FALSE))/10,IF(IndividualLATest!$J$7=2016,(VLOOKUP($A305,Hshldprojections2016!$A$1:$AQ$322,33,FALSE)-VLOOKUP($A305,Hshldprojections2016!$A$1:$AQ$322,23,FALSE))/10,(VLOOKUP($A305,Hshldprojections2018!$A$1:$AQ$327,33,FALSE)-VLOOKUP($A305,Hshldprojections2018!$A$1:$AQ$327,23,FALSE))/10))</f>
        <v>724.4</v>
      </c>
      <c r="AE305" s="267">
        <f>IF(IndividualLATest!$J$7=2014,(VLOOKUP($A305,Hshldprojections2014!$A$2:$AY$326,44,FALSE)-VLOOKUP($A305,Hshldprojections2014!$A$2:$AY$326,34,FALSE))/10,IF(IndividualLATest!$J$7=2016,(VLOOKUP($A305,Hshldprojections2016!$A$1:$AQ$322,34,FALSE)-VLOOKUP($A305,Hshldprojections2016!$A$1:$AQ$322,24,FALSE))/10,(VLOOKUP($A305,Hshldprojections2018!$A$1:$AQ$327,34,FALSE)-VLOOKUP($A305,Hshldprojections2018!$A$1:$AQ$327,24,FALSE))/10))</f>
        <v>699.2</v>
      </c>
      <c r="AF305" s="267">
        <f>IF(IndividualLATest!$J$7=2014,(VLOOKUP($A305,Hshldprojections2014!$A$2:$AY$326,45,FALSE)-VLOOKUP($A305,Hshldprojections2014!$A$2:$AY$326,35,FALSE))/10,IF(IndividualLATest!$J$7=2016,(VLOOKUP($A305,Hshldprojections2016!$A$1:$AQ$322,35,FALSE)-VLOOKUP($A305,Hshldprojections2016!$A$1:$AQ$322,25,FALSE))/10,(VLOOKUP($A305,Hshldprojections2018!$A$1:$AQ$327,35,FALSE)-VLOOKUP($A305,Hshldprojections2018!$A$1:$AQ$327,25,FALSE))/10))</f>
        <v>683.3</v>
      </c>
      <c r="AG305" s="267">
        <f>IF(IndividualLATest!$J$7=2014,(VLOOKUP($A305,Hshldprojections2014!$A$2:$AY$326,46,FALSE)-VLOOKUP($A305,Hshldprojections2014!$A$2:$AY$326,36,FALSE))/10,IF(IndividualLATest!$J$7=2016,(VLOOKUP($A305,Hshldprojections2016!$A$1:$AQ$322,36,FALSE)-VLOOKUP($A305,Hshldprojections2016!$A$1:$AQ$322,26,FALSE))/10,(VLOOKUP($A305,Hshldprojections2018!$A$1:$AQ$327,36,FALSE)-VLOOKUP($A305,Hshldprojections2018!$A$1:$AQ$327,26,FALSE))/10))</f>
        <v>673.8</v>
      </c>
      <c r="AH305" s="267">
        <f>IF(IndividualLATest!$J$7=2014,(VLOOKUP($A305,Hshldprojections2014!$A$2:$AY$326,47,FALSE)-VLOOKUP($A305,Hshldprojections2014!$A$2:$AY$326,37,FALSE))/10,IF(IndividualLATest!$J$7=2016,(VLOOKUP($A305,Hshldprojections2016!$A$1:$AQ$322,37,FALSE)-VLOOKUP($A305,Hshldprojections2016!$A$1:$AQ$322,27,FALSE))/10,(VLOOKUP($A305,Hshldprojections2018!$A$1:$AQ$327,37,FALSE)-VLOOKUP($A305,Hshldprojections2018!$A$1:$AQ$327,27,FALSE))/10))</f>
        <v>671.1</v>
      </c>
      <c r="AI305" s="268">
        <f>VLOOKUP($A305,AffordabilityRatio!$A$2:$I$321,5,FALSE)</f>
        <v>5.37</v>
      </c>
      <c r="AJ305" s="268">
        <f>VLOOKUP($A305,AffordabilityRatio!$A$2:$I$321,6,FALSE)</f>
        <v>5.37</v>
      </c>
      <c r="AK305" s="268">
        <f>VLOOKUP($A305,AffordabilityRatio!$A$2:$I$321,7,FALSE)</f>
        <v>5.8</v>
      </c>
      <c r="AL305" s="268">
        <f>IF((VLOOKUP($A305,AffordabilityRatio!$A$2:$I$321,8,FALSE))="",AK305,VLOOKUP($A305,AffordabilityRatio!$A$2:$I$321,8,FALSE))</f>
        <v>5.68</v>
      </c>
      <c r="AM305" s="268">
        <f>IF((VLOOKUP($A305,AffordabilityRatio!$A$2:$I$321,9,FALSE))="",AL305,VLOOKUP($A305,AffordabilityRatio!$A$2:$I$321,9,FALSE))</f>
        <v>5.67</v>
      </c>
      <c r="AN305" s="268">
        <f>IF((VLOOKUP($A305,AffordabilityRatio!$A$2:$I$321,9,FALSE))="",AM305,VLOOKUP($A305,AffordabilityRatio!$A$2:$I$321,9,FALSE))</f>
        <v>5.67</v>
      </c>
      <c r="AO305" s="268">
        <f>IF((VLOOKUP($A305,AffordabilityRatio!$A$2:$I$321,9,FALSE))="",AN305,VLOOKUP($A305,AffordabilityRatio!$A$2:$I$321,9,FALSE))</f>
        <v>5.67</v>
      </c>
      <c r="AP305" s="268">
        <f>IF((VLOOKUP($A305,AffordabilityRatio!$A$2:$I$321,9,FALSE))="",AO305,VLOOKUP($A305,AffordabilityRatio!$A$2:$I$321,9,FALSE))</f>
        <v>5.67</v>
      </c>
      <c r="AQ305" s="267">
        <f t="shared" si="282"/>
        <v>946</v>
      </c>
      <c r="AR305" s="267">
        <f t="shared" si="283"/>
        <v>914</v>
      </c>
      <c r="AS305" s="267">
        <f t="shared" si="284"/>
        <v>908</v>
      </c>
      <c r="AT305" s="267">
        <f t="shared" si="285"/>
        <v>800</v>
      </c>
      <c r="AU305" s="267">
        <f t="shared" si="286"/>
        <v>772</v>
      </c>
      <c r="AV305" s="267">
        <f t="shared" si="287"/>
        <v>755</v>
      </c>
      <c r="AW305" s="267">
        <f t="shared" si="288"/>
        <v>744</v>
      </c>
      <c r="AX305" s="267">
        <f t="shared" si="289"/>
        <v>741</v>
      </c>
      <c r="AY305" s="267">
        <f t="shared" si="290"/>
        <v>946</v>
      </c>
      <c r="AZ305" s="267">
        <f t="shared" si="291"/>
        <v>914</v>
      </c>
      <c r="BA305" s="267">
        <f t="shared" si="292"/>
        <v>908</v>
      </c>
      <c r="BB305" s="267">
        <f t="shared" si="293"/>
        <v>800</v>
      </c>
      <c r="BC305" s="267">
        <f t="shared" si="294"/>
        <v>772</v>
      </c>
      <c r="BD305" s="267">
        <f t="shared" si="295"/>
        <v>755</v>
      </c>
      <c r="BE305" s="267">
        <f t="shared" si="296"/>
        <v>744</v>
      </c>
      <c r="BF305" s="267">
        <f t="shared" si="297"/>
        <v>741</v>
      </c>
      <c r="BG305" s="269">
        <f>AY305*VLOOKUP($B305,'Major Cities &amp; Towns'!$A$28:$B$345,2,FALSE)</f>
        <v>946</v>
      </c>
      <c r="BH305" s="269">
        <f>AZ305*VLOOKUP($B305,'Major Cities &amp; Towns'!$A$28:$B$345,2,FALSE)</f>
        <v>914</v>
      </c>
      <c r="BI305" s="269">
        <f>BA305*VLOOKUP($B305,'Major Cities &amp; Towns'!$A$28:$B$345,2,FALSE)</f>
        <v>908</v>
      </c>
      <c r="BJ305" s="269">
        <f>BB305*VLOOKUP($B305,'Major Cities &amp; Towns'!$A$28:$B$345,2,FALSE)</f>
        <v>800</v>
      </c>
      <c r="BK305" s="269">
        <f>BC305*VLOOKUP($B305,'Major Cities &amp; Towns'!$A$28:$B$345,2,FALSE)</f>
        <v>772</v>
      </c>
      <c r="BL305" s="269">
        <f>BD305*VLOOKUP($B305,'Major Cities &amp; Towns'!$A$28:$B$345,2,FALSE)</f>
        <v>755</v>
      </c>
      <c r="BM305" s="269">
        <f>BE305*VLOOKUP($B305,'Major Cities &amp; Towns'!$A$28:$B$345,2,FALSE)</f>
        <v>744</v>
      </c>
      <c r="BN305" s="269">
        <f>BF305*VLOOKUP($B305,'Major Cities &amp; Towns'!$A$28:$B$345,2,FALSE)</f>
        <v>741</v>
      </c>
      <c r="BO305" s="270">
        <f t="shared" si="298"/>
        <v>946</v>
      </c>
      <c r="BP305" s="270">
        <f t="shared" si="299"/>
        <v>914</v>
      </c>
      <c r="BQ305" s="270">
        <f t="shared" si="300"/>
        <v>908</v>
      </c>
      <c r="BR305" s="270">
        <f t="shared" si="301"/>
        <v>800</v>
      </c>
      <c r="BS305" s="270">
        <f t="shared" si="302"/>
        <v>772</v>
      </c>
      <c r="BT305" s="270">
        <f t="shared" si="303"/>
        <v>755</v>
      </c>
      <c r="BU305" s="270">
        <f t="shared" si="304"/>
        <v>744</v>
      </c>
      <c r="BV305" s="270">
        <f t="shared" si="305"/>
        <v>741</v>
      </c>
      <c r="BW305" s="39">
        <f>VLOOKUP($A305,NetAdditions!$A$2:$H$336,6,FALSE)</f>
        <v>1350</v>
      </c>
      <c r="BX305" s="39">
        <f>VLOOKUP($A305,NetAdditions!$A$2:$H$336,7,FALSE)</f>
        <v>1367</v>
      </c>
      <c r="BY305" s="39">
        <f>IF((VLOOKUP($C305,NetAdditions!$A$2:$H$336,8,FALSE))="",(AVERAGE(VLOOKUP($C305,NetAdditions!$A$2:$H$336,5,FALSE),VLOOKUP($C305,NetAdditions!$A$2:$H$336,6,FALSE),VLOOKUP($C305,NetAdditions!$A$2:$H$336,7,FALSE))),VLOOKUP($C305,NetAdditions!$A$2:$H$336,8,FALSE))</f>
        <v>1439</v>
      </c>
      <c r="BZ305" s="39">
        <f t="shared" si="306"/>
        <v>1385.3333333333333</v>
      </c>
      <c r="CA305" s="39">
        <f t="shared" si="307"/>
        <v>1397.1111111111111</v>
      </c>
      <c r="CB305" s="39">
        <f t="shared" si="308"/>
        <v>1407.148148148148</v>
      </c>
      <c r="CC305" s="39">
        <f t="shared" si="309"/>
        <v>1396.5308641975307</v>
      </c>
      <c r="CD305" s="39">
        <f t="shared" si="310"/>
        <v>1400.2633744855966</v>
      </c>
      <c r="CE305" s="276">
        <f t="shared" si="267"/>
        <v>2768</v>
      </c>
      <c r="CF305" s="276">
        <f t="shared" si="268"/>
        <v>2622</v>
      </c>
      <c r="CG305" s="276">
        <f t="shared" si="269"/>
        <v>2480</v>
      </c>
      <c r="CH305" s="276">
        <f t="shared" si="270"/>
        <v>2327</v>
      </c>
      <c r="CI305" s="276">
        <f t="shared" si="271"/>
        <v>2271</v>
      </c>
      <c r="CJ305" s="276">
        <f t="shared" si="272"/>
        <v>2240</v>
      </c>
      <c r="CK305" s="276">
        <f t="shared" si="311"/>
        <v>2383.5555555555557</v>
      </c>
      <c r="CL305" s="276">
        <f t="shared" si="312"/>
        <v>2257.8333333333335</v>
      </c>
      <c r="CM305" s="276">
        <f t="shared" si="313"/>
        <v>2273.333333333333</v>
      </c>
      <c r="CN305" s="276">
        <f t="shared" si="314"/>
        <v>2327</v>
      </c>
      <c r="CO305" s="276">
        <f t="shared" si="315"/>
        <v>2271</v>
      </c>
      <c r="CP305" s="276">
        <f t="shared" si="316"/>
        <v>2240</v>
      </c>
      <c r="CQ305" s="39">
        <f t="shared" si="273"/>
        <v>4156</v>
      </c>
      <c r="CR305" s="39">
        <f t="shared" si="274"/>
        <v>4191.333333333333</v>
      </c>
      <c r="CS305" s="277">
        <f t="shared" si="275"/>
        <v>4221.4444444444443</v>
      </c>
      <c r="CT305" s="39">
        <f t="shared" si="276"/>
        <v>4189.5925925925922</v>
      </c>
      <c r="CU305" s="39">
        <f t="shared" si="277"/>
        <v>4200.7901234567898</v>
      </c>
      <c r="CV305" s="39">
        <f t="shared" si="317"/>
        <v>4203.9423868312751</v>
      </c>
      <c r="CW305" s="297">
        <f t="shared" si="278"/>
        <v>1.7436136490770091</v>
      </c>
      <c r="CX305" s="279" t="str">
        <f t="shared" si="318"/>
        <v>Pass</v>
      </c>
      <c r="CY305" s="278">
        <f t="shared" si="279"/>
        <v>1.8563519598435074</v>
      </c>
      <c r="CZ305" s="279" t="str">
        <f t="shared" si="319"/>
        <v>Pass</v>
      </c>
      <c r="DA305" s="278">
        <f t="shared" si="280"/>
        <v>1.8569403714565007</v>
      </c>
      <c r="DB305" s="292" t="str">
        <f t="shared" si="320"/>
        <v>Pass</v>
      </c>
      <c r="DC305" s="299">
        <f t="shared" si="321"/>
        <v>1.8004265546164986</v>
      </c>
      <c r="DD305" s="293" t="str">
        <f t="shared" si="322"/>
        <v>Pass</v>
      </c>
      <c r="DE305" s="299">
        <f t="shared" si="323"/>
        <v>1.8497534669558739</v>
      </c>
      <c r="DF305" s="293" t="str">
        <f t="shared" si="324"/>
        <v>Pass</v>
      </c>
      <c r="DG305" s="299">
        <f t="shared" si="325"/>
        <v>1.8767599941211051</v>
      </c>
      <c r="DH305" s="293" t="str">
        <f t="shared" si="326"/>
        <v>Pass</v>
      </c>
    </row>
    <row r="306" spans="1:112" ht="15" thickTop="1" thickBot="1">
      <c r="A306" s="38" t="s">
        <v>722</v>
      </c>
      <c r="B306" s="38" t="s">
        <v>723</v>
      </c>
      <c r="C306" s="38" t="s">
        <v>722</v>
      </c>
      <c r="D306" s="38" t="s">
        <v>147</v>
      </c>
      <c r="E306" s="38" t="str">
        <f>VLOOKUP(C306,PoliticalControl!A:K,11,FALSE)</f>
        <v>CON</v>
      </c>
      <c r="F306" s="38" t="str">
        <f>VLOOKUP(C306,UrbanRuralClassification!A:N,13,FALSE)</f>
        <v xml:space="preserve">Largely Rural (rural including hub towns 50-79%) </v>
      </c>
      <c r="G306" s="38" t="str">
        <f>VLOOKUP(C306,UrbanRuralClassification!A:N,14,FALSE)</f>
        <v>Predominantly Rural</v>
      </c>
      <c r="H306" s="258">
        <f>IF(ISBLANK((VLOOKUP($A306,'local-plan-data'!$C$1:$AD$566,27,FALSE)))=TRUE,"",VLOOKUP($A306,'local-plan-data'!$C$1:$AD$566,27,FALSE))</f>
        <v>42024</v>
      </c>
      <c r="I306" s="259">
        <f>VLOOKUP($A306,'local-plan-data'!$C$1:$AD$566,28,FALSE)</f>
        <v>2100</v>
      </c>
      <c r="J306" s="260">
        <f t="shared" si="281"/>
        <v>2100</v>
      </c>
      <c r="K306" s="259">
        <f t="shared" si="331"/>
        <v>2100</v>
      </c>
      <c r="L306" s="259">
        <f t="shared" si="329"/>
        <v>2100</v>
      </c>
      <c r="M306" s="259" t="str">
        <f t="shared" si="329"/>
        <v>-</v>
      </c>
      <c r="N306" s="259" t="str">
        <f t="shared" si="329"/>
        <v>-</v>
      </c>
      <c r="O306" s="259" t="str">
        <f t="shared" si="329"/>
        <v>-</v>
      </c>
      <c r="P306" s="259" t="str">
        <f t="shared" si="329"/>
        <v>-</v>
      </c>
      <c r="Q306" s="259" t="str">
        <f t="shared" si="329"/>
        <v>-</v>
      </c>
      <c r="R306" s="259" t="str">
        <f t="shared" si="329"/>
        <v>-</v>
      </c>
      <c r="S306" s="259">
        <f t="shared" si="332"/>
        <v>659</v>
      </c>
      <c r="T306" s="259">
        <f t="shared" si="330"/>
        <v>294</v>
      </c>
      <c r="U306" s="259">
        <f t="shared" si="330"/>
        <v>-72</v>
      </c>
      <c r="V306" s="259">
        <f t="shared" si="330"/>
        <v>-437</v>
      </c>
      <c r="W306" s="259">
        <f t="shared" si="330"/>
        <v>-802</v>
      </c>
      <c r="X306" s="259">
        <f t="shared" si="330"/>
        <v>-1167</v>
      </c>
      <c r="Y306" s="259">
        <f t="shared" si="330"/>
        <v>-1533</v>
      </c>
      <c r="Z306" s="259">
        <f t="shared" si="330"/>
        <v>-1898</v>
      </c>
      <c r="AA306" s="267">
        <f>(VLOOKUP(A306,Hshldprojections2014!$A$2:$AW$319,40, FALSE)-VLOOKUP(A306,Hshldprojections2014!$A$2:$AW$319,30, FALSE))/10</f>
        <v>1518.6</v>
      </c>
      <c r="AB306" s="267">
        <f>(VLOOKUP(A306,Hshldprojections2014!$A$2:$AW$319,41, FALSE)-VLOOKUP(A306,Hshldprojections2014!$A$2:$AW$319,31, FALSE))/10</f>
        <v>1497.2</v>
      </c>
      <c r="AC306" s="267">
        <f>(VLOOKUP(A306,Hshldprojections2014!$A$2:$AW$319,42, FALSE)-VLOOKUP(A306,Hshldprojections2014!$A$2:$AW$319,32, FALSE))/10</f>
        <v>1484.1</v>
      </c>
      <c r="AD306" s="267">
        <f>IF(IndividualLATest!$J$7=2014,(VLOOKUP($A306,Hshldprojections2014!$A$2:$AY$326,43,FALSE)-VLOOKUP($A306,Hshldprojections2014!$A$2:$AY$326,33,FALSE))/10,IF(IndividualLATest!$J$7=2016,(VLOOKUP($A306,Hshldprojections2016!$A$1:$AQ$322,33,FALSE)-VLOOKUP($A306,Hshldprojections2016!$A$1:$AQ$322,23,FALSE))/10,(VLOOKUP($A306,Hshldprojections2018!$A$1:$AQ$327,33,FALSE)-VLOOKUP($A306,Hshldprojections2018!$A$1:$AQ$327,23,FALSE))/10))</f>
        <v>1566</v>
      </c>
      <c r="AE306" s="267">
        <f>IF(IndividualLATest!$J$7=2014,(VLOOKUP($A306,Hshldprojections2014!$A$2:$AY$326,44,FALSE)-VLOOKUP($A306,Hshldprojections2014!$A$2:$AY$326,34,FALSE))/10,IF(IndividualLATest!$J$7=2016,(VLOOKUP($A306,Hshldprojections2016!$A$1:$AQ$322,34,FALSE)-VLOOKUP($A306,Hshldprojections2016!$A$1:$AQ$322,24,FALSE))/10,(VLOOKUP($A306,Hshldprojections2018!$A$1:$AQ$327,34,FALSE)-VLOOKUP($A306,Hshldprojections2018!$A$1:$AQ$327,24,FALSE))/10))</f>
        <v>1525.2</v>
      </c>
      <c r="AF306" s="267">
        <f>IF(IndividualLATest!$J$7=2014,(VLOOKUP($A306,Hshldprojections2014!$A$2:$AY$326,45,FALSE)-VLOOKUP($A306,Hshldprojections2014!$A$2:$AY$326,35,FALSE))/10,IF(IndividualLATest!$J$7=2016,(VLOOKUP($A306,Hshldprojections2016!$A$1:$AQ$322,35,FALSE)-VLOOKUP($A306,Hshldprojections2016!$A$1:$AQ$322,25,FALSE))/10,(VLOOKUP($A306,Hshldprojections2018!$A$1:$AQ$327,35,FALSE)-VLOOKUP($A306,Hshldprojections2018!$A$1:$AQ$327,25,FALSE))/10))</f>
        <v>1491.7</v>
      </c>
      <c r="AG306" s="267">
        <f>IF(IndividualLATest!$J$7=2014,(VLOOKUP($A306,Hshldprojections2014!$A$2:$AY$326,46,FALSE)-VLOOKUP($A306,Hshldprojections2014!$A$2:$AY$326,36,FALSE))/10,IF(IndividualLATest!$J$7=2016,(VLOOKUP($A306,Hshldprojections2016!$A$1:$AQ$322,36,FALSE)-VLOOKUP($A306,Hshldprojections2016!$A$1:$AQ$322,26,FALSE))/10,(VLOOKUP($A306,Hshldprojections2018!$A$1:$AQ$327,36,FALSE)-VLOOKUP($A306,Hshldprojections2018!$A$1:$AQ$327,26,FALSE))/10))</f>
        <v>1457.1</v>
      </c>
      <c r="AH306" s="267">
        <f>IF(IndividualLATest!$J$7=2014,(VLOOKUP($A306,Hshldprojections2014!$A$2:$AY$326,47,FALSE)-VLOOKUP($A306,Hshldprojections2014!$A$2:$AY$326,37,FALSE))/10,IF(IndividualLATest!$J$7=2016,(VLOOKUP($A306,Hshldprojections2016!$A$1:$AQ$322,37,FALSE)-VLOOKUP($A306,Hshldprojections2016!$A$1:$AQ$322,27,FALSE))/10,(VLOOKUP($A306,Hshldprojections2018!$A$1:$AQ$327,37,FALSE)-VLOOKUP($A306,Hshldprojections2018!$A$1:$AQ$327,27,FALSE))/10))</f>
        <v>1433.2</v>
      </c>
      <c r="AI306" s="268">
        <f>VLOOKUP($A306,AffordabilityRatio!$A$2:$I$321,5,FALSE)</f>
        <v>9.5399999999999991</v>
      </c>
      <c r="AJ306" s="268">
        <f>VLOOKUP($A306,AffordabilityRatio!$A$2:$I$321,6,FALSE)</f>
        <v>9.8000000000000007</v>
      </c>
      <c r="AK306" s="268">
        <f>VLOOKUP($A306,AffordabilityRatio!$A$2:$I$321,7,FALSE)</f>
        <v>9.68</v>
      </c>
      <c r="AL306" s="268">
        <f>IF((VLOOKUP($A306,AffordabilityRatio!$A$2:$I$321,8,FALSE))="",AK306,VLOOKUP($A306,AffordabilityRatio!$A$2:$I$321,8,FALSE))</f>
        <v>9.58</v>
      </c>
      <c r="AM306" s="268">
        <f>IF((VLOOKUP($A306,AffordabilityRatio!$A$2:$I$321,9,FALSE))="",AL306,VLOOKUP($A306,AffordabilityRatio!$A$2:$I$321,9,FALSE))</f>
        <v>10.32</v>
      </c>
      <c r="AN306" s="268">
        <f>IF((VLOOKUP($A306,AffordabilityRatio!$A$2:$I$321,9,FALSE))="",AM306,VLOOKUP($A306,AffordabilityRatio!$A$2:$I$321,9,FALSE))</f>
        <v>10.32</v>
      </c>
      <c r="AO306" s="268">
        <f>IF((VLOOKUP($A306,AffordabilityRatio!$A$2:$I$321,9,FALSE))="",AN306,VLOOKUP($A306,AffordabilityRatio!$A$2:$I$321,9,FALSE))</f>
        <v>10.32</v>
      </c>
      <c r="AP306" s="268">
        <f>IF((VLOOKUP($A306,AffordabilityRatio!$A$2:$I$321,9,FALSE))="",AO306,VLOOKUP($A306,AffordabilityRatio!$A$2:$I$321,9,FALSE))</f>
        <v>10.32</v>
      </c>
      <c r="AQ306" s="267">
        <f t="shared" si="282"/>
        <v>2044</v>
      </c>
      <c r="AR306" s="267">
        <f t="shared" si="283"/>
        <v>2040</v>
      </c>
      <c r="AS306" s="267">
        <f t="shared" si="284"/>
        <v>2011</v>
      </c>
      <c r="AT306" s="267">
        <f t="shared" si="285"/>
        <v>2112</v>
      </c>
      <c r="AU306" s="267">
        <f t="shared" si="286"/>
        <v>2128</v>
      </c>
      <c r="AV306" s="267">
        <f t="shared" si="287"/>
        <v>2081</v>
      </c>
      <c r="AW306" s="267">
        <f t="shared" si="288"/>
        <v>2033</v>
      </c>
      <c r="AX306" s="267">
        <f t="shared" si="289"/>
        <v>1999</v>
      </c>
      <c r="AY306" s="267">
        <f t="shared" si="290"/>
        <v>2044</v>
      </c>
      <c r="AZ306" s="267">
        <f t="shared" si="291"/>
        <v>2040</v>
      </c>
      <c r="BA306" s="267">
        <f t="shared" si="292"/>
        <v>2011</v>
      </c>
      <c r="BB306" s="267">
        <f t="shared" si="293"/>
        <v>2112</v>
      </c>
      <c r="BC306" s="267">
        <f t="shared" si="294"/>
        <v>2128</v>
      </c>
      <c r="BD306" s="267">
        <f t="shared" si="295"/>
        <v>2081</v>
      </c>
      <c r="BE306" s="267">
        <f t="shared" si="296"/>
        <v>2033</v>
      </c>
      <c r="BF306" s="267">
        <f t="shared" si="297"/>
        <v>1999</v>
      </c>
      <c r="BG306" s="269">
        <f>AY306*VLOOKUP($B306,'Major Cities &amp; Towns'!$A$28:$B$345,2,FALSE)</f>
        <v>2044</v>
      </c>
      <c r="BH306" s="269">
        <f>AZ306*VLOOKUP($B306,'Major Cities &amp; Towns'!$A$28:$B$345,2,FALSE)</f>
        <v>2040</v>
      </c>
      <c r="BI306" s="269">
        <f>BA306*VLOOKUP($B306,'Major Cities &amp; Towns'!$A$28:$B$345,2,FALSE)</f>
        <v>2011</v>
      </c>
      <c r="BJ306" s="269">
        <f>BB306*VLOOKUP($B306,'Major Cities &amp; Towns'!$A$28:$B$345,2,FALSE)</f>
        <v>2112</v>
      </c>
      <c r="BK306" s="269">
        <f>BC306*VLOOKUP($B306,'Major Cities &amp; Towns'!$A$28:$B$345,2,FALSE)</f>
        <v>2128</v>
      </c>
      <c r="BL306" s="269">
        <f>BD306*VLOOKUP($B306,'Major Cities &amp; Towns'!$A$28:$B$345,2,FALSE)</f>
        <v>2081</v>
      </c>
      <c r="BM306" s="269">
        <f>BE306*VLOOKUP($B306,'Major Cities &amp; Towns'!$A$28:$B$345,2,FALSE)</f>
        <v>2033</v>
      </c>
      <c r="BN306" s="269">
        <f>BF306*VLOOKUP($B306,'Major Cities &amp; Towns'!$A$28:$B$345,2,FALSE)</f>
        <v>1999</v>
      </c>
      <c r="BO306" s="270">
        <f t="shared" si="298"/>
        <v>2044</v>
      </c>
      <c r="BP306" s="270">
        <f t="shared" si="299"/>
        <v>2040.0000000000002</v>
      </c>
      <c r="BQ306" s="270">
        <f t="shared" si="300"/>
        <v>2011</v>
      </c>
      <c r="BR306" s="270">
        <f t="shared" si="301"/>
        <v>2112</v>
      </c>
      <c r="BS306" s="270">
        <f t="shared" si="302"/>
        <v>2128</v>
      </c>
      <c r="BT306" s="270">
        <f t="shared" si="303"/>
        <v>2081</v>
      </c>
      <c r="BU306" s="270">
        <f t="shared" si="304"/>
        <v>2033</v>
      </c>
      <c r="BV306" s="270">
        <f t="shared" si="305"/>
        <v>1999</v>
      </c>
      <c r="BW306" s="39">
        <f>VLOOKUP($A306,NetAdditions!$A$2:$H$336,6,FALSE)</f>
        <v>2699</v>
      </c>
      <c r="BX306" s="39">
        <f>VLOOKUP($A306,NetAdditions!$A$2:$H$336,7,FALSE)</f>
        <v>1800</v>
      </c>
      <c r="BY306" s="39">
        <f>IF((VLOOKUP($C306,NetAdditions!$A$2:$H$336,8,FALSE))="",(AVERAGE(VLOOKUP($C306,NetAdditions!$A$2:$H$336,5,FALSE),VLOOKUP($C306,NetAdditions!$A$2:$H$336,6,FALSE),VLOOKUP($C306,NetAdditions!$A$2:$H$336,7,FALSE))),VLOOKUP($C306,NetAdditions!$A$2:$H$336,8,FALSE))</f>
        <v>2846</v>
      </c>
      <c r="BZ306" s="39">
        <f t="shared" si="306"/>
        <v>2448.3333333333335</v>
      </c>
      <c r="CA306" s="39">
        <f t="shared" si="307"/>
        <v>2364.7777777777778</v>
      </c>
      <c r="CB306" s="39">
        <f t="shared" si="308"/>
        <v>2553.037037037037</v>
      </c>
      <c r="CC306" s="39">
        <f t="shared" si="309"/>
        <v>2455.3827160493825</v>
      </c>
      <c r="CD306" s="39">
        <f t="shared" si="310"/>
        <v>2457.7325102880659</v>
      </c>
      <c r="CE306" s="276">
        <f t="shared" si="267"/>
        <v>6095</v>
      </c>
      <c r="CF306" s="276">
        <f t="shared" si="268"/>
        <v>6163</v>
      </c>
      <c r="CG306" s="276">
        <f t="shared" si="269"/>
        <v>6251</v>
      </c>
      <c r="CH306" s="276">
        <f t="shared" si="270"/>
        <v>6321</v>
      </c>
      <c r="CI306" s="276">
        <f t="shared" si="271"/>
        <v>6242</v>
      </c>
      <c r="CJ306" s="276">
        <f t="shared" si="272"/>
        <v>6113</v>
      </c>
      <c r="CK306" s="276">
        <f t="shared" si="311"/>
        <v>5248.4722222222226</v>
      </c>
      <c r="CL306" s="276">
        <f t="shared" si="312"/>
        <v>5307.0277777777783</v>
      </c>
      <c r="CM306" s="276">
        <f t="shared" si="313"/>
        <v>5730.083333333333</v>
      </c>
      <c r="CN306" s="276">
        <f t="shared" si="314"/>
        <v>6321</v>
      </c>
      <c r="CO306" s="276">
        <f t="shared" si="315"/>
        <v>6242</v>
      </c>
      <c r="CP306" s="276">
        <f t="shared" si="316"/>
        <v>6113</v>
      </c>
      <c r="CQ306" s="39">
        <f t="shared" si="273"/>
        <v>7345</v>
      </c>
      <c r="CR306" s="39">
        <f t="shared" si="274"/>
        <v>7094.3333333333339</v>
      </c>
      <c r="CS306" s="277">
        <f t="shared" si="275"/>
        <v>7659.1111111111113</v>
      </c>
      <c r="CT306" s="39">
        <f t="shared" si="276"/>
        <v>7366.1481481481478</v>
      </c>
      <c r="CU306" s="39">
        <f t="shared" si="277"/>
        <v>7373.1975308641977</v>
      </c>
      <c r="CV306" s="39">
        <f t="shared" si="317"/>
        <v>7466.1522633744853</v>
      </c>
      <c r="CW306" s="297">
        <f t="shared" si="278"/>
        <v>1.3994548678186773</v>
      </c>
      <c r="CX306" s="279" t="str">
        <f t="shared" si="318"/>
        <v>Pass</v>
      </c>
      <c r="CY306" s="278">
        <f t="shared" si="279"/>
        <v>1.3367808932599854</v>
      </c>
      <c r="CZ306" s="279" t="str">
        <f t="shared" si="319"/>
        <v>Pass</v>
      </c>
      <c r="DA306" s="278">
        <f t="shared" si="280"/>
        <v>1.3366491664364006</v>
      </c>
      <c r="DB306" s="292" t="str">
        <f t="shared" si="320"/>
        <v>Pass</v>
      </c>
      <c r="DC306" s="299">
        <f t="shared" si="321"/>
        <v>1.1653453801848044</v>
      </c>
      <c r="DD306" s="293" t="str">
        <f t="shared" si="322"/>
        <v>Pass</v>
      </c>
      <c r="DE306" s="299">
        <f t="shared" si="323"/>
        <v>1.1812235711092915</v>
      </c>
      <c r="DF306" s="293" t="str">
        <f t="shared" si="324"/>
        <v>Pass</v>
      </c>
      <c r="DG306" s="299">
        <f t="shared" si="325"/>
        <v>1.2213564965441657</v>
      </c>
      <c r="DH306" s="293" t="str">
        <f t="shared" si="326"/>
        <v>Pass</v>
      </c>
    </row>
    <row r="307" spans="1:112" ht="15" thickTop="1" thickBot="1">
      <c r="A307" s="38" t="s">
        <v>724</v>
      </c>
      <c r="B307" s="38" t="s">
        <v>725</v>
      </c>
      <c r="C307" s="38" t="s">
        <v>724</v>
      </c>
      <c r="D307" s="38" t="s">
        <v>113</v>
      </c>
      <c r="E307" s="38" t="str">
        <f>VLOOKUP(C307,PoliticalControl!A:K,11,FALSE)</f>
        <v>LD</v>
      </c>
      <c r="F307" s="38" t="str">
        <f>VLOOKUP(C307,UrbanRuralClassification!A:N,13,FALSE)</f>
        <v xml:space="preserve">Largely Rural (rural including hub towns 50-79%) </v>
      </c>
      <c r="G307" s="38" t="str">
        <f>VLOOKUP(C307,UrbanRuralClassification!A:N,14,FALSE)</f>
        <v>Predominantly Rural</v>
      </c>
      <c r="H307" s="258">
        <f>IF(ISBLANK((VLOOKUP($A307,'local-plan-data'!$C$1:$AD$566,27,FALSE)))=TRUE,"",VLOOKUP($A307,'local-plan-data'!$C$1:$AD$566,27,FALSE))</f>
        <v>41353</v>
      </c>
      <c r="I307" s="259">
        <f>VLOOKUP($A307,'local-plan-data'!$C$1:$AD$566,28,FALSE)</f>
        <v>625</v>
      </c>
      <c r="J307" s="260">
        <f t="shared" si="281"/>
        <v>625</v>
      </c>
      <c r="K307" s="259" t="str">
        <f t="shared" si="331"/>
        <v>-</v>
      </c>
      <c r="L307" s="259" t="str">
        <f t="shared" si="329"/>
        <v>-</v>
      </c>
      <c r="M307" s="259" t="str">
        <f t="shared" si="329"/>
        <v>-</v>
      </c>
      <c r="N307" s="259" t="str">
        <f t="shared" si="329"/>
        <v>-</v>
      </c>
      <c r="O307" s="259" t="str">
        <f t="shared" si="329"/>
        <v>-</v>
      </c>
      <c r="P307" s="259" t="str">
        <f t="shared" si="329"/>
        <v>-</v>
      </c>
      <c r="Q307" s="259" t="str">
        <f t="shared" si="329"/>
        <v>-</v>
      </c>
      <c r="R307" s="259" t="str">
        <f t="shared" si="329"/>
        <v>-</v>
      </c>
      <c r="S307" s="259">
        <f t="shared" si="332"/>
        <v>-12</v>
      </c>
      <c r="T307" s="259">
        <f t="shared" si="330"/>
        <v>-377</v>
      </c>
      <c r="U307" s="259">
        <f t="shared" si="330"/>
        <v>-743</v>
      </c>
      <c r="V307" s="259">
        <f t="shared" si="330"/>
        <v>-1108</v>
      </c>
      <c r="W307" s="259">
        <f t="shared" si="330"/>
        <v>-1473</v>
      </c>
      <c r="X307" s="259">
        <f t="shared" si="330"/>
        <v>-1838</v>
      </c>
      <c r="Y307" s="259">
        <f t="shared" si="330"/>
        <v>-2204</v>
      </c>
      <c r="Z307" s="259">
        <f t="shared" si="330"/>
        <v>-2569</v>
      </c>
      <c r="AA307" s="267">
        <f>(VLOOKUP(A307,Hshldprojections2014!$A$2:$AW$319,40, FALSE)-VLOOKUP(A307,Hshldprojections2014!$A$2:$AW$319,30, FALSE))/10</f>
        <v>438.8</v>
      </c>
      <c r="AB307" s="267">
        <f>(VLOOKUP(A307,Hshldprojections2014!$A$2:$AW$319,41, FALSE)-VLOOKUP(A307,Hshldprojections2014!$A$2:$AW$319,31, FALSE))/10</f>
        <v>439.1</v>
      </c>
      <c r="AC307" s="267">
        <f>(VLOOKUP(A307,Hshldprojections2014!$A$2:$AW$319,42, FALSE)-VLOOKUP(A307,Hshldprojections2014!$A$2:$AW$319,32, FALSE))/10</f>
        <v>437.8</v>
      </c>
      <c r="AD307" s="267">
        <f>IF(IndividualLATest!$J$7=2014,(VLOOKUP($A307,Hshldprojections2014!$A$2:$AY$326,43,FALSE)-VLOOKUP($A307,Hshldprojections2014!$A$2:$AY$326,33,FALSE))/10,IF(IndividualLATest!$J$7=2016,(VLOOKUP($A307,Hshldprojections2016!$A$1:$AQ$322,33,FALSE)-VLOOKUP($A307,Hshldprojections2016!$A$1:$AQ$322,23,FALSE))/10,(VLOOKUP($A307,Hshldprojections2018!$A$1:$AQ$327,33,FALSE)-VLOOKUP($A307,Hshldprojections2018!$A$1:$AQ$327,23,FALSE))/10))</f>
        <v>377</v>
      </c>
      <c r="AE307" s="267">
        <f>IF(IndividualLATest!$J$7=2014,(VLOOKUP($A307,Hshldprojections2014!$A$2:$AY$326,44,FALSE)-VLOOKUP($A307,Hshldprojections2014!$A$2:$AY$326,34,FALSE))/10,IF(IndividualLATest!$J$7=2016,(VLOOKUP($A307,Hshldprojections2016!$A$1:$AQ$322,34,FALSE)-VLOOKUP($A307,Hshldprojections2016!$A$1:$AQ$322,24,FALSE))/10,(VLOOKUP($A307,Hshldprojections2018!$A$1:$AQ$327,34,FALSE)-VLOOKUP($A307,Hshldprojections2018!$A$1:$AQ$327,24,FALSE))/10))</f>
        <v>371.6</v>
      </c>
      <c r="AF307" s="267">
        <f>IF(IndividualLATest!$J$7=2014,(VLOOKUP($A307,Hshldprojections2014!$A$2:$AY$326,45,FALSE)-VLOOKUP($A307,Hshldprojections2014!$A$2:$AY$326,35,FALSE))/10,IF(IndividualLATest!$J$7=2016,(VLOOKUP($A307,Hshldprojections2016!$A$1:$AQ$322,35,FALSE)-VLOOKUP($A307,Hshldprojections2016!$A$1:$AQ$322,25,FALSE))/10,(VLOOKUP($A307,Hshldprojections2018!$A$1:$AQ$327,35,FALSE)-VLOOKUP($A307,Hshldprojections2018!$A$1:$AQ$327,25,FALSE))/10))</f>
        <v>363.7</v>
      </c>
      <c r="AG307" s="267">
        <f>IF(IndividualLATest!$J$7=2014,(VLOOKUP($A307,Hshldprojections2014!$A$2:$AY$326,46,FALSE)-VLOOKUP($A307,Hshldprojections2014!$A$2:$AY$326,36,FALSE))/10,IF(IndividualLATest!$J$7=2016,(VLOOKUP($A307,Hshldprojections2016!$A$1:$AQ$322,36,FALSE)-VLOOKUP($A307,Hshldprojections2016!$A$1:$AQ$322,26,FALSE))/10,(VLOOKUP($A307,Hshldprojections2018!$A$1:$AQ$327,36,FALSE)-VLOOKUP($A307,Hshldprojections2018!$A$1:$AQ$327,26,FALSE))/10))</f>
        <v>352.5</v>
      </c>
      <c r="AH307" s="267">
        <f>IF(IndividualLATest!$J$7=2014,(VLOOKUP($A307,Hshldprojections2014!$A$2:$AY$326,47,FALSE)-VLOOKUP($A307,Hshldprojections2014!$A$2:$AY$326,37,FALSE))/10,IF(IndividualLATest!$J$7=2016,(VLOOKUP($A307,Hshldprojections2016!$A$1:$AQ$322,37,FALSE)-VLOOKUP($A307,Hshldprojections2016!$A$1:$AQ$322,27,FALSE))/10,(VLOOKUP($A307,Hshldprojections2018!$A$1:$AQ$327,37,FALSE)-VLOOKUP($A307,Hshldprojections2018!$A$1:$AQ$327,27,FALSE))/10))</f>
        <v>342</v>
      </c>
      <c r="AI307" s="268">
        <f>VLOOKUP($A307,AffordabilityRatio!$A$2:$I$321,5,FALSE)</f>
        <v>12.15</v>
      </c>
      <c r="AJ307" s="268">
        <f>VLOOKUP($A307,AffordabilityRatio!$A$2:$I$321,6,FALSE)</f>
        <v>12.19</v>
      </c>
      <c r="AK307" s="268">
        <f>VLOOKUP($A307,AffordabilityRatio!$A$2:$I$321,7,FALSE)</f>
        <v>13.03</v>
      </c>
      <c r="AL307" s="268">
        <f>IF((VLOOKUP($A307,AffordabilityRatio!$A$2:$I$321,8,FALSE))="",AK307,VLOOKUP($A307,AffordabilityRatio!$A$2:$I$321,8,FALSE))</f>
        <v>12.34</v>
      </c>
      <c r="AM307" s="268">
        <f>IF((VLOOKUP($A307,AffordabilityRatio!$A$2:$I$321,9,FALSE))="",AL307,VLOOKUP($A307,AffordabilityRatio!$A$2:$I$321,9,FALSE))</f>
        <v>14.14</v>
      </c>
      <c r="AN307" s="268">
        <f>IF((VLOOKUP($A307,AffordabilityRatio!$A$2:$I$321,9,FALSE))="",AM307,VLOOKUP($A307,AffordabilityRatio!$A$2:$I$321,9,FALSE))</f>
        <v>14.14</v>
      </c>
      <c r="AO307" s="268">
        <f>IF((VLOOKUP($A307,AffordabilityRatio!$A$2:$I$321,9,FALSE))="",AN307,VLOOKUP($A307,AffordabilityRatio!$A$2:$I$321,9,FALSE))</f>
        <v>14.14</v>
      </c>
      <c r="AP307" s="268">
        <f>IF((VLOOKUP($A307,AffordabilityRatio!$A$2:$I$321,9,FALSE))="",AO307,VLOOKUP($A307,AffordabilityRatio!$A$2:$I$321,9,FALSE))</f>
        <v>14.14</v>
      </c>
      <c r="AQ307" s="267">
        <f t="shared" si="282"/>
        <v>662</v>
      </c>
      <c r="AR307" s="267">
        <f t="shared" si="283"/>
        <v>664</v>
      </c>
      <c r="AS307" s="267">
        <f t="shared" si="284"/>
        <v>685</v>
      </c>
      <c r="AT307" s="267">
        <f t="shared" si="285"/>
        <v>574</v>
      </c>
      <c r="AU307" s="267">
        <f t="shared" si="286"/>
        <v>607</v>
      </c>
      <c r="AV307" s="267">
        <f t="shared" si="287"/>
        <v>594</v>
      </c>
      <c r="AW307" s="267">
        <f t="shared" si="288"/>
        <v>576</v>
      </c>
      <c r="AX307" s="267">
        <f t="shared" si="289"/>
        <v>559</v>
      </c>
      <c r="AY307" s="267">
        <f t="shared" si="290"/>
        <v>662</v>
      </c>
      <c r="AZ307" s="267">
        <f t="shared" si="291"/>
        <v>664</v>
      </c>
      <c r="BA307" s="267">
        <f t="shared" si="292"/>
        <v>685</v>
      </c>
      <c r="BB307" s="267">
        <f t="shared" si="293"/>
        <v>574</v>
      </c>
      <c r="BC307" s="267">
        <f t="shared" si="294"/>
        <v>607</v>
      </c>
      <c r="BD307" s="267">
        <f t="shared" si="295"/>
        <v>594</v>
      </c>
      <c r="BE307" s="267">
        <f t="shared" si="296"/>
        <v>576</v>
      </c>
      <c r="BF307" s="267">
        <f t="shared" si="297"/>
        <v>559</v>
      </c>
      <c r="BG307" s="269">
        <f>AY307*VLOOKUP($B307,'Major Cities &amp; Towns'!$A$28:$B$345,2,FALSE)</f>
        <v>662</v>
      </c>
      <c r="BH307" s="269">
        <f>AZ307*VLOOKUP($B307,'Major Cities &amp; Towns'!$A$28:$B$345,2,FALSE)</f>
        <v>664</v>
      </c>
      <c r="BI307" s="269">
        <f>BA307*VLOOKUP($B307,'Major Cities &amp; Towns'!$A$28:$B$345,2,FALSE)</f>
        <v>685</v>
      </c>
      <c r="BJ307" s="269">
        <f>BB307*VLOOKUP($B307,'Major Cities &amp; Towns'!$A$28:$B$345,2,FALSE)</f>
        <v>574</v>
      </c>
      <c r="BK307" s="269">
        <f>BC307*VLOOKUP($B307,'Major Cities &amp; Towns'!$A$28:$B$345,2,FALSE)</f>
        <v>607</v>
      </c>
      <c r="BL307" s="269">
        <f>BD307*VLOOKUP($B307,'Major Cities &amp; Towns'!$A$28:$B$345,2,FALSE)</f>
        <v>594</v>
      </c>
      <c r="BM307" s="269">
        <f>BE307*VLOOKUP($B307,'Major Cities &amp; Towns'!$A$28:$B$345,2,FALSE)</f>
        <v>576</v>
      </c>
      <c r="BN307" s="269">
        <f>BF307*VLOOKUP($B307,'Major Cities &amp; Towns'!$A$28:$B$345,2,FALSE)</f>
        <v>559</v>
      </c>
      <c r="BO307" s="270">
        <f t="shared" si="298"/>
        <v>662</v>
      </c>
      <c r="BP307" s="270">
        <f t="shared" si="299"/>
        <v>664</v>
      </c>
      <c r="BQ307" s="270">
        <f t="shared" si="300"/>
        <v>685</v>
      </c>
      <c r="BR307" s="270">
        <f t="shared" si="301"/>
        <v>574</v>
      </c>
      <c r="BS307" s="270">
        <f t="shared" si="302"/>
        <v>607</v>
      </c>
      <c r="BT307" s="270">
        <f t="shared" si="303"/>
        <v>594</v>
      </c>
      <c r="BU307" s="270">
        <f t="shared" si="304"/>
        <v>576</v>
      </c>
      <c r="BV307" s="270">
        <f t="shared" si="305"/>
        <v>559</v>
      </c>
      <c r="BW307" s="39">
        <f>VLOOKUP($A307,NetAdditions!$A$2:$H$336,6,FALSE)</f>
        <v>810</v>
      </c>
      <c r="BX307" s="39">
        <f>VLOOKUP($A307,NetAdditions!$A$2:$H$336,7,FALSE)</f>
        <v>636</v>
      </c>
      <c r="BY307" s="39">
        <f>IF((VLOOKUP($C307,NetAdditions!$A$2:$H$336,8,FALSE))="",(AVERAGE(VLOOKUP($C307,NetAdditions!$A$2:$H$336,5,FALSE),VLOOKUP($C307,NetAdditions!$A$2:$H$336,6,FALSE),VLOOKUP($C307,NetAdditions!$A$2:$H$336,7,FALSE))),VLOOKUP($C307,NetAdditions!$A$2:$H$336,8,FALSE))</f>
        <v>804</v>
      </c>
      <c r="BZ307" s="39">
        <f t="shared" si="306"/>
        <v>750</v>
      </c>
      <c r="CA307" s="39">
        <f t="shared" si="307"/>
        <v>730</v>
      </c>
      <c r="CB307" s="39">
        <f t="shared" si="308"/>
        <v>761.33333333333337</v>
      </c>
      <c r="CC307" s="39">
        <f t="shared" si="309"/>
        <v>747.1111111111112</v>
      </c>
      <c r="CD307" s="39">
        <f t="shared" si="310"/>
        <v>746.14814814814827</v>
      </c>
      <c r="CE307" s="276">
        <f t="shared" si="267"/>
        <v>2011</v>
      </c>
      <c r="CF307" s="276">
        <f t="shared" si="268"/>
        <v>1923</v>
      </c>
      <c r="CG307" s="276">
        <f t="shared" si="269"/>
        <v>1866</v>
      </c>
      <c r="CH307" s="276">
        <f t="shared" si="270"/>
        <v>1775</v>
      </c>
      <c r="CI307" s="276">
        <f t="shared" si="271"/>
        <v>1777</v>
      </c>
      <c r="CJ307" s="276">
        <f t="shared" si="272"/>
        <v>1729</v>
      </c>
      <c r="CK307" s="276">
        <f t="shared" si="311"/>
        <v>1731.6944444444446</v>
      </c>
      <c r="CL307" s="276">
        <f t="shared" si="312"/>
        <v>1655.9166666666667</v>
      </c>
      <c r="CM307" s="276">
        <f t="shared" si="313"/>
        <v>1710.5</v>
      </c>
      <c r="CN307" s="276">
        <f t="shared" si="314"/>
        <v>1775</v>
      </c>
      <c r="CO307" s="276">
        <f t="shared" si="315"/>
        <v>1777</v>
      </c>
      <c r="CP307" s="276">
        <f t="shared" si="316"/>
        <v>1729</v>
      </c>
      <c r="CQ307" s="39">
        <f t="shared" si="273"/>
        <v>2250</v>
      </c>
      <c r="CR307" s="39">
        <f t="shared" si="274"/>
        <v>2190</v>
      </c>
      <c r="CS307" s="277">
        <f t="shared" si="275"/>
        <v>2284</v>
      </c>
      <c r="CT307" s="39">
        <f t="shared" si="276"/>
        <v>2241.3333333333335</v>
      </c>
      <c r="CU307" s="39">
        <f t="shared" si="277"/>
        <v>2238.4444444444448</v>
      </c>
      <c r="CV307" s="39">
        <f t="shared" si="317"/>
        <v>2254.5925925925931</v>
      </c>
      <c r="CW307" s="297">
        <f t="shared" si="278"/>
        <v>1.2993054330216069</v>
      </c>
      <c r="CX307" s="279" t="str">
        <f t="shared" si="318"/>
        <v>Pass</v>
      </c>
      <c r="CY307" s="278">
        <f t="shared" si="279"/>
        <v>1.3225303205676613</v>
      </c>
      <c r="CZ307" s="279" t="str">
        <f t="shared" si="319"/>
        <v>Pass</v>
      </c>
      <c r="DA307" s="278">
        <f t="shared" si="280"/>
        <v>1.3352820812627886</v>
      </c>
      <c r="DB307" s="292" t="str">
        <f t="shared" si="320"/>
        <v>Pass</v>
      </c>
      <c r="DC307" s="299">
        <f t="shared" si="321"/>
        <v>1.2627230046948357</v>
      </c>
      <c r="DD307" s="293" t="str">
        <f t="shared" si="322"/>
        <v>Pass</v>
      </c>
      <c r="DE307" s="299">
        <f t="shared" si="323"/>
        <v>1.2596761082973802</v>
      </c>
      <c r="DF307" s="293" t="str">
        <f t="shared" si="324"/>
        <v>Pass</v>
      </c>
      <c r="DG307" s="299">
        <f t="shared" si="325"/>
        <v>1.3039864618811989</v>
      </c>
      <c r="DH307" s="293" t="str">
        <f t="shared" si="326"/>
        <v>Pass</v>
      </c>
    </row>
    <row r="308" spans="1:112" ht="15" thickTop="1" thickBot="1">
      <c r="A308" s="38" t="s">
        <v>726</v>
      </c>
      <c r="B308" s="38" t="s">
        <v>727</v>
      </c>
      <c r="C308" s="38" t="s">
        <v>726</v>
      </c>
      <c r="D308" s="38" t="s">
        <v>113</v>
      </c>
      <c r="E308" s="38" t="str">
        <f>VLOOKUP(C308,PoliticalControl!A:K,11,FALSE)</f>
        <v>CON</v>
      </c>
      <c r="F308" s="38" t="str">
        <f>VLOOKUP(C308,UrbanRuralClassification!A:N,13,FALSE)</f>
        <v>Urban with City and Town</v>
      </c>
      <c r="G308" s="38" t="str">
        <f>VLOOKUP(C308,UrbanRuralClassification!A:N,14,FALSE)</f>
        <v>Predominantly Urban</v>
      </c>
      <c r="H308" s="258" t="str">
        <f>IF(ISBLANK((VLOOKUP($A308,'local-plan-data'!$C$1:$AD$566,27,FALSE)))=TRUE,"",VLOOKUP($A308,'local-plan-data'!$C$1:$AD$566,27,FALSE))</f>
        <v/>
      </c>
      <c r="I308" s="259">
        <f>VLOOKUP($A308,'local-plan-data'!$C$1:$AD$566,28,FALSE)</f>
        <v>712</v>
      </c>
      <c r="J308" s="260">
        <f t="shared" si="281"/>
        <v>712</v>
      </c>
      <c r="K308" s="259" t="str">
        <f t="shared" si="331"/>
        <v>-</v>
      </c>
      <c r="L308" s="259" t="str">
        <f t="shared" si="329"/>
        <v>-</v>
      </c>
      <c r="M308" s="259" t="str">
        <f t="shared" si="329"/>
        <v>-</v>
      </c>
      <c r="N308" s="259" t="str">
        <f t="shared" si="329"/>
        <v>-</v>
      </c>
      <c r="O308" s="259" t="str">
        <f t="shared" si="329"/>
        <v>-</v>
      </c>
      <c r="P308" s="259" t="str">
        <f t="shared" si="329"/>
        <v>-</v>
      </c>
      <c r="Q308" s="259" t="str">
        <f t="shared" si="329"/>
        <v>-</v>
      </c>
      <c r="R308" s="259" t="str">
        <f t="shared" si="329"/>
        <v>-</v>
      </c>
      <c r="S308" s="259" t="str">
        <f t="shared" si="332"/>
        <v>-</v>
      </c>
      <c r="T308" s="259" t="str">
        <f t="shared" si="330"/>
        <v>-</v>
      </c>
      <c r="U308" s="259" t="str">
        <f t="shared" si="330"/>
        <v>-</v>
      </c>
      <c r="V308" s="259" t="str">
        <f t="shared" si="330"/>
        <v>-</v>
      </c>
      <c r="W308" s="259" t="str">
        <f t="shared" si="330"/>
        <v>-</v>
      </c>
      <c r="X308" s="259" t="str">
        <f t="shared" si="330"/>
        <v>-</v>
      </c>
      <c r="Y308" s="259" t="str">
        <f t="shared" si="330"/>
        <v>-</v>
      </c>
      <c r="Z308" s="259" t="str">
        <f t="shared" si="330"/>
        <v>-</v>
      </c>
      <c r="AA308" s="267">
        <f>(VLOOKUP(A308,Hshldprojections2014!$A$2:$AW$319,40, FALSE)-VLOOKUP(A308,Hshldprojections2014!$A$2:$AW$319,30, FALSE))/10</f>
        <v>548.20000000000005</v>
      </c>
      <c r="AB308" s="267">
        <f>(VLOOKUP(A308,Hshldprojections2014!$A$2:$AW$319,41, FALSE)-VLOOKUP(A308,Hshldprojections2014!$A$2:$AW$319,31, FALSE))/10</f>
        <v>543.29999999999995</v>
      </c>
      <c r="AC308" s="267">
        <f>(VLOOKUP(A308,Hshldprojections2014!$A$2:$AW$319,42, FALSE)-VLOOKUP(A308,Hshldprojections2014!$A$2:$AW$319,32, FALSE))/10</f>
        <v>538.6</v>
      </c>
      <c r="AD308" s="267">
        <f>IF(IndividualLATest!$J$7=2014,(VLOOKUP($A308,Hshldprojections2014!$A$2:$AY$326,43,FALSE)-VLOOKUP($A308,Hshldprojections2014!$A$2:$AY$326,33,FALSE))/10,IF(IndividualLATest!$J$7=2016,(VLOOKUP($A308,Hshldprojections2016!$A$1:$AQ$322,33,FALSE)-VLOOKUP($A308,Hshldprojections2016!$A$1:$AQ$322,23,FALSE))/10,(VLOOKUP($A308,Hshldprojections2018!$A$1:$AQ$327,33,FALSE)-VLOOKUP($A308,Hshldprojections2018!$A$1:$AQ$327,23,FALSE))/10))</f>
        <v>284</v>
      </c>
      <c r="AE308" s="267">
        <f>IF(IndividualLATest!$J$7=2014,(VLOOKUP($A308,Hshldprojections2014!$A$2:$AY$326,44,FALSE)-VLOOKUP($A308,Hshldprojections2014!$A$2:$AY$326,34,FALSE))/10,IF(IndividualLATest!$J$7=2016,(VLOOKUP($A308,Hshldprojections2016!$A$1:$AQ$322,34,FALSE)-VLOOKUP($A308,Hshldprojections2016!$A$1:$AQ$322,24,FALSE))/10,(VLOOKUP($A308,Hshldprojections2018!$A$1:$AQ$327,34,FALSE)-VLOOKUP($A308,Hshldprojections2018!$A$1:$AQ$327,24,FALSE))/10))</f>
        <v>271.8</v>
      </c>
      <c r="AF308" s="267">
        <f>IF(IndividualLATest!$J$7=2014,(VLOOKUP($A308,Hshldprojections2014!$A$2:$AY$326,45,FALSE)-VLOOKUP($A308,Hshldprojections2014!$A$2:$AY$326,35,FALSE))/10,IF(IndividualLATest!$J$7=2016,(VLOOKUP($A308,Hshldprojections2016!$A$1:$AQ$322,35,FALSE)-VLOOKUP($A308,Hshldprojections2016!$A$1:$AQ$322,25,FALSE))/10,(VLOOKUP($A308,Hshldprojections2018!$A$1:$AQ$327,35,FALSE)-VLOOKUP($A308,Hshldprojections2018!$A$1:$AQ$327,25,FALSE))/10))</f>
        <v>261.3</v>
      </c>
      <c r="AG308" s="267">
        <f>IF(IndividualLATest!$J$7=2014,(VLOOKUP($A308,Hshldprojections2014!$A$2:$AY$326,46,FALSE)-VLOOKUP($A308,Hshldprojections2014!$A$2:$AY$326,36,FALSE))/10,IF(IndividualLATest!$J$7=2016,(VLOOKUP($A308,Hshldprojections2016!$A$1:$AQ$322,36,FALSE)-VLOOKUP($A308,Hshldprojections2016!$A$1:$AQ$322,26,FALSE))/10,(VLOOKUP($A308,Hshldprojections2018!$A$1:$AQ$327,36,FALSE)-VLOOKUP($A308,Hshldprojections2018!$A$1:$AQ$327,26,FALSE))/10))</f>
        <v>251.7</v>
      </c>
      <c r="AH308" s="267">
        <f>IF(IndividualLATest!$J$7=2014,(VLOOKUP($A308,Hshldprojections2014!$A$2:$AY$326,47,FALSE)-VLOOKUP($A308,Hshldprojections2014!$A$2:$AY$326,37,FALSE))/10,IF(IndividualLATest!$J$7=2016,(VLOOKUP($A308,Hshldprojections2016!$A$1:$AQ$322,37,FALSE)-VLOOKUP($A308,Hshldprojections2016!$A$1:$AQ$322,27,FALSE))/10,(VLOOKUP($A308,Hshldprojections2018!$A$1:$AQ$327,37,FALSE)-VLOOKUP($A308,Hshldprojections2018!$A$1:$AQ$327,27,FALSE))/10))</f>
        <v>247</v>
      </c>
      <c r="AI308" s="268">
        <f>VLOOKUP($A308,AffordabilityRatio!$A$2:$I$321,5,FALSE)</f>
        <v>13.79</v>
      </c>
      <c r="AJ308" s="268">
        <f>VLOOKUP($A308,AffordabilityRatio!$A$2:$I$321,6,FALSE)</f>
        <v>13.2</v>
      </c>
      <c r="AK308" s="268">
        <f>VLOOKUP($A308,AffordabilityRatio!$A$2:$I$321,7,FALSE)</f>
        <v>13.91</v>
      </c>
      <c r="AL308" s="268">
        <f>IF((VLOOKUP($A308,AffordabilityRatio!$A$2:$I$321,8,FALSE))="",AK308,VLOOKUP($A308,AffordabilityRatio!$A$2:$I$321,8,FALSE))</f>
        <v>14.29</v>
      </c>
      <c r="AM308" s="268">
        <f>IF((VLOOKUP($A308,AffordabilityRatio!$A$2:$I$321,9,FALSE))="",AL308,VLOOKUP($A308,AffordabilityRatio!$A$2:$I$321,9,FALSE))</f>
        <v>15.21</v>
      </c>
      <c r="AN308" s="268">
        <f>IF((VLOOKUP($A308,AffordabilityRatio!$A$2:$I$321,9,FALSE))="",AM308,VLOOKUP($A308,AffordabilityRatio!$A$2:$I$321,9,FALSE))</f>
        <v>15.21</v>
      </c>
      <c r="AO308" s="268">
        <f>IF((VLOOKUP($A308,AffordabilityRatio!$A$2:$I$321,9,FALSE))="",AN308,VLOOKUP($A308,AffordabilityRatio!$A$2:$I$321,9,FALSE))</f>
        <v>15.21</v>
      </c>
      <c r="AP308" s="268">
        <f>IF((VLOOKUP($A308,AffordabilityRatio!$A$2:$I$321,9,FALSE))="",AO308,VLOOKUP($A308,AffordabilityRatio!$A$2:$I$321,9,FALSE))</f>
        <v>15.21</v>
      </c>
      <c r="AQ308" s="267">
        <f t="shared" si="282"/>
        <v>884</v>
      </c>
      <c r="AR308" s="267">
        <f t="shared" si="283"/>
        <v>856</v>
      </c>
      <c r="AS308" s="267">
        <f t="shared" si="284"/>
        <v>872</v>
      </c>
      <c r="AT308" s="267">
        <f t="shared" si="285"/>
        <v>467</v>
      </c>
      <c r="AU308" s="267">
        <f t="shared" si="286"/>
        <v>462</v>
      </c>
      <c r="AV308" s="267">
        <f t="shared" si="287"/>
        <v>444</v>
      </c>
      <c r="AW308" s="267">
        <f t="shared" si="288"/>
        <v>428</v>
      </c>
      <c r="AX308" s="267">
        <f t="shared" si="289"/>
        <v>420</v>
      </c>
      <c r="AY308" s="267">
        <f t="shared" si="290"/>
        <v>884</v>
      </c>
      <c r="AZ308" s="267">
        <f t="shared" si="291"/>
        <v>856</v>
      </c>
      <c r="BA308" s="267">
        <f t="shared" si="292"/>
        <v>872</v>
      </c>
      <c r="BB308" s="267">
        <f t="shared" si="293"/>
        <v>467</v>
      </c>
      <c r="BC308" s="267">
        <f t="shared" si="294"/>
        <v>462</v>
      </c>
      <c r="BD308" s="267">
        <f t="shared" si="295"/>
        <v>444</v>
      </c>
      <c r="BE308" s="267">
        <f t="shared" si="296"/>
        <v>428</v>
      </c>
      <c r="BF308" s="267">
        <f t="shared" si="297"/>
        <v>420</v>
      </c>
      <c r="BG308" s="269">
        <f>AY308*VLOOKUP($B308,'Major Cities &amp; Towns'!$A$28:$B$345,2,FALSE)</f>
        <v>884</v>
      </c>
      <c r="BH308" s="269">
        <f>AZ308*VLOOKUP($B308,'Major Cities &amp; Towns'!$A$28:$B$345,2,FALSE)</f>
        <v>856</v>
      </c>
      <c r="BI308" s="269">
        <f>BA308*VLOOKUP($B308,'Major Cities &amp; Towns'!$A$28:$B$345,2,FALSE)</f>
        <v>872</v>
      </c>
      <c r="BJ308" s="269">
        <f>BB308*VLOOKUP($B308,'Major Cities &amp; Towns'!$A$28:$B$345,2,FALSE)</f>
        <v>467</v>
      </c>
      <c r="BK308" s="269">
        <f>BC308*VLOOKUP($B308,'Major Cities &amp; Towns'!$A$28:$B$345,2,FALSE)</f>
        <v>462</v>
      </c>
      <c r="BL308" s="269">
        <f>BD308*VLOOKUP($B308,'Major Cities &amp; Towns'!$A$28:$B$345,2,FALSE)</f>
        <v>444</v>
      </c>
      <c r="BM308" s="269">
        <f>BE308*VLOOKUP($B308,'Major Cities &amp; Towns'!$A$28:$B$345,2,FALSE)</f>
        <v>428</v>
      </c>
      <c r="BN308" s="269">
        <f>BF308*VLOOKUP($B308,'Major Cities &amp; Towns'!$A$28:$B$345,2,FALSE)</f>
        <v>420</v>
      </c>
      <c r="BO308" s="270">
        <f t="shared" si="298"/>
        <v>884</v>
      </c>
      <c r="BP308" s="270">
        <f t="shared" si="299"/>
        <v>856</v>
      </c>
      <c r="BQ308" s="270">
        <f t="shared" si="300"/>
        <v>872</v>
      </c>
      <c r="BR308" s="270">
        <f t="shared" si="301"/>
        <v>467</v>
      </c>
      <c r="BS308" s="270">
        <f t="shared" si="302"/>
        <v>462</v>
      </c>
      <c r="BT308" s="270">
        <f t="shared" si="303"/>
        <v>444</v>
      </c>
      <c r="BU308" s="270">
        <f t="shared" si="304"/>
        <v>428</v>
      </c>
      <c r="BV308" s="270">
        <f t="shared" si="305"/>
        <v>420</v>
      </c>
      <c r="BW308" s="39">
        <f>VLOOKUP($A308,NetAdditions!$A$2:$H$336,6,FALSE)</f>
        <v>654</v>
      </c>
      <c r="BX308" s="39">
        <f>VLOOKUP($A308,NetAdditions!$A$2:$H$336,7,FALSE)</f>
        <v>404</v>
      </c>
      <c r="BY308" s="39">
        <f>IF((VLOOKUP($C308,NetAdditions!$A$2:$H$336,8,FALSE))="",(AVERAGE(VLOOKUP($C308,NetAdditions!$A$2:$H$336,5,FALSE),VLOOKUP($C308,NetAdditions!$A$2:$H$336,6,FALSE),VLOOKUP($C308,NetAdditions!$A$2:$H$336,7,FALSE))),VLOOKUP($C308,NetAdditions!$A$2:$H$336,8,FALSE))</f>
        <v>310</v>
      </c>
      <c r="BZ308" s="39">
        <f t="shared" si="306"/>
        <v>456</v>
      </c>
      <c r="CA308" s="39">
        <f t="shared" si="307"/>
        <v>390</v>
      </c>
      <c r="CB308" s="39">
        <f t="shared" si="308"/>
        <v>385.33333333333331</v>
      </c>
      <c r="CC308" s="39">
        <f t="shared" si="309"/>
        <v>410.4444444444444</v>
      </c>
      <c r="CD308" s="39">
        <f t="shared" si="310"/>
        <v>395.25925925925918</v>
      </c>
      <c r="CE308" s="276">
        <f t="shared" si="267"/>
        <v>2612</v>
      </c>
      <c r="CF308" s="276">
        <f t="shared" si="268"/>
        <v>2195</v>
      </c>
      <c r="CG308" s="276">
        <f t="shared" si="269"/>
        <v>1801</v>
      </c>
      <c r="CH308" s="276">
        <f t="shared" si="270"/>
        <v>1373</v>
      </c>
      <c r="CI308" s="276">
        <f t="shared" si="271"/>
        <v>1334</v>
      </c>
      <c r="CJ308" s="276">
        <f t="shared" si="272"/>
        <v>1292</v>
      </c>
      <c r="CK308" s="276">
        <f t="shared" si="311"/>
        <v>2249.2222222222222</v>
      </c>
      <c r="CL308" s="276">
        <f t="shared" si="312"/>
        <v>1890.1388888888889</v>
      </c>
      <c r="CM308" s="276">
        <f t="shared" si="313"/>
        <v>1650.9166666666665</v>
      </c>
      <c r="CN308" s="276">
        <f t="shared" si="314"/>
        <v>1373</v>
      </c>
      <c r="CO308" s="276">
        <f t="shared" si="315"/>
        <v>1334</v>
      </c>
      <c r="CP308" s="276">
        <f t="shared" si="316"/>
        <v>1292</v>
      </c>
      <c r="CQ308" s="39">
        <f t="shared" si="273"/>
        <v>1368</v>
      </c>
      <c r="CR308" s="39">
        <f t="shared" si="274"/>
        <v>1170</v>
      </c>
      <c r="CS308" s="277">
        <f t="shared" si="275"/>
        <v>1156</v>
      </c>
      <c r="CT308" s="39">
        <f t="shared" si="276"/>
        <v>1231.3333333333333</v>
      </c>
      <c r="CU308" s="39">
        <f t="shared" si="277"/>
        <v>1185.7777777777776</v>
      </c>
      <c r="CV308" s="39">
        <f t="shared" si="317"/>
        <v>1191.037037037037</v>
      </c>
      <c r="CW308" s="297">
        <f t="shared" si="278"/>
        <v>0.60821024551696889</v>
      </c>
      <c r="CX308" s="279" t="str">
        <f t="shared" si="318"/>
        <v>Buffer and Action Plan</v>
      </c>
      <c r="CY308" s="278">
        <f t="shared" si="279"/>
        <v>0.61900213094275847</v>
      </c>
      <c r="CZ308" s="279" t="str">
        <f t="shared" si="319"/>
        <v>Buffer and Action Plan</v>
      </c>
      <c r="DA308" s="278">
        <f t="shared" si="280"/>
        <v>0.70021705113320887</v>
      </c>
      <c r="DB308" s="292" t="str">
        <f t="shared" si="320"/>
        <v>Presumption</v>
      </c>
      <c r="DC308" s="299">
        <f t="shared" si="321"/>
        <v>0.89681961641175034</v>
      </c>
      <c r="DD308" s="293" t="str">
        <f t="shared" si="322"/>
        <v>Action Plan</v>
      </c>
      <c r="DE308" s="299">
        <f t="shared" si="323"/>
        <v>0.88888888888888873</v>
      </c>
      <c r="DF308" s="293" t="str">
        <f t="shared" si="324"/>
        <v>Action Plan</v>
      </c>
      <c r="DG308" s="299">
        <f t="shared" si="325"/>
        <v>0.92185529182433201</v>
      </c>
      <c r="DH308" s="293" t="str">
        <f t="shared" si="326"/>
        <v>Action Plan</v>
      </c>
    </row>
    <row r="309" spans="1:112" ht="15" thickTop="1" thickBot="1">
      <c r="A309" s="38" t="s">
        <v>728</v>
      </c>
      <c r="B309" s="38" t="s">
        <v>729</v>
      </c>
      <c r="C309" s="38" t="s">
        <v>728</v>
      </c>
      <c r="D309" s="38" t="s">
        <v>116</v>
      </c>
      <c r="E309" s="38" t="str">
        <f>VLOOKUP(C309,PoliticalControl!A:K,11,FALSE)</f>
        <v>NOC</v>
      </c>
      <c r="F309" s="38" t="str">
        <f>VLOOKUP(C309,UrbanRuralClassification!A:N,13,FALSE)</f>
        <v>Urban with Major Conurbation</v>
      </c>
      <c r="G309" s="38" t="str">
        <f>VLOOKUP(C309,UrbanRuralClassification!A:N,14,FALSE)</f>
        <v>Predominantly Urban</v>
      </c>
      <c r="H309" s="258" t="str">
        <f>IF(ISBLANK((VLOOKUP($A309,'local-plan-data'!$C$1:$AD$566,27,FALSE)))=TRUE,"",VLOOKUP($A309,'local-plan-data'!$C$1:$AD$566,27,FALSE))</f>
        <v/>
      </c>
      <c r="I309" s="259">
        <f>VLOOKUP($A309,'local-plan-data'!$C$1:$AD$566,28,FALSE)</f>
        <v>1117.0588235294117</v>
      </c>
      <c r="J309" s="260">
        <f t="shared" si="281"/>
        <v>1117.0588235294117</v>
      </c>
      <c r="K309" s="259" t="str">
        <f t="shared" si="331"/>
        <v>-</v>
      </c>
      <c r="L309" s="259" t="str">
        <f t="shared" si="329"/>
        <v>-</v>
      </c>
      <c r="M309" s="259" t="str">
        <f t="shared" si="329"/>
        <v>-</v>
      </c>
      <c r="N309" s="259" t="str">
        <f t="shared" si="329"/>
        <v>-</v>
      </c>
      <c r="O309" s="259" t="str">
        <f t="shared" si="329"/>
        <v>-</v>
      </c>
      <c r="P309" s="259" t="str">
        <f t="shared" si="329"/>
        <v>-</v>
      </c>
      <c r="Q309" s="259" t="str">
        <f t="shared" si="329"/>
        <v>-</v>
      </c>
      <c r="R309" s="259" t="str">
        <f t="shared" si="329"/>
        <v>-</v>
      </c>
      <c r="S309" s="259" t="str">
        <f t="shared" si="332"/>
        <v>-</v>
      </c>
      <c r="T309" s="259" t="str">
        <f t="shared" si="330"/>
        <v>-</v>
      </c>
      <c r="U309" s="259" t="str">
        <f t="shared" si="330"/>
        <v>-</v>
      </c>
      <c r="V309" s="259" t="str">
        <f t="shared" si="330"/>
        <v>-</v>
      </c>
      <c r="W309" s="259" t="str">
        <f t="shared" si="330"/>
        <v>-</v>
      </c>
      <c r="X309" s="259" t="str">
        <f t="shared" si="330"/>
        <v>-</v>
      </c>
      <c r="Y309" s="259" t="str">
        <f t="shared" si="330"/>
        <v>-</v>
      </c>
      <c r="Z309" s="259" t="str">
        <f t="shared" si="330"/>
        <v>-</v>
      </c>
      <c r="AA309" s="267">
        <f>(VLOOKUP(A309,Hshldprojections2014!$A$2:$AW$319,40, FALSE)-VLOOKUP(A309,Hshldprojections2014!$A$2:$AW$319,30, FALSE))/10</f>
        <v>708.9</v>
      </c>
      <c r="AB309" s="267">
        <f>(VLOOKUP(A309,Hshldprojections2014!$A$2:$AW$319,41, FALSE)-VLOOKUP(A309,Hshldprojections2014!$A$2:$AW$319,31, FALSE))/10</f>
        <v>699.6</v>
      </c>
      <c r="AC309" s="267">
        <f>(VLOOKUP(A309,Hshldprojections2014!$A$2:$AW$319,42, FALSE)-VLOOKUP(A309,Hshldprojections2014!$A$2:$AW$319,32, FALSE))/10</f>
        <v>684.7</v>
      </c>
      <c r="AD309" s="267">
        <f>IF(IndividualLATest!$J$7=2014,(VLOOKUP($A309,Hshldprojections2014!$A$2:$AY$326,43,FALSE)-VLOOKUP($A309,Hshldprojections2014!$A$2:$AY$326,33,FALSE))/10,IF(IndividualLATest!$J$7=2016,(VLOOKUP($A309,Hshldprojections2016!$A$1:$AQ$322,33,FALSE)-VLOOKUP($A309,Hshldprojections2016!$A$1:$AQ$322,23,FALSE))/10,(VLOOKUP($A309,Hshldprojections2018!$A$1:$AQ$327,33,FALSE)-VLOOKUP($A309,Hshldprojections2018!$A$1:$AQ$327,23,FALSE))/10))</f>
        <v>606.79999999999995</v>
      </c>
      <c r="AE309" s="267">
        <f>IF(IndividualLATest!$J$7=2014,(VLOOKUP($A309,Hshldprojections2014!$A$2:$AY$326,44,FALSE)-VLOOKUP($A309,Hshldprojections2014!$A$2:$AY$326,34,FALSE))/10,IF(IndividualLATest!$J$7=2016,(VLOOKUP($A309,Hshldprojections2016!$A$1:$AQ$322,34,FALSE)-VLOOKUP($A309,Hshldprojections2016!$A$1:$AQ$322,24,FALSE))/10,(VLOOKUP($A309,Hshldprojections2018!$A$1:$AQ$327,34,FALSE)-VLOOKUP($A309,Hshldprojections2018!$A$1:$AQ$327,24,FALSE))/10))</f>
        <v>597</v>
      </c>
      <c r="AF309" s="267">
        <f>IF(IndividualLATest!$J$7=2014,(VLOOKUP($A309,Hshldprojections2014!$A$2:$AY$326,45,FALSE)-VLOOKUP($A309,Hshldprojections2014!$A$2:$AY$326,35,FALSE))/10,IF(IndividualLATest!$J$7=2016,(VLOOKUP($A309,Hshldprojections2016!$A$1:$AQ$322,35,FALSE)-VLOOKUP($A309,Hshldprojections2016!$A$1:$AQ$322,25,FALSE))/10,(VLOOKUP($A309,Hshldprojections2018!$A$1:$AQ$327,35,FALSE)-VLOOKUP($A309,Hshldprojections2018!$A$1:$AQ$327,25,FALSE))/10))</f>
        <v>586.70000000000005</v>
      </c>
      <c r="AG309" s="267">
        <f>IF(IndividualLATest!$J$7=2014,(VLOOKUP($A309,Hshldprojections2014!$A$2:$AY$326,46,FALSE)-VLOOKUP($A309,Hshldprojections2014!$A$2:$AY$326,36,FALSE))/10,IF(IndividualLATest!$J$7=2016,(VLOOKUP($A309,Hshldprojections2016!$A$1:$AQ$322,36,FALSE)-VLOOKUP($A309,Hshldprojections2016!$A$1:$AQ$322,26,FALSE))/10,(VLOOKUP($A309,Hshldprojections2018!$A$1:$AQ$327,36,FALSE)-VLOOKUP($A309,Hshldprojections2018!$A$1:$AQ$327,26,FALSE))/10))</f>
        <v>580.6</v>
      </c>
      <c r="AH309" s="267">
        <f>IF(IndividualLATest!$J$7=2014,(VLOOKUP($A309,Hshldprojections2014!$A$2:$AY$326,47,FALSE)-VLOOKUP($A309,Hshldprojections2014!$A$2:$AY$326,37,FALSE))/10,IF(IndividualLATest!$J$7=2016,(VLOOKUP($A309,Hshldprojections2016!$A$1:$AQ$322,37,FALSE)-VLOOKUP($A309,Hshldprojections2016!$A$1:$AQ$322,27,FALSE))/10,(VLOOKUP($A309,Hshldprojections2018!$A$1:$AQ$327,37,FALSE)-VLOOKUP($A309,Hshldprojections2018!$A$1:$AQ$327,27,FALSE))/10))</f>
        <v>575.70000000000005</v>
      </c>
      <c r="AI309" s="268">
        <f>VLOOKUP($A309,AffordabilityRatio!$A$2:$I$321,5,FALSE)</f>
        <v>5.92</v>
      </c>
      <c r="AJ309" s="268">
        <f>VLOOKUP($A309,AffordabilityRatio!$A$2:$I$321,6,FALSE)</f>
        <v>6.22</v>
      </c>
      <c r="AK309" s="268">
        <f>VLOOKUP($A309,AffordabilityRatio!$A$2:$I$321,7,FALSE)</f>
        <v>6.21</v>
      </c>
      <c r="AL309" s="268">
        <f>IF((VLOOKUP($A309,AffordabilityRatio!$A$2:$I$321,8,FALSE))="",AK309,VLOOKUP($A309,AffordabilityRatio!$A$2:$I$321,8,FALSE))</f>
        <v>6.25</v>
      </c>
      <c r="AM309" s="268">
        <f>IF((VLOOKUP($A309,AffordabilityRatio!$A$2:$I$321,9,FALSE))="",AL309,VLOOKUP($A309,AffordabilityRatio!$A$2:$I$321,9,FALSE))</f>
        <v>7.22</v>
      </c>
      <c r="AN309" s="268">
        <f>IF((VLOOKUP($A309,AffordabilityRatio!$A$2:$I$321,9,FALSE))="",AM309,VLOOKUP($A309,AffordabilityRatio!$A$2:$I$321,9,FALSE))</f>
        <v>7.22</v>
      </c>
      <c r="AO309" s="268">
        <f>IF((VLOOKUP($A309,AffordabilityRatio!$A$2:$I$321,9,FALSE))="",AN309,VLOOKUP($A309,AffordabilityRatio!$A$2:$I$321,9,FALSE))</f>
        <v>7.22</v>
      </c>
      <c r="AP309" s="268">
        <f>IF((VLOOKUP($A309,AffordabilityRatio!$A$2:$I$321,9,FALSE))="",AO309,VLOOKUP($A309,AffordabilityRatio!$A$2:$I$321,9,FALSE))</f>
        <v>7.22</v>
      </c>
      <c r="AQ309" s="267">
        <f t="shared" si="282"/>
        <v>794</v>
      </c>
      <c r="AR309" s="267">
        <f t="shared" si="283"/>
        <v>797</v>
      </c>
      <c r="AS309" s="267">
        <f t="shared" si="284"/>
        <v>779</v>
      </c>
      <c r="AT309" s="267">
        <f t="shared" si="285"/>
        <v>692</v>
      </c>
      <c r="AU309" s="267">
        <f t="shared" si="286"/>
        <v>717</v>
      </c>
      <c r="AV309" s="267">
        <f t="shared" si="287"/>
        <v>705</v>
      </c>
      <c r="AW309" s="267">
        <f t="shared" si="288"/>
        <v>697</v>
      </c>
      <c r="AX309" s="267">
        <f t="shared" si="289"/>
        <v>692</v>
      </c>
      <c r="AY309" s="267">
        <f t="shared" si="290"/>
        <v>794</v>
      </c>
      <c r="AZ309" s="267">
        <f t="shared" si="291"/>
        <v>797</v>
      </c>
      <c r="BA309" s="267">
        <f t="shared" si="292"/>
        <v>779</v>
      </c>
      <c r="BB309" s="267">
        <f t="shared" si="293"/>
        <v>692</v>
      </c>
      <c r="BC309" s="267">
        <f t="shared" si="294"/>
        <v>717</v>
      </c>
      <c r="BD309" s="267">
        <f t="shared" si="295"/>
        <v>705</v>
      </c>
      <c r="BE309" s="267">
        <f t="shared" si="296"/>
        <v>697</v>
      </c>
      <c r="BF309" s="267">
        <f t="shared" si="297"/>
        <v>692</v>
      </c>
      <c r="BG309" s="269">
        <f>AY309*VLOOKUP($B309,'Major Cities &amp; Towns'!$A$28:$B$345,2,FALSE)</f>
        <v>794</v>
      </c>
      <c r="BH309" s="269">
        <f>AZ309*VLOOKUP($B309,'Major Cities &amp; Towns'!$A$28:$B$345,2,FALSE)</f>
        <v>797</v>
      </c>
      <c r="BI309" s="269">
        <f>BA309*VLOOKUP($B309,'Major Cities &amp; Towns'!$A$28:$B$345,2,FALSE)</f>
        <v>779</v>
      </c>
      <c r="BJ309" s="269">
        <f>BB309*VLOOKUP($B309,'Major Cities &amp; Towns'!$A$28:$B$345,2,FALSE)</f>
        <v>692</v>
      </c>
      <c r="BK309" s="269">
        <f>BC309*VLOOKUP($B309,'Major Cities &amp; Towns'!$A$28:$B$345,2,FALSE)</f>
        <v>717</v>
      </c>
      <c r="BL309" s="269">
        <f>BD309*VLOOKUP($B309,'Major Cities &amp; Towns'!$A$28:$B$345,2,FALSE)</f>
        <v>705</v>
      </c>
      <c r="BM309" s="269">
        <f>BE309*VLOOKUP($B309,'Major Cities &amp; Towns'!$A$28:$B$345,2,FALSE)</f>
        <v>697</v>
      </c>
      <c r="BN309" s="269">
        <f>BF309*VLOOKUP($B309,'Major Cities &amp; Towns'!$A$28:$B$345,2,FALSE)</f>
        <v>692</v>
      </c>
      <c r="BO309" s="270">
        <f t="shared" si="298"/>
        <v>794</v>
      </c>
      <c r="BP309" s="270">
        <f t="shared" si="299"/>
        <v>797</v>
      </c>
      <c r="BQ309" s="270">
        <f t="shared" si="300"/>
        <v>779</v>
      </c>
      <c r="BR309" s="270">
        <f t="shared" si="301"/>
        <v>692</v>
      </c>
      <c r="BS309" s="270">
        <f t="shared" si="302"/>
        <v>717</v>
      </c>
      <c r="BT309" s="270">
        <f t="shared" si="303"/>
        <v>705</v>
      </c>
      <c r="BU309" s="270">
        <f t="shared" si="304"/>
        <v>697</v>
      </c>
      <c r="BV309" s="270">
        <f t="shared" si="305"/>
        <v>692</v>
      </c>
      <c r="BW309" s="39">
        <f>VLOOKUP($A309,NetAdditions!$A$2:$H$336,6,FALSE)</f>
        <v>643</v>
      </c>
      <c r="BX309" s="39">
        <f>VLOOKUP($A309,NetAdditions!$A$2:$H$336,7,FALSE)</f>
        <v>747</v>
      </c>
      <c r="BY309" s="39">
        <f>IF((VLOOKUP($C309,NetAdditions!$A$2:$H$336,8,FALSE))="",(AVERAGE(VLOOKUP($C309,NetAdditions!$A$2:$H$336,5,FALSE),VLOOKUP($C309,NetAdditions!$A$2:$H$336,6,FALSE),VLOOKUP($C309,NetAdditions!$A$2:$H$336,7,FALSE))),VLOOKUP($C309,NetAdditions!$A$2:$H$336,8,FALSE))</f>
        <v>574</v>
      </c>
      <c r="BZ309" s="39">
        <f t="shared" si="306"/>
        <v>654.66666666666663</v>
      </c>
      <c r="CA309" s="39">
        <f t="shared" si="307"/>
        <v>658.55555555555554</v>
      </c>
      <c r="CB309" s="39">
        <f t="shared" si="308"/>
        <v>629.07407407407402</v>
      </c>
      <c r="CC309" s="39">
        <f t="shared" si="309"/>
        <v>647.43209876543199</v>
      </c>
      <c r="CD309" s="39">
        <f t="shared" si="310"/>
        <v>645.02057613168711</v>
      </c>
      <c r="CE309" s="276">
        <f t="shared" si="267"/>
        <v>2370</v>
      </c>
      <c r="CF309" s="276">
        <f t="shared" si="268"/>
        <v>2268</v>
      </c>
      <c r="CG309" s="276">
        <f t="shared" si="269"/>
        <v>2188</v>
      </c>
      <c r="CH309" s="276">
        <f t="shared" si="270"/>
        <v>2114</v>
      </c>
      <c r="CI309" s="276">
        <f t="shared" si="271"/>
        <v>2119</v>
      </c>
      <c r="CJ309" s="276">
        <f t="shared" si="272"/>
        <v>2094</v>
      </c>
      <c r="CK309" s="276">
        <f t="shared" si="311"/>
        <v>2040.8333333333335</v>
      </c>
      <c r="CL309" s="276">
        <f t="shared" si="312"/>
        <v>1953</v>
      </c>
      <c r="CM309" s="276">
        <f t="shared" si="313"/>
        <v>2005.6666666666665</v>
      </c>
      <c r="CN309" s="276">
        <f t="shared" si="314"/>
        <v>2114</v>
      </c>
      <c r="CO309" s="276">
        <f t="shared" si="315"/>
        <v>2119</v>
      </c>
      <c r="CP309" s="276">
        <f t="shared" si="316"/>
        <v>2094</v>
      </c>
      <c r="CQ309" s="39">
        <f t="shared" si="273"/>
        <v>1964</v>
      </c>
      <c r="CR309" s="39">
        <f t="shared" si="274"/>
        <v>1975.6666666666665</v>
      </c>
      <c r="CS309" s="277">
        <f t="shared" si="275"/>
        <v>1887.2222222222222</v>
      </c>
      <c r="CT309" s="39">
        <f t="shared" si="276"/>
        <v>1942.2962962962961</v>
      </c>
      <c r="CU309" s="39">
        <f t="shared" si="277"/>
        <v>1935.0617283950614</v>
      </c>
      <c r="CV309" s="39">
        <f t="shared" si="317"/>
        <v>1921.5267489711932</v>
      </c>
      <c r="CW309" s="297">
        <f t="shared" si="278"/>
        <v>0.96235198040016323</v>
      </c>
      <c r="CX309" s="279" t="str">
        <f t="shared" si="318"/>
        <v>Pass</v>
      </c>
      <c r="CY309" s="278">
        <f t="shared" si="279"/>
        <v>1.011606076122205</v>
      </c>
      <c r="CZ309" s="279" t="str">
        <f t="shared" si="319"/>
        <v>Pass</v>
      </c>
      <c r="DA309" s="278">
        <f t="shared" si="280"/>
        <v>0.94094509999446019</v>
      </c>
      <c r="DB309" s="292" t="str">
        <f t="shared" si="320"/>
        <v>Action Plan</v>
      </c>
      <c r="DC309" s="299">
        <f t="shared" si="321"/>
        <v>0.91877781281754778</v>
      </c>
      <c r="DD309" s="293" t="str">
        <f t="shared" si="322"/>
        <v>Action Plan</v>
      </c>
      <c r="DE309" s="299">
        <f t="shared" si="323"/>
        <v>0.91319571892169016</v>
      </c>
      <c r="DF309" s="293" t="str">
        <f t="shared" si="324"/>
        <v>Action Plan</v>
      </c>
      <c r="DG309" s="299">
        <f t="shared" si="325"/>
        <v>0.91763455060706456</v>
      </c>
      <c r="DH309" s="293" t="str">
        <f t="shared" si="326"/>
        <v>Action Plan</v>
      </c>
    </row>
    <row r="310" spans="1:112" ht="15" thickTop="1" thickBot="1">
      <c r="A310" s="38" t="s">
        <v>730</v>
      </c>
      <c r="B310" s="38" t="s">
        <v>731</v>
      </c>
      <c r="C310" s="38" t="s">
        <v>730</v>
      </c>
      <c r="D310" s="38" t="s">
        <v>113</v>
      </c>
      <c r="E310" s="38" t="str">
        <f>VLOOKUP(C310,PoliticalControl!A:K,11,FALSE)</f>
        <v>NOC</v>
      </c>
      <c r="F310" s="38" t="str">
        <f>VLOOKUP(C310,UrbanRuralClassification!A:N,13,FALSE)</f>
        <v>Urban with Major Conurbation</v>
      </c>
      <c r="G310" s="38" t="str">
        <f>VLOOKUP(C310,UrbanRuralClassification!A:N,14,FALSE)</f>
        <v>Predominantly Urban</v>
      </c>
      <c r="H310" s="258">
        <f>IF(ISBLANK((VLOOKUP($A310,'local-plan-data'!$C$1:$AD$566,27,FALSE)))=TRUE,"",VLOOKUP($A310,'local-plan-data'!$C$1:$AD$566,27,FALSE))</f>
        <v>41207</v>
      </c>
      <c r="I310" s="259">
        <f>VLOOKUP($A310,'local-plan-data'!$C$1:$AD$566,28,FALSE)</f>
        <v>292</v>
      </c>
      <c r="J310" s="260">
        <f t="shared" si="281"/>
        <v>292</v>
      </c>
      <c r="K310" s="259" t="str">
        <f t="shared" si="331"/>
        <v>-</v>
      </c>
      <c r="L310" s="259" t="str">
        <f t="shared" si="329"/>
        <v>-</v>
      </c>
      <c r="M310" s="259" t="str">
        <f t="shared" si="329"/>
        <v>-</v>
      </c>
      <c r="N310" s="259" t="str">
        <f t="shared" si="329"/>
        <v>-</v>
      </c>
      <c r="O310" s="259" t="str">
        <f t="shared" si="329"/>
        <v>-</v>
      </c>
      <c r="P310" s="259" t="str">
        <f t="shared" si="329"/>
        <v>-</v>
      </c>
      <c r="Q310" s="259" t="str">
        <f t="shared" si="329"/>
        <v>-</v>
      </c>
      <c r="R310" s="259" t="str">
        <f t="shared" si="329"/>
        <v>-</v>
      </c>
      <c r="S310" s="259">
        <f t="shared" si="332"/>
        <v>-158</v>
      </c>
      <c r="T310" s="259">
        <f t="shared" si="330"/>
        <v>-523</v>
      </c>
      <c r="U310" s="259">
        <f t="shared" si="330"/>
        <v>-889</v>
      </c>
      <c r="V310" s="259">
        <f t="shared" si="330"/>
        <v>-1254</v>
      </c>
      <c r="W310" s="259">
        <f t="shared" si="330"/>
        <v>-1619</v>
      </c>
      <c r="X310" s="259">
        <f t="shared" si="330"/>
        <v>-1984</v>
      </c>
      <c r="Y310" s="259">
        <f t="shared" si="330"/>
        <v>-2350</v>
      </c>
      <c r="Z310" s="259">
        <f t="shared" si="330"/>
        <v>-2715</v>
      </c>
      <c r="AA310" s="267">
        <f>(VLOOKUP(A310,Hshldprojections2014!$A$2:$AW$319,40, FALSE)-VLOOKUP(A310,Hshldprojections2014!$A$2:$AW$319,30, FALSE))/10</f>
        <v>307.60000000000002</v>
      </c>
      <c r="AB310" s="267">
        <f>(VLOOKUP(A310,Hshldprojections2014!$A$2:$AW$319,41, FALSE)-VLOOKUP(A310,Hshldprojections2014!$A$2:$AW$319,31, FALSE))/10</f>
        <v>307.5</v>
      </c>
      <c r="AC310" s="267">
        <f>(VLOOKUP(A310,Hshldprojections2014!$A$2:$AW$319,42, FALSE)-VLOOKUP(A310,Hshldprojections2014!$A$2:$AW$319,32, FALSE))/10</f>
        <v>308</v>
      </c>
      <c r="AD310" s="267">
        <f>IF(IndividualLATest!$J$7=2014,(VLOOKUP($A310,Hshldprojections2014!$A$2:$AY$326,43,FALSE)-VLOOKUP($A310,Hshldprojections2014!$A$2:$AY$326,33,FALSE))/10,IF(IndividualLATest!$J$7=2016,(VLOOKUP($A310,Hshldprojections2016!$A$1:$AQ$322,33,FALSE)-VLOOKUP($A310,Hshldprojections2016!$A$1:$AQ$322,23,FALSE))/10,(VLOOKUP($A310,Hshldprojections2018!$A$1:$AQ$327,33,FALSE)-VLOOKUP($A310,Hshldprojections2018!$A$1:$AQ$327,23,FALSE))/10))</f>
        <v>77.400000000000006</v>
      </c>
      <c r="AE310" s="267">
        <f>IF(IndividualLATest!$J$7=2014,(VLOOKUP($A310,Hshldprojections2014!$A$2:$AY$326,44,FALSE)-VLOOKUP($A310,Hshldprojections2014!$A$2:$AY$326,34,FALSE))/10,IF(IndividualLATest!$J$7=2016,(VLOOKUP($A310,Hshldprojections2016!$A$1:$AQ$322,34,FALSE)-VLOOKUP($A310,Hshldprojections2016!$A$1:$AQ$322,24,FALSE))/10,(VLOOKUP($A310,Hshldprojections2018!$A$1:$AQ$327,34,FALSE)-VLOOKUP($A310,Hshldprojections2018!$A$1:$AQ$327,24,FALSE))/10))</f>
        <v>74.900000000000006</v>
      </c>
      <c r="AF310" s="267">
        <f>IF(IndividualLATest!$J$7=2014,(VLOOKUP($A310,Hshldprojections2014!$A$2:$AY$326,45,FALSE)-VLOOKUP($A310,Hshldprojections2014!$A$2:$AY$326,35,FALSE))/10,IF(IndividualLATest!$J$7=2016,(VLOOKUP($A310,Hshldprojections2016!$A$1:$AQ$322,35,FALSE)-VLOOKUP($A310,Hshldprojections2016!$A$1:$AQ$322,25,FALSE))/10,(VLOOKUP($A310,Hshldprojections2018!$A$1:$AQ$327,35,FALSE)-VLOOKUP($A310,Hshldprojections2018!$A$1:$AQ$327,25,FALSE))/10))</f>
        <v>73.2</v>
      </c>
      <c r="AG310" s="267">
        <f>IF(IndividualLATest!$J$7=2014,(VLOOKUP($A310,Hshldprojections2014!$A$2:$AY$326,46,FALSE)-VLOOKUP($A310,Hshldprojections2014!$A$2:$AY$326,36,FALSE))/10,IF(IndividualLATest!$J$7=2016,(VLOOKUP($A310,Hshldprojections2016!$A$1:$AQ$322,36,FALSE)-VLOOKUP($A310,Hshldprojections2016!$A$1:$AQ$322,26,FALSE))/10,(VLOOKUP($A310,Hshldprojections2018!$A$1:$AQ$327,36,FALSE)-VLOOKUP($A310,Hshldprojections2018!$A$1:$AQ$327,26,FALSE))/10))</f>
        <v>71.400000000000006</v>
      </c>
      <c r="AH310" s="267">
        <f>IF(IndividualLATest!$J$7=2014,(VLOOKUP($A310,Hshldprojections2014!$A$2:$AY$326,47,FALSE)-VLOOKUP($A310,Hshldprojections2014!$A$2:$AY$326,37,FALSE))/10,IF(IndividualLATest!$J$7=2016,(VLOOKUP($A310,Hshldprojections2016!$A$1:$AQ$322,37,FALSE)-VLOOKUP($A310,Hshldprojections2016!$A$1:$AQ$322,27,FALSE))/10,(VLOOKUP($A310,Hshldprojections2018!$A$1:$AQ$327,37,FALSE)-VLOOKUP($A310,Hshldprojections2018!$A$1:$AQ$327,27,FALSE))/10))</f>
        <v>71.599999999999994</v>
      </c>
      <c r="AI310" s="268">
        <f>VLOOKUP($A310,AffordabilityRatio!$A$2:$I$321,5,FALSE)</f>
        <v>12.24</v>
      </c>
      <c r="AJ310" s="268">
        <f>VLOOKUP($A310,AffordabilityRatio!$A$2:$I$321,6,FALSE)</f>
        <v>11.85</v>
      </c>
      <c r="AK310" s="268">
        <f>VLOOKUP($A310,AffordabilityRatio!$A$2:$I$321,7,FALSE)</f>
        <v>10.49</v>
      </c>
      <c r="AL310" s="268">
        <f>IF((VLOOKUP($A310,AffordabilityRatio!$A$2:$I$321,8,FALSE))="",AK310,VLOOKUP($A310,AffordabilityRatio!$A$2:$I$321,8,FALSE))</f>
        <v>10.220000000000001</v>
      </c>
      <c r="AM310" s="268">
        <f>IF((VLOOKUP($A310,AffordabilityRatio!$A$2:$I$321,9,FALSE))="",AL310,VLOOKUP($A310,AffordabilityRatio!$A$2:$I$321,9,FALSE))</f>
        <v>13.12</v>
      </c>
      <c r="AN310" s="268">
        <f>IF((VLOOKUP($A310,AffordabilityRatio!$A$2:$I$321,9,FALSE))="",AM310,VLOOKUP($A310,AffordabilityRatio!$A$2:$I$321,9,FALSE))</f>
        <v>13.12</v>
      </c>
      <c r="AO310" s="268">
        <f>IF((VLOOKUP($A310,AffordabilityRatio!$A$2:$I$321,9,FALSE))="",AN310,VLOOKUP($A310,AffordabilityRatio!$A$2:$I$321,9,FALSE))</f>
        <v>13.12</v>
      </c>
      <c r="AP310" s="268">
        <f>IF((VLOOKUP($A310,AffordabilityRatio!$A$2:$I$321,9,FALSE))="",AO310,VLOOKUP($A310,AffordabilityRatio!$A$2:$I$321,9,FALSE))</f>
        <v>13.12</v>
      </c>
      <c r="AQ310" s="267">
        <f t="shared" si="282"/>
        <v>466</v>
      </c>
      <c r="AR310" s="267">
        <f t="shared" si="283"/>
        <v>458</v>
      </c>
      <c r="AS310" s="267">
        <f t="shared" si="284"/>
        <v>433</v>
      </c>
      <c r="AT310" s="267">
        <f t="shared" si="285"/>
        <v>107</v>
      </c>
      <c r="AU310" s="267">
        <f t="shared" si="286"/>
        <v>118</v>
      </c>
      <c r="AV310" s="267">
        <f t="shared" si="287"/>
        <v>115</v>
      </c>
      <c r="AW310" s="267">
        <f t="shared" si="288"/>
        <v>112</v>
      </c>
      <c r="AX310" s="267">
        <f t="shared" si="289"/>
        <v>112</v>
      </c>
      <c r="AY310" s="267">
        <f t="shared" si="290"/>
        <v>430.64000000000004</v>
      </c>
      <c r="AZ310" s="267">
        <f t="shared" si="291"/>
        <v>430.5</v>
      </c>
      <c r="BA310" s="267">
        <f t="shared" si="292"/>
        <v>431.2</v>
      </c>
      <c r="BB310" s="267">
        <f t="shared" si="293"/>
        <v>107</v>
      </c>
      <c r="BC310" s="267">
        <f t="shared" si="294"/>
        <v>118</v>
      </c>
      <c r="BD310" s="267">
        <f t="shared" si="295"/>
        <v>115</v>
      </c>
      <c r="BE310" s="267">
        <f t="shared" si="296"/>
        <v>112</v>
      </c>
      <c r="BF310" s="267">
        <f t="shared" si="297"/>
        <v>112</v>
      </c>
      <c r="BG310" s="269">
        <f>AY310*VLOOKUP($B310,'Major Cities &amp; Towns'!$A$28:$B$345,2,FALSE)</f>
        <v>430.64000000000004</v>
      </c>
      <c r="BH310" s="269">
        <f>AZ310*VLOOKUP($B310,'Major Cities &amp; Towns'!$A$28:$B$345,2,FALSE)</f>
        <v>430.5</v>
      </c>
      <c r="BI310" s="269">
        <f>BA310*VLOOKUP($B310,'Major Cities &amp; Towns'!$A$28:$B$345,2,FALSE)</f>
        <v>431.2</v>
      </c>
      <c r="BJ310" s="269">
        <f>BB310*VLOOKUP($B310,'Major Cities &amp; Towns'!$A$28:$B$345,2,FALSE)</f>
        <v>107</v>
      </c>
      <c r="BK310" s="269">
        <f>BC310*VLOOKUP($B310,'Major Cities &amp; Towns'!$A$28:$B$345,2,FALSE)</f>
        <v>118</v>
      </c>
      <c r="BL310" s="269">
        <f>BD310*VLOOKUP($B310,'Major Cities &amp; Towns'!$A$28:$B$345,2,FALSE)</f>
        <v>115</v>
      </c>
      <c r="BM310" s="269">
        <f>BE310*VLOOKUP($B310,'Major Cities &amp; Towns'!$A$28:$B$345,2,FALSE)</f>
        <v>112</v>
      </c>
      <c r="BN310" s="269">
        <f>BF310*VLOOKUP($B310,'Major Cities &amp; Towns'!$A$28:$B$345,2,FALSE)</f>
        <v>112</v>
      </c>
      <c r="BO310" s="270">
        <f t="shared" si="298"/>
        <v>466</v>
      </c>
      <c r="BP310" s="270">
        <f t="shared" si="299"/>
        <v>458</v>
      </c>
      <c r="BQ310" s="270">
        <f t="shared" si="300"/>
        <v>433</v>
      </c>
      <c r="BR310" s="270">
        <f t="shared" si="301"/>
        <v>107</v>
      </c>
      <c r="BS310" s="270">
        <f t="shared" si="302"/>
        <v>118</v>
      </c>
      <c r="BT310" s="270">
        <f t="shared" si="303"/>
        <v>115</v>
      </c>
      <c r="BU310" s="270">
        <f t="shared" si="304"/>
        <v>112</v>
      </c>
      <c r="BV310" s="270">
        <f t="shared" si="305"/>
        <v>112</v>
      </c>
      <c r="BW310" s="39">
        <f>VLOOKUP($A310,NetAdditions!$A$2:$H$336,6,FALSE)</f>
        <v>231</v>
      </c>
      <c r="BX310" s="39">
        <f>VLOOKUP($A310,NetAdditions!$A$2:$H$336,7,FALSE)</f>
        <v>292</v>
      </c>
      <c r="BY310" s="39">
        <f>IF((VLOOKUP($C310,NetAdditions!$A$2:$H$336,8,FALSE))="",(AVERAGE(VLOOKUP($C310,NetAdditions!$A$2:$H$336,5,FALSE),VLOOKUP($C310,NetAdditions!$A$2:$H$336,6,FALSE),VLOOKUP($C310,NetAdditions!$A$2:$H$336,7,FALSE))),VLOOKUP($C310,NetAdditions!$A$2:$H$336,8,FALSE))</f>
        <v>141</v>
      </c>
      <c r="BZ310" s="39">
        <f t="shared" si="306"/>
        <v>221.33333333333334</v>
      </c>
      <c r="CA310" s="39">
        <f t="shared" si="307"/>
        <v>218.11111111111111</v>
      </c>
      <c r="CB310" s="39">
        <f t="shared" si="308"/>
        <v>193.4814814814815</v>
      </c>
      <c r="CC310" s="39">
        <f t="shared" si="309"/>
        <v>210.97530864197532</v>
      </c>
      <c r="CD310" s="39">
        <f t="shared" si="310"/>
        <v>207.52263374485597</v>
      </c>
      <c r="CE310" s="276">
        <f t="shared" si="267"/>
        <v>1357</v>
      </c>
      <c r="CF310" s="276">
        <f t="shared" si="268"/>
        <v>998</v>
      </c>
      <c r="CG310" s="276">
        <f t="shared" si="269"/>
        <v>658</v>
      </c>
      <c r="CH310" s="276">
        <f t="shared" si="270"/>
        <v>340</v>
      </c>
      <c r="CI310" s="276">
        <f t="shared" si="271"/>
        <v>345</v>
      </c>
      <c r="CJ310" s="276">
        <f t="shared" si="272"/>
        <v>339</v>
      </c>
      <c r="CK310" s="276">
        <f t="shared" si="311"/>
        <v>1168.5277777777778</v>
      </c>
      <c r="CL310" s="276">
        <f t="shared" si="312"/>
        <v>859.38888888888891</v>
      </c>
      <c r="CM310" s="276">
        <f t="shared" si="313"/>
        <v>603.16666666666663</v>
      </c>
      <c r="CN310" s="276">
        <f t="shared" si="314"/>
        <v>340</v>
      </c>
      <c r="CO310" s="276">
        <f t="shared" si="315"/>
        <v>345</v>
      </c>
      <c r="CP310" s="276">
        <f t="shared" si="316"/>
        <v>339</v>
      </c>
      <c r="CQ310" s="39">
        <f t="shared" si="273"/>
        <v>664</v>
      </c>
      <c r="CR310" s="39">
        <f t="shared" si="274"/>
        <v>654.33333333333337</v>
      </c>
      <c r="CS310" s="277">
        <f t="shared" si="275"/>
        <v>580.44444444444446</v>
      </c>
      <c r="CT310" s="39">
        <f t="shared" si="276"/>
        <v>632.92592592592598</v>
      </c>
      <c r="CU310" s="39">
        <f t="shared" si="277"/>
        <v>622.5679012345679</v>
      </c>
      <c r="CV310" s="39">
        <f t="shared" si="317"/>
        <v>611.97942386831278</v>
      </c>
      <c r="CW310" s="297">
        <f t="shared" si="278"/>
        <v>0.56823638481470029</v>
      </c>
      <c r="CX310" s="279" t="str">
        <f t="shared" si="318"/>
        <v>Buffer and Action Plan</v>
      </c>
      <c r="CY310" s="278">
        <f t="shared" si="279"/>
        <v>0.76139375525244035</v>
      </c>
      <c r="CZ310" s="279" t="str">
        <f t="shared" si="319"/>
        <v>Buffer and Action Plan</v>
      </c>
      <c r="DA310" s="278">
        <f t="shared" si="280"/>
        <v>0.96232845169015391</v>
      </c>
      <c r="DB310" s="292" t="str">
        <f t="shared" si="320"/>
        <v>Pass</v>
      </c>
      <c r="DC310" s="299">
        <f t="shared" si="321"/>
        <v>1.8615468409586058</v>
      </c>
      <c r="DD310" s="293" t="str">
        <f t="shared" si="322"/>
        <v>Pass</v>
      </c>
      <c r="DE310" s="299">
        <f t="shared" si="323"/>
        <v>1.8045446412596171</v>
      </c>
      <c r="DF310" s="293" t="str">
        <f t="shared" si="324"/>
        <v>Pass</v>
      </c>
      <c r="DG310" s="299">
        <f t="shared" si="325"/>
        <v>1.8052490379596247</v>
      </c>
      <c r="DH310" s="293" t="str">
        <f t="shared" si="326"/>
        <v>Pass</v>
      </c>
    </row>
    <row r="311" spans="1:112" ht="15" thickTop="1" thickBot="1">
      <c r="A311" s="38" t="s">
        <v>732</v>
      </c>
      <c r="B311" s="38" t="s">
        <v>733</v>
      </c>
      <c r="C311" s="38" t="s">
        <v>732</v>
      </c>
      <c r="D311" s="38" t="s">
        <v>113</v>
      </c>
      <c r="E311" s="38" t="str">
        <f>VLOOKUP(C311,PoliticalControl!A:K,11,FALSE)</f>
        <v>CON</v>
      </c>
      <c r="F311" s="38" t="str">
        <f>VLOOKUP(C311,UrbanRuralClassification!A:N,13,FALSE)</f>
        <v>Urban with City and Town</v>
      </c>
      <c r="G311" s="38" t="str">
        <f>VLOOKUP(C311,UrbanRuralClassification!A:N,14,FALSE)</f>
        <v>Predominantly Urban</v>
      </c>
      <c r="H311" s="258">
        <f>IF(ISBLANK((VLOOKUP($A311,'local-plan-data'!$C$1:$AD$566,27,FALSE)))=TRUE,"",VLOOKUP($A311,'local-plan-data'!$C$1:$AD$566,27,FALSE))</f>
        <v>40207</v>
      </c>
      <c r="I311" s="259">
        <f>VLOOKUP($A311,'local-plan-data'!$C$1:$AD$566,28,FALSE)</f>
        <v>661.5</v>
      </c>
      <c r="J311" s="260">
        <f t="shared" si="281"/>
        <v>661.5</v>
      </c>
      <c r="K311" s="259" t="str">
        <f t="shared" si="331"/>
        <v>-</v>
      </c>
      <c r="L311" s="259" t="str">
        <f t="shared" si="329"/>
        <v>-</v>
      </c>
      <c r="M311" s="259" t="str">
        <f t="shared" si="329"/>
        <v>-</v>
      </c>
      <c r="N311" s="259" t="str">
        <f t="shared" si="329"/>
        <v>-</v>
      </c>
      <c r="O311" s="259" t="str">
        <f t="shared" si="329"/>
        <v>-</v>
      </c>
      <c r="P311" s="259" t="str">
        <f t="shared" si="329"/>
        <v>-</v>
      </c>
      <c r="Q311" s="259" t="str">
        <f t="shared" si="329"/>
        <v>-</v>
      </c>
      <c r="R311" s="259" t="str">
        <f t="shared" si="329"/>
        <v>-</v>
      </c>
      <c r="S311" s="259">
        <f t="shared" si="332"/>
        <v>-1158</v>
      </c>
      <c r="T311" s="259">
        <f t="shared" si="330"/>
        <v>-1523</v>
      </c>
      <c r="U311" s="259">
        <f t="shared" si="330"/>
        <v>-1889</v>
      </c>
      <c r="V311" s="259">
        <f t="shared" si="330"/>
        <v>-2254</v>
      </c>
      <c r="W311" s="259">
        <f t="shared" si="330"/>
        <v>-2619</v>
      </c>
      <c r="X311" s="259">
        <f t="shared" si="330"/>
        <v>-2984</v>
      </c>
      <c r="Y311" s="259">
        <f t="shared" si="330"/>
        <v>-3350</v>
      </c>
      <c r="Z311" s="259">
        <f t="shared" si="330"/>
        <v>-3715</v>
      </c>
      <c r="AA311" s="267">
        <f>(VLOOKUP(A311,Hshldprojections2014!$A$2:$AW$319,40, FALSE)-VLOOKUP(A311,Hshldprojections2014!$A$2:$AW$319,30, FALSE))/10</f>
        <v>569.9</v>
      </c>
      <c r="AB311" s="267">
        <f>(VLOOKUP(A311,Hshldprojections2014!$A$2:$AW$319,41, FALSE)-VLOOKUP(A311,Hshldprojections2014!$A$2:$AW$319,31, FALSE))/10</f>
        <v>555.5</v>
      </c>
      <c r="AC311" s="267">
        <f>(VLOOKUP(A311,Hshldprojections2014!$A$2:$AW$319,42, FALSE)-VLOOKUP(A311,Hshldprojections2014!$A$2:$AW$319,32, FALSE))/10</f>
        <v>544.29999999999995</v>
      </c>
      <c r="AD311" s="267">
        <f>IF(IndividualLATest!$J$7=2014,(VLOOKUP($A311,Hshldprojections2014!$A$2:$AY$326,43,FALSE)-VLOOKUP($A311,Hshldprojections2014!$A$2:$AY$326,33,FALSE))/10,IF(IndividualLATest!$J$7=2016,(VLOOKUP($A311,Hshldprojections2016!$A$1:$AQ$322,33,FALSE)-VLOOKUP($A311,Hshldprojections2016!$A$1:$AQ$322,23,FALSE))/10,(VLOOKUP($A311,Hshldprojections2018!$A$1:$AQ$327,33,FALSE)-VLOOKUP($A311,Hshldprojections2018!$A$1:$AQ$327,23,FALSE))/10))</f>
        <v>652.1</v>
      </c>
      <c r="AE311" s="267">
        <f>IF(IndividualLATest!$J$7=2014,(VLOOKUP($A311,Hshldprojections2014!$A$2:$AY$326,44,FALSE)-VLOOKUP($A311,Hshldprojections2014!$A$2:$AY$326,34,FALSE))/10,IF(IndividualLATest!$J$7=2016,(VLOOKUP($A311,Hshldprojections2016!$A$1:$AQ$322,34,FALSE)-VLOOKUP($A311,Hshldprojections2016!$A$1:$AQ$322,24,FALSE))/10,(VLOOKUP($A311,Hshldprojections2018!$A$1:$AQ$327,34,FALSE)-VLOOKUP($A311,Hshldprojections2018!$A$1:$AQ$327,24,FALSE))/10))</f>
        <v>620.1</v>
      </c>
      <c r="AF311" s="267">
        <f>IF(IndividualLATest!$J$7=2014,(VLOOKUP($A311,Hshldprojections2014!$A$2:$AY$326,45,FALSE)-VLOOKUP($A311,Hshldprojections2014!$A$2:$AY$326,35,FALSE))/10,IF(IndividualLATest!$J$7=2016,(VLOOKUP($A311,Hshldprojections2016!$A$1:$AQ$322,35,FALSE)-VLOOKUP($A311,Hshldprojections2016!$A$1:$AQ$322,25,FALSE))/10,(VLOOKUP($A311,Hshldprojections2018!$A$1:$AQ$327,35,FALSE)-VLOOKUP($A311,Hshldprojections2018!$A$1:$AQ$327,25,FALSE))/10))</f>
        <v>591.6</v>
      </c>
      <c r="AG311" s="267">
        <f>IF(IndividualLATest!$J$7=2014,(VLOOKUP($A311,Hshldprojections2014!$A$2:$AY$326,46,FALSE)-VLOOKUP($A311,Hshldprojections2014!$A$2:$AY$326,36,FALSE))/10,IF(IndividualLATest!$J$7=2016,(VLOOKUP($A311,Hshldprojections2016!$A$1:$AQ$322,36,FALSE)-VLOOKUP($A311,Hshldprojections2016!$A$1:$AQ$322,26,FALSE))/10,(VLOOKUP($A311,Hshldprojections2018!$A$1:$AQ$327,36,FALSE)-VLOOKUP($A311,Hshldprojections2018!$A$1:$AQ$327,26,FALSE))/10))</f>
        <v>564.9</v>
      </c>
      <c r="AH311" s="267">
        <f>IF(IndividualLATest!$J$7=2014,(VLOOKUP($A311,Hshldprojections2014!$A$2:$AY$326,47,FALSE)-VLOOKUP($A311,Hshldprojections2014!$A$2:$AY$326,37,FALSE))/10,IF(IndividualLATest!$J$7=2016,(VLOOKUP($A311,Hshldprojections2016!$A$1:$AQ$322,37,FALSE)-VLOOKUP($A311,Hshldprojections2016!$A$1:$AQ$322,27,FALSE))/10,(VLOOKUP($A311,Hshldprojections2018!$A$1:$AQ$327,37,FALSE)-VLOOKUP($A311,Hshldprojections2018!$A$1:$AQ$327,27,FALSE))/10))</f>
        <v>542</v>
      </c>
      <c r="AI311" s="268">
        <f>VLOOKUP($A311,AffordabilityRatio!$A$2:$I$321,5,FALSE)</f>
        <v>12.17</v>
      </c>
      <c r="AJ311" s="268">
        <f>VLOOKUP($A311,AffordabilityRatio!$A$2:$I$321,6,FALSE)</f>
        <v>11.15</v>
      </c>
      <c r="AK311" s="268">
        <f>VLOOKUP($A311,AffordabilityRatio!$A$2:$I$321,7,FALSE)</f>
        <v>10.78</v>
      </c>
      <c r="AL311" s="268">
        <f>IF((VLOOKUP($A311,AffordabilityRatio!$A$2:$I$321,8,FALSE))="",AK311,VLOOKUP($A311,AffordabilityRatio!$A$2:$I$321,8,FALSE))</f>
        <v>11.15</v>
      </c>
      <c r="AM311" s="268">
        <f>IF((VLOOKUP($A311,AffordabilityRatio!$A$2:$I$321,9,FALSE))="",AL311,VLOOKUP($A311,AffordabilityRatio!$A$2:$I$321,9,FALSE))</f>
        <v>11.84</v>
      </c>
      <c r="AN311" s="268">
        <f>IF((VLOOKUP($A311,AffordabilityRatio!$A$2:$I$321,9,FALSE))="",AM311,VLOOKUP($A311,AffordabilityRatio!$A$2:$I$321,9,FALSE))</f>
        <v>11.84</v>
      </c>
      <c r="AO311" s="268">
        <f>IF((VLOOKUP($A311,AffordabilityRatio!$A$2:$I$321,9,FALSE))="",AN311,VLOOKUP($A311,AffordabilityRatio!$A$2:$I$321,9,FALSE))</f>
        <v>11.84</v>
      </c>
      <c r="AP311" s="268">
        <f>IF((VLOOKUP($A311,AffordabilityRatio!$A$2:$I$321,9,FALSE))="",AO311,VLOOKUP($A311,AffordabilityRatio!$A$2:$I$321,9,FALSE))</f>
        <v>11.84</v>
      </c>
      <c r="AQ311" s="267">
        <f t="shared" si="282"/>
        <v>861</v>
      </c>
      <c r="AR311" s="267">
        <f t="shared" si="283"/>
        <v>804</v>
      </c>
      <c r="AS311" s="267">
        <f t="shared" si="284"/>
        <v>775</v>
      </c>
      <c r="AT311" s="267">
        <f t="shared" si="285"/>
        <v>944</v>
      </c>
      <c r="AU311" s="267">
        <f t="shared" si="286"/>
        <v>924</v>
      </c>
      <c r="AV311" s="267">
        <f t="shared" si="287"/>
        <v>881</v>
      </c>
      <c r="AW311" s="267">
        <f t="shared" si="288"/>
        <v>842</v>
      </c>
      <c r="AX311" s="267">
        <f t="shared" si="289"/>
        <v>808</v>
      </c>
      <c r="AY311" s="267">
        <f t="shared" si="290"/>
        <v>861</v>
      </c>
      <c r="AZ311" s="267">
        <f t="shared" si="291"/>
        <v>804</v>
      </c>
      <c r="BA311" s="267">
        <f t="shared" si="292"/>
        <v>775</v>
      </c>
      <c r="BB311" s="267">
        <f t="shared" si="293"/>
        <v>926.1</v>
      </c>
      <c r="BC311" s="267">
        <f t="shared" si="294"/>
        <v>924</v>
      </c>
      <c r="BD311" s="267">
        <f t="shared" si="295"/>
        <v>881</v>
      </c>
      <c r="BE311" s="267">
        <f t="shared" si="296"/>
        <v>842</v>
      </c>
      <c r="BF311" s="267">
        <f t="shared" si="297"/>
        <v>808</v>
      </c>
      <c r="BG311" s="269">
        <f>AY311*VLOOKUP($B311,'Major Cities &amp; Towns'!$A$28:$B$345,2,FALSE)</f>
        <v>861</v>
      </c>
      <c r="BH311" s="269">
        <f>AZ311*VLOOKUP($B311,'Major Cities &amp; Towns'!$A$28:$B$345,2,FALSE)</f>
        <v>804</v>
      </c>
      <c r="BI311" s="269">
        <f>BA311*VLOOKUP($B311,'Major Cities &amp; Towns'!$A$28:$B$345,2,FALSE)</f>
        <v>775</v>
      </c>
      <c r="BJ311" s="269">
        <f>BB311*VLOOKUP($B311,'Major Cities &amp; Towns'!$A$28:$B$345,2,FALSE)</f>
        <v>926.1</v>
      </c>
      <c r="BK311" s="269">
        <f>BC311*VLOOKUP($B311,'Major Cities &amp; Towns'!$A$28:$B$345,2,FALSE)</f>
        <v>924</v>
      </c>
      <c r="BL311" s="269">
        <f>BD311*VLOOKUP($B311,'Major Cities &amp; Towns'!$A$28:$B$345,2,FALSE)</f>
        <v>881</v>
      </c>
      <c r="BM311" s="269">
        <f>BE311*VLOOKUP($B311,'Major Cities &amp; Towns'!$A$28:$B$345,2,FALSE)</f>
        <v>842</v>
      </c>
      <c r="BN311" s="269">
        <f>BF311*VLOOKUP($B311,'Major Cities &amp; Towns'!$A$28:$B$345,2,FALSE)</f>
        <v>808</v>
      </c>
      <c r="BO311" s="270">
        <f t="shared" si="298"/>
        <v>861</v>
      </c>
      <c r="BP311" s="270">
        <f t="shared" si="299"/>
        <v>804</v>
      </c>
      <c r="BQ311" s="270">
        <f t="shared" si="300"/>
        <v>775</v>
      </c>
      <c r="BR311" s="270">
        <f t="shared" si="301"/>
        <v>944</v>
      </c>
      <c r="BS311" s="270">
        <f t="shared" si="302"/>
        <v>924</v>
      </c>
      <c r="BT311" s="270">
        <f t="shared" si="303"/>
        <v>881</v>
      </c>
      <c r="BU311" s="270">
        <f t="shared" si="304"/>
        <v>842</v>
      </c>
      <c r="BV311" s="270">
        <f t="shared" si="305"/>
        <v>808</v>
      </c>
      <c r="BW311" s="39">
        <f>VLOOKUP($A311,NetAdditions!$A$2:$H$336,6,FALSE)</f>
        <v>1250</v>
      </c>
      <c r="BX311" s="39">
        <f>VLOOKUP($A311,NetAdditions!$A$2:$H$336,7,FALSE)</f>
        <v>1555</v>
      </c>
      <c r="BY311" s="39">
        <f>IF((VLOOKUP($C311,NetAdditions!$A$2:$H$336,8,FALSE))="",(AVERAGE(VLOOKUP($C311,NetAdditions!$A$2:$H$336,5,FALSE),VLOOKUP($C311,NetAdditions!$A$2:$H$336,6,FALSE),VLOOKUP($C311,NetAdditions!$A$2:$H$336,7,FALSE))),VLOOKUP($C311,NetAdditions!$A$2:$H$336,8,FALSE))</f>
        <v>1129</v>
      </c>
      <c r="BZ311" s="39">
        <f t="shared" si="306"/>
        <v>1311.3333333333333</v>
      </c>
      <c r="CA311" s="39">
        <f t="shared" si="307"/>
        <v>1331.7777777777776</v>
      </c>
      <c r="CB311" s="39">
        <f t="shared" si="308"/>
        <v>1257.3703703703702</v>
      </c>
      <c r="CC311" s="39">
        <f t="shared" si="309"/>
        <v>1300.1604938271603</v>
      </c>
      <c r="CD311" s="39">
        <f t="shared" si="310"/>
        <v>1296.4362139917694</v>
      </c>
      <c r="CE311" s="276">
        <f t="shared" si="267"/>
        <v>2440</v>
      </c>
      <c r="CF311" s="276">
        <f t="shared" si="268"/>
        <v>2523</v>
      </c>
      <c r="CG311" s="276">
        <f t="shared" si="269"/>
        <v>2643</v>
      </c>
      <c r="CH311" s="276">
        <f t="shared" si="270"/>
        <v>2749</v>
      </c>
      <c r="CI311" s="276">
        <f t="shared" si="271"/>
        <v>2647</v>
      </c>
      <c r="CJ311" s="276">
        <f t="shared" si="272"/>
        <v>2531</v>
      </c>
      <c r="CK311" s="276">
        <f t="shared" si="311"/>
        <v>2101.1111111111113</v>
      </c>
      <c r="CL311" s="276">
        <f t="shared" si="312"/>
        <v>2172.5833333333335</v>
      </c>
      <c r="CM311" s="276">
        <f t="shared" si="313"/>
        <v>2422.75</v>
      </c>
      <c r="CN311" s="276">
        <f t="shared" si="314"/>
        <v>2749</v>
      </c>
      <c r="CO311" s="276">
        <f t="shared" si="315"/>
        <v>2647</v>
      </c>
      <c r="CP311" s="276">
        <f t="shared" si="316"/>
        <v>2531</v>
      </c>
      <c r="CQ311" s="39">
        <f t="shared" si="273"/>
        <v>3934</v>
      </c>
      <c r="CR311" s="39">
        <f t="shared" si="274"/>
        <v>3995.333333333333</v>
      </c>
      <c r="CS311" s="277">
        <f t="shared" si="275"/>
        <v>3772.1111111111104</v>
      </c>
      <c r="CT311" s="39">
        <f t="shared" si="276"/>
        <v>3900.4814814814808</v>
      </c>
      <c r="CU311" s="39">
        <f t="shared" si="277"/>
        <v>3889.3086419753081</v>
      </c>
      <c r="CV311" s="39">
        <f t="shared" si="317"/>
        <v>3853.9670781893001</v>
      </c>
      <c r="CW311" s="297">
        <f t="shared" si="278"/>
        <v>1.8723426758328925</v>
      </c>
      <c r="CX311" s="279" t="str">
        <f t="shared" si="318"/>
        <v>Pass</v>
      </c>
      <c r="CY311" s="278">
        <f t="shared" si="279"/>
        <v>1.8389781749836982</v>
      </c>
      <c r="CZ311" s="279" t="str">
        <f t="shared" si="319"/>
        <v>Pass</v>
      </c>
      <c r="DA311" s="278">
        <f t="shared" si="280"/>
        <v>1.5569543333447984</v>
      </c>
      <c r="DB311" s="292" t="str">
        <f t="shared" si="320"/>
        <v>Pass</v>
      </c>
      <c r="DC311" s="299">
        <f t="shared" si="321"/>
        <v>1.418872856122765</v>
      </c>
      <c r="DD311" s="293" t="str">
        <f t="shared" si="322"/>
        <v>Pass</v>
      </c>
      <c r="DE311" s="299">
        <f t="shared" si="323"/>
        <v>1.4693270275690624</v>
      </c>
      <c r="DF311" s="293" t="str">
        <f t="shared" si="324"/>
        <v>Pass</v>
      </c>
      <c r="DG311" s="299">
        <f t="shared" si="325"/>
        <v>1.5227052857326353</v>
      </c>
      <c r="DH311" s="293" t="str">
        <f t="shared" si="326"/>
        <v>Pass</v>
      </c>
    </row>
    <row r="312" spans="1:112" ht="15" thickTop="1" thickBot="1">
      <c r="A312" s="38" t="s">
        <v>734</v>
      </c>
      <c r="B312" s="38" t="s">
        <v>735</v>
      </c>
      <c r="C312" s="38" t="s">
        <v>734</v>
      </c>
      <c r="D312" s="38" t="s">
        <v>154</v>
      </c>
      <c r="E312" s="38" t="str">
        <f>VLOOKUP(C312,PoliticalControl!A:K,11,FALSE)</f>
        <v>LAB</v>
      </c>
      <c r="F312" s="38" t="str">
        <f>VLOOKUP(C312,UrbanRuralClassification!A:N,13,FALSE)</f>
        <v>Urban with Major Conurbation</v>
      </c>
      <c r="G312" s="38" t="str">
        <f>VLOOKUP(C312,UrbanRuralClassification!A:N,14,FALSE)</f>
        <v>Predominantly Urban</v>
      </c>
      <c r="H312" s="258">
        <f>IF(ISBLANK((VLOOKUP($A312,'local-plan-data'!$C$1:$AD$566,27,FALSE)))=TRUE,"",VLOOKUP($A312,'local-plan-data'!$C$1:$AD$566,27,FALSE))</f>
        <v>40577</v>
      </c>
      <c r="I312" s="259">
        <f>VLOOKUP($A312,'local-plan-data'!$C$1:$AD$566,28,FALSE)</f>
        <v>670.55</v>
      </c>
      <c r="J312" s="260">
        <f t="shared" si="281"/>
        <v>670.55</v>
      </c>
      <c r="K312" s="259" t="str">
        <f t="shared" si="331"/>
        <v>-</v>
      </c>
      <c r="L312" s="259" t="str">
        <f t="shared" si="329"/>
        <v>-</v>
      </c>
      <c r="M312" s="259" t="str">
        <f t="shared" si="329"/>
        <v>-</v>
      </c>
      <c r="N312" s="259" t="str">
        <f t="shared" si="329"/>
        <v>-</v>
      </c>
      <c r="O312" s="259" t="str">
        <f t="shared" si="329"/>
        <v>-</v>
      </c>
      <c r="P312" s="259" t="str">
        <f t="shared" si="329"/>
        <v>-</v>
      </c>
      <c r="Q312" s="259" t="str">
        <f t="shared" si="329"/>
        <v>-</v>
      </c>
      <c r="R312" s="259" t="str">
        <f t="shared" si="329"/>
        <v>-</v>
      </c>
      <c r="S312" s="259">
        <f t="shared" si="332"/>
        <v>-788</v>
      </c>
      <c r="T312" s="259">
        <f t="shared" si="330"/>
        <v>-1153</v>
      </c>
      <c r="U312" s="259">
        <f t="shared" si="330"/>
        <v>-1519</v>
      </c>
      <c r="V312" s="259">
        <f t="shared" si="330"/>
        <v>-1884</v>
      </c>
      <c r="W312" s="259">
        <f t="shared" si="330"/>
        <v>-2249</v>
      </c>
      <c r="X312" s="259">
        <f t="shared" si="330"/>
        <v>-2614</v>
      </c>
      <c r="Y312" s="259">
        <f t="shared" si="330"/>
        <v>-2980</v>
      </c>
      <c r="Z312" s="259">
        <f t="shared" si="330"/>
        <v>-3345</v>
      </c>
      <c r="AA312" s="267">
        <f>(VLOOKUP(A312,Hshldprojections2014!$A$2:$AW$319,40, FALSE)-VLOOKUP(A312,Hshldprojections2014!$A$2:$AW$319,30, FALSE))/10</f>
        <v>684.3</v>
      </c>
      <c r="AB312" s="267">
        <f>(VLOOKUP(A312,Hshldprojections2014!$A$2:$AW$319,41, FALSE)-VLOOKUP(A312,Hshldprojections2014!$A$2:$AW$319,31, FALSE))/10</f>
        <v>687.7</v>
      </c>
      <c r="AC312" s="267">
        <f>(VLOOKUP(A312,Hshldprojections2014!$A$2:$AW$319,42, FALSE)-VLOOKUP(A312,Hshldprojections2014!$A$2:$AW$319,32, FALSE))/10</f>
        <v>694.3</v>
      </c>
      <c r="AD312" s="267">
        <f>IF(IndividualLATest!$J$7=2014,(VLOOKUP($A312,Hshldprojections2014!$A$2:$AY$326,43,FALSE)-VLOOKUP($A312,Hshldprojections2014!$A$2:$AY$326,33,FALSE))/10,IF(IndividualLATest!$J$7=2016,(VLOOKUP($A312,Hshldprojections2016!$A$1:$AQ$322,33,FALSE)-VLOOKUP($A312,Hshldprojections2016!$A$1:$AQ$322,23,FALSE))/10,(VLOOKUP($A312,Hshldprojections2018!$A$1:$AQ$327,33,FALSE)-VLOOKUP($A312,Hshldprojections2018!$A$1:$AQ$327,23,FALSE))/10))</f>
        <v>713.7</v>
      </c>
      <c r="AE312" s="267">
        <f>IF(IndividualLATest!$J$7=2014,(VLOOKUP($A312,Hshldprojections2014!$A$2:$AY$326,44,FALSE)-VLOOKUP($A312,Hshldprojections2014!$A$2:$AY$326,34,FALSE))/10,IF(IndividualLATest!$J$7=2016,(VLOOKUP($A312,Hshldprojections2016!$A$1:$AQ$322,34,FALSE)-VLOOKUP($A312,Hshldprojections2016!$A$1:$AQ$322,24,FALSE))/10,(VLOOKUP($A312,Hshldprojections2018!$A$1:$AQ$327,34,FALSE)-VLOOKUP($A312,Hshldprojections2018!$A$1:$AQ$327,24,FALSE))/10))</f>
        <v>722.4</v>
      </c>
      <c r="AF312" s="267">
        <f>IF(IndividualLATest!$J$7=2014,(VLOOKUP($A312,Hshldprojections2014!$A$2:$AY$326,45,FALSE)-VLOOKUP($A312,Hshldprojections2014!$A$2:$AY$326,35,FALSE))/10,IF(IndividualLATest!$J$7=2016,(VLOOKUP($A312,Hshldprojections2016!$A$1:$AQ$322,35,FALSE)-VLOOKUP($A312,Hshldprojections2016!$A$1:$AQ$322,25,FALSE))/10,(VLOOKUP($A312,Hshldprojections2018!$A$1:$AQ$327,35,FALSE)-VLOOKUP($A312,Hshldprojections2018!$A$1:$AQ$327,25,FALSE))/10))</f>
        <v>731.3</v>
      </c>
      <c r="AG312" s="267">
        <f>IF(IndividualLATest!$J$7=2014,(VLOOKUP($A312,Hshldprojections2014!$A$2:$AY$326,46,FALSE)-VLOOKUP($A312,Hshldprojections2014!$A$2:$AY$326,36,FALSE))/10,IF(IndividualLATest!$J$7=2016,(VLOOKUP($A312,Hshldprojections2016!$A$1:$AQ$322,36,FALSE)-VLOOKUP($A312,Hshldprojections2016!$A$1:$AQ$322,26,FALSE))/10,(VLOOKUP($A312,Hshldprojections2018!$A$1:$AQ$327,36,FALSE)-VLOOKUP($A312,Hshldprojections2018!$A$1:$AQ$327,26,FALSE))/10))</f>
        <v>737.2</v>
      </c>
      <c r="AH312" s="267">
        <f>IF(IndividualLATest!$J$7=2014,(VLOOKUP($A312,Hshldprojections2014!$A$2:$AY$326,47,FALSE)-VLOOKUP($A312,Hshldprojections2014!$A$2:$AY$326,37,FALSE))/10,IF(IndividualLATest!$J$7=2016,(VLOOKUP($A312,Hshldprojections2016!$A$1:$AQ$322,37,FALSE)-VLOOKUP($A312,Hshldprojections2016!$A$1:$AQ$322,27,FALSE))/10,(VLOOKUP($A312,Hshldprojections2018!$A$1:$AQ$327,37,FALSE)-VLOOKUP($A312,Hshldprojections2018!$A$1:$AQ$327,27,FALSE))/10))</f>
        <v>746</v>
      </c>
      <c r="AI312" s="268">
        <f>VLOOKUP($A312,AffordabilityRatio!$A$2:$I$321,5,FALSE)</f>
        <v>5.47</v>
      </c>
      <c r="AJ312" s="268">
        <f>VLOOKUP($A312,AffordabilityRatio!$A$2:$I$321,6,FALSE)</f>
        <v>5.56</v>
      </c>
      <c r="AK312" s="268">
        <f>VLOOKUP($A312,AffordabilityRatio!$A$2:$I$321,7,FALSE)</f>
        <v>5.3</v>
      </c>
      <c r="AL312" s="268">
        <f>IF((VLOOKUP($A312,AffordabilityRatio!$A$2:$I$321,8,FALSE))="",AK312,VLOOKUP($A312,AffordabilityRatio!$A$2:$I$321,8,FALSE))</f>
        <v>5.74</v>
      </c>
      <c r="AM312" s="268">
        <f>IF((VLOOKUP($A312,AffordabilityRatio!$A$2:$I$321,9,FALSE))="",AL312,VLOOKUP($A312,AffordabilityRatio!$A$2:$I$321,9,FALSE))</f>
        <v>6.16</v>
      </c>
      <c r="AN312" s="268">
        <f>IF((VLOOKUP($A312,AffordabilityRatio!$A$2:$I$321,9,FALSE))="",AM312,VLOOKUP($A312,AffordabilityRatio!$A$2:$I$321,9,FALSE))</f>
        <v>6.16</v>
      </c>
      <c r="AO312" s="268">
        <f>IF((VLOOKUP($A312,AffordabilityRatio!$A$2:$I$321,9,FALSE))="",AN312,VLOOKUP($A312,AffordabilityRatio!$A$2:$I$321,9,FALSE))</f>
        <v>6.16</v>
      </c>
      <c r="AP312" s="268">
        <f>IF((VLOOKUP($A312,AffordabilityRatio!$A$2:$I$321,9,FALSE))="",AO312,VLOOKUP($A312,AffordabilityRatio!$A$2:$I$321,9,FALSE))</f>
        <v>6.16</v>
      </c>
      <c r="AQ312" s="267">
        <f t="shared" si="282"/>
        <v>747</v>
      </c>
      <c r="AR312" s="267">
        <f t="shared" si="283"/>
        <v>755</v>
      </c>
      <c r="AS312" s="267">
        <f t="shared" si="284"/>
        <v>751</v>
      </c>
      <c r="AT312" s="267">
        <f t="shared" si="285"/>
        <v>791</v>
      </c>
      <c r="AU312" s="267">
        <f t="shared" si="286"/>
        <v>820</v>
      </c>
      <c r="AV312" s="267">
        <f t="shared" si="287"/>
        <v>830</v>
      </c>
      <c r="AW312" s="267">
        <f t="shared" si="288"/>
        <v>837</v>
      </c>
      <c r="AX312" s="267">
        <f t="shared" si="289"/>
        <v>847</v>
      </c>
      <c r="AY312" s="267">
        <f t="shared" si="290"/>
        <v>747</v>
      </c>
      <c r="AZ312" s="267">
        <f t="shared" si="291"/>
        <v>755</v>
      </c>
      <c r="BA312" s="267">
        <f t="shared" si="292"/>
        <v>751</v>
      </c>
      <c r="BB312" s="267">
        <f t="shared" si="293"/>
        <v>791</v>
      </c>
      <c r="BC312" s="267">
        <f t="shared" si="294"/>
        <v>820</v>
      </c>
      <c r="BD312" s="267">
        <f t="shared" si="295"/>
        <v>830</v>
      </c>
      <c r="BE312" s="267">
        <f t="shared" si="296"/>
        <v>837</v>
      </c>
      <c r="BF312" s="267">
        <f t="shared" si="297"/>
        <v>847</v>
      </c>
      <c r="BG312" s="269">
        <f>AY312*VLOOKUP($B312,'Major Cities &amp; Towns'!$A$28:$B$345,2,FALSE)</f>
        <v>1008.45</v>
      </c>
      <c r="BH312" s="269">
        <f>AZ312*VLOOKUP($B312,'Major Cities &amp; Towns'!$A$28:$B$345,2,FALSE)</f>
        <v>1019.2500000000001</v>
      </c>
      <c r="BI312" s="269">
        <f>BA312*VLOOKUP($B312,'Major Cities &amp; Towns'!$A$28:$B$345,2,FALSE)</f>
        <v>1013.85</v>
      </c>
      <c r="BJ312" s="269">
        <f>BB312*VLOOKUP($B312,'Major Cities &amp; Towns'!$A$28:$B$345,2,FALSE)</f>
        <v>1067.8500000000001</v>
      </c>
      <c r="BK312" s="269">
        <f>BC312*VLOOKUP($B312,'Major Cities &amp; Towns'!$A$28:$B$345,2,FALSE)</f>
        <v>1107</v>
      </c>
      <c r="BL312" s="269">
        <f>BD312*VLOOKUP($B312,'Major Cities &amp; Towns'!$A$28:$B$345,2,FALSE)</f>
        <v>1120.5</v>
      </c>
      <c r="BM312" s="269">
        <f>BE312*VLOOKUP($B312,'Major Cities &amp; Towns'!$A$28:$B$345,2,FALSE)</f>
        <v>1129.95</v>
      </c>
      <c r="BN312" s="269">
        <f>BF312*VLOOKUP($B312,'Major Cities &amp; Towns'!$A$28:$B$345,2,FALSE)</f>
        <v>1143.45</v>
      </c>
      <c r="BO312" s="270">
        <f t="shared" si="298"/>
        <v>747</v>
      </c>
      <c r="BP312" s="270">
        <f t="shared" si="299"/>
        <v>755</v>
      </c>
      <c r="BQ312" s="270">
        <f t="shared" si="300"/>
        <v>751</v>
      </c>
      <c r="BR312" s="270">
        <f t="shared" si="301"/>
        <v>791</v>
      </c>
      <c r="BS312" s="270">
        <f t="shared" si="302"/>
        <v>820</v>
      </c>
      <c r="BT312" s="270">
        <f t="shared" si="303"/>
        <v>830</v>
      </c>
      <c r="BU312" s="270">
        <f t="shared" si="304"/>
        <v>837</v>
      </c>
      <c r="BV312" s="270">
        <f t="shared" si="305"/>
        <v>847</v>
      </c>
      <c r="BW312" s="39">
        <f>VLOOKUP($A312,NetAdditions!$A$2:$H$336,6,FALSE)</f>
        <v>692</v>
      </c>
      <c r="BX312" s="39">
        <f>VLOOKUP($A312,NetAdditions!$A$2:$H$336,7,FALSE)</f>
        <v>818</v>
      </c>
      <c r="BY312" s="39">
        <f>IF((VLOOKUP($C312,NetAdditions!$A$2:$H$336,8,FALSE))="",(AVERAGE(VLOOKUP($C312,NetAdditions!$A$2:$H$336,5,FALSE),VLOOKUP($C312,NetAdditions!$A$2:$H$336,6,FALSE),VLOOKUP($C312,NetAdditions!$A$2:$H$336,7,FALSE))),VLOOKUP($C312,NetAdditions!$A$2:$H$336,8,FALSE))</f>
        <v>614</v>
      </c>
      <c r="BZ312" s="39">
        <f t="shared" si="306"/>
        <v>708</v>
      </c>
      <c r="CA312" s="39">
        <f t="shared" si="307"/>
        <v>713.33333333333337</v>
      </c>
      <c r="CB312" s="39">
        <f t="shared" si="308"/>
        <v>678.44444444444446</v>
      </c>
      <c r="CC312" s="39">
        <f t="shared" si="309"/>
        <v>699.92592592592598</v>
      </c>
      <c r="CD312" s="39">
        <f t="shared" si="310"/>
        <v>697.23456790123464</v>
      </c>
      <c r="CE312" s="276">
        <f t="shared" si="267"/>
        <v>2253</v>
      </c>
      <c r="CF312" s="276">
        <f t="shared" si="268"/>
        <v>2297</v>
      </c>
      <c r="CG312" s="276">
        <f t="shared" si="269"/>
        <v>2362</v>
      </c>
      <c r="CH312" s="276">
        <f t="shared" si="270"/>
        <v>2441</v>
      </c>
      <c r="CI312" s="276">
        <f t="shared" si="271"/>
        <v>2487</v>
      </c>
      <c r="CJ312" s="276">
        <f t="shared" si="272"/>
        <v>2514</v>
      </c>
      <c r="CK312" s="276">
        <f t="shared" si="311"/>
        <v>1940.0833333333335</v>
      </c>
      <c r="CL312" s="276">
        <f t="shared" si="312"/>
        <v>1977.9722222222224</v>
      </c>
      <c r="CM312" s="276">
        <f t="shared" si="313"/>
        <v>2165.1666666666665</v>
      </c>
      <c r="CN312" s="276">
        <f t="shared" si="314"/>
        <v>2441</v>
      </c>
      <c r="CO312" s="276">
        <f t="shared" si="315"/>
        <v>2487</v>
      </c>
      <c r="CP312" s="276">
        <f t="shared" si="316"/>
        <v>2514</v>
      </c>
      <c r="CQ312" s="39">
        <f t="shared" si="273"/>
        <v>2124</v>
      </c>
      <c r="CR312" s="39">
        <f t="shared" si="274"/>
        <v>2140</v>
      </c>
      <c r="CS312" s="277">
        <f t="shared" si="275"/>
        <v>2035.3333333333335</v>
      </c>
      <c r="CT312" s="39">
        <f t="shared" si="276"/>
        <v>2099.7777777777778</v>
      </c>
      <c r="CU312" s="39">
        <f t="shared" si="277"/>
        <v>2091.7037037037039</v>
      </c>
      <c r="CV312" s="39">
        <f t="shared" si="317"/>
        <v>2075.6049382716051</v>
      </c>
      <c r="CW312" s="297">
        <f t="shared" si="278"/>
        <v>1.0947983334049223</v>
      </c>
      <c r="CX312" s="279" t="str">
        <f t="shared" si="318"/>
        <v>Pass</v>
      </c>
      <c r="CY312" s="278">
        <f t="shared" si="279"/>
        <v>1.0819161037538443</v>
      </c>
      <c r="CZ312" s="279" t="str">
        <f t="shared" si="319"/>
        <v>Pass</v>
      </c>
      <c r="DA312" s="278">
        <f t="shared" si="280"/>
        <v>0.94003540912939743</v>
      </c>
      <c r="DB312" s="292" t="str">
        <f t="shared" si="320"/>
        <v>Action Plan</v>
      </c>
      <c r="DC312" s="299">
        <f t="shared" si="321"/>
        <v>0.86021211707405887</v>
      </c>
      <c r="DD312" s="293" t="str">
        <f t="shared" si="322"/>
        <v>Action Plan</v>
      </c>
      <c r="DE312" s="299">
        <f t="shared" si="323"/>
        <v>0.84105496731150142</v>
      </c>
      <c r="DF312" s="293" t="str">
        <f t="shared" si="324"/>
        <v>Buffer and Action Plan</v>
      </c>
      <c r="DG312" s="299">
        <f t="shared" si="325"/>
        <v>0.8256185116434388</v>
      </c>
      <c r="DH312" s="293" t="str">
        <f t="shared" si="326"/>
        <v>Buffer and Action Plan</v>
      </c>
    </row>
    <row r="313" spans="1:112" ht="15" thickTop="1" thickBot="1">
      <c r="A313" s="38" t="s">
        <v>736</v>
      </c>
      <c r="B313" s="38" t="s">
        <v>737</v>
      </c>
      <c r="C313" s="38" t="s">
        <v>736</v>
      </c>
      <c r="D313" s="38" t="s">
        <v>154</v>
      </c>
      <c r="E313" s="38" t="str">
        <f>VLOOKUP(C313,PoliticalControl!A:K,11,FALSE)</f>
        <v>CON</v>
      </c>
      <c r="F313" s="38" t="str">
        <f>VLOOKUP(C313,UrbanRuralClassification!A:N,13,FALSE)</f>
        <v>Urban with City and Town</v>
      </c>
      <c r="G313" s="38" t="str">
        <f>VLOOKUP(C313,UrbanRuralClassification!A:N,14,FALSE)</f>
        <v>Predominantly Urban</v>
      </c>
      <c r="H313" s="258">
        <f>IF(ISBLANK((VLOOKUP($A313,'local-plan-data'!$C$1:$AD$566,27,FALSE)))=TRUE,"",VLOOKUP($A313,'local-plan-data'!$C$1:$AD$566,27,FALSE))</f>
        <v>42425</v>
      </c>
      <c r="I313" s="259">
        <f>VLOOKUP($A313,'local-plan-data'!$C$1:$AD$566,28,FALSE)</f>
        <v>283.33333333333331</v>
      </c>
      <c r="J313" s="260">
        <f t="shared" si="281"/>
        <v>283.33333333333331</v>
      </c>
      <c r="K313" s="259">
        <f t="shared" si="331"/>
        <v>283.33333333333331</v>
      </c>
      <c r="L313" s="259">
        <f t="shared" si="329"/>
        <v>283.33333333333331</v>
      </c>
      <c r="M313" s="259">
        <f t="shared" si="329"/>
        <v>283.33333333333331</v>
      </c>
      <c r="N313" s="259" t="str">
        <f t="shared" si="329"/>
        <v>-</v>
      </c>
      <c r="O313" s="259" t="str">
        <f t="shared" si="329"/>
        <v>-</v>
      </c>
      <c r="P313" s="259" t="str">
        <f t="shared" si="329"/>
        <v>-</v>
      </c>
      <c r="Q313" s="259" t="str">
        <f t="shared" si="329"/>
        <v>-</v>
      </c>
      <c r="R313" s="259" t="str">
        <f t="shared" si="329"/>
        <v>-</v>
      </c>
      <c r="S313" s="259">
        <f t="shared" si="332"/>
        <v>1061</v>
      </c>
      <c r="T313" s="259">
        <f t="shared" si="330"/>
        <v>696</v>
      </c>
      <c r="U313" s="259">
        <f t="shared" si="330"/>
        <v>330</v>
      </c>
      <c r="V313" s="259">
        <f t="shared" si="330"/>
        <v>-35</v>
      </c>
      <c r="W313" s="259">
        <f t="shared" si="330"/>
        <v>-400</v>
      </c>
      <c r="X313" s="259">
        <f t="shared" si="330"/>
        <v>-765</v>
      </c>
      <c r="Y313" s="259">
        <f t="shared" si="330"/>
        <v>-1131</v>
      </c>
      <c r="Z313" s="259">
        <f t="shared" si="330"/>
        <v>-1496</v>
      </c>
      <c r="AA313" s="267">
        <f>(VLOOKUP(A313,Hshldprojections2014!$A$2:$AW$319,40, FALSE)-VLOOKUP(A313,Hshldprojections2014!$A$2:$AW$319,30, FALSE))/10</f>
        <v>320.2</v>
      </c>
      <c r="AB313" s="267">
        <f>(VLOOKUP(A313,Hshldprojections2014!$A$2:$AW$319,41, FALSE)-VLOOKUP(A313,Hshldprojections2014!$A$2:$AW$319,31, FALSE))/10</f>
        <v>313.89999999999998</v>
      </c>
      <c r="AC313" s="267">
        <f>(VLOOKUP(A313,Hshldprojections2014!$A$2:$AW$319,42, FALSE)-VLOOKUP(A313,Hshldprojections2014!$A$2:$AW$319,32, FALSE))/10</f>
        <v>306.5</v>
      </c>
      <c r="AD313" s="267">
        <f>IF(IndividualLATest!$J$7=2014,(VLOOKUP($A313,Hshldprojections2014!$A$2:$AY$326,43,FALSE)-VLOOKUP($A313,Hshldprojections2014!$A$2:$AY$326,33,FALSE))/10,IF(IndividualLATest!$J$7=2016,(VLOOKUP($A313,Hshldprojections2016!$A$1:$AQ$322,33,FALSE)-VLOOKUP($A313,Hshldprojections2016!$A$1:$AQ$322,23,FALSE))/10,(VLOOKUP($A313,Hshldprojections2018!$A$1:$AQ$327,33,FALSE)-VLOOKUP($A313,Hshldprojections2018!$A$1:$AQ$327,23,FALSE))/10))</f>
        <v>181.6</v>
      </c>
      <c r="AE313" s="267">
        <f>IF(IndividualLATest!$J$7=2014,(VLOOKUP($A313,Hshldprojections2014!$A$2:$AY$326,44,FALSE)-VLOOKUP($A313,Hshldprojections2014!$A$2:$AY$326,34,FALSE))/10,IF(IndividualLATest!$J$7=2016,(VLOOKUP($A313,Hshldprojections2016!$A$1:$AQ$322,34,FALSE)-VLOOKUP($A313,Hshldprojections2016!$A$1:$AQ$322,24,FALSE))/10,(VLOOKUP($A313,Hshldprojections2018!$A$1:$AQ$327,34,FALSE)-VLOOKUP($A313,Hshldprojections2018!$A$1:$AQ$327,24,FALSE))/10))</f>
        <v>186.3</v>
      </c>
      <c r="AF313" s="267">
        <f>IF(IndividualLATest!$J$7=2014,(VLOOKUP($A313,Hshldprojections2014!$A$2:$AY$326,45,FALSE)-VLOOKUP($A313,Hshldprojections2014!$A$2:$AY$326,35,FALSE))/10,IF(IndividualLATest!$J$7=2016,(VLOOKUP($A313,Hshldprojections2016!$A$1:$AQ$322,35,FALSE)-VLOOKUP($A313,Hshldprojections2016!$A$1:$AQ$322,25,FALSE))/10,(VLOOKUP($A313,Hshldprojections2018!$A$1:$AQ$327,35,FALSE)-VLOOKUP($A313,Hshldprojections2018!$A$1:$AQ$327,25,FALSE))/10))</f>
        <v>192.6</v>
      </c>
      <c r="AG313" s="267">
        <f>IF(IndividualLATest!$J$7=2014,(VLOOKUP($A313,Hshldprojections2014!$A$2:$AY$326,46,FALSE)-VLOOKUP($A313,Hshldprojections2014!$A$2:$AY$326,36,FALSE))/10,IF(IndividualLATest!$J$7=2016,(VLOOKUP($A313,Hshldprojections2016!$A$1:$AQ$322,36,FALSE)-VLOOKUP($A313,Hshldprojections2016!$A$1:$AQ$322,26,FALSE))/10,(VLOOKUP($A313,Hshldprojections2018!$A$1:$AQ$327,36,FALSE)-VLOOKUP($A313,Hshldprojections2018!$A$1:$AQ$327,26,FALSE))/10))</f>
        <v>195.6</v>
      </c>
      <c r="AH313" s="267">
        <f>IF(IndividualLATest!$J$7=2014,(VLOOKUP($A313,Hshldprojections2014!$A$2:$AY$326,47,FALSE)-VLOOKUP($A313,Hshldprojections2014!$A$2:$AY$326,37,FALSE))/10,IF(IndividualLATest!$J$7=2016,(VLOOKUP($A313,Hshldprojections2016!$A$1:$AQ$322,37,FALSE)-VLOOKUP($A313,Hshldprojections2016!$A$1:$AQ$322,27,FALSE))/10,(VLOOKUP($A313,Hshldprojections2018!$A$1:$AQ$327,37,FALSE)-VLOOKUP($A313,Hshldprojections2018!$A$1:$AQ$327,27,FALSE))/10))</f>
        <v>197.5</v>
      </c>
      <c r="AI313" s="268">
        <f>VLOOKUP($A313,AffordabilityRatio!$A$2:$I$321,5,FALSE)</f>
        <v>6.71</v>
      </c>
      <c r="AJ313" s="268">
        <f>VLOOKUP($A313,AffordabilityRatio!$A$2:$I$321,6,FALSE)</f>
        <v>6.79</v>
      </c>
      <c r="AK313" s="268">
        <f>VLOOKUP($A313,AffordabilityRatio!$A$2:$I$321,7,FALSE)</f>
        <v>6.86</v>
      </c>
      <c r="AL313" s="268">
        <f>IF((VLOOKUP($A313,AffordabilityRatio!$A$2:$I$321,8,FALSE))="",AK313,VLOOKUP($A313,AffordabilityRatio!$A$2:$I$321,8,FALSE))</f>
        <v>7.3</v>
      </c>
      <c r="AM313" s="268">
        <f>IF((VLOOKUP($A313,AffordabilityRatio!$A$2:$I$321,9,FALSE))="",AL313,VLOOKUP($A313,AffordabilityRatio!$A$2:$I$321,9,FALSE))</f>
        <v>8.26</v>
      </c>
      <c r="AN313" s="268">
        <f>IF((VLOOKUP($A313,AffordabilityRatio!$A$2:$I$321,9,FALSE))="",AM313,VLOOKUP($A313,AffordabilityRatio!$A$2:$I$321,9,FALSE))</f>
        <v>8.26</v>
      </c>
      <c r="AO313" s="268">
        <f>IF((VLOOKUP($A313,AffordabilityRatio!$A$2:$I$321,9,FALSE))="",AN313,VLOOKUP($A313,AffordabilityRatio!$A$2:$I$321,9,FALSE))</f>
        <v>8.26</v>
      </c>
      <c r="AP313" s="268">
        <f>IF((VLOOKUP($A313,AffordabilityRatio!$A$2:$I$321,9,FALSE))="",AO313,VLOOKUP($A313,AffordabilityRatio!$A$2:$I$321,9,FALSE))</f>
        <v>8.26</v>
      </c>
      <c r="AQ313" s="267">
        <f t="shared" si="282"/>
        <v>374</v>
      </c>
      <c r="AR313" s="267">
        <f t="shared" si="283"/>
        <v>369</v>
      </c>
      <c r="AS313" s="267">
        <f t="shared" si="284"/>
        <v>361</v>
      </c>
      <c r="AT313" s="267">
        <f t="shared" si="285"/>
        <v>219</v>
      </c>
      <c r="AU313" s="267">
        <f t="shared" si="286"/>
        <v>236</v>
      </c>
      <c r="AV313" s="267">
        <f t="shared" si="287"/>
        <v>244</v>
      </c>
      <c r="AW313" s="267">
        <f t="shared" si="288"/>
        <v>248</v>
      </c>
      <c r="AX313" s="267">
        <f t="shared" si="289"/>
        <v>250</v>
      </c>
      <c r="AY313" s="267">
        <f t="shared" si="290"/>
        <v>374</v>
      </c>
      <c r="AZ313" s="267">
        <f t="shared" si="291"/>
        <v>369</v>
      </c>
      <c r="BA313" s="267">
        <f t="shared" si="292"/>
        <v>361</v>
      </c>
      <c r="BB313" s="267">
        <f t="shared" si="293"/>
        <v>219</v>
      </c>
      <c r="BC313" s="267">
        <f t="shared" si="294"/>
        <v>236</v>
      </c>
      <c r="BD313" s="267">
        <f t="shared" si="295"/>
        <v>244</v>
      </c>
      <c r="BE313" s="267">
        <f t="shared" si="296"/>
        <v>248</v>
      </c>
      <c r="BF313" s="267">
        <f t="shared" si="297"/>
        <v>250</v>
      </c>
      <c r="BG313" s="269">
        <f>AY313*VLOOKUP($B313,'Major Cities &amp; Towns'!$A$28:$B$345,2,FALSE)</f>
        <v>374</v>
      </c>
      <c r="BH313" s="269">
        <f>AZ313*VLOOKUP($B313,'Major Cities &amp; Towns'!$A$28:$B$345,2,FALSE)</f>
        <v>369</v>
      </c>
      <c r="BI313" s="269">
        <f>BA313*VLOOKUP($B313,'Major Cities &amp; Towns'!$A$28:$B$345,2,FALSE)</f>
        <v>361</v>
      </c>
      <c r="BJ313" s="269">
        <f>BB313*VLOOKUP($B313,'Major Cities &amp; Towns'!$A$28:$B$345,2,FALSE)</f>
        <v>219</v>
      </c>
      <c r="BK313" s="269">
        <f>BC313*VLOOKUP($B313,'Major Cities &amp; Towns'!$A$28:$B$345,2,FALSE)</f>
        <v>236</v>
      </c>
      <c r="BL313" s="269">
        <f>BD313*VLOOKUP($B313,'Major Cities &amp; Towns'!$A$28:$B$345,2,FALSE)</f>
        <v>244</v>
      </c>
      <c r="BM313" s="269">
        <f>BE313*VLOOKUP($B313,'Major Cities &amp; Towns'!$A$28:$B$345,2,FALSE)</f>
        <v>248</v>
      </c>
      <c r="BN313" s="269">
        <f>BF313*VLOOKUP($B313,'Major Cities &amp; Towns'!$A$28:$B$345,2,FALSE)</f>
        <v>250</v>
      </c>
      <c r="BO313" s="270">
        <f t="shared" si="298"/>
        <v>283.33333333333331</v>
      </c>
      <c r="BP313" s="270">
        <f t="shared" si="299"/>
        <v>283.33333333333331</v>
      </c>
      <c r="BQ313" s="270">
        <f t="shared" si="300"/>
        <v>290.78082191780823</v>
      </c>
      <c r="BR313" s="270">
        <f t="shared" si="301"/>
        <v>219</v>
      </c>
      <c r="BS313" s="270">
        <f t="shared" si="302"/>
        <v>236</v>
      </c>
      <c r="BT313" s="270">
        <f t="shared" si="303"/>
        <v>244</v>
      </c>
      <c r="BU313" s="270">
        <f t="shared" si="304"/>
        <v>248</v>
      </c>
      <c r="BV313" s="270">
        <f t="shared" si="305"/>
        <v>250</v>
      </c>
      <c r="BW313" s="39">
        <f>VLOOKUP($A313,NetAdditions!$A$2:$H$336,6,FALSE)</f>
        <v>234</v>
      </c>
      <c r="BX313" s="39">
        <f>VLOOKUP($A313,NetAdditions!$A$2:$H$336,7,FALSE)</f>
        <v>216</v>
      </c>
      <c r="BY313" s="39">
        <f>IF((VLOOKUP($C313,NetAdditions!$A$2:$H$336,8,FALSE))="",(AVERAGE(VLOOKUP($C313,NetAdditions!$A$2:$H$336,5,FALSE),VLOOKUP($C313,NetAdditions!$A$2:$H$336,6,FALSE),VLOOKUP($C313,NetAdditions!$A$2:$H$336,7,FALSE))),VLOOKUP($C313,NetAdditions!$A$2:$H$336,8,FALSE))</f>
        <v>346</v>
      </c>
      <c r="BZ313" s="39">
        <f t="shared" si="306"/>
        <v>265.33333333333331</v>
      </c>
      <c r="CA313" s="39">
        <f t="shared" si="307"/>
        <v>275.77777777777777</v>
      </c>
      <c r="CB313" s="39">
        <f t="shared" si="308"/>
        <v>295.7037037037037</v>
      </c>
      <c r="CC313" s="39">
        <f t="shared" si="309"/>
        <v>278.93827160493828</v>
      </c>
      <c r="CD313" s="39">
        <f t="shared" si="310"/>
        <v>283.4732510288066</v>
      </c>
      <c r="CE313" s="276">
        <f t="shared" si="267"/>
        <v>857.44748858447485</v>
      </c>
      <c r="CF313" s="276">
        <f t="shared" si="268"/>
        <v>793.11415525114148</v>
      </c>
      <c r="CG313" s="276">
        <f t="shared" si="269"/>
        <v>745.78082191780823</v>
      </c>
      <c r="CH313" s="276">
        <f t="shared" si="270"/>
        <v>699</v>
      </c>
      <c r="CI313" s="276">
        <f t="shared" si="271"/>
        <v>728</v>
      </c>
      <c r="CJ313" s="276">
        <f t="shared" si="272"/>
        <v>742</v>
      </c>
      <c r="CK313" s="276">
        <f t="shared" si="311"/>
        <v>738.35755961440896</v>
      </c>
      <c r="CL313" s="276">
        <f t="shared" si="312"/>
        <v>682.9594114662608</v>
      </c>
      <c r="CM313" s="276">
        <f t="shared" si="313"/>
        <v>683.63242009132421</v>
      </c>
      <c r="CN313" s="276">
        <f t="shared" si="314"/>
        <v>699</v>
      </c>
      <c r="CO313" s="276">
        <f t="shared" si="315"/>
        <v>728</v>
      </c>
      <c r="CP313" s="276">
        <f t="shared" si="316"/>
        <v>742</v>
      </c>
      <c r="CQ313" s="39">
        <f t="shared" si="273"/>
        <v>796</v>
      </c>
      <c r="CR313" s="39">
        <f t="shared" si="274"/>
        <v>827.33333333333326</v>
      </c>
      <c r="CS313" s="277">
        <f t="shared" si="275"/>
        <v>887.11111111111109</v>
      </c>
      <c r="CT313" s="39">
        <f t="shared" si="276"/>
        <v>836.81481481481478</v>
      </c>
      <c r="CU313" s="39">
        <f t="shared" si="277"/>
        <v>850.41975308641986</v>
      </c>
      <c r="CV313" s="39">
        <f t="shared" si="317"/>
        <v>858.11522633744858</v>
      </c>
      <c r="CW313" s="297">
        <f t="shared" si="278"/>
        <v>1.0780684637612346</v>
      </c>
      <c r="CX313" s="279" t="str">
        <f t="shared" si="318"/>
        <v>Pass</v>
      </c>
      <c r="CY313" s="278">
        <f t="shared" si="279"/>
        <v>1.2113945857442874</v>
      </c>
      <c r="CZ313" s="279" t="str">
        <f t="shared" si="319"/>
        <v>Pass</v>
      </c>
      <c r="DA313" s="278">
        <f t="shared" si="280"/>
        <v>1.2976434192407154</v>
      </c>
      <c r="DB313" s="292" t="str">
        <f t="shared" si="320"/>
        <v>Pass</v>
      </c>
      <c r="DC313" s="299">
        <f t="shared" si="321"/>
        <v>1.1971599639696922</v>
      </c>
      <c r="DD313" s="293" t="str">
        <f t="shared" si="322"/>
        <v>Pass</v>
      </c>
      <c r="DE313" s="299">
        <f t="shared" si="323"/>
        <v>1.1681590014923349</v>
      </c>
      <c r="DF313" s="293" t="str">
        <f t="shared" si="324"/>
        <v>Pass</v>
      </c>
      <c r="DG313" s="299">
        <f t="shared" si="325"/>
        <v>1.1564895233658337</v>
      </c>
      <c r="DH313" s="293" t="str">
        <f t="shared" si="326"/>
        <v>Pass</v>
      </c>
    </row>
    <row r="314" spans="1:112" ht="15" thickTop="1" thickBot="1">
      <c r="A314" s="38" t="s">
        <v>738</v>
      </c>
      <c r="B314" s="38" t="s">
        <v>739</v>
      </c>
      <c r="C314" s="38" t="s">
        <v>738</v>
      </c>
      <c r="D314" s="38" t="s">
        <v>113</v>
      </c>
      <c r="E314" s="38" t="str">
        <f>VLOOKUP(C314,PoliticalControl!A:K,11,FALSE)</f>
        <v>CON</v>
      </c>
      <c r="F314" s="38" t="str">
        <f>VLOOKUP(C314,UrbanRuralClassification!A:N,13,FALSE)</f>
        <v>Urban with City and Town</v>
      </c>
      <c r="G314" s="38" t="str">
        <f>VLOOKUP(C314,UrbanRuralClassification!A:N,14,FALSE)</f>
        <v>Predominantly Urban</v>
      </c>
      <c r="H314" s="258">
        <f>IF(ISBLANK((VLOOKUP($A314,'local-plan-data'!$C$1:$AD$566,27,FALSE)))=TRUE,"",VLOOKUP($A314,'local-plan-data'!$C$1:$AD$566,27,FALSE))</f>
        <v>40645</v>
      </c>
      <c r="I314" s="259">
        <f>VLOOKUP($A314,'local-plan-data'!$C$1:$AD$566,28,FALSE)</f>
        <v>200</v>
      </c>
      <c r="J314" s="260">
        <f t="shared" si="281"/>
        <v>200</v>
      </c>
      <c r="K314" s="259" t="str">
        <f t="shared" si="331"/>
        <v>-</v>
      </c>
      <c r="L314" s="259" t="str">
        <f t="shared" si="329"/>
        <v>-</v>
      </c>
      <c r="M314" s="259" t="str">
        <f t="shared" si="329"/>
        <v>-</v>
      </c>
      <c r="N314" s="259" t="str">
        <f t="shared" si="329"/>
        <v>-</v>
      </c>
      <c r="O314" s="259" t="str">
        <f t="shared" si="329"/>
        <v>-</v>
      </c>
      <c r="P314" s="259" t="str">
        <f t="shared" si="329"/>
        <v>-</v>
      </c>
      <c r="Q314" s="259" t="str">
        <f t="shared" si="329"/>
        <v>-</v>
      </c>
      <c r="R314" s="259" t="str">
        <f t="shared" si="329"/>
        <v>-</v>
      </c>
      <c r="S314" s="259">
        <f t="shared" si="332"/>
        <v>-719</v>
      </c>
      <c r="T314" s="259">
        <f t="shared" si="330"/>
        <v>-1084</v>
      </c>
      <c r="U314" s="259">
        <f t="shared" si="330"/>
        <v>-1450</v>
      </c>
      <c r="V314" s="259">
        <f t="shared" si="330"/>
        <v>-1815</v>
      </c>
      <c r="W314" s="259">
        <f t="shared" si="330"/>
        <v>-2180</v>
      </c>
      <c r="X314" s="259">
        <f t="shared" si="330"/>
        <v>-2545</v>
      </c>
      <c r="Y314" s="259">
        <f t="shared" si="330"/>
        <v>-2911</v>
      </c>
      <c r="Z314" s="259">
        <f t="shared" si="330"/>
        <v>-3276</v>
      </c>
      <c r="AA314" s="267">
        <f>(VLOOKUP(A314,Hshldprojections2014!$A$2:$AW$319,40, FALSE)-VLOOKUP(A314,Hshldprojections2014!$A$2:$AW$319,30, FALSE))/10</f>
        <v>623.5</v>
      </c>
      <c r="AB314" s="267">
        <f>(VLOOKUP(A314,Hshldprojections2014!$A$2:$AW$319,41, FALSE)-VLOOKUP(A314,Hshldprojections2014!$A$2:$AW$319,31, FALSE))/10</f>
        <v>628.6</v>
      </c>
      <c r="AC314" s="267">
        <f>(VLOOKUP(A314,Hshldprojections2014!$A$2:$AW$319,42, FALSE)-VLOOKUP(A314,Hshldprojections2014!$A$2:$AW$319,32, FALSE))/10</f>
        <v>632.29999999999995</v>
      </c>
      <c r="AD314" s="267">
        <f>IF(IndividualLATest!$J$7=2014,(VLOOKUP($A314,Hshldprojections2014!$A$2:$AY$326,43,FALSE)-VLOOKUP($A314,Hshldprojections2014!$A$2:$AY$326,33,FALSE))/10,IF(IndividualLATest!$J$7=2016,(VLOOKUP($A314,Hshldprojections2016!$A$1:$AQ$322,33,FALSE)-VLOOKUP($A314,Hshldprojections2016!$A$1:$AQ$322,23,FALSE))/10,(VLOOKUP($A314,Hshldprojections2018!$A$1:$AQ$327,33,FALSE)-VLOOKUP($A314,Hshldprojections2018!$A$1:$AQ$327,23,FALSE))/10))</f>
        <v>386.7</v>
      </c>
      <c r="AE314" s="267">
        <f>IF(IndividualLATest!$J$7=2014,(VLOOKUP($A314,Hshldprojections2014!$A$2:$AY$326,44,FALSE)-VLOOKUP($A314,Hshldprojections2014!$A$2:$AY$326,34,FALSE))/10,IF(IndividualLATest!$J$7=2016,(VLOOKUP($A314,Hshldprojections2016!$A$1:$AQ$322,34,FALSE)-VLOOKUP($A314,Hshldprojections2016!$A$1:$AQ$322,24,FALSE))/10,(VLOOKUP($A314,Hshldprojections2018!$A$1:$AQ$327,34,FALSE)-VLOOKUP($A314,Hshldprojections2018!$A$1:$AQ$327,24,FALSE))/10))</f>
        <v>382.1</v>
      </c>
      <c r="AF314" s="267">
        <f>IF(IndividualLATest!$J$7=2014,(VLOOKUP($A314,Hshldprojections2014!$A$2:$AY$326,45,FALSE)-VLOOKUP($A314,Hshldprojections2014!$A$2:$AY$326,35,FALSE))/10,IF(IndividualLATest!$J$7=2016,(VLOOKUP($A314,Hshldprojections2016!$A$1:$AQ$322,35,FALSE)-VLOOKUP($A314,Hshldprojections2016!$A$1:$AQ$322,25,FALSE))/10,(VLOOKUP($A314,Hshldprojections2018!$A$1:$AQ$327,35,FALSE)-VLOOKUP($A314,Hshldprojections2018!$A$1:$AQ$327,25,FALSE))/10))</f>
        <v>377.3</v>
      </c>
      <c r="AG314" s="267">
        <f>IF(IndividualLATest!$J$7=2014,(VLOOKUP($A314,Hshldprojections2014!$A$2:$AY$326,46,FALSE)-VLOOKUP($A314,Hshldprojections2014!$A$2:$AY$326,36,FALSE))/10,IF(IndividualLATest!$J$7=2016,(VLOOKUP($A314,Hshldprojections2016!$A$1:$AQ$322,36,FALSE)-VLOOKUP($A314,Hshldprojections2016!$A$1:$AQ$322,26,FALSE))/10,(VLOOKUP($A314,Hshldprojections2018!$A$1:$AQ$327,36,FALSE)-VLOOKUP($A314,Hshldprojections2018!$A$1:$AQ$327,26,FALSE))/10))</f>
        <v>373.4</v>
      </c>
      <c r="AH314" s="267">
        <f>IF(IndividualLATest!$J$7=2014,(VLOOKUP($A314,Hshldprojections2014!$A$2:$AY$326,47,FALSE)-VLOOKUP($A314,Hshldprojections2014!$A$2:$AY$326,37,FALSE))/10,IF(IndividualLATest!$J$7=2016,(VLOOKUP($A314,Hshldprojections2016!$A$1:$AQ$322,37,FALSE)-VLOOKUP($A314,Hshldprojections2016!$A$1:$AQ$322,27,FALSE))/10,(VLOOKUP($A314,Hshldprojections2018!$A$1:$AQ$327,37,FALSE)-VLOOKUP($A314,Hshldprojections2018!$A$1:$AQ$327,27,FALSE))/10))</f>
        <v>371.8</v>
      </c>
      <c r="AI314" s="268">
        <f>VLOOKUP($A314,AffordabilityRatio!$A$2:$I$321,5,FALSE)</f>
        <v>11.36</v>
      </c>
      <c r="AJ314" s="268">
        <f>VLOOKUP($A314,AffordabilityRatio!$A$2:$I$321,6,FALSE)</f>
        <v>11.73</v>
      </c>
      <c r="AK314" s="268">
        <f>VLOOKUP($A314,AffordabilityRatio!$A$2:$I$321,7,FALSE)</f>
        <v>10.64</v>
      </c>
      <c r="AL314" s="268">
        <f>IF((VLOOKUP($A314,AffordabilityRatio!$A$2:$I$321,8,FALSE))="",AK314,VLOOKUP($A314,AffordabilityRatio!$A$2:$I$321,8,FALSE))</f>
        <v>9.7100000000000009</v>
      </c>
      <c r="AM314" s="268">
        <f>IF((VLOOKUP($A314,AffordabilityRatio!$A$2:$I$321,9,FALSE))="",AL314,VLOOKUP($A314,AffordabilityRatio!$A$2:$I$321,9,FALSE))</f>
        <v>11.32</v>
      </c>
      <c r="AN314" s="268">
        <f>IF((VLOOKUP($A314,AffordabilityRatio!$A$2:$I$321,9,FALSE))="",AM314,VLOOKUP($A314,AffordabilityRatio!$A$2:$I$321,9,FALSE))</f>
        <v>11.32</v>
      </c>
      <c r="AO314" s="268">
        <f>IF((VLOOKUP($A314,AffordabilityRatio!$A$2:$I$321,9,FALSE))="",AN314,VLOOKUP($A314,AffordabilityRatio!$A$2:$I$321,9,FALSE))</f>
        <v>11.32</v>
      </c>
      <c r="AP314" s="268">
        <f>IF((VLOOKUP($A314,AffordabilityRatio!$A$2:$I$321,9,FALSE))="",AO314,VLOOKUP($A314,AffordabilityRatio!$A$2:$I$321,9,FALSE))</f>
        <v>11.32</v>
      </c>
      <c r="AQ314" s="267">
        <f t="shared" si="282"/>
        <v>910</v>
      </c>
      <c r="AR314" s="267">
        <f t="shared" si="283"/>
        <v>932</v>
      </c>
      <c r="AS314" s="267">
        <f t="shared" si="284"/>
        <v>895</v>
      </c>
      <c r="AT314" s="267">
        <f t="shared" si="285"/>
        <v>525</v>
      </c>
      <c r="AU314" s="267">
        <f t="shared" si="286"/>
        <v>557</v>
      </c>
      <c r="AV314" s="267">
        <f t="shared" si="287"/>
        <v>550</v>
      </c>
      <c r="AW314" s="267">
        <f t="shared" si="288"/>
        <v>544</v>
      </c>
      <c r="AX314" s="267">
        <f t="shared" si="289"/>
        <v>542</v>
      </c>
      <c r="AY314" s="267">
        <f t="shared" si="290"/>
        <v>872.9</v>
      </c>
      <c r="AZ314" s="267">
        <f t="shared" si="291"/>
        <v>880.04000000000008</v>
      </c>
      <c r="BA314" s="267">
        <f t="shared" si="292"/>
        <v>885.21999999999991</v>
      </c>
      <c r="BB314" s="267">
        <f t="shared" si="293"/>
        <v>525</v>
      </c>
      <c r="BC314" s="267">
        <f t="shared" si="294"/>
        <v>534.94000000000005</v>
      </c>
      <c r="BD314" s="267">
        <f t="shared" si="295"/>
        <v>528.22</v>
      </c>
      <c r="BE314" s="267">
        <f t="shared" si="296"/>
        <v>522.76</v>
      </c>
      <c r="BF314" s="267">
        <f t="shared" si="297"/>
        <v>520.52</v>
      </c>
      <c r="BG314" s="269">
        <f>AY314*VLOOKUP($B314,'Major Cities &amp; Towns'!$A$28:$B$345,2,FALSE)</f>
        <v>872.9</v>
      </c>
      <c r="BH314" s="269">
        <f>AZ314*VLOOKUP($B314,'Major Cities &amp; Towns'!$A$28:$B$345,2,FALSE)</f>
        <v>880.04000000000008</v>
      </c>
      <c r="BI314" s="269">
        <f>BA314*VLOOKUP($B314,'Major Cities &amp; Towns'!$A$28:$B$345,2,FALSE)</f>
        <v>885.21999999999991</v>
      </c>
      <c r="BJ314" s="269">
        <f>BB314*VLOOKUP($B314,'Major Cities &amp; Towns'!$A$28:$B$345,2,FALSE)</f>
        <v>525</v>
      </c>
      <c r="BK314" s="269">
        <f>BC314*VLOOKUP($B314,'Major Cities &amp; Towns'!$A$28:$B$345,2,FALSE)</f>
        <v>534.94000000000005</v>
      </c>
      <c r="BL314" s="269">
        <f>BD314*VLOOKUP($B314,'Major Cities &amp; Towns'!$A$28:$B$345,2,FALSE)</f>
        <v>528.22</v>
      </c>
      <c r="BM314" s="269">
        <f>BE314*VLOOKUP($B314,'Major Cities &amp; Towns'!$A$28:$B$345,2,FALSE)</f>
        <v>522.76</v>
      </c>
      <c r="BN314" s="269">
        <f>BF314*VLOOKUP($B314,'Major Cities &amp; Towns'!$A$28:$B$345,2,FALSE)</f>
        <v>520.52</v>
      </c>
      <c r="BO314" s="270">
        <f t="shared" si="298"/>
        <v>910</v>
      </c>
      <c r="BP314" s="270">
        <f t="shared" si="299"/>
        <v>932</v>
      </c>
      <c r="BQ314" s="270">
        <f t="shared" si="300"/>
        <v>895</v>
      </c>
      <c r="BR314" s="270">
        <f t="shared" si="301"/>
        <v>525</v>
      </c>
      <c r="BS314" s="270">
        <f t="shared" si="302"/>
        <v>557</v>
      </c>
      <c r="BT314" s="270">
        <f t="shared" si="303"/>
        <v>550</v>
      </c>
      <c r="BU314" s="270">
        <f t="shared" si="304"/>
        <v>544</v>
      </c>
      <c r="BV314" s="270">
        <f t="shared" si="305"/>
        <v>542</v>
      </c>
      <c r="BW314" s="39">
        <f>VLOOKUP($A314,NetAdditions!$A$2:$H$336,6,FALSE)</f>
        <v>292</v>
      </c>
      <c r="BX314" s="39">
        <f>VLOOKUP($A314,NetAdditions!$A$2:$H$336,7,FALSE)</f>
        <v>396</v>
      </c>
      <c r="BY314" s="39">
        <f>IF((VLOOKUP($C314,NetAdditions!$A$2:$H$336,8,FALSE))="",(AVERAGE(VLOOKUP($C314,NetAdditions!$A$2:$H$336,5,FALSE),VLOOKUP($C314,NetAdditions!$A$2:$H$336,6,FALSE),VLOOKUP($C314,NetAdditions!$A$2:$H$336,7,FALSE))),VLOOKUP($C314,NetAdditions!$A$2:$H$336,8,FALSE))</f>
        <v>107</v>
      </c>
      <c r="BZ314" s="39">
        <f t="shared" si="306"/>
        <v>265</v>
      </c>
      <c r="CA314" s="39">
        <f t="shared" si="307"/>
        <v>256</v>
      </c>
      <c r="CB314" s="39">
        <f t="shared" si="308"/>
        <v>209.33333333333334</v>
      </c>
      <c r="CC314" s="39">
        <f t="shared" si="309"/>
        <v>243.44444444444446</v>
      </c>
      <c r="CD314" s="39">
        <f t="shared" si="310"/>
        <v>236.25925925925927</v>
      </c>
      <c r="CE314" s="276">
        <f t="shared" si="267"/>
        <v>2737</v>
      </c>
      <c r="CF314" s="276">
        <f t="shared" si="268"/>
        <v>2352</v>
      </c>
      <c r="CG314" s="276">
        <f t="shared" si="269"/>
        <v>1977</v>
      </c>
      <c r="CH314" s="276">
        <f t="shared" si="270"/>
        <v>1632</v>
      </c>
      <c r="CI314" s="276">
        <f t="shared" si="271"/>
        <v>1651</v>
      </c>
      <c r="CJ314" s="276">
        <f t="shared" si="272"/>
        <v>1636</v>
      </c>
      <c r="CK314" s="276">
        <f t="shared" si="311"/>
        <v>2356.8611111111113</v>
      </c>
      <c r="CL314" s="276">
        <f t="shared" si="312"/>
        <v>2025.3333333333335</v>
      </c>
      <c r="CM314" s="276">
        <f t="shared" si="313"/>
        <v>1812.25</v>
      </c>
      <c r="CN314" s="276">
        <f t="shared" si="314"/>
        <v>1632</v>
      </c>
      <c r="CO314" s="276">
        <f t="shared" si="315"/>
        <v>1651</v>
      </c>
      <c r="CP314" s="276">
        <f t="shared" si="316"/>
        <v>1636</v>
      </c>
      <c r="CQ314" s="39">
        <f t="shared" si="273"/>
        <v>795</v>
      </c>
      <c r="CR314" s="39">
        <f t="shared" si="274"/>
        <v>768</v>
      </c>
      <c r="CS314" s="277">
        <f t="shared" si="275"/>
        <v>628</v>
      </c>
      <c r="CT314" s="39">
        <f t="shared" si="276"/>
        <v>730.33333333333337</v>
      </c>
      <c r="CU314" s="39">
        <f t="shared" si="277"/>
        <v>708.77777777777783</v>
      </c>
      <c r="CV314" s="39">
        <f t="shared" si="317"/>
        <v>689.03703703703707</v>
      </c>
      <c r="CW314" s="297">
        <f t="shared" si="278"/>
        <v>0.33731304583544497</v>
      </c>
      <c r="CX314" s="279" t="str">
        <f t="shared" si="318"/>
        <v>Buffer and Action Plan</v>
      </c>
      <c r="CY314" s="278">
        <f t="shared" si="279"/>
        <v>0.37919684002633308</v>
      </c>
      <c r="CZ314" s="279" t="str">
        <f t="shared" si="319"/>
        <v>Presumption</v>
      </c>
      <c r="DA314" s="278">
        <f t="shared" si="280"/>
        <v>0.34653055593875015</v>
      </c>
      <c r="DB314" s="292" t="str">
        <f t="shared" si="320"/>
        <v>Presumption</v>
      </c>
      <c r="DC314" s="299">
        <f t="shared" si="321"/>
        <v>0.44750816993464054</v>
      </c>
      <c r="DD314" s="293" t="str">
        <f t="shared" si="322"/>
        <v>Presumption</v>
      </c>
      <c r="DE314" s="299">
        <f t="shared" si="323"/>
        <v>0.42930210646746081</v>
      </c>
      <c r="DF314" s="293" t="str">
        <f t="shared" si="324"/>
        <v>Presumption</v>
      </c>
      <c r="DG314" s="299">
        <f t="shared" si="325"/>
        <v>0.42117178302997377</v>
      </c>
      <c r="DH314" s="293" t="str">
        <f t="shared" si="326"/>
        <v>Presumption</v>
      </c>
    </row>
    <row r="315" spans="1:112" ht="15" thickTop="1" thickBot="1">
      <c r="A315" s="38" t="s">
        <v>740</v>
      </c>
      <c r="B315" s="38" t="s">
        <v>741</v>
      </c>
      <c r="C315" s="38" t="s">
        <v>740</v>
      </c>
      <c r="D315" s="38" t="s">
        <v>154</v>
      </c>
      <c r="E315" s="38" t="str">
        <f>VLOOKUP(C315,PoliticalControl!A:K,11,FALSE)</f>
        <v>CON</v>
      </c>
      <c r="F315" s="38" t="str">
        <f>VLOOKUP(C315,UrbanRuralClassification!A:N,13,FALSE)</f>
        <v xml:space="preserve">Mainly Rural (rural including hub towns &gt;=80%) </v>
      </c>
      <c r="G315" s="38" t="str">
        <f>VLOOKUP(C315,UrbanRuralClassification!A:N,14,FALSE)</f>
        <v>Predominantly Rural</v>
      </c>
      <c r="H315" s="258">
        <f>IF(ISBLANK((VLOOKUP($A315,'local-plan-data'!$C$1:$AD$566,27,FALSE)))=TRUE,"",VLOOKUP($A315,'local-plan-data'!$C$1:$AD$566,27,FALSE))</f>
        <v>42425</v>
      </c>
      <c r="I315" s="259">
        <f>VLOOKUP($A315,'local-plan-data'!$C$1:$AD$566,28,FALSE)</f>
        <v>479.16666666666669</v>
      </c>
      <c r="J315" s="260">
        <f t="shared" si="281"/>
        <v>479.16666666666669</v>
      </c>
      <c r="K315" s="259">
        <f t="shared" si="331"/>
        <v>479.16666666666669</v>
      </c>
      <c r="L315" s="259">
        <f t="shared" si="329"/>
        <v>479.16666666666669</v>
      </c>
      <c r="M315" s="259">
        <f t="shared" si="329"/>
        <v>479.16666666666669</v>
      </c>
      <c r="N315" s="259" t="str">
        <f t="shared" si="329"/>
        <v>-</v>
      </c>
      <c r="O315" s="259" t="str">
        <f t="shared" si="329"/>
        <v>-</v>
      </c>
      <c r="P315" s="259" t="str">
        <f t="shared" si="329"/>
        <v>-</v>
      </c>
      <c r="Q315" s="259" t="str">
        <f t="shared" si="329"/>
        <v>-</v>
      </c>
      <c r="R315" s="259" t="str">
        <f t="shared" si="329"/>
        <v>-</v>
      </c>
      <c r="S315" s="259">
        <f t="shared" si="332"/>
        <v>1061</v>
      </c>
      <c r="T315" s="259">
        <f t="shared" si="330"/>
        <v>696</v>
      </c>
      <c r="U315" s="259">
        <f t="shared" si="330"/>
        <v>330</v>
      </c>
      <c r="V315" s="259">
        <f t="shared" si="330"/>
        <v>-35</v>
      </c>
      <c r="W315" s="259">
        <f t="shared" si="330"/>
        <v>-400</v>
      </c>
      <c r="X315" s="259">
        <f t="shared" si="330"/>
        <v>-765</v>
      </c>
      <c r="Y315" s="259">
        <f t="shared" si="330"/>
        <v>-1131</v>
      </c>
      <c r="Z315" s="259">
        <f t="shared" si="330"/>
        <v>-1496</v>
      </c>
      <c r="AA315" s="267">
        <f>(VLOOKUP(A315,Hshldprojections2014!$A$2:$AW$319,40, FALSE)-VLOOKUP(A315,Hshldprojections2014!$A$2:$AW$319,30, FALSE))/10</f>
        <v>375.4</v>
      </c>
      <c r="AB315" s="267">
        <f>(VLOOKUP(A315,Hshldprojections2014!$A$2:$AW$319,41, FALSE)-VLOOKUP(A315,Hshldprojections2014!$A$2:$AW$319,31, FALSE))/10</f>
        <v>372.2</v>
      </c>
      <c r="AC315" s="267">
        <f>(VLOOKUP(A315,Hshldprojections2014!$A$2:$AW$319,42, FALSE)-VLOOKUP(A315,Hshldprojections2014!$A$2:$AW$319,32, FALSE))/10</f>
        <v>368.2</v>
      </c>
      <c r="AD315" s="267">
        <f>IF(IndividualLATest!$J$7=2014,(VLOOKUP($A315,Hshldprojections2014!$A$2:$AY$326,43,FALSE)-VLOOKUP($A315,Hshldprojections2014!$A$2:$AY$326,33,FALSE))/10,IF(IndividualLATest!$J$7=2016,(VLOOKUP($A315,Hshldprojections2016!$A$1:$AQ$322,33,FALSE)-VLOOKUP($A315,Hshldprojections2016!$A$1:$AQ$322,23,FALSE))/10,(VLOOKUP($A315,Hshldprojections2018!$A$1:$AQ$327,33,FALSE)-VLOOKUP($A315,Hshldprojections2018!$A$1:$AQ$327,23,FALSE))/10))</f>
        <v>798.8</v>
      </c>
      <c r="AE315" s="267">
        <f>IF(IndividualLATest!$J$7=2014,(VLOOKUP($A315,Hshldprojections2014!$A$2:$AY$326,44,FALSE)-VLOOKUP($A315,Hshldprojections2014!$A$2:$AY$326,34,FALSE))/10,IF(IndividualLATest!$J$7=2016,(VLOOKUP($A315,Hshldprojections2016!$A$1:$AQ$322,34,FALSE)-VLOOKUP($A315,Hshldprojections2016!$A$1:$AQ$322,24,FALSE))/10,(VLOOKUP($A315,Hshldprojections2018!$A$1:$AQ$327,34,FALSE)-VLOOKUP($A315,Hshldprojections2018!$A$1:$AQ$327,24,FALSE))/10))</f>
        <v>778.8</v>
      </c>
      <c r="AF315" s="267">
        <f>IF(IndividualLATest!$J$7=2014,(VLOOKUP($A315,Hshldprojections2014!$A$2:$AY$326,45,FALSE)-VLOOKUP($A315,Hshldprojections2014!$A$2:$AY$326,35,FALSE))/10,IF(IndividualLATest!$J$7=2016,(VLOOKUP($A315,Hshldprojections2016!$A$1:$AQ$322,35,FALSE)-VLOOKUP($A315,Hshldprojections2016!$A$1:$AQ$322,25,FALSE))/10,(VLOOKUP($A315,Hshldprojections2018!$A$1:$AQ$327,35,FALSE)-VLOOKUP($A315,Hshldprojections2018!$A$1:$AQ$327,25,FALSE))/10))</f>
        <v>762.7</v>
      </c>
      <c r="AG315" s="267">
        <f>IF(IndividualLATest!$J$7=2014,(VLOOKUP($A315,Hshldprojections2014!$A$2:$AY$326,46,FALSE)-VLOOKUP($A315,Hshldprojections2014!$A$2:$AY$326,36,FALSE))/10,IF(IndividualLATest!$J$7=2016,(VLOOKUP($A315,Hshldprojections2016!$A$1:$AQ$322,36,FALSE)-VLOOKUP($A315,Hshldprojections2016!$A$1:$AQ$322,26,FALSE))/10,(VLOOKUP($A315,Hshldprojections2018!$A$1:$AQ$327,36,FALSE)-VLOOKUP($A315,Hshldprojections2018!$A$1:$AQ$327,26,FALSE))/10))</f>
        <v>744.2</v>
      </c>
      <c r="AH315" s="267">
        <f>IF(IndividualLATest!$J$7=2014,(VLOOKUP($A315,Hshldprojections2014!$A$2:$AY$326,47,FALSE)-VLOOKUP($A315,Hshldprojections2014!$A$2:$AY$326,37,FALSE))/10,IF(IndividualLATest!$J$7=2016,(VLOOKUP($A315,Hshldprojections2016!$A$1:$AQ$322,37,FALSE)-VLOOKUP($A315,Hshldprojections2016!$A$1:$AQ$322,27,FALSE))/10,(VLOOKUP($A315,Hshldprojections2018!$A$1:$AQ$327,37,FALSE)-VLOOKUP($A315,Hshldprojections2018!$A$1:$AQ$327,27,FALSE))/10))</f>
        <v>726.3</v>
      </c>
      <c r="AI315" s="268">
        <f>VLOOKUP($A315,AffordabilityRatio!$A$2:$I$321,5,FALSE)</f>
        <v>9.4700000000000006</v>
      </c>
      <c r="AJ315" s="268">
        <f>VLOOKUP($A315,AffordabilityRatio!$A$2:$I$321,6,FALSE)</f>
        <v>9.7799999999999994</v>
      </c>
      <c r="AK315" s="268">
        <f>VLOOKUP($A315,AffordabilityRatio!$A$2:$I$321,7,FALSE)</f>
        <v>9.6300000000000008</v>
      </c>
      <c r="AL315" s="268">
        <f>IF((VLOOKUP($A315,AffordabilityRatio!$A$2:$I$321,8,FALSE))="",AK315,VLOOKUP($A315,AffordabilityRatio!$A$2:$I$321,8,FALSE))</f>
        <v>10.050000000000001</v>
      </c>
      <c r="AM315" s="268">
        <f>IF((VLOOKUP($A315,AffordabilityRatio!$A$2:$I$321,9,FALSE))="",AL315,VLOOKUP($A315,AffordabilityRatio!$A$2:$I$321,9,FALSE))</f>
        <v>10.39</v>
      </c>
      <c r="AN315" s="268">
        <f>IF((VLOOKUP($A315,AffordabilityRatio!$A$2:$I$321,9,FALSE))="",AM315,VLOOKUP($A315,AffordabilityRatio!$A$2:$I$321,9,FALSE))</f>
        <v>10.39</v>
      </c>
      <c r="AO315" s="268">
        <f>IF((VLOOKUP($A315,AffordabilityRatio!$A$2:$I$321,9,FALSE))="",AN315,VLOOKUP($A315,AffordabilityRatio!$A$2:$I$321,9,FALSE))</f>
        <v>10.39</v>
      </c>
      <c r="AP315" s="268">
        <f>IF((VLOOKUP($A315,AffordabilityRatio!$A$2:$I$321,9,FALSE))="",AO315,VLOOKUP($A315,AffordabilityRatio!$A$2:$I$321,9,FALSE))</f>
        <v>10.39</v>
      </c>
      <c r="AQ315" s="267">
        <f t="shared" si="282"/>
        <v>504</v>
      </c>
      <c r="AR315" s="267">
        <f t="shared" si="283"/>
        <v>507</v>
      </c>
      <c r="AS315" s="267">
        <f t="shared" si="284"/>
        <v>498</v>
      </c>
      <c r="AT315" s="267">
        <f t="shared" si="285"/>
        <v>1101</v>
      </c>
      <c r="AU315" s="267">
        <f t="shared" si="286"/>
        <v>1090</v>
      </c>
      <c r="AV315" s="267">
        <f t="shared" si="287"/>
        <v>1067</v>
      </c>
      <c r="AW315" s="267">
        <f t="shared" si="288"/>
        <v>1041</v>
      </c>
      <c r="AX315" s="267">
        <f t="shared" si="289"/>
        <v>1016</v>
      </c>
      <c r="AY315" s="267">
        <f t="shared" si="290"/>
        <v>504</v>
      </c>
      <c r="AZ315" s="267">
        <f t="shared" si="291"/>
        <v>507</v>
      </c>
      <c r="BA315" s="267">
        <f t="shared" si="292"/>
        <v>498</v>
      </c>
      <c r="BB315" s="267">
        <f t="shared" si="293"/>
        <v>1101</v>
      </c>
      <c r="BC315" s="267">
        <f t="shared" si="294"/>
        <v>1090</v>
      </c>
      <c r="BD315" s="267">
        <f t="shared" si="295"/>
        <v>1067</v>
      </c>
      <c r="BE315" s="267">
        <f t="shared" si="296"/>
        <v>1041</v>
      </c>
      <c r="BF315" s="267">
        <f t="shared" si="297"/>
        <v>1016</v>
      </c>
      <c r="BG315" s="269">
        <f>AY315*VLOOKUP($B315,'Major Cities &amp; Towns'!$A$28:$B$345,2,FALSE)</f>
        <v>504</v>
      </c>
      <c r="BH315" s="269">
        <f>AZ315*VLOOKUP($B315,'Major Cities &amp; Towns'!$A$28:$B$345,2,FALSE)</f>
        <v>507</v>
      </c>
      <c r="BI315" s="269">
        <f>BA315*VLOOKUP($B315,'Major Cities &amp; Towns'!$A$28:$B$345,2,FALSE)</f>
        <v>498</v>
      </c>
      <c r="BJ315" s="269">
        <f>BB315*VLOOKUP($B315,'Major Cities &amp; Towns'!$A$28:$B$345,2,FALSE)</f>
        <v>1101</v>
      </c>
      <c r="BK315" s="269">
        <f>BC315*VLOOKUP($B315,'Major Cities &amp; Towns'!$A$28:$B$345,2,FALSE)</f>
        <v>1090</v>
      </c>
      <c r="BL315" s="269">
        <f>BD315*VLOOKUP($B315,'Major Cities &amp; Towns'!$A$28:$B$345,2,FALSE)</f>
        <v>1067</v>
      </c>
      <c r="BM315" s="269">
        <f>BE315*VLOOKUP($B315,'Major Cities &amp; Towns'!$A$28:$B$345,2,FALSE)</f>
        <v>1041</v>
      </c>
      <c r="BN315" s="269">
        <f>BF315*VLOOKUP($B315,'Major Cities &amp; Towns'!$A$28:$B$345,2,FALSE)</f>
        <v>1016</v>
      </c>
      <c r="BO315" s="270">
        <f t="shared" si="298"/>
        <v>479.16666666666669</v>
      </c>
      <c r="BP315" s="270">
        <f t="shared" si="299"/>
        <v>479.16666666666669</v>
      </c>
      <c r="BQ315" s="270">
        <f t="shared" si="300"/>
        <v>480.97260273972603</v>
      </c>
      <c r="BR315" s="270">
        <f t="shared" si="301"/>
        <v>1101</v>
      </c>
      <c r="BS315" s="270">
        <f t="shared" si="302"/>
        <v>1090</v>
      </c>
      <c r="BT315" s="270">
        <f t="shared" si="303"/>
        <v>1067</v>
      </c>
      <c r="BU315" s="270">
        <f t="shared" si="304"/>
        <v>1041</v>
      </c>
      <c r="BV315" s="270">
        <f t="shared" si="305"/>
        <v>1016</v>
      </c>
      <c r="BW315" s="39">
        <f>VLOOKUP($A315,NetAdditions!$A$2:$H$336,6,FALSE)</f>
        <v>1288</v>
      </c>
      <c r="BX315" s="39">
        <f>VLOOKUP($A315,NetAdditions!$A$2:$H$336,7,FALSE)</f>
        <v>794</v>
      </c>
      <c r="BY315" s="39">
        <f>IF((VLOOKUP($C315,NetAdditions!$A$2:$H$336,8,FALSE))="",(AVERAGE(VLOOKUP($C315,NetAdditions!$A$2:$H$336,5,FALSE),VLOOKUP($C315,NetAdditions!$A$2:$H$336,6,FALSE),VLOOKUP($C315,NetAdditions!$A$2:$H$336,7,FALSE))),VLOOKUP($C315,NetAdditions!$A$2:$H$336,8,FALSE))</f>
        <v>591</v>
      </c>
      <c r="BZ315" s="39">
        <f t="shared" si="306"/>
        <v>891</v>
      </c>
      <c r="CA315" s="39">
        <f t="shared" si="307"/>
        <v>758.66666666666663</v>
      </c>
      <c r="CB315" s="39">
        <f t="shared" si="308"/>
        <v>746.8888888888888</v>
      </c>
      <c r="CC315" s="39">
        <f t="shared" si="309"/>
        <v>798.85185185185173</v>
      </c>
      <c r="CD315" s="39">
        <f t="shared" si="310"/>
        <v>768.13580246913568</v>
      </c>
      <c r="CE315" s="276">
        <f t="shared" si="267"/>
        <v>1439.3059360730595</v>
      </c>
      <c r="CF315" s="276">
        <f t="shared" si="268"/>
        <v>2061.1392694063925</v>
      </c>
      <c r="CG315" s="276">
        <f t="shared" si="269"/>
        <v>2671.972602739726</v>
      </c>
      <c r="CH315" s="276">
        <f t="shared" si="270"/>
        <v>3258</v>
      </c>
      <c r="CI315" s="276">
        <f t="shared" si="271"/>
        <v>3198</v>
      </c>
      <c r="CJ315" s="276">
        <f t="shared" si="272"/>
        <v>3124</v>
      </c>
      <c r="CK315" s="276">
        <f t="shared" si="311"/>
        <v>1239.4023338406901</v>
      </c>
      <c r="CL315" s="276">
        <f t="shared" si="312"/>
        <v>1774.8699264332824</v>
      </c>
      <c r="CM315" s="276">
        <f t="shared" si="313"/>
        <v>2449.3082191780823</v>
      </c>
      <c r="CN315" s="276">
        <f t="shared" si="314"/>
        <v>3258</v>
      </c>
      <c r="CO315" s="276">
        <f t="shared" si="315"/>
        <v>3198</v>
      </c>
      <c r="CP315" s="276">
        <f t="shared" si="316"/>
        <v>3124</v>
      </c>
      <c r="CQ315" s="39">
        <f t="shared" si="273"/>
        <v>2673</v>
      </c>
      <c r="CR315" s="39">
        <f t="shared" si="274"/>
        <v>2276</v>
      </c>
      <c r="CS315" s="277">
        <f t="shared" si="275"/>
        <v>2240.6666666666665</v>
      </c>
      <c r="CT315" s="39">
        <f t="shared" si="276"/>
        <v>2396.5555555555552</v>
      </c>
      <c r="CU315" s="39">
        <f t="shared" si="277"/>
        <v>2304.4074074074069</v>
      </c>
      <c r="CV315" s="39">
        <f t="shared" si="317"/>
        <v>2313.8765432098762</v>
      </c>
      <c r="CW315" s="297">
        <f t="shared" si="278"/>
        <v>2.1566846592234845</v>
      </c>
      <c r="CX315" s="279" t="str">
        <f t="shared" si="318"/>
        <v>Pass</v>
      </c>
      <c r="CY315" s="278">
        <f t="shared" si="279"/>
        <v>1.2823474926828984</v>
      </c>
      <c r="CZ315" s="279" t="str">
        <f t="shared" si="319"/>
        <v>Pass</v>
      </c>
      <c r="DA315" s="278">
        <f t="shared" si="280"/>
        <v>0.91481613017187768</v>
      </c>
      <c r="DB315" s="292" t="str">
        <f t="shared" si="320"/>
        <v>Action Plan</v>
      </c>
      <c r="DC315" s="299">
        <f t="shared" si="321"/>
        <v>0.73559102380465169</v>
      </c>
      <c r="DD315" s="293" t="str">
        <f t="shared" si="322"/>
        <v>Presumption</v>
      </c>
      <c r="DE315" s="299">
        <f t="shared" si="323"/>
        <v>0.72057767586222854</v>
      </c>
      <c r="DF315" s="293" t="str">
        <f t="shared" si="324"/>
        <v>Presumption</v>
      </c>
      <c r="DG315" s="299">
        <f t="shared" si="325"/>
        <v>0.7406775106305622</v>
      </c>
      <c r="DH315" s="293" t="str">
        <f t="shared" si="326"/>
        <v>Presumption</v>
      </c>
    </row>
    <row r="316" spans="1:112" ht="15" thickTop="1" thickBot="1">
      <c r="A316" s="38" t="s">
        <v>742</v>
      </c>
      <c r="B316" s="38" t="s">
        <v>743</v>
      </c>
      <c r="C316" s="38" t="s">
        <v>742</v>
      </c>
      <c r="D316" s="38" t="s">
        <v>116</v>
      </c>
      <c r="E316" s="38" t="str">
        <f>VLOOKUP(C316,PoliticalControl!A:K,11,FALSE)</f>
        <v>CON</v>
      </c>
      <c r="F316" s="38" t="str">
        <f>VLOOKUP(C316,UrbanRuralClassification!A:N,13,FALSE)</f>
        <v xml:space="preserve">Largely Rural (rural including hub towns 50-79%) </v>
      </c>
      <c r="G316" s="38" t="str">
        <f>VLOOKUP(C316,UrbanRuralClassification!A:N,14,FALSE)</f>
        <v>Predominantly Rural</v>
      </c>
      <c r="H316" s="258" t="str">
        <f>IF(ISBLANK((VLOOKUP($A316,'local-plan-data'!$C$1:$AD$566,27,FALSE)))=TRUE,"",VLOOKUP($A316,'local-plan-data'!$C$1:$AD$566,27,FALSE))</f>
        <v/>
      </c>
      <c r="I316" s="259">
        <f>VLOOKUP($A316,'local-plan-data'!$C$1:$AD$566,28,FALSE)</f>
        <v>361.6</v>
      </c>
      <c r="J316" s="260">
        <f t="shared" si="281"/>
        <v>361.6</v>
      </c>
      <c r="K316" s="259" t="str">
        <f t="shared" si="331"/>
        <v>-</v>
      </c>
      <c r="L316" s="259" t="str">
        <f t="shared" si="329"/>
        <v>-</v>
      </c>
      <c r="M316" s="259" t="str">
        <f t="shared" si="329"/>
        <v>-</v>
      </c>
      <c r="N316" s="259" t="str">
        <f t="shared" si="329"/>
        <v>-</v>
      </c>
      <c r="O316" s="259" t="str">
        <f t="shared" si="329"/>
        <v>-</v>
      </c>
      <c r="P316" s="259" t="str">
        <f t="shared" si="329"/>
        <v>-</v>
      </c>
      <c r="Q316" s="259" t="str">
        <f t="shared" si="329"/>
        <v>-</v>
      </c>
      <c r="R316" s="259" t="str">
        <f t="shared" si="329"/>
        <v>-</v>
      </c>
      <c r="S316" s="259" t="str">
        <f t="shared" si="332"/>
        <v>-</v>
      </c>
      <c r="T316" s="259" t="str">
        <f t="shared" si="330"/>
        <v>-</v>
      </c>
      <c r="U316" s="259" t="str">
        <f t="shared" si="330"/>
        <v>-</v>
      </c>
      <c r="V316" s="259" t="str">
        <f t="shared" si="330"/>
        <v>-</v>
      </c>
      <c r="W316" s="259" t="str">
        <f t="shared" si="330"/>
        <v>-</v>
      </c>
      <c r="X316" s="259" t="str">
        <f t="shared" si="330"/>
        <v>-</v>
      </c>
      <c r="Y316" s="259" t="str">
        <f t="shared" si="330"/>
        <v>-</v>
      </c>
      <c r="Z316" s="259" t="str">
        <f t="shared" si="330"/>
        <v>-</v>
      </c>
      <c r="AA316" s="267">
        <f>(VLOOKUP(A316,Hshldprojections2014!$A$2:$AW$319,40, FALSE)-VLOOKUP(A316,Hshldprojections2014!$A$2:$AW$319,30, FALSE))/10</f>
        <v>271.2</v>
      </c>
      <c r="AB316" s="267">
        <f>(VLOOKUP(A316,Hshldprojections2014!$A$2:$AW$319,41, FALSE)-VLOOKUP(A316,Hshldprojections2014!$A$2:$AW$319,31, FALSE))/10</f>
        <v>266.39999999999998</v>
      </c>
      <c r="AC316" s="267">
        <f>(VLOOKUP(A316,Hshldprojections2014!$A$2:$AW$319,42, FALSE)-VLOOKUP(A316,Hshldprojections2014!$A$2:$AW$319,32, FALSE))/10</f>
        <v>262.8</v>
      </c>
      <c r="AD316" s="267">
        <f>IF(IndividualLATest!$J$7=2014,(VLOOKUP($A316,Hshldprojections2014!$A$2:$AY$326,43,FALSE)-VLOOKUP($A316,Hshldprojections2014!$A$2:$AY$326,33,FALSE))/10,IF(IndividualLATest!$J$7=2016,(VLOOKUP($A316,Hshldprojections2016!$A$1:$AQ$322,33,FALSE)-VLOOKUP($A316,Hshldprojections2016!$A$1:$AQ$322,23,FALSE))/10,(VLOOKUP($A316,Hshldprojections2018!$A$1:$AQ$327,33,FALSE)-VLOOKUP($A316,Hshldprojections2018!$A$1:$AQ$327,23,FALSE))/10))</f>
        <v>380.1</v>
      </c>
      <c r="AE316" s="267">
        <f>IF(IndividualLATest!$J$7=2014,(VLOOKUP($A316,Hshldprojections2014!$A$2:$AY$326,44,FALSE)-VLOOKUP($A316,Hshldprojections2014!$A$2:$AY$326,34,FALSE))/10,IF(IndividualLATest!$J$7=2016,(VLOOKUP($A316,Hshldprojections2016!$A$1:$AQ$322,34,FALSE)-VLOOKUP($A316,Hshldprojections2016!$A$1:$AQ$322,24,FALSE))/10,(VLOOKUP($A316,Hshldprojections2018!$A$1:$AQ$327,34,FALSE)-VLOOKUP($A316,Hshldprojections2018!$A$1:$AQ$327,24,FALSE))/10))</f>
        <v>369</v>
      </c>
      <c r="AF316" s="267">
        <f>IF(IndividualLATest!$J$7=2014,(VLOOKUP($A316,Hshldprojections2014!$A$2:$AY$326,45,FALSE)-VLOOKUP($A316,Hshldprojections2014!$A$2:$AY$326,35,FALSE))/10,IF(IndividualLATest!$J$7=2016,(VLOOKUP($A316,Hshldprojections2016!$A$1:$AQ$322,35,FALSE)-VLOOKUP($A316,Hshldprojections2016!$A$1:$AQ$322,25,FALSE))/10,(VLOOKUP($A316,Hshldprojections2018!$A$1:$AQ$327,35,FALSE)-VLOOKUP($A316,Hshldprojections2018!$A$1:$AQ$327,25,FALSE))/10))</f>
        <v>362.1</v>
      </c>
      <c r="AG316" s="267">
        <f>IF(IndividualLATest!$J$7=2014,(VLOOKUP($A316,Hshldprojections2014!$A$2:$AY$326,46,FALSE)-VLOOKUP($A316,Hshldprojections2014!$A$2:$AY$326,36,FALSE))/10,IF(IndividualLATest!$J$7=2016,(VLOOKUP($A316,Hshldprojections2016!$A$1:$AQ$322,36,FALSE)-VLOOKUP($A316,Hshldprojections2016!$A$1:$AQ$322,26,FALSE))/10,(VLOOKUP($A316,Hshldprojections2018!$A$1:$AQ$327,36,FALSE)-VLOOKUP($A316,Hshldprojections2018!$A$1:$AQ$327,26,FALSE))/10))</f>
        <v>354.6</v>
      </c>
      <c r="AH316" s="267">
        <f>IF(IndividualLATest!$J$7=2014,(VLOOKUP($A316,Hshldprojections2014!$A$2:$AY$326,47,FALSE)-VLOOKUP($A316,Hshldprojections2014!$A$2:$AY$326,37,FALSE))/10,IF(IndividualLATest!$J$7=2016,(VLOOKUP($A316,Hshldprojections2016!$A$1:$AQ$322,37,FALSE)-VLOOKUP($A316,Hshldprojections2016!$A$1:$AQ$322,27,FALSE))/10,(VLOOKUP($A316,Hshldprojections2018!$A$1:$AQ$327,37,FALSE)-VLOOKUP($A316,Hshldprojections2018!$A$1:$AQ$327,27,FALSE))/10))</f>
        <v>351.9</v>
      </c>
      <c r="AI316" s="268">
        <f>VLOOKUP($A316,AffordabilityRatio!$A$2:$I$321,5,FALSE)</f>
        <v>6.69</v>
      </c>
      <c r="AJ316" s="268">
        <f>VLOOKUP($A316,AffordabilityRatio!$A$2:$I$321,6,FALSE)</f>
        <v>6.54</v>
      </c>
      <c r="AK316" s="268">
        <f>VLOOKUP($A316,AffordabilityRatio!$A$2:$I$321,7,FALSE)</f>
        <v>6.09</v>
      </c>
      <c r="AL316" s="268">
        <f>IF((VLOOKUP($A316,AffordabilityRatio!$A$2:$I$321,8,FALSE))="",AK316,VLOOKUP($A316,AffordabilityRatio!$A$2:$I$321,8,FALSE))</f>
        <v>6.35</v>
      </c>
      <c r="AM316" s="268">
        <f>IF((VLOOKUP($A316,AffordabilityRatio!$A$2:$I$321,9,FALSE))="",AL316,VLOOKUP($A316,AffordabilityRatio!$A$2:$I$321,9,FALSE))</f>
        <v>6.81</v>
      </c>
      <c r="AN316" s="268">
        <f>IF((VLOOKUP($A316,AffordabilityRatio!$A$2:$I$321,9,FALSE))="",AM316,VLOOKUP($A316,AffordabilityRatio!$A$2:$I$321,9,FALSE))</f>
        <v>6.81</v>
      </c>
      <c r="AO316" s="268">
        <f>IF((VLOOKUP($A316,AffordabilityRatio!$A$2:$I$321,9,FALSE))="",AN316,VLOOKUP($A316,AffordabilityRatio!$A$2:$I$321,9,FALSE))</f>
        <v>6.81</v>
      </c>
      <c r="AP316" s="268">
        <f>IF((VLOOKUP($A316,AffordabilityRatio!$A$2:$I$321,9,FALSE))="",AO316,VLOOKUP($A316,AffordabilityRatio!$A$2:$I$321,9,FALSE))</f>
        <v>6.81</v>
      </c>
      <c r="AQ316" s="267">
        <f t="shared" si="282"/>
        <v>317</v>
      </c>
      <c r="AR316" s="267">
        <f t="shared" si="283"/>
        <v>309</v>
      </c>
      <c r="AS316" s="267">
        <f t="shared" si="284"/>
        <v>297</v>
      </c>
      <c r="AT316" s="267">
        <f t="shared" si="285"/>
        <v>436</v>
      </c>
      <c r="AU316" s="267">
        <f t="shared" si="286"/>
        <v>434</v>
      </c>
      <c r="AV316" s="267">
        <f t="shared" si="287"/>
        <v>426</v>
      </c>
      <c r="AW316" s="267">
        <f t="shared" si="288"/>
        <v>417</v>
      </c>
      <c r="AX316" s="267">
        <f t="shared" si="289"/>
        <v>414</v>
      </c>
      <c r="AY316" s="267">
        <f t="shared" si="290"/>
        <v>317</v>
      </c>
      <c r="AZ316" s="267">
        <f t="shared" si="291"/>
        <v>309</v>
      </c>
      <c r="BA316" s="267">
        <f t="shared" si="292"/>
        <v>297</v>
      </c>
      <c r="BB316" s="267">
        <f t="shared" si="293"/>
        <v>436</v>
      </c>
      <c r="BC316" s="267">
        <f t="shared" si="294"/>
        <v>434</v>
      </c>
      <c r="BD316" s="267">
        <f t="shared" si="295"/>
        <v>426</v>
      </c>
      <c r="BE316" s="267">
        <f t="shared" si="296"/>
        <v>417</v>
      </c>
      <c r="BF316" s="267">
        <f t="shared" si="297"/>
        <v>414</v>
      </c>
      <c r="BG316" s="269">
        <f>AY316*VLOOKUP($B316,'Major Cities &amp; Towns'!$A$28:$B$345,2,FALSE)</f>
        <v>317</v>
      </c>
      <c r="BH316" s="269">
        <f>AZ316*VLOOKUP($B316,'Major Cities &amp; Towns'!$A$28:$B$345,2,FALSE)</f>
        <v>309</v>
      </c>
      <c r="BI316" s="269">
        <f>BA316*VLOOKUP($B316,'Major Cities &amp; Towns'!$A$28:$B$345,2,FALSE)</f>
        <v>297</v>
      </c>
      <c r="BJ316" s="269">
        <f>BB316*VLOOKUP($B316,'Major Cities &amp; Towns'!$A$28:$B$345,2,FALSE)</f>
        <v>436</v>
      </c>
      <c r="BK316" s="269">
        <f>BC316*VLOOKUP($B316,'Major Cities &amp; Towns'!$A$28:$B$345,2,FALSE)</f>
        <v>434</v>
      </c>
      <c r="BL316" s="269">
        <f>BD316*VLOOKUP($B316,'Major Cities &amp; Towns'!$A$28:$B$345,2,FALSE)</f>
        <v>426</v>
      </c>
      <c r="BM316" s="269">
        <f>BE316*VLOOKUP($B316,'Major Cities &amp; Towns'!$A$28:$B$345,2,FALSE)</f>
        <v>417</v>
      </c>
      <c r="BN316" s="269">
        <f>BF316*VLOOKUP($B316,'Major Cities &amp; Towns'!$A$28:$B$345,2,FALSE)</f>
        <v>414</v>
      </c>
      <c r="BO316" s="270">
        <f t="shared" si="298"/>
        <v>317</v>
      </c>
      <c r="BP316" s="270">
        <f t="shared" si="299"/>
        <v>309</v>
      </c>
      <c r="BQ316" s="270">
        <f t="shared" si="300"/>
        <v>297</v>
      </c>
      <c r="BR316" s="270">
        <f t="shared" si="301"/>
        <v>436</v>
      </c>
      <c r="BS316" s="270">
        <f t="shared" si="302"/>
        <v>434</v>
      </c>
      <c r="BT316" s="270">
        <f t="shared" si="303"/>
        <v>426</v>
      </c>
      <c r="BU316" s="270">
        <f t="shared" si="304"/>
        <v>417</v>
      </c>
      <c r="BV316" s="270">
        <f t="shared" si="305"/>
        <v>414</v>
      </c>
      <c r="BW316" s="39">
        <f>VLOOKUP($A316,NetAdditions!$A$2:$H$336,6,FALSE)</f>
        <v>396</v>
      </c>
      <c r="BX316" s="39">
        <f>VLOOKUP($A316,NetAdditions!$A$2:$H$336,7,FALSE)</f>
        <v>361</v>
      </c>
      <c r="BY316" s="39">
        <f>IF((VLOOKUP($C316,NetAdditions!$A$2:$H$336,8,FALSE))="",(AVERAGE(VLOOKUP($C316,NetAdditions!$A$2:$H$336,5,FALSE),VLOOKUP($C316,NetAdditions!$A$2:$H$336,6,FALSE),VLOOKUP($C316,NetAdditions!$A$2:$H$336,7,FALSE))),VLOOKUP($C316,NetAdditions!$A$2:$H$336,8,FALSE))</f>
        <v>576</v>
      </c>
      <c r="BZ316" s="39">
        <f t="shared" si="306"/>
        <v>444.33333333333331</v>
      </c>
      <c r="CA316" s="39">
        <f t="shared" si="307"/>
        <v>460.4444444444444</v>
      </c>
      <c r="CB316" s="39">
        <f t="shared" si="308"/>
        <v>493.59259259259255</v>
      </c>
      <c r="CC316" s="39">
        <f t="shared" si="309"/>
        <v>466.12345679012338</v>
      </c>
      <c r="CD316" s="39">
        <f t="shared" si="310"/>
        <v>473.38683127572011</v>
      </c>
      <c r="CE316" s="276">
        <f t="shared" si="267"/>
        <v>923</v>
      </c>
      <c r="CF316" s="276">
        <f t="shared" si="268"/>
        <v>1042</v>
      </c>
      <c r="CG316" s="276">
        <f t="shared" si="269"/>
        <v>1167</v>
      </c>
      <c r="CH316" s="276">
        <f t="shared" si="270"/>
        <v>1296</v>
      </c>
      <c r="CI316" s="276">
        <f t="shared" si="271"/>
        <v>1277</v>
      </c>
      <c r="CJ316" s="276">
        <f t="shared" si="272"/>
        <v>1257</v>
      </c>
      <c r="CK316" s="276">
        <f t="shared" si="311"/>
        <v>794.80555555555566</v>
      </c>
      <c r="CL316" s="276">
        <f t="shared" si="312"/>
        <v>897.27777777777783</v>
      </c>
      <c r="CM316" s="276">
        <f t="shared" si="313"/>
        <v>1069.75</v>
      </c>
      <c r="CN316" s="276">
        <f t="shared" si="314"/>
        <v>1296</v>
      </c>
      <c r="CO316" s="276">
        <f t="shared" si="315"/>
        <v>1277</v>
      </c>
      <c r="CP316" s="276">
        <f t="shared" si="316"/>
        <v>1257</v>
      </c>
      <c r="CQ316" s="39">
        <f t="shared" si="273"/>
        <v>1333</v>
      </c>
      <c r="CR316" s="39">
        <f t="shared" si="274"/>
        <v>1381.3333333333333</v>
      </c>
      <c r="CS316" s="277">
        <f t="shared" si="275"/>
        <v>1480.7777777777776</v>
      </c>
      <c r="CT316" s="39">
        <f t="shared" si="276"/>
        <v>1398.3703703703702</v>
      </c>
      <c r="CU316" s="39">
        <f t="shared" si="277"/>
        <v>1420.1604938271603</v>
      </c>
      <c r="CV316" s="39">
        <f t="shared" si="317"/>
        <v>1433.1028806584361</v>
      </c>
      <c r="CW316" s="297">
        <f t="shared" si="278"/>
        <v>1.6771397616468038</v>
      </c>
      <c r="CX316" s="279" t="str">
        <f t="shared" si="318"/>
        <v>Pass</v>
      </c>
      <c r="CY316" s="278">
        <f t="shared" si="279"/>
        <v>1.539471240170887</v>
      </c>
      <c r="CZ316" s="279" t="str">
        <f t="shared" si="319"/>
        <v>Pass</v>
      </c>
      <c r="DA316" s="278">
        <f t="shared" si="280"/>
        <v>1.3842278829425356</v>
      </c>
      <c r="DB316" s="292" t="str">
        <f t="shared" si="320"/>
        <v>Pass</v>
      </c>
      <c r="DC316" s="299">
        <f t="shared" si="321"/>
        <v>1.0789894833104707</v>
      </c>
      <c r="DD316" s="293" t="str">
        <f t="shared" si="322"/>
        <v>Pass</v>
      </c>
      <c r="DE316" s="299">
        <f t="shared" si="323"/>
        <v>1.1121068863172752</v>
      </c>
      <c r="DF316" s="293" t="str">
        <f t="shared" si="324"/>
        <v>Pass</v>
      </c>
      <c r="DG316" s="299">
        <f t="shared" si="325"/>
        <v>1.1400977570870614</v>
      </c>
      <c r="DH316" s="293" t="str">
        <f t="shared" si="326"/>
        <v>Pass</v>
      </c>
    </row>
    <row r="317" spans="1:112" ht="15" thickTop="1" thickBot="1">
      <c r="A317" s="38" t="s">
        <v>744</v>
      </c>
      <c r="B317" s="38" t="s">
        <v>745</v>
      </c>
      <c r="C317" s="38" t="s">
        <v>744</v>
      </c>
      <c r="D317" s="38" t="s">
        <v>154</v>
      </c>
      <c r="E317" s="38" t="str">
        <f>VLOOKUP(C317,PoliticalControl!A:K,11,FALSE)</f>
        <v>NOC</v>
      </c>
      <c r="F317" s="38" t="str">
        <f>VLOOKUP(C317,UrbanRuralClassification!A:N,13,FALSE)</f>
        <v>Urban with Significant Rural (rural including hub towns 26-49%)</v>
      </c>
      <c r="G317" s="38" t="str">
        <f>VLOOKUP(C317,UrbanRuralClassification!A:N,14,FALSE)</f>
        <v>Urban with Significant Rural</v>
      </c>
      <c r="H317" s="258">
        <f>IF(ISBLANK((VLOOKUP($A317,'local-plan-data'!$C$1:$AD$566,27,FALSE)))=TRUE,"",VLOOKUP($A317,'local-plan-data'!$C$1:$AD$566,27,FALSE))</f>
        <v>40521</v>
      </c>
      <c r="I317" s="259">
        <f>VLOOKUP($A317,'local-plan-data'!$C$1:$AD$566,28,FALSE)</f>
        <v>200</v>
      </c>
      <c r="J317" s="260">
        <f t="shared" si="281"/>
        <v>200</v>
      </c>
      <c r="K317" s="259" t="str">
        <f t="shared" si="331"/>
        <v>-</v>
      </c>
      <c r="L317" s="259" t="str">
        <f t="shared" si="329"/>
        <v>-</v>
      </c>
      <c r="M317" s="259" t="str">
        <f t="shared" si="329"/>
        <v>-</v>
      </c>
      <c r="N317" s="259" t="str">
        <f t="shared" si="329"/>
        <v>-</v>
      </c>
      <c r="O317" s="259" t="str">
        <f t="shared" si="329"/>
        <v>-</v>
      </c>
      <c r="P317" s="259" t="str">
        <f t="shared" si="329"/>
        <v>-</v>
      </c>
      <c r="Q317" s="259" t="str">
        <f t="shared" si="329"/>
        <v>-</v>
      </c>
      <c r="R317" s="259" t="str">
        <f t="shared" si="329"/>
        <v>-</v>
      </c>
      <c r="S317" s="259">
        <f t="shared" si="332"/>
        <v>-844</v>
      </c>
      <c r="T317" s="259">
        <f t="shared" si="330"/>
        <v>-1209</v>
      </c>
      <c r="U317" s="259">
        <f t="shared" si="330"/>
        <v>-1575</v>
      </c>
      <c r="V317" s="259">
        <f t="shared" si="330"/>
        <v>-1940</v>
      </c>
      <c r="W317" s="259">
        <f t="shared" si="330"/>
        <v>-2305</v>
      </c>
      <c r="X317" s="259">
        <f t="shared" si="330"/>
        <v>-2670</v>
      </c>
      <c r="Y317" s="259">
        <f t="shared" si="330"/>
        <v>-3036</v>
      </c>
      <c r="Z317" s="259">
        <f t="shared" si="330"/>
        <v>-3401</v>
      </c>
      <c r="AA317" s="267">
        <f>(VLOOKUP(A317,Hshldprojections2014!$A$2:$AW$319,40, FALSE)-VLOOKUP(A317,Hshldprojections2014!$A$2:$AW$319,30, FALSE))/10</f>
        <v>199</v>
      </c>
      <c r="AB317" s="267">
        <f>(VLOOKUP(A317,Hshldprojections2014!$A$2:$AW$319,41, FALSE)-VLOOKUP(A317,Hshldprojections2014!$A$2:$AW$319,31, FALSE))/10</f>
        <v>195.5</v>
      </c>
      <c r="AC317" s="267">
        <f>(VLOOKUP(A317,Hshldprojections2014!$A$2:$AW$319,42, FALSE)-VLOOKUP(A317,Hshldprojections2014!$A$2:$AW$319,32, FALSE))/10</f>
        <v>193.7</v>
      </c>
      <c r="AD317" s="267">
        <f>IF(IndividualLATest!$J$7=2014,(VLOOKUP($A317,Hshldprojections2014!$A$2:$AY$326,43,FALSE)-VLOOKUP($A317,Hshldprojections2014!$A$2:$AY$326,33,FALSE))/10,IF(IndividualLATest!$J$7=2016,(VLOOKUP($A317,Hshldprojections2016!$A$1:$AQ$322,33,FALSE)-VLOOKUP($A317,Hshldprojections2016!$A$1:$AQ$322,23,FALSE))/10,(VLOOKUP($A317,Hshldprojections2018!$A$1:$AQ$327,33,FALSE)-VLOOKUP($A317,Hshldprojections2018!$A$1:$AQ$327,23,FALSE))/10))</f>
        <v>300.3</v>
      </c>
      <c r="AE317" s="267">
        <f>IF(IndividualLATest!$J$7=2014,(VLOOKUP($A317,Hshldprojections2014!$A$2:$AY$326,44,FALSE)-VLOOKUP($A317,Hshldprojections2014!$A$2:$AY$326,34,FALSE))/10,IF(IndividualLATest!$J$7=2016,(VLOOKUP($A317,Hshldprojections2016!$A$1:$AQ$322,34,FALSE)-VLOOKUP($A317,Hshldprojections2016!$A$1:$AQ$322,24,FALSE))/10,(VLOOKUP($A317,Hshldprojections2018!$A$1:$AQ$327,34,FALSE)-VLOOKUP($A317,Hshldprojections2018!$A$1:$AQ$327,24,FALSE))/10))</f>
        <v>290.7</v>
      </c>
      <c r="AF317" s="267">
        <f>IF(IndividualLATest!$J$7=2014,(VLOOKUP($A317,Hshldprojections2014!$A$2:$AY$326,45,FALSE)-VLOOKUP($A317,Hshldprojections2014!$A$2:$AY$326,35,FALSE))/10,IF(IndividualLATest!$J$7=2016,(VLOOKUP($A317,Hshldprojections2016!$A$1:$AQ$322,35,FALSE)-VLOOKUP($A317,Hshldprojections2016!$A$1:$AQ$322,25,FALSE))/10,(VLOOKUP($A317,Hshldprojections2018!$A$1:$AQ$327,35,FALSE)-VLOOKUP($A317,Hshldprojections2018!$A$1:$AQ$327,25,FALSE))/10))</f>
        <v>283.39999999999998</v>
      </c>
      <c r="AG317" s="267">
        <f>IF(IndividualLATest!$J$7=2014,(VLOOKUP($A317,Hshldprojections2014!$A$2:$AY$326,46,FALSE)-VLOOKUP($A317,Hshldprojections2014!$A$2:$AY$326,36,FALSE))/10,IF(IndividualLATest!$J$7=2016,(VLOOKUP($A317,Hshldprojections2016!$A$1:$AQ$322,36,FALSE)-VLOOKUP($A317,Hshldprojections2016!$A$1:$AQ$322,26,FALSE))/10,(VLOOKUP($A317,Hshldprojections2018!$A$1:$AQ$327,36,FALSE)-VLOOKUP($A317,Hshldprojections2018!$A$1:$AQ$327,26,FALSE))/10))</f>
        <v>275.5</v>
      </c>
      <c r="AH317" s="267">
        <f>IF(IndividualLATest!$J$7=2014,(VLOOKUP($A317,Hshldprojections2014!$A$2:$AY$326,47,FALSE)-VLOOKUP($A317,Hshldprojections2014!$A$2:$AY$326,37,FALSE))/10,IF(IndividualLATest!$J$7=2016,(VLOOKUP($A317,Hshldprojections2016!$A$1:$AQ$322,37,FALSE)-VLOOKUP($A317,Hshldprojections2016!$A$1:$AQ$322,27,FALSE))/10,(VLOOKUP($A317,Hshldprojections2018!$A$1:$AQ$327,37,FALSE)-VLOOKUP($A317,Hshldprojections2018!$A$1:$AQ$327,27,FALSE))/10))</f>
        <v>270.5</v>
      </c>
      <c r="AI317" s="268">
        <f>VLOOKUP($A317,AffordabilityRatio!$A$2:$I$321,5,FALSE)</f>
        <v>7.39</v>
      </c>
      <c r="AJ317" s="268">
        <f>VLOOKUP($A317,AffordabilityRatio!$A$2:$I$321,6,FALSE)</f>
        <v>8.2899999999999991</v>
      </c>
      <c r="AK317" s="268">
        <f>VLOOKUP($A317,AffordabilityRatio!$A$2:$I$321,7,FALSE)</f>
        <v>7.12</v>
      </c>
      <c r="AL317" s="268">
        <f>IF((VLOOKUP($A317,AffordabilityRatio!$A$2:$I$321,8,FALSE))="",AK317,VLOOKUP($A317,AffordabilityRatio!$A$2:$I$321,8,FALSE))</f>
        <v>7.29</v>
      </c>
      <c r="AM317" s="268">
        <f>IF((VLOOKUP($A317,AffordabilityRatio!$A$2:$I$321,9,FALSE))="",AL317,VLOOKUP($A317,AffordabilityRatio!$A$2:$I$321,9,FALSE))</f>
        <v>7.85</v>
      </c>
      <c r="AN317" s="268">
        <f>IF((VLOOKUP($A317,AffordabilityRatio!$A$2:$I$321,9,FALSE))="",AM317,VLOOKUP($A317,AffordabilityRatio!$A$2:$I$321,9,FALSE))</f>
        <v>7.85</v>
      </c>
      <c r="AO317" s="268">
        <f>IF((VLOOKUP($A317,AffordabilityRatio!$A$2:$I$321,9,FALSE))="",AN317,VLOOKUP($A317,AffordabilityRatio!$A$2:$I$321,9,FALSE))</f>
        <v>7.85</v>
      </c>
      <c r="AP317" s="268">
        <f>IF((VLOOKUP($A317,AffordabilityRatio!$A$2:$I$321,9,FALSE))="",AO317,VLOOKUP($A317,AffordabilityRatio!$A$2:$I$321,9,FALSE))</f>
        <v>7.85</v>
      </c>
      <c r="AQ317" s="267">
        <f t="shared" si="282"/>
        <v>241</v>
      </c>
      <c r="AR317" s="267">
        <f t="shared" si="283"/>
        <v>248</v>
      </c>
      <c r="AS317" s="267">
        <f t="shared" si="284"/>
        <v>231</v>
      </c>
      <c r="AT317" s="267">
        <f t="shared" si="285"/>
        <v>362</v>
      </c>
      <c r="AU317" s="267">
        <f t="shared" si="286"/>
        <v>361</v>
      </c>
      <c r="AV317" s="267">
        <f t="shared" si="287"/>
        <v>352</v>
      </c>
      <c r="AW317" s="267">
        <f t="shared" si="288"/>
        <v>342</v>
      </c>
      <c r="AX317" s="267">
        <f t="shared" si="289"/>
        <v>336</v>
      </c>
      <c r="AY317" s="267">
        <f t="shared" si="290"/>
        <v>241</v>
      </c>
      <c r="AZ317" s="267">
        <f t="shared" si="291"/>
        <v>248</v>
      </c>
      <c r="BA317" s="267">
        <f t="shared" si="292"/>
        <v>231</v>
      </c>
      <c r="BB317" s="267">
        <f t="shared" si="293"/>
        <v>362</v>
      </c>
      <c r="BC317" s="267">
        <f t="shared" si="294"/>
        <v>361</v>
      </c>
      <c r="BD317" s="267">
        <f t="shared" si="295"/>
        <v>352</v>
      </c>
      <c r="BE317" s="267">
        <f t="shared" si="296"/>
        <v>342</v>
      </c>
      <c r="BF317" s="267">
        <f t="shared" si="297"/>
        <v>336</v>
      </c>
      <c r="BG317" s="269">
        <f>AY317*VLOOKUP($B317,'Major Cities &amp; Towns'!$A$28:$B$345,2,FALSE)</f>
        <v>241</v>
      </c>
      <c r="BH317" s="269">
        <f>AZ317*VLOOKUP($B317,'Major Cities &amp; Towns'!$A$28:$B$345,2,FALSE)</f>
        <v>248</v>
      </c>
      <c r="BI317" s="269">
        <f>BA317*VLOOKUP($B317,'Major Cities &amp; Towns'!$A$28:$B$345,2,FALSE)</f>
        <v>231</v>
      </c>
      <c r="BJ317" s="269">
        <f>BB317*VLOOKUP($B317,'Major Cities &amp; Towns'!$A$28:$B$345,2,FALSE)</f>
        <v>362</v>
      </c>
      <c r="BK317" s="269">
        <f>BC317*VLOOKUP($B317,'Major Cities &amp; Towns'!$A$28:$B$345,2,FALSE)</f>
        <v>361</v>
      </c>
      <c r="BL317" s="269">
        <f>BD317*VLOOKUP($B317,'Major Cities &amp; Towns'!$A$28:$B$345,2,FALSE)</f>
        <v>352</v>
      </c>
      <c r="BM317" s="269">
        <f>BE317*VLOOKUP($B317,'Major Cities &amp; Towns'!$A$28:$B$345,2,FALSE)</f>
        <v>342</v>
      </c>
      <c r="BN317" s="269">
        <f>BF317*VLOOKUP($B317,'Major Cities &amp; Towns'!$A$28:$B$345,2,FALSE)</f>
        <v>336</v>
      </c>
      <c r="BO317" s="270">
        <f t="shared" si="298"/>
        <v>241</v>
      </c>
      <c r="BP317" s="270">
        <f t="shared" si="299"/>
        <v>248</v>
      </c>
      <c r="BQ317" s="270">
        <f t="shared" si="300"/>
        <v>231</v>
      </c>
      <c r="BR317" s="270">
        <f t="shared" si="301"/>
        <v>362</v>
      </c>
      <c r="BS317" s="270">
        <f t="shared" si="302"/>
        <v>361</v>
      </c>
      <c r="BT317" s="270">
        <f t="shared" si="303"/>
        <v>352</v>
      </c>
      <c r="BU317" s="270">
        <f t="shared" si="304"/>
        <v>342</v>
      </c>
      <c r="BV317" s="270">
        <f t="shared" si="305"/>
        <v>336</v>
      </c>
      <c r="BW317" s="39">
        <f>VLOOKUP($A317,NetAdditions!$A$2:$H$336,6,FALSE)</f>
        <v>183</v>
      </c>
      <c r="BX317" s="39">
        <f>VLOOKUP($A317,NetAdditions!$A$2:$H$336,7,FALSE)</f>
        <v>196</v>
      </c>
      <c r="BY317" s="39">
        <f>IF((VLOOKUP($C317,NetAdditions!$A$2:$H$336,8,FALSE))="",(AVERAGE(VLOOKUP($C317,NetAdditions!$A$2:$H$336,5,FALSE),VLOOKUP($C317,NetAdditions!$A$2:$H$336,6,FALSE),VLOOKUP($C317,NetAdditions!$A$2:$H$336,7,FALSE))),VLOOKUP($C317,NetAdditions!$A$2:$H$336,8,FALSE))</f>
        <v>236</v>
      </c>
      <c r="BZ317" s="39">
        <f t="shared" si="306"/>
        <v>205</v>
      </c>
      <c r="CA317" s="39">
        <f t="shared" si="307"/>
        <v>212.33333333333334</v>
      </c>
      <c r="CB317" s="39">
        <f t="shared" si="308"/>
        <v>217.7777777777778</v>
      </c>
      <c r="CC317" s="39">
        <f t="shared" si="309"/>
        <v>211.70370370370372</v>
      </c>
      <c r="CD317" s="39">
        <f t="shared" si="310"/>
        <v>213.93827160493831</v>
      </c>
      <c r="CE317" s="276">
        <f t="shared" si="267"/>
        <v>720</v>
      </c>
      <c r="CF317" s="276">
        <f t="shared" si="268"/>
        <v>841</v>
      </c>
      <c r="CG317" s="276">
        <f t="shared" si="269"/>
        <v>954</v>
      </c>
      <c r="CH317" s="276">
        <f t="shared" si="270"/>
        <v>1075</v>
      </c>
      <c r="CI317" s="276">
        <f t="shared" si="271"/>
        <v>1055</v>
      </c>
      <c r="CJ317" s="276">
        <f t="shared" si="272"/>
        <v>1030</v>
      </c>
      <c r="CK317" s="276">
        <f t="shared" si="311"/>
        <v>620</v>
      </c>
      <c r="CL317" s="276">
        <f t="shared" si="312"/>
        <v>724.19444444444446</v>
      </c>
      <c r="CM317" s="276">
        <f t="shared" si="313"/>
        <v>874.5</v>
      </c>
      <c r="CN317" s="276">
        <f t="shared" si="314"/>
        <v>1075</v>
      </c>
      <c r="CO317" s="276">
        <f t="shared" si="315"/>
        <v>1055</v>
      </c>
      <c r="CP317" s="276">
        <f t="shared" si="316"/>
        <v>1030</v>
      </c>
      <c r="CQ317" s="39">
        <f t="shared" si="273"/>
        <v>615</v>
      </c>
      <c r="CR317" s="39">
        <f t="shared" si="274"/>
        <v>637</v>
      </c>
      <c r="CS317" s="277">
        <f t="shared" si="275"/>
        <v>653.33333333333337</v>
      </c>
      <c r="CT317" s="39">
        <f t="shared" si="276"/>
        <v>635.1111111111112</v>
      </c>
      <c r="CU317" s="39">
        <f t="shared" si="277"/>
        <v>641.81481481481489</v>
      </c>
      <c r="CV317" s="39">
        <f t="shared" si="317"/>
        <v>643.41975308641986</v>
      </c>
      <c r="CW317" s="297">
        <f t="shared" si="278"/>
        <v>0.99193548387096775</v>
      </c>
      <c r="CX317" s="279" t="str">
        <f t="shared" si="318"/>
        <v>Pass</v>
      </c>
      <c r="CY317" s="278">
        <f t="shared" si="279"/>
        <v>0.87959802078938287</v>
      </c>
      <c r="CZ317" s="279" t="str">
        <f t="shared" si="319"/>
        <v>Action Plan</v>
      </c>
      <c r="DA317" s="278">
        <f t="shared" si="280"/>
        <v>0.74709357728225656</v>
      </c>
      <c r="DB317" s="292" t="str">
        <f t="shared" si="320"/>
        <v>Presumption</v>
      </c>
      <c r="DC317" s="299">
        <f t="shared" si="321"/>
        <v>0.59080103359173131</v>
      </c>
      <c r="DD317" s="293" t="str">
        <f t="shared" si="322"/>
        <v>Presumption</v>
      </c>
      <c r="DE317" s="299">
        <f t="shared" si="323"/>
        <v>0.60835527470598572</v>
      </c>
      <c r="DF317" s="293" t="str">
        <f t="shared" si="324"/>
        <v>Presumption</v>
      </c>
      <c r="DG317" s="299">
        <f t="shared" si="325"/>
        <v>0.62467937192856293</v>
      </c>
      <c r="DH317" s="293" t="str">
        <f t="shared" si="326"/>
        <v>Presumption</v>
      </c>
    </row>
    <row r="318" spans="1:112" ht="15" thickTop="1" thickBot="1">
      <c r="A318" s="38" t="s">
        <v>746</v>
      </c>
      <c r="B318" s="38" t="s">
        <v>747</v>
      </c>
      <c r="C318" s="38" t="s">
        <v>746</v>
      </c>
      <c r="D318" s="38" t="s">
        <v>136</v>
      </c>
      <c r="E318" s="38" t="str">
        <f>VLOOKUP(C318,PoliticalControl!A:K,11,FALSE)</f>
        <v>NOC</v>
      </c>
      <c r="F318" s="38" t="str">
        <f>VLOOKUP(C318,UrbanRuralClassification!A:N,13,FALSE)</f>
        <v>Urban with City and Town</v>
      </c>
      <c r="G318" s="38" t="str">
        <f>VLOOKUP(C318,UrbanRuralClassification!A:N,14,FALSE)</f>
        <v>Predominantly Urban</v>
      </c>
      <c r="H318" s="258" t="str">
        <f>IF(ISBLANK((VLOOKUP($A318,'local-plan-data'!$C$1:$AD$566,27,FALSE)))=TRUE,"",VLOOKUP($A318,'local-plan-data'!$C$1:$AD$566,27,FALSE))</f>
        <v/>
      </c>
      <c r="I318" s="259">
        <f>VLOOKUP($A318,'local-plan-data'!$C$1:$AD$566,28,FALSE)</f>
        <v>867</v>
      </c>
      <c r="J318" s="260">
        <f t="shared" si="281"/>
        <v>867</v>
      </c>
      <c r="K318" s="259" t="str">
        <f t="shared" si="331"/>
        <v>-</v>
      </c>
      <c r="L318" s="259" t="str">
        <f t="shared" si="329"/>
        <v>-</v>
      </c>
      <c r="M318" s="259" t="str">
        <f t="shared" si="329"/>
        <v>-</v>
      </c>
      <c r="N318" s="259" t="str">
        <f t="shared" si="329"/>
        <v>-</v>
      </c>
      <c r="O318" s="259" t="str">
        <f t="shared" si="329"/>
        <v>-</v>
      </c>
      <c r="P318" s="259" t="str">
        <f t="shared" si="329"/>
        <v>-</v>
      </c>
      <c r="Q318" s="259" t="str">
        <f t="shared" si="329"/>
        <v>-</v>
      </c>
      <c r="R318" s="259" t="str">
        <f t="shared" si="329"/>
        <v>-</v>
      </c>
      <c r="S318" s="259" t="str">
        <f t="shared" si="332"/>
        <v>-</v>
      </c>
      <c r="T318" s="259" t="str">
        <f t="shared" si="330"/>
        <v>-</v>
      </c>
      <c r="U318" s="259" t="str">
        <f t="shared" si="330"/>
        <v>-</v>
      </c>
      <c r="V318" s="259" t="str">
        <f t="shared" si="330"/>
        <v>-</v>
      </c>
      <c r="W318" s="259" t="str">
        <f t="shared" si="330"/>
        <v>-</v>
      </c>
      <c r="X318" s="259" t="str">
        <f t="shared" si="330"/>
        <v>-</v>
      </c>
      <c r="Y318" s="259" t="str">
        <f t="shared" si="330"/>
        <v>-</v>
      </c>
      <c r="Z318" s="259" t="str">
        <f t="shared" si="330"/>
        <v>-</v>
      </c>
      <c r="AA318" s="267">
        <f>(VLOOKUP(A318,Hshldprojections2014!$A$2:$AW$319,40, FALSE)-VLOOKUP(A318,Hshldprojections2014!$A$2:$AW$319,30, FALSE))/10</f>
        <v>827.3</v>
      </c>
      <c r="AB318" s="267">
        <f>(VLOOKUP(A318,Hshldprojections2014!$A$2:$AW$319,41, FALSE)-VLOOKUP(A318,Hshldprojections2014!$A$2:$AW$319,31, FALSE))/10</f>
        <v>819.8</v>
      </c>
      <c r="AC318" s="267">
        <f>(VLOOKUP(A318,Hshldprojections2014!$A$2:$AW$319,42, FALSE)-VLOOKUP(A318,Hshldprojections2014!$A$2:$AW$319,32, FALSE))/10</f>
        <v>812.6</v>
      </c>
      <c r="AD318" s="267">
        <f>IF(IndividualLATest!$J$7=2014,(VLOOKUP($A318,Hshldprojections2014!$A$2:$AY$326,43,FALSE)-VLOOKUP($A318,Hshldprojections2014!$A$2:$AY$326,33,FALSE))/10,IF(IndividualLATest!$J$7=2016,(VLOOKUP($A318,Hshldprojections2016!$A$1:$AQ$322,33,FALSE)-VLOOKUP($A318,Hshldprojections2016!$A$1:$AQ$322,23,FALSE))/10,(VLOOKUP($A318,Hshldprojections2018!$A$1:$AQ$327,33,FALSE)-VLOOKUP($A318,Hshldprojections2018!$A$1:$AQ$327,23,FALSE))/10))</f>
        <v>288.8</v>
      </c>
      <c r="AE318" s="267">
        <f>IF(IndividualLATest!$J$7=2014,(VLOOKUP($A318,Hshldprojections2014!$A$2:$AY$326,44,FALSE)-VLOOKUP($A318,Hshldprojections2014!$A$2:$AY$326,34,FALSE))/10,IF(IndividualLATest!$J$7=2016,(VLOOKUP($A318,Hshldprojections2016!$A$1:$AQ$322,34,FALSE)-VLOOKUP($A318,Hshldprojections2016!$A$1:$AQ$322,24,FALSE))/10,(VLOOKUP($A318,Hshldprojections2018!$A$1:$AQ$327,34,FALSE)-VLOOKUP($A318,Hshldprojections2018!$A$1:$AQ$327,24,FALSE))/10))</f>
        <v>298.8</v>
      </c>
      <c r="AF318" s="267">
        <f>IF(IndividualLATest!$J$7=2014,(VLOOKUP($A318,Hshldprojections2014!$A$2:$AY$326,45,FALSE)-VLOOKUP($A318,Hshldprojections2014!$A$2:$AY$326,35,FALSE))/10,IF(IndividualLATest!$J$7=2016,(VLOOKUP($A318,Hshldprojections2016!$A$1:$AQ$322,35,FALSE)-VLOOKUP($A318,Hshldprojections2016!$A$1:$AQ$322,25,FALSE))/10,(VLOOKUP($A318,Hshldprojections2018!$A$1:$AQ$327,35,FALSE)-VLOOKUP($A318,Hshldprojections2018!$A$1:$AQ$327,25,FALSE))/10))</f>
        <v>299.10000000000002</v>
      </c>
      <c r="AG318" s="267">
        <f>IF(IndividualLATest!$J$7=2014,(VLOOKUP($A318,Hshldprojections2014!$A$2:$AY$326,46,FALSE)-VLOOKUP($A318,Hshldprojections2014!$A$2:$AY$326,36,FALSE))/10,IF(IndividualLATest!$J$7=2016,(VLOOKUP($A318,Hshldprojections2016!$A$1:$AQ$322,36,FALSE)-VLOOKUP($A318,Hshldprojections2016!$A$1:$AQ$322,26,FALSE))/10,(VLOOKUP($A318,Hshldprojections2018!$A$1:$AQ$327,36,FALSE)-VLOOKUP($A318,Hshldprojections2018!$A$1:$AQ$327,26,FALSE))/10))</f>
        <v>294.2</v>
      </c>
      <c r="AH318" s="267">
        <f>IF(IndividualLATest!$J$7=2014,(VLOOKUP($A318,Hshldprojections2014!$A$2:$AY$326,47,FALSE)-VLOOKUP($A318,Hshldprojections2014!$A$2:$AY$326,37,FALSE))/10,IF(IndividualLATest!$J$7=2016,(VLOOKUP($A318,Hshldprojections2016!$A$1:$AQ$322,37,FALSE)-VLOOKUP($A318,Hshldprojections2016!$A$1:$AQ$322,27,FALSE))/10,(VLOOKUP($A318,Hshldprojections2018!$A$1:$AQ$327,37,FALSE)-VLOOKUP($A318,Hshldprojections2018!$A$1:$AQ$327,27,FALSE))/10))</f>
        <v>292.10000000000002</v>
      </c>
      <c r="AI318" s="268">
        <f>VLOOKUP($A318,AffordabilityRatio!$A$2:$I$321,5,FALSE)</f>
        <v>8.6</v>
      </c>
      <c r="AJ318" s="268">
        <f>VLOOKUP($A318,AffordabilityRatio!$A$2:$I$321,6,FALSE)</f>
        <v>8.8699999999999992</v>
      </c>
      <c r="AK318" s="268">
        <f>VLOOKUP($A318,AffordabilityRatio!$A$2:$I$321,7,FALSE)</f>
        <v>8.2200000000000006</v>
      </c>
      <c r="AL318" s="268">
        <f>IF((VLOOKUP($A318,AffordabilityRatio!$A$2:$I$321,8,FALSE))="",AK318,VLOOKUP($A318,AffordabilityRatio!$A$2:$I$321,8,FALSE))</f>
        <v>8.0399999999999991</v>
      </c>
      <c r="AM318" s="268">
        <f>IF((VLOOKUP($A318,AffordabilityRatio!$A$2:$I$321,9,FALSE))="",AL318,VLOOKUP($A318,AffordabilityRatio!$A$2:$I$321,9,FALSE))</f>
        <v>8.41</v>
      </c>
      <c r="AN318" s="268">
        <f>IF((VLOOKUP($A318,AffordabilityRatio!$A$2:$I$321,9,FALSE))="",AM318,VLOOKUP($A318,AffordabilityRatio!$A$2:$I$321,9,FALSE))</f>
        <v>8.41</v>
      </c>
      <c r="AO318" s="268">
        <f>IF((VLOOKUP($A318,AffordabilityRatio!$A$2:$I$321,9,FALSE))="",AN318,VLOOKUP($A318,AffordabilityRatio!$A$2:$I$321,9,FALSE))</f>
        <v>8.41</v>
      </c>
      <c r="AP318" s="268">
        <f>IF((VLOOKUP($A318,AffordabilityRatio!$A$2:$I$321,9,FALSE))="",AO318,VLOOKUP($A318,AffordabilityRatio!$A$2:$I$321,9,FALSE))</f>
        <v>8.41</v>
      </c>
      <c r="AQ318" s="267">
        <f t="shared" si="282"/>
        <v>1065</v>
      </c>
      <c r="AR318" s="267">
        <f t="shared" si="283"/>
        <v>1069</v>
      </c>
      <c r="AS318" s="267">
        <f t="shared" si="284"/>
        <v>1027</v>
      </c>
      <c r="AT318" s="267">
        <f t="shared" si="285"/>
        <v>362</v>
      </c>
      <c r="AU318" s="267">
        <f t="shared" si="286"/>
        <v>381</v>
      </c>
      <c r="AV318" s="267">
        <f t="shared" si="287"/>
        <v>382</v>
      </c>
      <c r="AW318" s="267">
        <f t="shared" si="288"/>
        <v>375</v>
      </c>
      <c r="AX318" s="267">
        <f t="shared" si="289"/>
        <v>373</v>
      </c>
      <c r="AY318" s="267">
        <f t="shared" si="290"/>
        <v>1065</v>
      </c>
      <c r="AZ318" s="267">
        <f t="shared" si="291"/>
        <v>1069</v>
      </c>
      <c r="BA318" s="267">
        <f t="shared" si="292"/>
        <v>1027</v>
      </c>
      <c r="BB318" s="267">
        <f t="shared" si="293"/>
        <v>362</v>
      </c>
      <c r="BC318" s="267">
        <f t="shared" si="294"/>
        <v>381</v>
      </c>
      <c r="BD318" s="267">
        <f t="shared" si="295"/>
        <v>382</v>
      </c>
      <c r="BE318" s="267">
        <f t="shared" si="296"/>
        <v>375</v>
      </c>
      <c r="BF318" s="267">
        <f t="shared" si="297"/>
        <v>373</v>
      </c>
      <c r="BG318" s="269">
        <f>AY318*VLOOKUP($B318,'Major Cities &amp; Towns'!$A$28:$B$345,2,FALSE)</f>
        <v>1065</v>
      </c>
      <c r="BH318" s="269">
        <f>AZ318*VLOOKUP($B318,'Major Cities &amp; Towns'!$A$28:$B$345,2,FALSE)</f>
        <v>1069</v>
      </c>
      <c r="BI318" s="269">
        <f>BA318*VLOOKUP($B318,'Major Cities &amp; Towns'!$A$28:$B$345,2,FALSE)</f>
        <v>1027</v>
      </c>
      <c r="BJ318" s="269">
        <f>BB318*VLOOKUP($B318,'Major Cities &amp; Towns'!$A$28:$B$345,2,FALSE)</f>
        <v>362</v>
      </c>
      <c r="BK318" s="269">
        <f>BC318*VLOOKUP($B318,'Major Cities &amp; Towns'!$A$28:$B$345,2,FALSE)</f>
        <v>381</v>
      </c>
      <c r="BL318" s="269">
        <f>BD318*VLOOKUP($B318,'Major Cities &amp; Towns'!$A$28:$B$345,2,FALSE)</f>
        <v>382</v>
      </c>
      <c r="BM318" s="269">
        <f>BE318*VLOOKUP($B318,'Major Cities &amp; Towns'!$A$28:$B$345,2,FALSE)</f>
        <v>375</v>
      </c>
      <c r="BN318" s="269">
        <f>BF318*VLOOKUP($B318,'Major Cities &amp; Towns'!$A$28:$B$345,2,FALSE)</f>
        <v>373</v>
      </c>
      <c r="BO318" s="270">
        <f t="shared" si="298"/>
        <v>1065</v>
      </c>
      <c r="BP318" s="270">
        <f t="shared" si="299"/>
        <v>1069</v>
      </c>
      <c r="BQ318" s="270">
        <f t="shared" si="300"/>
        <v>1027</v>
      </c>
      <c r="BR318" s="270">
        <f t="shared" si="301"/>
        <v>362</v>
      </c>
      <c r="BS318" s="270">
        <f t="shared" si="302"/>
        <v>381</v>
      </c>
      <c r="BT318" s="270">
        <f t="shared" si="303"/>
        <v>382</v>
      </c>
      <c r="BU318" s="270">
        <f t="shared" si="304"/>
        <v>375</v>
      </c>
      <c r="BV318" s="270">
        <f t="shared" si="305"/>
        <v>373</v>
      </c>
      <c r="BW318" s="39">
        <f>VLOOKUP($A318,NetAdditions!$A$2:$H$336,6,FALSE)</f>
        <v>449</v>
      </c>
      <c r="BX318" s="39">
        <f>VLOOKUP($A318,NetAdditions!$A$2:$H$336,7,FALSE)</f>
        <v>560</v>
      </c>
      <c r="BY318" s="39">
        <f>IF((VLOOKUP($C318,NetAdditions!$A$2:$H$336,8,FALSE))="",(AVERAGE(VLOOKUP($C318,NetAdditions!$A$2:$H$336,5,FALSE),VLOOKUP($C318,NetAdditions!$A$2:$H$336,6,FALSE),VLOOKUP($C318,NetAdditions!$A$2:$H$336,7,FALSE))),VLOOKUP($C318,NetAdditions!$A$2:$H$336,8,FALSE))</f>
        <v>622</v>
      </c>
      <c r="BZ318" s="39">
        <f t="shared" si="306"/>
        <v>543.66666666666663</v>
      </c>
      <c r="CA318" s="39">
        <f t="shared" si="307"/>
        <v>575.22222222222217</v>
      </c>
      <c r="CB318" s="39">
        <f t="shared" si="308"/>
        <v>580.29629629629619</v>
      </c>
      <c r="CC318" s="39">
        <f t="shared" si="309"/>
        <v>566.39506172839492</v>
      </c>
      <c r="CD318" s="39">
        <f t="shared" si="310"/>
        <v>573.97119341563769</v>
      </c>
      <c r="CE318" s="276">
        <f t="shared" si="267"/>
        <v>3161</v>
      </c>
      <c r="CF318" s="276">
        <f t="shared" si="268"/>
        <v>2458</v>
      </c>
      <c r="CG318" s="276">
        <f t="shared" si="269"/>
        <v>1770</v>
      </c>
      <c r="CH318" s="276">
        <f t="shared" si="270"/>
        <v>1125</v>
      </c>
      <c r="CI318" s="276">
        <f t="shared" si="271"/>
        <v>1138</v>
      </c>
      <c r="CJ318" s="276">
        <f t="shared" si="272"/>
        <v>1130</v>
      </c>
      <c r="CK318" s="276">
        <f t="shared" si="311"/>
        <v>2721.9722222222222</v>
      </c>
      <c r="CL318" s="276">
        <f t="shared" si="312"/>
        <v>2116.6111111111113</v>
      </c>
      <c r="CM318" s="276">
        <f t="shared" si="313"/>
        <v>1622.5</v>
      </c>
      <c r="CN318" s="276">
        <f t="shared" si="314"/>
        <v>1125</v>
      </c>
      <c r="CO318" s="276">
        <f t="shared" si="315"/>
        <v>1138</v>
      </c>
      <c r="CP318" s="276">
        <f t="shared" si="316"/>
        <v>1130</v>
      </c>
      <c r="CQ318" s="39">
        <f t="shared" si="273"/>
        <v>1631</v>
      </c>
      <c r="CR318" s="39">
        <f t="shared" si="274"/>
        <v>1725.6666666666665</v>
      </c>
      <c r="CS318" s="277">
        <f t="shared" si="275"/>
        <v>1740.8888888888887</v>
      </c>
      <c r="CT318" s="39">
        <f t="shared" si="276"/>
        <v>1699.1851851851848</v>
      </c>
      <c r="CU318" s="39">
        <f t="shared" si="277"/>
        <v>1721.9135802469132</v>
      </c>
      <c r="CV318" s="39">
        <f t="shared" si="317"/>
        <v>1720.6625514403286</v>
      </c>
      <c r="CW318" s="297">
        <f t="shared" si="278"/>
        <v>0.59919788552009878</v>
      </c>
      <c r="CX318" s="279" t="str">
        <f t="shared" si="318"/>
        <v>Buffer and Action Plan</v>
      </c>
      <c r="CY318" s="278">
        <f t="shared" si="279"/>
        <v>0.81529698942229445</v>
      </c>
      <c r="CZ318" s="279" t="str">
        <f t="shared" si="319"/>
        <v>Buffer and Action Plan</v>
      </c>
      <c r="DA318" s="278">
        <f t="shared" si="280"/>
        <v>1.0729669577127203</v>
      </c>
      <c r="DB318" s="292" t="str">
        <f t="shared" si="320"/>
        <v>Pass</v>
      </c>
      <c r="DC318" s="299">
        <f t="shared" si="321"/>
        <v>1.5103868312757198</v>
      </c>
      <c r="DD318" s="293" t="str">
        <f t="shared" si="322"/>
        <v>Pass</v>
      </c>
      <c r="DE318" s="299">
        <f t="shared" si="323"/>
        <v>1.5131050793030871</v>
      </c>
      <c r="DF318" s="293" t="str">
        <f t="shared" si="324"/>
        <v>Pass</v>
      </c>
      <c r="DG318" s="299">
        <f t="shared" si="325"/>
        <v>1.5227102225135651</v>
      </c>
      <c r="DH318" s="293" t="str">
        <f t="shared" si="326"/>
        <v>Pass</v>
      </c>
    </row>
    <row r="319" spans="1:112" ht="15" thickTop="1" thickBot="1">
      <c r="A319" s="38" t="s">
        <v>748</v>
      </c>
      <c r="B319" s="38" t="s">
        <v>749</v>
      </c>
      <c r="C319" s="38" t="s">
        <v>748</v>
      </c>
      <c r="D319" s="38" t="e">
        <v>#N/A</v>
      </c>
      <c r="E319" s="38" t="e">
        <f>VLOOKUP(C319,PoliticalControl!A:K,11,FALSE)</f>
        <v>#N/A</v>
      </c>
      <c r="F319" s="38" t="e">
        <f>VLOOKUP(C319,UrbanRuralClassification!A:N,13,FALSE)</f>
        <v>#N/A</v>
      </c>
      <c r="G319" s="38" t="e">
        <f>VLOOKUP(C319,UrbanRuralClassification!A:N,14,FALSE)</f>
        <v>#N/A</v>
      </c>
      <c r="H319" s="258" t="e">
        <f>IF(ISBLANK((VLOOKUP($A319,'local-plan-data'!$C$1:$AD$566,27,FALSE)))=TRUE,"",VLOOKUP($A319,'local-plan-data'!$C$1:$AD$566,27,FALSE))</f>
        <v>#N/A</v>
      </c>
      <c r="I319" s="259" t="e">
        <f>VLOOKUP($A319,'local-plan-data'!$C$1:$AD$566,28,FALSE)</f>
        <v>#N/A</v>
      </c>
      <c r="J319" s="260" t="str">
        <f t="shared" ref="J319:J322" si="333">IFERROR(IF(ISNUMBER(I319),I319,VALUE(LEFT(I319,FIND("-",I319)-1))),"-")</f>
        <v>-</v>
      </c>
      <c r="K319" s="259" t="str">
        <f t="shared" si="331"/>
        <v>-</v>
      </c>
      <c r="L319" s="259" t="str">
        <f t="shared" si="329"/>
        <v>-</v>
      </c>
      <c r="M319" s="259" t="str">
        <f t="shared" si="329"/>
        <v>-</v>
      </c>
      <c r="N319" s="259" t="str">
        <f t="shared" si="329"/>
        <v>-</v>
      </c>
      <c r="O319" s="259" t="str">
        <f t="shared" si="329"/>
        <v>-</v>
      </c>
      <c r="P319" s="259" t="str">
        <f t="shared" si="329"/>
        <v>-</v>
      </c>
      <c r="Q319" s="259" t="str">
        <f t="shared" si="329"/>
        <v>-</v>
      </c>
      <c r="R319" s="259" t="str">
        <f t="shared" si="329"/>
        <v>-</v>
      </c>
      <c r="S319" s="259" t="str">
        <f t="shared" si="332"/>
        <v>-</v>
      </c>
      <c r="T319" s="259" t="str">
        <f t="shared" si="330"/>
        <v>-</v>
      </c>
      <c r="U319" s="259" t="str">
        <f t="shared" si="330"/>
        <v>-</v>
      </c>
      <c r="V319" s="259" t="str">
        <f t="shared" si="330"/>
        <v>-</v>
      </c>
      <c r="W319" s="259" t="str">
        <f t="shared" si="330"/>
        <v>-</v>
      </c>
      <c r="X319" s="259" t="str">
        <f t="shared" si="330"/>
        <v>-</v>
      </c>
      <c r="Y319" s="259" t="str">
        <f t="shared" si="330"/>
        <v>-</v>
      </c>
      <c r="Z319" s="259" t="str">
        <f t="shared" si="330"/>
        <v>-</v>
      </c>
      <c r="AA319" s="267">
        <f>(VLOOKUP(A319,Hshldprojections2014!$A$2:$AW$319,40, FALSE)-VLOOKUP(A319,Hshldprojections2014!$A$2:$AW$319,30, FALSE))/10</f>
        <v>1035.4000000000001</v>
      </c>
      <c r="AB319" s="267">
        <f>(VLOOKUP(A319,Hshldprojections2014!$A$2:$AW$319,41, FALSE)-VLOOKUP(A319,Hshldprojections2014!$A$2:$AW$319,31, FALSE))/10</f>
        <v>1027.2</v>
      </c>
      <c r="AC319" s="267">
        <f>(VLOOKUP(A319,Hshldprojections2014!$A$2:$AW$319,42, FALSE)-VLOOKUP(A319,Hshldprojections2014!$A$2:$AW$319,32, FALSE))/10</f>
        <v>1026.9000000000001</v>
      </c>
      <c r="AD319" s="267">
        <f>IF(IndividualLATest!$J$7=2014,(VLOOKUP($A319,Hshldprojections2014!$A$2:$AY$326,43,FALSE)-VLOOKUP($A319,Hshldprojections2014!$A$2:$AY$326,33,FALSE))/10,IF(IndividualLATest!$J$7=2016,(VLOOKUP($A319,Hshldprojections2016!$A$1:$AQ$322,33,FALSE)-VLOOKUP($A319,Hshldprojections2016!$A$1:$AQ$322,23,FALSE))/10,(VLOOKUP($A319,Hshldprojections2018!$A$1:$AQ$327,33,FALSE)-VLOOKUP($A319,Hshldprojections2018!$A$1:$AQ$327,23,FALSE))/10))</f>
        <v>989.7</v>
      </c>
      <c r="AE319" s="267">
        <f>IF(IndividualLATest!$J$7=2014,(VLOOKUP($A319,Hshldprojections2014!$A$2:$AY$326,44,FALSE)-VLOOKUP($A319,Hshldprojections2014!$A$2:$AY$326,34,FALSE))/10,IF(IndividualLATest!$J$7=2016,(VLOOKUP($A319,Hshldprojections2016!$A$1:$AQ$322,34,FALSE)-VLOOKUP($A319,Hshldprojections2016!$A$1:$AQ$322,24,FALSE))/10,(VLOOKUP($A319,Hshldprojections2018!$A$1:$AQ$327,34,FALSE)-VLOOKUP($A319,Hshldprojections2018!$A$1:$AQ$327,24,FALSE))/10))</f>
        <v>993.1</v>
      </c>
      <c r="AF319" s="267">
        <f>IF(IndividualLATest!$J$7=2014,(VLOOKUP($A319,Hshldprojections2014!$A$2:$AY$326,45,FALSE)-VLOOKUP($A319,Hshldprojections2014!$A$2:$AY$326,35,FALSE))/10,IF(IndividualLATest!$J$7=2016,(VLOOKUP($A319,Hshldprojections2016!$A$1:$AQ$322,35,FALSE)-VLOOKUP($A319,Hshldprojections2016!$A$1:$AQ$322,25,FALSE))/10,(VLOOKUP($A319,Hshldprojections2018!$A$1:$AQ$327,35,FALSE)-VLOOKUP($A319,Hshldprojections2018!$A$1:$AQ$327,25,FALSE))/10))</f>
        <v>988.2</v>
      </c>
      <c r="AG319" s="267">
        <f>IF(IndividualLATest!$J$7=2014,(VLOOKUP($A319,Hshldprojections2014!$A$2:$AY$326,46,FALSE)-VLOOKUP($A319,Hshldprojections2014!$A$2:$AY$326,36,FALSE))/10,IF(IndividualLATest!$J$7=2016,(VLOOKUP($A319,Hshldprojections2016!$A$1:$AQ$322,36,FALSE)-VLOOKUP($A319,Hshldprojections2016!$A$1:$AQ$322,26,FALSE))/10,(VLOOKUP($A319,Hshldprojections2018!$A$1:$AQ$327,36,FALSE)-VLOOKUP($A319,Hshldprojections2018!$A$1:$AQ$327,26,FALSE))/10))</f>
        <v>974.7</v>
      </c>
      <c r="AH319" s="267">
        <f>IF(IndividualLATest!$J$7=2014,(VLOOKUP($A319,Hshldprojections2014!$A$2:$AY$326,47,FALSE)-VLOOKUP($A319,Hshldprojections2014!$A$2:$AY$326,37,FALSE))/10,IF(IndividualLATest!$J$7=2016,(VLOOKUP($A319,Hshldprojections2016!$A$1:$AQ$322,37,FALSE)-VLOOKUP($A319,Hshldprojections2016!$A$1:$AQ$322,27,FALSE))/10,(VLOOKUP($A319,Hshldprojections2018!$A$1:$AQ$327,37,FALSE)-VLOOKUP($A319,Hshldprojections2018!$A$1:$AQ$327,27,FALSE))/10))</f>
        <v>965.4</v>
      </c>
      <c r="AI319" s="268">
        <f>VLOOKUP($A319,AffordabilityRatio!$A$2:$I$321,5,FALSE)</f>
        <v>9.3433333333333337</v>
      </c>
      <c r="AJ319" s="268">
        <f>VLOOKUP($A319,AffordabilityRatio!$A$2:$I$321,6,FALSE)</f>
        <v>9.1833333333333336</v>
      </c>
      <c r="AK319" s="268">
        <f>VLOOKUP($A319,AffordabilityRatio!$A$2:$I$321,7,FALSE)</f>
        <v>9.6199999999999992</v>
      </c>
      <c r="AL319" s="268">
        <f>IF((VLOOKUP($A319,AffordabilityRatio!$A$2:$I$321,8,FALSE))="",AK319,VLOOKUP($A319,AffordabilityRatio!$A$2:$I$321,8,FALSE))</f>
        <v>8.8066666666666666</v>
      </c>
      <c r="AM319" s="268">
        <f>IF((VLOOKUP($A319,AffordabilityRatio!$A$2:$I$321,9,FALSE))="",AL319,VLOOKUP($A319,AffordabilityRatio!$A$2:$I$321,9,FALSE))</f>
        <v>10.596666666666666</v>
      </c>
      <c r="AN319" s="268">
        <f>IF((VLOOKUP($A319,AffordabilityRatio!$A$2:$I$321,9,FALSE))="",AM319,VLOOKUP($A319,AffordabilityRatio!$A$2:$I$321,9,FALSE))</f>
        <v>10.596666666666666</v>
      </c>
      <c r="AO319" s="268">
        <f>IF((VLOOKUP($A319,AffordabilityRatio!$A$2:$I$321,9,FALSE))="",AN319,VLOOKUP($A319,AffordabilityRatio!$A$2:$I$321,9,FALSE))</f>
        <v>10.596666666666666</v>
      </c>
      <c r="AP319" s="268">
        <f>IF((VLOOKUP($A319,AffordabilityRatio!$A$2:$I$321,9,FALSE))="",AO319,VLOOKUP($A319,AffordabilityRatio!$A$2:$I$321,9,FALSE))</f>
        <v>10.596666666666666</v>
      </c>
      <c r="AQ319" s="267">
        <f t="shared" si="282"/>
        <v>1381</v>
      </c>
      <c r="AR319" s="267">
        <f t="shared" si="283"/>
        <v>1360</v>
      </c>
      <c r="AS319" s="267">
        <f t="shared" si="284"/>
        <v>1388</v>
      </c>
      <c r="AT319" s="267">
        <f t="shared" si="285"/>
        <v>1287</v>
      </c>
      <c r="AU319" s="267">
        <f t="shared" si="286"/>
        <v>1403</v>
      </c>
      <c r="AV319" s="267">
        <f t="shared" si="287"/>
        <v>1396</v>
      </c>
      <c r="AW319" s="267">
        <f t="shared" si="288"/>
        <v>1377</v>
      </c>
      <c r="AX319" s="267">
        <f t="shared" si="289"/>
        <v>1363</v>
      </c>
      <c r="AY319" s="267">
        <f t="shared" si="290"/>
        <v>1381</v>
      </c>
      <c r="AZ319" s="267">
        <f t="shared" si="291"/>
        <v>1360</v>
      </c>
      <c r="BA319" s="267">
        <f t="shared" si="292"/>
        <v>1388</v>
      </c>
      <c r="BB319" s="267">
        <f t="shared" si="293"/>
        <v>1287</v>
      </c>
      <c r="BC319" s="267">
        <f t="shared" si="294"/>
        <v>1390.3400000000001</v>
      </c>
      <c r="BD319" s="267">
        <f t="shared" si="295"/>
        <v>1383.48</v>
      </c>
      <c r="BE319" s="267">
        <f t="shared" si="296"/>
        <v>1364.5800000000002</v>
      </c>
      <c r="BF319" s="267">
        <f t="shared" si="297"/>
        <v>1351.56</v>
      </c>
      <c r="BG319" s="269">
        <f>AY319*VLOOKUP($B319,'Major Cities &amp; Towns'!$A$28:$B$345,2,FALSE)</f>
        <v>1381</v>
      </c>
      <c r="BH319" s="269">
        <f>AZ319*VLOOKUP($B319,'Major Cities &amp; Towns'!$A$28:$B$345,2,FALSE)</f>
        <v>1360</v>
      </c>
      <c r="BI319" s="269">
        <f>BA319*VLOOKUP($B319,'Major Cities &amp; Towns'!$A$28:$B$345,2,FALSE)</f>
        <v>1388</v>
      </c>
      <c r="BJ319" s="269">
        <f>BB319*VLOOKUP($B319,'Major Cities &amp; Towns'!$A$28:$B$345,2,FALSE)</f>
        <v>1287</v>
      </c>
      <c r="BK319" s="269">
        <f>BC319*VLOOKUP($B319,'Major Cities &amp; Towns'!$A$28:$B$345,2,FALSE)</f>
        <v>1390.3400000000001</v>
      </c>
      <c r="BL319" s="269">
        <f>BD319*VLOOKUP($B319,'Major Cities &amp; Towns'!$A$28:$B$345,2,FALSE)</f>
        <v>1383.48</v>
      </c>
      <c r="BM319" s="269">
        <f>BE319*VLOOKUP($B319,'Major Cities &amp; Towns'!$A$28:$B$345,2,FALSE)</f>
        <v>1364.5800000000002</v>
      </c>
      <c r="BN319" s="269">
        <f>BF319*VLOOKUP($B319,'Major Cities &amp; Towns'!$A$28:$B$345,2,FALSE)</f>
        <v>1351.56</v>
      </c>
      <c r="BO319" s="270">
        <f t="shared" si="298"/>
        <v>1381</v>
      </c>
      <c r="BP319" s="270">
        <f t="shared" si="299"/>
        <v>1360</v>
      </c>
      <c r="BQ319" s="270">
        <f t="shared" si="300"/>
        <v>1388</v>
      </c>
      <c r="BR319" s="270">
        <f t="shared" si="301"/>
        <v>1287</v>
      </c>
      <c r="BS319" s="270">
        <f t="shared" si="302"/>
        <v>1403</v>
      </c>
      <c r="BT319" s="270">
        <f t="shared" si="303"/>
        <v>1396</v>
      </c>
      <c r="BU319" s="270">
        <f t="shared" si="304"/>
        <v>1377</v>
      </c>
      <c r="BV319" s="270">
        <f t="shared" si="305"/>
        <v>1363</v>
      </c>
      <c r="BW319" s="39">
        <f>VLOOKUP($A319,NetAdditions!$A$2:$H$336,6,FALSE)</f>
        <v>1481</v>
      </c>
      <c r="BX319" s="39">
        <f>VLOOKUP($A319,NetAdditions!$A$2:$H$336,7,FALSE)</f>
        <v>1479</v>
      </c>
      <c r="BY319" s="39">
        <f>IF((VLOOKUP($C319,NetAdditions!$A$2:$H$336,8,FALSE))="",(AVERAGE(VLOOKUP($C319,NetAdditions!$A$2:$H$336,5,FALSE),VLOOKUP($C319,NetAdditions!$A$2:$H$336,6,FALSE),VLOOKUP($C319,NetAdditions!$A$2:$H$336,7,FALSE))),VLOOKUP($C319,NetAdditions!$A$2:$H$336,8,FALSE))</f>
        <v>1377</v>
      </c>
      <c r="BZ319" s="39">
        <f t="shared" si="306"/>
        <v>1445.6666666666667</v>
      </c>
      <c r="CA319" s="39">
        <f t="shared" si="307"/>
        <v>1433.8888888888889</v>
      </c>
      <c r="CB319" s="39">
        <f t="shared" si="308"/>
        <v>1418.851851851852</v>
      </c>
      <c r="CC319" s="39">
        <f t="shared" si="309"/>
        <v>1432.8024691358025</v>
      </c>
      <c r="CD319" s="39">
        <f t="shared" si="310"/>
        <v>1428.514403292181</v>
      </c>
      <c r="CE319" s="276">
        <f t="shared" si="267"/>
        <v>4129</v>
      </c>
      <c r="CF319" s="276">
        <f t="shared" si="268"/>
        <v>4035</v>
      </c>
      <c r="CG319" s="276">
        <f t="shared" si="269"/>
        <v>4078</v>
      </c>
      <c r="CH319" s="276">
        <f t="shared" si="270"/>
        <v>4086</v>
      </c>
      <c r="CI319" s="276">
        <f t="shared" si="271"/>
        <v>4176</v>
      </c>
      <c r="CJ319" s="276">
        <f t="shared" si="272"/>
        <v>4136</v>
      </c>
      <c r="CK319" s="276">
        <f t="shared" si="311"/>
        <v>3555.5277777777778</v>
      </c>
      <c r="CL319" s="276">
        <f t="shared" si="312"/>
        <v>3474.5833333333335</v>
      </c>
      <c r="CM319" s="276">
        <f t="shared" si="313"/>
        <v>3738.1666666666665</v>
      </c>
      <c r="CN319" s="276">
        <f t="shared" si="314"/>
        <v>4086</v>
      </c>
      <c r="CO319" s="276">
        <f t="shared" si="315"/>
        <v>4176</v>
      </c>
      <c r="CP319" s="276">
        <f t="shared" si="316"/>
        <v>4136</v>
      </c>
      <c r="CQ319" s="39">
        <f t="shared" si="273"/>
        <v>4337</v>
      </c>
      <c r="CR319" s="39">
        <f t="shared" si="274"/>
        <v>4301.666666666667</v>
      </c>
      <c r="CS319" s="277">
        <f t="shared" si="275"/>
        <v>4256.5555555555557</v>
      </c>
      <c r="CT319" s="39">
        <f t="shared" si="276"/>
        <v>4298.4074074074078</v>
      </c>
      <c r="CU319" s="39">
        <f t="shared" si="277"/>
        <v>4285.5432098765432</v>
      </c>
      <c r="CV319" s="39">
        <f t="shared" si="317"/>
        <v>4280.1687242798353</v>
      </c>
      <c r="CW319" s="297">
        <f t="shared" si="278"/>
        <v>1.2197907796154657</v>
      </c>
      <c r="CX319" s="279" t="str">
        <f t="shared" si="318"/>
        <v>Pass</v>
      </c>
      <c r="CY319" s="278">
        <f t="shared" si="279"/>
        <v>1.2380381340688331</v>
      </c>
      <c r="CZ319" s="279" t="str">
        <f t="shared" si="319"/>
        <v>Pass</v>
      </c>
      <c r="DA319" s="278">
        <f t="shared" si="280"/>
        <v>1.1386746325441766</v>
      </c>
      <c r="DB319" s="292" t="str">
        <f t="shared" si="320"/>
        <v>Pass</v>
      </c>
      <c r="DC319" s="299">
        <f t="shared" si="321"/>
        <v>1.0519841917296642</v>
      </c>
      <c r="DD319" s="293" t="str">
        <f t="shared" si="322"/>
        <v>Pass</v>
      </c>
      <c r="DE319" s="299">
        <f t="shared" si="323"/>
        <v>1.0262316115604748</v>
      </c>
      <c r="DF319" s="293" t="str">
        <f t="shared" si="324"/>
        <v>Pass</v>
      </c>
      <c r="DG319" s="299">
        <f t="shared" si="325"/>
        <v>1.0348570416537319</v>
      </c>
      <c r="DH319" s="293" t="str">
        <f t="shared" si="326"/>
        <v>Pass</v>
      </c>
    </row>
    <row r="320" spans="1:112" ht="15" thickTop="1" thickBot="1">
      <c r="A320" s="38" t="s">
        <v>750</v>
      </c>
      <c r="B320" s="38" t="s">
        <v>751</v>
      </c>
      <c r="C320" s="38" t="s">
        <v>750</v>
      </c>
      <c r="D320" s="38" t="e">
        <v>#N/A</v>
      </c>
      <c r="E320" s="38" t="e">
        <f>VLOOKUP(C320,PoliticalControl!A:K,11,FALSE)</f>
        <v>#N/A</v>
      </c>
      <c r="F320" s="38" t="e">
        <f>VLOOKUP(C320,UrbanRuralClassification!A:N,13,FALSE)</f>
        <v>#N/A</v>
      </c>
      <c r="G320" s="38" t="e">
        <f>VLOOKUP(C320,UrbanRuralClassification!A:N,14,FALSE)</f>
        <v>#N/A</v>
      </c>
      <c r="H320" s="258" t="e">
        <f>IF(ISBLANK((VLOOKUP($A320,'local-plan-data'!$C$1:$AD$566,27,FALSE)))=TRUE,"",VLOOKUP($A320,'local-plan-data'!$C$1:$AD$566,27,FALSE))</f>
        <v>#N/A</v>
      </c>
      <c r="I320" s="259" t="e">
        <f>VLOOKUP($A320,'local-plan-data'!$C$1:$AD$566,28,FALSE)</f>
        <v>#N/A</v>
      </c>
      <c r="J320" s="260" t="str">
        <f t="shared" si="333"/>
        <v>-</v>
      </c>
      <c r="K320" s="259" t="str">
        <f t="shared" si="331"/>
        <v>-</v>
      </c>
      <c r="L320" s="259" t="str">
        <f t="shared" si="329"/>
        <v>-</v>
      </c>
      <c r="M320" s="259" t="str">
        <f t="shared" si="329"/>
        <v>-</v>
      </c>
      <c r="N320" s="259" t="str">
        <f t="shared" si="329"/>
        <v>-</v>
      </c>
      <c r="O320" s="259" t="str">
        <f t="shared" si="329"/>
        <v>-</v>
      </c>
      <c r="P320" s="259" t="str">
        <f t="shared" si="329"/>
        <v>-</v>
      </c>
      <c r="Q320" s="259" t="str">
        <f t="shared" si="329"/>
        <v>-</v>
      </c>
      <c r="R320" s="259" t="str">
        <f t="shared" si="329"/>
        <v>-</v>
      </c>
      <c r="S320" s="259" t="str">
        <f t="shared" si="332"/>
        <v>-</v>
      </c>
      <c r="T320" s="259" t="str">
        <f t="shared" si="330"/>
        <v>-</v>
      </c>
      <c r="U320" s="259" t="str">
        <f t="shared" si="330"/>
        <v>-</v>
      </c>
      <c r="V320" s="259" t="str">
        <f t="shared" si="330"/>
        <v>-</v>
      </c>
      <c r="W320" s="259" t="str">
        <f t="shared" si="330"/>
        <v>-</v>
      </c>
      <c r="X320" s="259" t="str">
        <f t="shared" si="330"/>
        <v>-</v>
      </c>
      <c r="Y320" s="259" t="str">
        <f t="shared" si="330"/>
        <v>-</v>
      </c>
      <c r="Z320" s="259" t="str">
        <f t="shared" si="330"/>
        <v>-</v>
      </c>
      <c r="AA320" s="267">
        <f>(VLOOKUP(A320,Hshldprojections2014!$A$2:$AW$319,40, FALSE)-VLOOKUP(A320,Hshldprojections2014!$A$2:$AW$319,30, FALSE))/10</f>
        <v>558</v>
      </c>
      <c r="AB320" s="267">
        <f>(VLOOKUP(A320,Hshldprojections2014!$A$2:$AW$319,41, FALSE)-VLOOKUP(A320,Hshldprojections2014!$A$2:$AW$319,31, FALSE))/10</f>
        <v>556</v>
      </c>
      <c r="AC320" s="267">
        <f>(VLOOKUP(A320,Hshldprojections2014!$A$2:$AW$319,42, FALSE)-VLOOKUP(A320,Hshldprojections2014!$A$2:$AW$319,32, FALSE))/10</f>
        <v>553.9</v>
      </c>
      <c r="AD320" s="267">
        <f>IF(IndividualLATest!$J$7=2014,(VLOOKUP($A320,Hshldprojections2014!$A$2:$AY$326,43,FALSE)-VLOOKUP($A320,Hshldprojections2014!$A$2:$AY$326,33,FALSE))/10,IF(IndividualLATest!$J$7=2016,(VLOOKUP($A320,Hshldprojections2016!$A$1:$AQ$322,33,FALSE)-VLOOKUP($A320,Hshldprojections2016!$A$1:$AQ$322,23,FALSE))/10,(VLOOKUP($A320,Hshldprojections2018!$A$1:$AQ$327,33,FALSE)-VLOOKUP($A320,Hshldprojections2018!$A$1:$AQ$327,23,FALSE))/10))</f>
        <v>724.1</v>
      </c>
      <c r="AE320" s="267">
        <f>IF(IndividualLATest!$J$7=2014,(VLOOKUP($A320,Hshldprojections2014!$A$2:$AY$326,44,FALSE)-VLOOKUP($A320,Hshldprojections2014!$A$2:$AY$326,34,FALSE))/10,IF(IndividualLATest!$J$7=2016,(VLOOKUP($A320,Hshldprojections2016!$A$1:$AQ$322,34,FALSE)-VLOOKUP($A320,Hshldprojections2016!$A$1:$AQ$322,24,FALSE))/10,(VLOOKUP($A320,Hshldprojections2018!$A$1:$AQ$327,34,FALSE)-VLOOKUP($A320,Hshldprojections2018!$A$1:$AQ$327,24,FALSE))/10))</f>
        <v>708.8</v>
      </c>
      <c r="AF320" s="267">
        <f>IF(IndividualLATest!$J$7=2014,(VLOOKUP($A320,Hshldprojections2014!$A$2:$AY$326,45,FALSE)-VLOOKUP($A320,Hshldprojections2014!$A$2:$AY$326,35,FALSE))/10,IF(IndividualLATest!$J$7=2016,(VLOOKUP($A320,Hshldprojections2016!$A$1:$AQ$322,35,FALSE)-VLOOKUP($A320,Hshldprojections2016!$A$1:$AQ$322,25,FALSE))/10,(VLOOKUP($A320,Hshldprojections2018!$A$1:$AQ$327,35,FALSE)-VLOOKUP($A320,Hshldprojections2018!$A$1:$AQ$327,25,FALSE))/10))</f>
        <v>693.9</v>
      </c>
      <c r="AG320" s="267">
        <f>IF(IndividualLATest!$J$7=2014,(VLOOKUP($A320,Hshldprojections2014!$A$2:$AY$326,46,FALSE)-VLOOKUP($A320,Hshldprojections2014!$A$2:$AY$326,36,FALSE))/10,IF(IndividualLATest!$J$7=2016,(VLOOKUP($A320,Hshldprojections2016!$A$1:$AQ$322,36,FALSE)-VLOOKUP($A320,Hshldprojections2016!$A$1:$AQ$322,26,FALSE))/10,(VLOOKUP($A320,Hshldprojections2018!$A$1:$AQ$327,36,FALSE)-VLOOKUP($A320,Hshldprojections2018!$A$1:$AQ$327,26,FALSE))/10))</f>
        <v>678.6</v>
      </c>
      <c r="AH320" s="267">
        <f>IF(IndividualLATest!$J$7=2014,(VLOOKUP($A320,Hshldprojections2014!$A$2:$AY$326,47,FALSE)-VLOOKUP($A320,Hshldprojections2014!$A$2:$AY$326,37,FALSE))/10,IF(IndividualLATest!$J$7=2016,(VLOOKUP($A320,Hshldprojections2016!$A$1:$AQ$322,37,FALSE)-VLOOKUP($A320,Hshldprojections2016!$A$1:$AQ$322,27,FALSE))/10,(VLOOKUP($A320,Hshldprojections2018!$A$1:$AQ$327,37,FALSE)-VLOOKUP($A320,Hshldprojections2018!$A$1:$AQ$327,27,FALSE))/10))</f>
        <v>663.8</v>
      </c>
      <c r="AI320" s="268">
        <f>VLOOKUP($A320,AffordabilityRatio!$A$2:$I$321,5,FALSE)</f>
        <v>9.7349999999999994</v>
      </c>
      <c r="AJ320" s="268">
        <f>VLOOKUP($A320,AffordabilityRatio!$A$2:$I$321,6,FALSE)</f>
        <v>9.8049999999999997</v>
      </c>
      <c r="AK320" s="268">
        <f>VLOOKUP($A320,AffordabilityRatio!$A$2:$I$321,7,FALSE)</f>
        <v>9.879999999999999</v>
      </c>
      <c r="AL320" s="268">
        <f>IF((VLOOKUP($A320,AffordabilityRatio!$A$2:$I$321,8,FALSE))="",AK320,VLOOKUP($A320,AffordabilityRatio!$A$2:$I$321,8,FALSE))</f>
        <v>9.67</v>
      </c>
      <c r="AM320" s="268">
        <f>IF((VLOOKUP($A320,AffordabilityRatio!$A$2:$I$321,9,FALSE))="",AL320,VLOOKUP($A320,AffordabilityRatio!$A$2:$I$321,9,FALSE))</f>
        <v>10.4</v>
      </c>
      <c r="AN320" s="268">
        <f>IF((VLOOKUP($A320,AffordabilityRatio!$A$2:$I$321,9,FALSE))="",AM320,VLOOKUP($A320,AffordabilityRatio!$A$2:$I$321,9,FALSE))</f>
        <v>10.4</v>
      </c>
      <c r="AO320" s="268">
        <f>IF((VLOOKUP($A320,AffordabilityRatio!$A$2:$I$321,9,FALSE))="",AN320,VLOOKUP($A320,AffordabilityRatio!$A$2:$I$321,9,FALSE))</f>
        <v>10.4</v>
      </c>
      <c r="AP320" s="268">
        <f>IF((VLOOKUP($A320,AffordabilityRatio!$A$2:$I$321,9,FALSE))="",AO320,VLOOKUP($A320,AffordabilityRatio!$A$2:$I$321,9,FALSE))</f>
        <v>10.4</v>
      </c>
      <c r="AQ320" s="267">
        <f t="shared" si="282"/>
        <v>758</v>
      </c>
      <c r="AR320" s="267">
        <f t="shared" si="283"/>
        <v>758</v>
      </c>
      <c r="AS320" s="267">
        <f t="shared" si="284"/>
        <v>757</v>
      </c>
      <c r="AT320" s="267">
        <f t="shared" si="285"/>
        <v>981</v>
      </c>
      <c r="AU320" s="267">
        <f t="shared" si="286"/>
        <v>992</v>
      </c>
      <c r="AV320" s="267">
        <f t="shared" si="287"/>
        <v>971</v>
      </c>
      <c r="AW320" s="267">
        <f t="shared" si="288"/>
        <v>950</v>
      </c>
      <c r="AX320" s="267">
        <f t="shared" si="289"/>
        <v>929</v>
      </c>
      <c r="AY320" s="267">
        <f t="shared" si="290"/>
        <v>758</v>
      </c>
      <c r="AZ320" s="267">
        <f t="shared" si="291"/>
        <v>758</v>
      </c>
      <c r="BA320" s="267">
        <f t="shared" si="292"/>
        <v>757</v>
      </c>
      <c r="BB320" s="267">
        <f t="shared" si="293"/>
        <v>981</v>
      </c>
      <c r="BC320" s="267">
        <f t="shared" si="294"/>
        <v>992</v>
      </c>
      <c r="BD320" s="267">
        <f t="shared" si="295"/>
        <v>971</v>
      </c>
      <c r="BE320" s="267">
        <f t="shared" si="296"/>
        <v>950</v>
      </c>
      <c r="BF320" s="267">
        <f t="shared" si="297"/>
        <v>929</v>
      </c>
      <c r="BG320" s="269">
        <f>AY320*VLOOKUP($B320,'Major Cities &amp; Towns'!$A$28:$B$345,2,FALSE)</f>
        <v>758</v>
      </c>
      <c r="BH320" s="269">
        <f>AZ320*VLOOKUP($B320,'Major Cities &amp; Towns'!$A$28:$B$345,2,FALSE)</f>
        <v>758</v>
      </c>
      <c r="BI320" s="269">
        <f>BA320*VLOOKUP($B320,'Major Cities &amp; Towns'!$A$28:$B$345,2,FALSE)</f>
        <v>757</v>
      </c>
      <c r="BJ320" s="269">
        <f>BB320*VLOOKUP($B320,'Major Cities &amp; Towns'!$A$28:$B$345,2,FALSE)</f>
        <v>981</v>
      </c>
      <c r="BK320" s="269">
        <f>BC320*VLOOKUP($B320,'Major Cities &amp; Towns'!$A$28:$B$345,2,FALSE)</f>
        <v>992</v>
      </c>
      <c r="BL320" s="269">
        <f>BD320*VLOOKUP($B320,'Major Cities &amp; Towns'!$A$28:$B$345,2,FALSE)</f>
        <v>971</v>
      </c>
      <c r="BM320" s="269">
        <f>BE320*VLOOKUP($B320,'Major Cities &amp; Towns'!$A$28:$B$345,2,FALSE)</f>
        <v>950</v>
      </c>
      <c r="BN320" s="269">
        <f>BF320*VLOOKUP($B320,'Major Cities &amp; Towns'!$A$28:$B$345,2,FALSE)</f>
        <v>929</v>
      </c>
      <c r="BO320" s="270">
        <f t="shared" si="298"/>
        <v>758</v>
      </c>
      <c r="BP320" s="270">
        <f t="shared" si="299"/>
        <v>758</v>
      </c>
      <c r="BQ320" s="270">
        <f t="shared" si="300"/>
        <v>757</v>
      </c>
      <c r="BR320" s="270">
        <f t="shared" si="301"/>
        <v>981</v>
      </c>
      <c r="BS320" s="270">
        <f t="shared" si="302"/>
        <v>992</v>
      </c>
      <c r="BT320" s="270">
        <f t="shared" si="303"/>
        <v>971</v>
      </c>
      <c r="BU320" s="270">
        <f t="shared" si="304"/>
        <v>950</v>
      </c>
      <c r="BV320" s="270">
        <f t="shared" si="305"/>
        <v>929</v>
      </c>
      <c r="BW320" s="39">
        <f>VLOOKUP($A320,NetAdditions!$A$2:$H$336,6,FALSE)</f>
        <v>953</v>
      </c>
      <c r="BX320" s="39">
        <f>VLOOKUP($A320,NetAdditions!$A$2:$H$336,7,FALSE)</f>
        <v>1167</v>
      </c>
      <c r="BY320" s="39">
        <f>IF((VLOOKUP($C320,NetAdditions!$A$2:$H$336,8,FALSE))="",(AVERAGE(VLOOKUP($C320,NetAdditions!$A$2:$H$336,5,FALSE),VLOOKUP($C320,NetAdditions!$A$2:$H$336,6,FALSE),VLOOKUP($C320,NetAdditions!$A$2:$H$336,7,FALSE))),VLOOKUP($C320,NetAdditions!$A$2:$H$336,8,FALSE))</f>
        <v>686</v>
      </c>
      <c r="BZ320" s="39">
        <f t="shared" si="306"/>
        <v>935.33333333333337</v>
      </c>
      <c r="CA320" s="39">
        <f t="shared" si="307"/>
        <v>929.44444444444446</v>
      </c>
      <c r="CB320" s="39">
        <f t="shared" si="308"/>
        <v>850.25925925925924</v>
      </c>
      <c r="CC320" s="39">
        <f t="shared" si="309"/>
        <v>905.01234567901236</v>
      </c>
      <c r="CD320" s="39">
        <f t="shared" si="310"/>
        <v>894.90534979423865</v>
      </c>
      <c r="CE320" s="276">
        <f t="shared" si="267"/>
        <v>2273</v>
      </c>
      <c r="CF320" s="276">
        <f t="shared" si="268"/>
        <v>2496</v>
      </c>
      <c r="CG320" s="276">
        <f t="shared" si="269"/>
        <v>2730</v>
      </c>
      <c r="CH320" s="276">
        <f t="shared" si="270"/>
        <v>2944</v>
      </c>
      <c r="CI320" s="276">
        <f t="shared" si="271"/>
        <v>2913</v>
      </c>
      <c r="CJ320" s="276">
        <f t="shared" si="272"/>
        <v>2850</v>
      </c>
      <c r="CK320" s="276">
        <f t="shared" si="311"/>
        <v>1957.3055555555557</v>
      </c>
      <c r="CL320" s="276">
        <f t="shared" si="312"/>
        <v>2149.3333333333335</v>
      </c>
      <c r="CM320" s="276">
        <f t="shared" si="313"/>
        <v>2502.5</v>
      </c>
      <c r="CN320" s="276">
        <f t="shared" si="314"/>
        <v>2944</v>
      </c>
      <c r="CO320" s="276">
        <f t="shared" si="315"/>
        <v>2913</v>
      </c>
      <c r="CP320" s="276">
        <f t="shared" si="316"/>
        <v>2850</v>
      </c>
      <c r="CQ320" s="39">
        <f t="shared" si="273"/>
        <v>2806</v>
      </c>
      <c r="CR320" s="39">
        <f t="shared" si="274"/>
        <v>2788.3333333333335</v>
      </c>
      <c r="CS320" s="277">
        <f t="shared" si="275"/>
        <v>2550.7777777777778</v>
      </c>
      <c r="CT320" s="39">
        <f t="shared" si="276"/>
        <v>2715.037037037037</v>
      </c>
      <c r="CU320" s="39">
        <f t="shared" si="277"/>
        <v>2684.7160493827159</v>
      </c>
      <c r="CV320" s="39">
        <f t="shared" si="317"/>
        <v>2650.1769547325102</v>
      </c>
      <c r="CW320" s="297">
        <f t="shared" si="278"/>
        <v>1.4336034514567928</v>
      </c>
      <c r="CX320" s="279" t="str">
        <f t="shared" si="318"/>
        <v>Pass</v>
      </c>
      <c r="CY320" s="278">
        <f t="shared" si="279"/>
        <v>1.2973014888337469</v>
      </c>
      <c r="CZ320" s="279" t="str">
        <f t="shared" si="319"/>
        <v>Pass</v>
      </c>
      <c r="DA320" s="278">
        <f t="shared" si="280"/>
        <v>1.0192918192918192</v>
      </c>
      <c r="DB320" s="292" t="str">
        <f t="shared" si="320"/>
        <v>Pass</v>
      </c>
      <c r="DC320" s="299">
        <f t="shared" si="321"/>
        <v>0.9222272544283413</v>
      </c>
      <c r="DD320" s="293" t="str">
        <f t="shared" si="322"/>
        <v>Action Plan</v>
      </c>
      <c r="DE320" s="299">
        <f t="shared" si="323"/>
        <v>0.92163269803732095</v>
      </c>
      <c r="DF320" s="293" t="str">
        <f t="shared" si="324"/>
        <v>Action Plan</v>
      </c>
      <c r="DG320" s="299">
        <f t="shared" si="325"/>
        <v>0.92988665078333688</v>
      </c>
      <c r="DH320" s="293" t="str">
        <f t="shared" si="326"/>
        <v>Action Plan</v>
      </c>
    </row>
    <row r="321" spans="1:112" ht="15" thickTop="1" thickBot="1">
      <c r="A321" s="38" t="s">
        <v>752</v>
      </c>
      <c r="B321" s="38" t="s">
        <v>753</v>
      </c>
      <c r="C321" s="38" t="s">
        <v>752</v>
      </c>
      <c r="D321" s="38" t="e">
        <v>#N/A</v>
      </c>
      <c r="E321" s="38" t="e">
        <f>VLOOKUP(C321,PoliticalControl!A:K,11,FALSE)</f>
        <v>#N/A</v>
      </c>
      <c r="F321" s="38" t="e">
        <f>VLOOKUP(C321,UrbanRuralClassification!A:N,13,FALSE)</f>
        <v>#N/A</v>
      </c>
      <c r="G321" s="38" t="e">
        <f>VLOOKUP(C321,UrbanRuralClassification!A:N,14,FALSE)</f>
        <v>#N/A</v>
      </c>
      <c r="H321" s="258" t="e">
        <f>IF(ISBLANK((VLOOKUP($A321,'local-plan-data'!$C$1:$AD$566,27,FALSE)))=TRUE,"",VLOOKUP($A321,'local-plan-data'!$C$1:$AD$566,27,FALSE))</f>
        <v>#N/A</v>
      </c>
      <c r="I321" s="259" t="e">
        <f>VLOOKUP($A321,'local-plan-data'!$C$1:$AD$566,28,FALSE)</f>
        <v>#N/A</v>
      </c>
      <c r="J321" s="260" t="str">
        <f t="shared" si="333"/>
        <v>-</v>
      </c>
      <c r="K321" s="259" t="str">
        <f t="shared" si="331"/>
        <v>-</v>
      </c>
      <c r="L321" s="259" t="str">
        <f t="shared" si="329"/>
        <v>-</v>
      </c>
      <c r="M321" s="259" t="str">
        <f t="shared" si="329"/>
        <v>-</v>
      </c>
      <c r="N321" s="259" t="str">
        <f t="shared" si="329"/>
        <v>-</v>
      </c>
      <c r="O321" s="259" t="str">
        <f t="shared" si="329"/>
        <v>-</v>
      </c>
      <c r="P321" s="259" t="str">
        <f t="shared" si="329"/>
        <v>-</v>
      </c>
      <c r="Q321" s="259" t="str">
        <f t="shared" si="329"/>
        <v>-</v>
      </c>
      <c r="R321" s="259" t="str">
        <f t="shared" si="329"/>
        <v>-</v>
      </c>
      <c r="S321" s="259" t="str">
        <f t="shared" si="332"/>
        <v>-</v>
      </c>
      <c r="T321" s="259" t="str">
        <f t="shared" si="330"/>
        <v>-</v>
      </c>
      <c r="U321" s="259" t="str">
        <f t="shared" si="330"/>
        <v>-</v>
      </c>
      <c r="V321" s="259" t="str">
        <f t="shared" si="330"/>
        <v>-</v>
      </c>
      <c r="W321" s="259" t="str">
        <f t="shared" si="330"/>
        <v>-</v>
      </c>
      <c r="X321" s="259" t="str">
        <f t="shared" si="330"/>
        <v>-</v>
      </c>
      <c r="Y321" s="259" t="str">
        <f t="shared" si="330"/>
        <v>-</v>
      </c>
      <c r="Z321" s="259" t="str">
        <f t="shared" si="330"/>
        <v>-</v>
      </c>
      <c r="AA321" s="267">
        <f>(VLOOKUP(A321,Hshldprojections2014!$A$2:$AW$319,40, FALSE)-VLOOKUP(A321,Hshldprojections2014!$A$2:$AW$319,30, FALSE))/10</f>
        <v>1614</v>
      </c>
      <c r="AB321" s="267">
        <f>(VLOOKUP(A321,Hshldprojections2014!$A$2:$AW$319,41, FALSE)-VLOOKUP(A321,Hshldprojections2014!$A$2:$AW$319,31, FALSE))/10</f>
        <v>1592.5</v>
      </c>
      <c r="AC321" s="267">
        <f>(VLOOKUP(A321,Hshldprojections2014!$A$2:$AW$319,42, FALSE)-VLOOKUP(A321,Hshldprojections2014!$A$2:$AW$319,32, FALSE))/10</f>
        <v>1578</v>
      </c>
      <c r="AD321" s="267">
        <f>IF(IndividualLATest!$J$7=2014,(VLOOKUP($A321,Hshldprojections2014!$A$2:$AY$326,43,FALSE)-VLOOKUP($A321,Hshldprojections2014!$A$2:$AY$326,33,FALSE))/10,IF(IndividualLATest!$J$7=2016,(VLOOKUP($A321,Hshldprojections2016!$A$1:$AQ$322,33,FALSE)-VLOOKUP($A321,Hshldprojections2016!$A$1:$AQ$322,23,FALSE))/10,(VLOOKUP($A321,Hshldprojections2018!$A$1:$AQ$327,33,FALSE)-VLOOKUP($A321,Hshldprojections2018!$A$1:$AQ$327,23,FALSE))/10))</f>
        <v>1737.3</v>
      </c>
      <c r="AE321" s="267">
        <f>IF(IndividualLATest!$J$7=2014,(VLOOKUP($A321,Hshldprojections2014!$A$2:$AY$326,44,FALSE)-VLOOKUP($A321,Hshldprojections2014!$A$2:$AY$326,34,FALSE))/10,IF(IndividualLATest!$J$7=2016,(VLOOKUP($A321,Hshldprojections2016!$A$1:$AQ$322,34,FALSE)-VLOOKUP($A321,Hshldprojections2016!$A$1:$AQ$322,24,FALSE))/10,(VLOOKUP($A321,Hshldprojections2018!$A$1:$AQ$327,34,FALSE)-VLOOKUP($A321,Hshldprojections2018!$A$1:$AQ$327,24,FALSE))/10))</f>
        <v>1713.4</v>
      </c>
      <c r="AF321" s="267">
        <f>IF(IndividualLATest!$J$7=2014,(VLOOKUP($A321,Hshldprojections2014!$A$2:$AY$326,45,FALSE)-VLOOKUP($A321,Hshldprojections2014!$A$2:$AY$326,35,FALSE))/10,IF(IndividualLATest!$J$7=2016,(VLOOKUP($A321,Hshldprojections2016!$A$1:$AQ$322,35,FALSE)-VLOOKUP($A321,Hshldprojections2016!$A$1:$AQ$322,25,FALSE))/10,(VLOOKUP($A321,Hshldprojections2018!$A$1:$AQ$327,35,FALSE)-VLOOKUP($A321,Hshldprojections2018!$A$1:$AQ$327,25,FALSE))/10))</f>
        <v>1685.8</v>
      </c>
      <c r="AG321" s="267">
        <f>IF(IndividualLATest!$J$7=2014,(VLOOKUP($A321,Hshldprojections2014!$A$2:$AY$326,46,FALSE)-VLOOKUP($A321,Hshldprojections2014!$A$2:$AY$326,36,FALSE))/10,IF(IndividualLATest!$J$7=2016,(VLOOKUP($A321,Hshldprojections2016!$A$1:$AQ$322,36,FALSE)-VLOOKUP($A321,Hshldprojections2016!$A$1:$AQ$322,26,FALSE))/10,(VLOOKUP($A321,Hshldprojections2018!$A$1:$AQ$327,36,FALSE)-VLOOKUP($A321,Hshldprojections2018!$A$1:$AQ$327,26,FALSE))/10))</f>
        <v>1648.6</v>
      </c>
      <c r="AH321" s="267">
        <f>IF(IndividualLATest!$J$7=2014,(VLOOKUP($A321,Hshldprojections2014!$A$2:$AY$326,47,FALSE)-VLOOKUP($A321,Hshldprojections2014!$A$2:$AY$326,37,FALSE))/10,IF(IndividualLATest!$J$7=2016,(VLOOKUP($A321,Hshldprojections2016!$A$1:$AQ$322,37,FALSE)-VLOOKUP($A321,Hshldprojections2016!$A$1:$AQ$322,27,FALSE))/10,(VLOOKUP($A321,Hshldprojections2018!$A$1:$AQ$327,37,FALSE)-VLOOKUP($A321,Hshldprojections2018!$A$1:$AQ$327,27,FALSE))/10))</f>
        <v>1620.5</v>
      </c>
      <c r="AI321" s="268">
        <f>VLOOKUP($A321,AffordabilityRatio!$A$2:$I$321,5,FALSE)</f>
        <v>8.56</v>
      </c>
      <c r="AJ321" s="268">
        <f>VLOOKUP($A321,AffordabilityRatio!$A$2:$I$321,6,FALSE)</f>
        <v>8.34</v>
      </c>
      <c r="AK321" s="268">
        <f>VLOOKUP($A321,AffordabilityRatio!$A$2:$I$321,7,FALSE)</f>
        <v>8.3233333333333324</v>
      </c>
      <c r="AL321" s="268">
        <f>IF((VLOOKUP($A321,AffordabilityRatio!$A$2:$I$321,8,FALSE))="",AK321,VLOOKUP($A321,AffordabilityRatio!$A$2:$I$321,8,FALSE))</f>
        <v>8.1366666666666649</v>
      </c>
      <c r="AM321" s="268">
        <f>IF((VLOOKUP($A321,AffordabilityRatio!$A$2:$I$321,9,FALSE))="",AL321,VLOOKUP($A321,AffordabilityRatio!$A$2:$I$321,9,FALSE))</f>
        <v>8.4166666666666661</v>
      </c>
      <c r="AN321" s="268">
        <f>IF((VLOOKUP($A321,AffordabilityRatio!$A$2:$I$321,9,FALSE))="",AM321,VLOOKUP($A321,AffordabilityRatio!$A$2:$I$321,9,FALSE))</f>
        <v>8.4166666666666661</v>
      </c>
      <c r="AO321" s="268">
        <f>IF((VLOOKUP($A321,AffordabilityRatio!$A$2:$I$321,9,FALSE))="",AN321,VLOOKUP($A321,AffordabilityRatio!$A$2:$I$321,9,FALSE))</f>
        <v>8.4166666666666661</v>
      </c>
      <c r="AP321" s="268">
        <f>IF((VLOOKUP($A321,AffordabilityRatio!$A$2:$I$321,9,FALSE))="",AO321,VLOOKUP($A321,AffordabilityRatio!$A$2:$I$321,9,FALSE))</f>
        <v>8.4166666666666661</v>
      </c>
      <c r="AQ321" s="267">
        <f t="shared" si="282"/>
        <v>2074</v>
      </c>
      <c r="AR321" s="267">
        <f t="shared" si="283"/>
        <v>2024</v>
      </c>
      <c r="AS321" s="267">
        <f t="shared" si="284"/>
        <v>2004</v>
      </c>
      <c r="AT321" s="267">
        <f t="shared" si="285"/>
        <v>2186</v>
      </c>
      <c r="AU321" s="267">
        <f t="shared" si="286"/>
        <v>2186</v>
      </c>
      <c r="AV321" s="267">
        <f t="shared" si="287"/>
        <v>2151</v>
      </c>
      <c r="AW321" s="267">
        <f t="shared" si="288"/>
        <v>2104</v>
      </c>
      <c r="AX321" s="267">
        <f t="shared" si="289"/>
        <v>2068</v>
      </c>
      <c r="AY321" s="267">
        <f t="shared" si="290"/>
        <v>2074</v>
      </c>
      <c r="AZ321" s="267">
        <f t="shared" si="291"/>
        <v>2024</v>
      </c>
      <c r="BA321" s="267">
        <f t="shared" si="292"/>
        <v>2004</v>
      </c>
      <c r="BB321" s="267">
        <f t="shared" si="293"/>
        <v>2186</v>
      </c>
      <c r="BC321" s="267">
        <f t="shared" si="294"/>
        <v>2186</v>
      </c>
      <c r="BD321" s="267">
        <f t="shared" si="295"/>
        <v>2151</v>
      </c>
      <c r="BE321" s="267">
        <f t="shared" si="296"/>
        <v>2104</v>
      </c>
      <c r="BF321" s="267">
        <f t="shared" si="297"/>
        <v>2068</v>
      </c>
      <c r="BG321" s="269">
        <f>AY321*VLOOKUP($B321,'Major Cities &amp; Towns'!$A$28:$B$345,2,FALSE)</f>
        <v>2074</v>
      </c>
      <c r="BH321" s="269">
        <f>AZ321*VLOOKUP($B321,'Major Cities &amp; Towns'!$A$28:$B$345,2,FALSE)</f>
        <v>2024</v>
      </c>
      <c r="BI321" s="269">
        <f>BA321*VLOOKUP($B321,'Major Cities &amp; Towns'!$A$28:$B$345,2,FALSE)</f>
        <v>2004</v>
      </c>
      <c r="BJ321" s="269">
        <f>BB321*VLOOKUP($B321,'Major Cities &amp; Towns'!$A$28:$B$345,2,FALSE)</f>
        <v>2186</v>
      </c>
      <c r="BK321" s="269">
        <f>BC321*VLOOKUP($B321,'Major Cities &amp; Towns'!$A$28:$B$345,2,FALSE)</f>
        <v>2186</v>
      </c>
      <c r="BL321" s="269">
        <f>BD321*VLOOKUP($B321,'Major Cities &amp; Towns'!$A$28:$B$345,2,FALSE)</f>
        <v>2151</v>
      </c>
      <c r="BM321" s="269">
        <f>BE321*VLOOKUP($B321,'Major Cities &amp; Towns'!$A$28:$B$345,2,FALSE)</f>
        <v>2104</v>
      </c>
      <c r="BN321" s="269">
        <f>BF321*VLOOKUP($B321,'Major Cities &amp; Towns'!$A$28:$B$345,2,FALSE)</f>
        <v>2068</v>
      </c>
      <c r="BO321" s="270">
        <f t="shared" si="298"/>
        <v>2074</v>
      </c>
      <c r="BP321" s="270">
        <f t="shared" si="299"/>
        <v>2024</v>
      </c>
      <c r="BQ321" s="270">
        <f t="shared" si="300"/>
        <v>2004</v>
      </c>
      <c r="BR321" s="270">
        <f t="shared" si="301"/>
        <v>2186</v>
      </c>
      <c r="BS321" s="270">
        <f t="shared" si="302"/>
        <v>2186</v>
      </c>
      <c r="BT321" s="270">
        <f t="shared" si="303"/>
        <v>2151</v>
      </c>
      <c r="BU321" s="270">
        <f t="shared" si="304"/>
        <v>2104</v>
      </c>
      <c r="BV321" s="270">
        <f t="shared" si="305"/>
        <v>2068</v>
      </c>
      <c r="BW321" s="39">
        <f>VLOOKUP($A321,NetAdditions!$A$2:$H$336,6,FALSE)</f>
        <v>2757</v>
      </c>
      <c r="BX321" s="39">
        <f>VLOOKUP($A321,NetAdditions!$A$2:$H$336,7,FALSE)</f>
        <v>2156</v>
      </c>
      <c r="BY321" s="39">
        <f>IF((VLOOKUP($C321,NetAdditions!$A$2:$H$336,8,FALSE))="",(AVERAGE(VLOOKUP($C321,NetAdditions!$A$2:$H$336,5,FALSE),VLOOKUP($C321,NetAdditions!$A$2:$H$336,6,FALSE),VLOOKUP($C321,NetAdditions!$A$2:$H$336,7,FALSE))),VLOOKUP($C321,NetAdditions!$A$2:$H$336,8,FALSE))</f>
        <v>1466</v>
      </c>
      <c r="BZ321" s="39">
        <f t="shared" si="306"/>
        <v>2126.3333333333335</v>
      </c>
      <c r="CA321" s="39">
        <f t="shared" si="307"/>
        <v>1916.1111111111113</v>
      </c>
      <c r="CB321" s="39">
        <f t="shared" si="308"/>
        <v>1836.1481481481485</v>
      </c>
      <c r="CC321" s="39">
        <f t="shared" si="309"/>
        <v>1959.5308641975309</v>
      </c>
      <c r="CD321" s="39">
        <f t="shared" si="310"/>
        <v>1903.9300411522636</v>
      </c>
      <c r="CE321" s="276">
        <f t="shared" si="267"/>
        <v>6102</v>
      </c>
      <c r="CF321" s="276">
        <f t="shared" si="268"/>
        <v>6214</v>
      </c>
      <c r="CG321" s="276">
        <f t="shared" si="269"/>
        <v>6376</v>
      </c>
      <c r="CH321" s="276">
        <f t="shared" si="270"/>
        <v>6523</v>
      </c>
      <c r="CI321" s="276">
        <f t="shared" si="271"/>
        <v>6441</v>
      </c>
      <c r="CJ321" s="276">
        <f t="shared" si="272"/>
        <v>6323</v>
      </c>
      <c r="CK321" s="276">
        <f t="shared" si="311"/>
        <v>5254.5</v>
      </c>
      <c r="CL321" s="276">
        <f t="shared" si="312"/>
        <v>5350.9444444444443</v>
      </c>
      <c r="CM321" s="276">
        <f t="shared" si="313"/>
        <v>5844.6666666666661</v>
      </c>
      <c r="CN321" s="276">
        <f t="shared" si="314"/>
        <v>6523</v>
      </c>
      <c r="CO321" s="276">
        <f t="shared" si="315"/>
        <v>6441</v>
      </c>
      <c r="CP321" s="276">
        <f t="shared" si="316"/>
        <v>6323</v>
      </c>
      <c r="CQ321" s="39">
        <f t="shared" si="273"/>
        <v>6379</v>
      </c>
      <c r="CR321" s="39">
        <f t="shared" si="274"/>
        <v>5748.3333333333339</v>
      </c>
      <c r="CS321" s="277">
        <f t="shared" si="275"/>
        <v>5508.4444444444453</v>
      </c>
      <c r="CT321" s="39">
        <f t="shared" si="276"/>
        <v>5878.5925925925931</v>
      </c>
      <c r="CU321" s="39">
        <f t="shared" si="277"/>
        <v>5711.7901234567908</v>
      </c>
      <c r="CV321" s="39">
        <f t="shared" si="317"/>
        <v>5699.609053497943</v>
      </c>
      <c r="CW321" s="297">
        <f t="shared" si="278"/>
        <v>1.2140070415834048</v>
      </c>
      <c r="CX321" s="279" t="str">
        <f t="shared" si="318"/>
        <v>Pass</v>
      </c>
      <c r="CY321" s="278">
        <f t="shared" si="279"/>
        <v>1.0742651868309854</v>
      </c>
      <c r="CZ321" s="279" t="str">
        <f t="shared" si="319"/>
        <v>Pass</v>
      </c>
      <c r="DA321" s="278">
        <f t="shared" si="280"/>
        <v>0.94247367020265416</v>
      </c>
      <c r="DB321" s="292" t="str">
        <f t="shared" si="320"/>
        <v>Action Plan</v>
      </c>
      <c r="DC321" s="299">
        <f t="shared" si="321"/>
        <v>0.9012099636045674</v>
      </c>
      <c r="DD321" s="293" t="str">
        <f t="shared" si="322"/>
        <v>Action Plan</v>
      </c>
      <c r="DE321" s="299">
        <f t="shared" si="323"/>
        <v>0.88678623248824573</v>
      </c>
      <c r="DF321" s="293" t="str">
        <f t="shared" si="324"/>
        <v>Action Plan</v>
      </c>
      <c r="DG321" s="299">
        <f t="shared" si="325"/>
        <v>0.90140899153850118</v>
      </c>
      <c r="DH321" s="293" t="str">
        <f t="shared" si="326"/>
        <v>Action Plan</v>
      </c>
    </row>
    <row r="322" spans="1:112" ht="15" thickTop="1" thickBot="1">
      <c r="A322" s="38" t="s">
        <v>754</v>
      </c>
      <c r="B322" s="38" t="s">
        <v>755</v>
      </c>
      <c r="C322" s="38" t="s">
        <v>754</v>
      </c>
      <c r="D322" s="38" t="e">
        <v>#N/A</v>
      </c>
      <c r="E322" s="38" t="e">
        <f>VLOOKUP(C322,PoliticalControl!A:K,11,FALSE)</f>
        <v>#N/A</v>
      </c>
      <c r="F322" s="38" t="e">
        <f>VLOOKUP(C322,UrbanRuralClassification!A:N,13,FALSE)</f>
        <v>#N/A</v>
      </c>
      <c r="G322" s="38" t="e">
        <f>VLOOKUP(C322,UrbanRuralClassification!A:N,14,FALSE)</f>
        <v>#N/A</v>
      </c>
      <c r="H322" s="258" t="e">
        <f>IF(ISBLANK((VLOOKUP($A322,'local-plan-data'!$C$1:$AD$566,27,FALSE)))=TRUE,"",VLOOKUP($A322,'local-plan-data'!$C$1:$AD$566,27,FALSE))</f>
        <v>#N/A</v>
      </c>
      <c r="I322" s="259" t="e">
        <f>VLOOKUP($A322,'local-plan-data'!$C$1:$AD$566,28,FALSE)</f>
        <v>#N/A</v>
      </c>
      <c r="J322" s="260" t="str">
        <f t="shared" si="333"/>
        <v>-</v>
      </c>
      <c r="K322" s="259" t="str">
        <f t="shared" si="331"/>
        <v>-</v>
      </c>
      <c r="L322" s="259" t="str">
        <f t="shared" si="329"/>
        <v>-</v>
      </c>
      <c r="M322" s="259" t="str">
        <f t="shared" si="329"/>
        <v>-</v>
      </c>
      <c r="N322" s="259" t="str">
        <f t="shared" si="329"/>
        <v>-</v>
      </c>
      <c r="O322" s="259" t="str">
        <f t="shared" si="329"/>
        <v>-</v>
      </c>
      <c r="P322" s="259" t="str">
        <f t="shared" si="329"/>
        <v>-</v>
      </c>
      <c r="Q322" s="259" t="str">
        <f t="shared" si="329"/>
        <v>-</v>
      </c>
      <c r="R322" s="259" t="str">
        <f t="shared" si="329"/>
        <v>-</v>
      </c>
      <c r="S322" s="259" t="str">
        <f t="shared" si="332"/>
        <v>-</v>
      </c>
      <c r="T322" s="259" t="str">
        <f t="shared" si="330"/>
        <v>-</v>
      </c>
      <c r="U322" s="259" t="str">
        <f t="shared" si="330"/>
        <v>-</v>
      </c>
      <c r="V322" s="259" t="str">
        <f t="shared" si="330"/>
        <v>-</v>
      </c>
      <c r="W322" s="259" t="str">
        <f t="shared" si="330"/>
        <v>-</v>
      </c>
      <c r="X322" s="259" t="str">
        <f t="shared" si="330"/>
        <v>-</v>
      </c>
      <c r="Y322" s="259" t="str">
        <f t="shared" si="330"/>
        <v>-</v>
      </c>
      <c r="Z322" s="259" t="str">
        <f t="shared" si="330"/>
        <v>-</v>
      </c>
      <c r="AA322" s="267">
        <f>(VLOOKUP(A322,Hshldprojections2014!$A$2:$AW$319,40, FALSE)-VLOOKUP(A322,Hshldprojections2014!$A$2:$AW$319,30, FALSE))/10</f>
        <v>949.5</v>
      </c>
      <c r="AB322" s="267">
        <f>(VLOOKUP(A322,Hshldprojections2014!$A$2:$AW$319,41, FALSE)-VLOOKUP(A322,Hshldprojections2014!$A$2:$AW$319,31, FALSE))/10</f>
        <v>937.7</v>
      </c>
      <c r="AC322" s="267">
        <f>(VLOOKUP(A322,Hshldprojections2014!$A$2:$AW$319,42, FALSE)-VLOOKUP(A322,Hshldprojections2014!$A$2:$AW$319,32, FALSE))/10</f>
        <v>929.3</v>
      </c>
      <c r="AD322" s="267">
        <f>IF(IndividualLATest!$J$7=2014,(VLOOKUP($A322,Hshldprojections2014!$A$2:$AY$326,43,FALSE)-VLOOKUP($A322,Hshldprojections2014!$A$2:$AY$326,33,FALSE))/10,IF(IndividualLATest!$J$7=2016,(VLOOKUP($A322,Hshldprojections2016!$A$1:$AQ$322,33,FALSE)-VLOOKUP($A322,Hshldprojections2016!$A$1:$AQ$322,23,FALSE))/10,(VLOOKUP($A322,Hshldprojections2018!$A$1:$AQ$327,33,FALSE)-VLOOKUP($A322,Hshldprojections2018!$A$1:$AQ$327,23,FALSE))/10))</f>
        <v>855.3</v>
      </c>
      <c r="AE322" s="267">
        <f>IF(IndividualLATest!$J$7=2014,(VLOOKUP($A322,Hshldprojections2014!$A$2:$AY$326,44,FALSE)-VLOOKUP($A322,Hshldprojections2014!$A$2:$AY$326,34,FALSE))/10,IF(IndividualLATest!$J$7=2016,(VLOOKUP($A322,Hshldprojections2016!$A$1:$AQ$322,34,FALSE)-VLOOKUP($A322,Hshldprojections2016!$A$1:$AQ$322,24,FALSE))/10,(VLOOKUP($A322,Hshldprojections2018!$A$1:$AQ$327,34,FALSE)-VLOOKUP($A322,Hshldprojections2018!$A$1:$AQ$327,24,FALSE))/10))</f>
        <v>855.5</v>
      </c>
      <c r="AF322" s="267">
        <f>IF(IndividualLATest!$J$7=2014,(VLOOKUP($A322,Hshldprojections2014!$A$2:$AY$326,45,FALSE)-VLOOKUP($A322,Hshldprojections2014!$A$2:$AY$326,35,FALSE))/10,IF(IndividualLATest!$J$7=2016,(VLOOKUP($A322,Hshldprojections2016!$A$1:$AQ$322,35,FALSE)-VLOOKUP($A322,Hshldprojections2016!$A$1:$AQ$322,25,FALSE))/10,(VLOOKUP($A322,Hshldprojections2018!$A$1:$AQ$327,35,FALSE)-VLOOKUP($A322,Hshldprojections2018!$A$1:$AQ$327,25,FALSE))/10))</f>
        <v>849.4</v>
      </c>
      <c r="AG322" s="267">
        <f>IF(IndividualLATest!$J$7=2014,(VLOOKUP($A322,Hshldprojections2014!$A$2:$AY$326,46,FALSE)-VLOOKUP($A322,Hshldprojections2014!$A$2:$AY$326,36,FALSE))/10,IF(IndividualLATest!$J$7=2016,(VLOOKUP($A322,Hshldprojections2016!$A$1:$AQ$322,36,FALSE)-VLOOKUP($A322,Hshldprojections2016!$A$1:$AQ$322,26,FALSE))/10,(VLOOKUP($A322,Hshldprojections2018!$A$1:$AQ$327,36,FALSE)-VLOOKUP($A322,Hshldprojections2018!$A$1:$AQ$327,26,FALSE))/10))</f>
        <v>833.4</v>
      </c>
      <c r="AH322" s="267">
        <f>IF(IndividualLATest!$J$7=2014,(VLOOKUP($A322,Hshldprojections2014!$A$2:$AY$326,47,FALSE)-VLOOKUP($A322,Hshldprojections2014!$A$2:$AY$326,37,FALSE))/10,IF(IndividualLATest!$J$7=2016,(VLOOKUP($A322,Hshldprojections2016!$A$1:$AQ$322,37,FALSE)-VLOOKUP($A322,Hshldprojections2016!$A$1:$AQ$322,27,FALSE))/10,(VLOOKUP($A322,Hshldprojections2018!$A$1:$AQ$327,37,FALSE)-VLOOKUP($A322,Hshldprojections2018!$A$1:$AQ$327,27,FALSE))/10))</f>
        <v>822.1</v>
      </c>
      <c r="AI322" s="268">
        <f>VLOOKUP($A322,AffordabilityRatio!$A$2:$I$321,5,FALSE)</f>
        <v>6.3299999999999992</v>
      </c>
      <c r="AJ322" s="268">
        <f>VLOOKUP($A322,AffordabilityRatio!$A$2:$I$321,6,FALSE)</f>
        <v>6.3900000000000006</v>
      </c>
      <c r="AK322" s="268">
        <f>VLOOKUP($A322,AffordabilityRatio!$A$2:$I$321,7,FALSE)</f>
        <v>6.5999999999999988</v>
      </c>
      <c r="AL322" s="268">
        <f>IF((VLOOKUP($A322,AffordabilityRatio!$A$2:$I$321,8,FALSE))="",AK322,VLOOKUP($A322,AffordabilityRatio!$A$2:$I$321,8,FALSE))</f>
        <v>6.2899999999999991</v>
      </c>
      <c r="AM322" s="268">
        <f>IF((VLOOKUP($A322,AffordabilityRatio!$A$2:$I$321,9,FALSE))="",AL322,VLOOKUP($A322,AffordabilityRatio!$A$2:$I$321,9,FALSE))</f>
        <v>6.9933333333333332</v>
      </c>
      <c r="AN322" s="268">
        <f>IF((VLOOKUP($A322,AffordabilityRatio!$A$2:$I$321,9,FALSE))="",AM322,VLOOKUP($A322,AffordabilityRatio!$A$2:$I$321,9,FALSE))</f>
        <v>6.9933333333333332</v>
      </c>
      <c r="AO322" s="268">
        <f>IF((VLOOKUP($A322,AffordabilityRatio!$A$2:$I$321,9,FALSE))="",AN322,VLOOKUP($A322,AffordabilityRatio!$A$2:$I$321,9,FALSE))</f>
        <v>6.9933333333333332</v>
      </c>
      <c r="AP322" s="268">
        <f>IF((VLOOKUP($A322,AffordabilityRatio!$A$2:$I$321,9,FALSE))="",AO322,VLOOKUP($A322,AffordabilityRatio!$A$2:$I$321,9,FALSE))</f>
        <v>6.9933333333333332</v>
      </c>
      <c r="AQ322" s="267">
        <f t="shared" si="282"/>
        <v>1088</v>
      </c>
      <c r="AR322" s="267">
        <f t="shared" si="283"/>
        <v>1078</v>
      </c>
      <c r="AS322" s="267">
        <f t="shared" si="284"/>
        <v>1080</v>
      </c>
      <c r="AT322" s="267">
        <f t="shared" si="285"/>
        <v>978</v>
      </c>
      <c r="AU322" s="267">
        <f t="shared" si="286"/>
        <v>1016</v>
      </c>
      <c r="AV322" s="267">
        <f t="shared" si="287"/>
        <v>1008</v>
      </c>
      <c r="AW322" s="267">
        <f t="shared" si="288"/>
        <v>989</v>
      </c>
      <c r="AX322" s="267">
        <f t="shared" si="289"/>
        <v>976</v>
      </c>
      <c r="AY322" s="267">
        <f t="shared" si="290"/>
        <v>1088</v>
      </c>
      <c r="AZ322" s="267">
        <f t="shared" si="291"/>
        <v>1078</v>
      </c>
      <c r="BA322" s="267">
        <f t="shared" si="292"/>
        <v>1080</v>
      </c>
      <c r="BB322" s="267">
        <f t="shared" si="293"/>
        <v>978</v>
      </c>
      <c r="BC322" s="267">
        <f t="shared" si="294"/>
        <v>1016</v>
      </c>
      <c r="BD322" s="267">
        <f t="shared" si="295"/>
        <v>1008</v>
      </c>
      <c r="BE322" s="267">
        <f t="shared" si="296"/>
        <v>989</v>
      </c>
      <c r="BF322" s="267">
        <f t="shared" si="297"/>
        <v>976</v>
      </c>
      <c r="BG322" s="269">
        <f>AY322*VLOOKUP($B322,'Major Cities &amp; Towns'!$A$28:$B$345,2,FALSE)</f>
        <v>1088</v>
      </c>
      <c r="BH322" s="269">
        <f>AZ322*VLOOKUP($B322,'Major Cities &amp; Towns'!$A$28:$B$345,2,FALSE)</f>
        <v>1078</v>
      </c>
      <c r="BI322" s="269">
        <f>BA322*VLOOKUP($B322,'Major Cities &amp; Towns'!$A$28:$B$345,2,FALSE)</f>
        <v>1080</v>
      </c>
      <c r="BJ322" s="269">
        <f>BB322*VLOOKUP($B322,'Major Cities &amp; Towns'!$A$28:$B$345,2,FALSE)</f>
        <v>978</v>
      </c>
      <c r="BK322" s="269">
        <f>BC322*VLOOKUP($B322,'Major Cities &amp; Towns'!$A$28:$B$345,2,FALSE)</f>
        <v>1016</v>
      </c>
      <c r="BL322" s="269">
        <f>BD322*VLOOKUP($B322,'Major Cities &amp; Towns'!$A$28:$B$345,2,FALSE)</f>
        <v>1008</v>
      </c>
      <c r="BM322" s="269">
        <f>BE322*VLOOKUP($B322,'Major Cities &amp; Towns'!$A$28:$B$345,2,FALSE)</f>
        <v>989</v>
      </c>
      <c r="BN322" s="269">
        <f>BF322*VLOOKUP($B322,'Major Cities &amp; Towns'!$A$28:$B$345,2,FALSE)</f>
        <v>976</v>
      </c>
      <c r="BO322" s="270">
        <f t="shared" si="298"/>
        <v>1088</v>
      </c>
      <c r="BP322" s="270">
        <f t="shared" si="299"/>
        <v>1078</v>
      </c>
      <c r="BQ322" s="270">
        <f t="shared" si="300"/>
        <v>1080</v>
      </c>
      <c r="BR322" s="270">
        <f t="shared" si="301"/>
        <v>978</v>
      </c>
      <c r="BS322" s="270">
        <f t="shared" si="302"/>
        <v>1016</v>
      </c>
      <c r="BT322" s="270">
        <f t="shared" si="303"/>
        <v>1008</v>
      </c>
      <c r="BU322" s="270">
        <f t="shared" si="304"/>
        <v>989</v>
      </c>
      <c r="BV322" s="270">
        <f t="shared" si="305"/>
        <v>976</v>
      </c>
      <c r="BW322" s="39">
        <f>VLOOKUP($A322,NetAdditions!$A$2:$H$336,6,FALSE)</f>
        <v>1467</v>
      </c>
      <c r="BX322" s="39">
        <f>VLOOKUP($A322,NetAdditions!$A$2:$H$336,7,FALSE)</f>
        <v>1552</v>
      </c>
      <c r="BY322" s="39">
        <f>IF((VLOOKUP($C322,NetAdditions!$A$2:$H$336,8,FALSE))="",(AVERAGE(VLOOKUP($C322,NetAdditions!$A$2:$H$336,5,FALSE),VLOOKUP($C322,NetAdditions!$A$2:$H$336,6,FALSE),VLOOKUP($C322,NetAdditions!$A$2:$H$336,7,FALSE))),VLOOKUP($C322,NetAdditions!$A$2:$H$336,8,FALSE))</f>
        <v>1140</v>
      </c>
      <c r="BZ322" s="39">
        <f t="shared" si="306"/>
        <v>1386.3333333333333</v>
      </c>
      <c r="CA322" s="39">
        <f t="shared" si="307"/>
        <v>1359.4444444444443</v>
      </c>
      <c r="CB322" s="39">
        <f t="shared" si="308"/>
        <v>1295.2592592592591</v>
      </c>
      <c r="CC322" s="39">
        <f t="shared" si="309"/>
        <v>1347.0123456790122</v>
      </c>
      <c r="CD322" s="39">
        <f t="shared" si="310"/>
        <v>1333.9053497942386</v>
      </c>
      <c r="CE322" s="276">
        <f t="shared" si="267"/>
        <v>3246</v>
      </c>
      <c r="CF322" s="276">
        <f t="shared" si="268"/>
        <v>3136</v>
      </c>
      <c r="CG322" s="276">
        <f t="shared" si="269"/>
        <v>3074</v>
      </c>
      <c r="CH322" s="276">
        <f t="shared" si="270"/>
        <v>3002</v>
      </c>
      <c r="CI322" s="276">
        <f t="shared" si="271"/>
        <v>3013</v>
      </c>
      <c r="CJ322" s="276">
        <f t="shared" si="272"/>
        <v>2973</v>
      </c>
      <c r="CK322" s="276">
        <f t="shared" si="311"/>
        <v>2795.166666666667</v>
      </c>
      <c r="CL322" s="276">
        <f t="shared" si="312"/>
        <v>2700.4444444444448</v>
      </c>
      <c r="CM322" s="276">
        <f t="shared" si="313"/>
        <v>2817.833333333333</v>
      </c>
      <c r="CN322" s="276">
        <f t="shared" si="314"/>
        <v>3002</v>
      </c>
      <c r="CO322" s="276">
        <f t="shared" si="315"/>
        <v>3013</v>
      </c>
      <c r="CP322" s="276">
        <f t="shared" si="316"/>
        <v>2973</v>
      </c>
      <c r="CQ322" s="39">
        <f t="shared" si="273"/>
        <v>4159</v>
      </c>
      <c r="CR322" s="39">
        <f t="shared" si="274"/>
        <v>4078.333333333333</v>
      </c>
      <c r="CS322" s="277">
        <f t="shared" si="275"/>
        <v>3885.7777777777774</v>
      </c>
      <c r="CT322" s="39">
        <f t="shared" si="276"/>
        <v>4041.0370370370365</v>
      </c>
      <c r="CU322" s="39">
        <f t="shared" si="277"/>
        <v>4001.7160493827159</v>
      </c>
      <c r="CV322" s="39">
        <f t="shared" si="317"/>
        <v>3976.1769547325102</v>
      </c>
      <c r="CW322" s="297">
        <f t="shared" si="278"/>
        <v>1.4879255858326872</v>
      </c>
      <c r="CX322" s="279" t="str">
        <f t="shared" si="318"/>
        <v>Pass</v>
      </c>
      <c r="CY322" s="278">
        <f t="shared" si="279"/>
        <v>1.510245227123107</v>
      </c>
      <c r="CZ322" s="279" t="str">
        <f t="shared" si="319"/>
        <v>Pass</v>
      </c>
      <c r="DA322" s="278">
        <f t="shared" si="280"/>
        <v>1.3789948936338006</v>
      </c>
      <c r="DB322" s="292" t="str">
        <f t="shared" si="320"/>
        <v>Pass</v>
      </c>
      <c r="DC322" s="299">
        <f t="shared" si="321"/>
        <v>1.3461149357218642</v>
      </c>
      <c r="DD322" s="293" t="str">
        <f t="shared" si="322"/>
        <v>Pass</v>
      </c>
      <c r="DE322" s="299">
        <f t="shared" si="323"/>
        <v>1.3281500329846385</v>
      </c>
      <c r="DF322" s="293" t="str">
        <f t="shared" si="324"/>
        <v>Pass</v>
      </c>
      <c r="DG322" s="299">
        <f t="shared" si="325"/>
        <v>1.3374291808720182</v>
      </c>
      <c r="DH322" s="293" t="str">
        <f t="shared" si="326"/>
        <v>Pass</v>
      </c>
    </row>
    <row r="323" spans="1:112" ht="15" thickTop="1"/>
    <row r="325" spans="1:112">
      <c r="A325" s="34" t="s">
        <v>756</v>
      </c>
      <c r="B325" s="34"/>
      <c r="C325" s="34" t="s">
        <v>756</v>
      </c>
      <c r="D325" s="34"/>
      <c r="E325" s="34"/>
      <c r="F325" s="34"/>
      <c r="G325" s="34"/>
      <c r="H325" s="34"/>
      <c r="I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W325" s="34"/>
      <c r="BX325" s="34"/>
      <c r="BY325" s="34"/>
      <c r="BZ325" s="34"/>
      <c r="CA325" s="34"/>
      <c r="CB325" s="34"/>
      <c r="CC325" s="34"/>
      <c r="CD325" s="34"/>
      <c r="CE325" s="49"/>
      <c r="CF325" s="49"/>
      <c r="CG325" s="49"/>
      <c r="CH325" s="49"/>
      <c r="CI325" s="49"/>
      <c r="CJ325" s="49"/>
      <c r="CK325" s="49"/>
      <c r="CL325" s="49"/>
      <c r="CM325" s="49"/>
      <c r="CN325" s="49"/>
      <c r="CO325" s="49"/>
      <c r="CP325" s="49"/>
      <c r="CQ325" s="49"/>
      <c r="CR325" s="49"/>
      <c r="CS325" s="49"/>
      <c r="CT325" s="49"/>
      <c r="CU325" s="49"/>
      <c r="CV325" s="49"/>
      <c r="CW325" s="49"/>
      <c r="CY325" s="49"/>
      <c r="DA325" s="49"/>
    </row>
    <row r="326" spans="1:112">
      <c r="A326" s="34" t="s">
        <v>757</v>
      </c>
      <c r="B326" s="34"/>
      <c r="C326" s="34" t="s">
        <v>757</v>
      </c>
      <c r="D326" s="34"/>
      <c r="E326" s="34"/>
      <c r="F326" s="34"/>
      <c r="G326" s="34"/>
      <c r="H326" s="34"/>
      <c r="I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c r="AY326" s="34"/>
      <c r="AZ326" s="34"/>
      <c r="BA326" s="34"/>
      <c r="BB326" s="34"/>
      <c r="BC326" s="34"/>
      <c r="BD326" s="34"/>
      <c r="BE326" s="34"/>
      <c r="BF326" s="34"/>
      <c r="BG326" s="34"/>
      <c r="BH326" s="34"/>
      <c r="BI326" s="34"/>
      <c r="BJ326" s="34"/>
      <c r="BK326" s="34"/>
      <c r="BL326" s="34"/>
      <c r="BM326" s="34"/>
      <c r="BN326" s="34"/>
      <c r="BW326" s="34"/>
      <c r="BX326" s="34"/>
      <c r="BY326" s="34"/>
      <c r="BZ326" s="34"/>
      <c r="CA326" s="34"/>
      <c r="CB326" s="34"/>
      <c r="CC326" s="34"/>
      <c r="CD326" s="34"/>
      <c r="CE326" s="49"/>
      <c r="CF326" s="49"/>
      <c r="CG326" s="49"/>
      <c r="CH326" s="49"/>
      <c r="CI326" s="49"/>
      <c r="CJ326" s="49"/>
      <c r="CK326" s="49"/>
      <c r="CL326" s="49"/>
      <c r="CM326" s="49"/>
      <c r="CN326" s="49"/>
      <c r="CO326" s="49"/>
      <c r="CP326" s="49"/>
      <c r="CQ326" s="49"/>
      <c r="CR326" s="49"/>
      <c r="CS326" s="49"/>
      <c r="CT326" s="49"/>
      <c r="CU326" s="49"/>
      <c r="CV326" s="49"/>
      <c r="CW326" s="49"/>
      <c r="CY326" s="49"/>
      <c r="DA326" s="49"/>
    </row>
  </sheetData>
  <sheetProtection algorithmName="SHA-512" hashValue="IW8LNR7RaJ1gIcY28z6VeNKgnxypKQYTFhnhH/w7aO/elHdaWfyy8NST4WDwEZ0iE8q8fLhhRZ4ODwM/jztyIw==" saltValue="C8DO5rcdmKVQm2OTiW87Nw==" spinCount="100000" sheet="1" sort="0"/>
  <autoFilter ref="A4:DB322" xr:uid="{9594C367-358D-4124-B38C-2CB7AE964444}"/>
  <phoneticPr fontId="41" type="noConversion"/>
  <pageMargins left="0.25" right="0.25" top="0.75" bottom="0.75" header="0.3" footer="0.3"/>
  <pageSetup paperSize="8" scale="5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7030A0"/>
  </sheetPr>
  <dimension ref="A1:Y39"/>
  <sheetViews>
    <sheetView topLeftCell="K12" zoomScale="60" zoomScaleNormal="78" workbookViewId="0">
      <selection activeCell="O18" sqref="O18"/>
    </sheetView>
  </sheetViews>
  <sheetFormatPr defaultColWidth="9.36328125" defaultRowHeight="14"/>
  <cols>
    <col min="1" max="1" width="16.6328125" style="113" customWidth="1"/>
    <col min="2" max="2" width="37.36328125" style="116" customWidth="1"/>
    <col min="3" max="3" width="2.453125" style="113" customWidth="1"/>
    <col min="4" max="4" width="16.36328125" style="113" customWidth="1"/>
    <col min="5" max="5" width="29" style="113" customWidth="1"/>
    <col min="6" max="6" width="20.36328125" style="113" customWidth="1"/>
    <col min="7" max="7" width="17.90625" style="113" customWidth="1"/>
    <col min="8" max="8" width="15.6328125" style="113" customWidth="1"/>
    <col min="9" max="9" width="32" style="138" customWidth="1"/>
    <col min="10" max="11" width="32.453125" style="138" customWidth="1"/>
    <col min="12" max="12" width="33.08984375" style="138" customWidth="1"/>
    <col min="13" max="16" width="29" style="113" customWidth="1"/>
    <col min="17" max="19" width="15.36328125" style="113" customWidth="1"/>
    <col min="20" max="20" width="2.54296875" style="138" customWidth="1"/>
    <col min="21" max="21" width="24" style="113" customWidth="1"/>
    <col min="22" max="22" width="29.6328125" style="113" customWidth="1"/>
    <col min="23" max="16384" width="9.36328125" style="113"/>
  </cols>
  <sheetData>
    <row r="1" spans="1:22">
      <c r="A1" s="96"/>
      <c r="B1" s="101"/>
      <c r="C1" s="96"/>
      <c r="D1" s="96"/>
      <c r="E1" s="96"/>
      <c r="F1" s="96"/>
      <c r="G1" s="96"/>
      <c r="H1" s="96"/>
      <c r="I1" s="136"/>
      <c r="J1" s="136"/>
      <c r="K1" s="136"/>
      <c r="L1" s="136"/>
      <c r="M1" s="96"/>
      <c r="N1" s="96"/>
      <c r="O1" s="96"/>
      <c r="P1" s="96"/>
      <c r="Q1" s="96"/>
      <c r="R1" s="96"/>
      <c r="S1" s="96"/>
      <c r="T1" s="136"/>
      <c r="U1" s="112" t="s">
        <v>758</v>
      </c>
      <c r="V1" s="112">
        <v>2014</v>
      </c>
    </row>
    <row r="2" spans="1:22">
      <c r="A2" s="96"/>
      <c r="B2" s="61" t="s">
        <v>31</v>
      </c>
      <c r="C2" s="96"/>
      <c r="D2" s="96" t="str">
        <f>VLOOKUP(D3,'Calculations (All)'!B5:C322,2,FALSE)</f>
        <v>E07000223</v>
      </c>
      <c r="E2" s="96"/>
      <c r="F2" s="96"/>
      <c r="G2" s="96"/>
      <c r="H2" s="96"/>
      <c r="I2" s="136"/>
      <c r="J2" s="136"/>
      <c r="K2" s="136"/>
      <c r="L2" s="136"/>
      <c r="M2" s="96"/>
      <c r="N2" s="96"/>
      <c r="O2" s="96"/>
      <c r="P2" s="96"/>
      <c r="Q2" s="96"/>
      <c r="R2" s="96"/>
      <c r="S2" s="96"/>
      <c r="T2" s="136"/>
      <c r="U2" s="112"/>
      <c r="V2" s="112">
        <v>2016</v>
      </c>
    </row>
    <row r="3" spans="1:22">
      <c r="A3" s="96"/>
      <c r="B3" s="61" t="s">
        <v>759</v>
      </c>
      <c r="C3" s="96"/>
      <c r="D3" s="193" t="s">
        <v>112</v>
      </c>
      <c r="E3" s="114"/>
      <c r="F3" s="96"/>
      <c r="G3" s="96"/>
      <c r="H3" s="96"/>
      <c r="I3" s="136"/>
      <c r="J3" s="136"/>
      <c r="K3" s="136"/>
      <c r="L3" s="136"/>
      <c r="M3" s="96"/>
      <c r="N3" s="96"/>
      <c r="O3" s="96"/>
      <c r="P3" s="96"/>
      <c r="Q3" s="96"/>
      <c r="R3" s="96"/>
      <c r="S3" s="96"/>
      <c r="T3" s="136"/>
      <c r="U3" s="96"/>
      <c r="V3" s="112">
        <v>2018</v>
      </c>
    </row>
    <row r="4" spans="1:22">
      <c r="A4" s="96"/>
      <c r="B4" s="101"/>
      <c r="C4" s="96"/>
      <c r="D4" s="96"/>
      <c r="E4" s="96"/>
      <c r="F4" s="96"/>
      <c r="G4" s="96"/>
      <c r="H4" s="96"/>
      <c r="I4" s="136"/>
      <c r="J4" s="136"/>
      <c r="K4" s="136"/>
      <c r="L4" s="136"/>
      <c r="M4" s="96"/>
      <c r="N4" s="96"/>
      <c r="O4" s="96"/>
      <c r="P4" s="96"/>
      <c r="Q4" s="96"/>
      <c r="R4" s="96"/>
      <c r="S4" s="96"/>
      <c r="T4" s="136"/>
      <c r="U4" s="96"/>
      <c r="V4" s="96"/>
    </row>
    <row r="5" spans="1:22" ht="28">
      <c r="A5" s="96"/>
      <c r="B5" s="115" t="s">
        <v>760</v>
      </c>
      <c r="C5" s="96"/>
      <c r="D5" s="127">
        <f>VLOOKUP(D2,'Calculations (All)'!C5:I322,6,FALSE)</f>
        <v>43083</v>
      </c>
      <c r="E5" s="114"/>
      <c r="F5" s="96"/>
      <c r="G5" s="96"/>
      <c r="H5" s="96"/>
      <c r="I5" s="136"/>
      <c r="J5" s="136"/>
      <c r="K5" s="136"/>
      <c r="L5" s="136"/>
      <c r="M5" s="96"/>
      <c r="N5" s="96"/>
      <c r="O5" s="96"/>
      <c r="P5" s="96"/>
      <c r="Q5" s="96"/>
      <c r="R5" s="96"/>
      <c r="S5" s="96"/>
      <c r="T5" s="136"/>
      <c r="U5" s="96"/>
      <c r="V5" s="96"/>
    </row>
    <row r="6" spans="1:22">
      <c r="A6" s="96"/>
      <c r="B6" s="101"/>
      <c r="C6" s="96"/>
      <c r="D6" s="96"/>
      <c r="E6" s="96"/>
      <c r="F6" s="96"/>
      <c r="G6" s="96"/>
      <c r="H6" s="96"/>
      <c r="I6" s="136"/>
      <c r="J6" s="136"/>
      <c r="K6" s="136"/>
      <c r="L6" s="136"/>
      <c r="M6" s="96"/>
      <c r="N6" s="96"/>
      <c r="O6" s="96"/>
      <c r="P6" s="96"/>
      <c r="Q6" s="96"/>
      <c r="R6" s="96"/>
      <c r="S6" s="96"/>
      <c r="T6" s="136"/>
      <c r="U6" s="96"/>
      <c r="V6" s="96"/>
    </row>
    <row r="7" spans="1:22" ht="77.25" customHeight="1">
      <c r="A7" s="96"/>
      <c r="B7" s="115" t="s">
        <v>761</v>
      </c>
      <c r="C7" s="96"/>
      <c r="D7" s="128"/>
      <c r="E7" s="114"/>
      <c r="F7" s="102" t="s">
        <v>762</v>
      </c>
      <c r="G7" s="126">
        <f>IF(OR(D5&lt;&gt;"",D7&lt;&gt;""),MAX(D5,D7),"")</f>
        <v>43083</v>
      </c>
      <c r="H7" s="96"/>
      <c r="I7" s="159"/>
      <c r="J7" s="328"/>
      <c r="K7" s="195"/>
      <c r="L7" s="136"/>
      <c r="M7" s="96"/>
      <c r="N7" s="96"/>
      <c r="O7" s="96"/>
      <c r="P7" s="96"/>
      <c r="Q7" s="96"/>
      <c r="R7" s="96"/>
      <c r="S7" s="96"/>
      <c r="T7" s="136"/>
      <c r="U7" s="96"/>
      <c r="V7" s="96"/>
    </row>
    <row r="8" spans="1:22" ht="14.5" thickBot="1">
      <c r="A8" s="96"/>
      <c r="B8" s="101"/>
      <c r="C8" s="96"/>
      <c r="D8" s="96"/>
      <c r="E8" s="96"/>
      <c r="F8" s="96"/>
      <c r="G8" s="96"/>
      <c r="H8" s="96"/>
      <c r="I8" s="136"/>
      <c r="J8" s="136"/>
      <c r="K8" s="136"/>
      <c r="L8" s="136"/>
      <c r="M8" s="96"/>
      <c r="N8" s="96"/>
      <c r="O8" s="96"/>
      <c r="P8" s="96"/>
      <c r="Q8" s="96"/>
      <c r="R8" s="96"/>
      <c r="S8" s="96"/>
      <c r="T8" s="136"/>
      <c r="U8" s="96"/>
      <c r="V8" s="96"/>
    </row>
    <row r="9" spans="1:22" s="116" customFormat="1" ht="65.25" customHeight="1" thickBot="1">
      <c r="A9" s="101"/>
      <c r="B9" s="101"/>
      <c r="C9" s="101"/>
      <c r="D9" s="410" t="s">
        <v>763</v>
      </c>
      <c r="E9" s="411"/>
      <c r="F9" s="411"/>
      <c r="G9" s="412" t="s">
        <v>4698</v>
      </c>
      <c r="H9" s="413"/>
      <c r="I9" s="413"/>
      <c r="J9" s="413"/>
      <c r="K9" s="413"/>
      <c r="L9" s="414"/>
      <c r="M9" s="415" t="s">
        <v>767</v>
      </c>
      <c r="N9" s="415"/>
      <c r="O9" s="415"/>
      <c r="P9" s="415"/>
      <c r="Q9" s="415"/>
      <c r="R9" s="415"/>
      <c r="S9" s="415"/>
      <c r="T9" s="415"/>
      <c r="U9" s="415"/>
      <c r="V9" s="415"/>
    </row>
    <row r="10" spans="1:22" ht="71.25" customHeight="1" thickTop="1" thickBot="1">
      <c r="A10" s="96"/>
      <c r="B10" s="115"/>
      <c r="C10" s="101"/>
      <c r="D10" s="329">
        <f>IF(ISNUMBER(VLOOKUP(D2,'Calculations (All)'!A4:J322,10,FALSE)),VLOOKUP(D2,'Calculations (All)'!A4:J322,10,FALSE),"-")</f>
        <v>177.04761904761904</v>
      </c>
      <c r="E10" s="330" t="s">
        <v>771</v>
      </c>
      <c r="F10" s="331" t="s">
        <v>768</v>
      </c>
      <c r="G10" s="332" t="s">
        <v>769</v>
      </c>
      <c r="H10" s="332" t="s">
        <v>770</v>
      </c>
      <c r="I10" s="333" t="s">
        <v>4696</v>
      </c>
      <c r="J10" s="334" t="s">
        <v>4695</v>
      </c>
      <c r="K10" s="335" t="s">
        <v>4700</v>
      </c>
      <c r="L10" s="334" t="s">
        <v>4697</v>
      </c>
      <c r="M10" s="156" t="s">
        <v>4683</v>
      </c>
      <c r="N10" s="157" t="s">
        <v>764</v>
      </c>
      <c r="O10" s="158" t="s">
        <v>765</v>
      </c>
      <c r="P10" s="282" t="s">
        <v>766</v>
      </c>
      <c r="Q10" s="154" t="s">
        <v>772</v>
      </c>
      <c r="R10" s="191" t="s">
        <v>4699</v>
      </c>
      <c r="S10" s="150" t="s">
        <v>773</v>
      </c>
      <c r="T10" s="160"/>
      <c r="U10" s="164" t="s">
        <v>4689</v>
      </c>
      <c r="V10" s="164" t="s">
        <v>4691</v>
      </c>
    </row>
    <row r="11" spans="1:22" s="98" customFormat="1" ht="138" customHeight="1" thickTop="1" thickBot="1">
      <c r="B11" s="104"/>
      <c r="C11" s="97"/>
      <c r="D11" s="141"/>
      <c r="E11" s="139"/>
      <c r="F11" s="139" t="s">
        <v>775</v>
      </c>
      <c r="G11" s="99" t="s">
        <v>4790</v>
      </c>
      <c r="H11" s="99" t="s">
        <v>776</v>
      </c>
      <c r="I11" s="137" t="s">
        <v>777</v>
      </c>
      <c r="J11" s="137" t="s">
        <v>778</v>
      </c>
      <c r="K11" s="137" t="s">
        <v>4701</v>
      </c>
      <c r="L11" s="137" t="s">
        <v>779</v>
      </c>
      <c r="M11" s="100" t="s">
        <v>4684</v>
      </c>
      <c r="N11" s="103" t="s">
        <v>4792</v>
      </c>
      <c r="O11" s="100" t="s">
        <v>782</v>
      </c>
      <c r="P11" s="100" t="s">
        <v>783</v>
      </c>
      <c r="Q11" s="97" t="s">
        <v>4687</v>
      </c>
      <c r="R11" s="100" t="s">
        <v>780</v>
      </c>
      <c r="S11" s="97" t="s">
        <v>4688</v>
      </c>
      <c r="T11" s="161"/>
      <c r="U11" s="97" t="s">
        <v>4690</v>
      </c>
      <c r="V11" s="97" t="s">
        <v>4692</v>
      </c>
    </row>
    <row r="12" spans="1:22" s="118" customFormat="1" ht="36" customHeight="1" thickTop="1" thickBot="1">
      <c r="A12" s="149">
        <v>43191</v>
      </c>
      <c r="B12" s="117" t="s">
        <v>784</v>
      </c>
      <c r="C12" s="105"/>
      <c r="D12" s="140">
        <f>$D$10</f>
        <v>177.04761904761904</v>
      </c>
      <c r="E12" s="140">
        <f>IFERROR(((EDATE($G$7,60))-A12),"-")</f>
        <v>1718</v>
      </c>
      <c r="F12" s="142">
        <f>IF(AND(ISNUMBER(G$7),ISNUMBER(D12)),IF((G$7-A12&gt;0),D12,IF(DATEDIF(G$7,A12,"y")&lt;5,D12,"-")),"-")</f>
        <v>177.04761904761904</v>
      </c>
      <c r="G12" s="130">
        <f>(VLOOKUP($D$2,Hshldprojections2014!$A$1:$AY$328,40,FALSE)-VLOOKUP($D$2,Hshldprojections2014!$A$1:$AY$328,30,FALSE))/10</f>
        <v>305.5</v>
      </c>
      <c r="H12" s="145">
        <f>VLOOKUP(D$2,AffordabilityRatio!$A$2:$I$321,5,FALSE)</f>
        <v>11.59</v>
      </c>
      <c r="I12" s="131">
        <f>IF(G12&lt;0,0,IF(H12&gt;4,ROUND((1+((H12-4)/4*0.25))*G12,0),G12))</f>
        <v>450</v>
      </c>
      <c r="J12" s="131">
        <f>IF(F12="-",MIN((MAX($D$10, G12)+((MAX($D$10, G12))*0.4)),I12),MIN(F12+(F12*0.4),I12))</f>
        <v>247.86666666666667</v>
      </c>
      <c r="K12" s="131">
        <f>J12*VLOOKUP($D$3,'Major Cities &amp; Towns'!$A$28:$B$345,2,FALSE)</f>
        <v>247.86666666666667</v>
      </c>
      <c r="L12" s="131">
        <f>IFERROR(IF(AND(E12&lt;365,E12&gt;0),SUM(((E12/365)*(MIN(F12,K12)))+(((365-E12)/365)*I12)),(MIN(F12,I12))),I12)</f>
        <v>177.04761904761904</v>
      </c>
      <c r="M12" s="153" t="str">
        <f>IF(AND(E12&lt;365,E12&gt;0),"Apportioned",IF(F12&lt;K12,"Adopted Housing Requirment","Minimum Local Housing Need"))</f>
        <v>Adopted Housing Requirment</v>
      </c>
      <c r="N12" s="111">
        <f>VLOOKUP(D$2,NetAdditions!$A$2:$H$336,6,FALSE)</f>
        <v>113</v>
      </c>
      <c r="O12" s="146"/>
      <c r="P12" s="146"/>
      <c r="Q12" s="106"/>
      <c r="R12" s="106"/>
      <c r="S12" s="106"/>
      <c r="T12" s="162"/>
      <c r="U12" s="107"/>
      <c r="V12" s="107"/>
    </row>
    <row r="13" spans="1:22" ht="36" customHeight="1" thickTop="1" thickBot="1">
      <c r="A13" s="149">
        <v>43556</v>
      </c>
      <c r="B13" s="101" t="s">
        <v>785</v>
      </c>
      <c r="C13" s="97"/>
      <c r="D13" s="140">
        <f>D12</f>
        <v>177.04761904761904</v>
      </c>
      <c r="E13" s="140">
        <f t="shared" ref="E13:E20" si="0">IFERROR(((EDATE($G$7,60))-A13),"-")</f>
        <v>1353</v>
      </c>
      <c r="F13" s="142">
        <f t="shared" ref="F13:F20" si="1">IF(AND(ISNUMBER(G$7),ISNUMBER(D13)),IF((G$7-A13&gt;0),D13,IF(DATEDIF(G$7,A13,"y")&lt;5,D13,"-")),"-")</f>
        <v>177.04761904761904</v>
      </c>
      <c r="G13" s="130">
        <f>(VLOOKUP($D$2,Hshldprojections2014!$A$1:$AY$328,41,FALSE)-VLOOKUP($D$2,Hshldprojections2014!$A$1:$AY$328,31,FALSE))/10</f>
        <v>308.8</v>
      </c>
      <c r="H13" s="145">
        <f>VLOOKUP(D$2,AffordabilityRatio!$A$2:$I$321,6,FALSE)</f>
        <v>11.81</v>
      </c>
      <c r="I13" s="131">
        <f t="shared" ref="I13:I20" si="2">IF(G13&lt;0,0,IF(H13&gt;4,ROUND((1+((H13-4)/4*0.25))*G13,0),G13))</f>
        <v>460</v>
      </c>
      <c r="J13" s="131">
        <f t="shared" ref="J13:J20" si="3">IF(F13="-",MIN((MAX($D$10, G13)+((MAX($D$10, G13))*0.4)),I13),MIN(F13+(F13*0.4),I13))</f>
        <v>247.86666666666667</v>
      </c>
      <c r="K13" s="131">
        <f>J13*VLOOKUP($D$3,'Major Cities &amp; Towns'!$A$28:$B$345,2,FALSE)</f>
        <v>247.86666666666667</v>
      </c>
      <c r="L13" s="131">
        <f>IFERROR(IF(AND(E13&lt;365,E13&gt;0),SUM(((E13/365)*(MIN(F13,K13)))+(((365-E13)/365)*I13)),(MIN(F13,I13))),I13)</f>
        <v>177.04761904761904</v>
      </c>
      <c r="M13" s="153" t="str">
        <f t="shared" ref="M13:M20" si="4">IF(AND(E13&lt;365,E13&gt;0),"Apportioned",IF(F13&lt;K13,"Adopted Housing Requirment","Minimum Local Housing Need"))</f>
        <v>Adopted Housing Requirment</v>
      </c>
      <c r="N13" s="111">
        <f>VLOOKUP(D$2,NetAdditions!$A$2:$H$336,7,FALSE)</f>
        <v>13</v>
      </c>
      <c r="O13" s="146"/>
      <c r="P13" s="146"/>
      <c r="Q13" s="106"/>
      <c r="R13" s="106"/>
      <c r="S13" s="106"/>
      <c r="T13" s="162"/>
      <c r="U13" s="107"/>
      <c r="V13" s="107"/>
    </row>
    <row r="14" spans="1:22" ht="36" customHeight="1" thickTop="1" thickBot="1">
      <c r="A14" s="149">
        <v>43922</v>
      </c>
      <c r="B14" s="101" t="s">
        <v>786</v>
      </c>
      <c r="C14" s="97"/>
      <c r="D14" s="140">
        <f t="shared" ref="D14:D20" si="5">D13</f>
        <v>177.04761904761904</v>
      </c>
      <c r="E14" s="140">
        <f t="shared" si="0"/>
        <v>987</v>
      </c>
      <c r="F14" s="142">
        <f t="shared" si="1"/>
        <v>177.04761904761904</v>
      </c>
      <c r="G14" s="130">
        <f>(VLOOKUP($D$2,Hshldprojections2014!$A$1:$AY$328,42,FALSE)-VLOOKUP($D$2,Hshldprojections2014!$A$1:$AY$328,32,FALSE))/10</f>
        <v>312.5</v>
      </c>
      <c r="H14" s="145">
        <f>VLOOKUP(D$2,AffordabilityRatio!$A$2:$I$321,7,FALSE)</f>
        <v>11.49</v>
      </c>
      <c r="I14" s="131">
        <f t="shared" si="2"/>
        <v>459</v>
      </c>
      <c r="J14" s="131">
        <f t="shared" si="3"/>
        <v>247.86666666666667</v>
      </c>
      <c r="K14" s="131">
        <f>J14*VLOOKUP($D$3,'Major Cities &amp; Towns'!$A$28:$B$345,2,FALSE)</f>
        <v>247.86666666666667</v>
      </c>
      <c r="L14" s="131">
        <f t="shared" ref="L14:L20" si="6">IFERROR(IF(AND(E14&lt;365,E14&gt;0),SUM(((E14/365)*(MIN(F14,K14)))+(((365-E14)/365)*I14)),(MIN(F14,I14))),I14)</f>
        <v>177.04761904761904</v>
      </c>
      <c r="M14" s="153" t="str">
        <f t="shared" si="4"/>
        <v>Adopted Housing Requirment</v>
      </c>
      <c r="N14" s="111">
        <f>IF((VLOOKUP(D$2,NetAdditions!$A$2:$H$336,8,FALSE))="",AVERAGE(VLOOKUP(D$2,NetAdditions!$A$2:$H$336,5,FALSE),VLOOKUP(D$2,NetAdditions!$A$2:$H$336,6,FALSE),VLOOKUP(D$2,NetAdditions!$A$2:$H$336,7,FALSE)),VLOOKUP(D$2,NetAdditions!$A$2:$H$336,8,FALSE))</f>
        <v>209</v>
      </c>
      <c r="O14" s="146"/>
      <c r="P14" s="146"/>
      <c r="Q14" s="106"/>
      <c r="R14" s="106"/>
      <c r="S14" s="106"/>
      <c r="T14" s="162"/>
      <c r="U14" s="107"/>
      <c r="V14" s="107"/>
    </row>
    <row r="15" spans="1:22" ht="36" customHeight="1" thickTop="1" thickBot="1">
      <c r="A15" s="149">
        <v>44287</v>
      </c>
      <c r="B15" s="101" t="s">
        <v>787</v>
      </c>
      <c r="C15" s="97"/>
      <c r="D15" s="140">
        <f t="shared" si="5"/>
        <v>177.04761904761904</v>
      </c>
      <c r="E15" s="140">
        <f t="shared" si="0"/>
        <v>622</v>
      </c>
      <c r="F15" s="142">
        <f t="shared" si="1"/>
        <v>177.04761904761904</v>
      </c>
      <c r="G15" s="130">
        <f>(VLOOKUP($D$2,Hshldprojections2014!$A$1:$AY$328,43,FALSE)-VLOOKUP($D$2,Hshldprojections2014!$A$1:$AY$328,33,FALSE))/10</f>
        <v>315.60000000000002</v>
      </c>
      <c r="H15" s="145">
        <f>IF((VLOOKUP(D$2,AffordabilityRatio!$A$2:$I$321,8,FALSE))="",H14,VLOOKUP(D$2,AffordabilityRatio!$A$2:$I$321,8,FALSE))</f>
        <v>11.52</v>
      </c>
      <c r="I15" s="131">
        <f t="shared" si="2"/>
        <v>464</v>
      </c>
      <c r="J15" s="131">
        <f t="shared" si="3"/>
        <v>247.86666666666667</v>
      </c>
      <c r="K15" s="131">
        <f>J15*VLOOKUP($D$3,'Major Cities &amp; Towns'!$A$28:$B$345,2,FALSE)</f>
        <v>247.86666666666667</v>
      </c>
      <c r="L15" s="131">
        <f t="shared" si="6"/>
        <v>177.04761904761904</v>
      </c>
      <c r="M15" s="153" t="str">
        <f t="shared" si="4"/>
        <v>Adopted Housing Requirment</v>
      </c>
      <c r="N15" s="336">
        <f>AVERAGE(N12:N14)</f>
        <v>111.66666666666667</v>
      </c>
      <c r="O15" s="146"/>
      <c r="P15" s="146"/>
      <c r="Q15" s="155">
        <f>L14+L13+L12</f>
        <v>531.14285714285711</v>
      </c>
      <c r="R15" s="155">
        <f>Q15*((24+7)/36)</f>
        <v>457.37301587301585</v>
      </c>
      <c r="S15" s="188">
        <f>N12+N13+N14+(O14/2.5)+(P14/1.8)</f>
        <v>335</v>
      </c>
      <c r="T15" s="163"/>
      <c r="U15" s="147">
        <f>S15/R15</f>
        <v>0.7324437349251246</v>
      </c>
      <c r="V15" s="147" t="str">
        <f>IF(U15&lt;0.75, "Presumption", IF(U15&lt;0.85, "Buffer and Action Plan", IF(U15&lt;0.95, "Action Plan", "Pass")))</f>
        <v>Presumption</v>
      </c>
    </row>
    <row r="16" spans="1:22" ht="36" customHeight="1" thickTop="1" thickBot="1">
      <c r="A16" s="149">
        <v>44652</v>
      </c>
      <c r="B16" s="101" t="s">
        <v>788</v>
      </c>
      <c r="C16" s="97"/>
      <c r="D16" s="140">
        <f t="shared" si="5"/>
        <v>177.04761904761904</v>
      </c>
      <c r="E16" s="140">
        <f t="shared" si="0"/>
        <v>257</v>
      </c>
      <c r="F16" s="142">
        <f t="shared" si="1"/>
        <v>177.04761904761904</v>
      </c>
      <c r="G16" s="130">
        <f>(VLOOKUP($D$2,Hshldprojections2014!$A$1:$AY$328,44,FALSE)-VLOOKUP($D$2,Hshldprojections2014!$A$1:$AY$328,34,FALSE))/10</f>
        <v>318.5</v>
      </c>
      <c r="H16" s="145">
        <f>IF((VLOOKUP(D$2,AffordabilityRatio!$A$2:$I$321,9,FALSE))="",H15,VLOOKUP(D$2,AffordabilityRatio!$A$2:$I$321,9,FALSE))</f>
        <v>13.41</v>
      </c>
      <c r="I16" s="131">
        <f t="shared" si="2"/>
        <v>506</v>
      </c>
      <c r="J16" s="131">
        <f t="shared" si="3"/>
        <v>247.86666666666667</v>
      </c>
      <c r="K16" s="131">
        <f>J16*VLOOKUP($D$3,'Major Cities &amp; Towns'!$A$28:$B$345,2,FALSE)</f>
        <v>247.86666666666667</v>
      </c>
      <c r="L16" s="131">
        <f t="shared" si="6"/>
        <v>274.38147423352905</v>
      </c>
      <c r="M16" s="153" t="str">
        <f t="shared" si="4"/>
        <v>Apportioned</v>
      </c>
      <c r="N16" s="336">
        <f>AVERAGE(N13:N15)</f>
        <v>111.22222222222223</v>
      </c>
      <c r="O16" s="146"/>
      <c r="P16" s="146"/>
      <c r="Q16" s="155">
        <f t="shared" ref="Q16:Q20" si="7">L15+L14+L13</f>
        <v>531.14285714285711</v>
      </c>
      <c r="R16" s="155">
        <f>Q16*((24+7)/36)</f>
        <v>457.37301587301585</v>
      </c>
      <c r="S16" s="188">
        <f>N13+N14+(O14/2.5)+(P14/1.8)+N15+(O15/2.5)+(P15/1.8)</f>
        <v>333.66666666666669</v>
      </c>
      <c r="T16" s="163"/>
      <c r="U16" s="147">
        <f t="shared" ref="U16:U20" si="8">S16/R16</f>
        <v>0.729528535980149</v>
      </c>
      <c r="V16" s="147" t="str">
        <f t="shared" ref="V16:V20" si="9">IF(U16&lt;0.75, "Presumption", IF(U16&lt;0.85, "Buffer and Action Plan", IF(U16&lt;0.95, "Action Plan", "Pass")))</f>
        <v>Presumption</v>
      </c>
    </row>
    <row r="17" spans="1:25" ht="36" customHeight="1" thickTop="1" thickBot="1">
      <c r="A17" s="149">
        <v>45017</v>
      </c>
      <c r="B17" s="101" t="s">
        <v>789</v>
      </c>
      <c r="C17" s="97"/>
      <c r="D17" s="140">
        <f t="shared" si="5"/>
        <v>177.04761904761904</v>
      </c>
      <c r="E17" s="140">
        <f t="shared" si="0"/>
        <v>-108</v>
      </c>
      <c r="F17" s="142" t="str">
        <f t="shared" si="1"/>
        <v>-</v>
      </c>
      <c r="G17" s="130">
        <f>(VLOOKUP($D$2,Hshldprojections2014!$A$1:$AY$328,45,FALSE)-VLOOKUP($D$2,Hshldprojections2014!$A$1:$AY$328,35,FALSE))/10</f>
        <v>320.2</v>
      </c>
      <c r="H17" s="145">
        <f>IF((VLOOKUP(D$2,AffordabilityRatio!$A$2:$I$321,9,FALSE))="",H16,VLOOKUP(D$2,AffordabilityRatio!$A$2:$I$321,9,FALSE))</f>
        <v>13.41</v>
      </c>
      <c r="I17" s="131">
        <f t="shared" si="2"/>
        <v>509</v>
      </c>
      <c r="J17" s="131">
        <f t="shared" si="3"/>
        <v>448.28</v>
      </c>
      <c r="K17" s="131">
        <f>J17*VLOOKUP($D$3,'Major Cities &amp; Towns'!$A$28:$B$345,2,FALSE)</f>
        <v>448.28</v>
      </c>
      <c r="L17" s="131">
        <f t="shared" si="6"/>
        <v>509</v>
      </c>
      <c r="M17" s="153" t="str">
        <f t="shared" si="4"/>
        <v>Minimum Local Housing Need</v>
      </c>
      <c r="N17" s="336">
        <f t="shared" ref="N17:N20" si="10">AVERAGE(N14:N16)</f>
        <v>143.96296296296296</v>
      </c>
      <c r="O17" s="146"/>
      <c r="P17" s="146"/>
      <c r="Q17" s="155">
        <f t="shared" si="7"/>
        <v>628.47671232876712</v>
      </c>
      <c r="R17" s="155">
        <f>Q17*((24+9)/36)</f>
        <v>576.1036529680365</v>
      </c>
      <c r="S17" s="188">
        <f>N14+(O14/2.5)+(P14/1.8)+N15+(O15/2.5)+(P15/1.8)+N16+(O16/2.5)+(P16/1.8)</f>
        <v>431.88888888888891</v>
      </c>
      <c r="T17" s="163"/>
      <c r="U17" s="147">
        <f t="shared" si="8"/>
        <v>0.74967219295318555</v>
      </c>
      <c r="V17" s="147" t="str">
        <f t="shared" si="9"/>
        <v>Presumption</v>
      </c>
    </row>
    <row r="18" spans="1:25" ht="36" customHeight="1" thickTop="1" thickBot="1">
      <c r="A18" s="149">
        <v>45383</v>
      </c>
      <c r="B18" s="101" t="s">
        <v>790</v>
      </c>
      <c r="C18" s="97"/>
      <c r="D18" s="140">
        <f t="shared" si="5"/>
        <v>177.04761904761904</v>
      </c>
      <c r="E18" s="140">
        <f t="shared" si="0"/>
        <v>-474</v>
      </c>
      <c r="F18" s="142" t="str">
        <f t="shared" si="1"/>
        <v>-</v>
      </c>
      <c r="G18" s="130">
        <f>(VLOOKUP($D$2,Hshldprojections2014!$A$1:$AY$328,46,FALSE)-VLOOKUP($D$2,Hshldprojections2014!$A$1:$AY$328,36,FALSE))/10</f>
        <v>320.89999999999998</v>
      </c>
      <c r="H18" s="145">
        <f>IF((VLOOKUP(D$2,AffordabilityRatio!$A$2:$I$321,9,FALSE))="",H17,VLOOKUP(D$2,AffordabilityRatio!$A$2:$I$321,9,FALSE))</f>
        <v>13.41</v>
      </c>
      <c r="I18" s="131">
        <f t="shared" si="2"/>
        <v>510</v>
      </c>
      <c r="J18" s="131">
        <f t="shared" si="3"/>
        <v>449.26</v>
      </c>
      <c r="K18" s="131">
        <f>J18*VLOOKUP($D$3,'Major Cities &amp; Towns'!$A$28:$B$345,2,FALSE)</f>
        <v>449.26</v>
      </c>
      <c r="L18" s="131">
        <f t="shared" si="6"/>
        <v>510</v>
      </c>
      <c r="M18" s="153" t="str">
        <f t="shared" si="4"/>
        <v>Minimum Local Housing Need</v>
      </c>
      <c r="N18" s="336">
        <f t="shared" si="10"/>
        <v>122.28395061728395</v>
      </c>
      <c r="O18" s="146"/>
      <c r="P18" s="146"/>
      <c r="Q18" s="155">
        <f t="shared" si="7"/>
        <v>960.42909328114808</v>
      </c>
      <c r="R18" s="155">
        <f>Q18</f>
        <v>960.42909328114808</v>
      </c>
      <c r="S18" s="188">
        <f>N15+(O15/2.5)+(P15/1.8)+N16+(O16/2.5)+(P16/1.8)+N17+(O17/2.5)+(P17/1.8)</f>
        <v>366.85185185185185</v>
      </c>
      <c r="T18" s="163"/>
      <c r="U18" s="147">
        <f t="shared" si="8"/>
        <v>0.38196661723205699</v>
      </c>
      <c r="V18" s="147" t="str">
        <f t="shared" si="9"/>
        <v>Presumption</v>
      </c>
    </row>
    <row r="19" spans="1:25" ht="36" customHeight="1" thickTop="1" thickBot="1">
      <c r="A19" s="149">
        <v>45748</v>
      </c>
      <c r="B19" s="101" t="s">
        <v>791</v>
      </c>
      <c r="C19" s="97"/>
      <c r="D19" s="140">
        <f t="shared" si="5"/>
        <v>177.04761904761904</v>
      </c>
      <c r="E19" s="140">
        <f t="shared" si="0"/>
        <v>-839</v>
      </c>
      <c r="F19" s="142" t="str">
        <f t="shared" si="1"/>
        <v>-</v>
      </c>
      <c r="G19" s="130">
        <f>(VLOOKUP($D$2,Hshldprojections2014!$A$1:$AY$328,47,FALSE)-VLOOKUP($D$2,Hshldprojections2014!$A$1:$AY$328,37,FALSE))/10</f>
        <v>322.10000000000002</v>
      </c>
      <c r="H19" s="145">
        <f>IF((VLOOKUP(D$2,AffordabilityRatio!$A$2:$I$321,9,FALSE))="",H18,VLOOKUP(D$2,AffordabilityRatio!$A$2:$I$321,9,FALSE))</f>
        <v>13.41</v>
      </c>
      <c r="I19" s="131">
        <f t="shared" si="2"/>
        <v>512</v>
      </c>
      <c r="J19" s="131">
        <f t="shared" si="3"/>
        <v>450.94000000000005</v>
      </c>
      <c r="K19" s="131">
        <f>J19*VLOOKUP($D$3,'Major Cities &amp; Towns'!$A$28:$B$345,2,FALSE)</f>
        <v>450.94000000000005</v>
      </c>
      <c r="L19" s="131">
        <f t="shared" si="6"/>
        <v>512</v>
      </c>
      <c r="M19" s="153" t="str">
        <f t="shared" si="4"/>
        <v>Minimum Local Housing Need</v>
      </c>
      <c r="N19" s="336">
        <f t="shared" si="10"/>
        <v>125.82304526748972</v>
      </c>
      <c r="O19" s="146"/>
      <c r="P19" s="146"/>
      <c r="Q19" s="155">
        <f t="shared" si="7"/>
        <v>1293.3814742335289</v>
      </c>
      <c r="R19" s="155">
        <f t="shared" ref="R19:R20" si="11">Q19</f>
        <v>1293.3814742335289</v>
      </c>
      <c r="S19" s="188">
        <f>N16+(O16/2.5)+(P16/1.8)+N17+(O17/2.5)+(P17/1.8)+N18+(O18/2.5)+(P18/1.8)</f>
        <v>377.46913580246917</v>
      </c>
      <c r="T19" s="163"/>
      <c r="U19" s="147">
        <f t="shared" si="8"/>
        <v>0.29184671600941342</v>
      </c>
      <c r="V19" s="147" t="str">
        <f t="shared" si="9"/>
        <v>Presumption</v>
      </c>
    </row>
    <row r="20" spans="1:25" ht="36" customHeight="1" thickTop="1" thickBot="1">
      <c r="A20" s="149">
        <v>46113</v>
      </c>
      <c r="B20" s="101" t="s">
        <v>792</v>
      </c>
      <c r="C20" s="97"/>
      <c r="D20" s="140">
        <f t="shared" si="5"/>
        <v>177.04761904761904</v>
      </c>
      <c r="E20" s="140">
        <f t="shared" si="0"/>
        <v>-1204</v>
      </c>
      <c r="F20" s="142" t="str">
        <f t="shared" si="1"/>
        <v>-</v>
      </c>
      <c r="G20" s="130">
        <f>IF($J$7=2014,(VLOOKUP($D$2,Hshldprojections2014!$A$1:$AY$328,48,FALSE)-VLOOKUP($D$2,Hshldprojections2014!$A$1:$AY$328,38,FALSE))/10,IF($J$7=2016,(VLOOKUP($D$2,Hshldprojections2016!$A$1:$AQ$330,38,FALSE)-VLOOKUP($D$2,Hshldprojections2016!$A$1:$AQ$330,28,FALSE))/10,(VLOOKUP($D$2,Hshldprojections2018!$A$1:$AQ$335,38,FALSE)-VLOOKUP($D$2,Hshldprojections2018!$A$1:$AQ$335,28,FALSE))/10))</f>
        <v>151.9</v>
      </c>
      <c r="H20" s="145">
        <f>IF((VLOOKUP(D$2,AffordabilityRatio!$A$2:$I$321,9,FALSE))="",H19,VLOOKUP(D$2,AffordabilityRatio!$A$2:$I$321,9,FALSE))</f>
        <v>13.41</v>
      </c>
      <c r="I20" s="131">
        <f t="shared" si="2"/>
        <v>241</v>
      </c>
      <c r="J20" s="131">
        <f t="shared" si="3"/>
        <v>241</v>
      </c>
      <c r="K20" s="131">
        <f>J20*VLOOKUP($D$3,'Major Cities &amp; Towns'!$A$28:$B$345,2,FALSE)</f>
        <v>241</v>
      </c>
      <c r="L20" s="131">
        <f t="shared" si="6"/>
        <v>241</v>
      </c>
      <c r="M20" s="153" t="str">
        <f t="shared" si="4"/>
        <v>Minimum Local Housing Need</v>
      </c>
      <c r="N20" s="336">
        <f t="shared" si="10"/>
        <v>130.68998628257887</v>
      </c>
      <c r="O20" s="146"/>
      <c r="P20" s="146"/>
      <c r="Q20" s="155">
        <f t="shared" si="7"/>
        <v>1531</v>
      </c>
      <c r="R20" s="155">
        <f t="shared" si="11"/>
        <v>1531</v>
      </c>
      <c r="S20" s="188">
        <f>N17+(O17/2.5)+(P17/1.8)+N18+(O18/2.5)+(P18/1.8)+N19+(O19/2.5)+(P19/1.8)</f>
        <v>392.06995884773659</v>
      </c>
      <c r="T20" s="163"/>
      <c r="U20" s="147">
        <f t="shared" si="8"/>
        <v>0.25608749761445893</v>
      </c>
      <c r="V20" s="147" t="str">
        <f t="shared" si="9"/>
        <v>Presumption</v>
      </c>
    </row>
    <row r="21" spans="1:25" ht="14.5" thickTop="1">
      <c r="A21" s="96"/>
      <c r="B21" s="101"/>
      <c r="C21" s="96"/>
      <c r="D21" s="96"/>
      <c r="E21" s="96"/>
      <c r="F21" s="96"/>
      <c r="G21" s="96"/>
      <c r="H21" s="96"/>
      <c r="I21" s="136"/>
      <c r="J21" s="136"/>
      <c r="K21" s="136"/>
      <c r="L21" s="136"/>
      <c r="M21" s="96"/>
      <c r="N21" s="96"/>
      <c r="O21" s="96"/>
      <c r="P21" s="96"/>
      <c r="Q21" s="96"/>
      <c r="R21" s="96"/>
      <c r="S21" s="96"/>
      <c r="T21" s="136"/>
      <c r="U21" s="96"/>
      <c r="V21" s="96"/>
    </row>
    <row r="22" spans="1:25">
      <c r="A22" s="96"/>
      <c r="B22" s="101" t="s">
        <v>793</v>
      </c>
      <c r="C22" s="96"/>
      <c r="D22" s="401">
        <f>IFERROR(VLOOKUP(D2,'local-plan-data'!$C$1:$AD$566,19,FALSE),"")</f>
        <v>0</v>
      </c>
      <c r="E22" s="402"/>
      <c r="F22" s="402"/>
      <c r="G22" s="402"/>
      <c r="H22" s="403"/>
      <c r="I22" s="136"/>
      <c r="J22" s="136"/>
      <c r="K22" s="136"/>
      <c r="L22" s="136"/>
      <c r="M22" s="96"/>
      <c r="N22" s="96"/>
      <c r="O22" s="96"/>
      <c r="P22" s="96"/>
      <c r="Q22" s="96"/>
      <c r="R22" s="96"/>
      <c r="S22" s="96"/>
      <c r="T22" s="136"/>
      <c r="U22" s="96"/>
      <c r="V22" s="96"/>
    </row>
    <row r="23" spans="1:25">
      <c r="A23" s="96"/>
      <c r="B23" s="101"/>
      <c r="C23" s="96"/>
      <c r="D23" s="404"/>
      <c r="E23" s="405"/>
      <c r="F23" s="405"/>
      <c r="G23" s="405"/>
      <c r="H23" s="406"/>
      <c r="I23" s="136"/>
      <c r="J23" s="136"/>
      <c r="K23" s="136"/>
      <c r="L23" s="136"/>
      <c r="M23" s="96"/>
      <c r="N23" s="96"/>
      <c r="O23" s="96"/>
      <c r="P23" s="96"/>
      <c r="Q23" s="96"/>
      <c r="R23" s="96"/>
      <c r="S23" s="96"/>
      <c r="T23" s="136"/>
      <c r="U23" s="96"/>
      <c r="V23" s="96"/>
    </row>
    <row r="24" spans="1:25">
      <c r="A24" s="96"/>
      <c r="B24" s="101"/>
      <c r="C24" s="96"/>
      <c r="D24" s="407"/>
      <c r="E24" s="408"/>
      <c r="F24" s="408"/>
      <c r="G24" s="408"/>
      <c r="H24" s="409"/>
      <c r="I24" s="136"/>
      <c r="J24" s="136"/>
      <c r="K24" s="136"/>
      <c r="L24" s="136"/>
      <c r="M24" s="96"/>
      <c r="N24" s="96"/>
      <c r="O24" s="96"/>
      <c r="P24" s="96"/>
      <c r="Q24" s="96"/>
      <c r="R24" s="96"/>
      <c r="S24" s="96"/>
      <c r="T24" s="136"/>
      <c r="U24" s="165" t="s">
        <v>4693</v>
      </c>
      <c r="V24" s="166"/>
      <c r="W24" s="166"/>
      <c r="X24" s="166"/>
      <c r="Y24" s="167"/>
    </row>
    <row r="25" spans="1:25">
      <c r="U25" s="168"/>
      <c r="V25" s="169"/>
      <c r="W25" s="169"/>
      <c r="X25" s="169"/>
      <c r="Y25" s="170"/>
    </row>
    <row r="26" spans="1:25">
      <c r="I26" s="355"/>
      <c r="J26" s="355"/>
      <c r="K26" s="355"/>
      <c r="L26" s="355"/>
      <c r="M26" s="355"/>
      <c r="N26" s="355"/>
      <c r="O26" s="355"/>
      <c r="P26" s="355"/>
      <c r="Q26" s="355"/>
      <c r="R26" s="355"/>
      <c r="U26" s="171" t="s">
        <v>4652</v>
      </c>
      <c r="V26" s="172"/>
      <c r="W26" s="172"/>
      <c r="X26" s="172"/>
      <c r="Y26" s="173"/>
    </row>
    <row r="27" spans="1:25">
      <c r="I27" s="195"/>
      <c r="J27" s="195"/>
      <c r="K27" s="195"/>
      <c r="L27" s="195"/>
      <c r="M27" s="195"/>
      <c r="N27" s="195"/>
      <c r="O27" s="195"/>
      <c r="P27" s="195"/>
      <c r="Q27" s="195"/>
      <c r="R27" s="355"/>
      <c r="U27" s="171" t="s">
        <v>4653</v>
      </c>
      <c r="V27" s="172"/>
      <c r="W27" s="172"/>
      <c r="X27" s="172"/>
      <c r="Y27" s="173"/>
    </row>
    <row r="28" spans="1:25">
      <c r="I28" s="355"/>
      <c r="J28" s="355"/>
      <c r="K28" s="355"/>
      <c r="L28" s="355"/>
      <c r="M28" s="355"/>
      <c r="N28" s="355"/>
      <c r="O28" s="355"/>
      <c r="P28" s="355"/>
      <c r="Q28" s="355"/>
      <c r="R28" s="355"/>
      <c r="U28" s="171" t="s">
        <v>4660</v>
      </c>
      <c r="V28" s="172"/>
      <c r="W28" s="172"/>
      <c r="X28" s="172"/>
      <c r="Y28" s="173"/>
    </row>
    <row r="29" spans="1:25">
      <c r="C29" s="184"/>
      <c r="D29" s="185" t="s">
        <v>4694</v>
      </c>
      <c r="E29" s="177"/>
      <c r="F29" s="177"/>
      <c r="G29" s="178"/>
      <c r="U29" s="171" t="s">
        <v>4649</v>
      </c>
      <c r="V29" s="172"/>
      <c r="W29" s="172"/>
      <c r="X29" s="172"/>
      <c r="Y29" s="173"/>
    </row>
    <row r="30" spans="1:25">
      <c r="C30" s="186"/>
      <c r="D30" s="179"/>
      <c r="E30" s="179"/>
      <c r="F30" s="179"/>
      <c r="G30" s="180"/>
      <c r="U30" s="171" t="s">
        <v>4654</v>
      </c>
      <c r="V30" s="172"/>
      <c r="W30" s="172"/>
      <c r="X30" s="172"/>
      <c r="Y30" s="173"/>
    </row>
    <row r="31" spans="1:25">
      <c r="C31" s="186"/>
      <c r="D31" s="148"/>
      <c r="E31" s="181" t="s">
        <v>4679</v>
      </c>
      <c r="F31" s="179"/>
      <c r="G31" s="180"/>
      <c r="U31" s="171" t="s">
        <v>4650</v>
      </c>
      <c r="V31" s="172"/>
      <c r="W31" s="172"/>
      <c r="X31" s="172"/>
      <c r="Y31" s="173"/>
    </row>
    <row r="32" spans="1:25">
      <c r="C32" s="186"/>
      <c r="D32" s="133"/>
      <c r="E32" s="181" t="s">
        <v>4680</v>
      </c>
      <c r="F32" s="179"/>
      <c r="G32" s="180"/>
      <c r="U32" s="174" t="s">
        <v>4651</v>
      </c>
      <c r="V32" s="175"/>
      <c r="W32" s="175"/>
      <c r="X32" s="175"/>
      <c r="Y32" s="176"/>
    </row>
    <row r="33" spans="3:12">
      <c r="C33" s="186"/>
      <c r="D33" s="134"/>
      <c r="E33" s="181" t="s">
        <v>4682</v>
      </c>
      <c r="F33" s="179"/>
      <c r="G33" s="180"/>
    </row>
    <row r="34" spans="3:12">
      <c r="C34" s="186"/>
      <c r="D34" s="135"/>
      <c r="E34" s="181" t="s">
        <v>4681</v>
      </c>
      <c r="F34" s="179"/>
      <c r="G34" s="180"/>
      <c r="L34" s="192"/>
    </row>
    <row r="35" spans="3:12">
      <c r="C35" s="186"/>
      <c r="D35" s="152"/>
      <c r="E35" s="181" t="s">
        <v>4685</v>
      </c>
      <c r="F35" s="179"/>
      <c r="G35" s="180"/>
    </row>
    <row r="36" spans="3:12">
      <c r="C36" s="186"/>
      <c r="D36" s="151"/>
      <c r="E36" s="181" t="s">
        <v>4686</v>
      </c>
      <c r="F36" s="179"/>
      <c r="G36" s="180"/>
    </row>
    <row r="37" spans="3:12">
      <c r="C37" s="187"/>
      <c r="D37" s="132"/>
      <c r="E37" s="182"/>
      <c r="F37" s="182"/>
      <c r="G37" s="183"/>
    </row>
    <row r="39" spans="3:12">
      <c r="G39" s="124"/>
    </row>
  </sheetData>
  <sheetProtection algorithmName="SHA-512" hashValue="XvkVST63nP9lXGfAm5Lt3Oh13TXsgpENDL3YKUsftUVDIfkHY76jRo5aBo5iaABjMGS3Wd6G47eQPuY09r7DAw==" saltValue="/ZtM6YIf7SmvdTbnirSJzA==" spinCount="100000" sheet="1" selectLockedCells="1"/>
  <mergeCells count="4">
    <mergeCell ref="D22:H24"/>
    <mergeCell ref="D9:F9"/>
    <mergeCell ref="G9:L9"/>
    <mergeCell ref="M9:V9"/>
  </mergeCells>
  <phoneticPr fontId="31" type="noConversion"/>
  <dataValidations count="1">
    <dataValidation type="list" allowBlank="1" showInputMessage="1" showErrorMessage="1" sqref="K7" xr:uid="{00000000-0002-0000-0100-000000000000}">
      <formula1>$V$1:$V$3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'Calculations (All)'!$B$5:$B$322</xm:f>
          </x14:formula1>
          <xm:sqref>D3:E3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B4BA4-6F17-4EF8-AB8A-66FE0A330C66}">
  <sheetPr>
    <tabColor rgb="FF7030A0"/>
  </sheetPr>
  <dimension ref="B3:F49"/>
  <sheetViews>
    <sheetView zoomScale="52" zoomScaleNormal="84" workbookViewId="0">
      <selection activeCell="M18" sqref="M18"/>
    </sheetView>
  </sheetViews>
  <sheetFormatPr defaultColWidth="8.90625" defaultRowHeight="14.5"/>
  <cols>
    <col min="1" max="1" width="8.90625" style="60"/>
    <col min="2" max="2" width="24.36328125" style="60" customWidth="1"/>
    <col min="3" max="3" width="15" style="60" customWidth="1"/>
    <col min="4" max="4" width="30.453125" style="60" customWidth="1"/>
    <col min="5" max="16384" width="8.90625" style="60"/>
  </cols>
  <sheetData>
    <row r="3" spans="2:4">
      <c r="B3" s="61" t="s">
        <v>31</v>
      </c>
      <c r="C3" s="59"/>
      <c r="D3" s="122" t="str">
        <f>VLOOKUP($D$4,'Calculations (All)'!$B$4:$C$322,2,FALSE)</f>
        <v>E07000223</v>
      </c>
    </row>
    <row r="4" spans="2:4">
      <c r="B4" s="61" t="s">
        <v>759</v>
      </c>
      <c r="C4" s="59"/>
      <c r="D4" s="348" t="s">
        <v>112</v>
      </c>
    </row>
    <row r="5" spans="2:4">
      <c r="B5" s="61" t="s">
        <v>33</v>
      </c>
      <c r="D5" s="108" t="str">
        <f>VLOOKUP(D3,'Calculations (All)'!A4:J322,4,FALSE)</f>
        <v>SE</v>
      </c>
    </row>
    <row r="6" spans="2:4" ht="28">
      <c r="B6" s="61" t="s">
        <v>4776</v>
      </c>
      <c r="C6" s="59"/>
      <c r="D6" s="62">
        <f>IF(ISNUMBER(VLOOKUP(D3,'Calculations (All)'!A4:J322,10,FALSE)),VLOOKUP(D3,'Calculations (All)'!A4:J322,10,FALSE),"-")</f>
        <v>177.04761904761904</v>
      </c>
    </row>
    <row r="7" spans="2:4" ht="42">
      <c r="B7" s="61" t="s">
        <v>4814</v>
      </c>
      <c r="C7" s="59"/>
      <c r="D7" s="62">
        <f>VLOOKUP(D4,'Calculations (All)'!$B$4:$DB$322,69,FALSE)</f>
        <v>177.04761904761904</v>
      </c>
    </row>
    <row r="8" spans="2:4" ht="28">
      <c r="B8" s="300" t="s">
        <v>4748</v>
      </c>
      <c r="C8" s="59"/>
      <c r="D8" s="290">
        <f>VLOOKUP($D$4,'HDT 2021 Measurement Results'!$B$5:$L$300,10,FALSE)</f>
        <v>0.77</v>
      </c>
    </row>
    <row r="9" spans="2:4">
      <c r="B9" s="288"/>
      <c r="C9" s="59"/>
      <c r="D9" s="65"/>
    </row>
    <row r="10" spans="2:4">
      <c r="C10" s="59"/>
      <c r="D10" s="59"/>
    </row>
    <row r="11" spans="2:4">
      <c r="B11" s="119"/>
      <c r="C11" s="59"/>
      <c r="D11" s="59"/>
    </row>
    <row r="12" spans="2:4">
      <c r="B12" s="120" t="s">
        <v>4661</v>
      </c>
      <c r="C12" s="59"/>
      <c r="D12" s="59"/>
    </row>
    <row r="13" spans="2:4">
      <c r="B13" s="66"/>
      <c r="C13" s="59"/>
      <c r="D13" s="59"/>
    </row>
    <row r="14" spans="2:4">
      <c r="B14" s="66" t="s">
        <v>3996</v>
      </c>
      <c r="C14" s="59"/>
      <c r="D14" s="59"/>
    </row>
    <row r="15" spans="2:4">
      <c r="B15" s="59"/>
      <c r="C15" s="59"/>
      <c r="D15" s="59"/>
    </row>
    <row r="16" spans="2:4">
      <c r="B16" s="59" t="s">
        <v>3997</v>
      </c>
      <c r="C16" s="67" t="s">
        <v>4646</v>
      </c>
      <c r="D16" s="59" t="s">
        <v>3998</v>
      </c>
    </row>
    <row r="17" spans="2:6" ht="28">
      <c r="B17" s="344" t="s">
        <v>4770</v>
      </c>
      <c r="C17" s="345">
        <f>VLOOKUP(D4,'HDT 2021 Measurement Results'!$B$5:$K$300,10,FALSE)</f>
        <v>0.77</v>
      </c>
      <c r="D17" s="346" t="str">
        <f>IF(Table410[[#This Row],[Per cent]]&lt;0.75, "Presumption", IF(Table410[[#This Row],[Per cent]]&lt;0.85, "Buffer and Action Plan", IF(Table410[[#This Row],[Per cent]]&lt;0.95, "Action Plan", "Pass")))</f>
        <v>Buffer and Action Plan</v>
      </c>
    </row>
    <row r="18" spans="2:6" ht="28">
      <c r="B18" s="338" t="s">
        <v>4771</v>
      </c>
      <c r="C18" s="340">
        <f>'IndividualLA Sensitivity Test'!U16</f>
        <v>0.729528535980149</v>
      </c>
      <c r="D18" s="337" t="str">
        <f>'IndividualLA Sensitivity Test'!V16</f>
        <v>Presumption</v>
      </c>
    </row>
    <row r="19" spans="2:6" ht="28">
      <c r="B19" s="338" t="s">
        <v>4772</v>
      </c>
      <c r="C19" s="340">
        <f>'IndividualLA Sensitivity Test'!U17</f>
        <v>0.85423916384505327</v>
      </c>
      <c r="D19" s="337" t="str">
        <f>'IndividualLA Sensitivity Test'!V17</f>
        <v>Action Plan</v>
      </c>
    </row>
    <row r="20" spans="2:6" ht="28">
      <c r="B20" s="338" t="s">
        <v>4773</v>
      </c>
      <c r="C20" s="341">
        <f>'IndividualLA Sensitivity Test'!U18</f>
        <v>0.59409438986098684</v>
      </c>
      <c r="D20" s="339" t="str">
        <f>'IndividualLA Sensitivity Test'!V18</f>
        <v>Presumption</v>
      </c>
    </row>
    <row r="21" spans="2:6" ht="28">
      <c r="B21" s="338" t="s">
        <v>4774</v>
      </c>
      <c r="C21" s="341">
        <f>'IndividualLA Sensitivity Test'!U19</f>
        <v>0.55392054276766167</v>
      </c>
      <c r="D21" s="339" t="str">
        <f>'IndividualLA Sensitivity Test'!V19</f>
        <v>Presumption</v>
      </c>
      <c r="E21" s="121"/>
      <c r="F21" s="121"/>
    </row>
    <row r="22" spans="2:6">
      <c r="B22" s="303" t="s">
        <v>4802</v>
      </c>
      <c r="E22" s="121"/>
      <c r="F22" s="121"/>
    </row>
    <row r="23" spans="2:6">
      <c r="E23" s="121"/>
      <c r="F23" s="123"/>
    </row>
    <row r="24" spans="2:6">
      <c r="B24" s="66" t="s">
        <v>4670</v>
      </c>
      <c r="C24" s="121"/>
      <c r="D24" s="121"/>
      <c r="E24" s="121"/>
      <c r="F24" s="123"/>
    </row>
    <row r="25" spans="2:6">
      <c r="B25" s="121"/>
      <c r="C25" s="121"/>
      <c r="D25" s="121"/>
      <c r="E25" s="121"/>
      <c r="F25" s="123"/>
    </row>
    <row r="26" spans="2:6">
      <c r="B26" s="121" t="s">
        <v>4669</v>
      </c>
      <c r="C26" s="121"/>
      <c r="D26" s="121"/>
    </row>
    <row r="27" spans="2:6" ht="15" thickBot="1">
      <c r="B27" s="121"/>
      <c r="C27" s="121"/>
      <c r="D27" s="121"/>
    </row>
    <row r="28" spans="2:6" ht="28.5" thickBot="1">
      <c r="B28" s="342" t="s">
        <v>4793</v>
      </c>
      <c r="C28" s="342" t="s">
        <v>4794</v>
      </c>
      <c r="D28" s="342" t="s">
        <v>4795</v>
      </c>
    </row>
    <row r="29" spans="2:6">
      <c r="D29" s="97"/>
    </row>
    <row r="30" spans="2:6" ht="28">
      <c r="B30" s="61" t="s">
        <v>4671</v>
      </c>
      <c r="C30" s="350"/>
      <c r="D30" s="97" t="s">
        <v>4796</v>
      </c>
    </row>
    <row r="31" spans="2:6">
      <c r="C31" s="85"/>
      <c r="D31" s="97"/>
    </row>
    <row r="32" spans="2:6" ht="56">
      <c r="B32" s="61" t="s">
        <v>4672</v>
      </c>
      <c r="C32" s="351"/>
      <c r="D32" s="97" t="s">
        <v>4804</v>
      </c>
    </row>
    <row r="33" spans="2:4">
      <c r="C33" s="85"/>
      <c r="D33" s="97"/>
    </row>
    <row r="34" spans="2:4" ht="42">
      <c r="B34" s="61" t="s">
        <v>763</v>
      </c>
      <c r="C34" s="352"/>
      <c r="D34" s="97" t="s">
        <v>4797</v>
      </c>
    </row>
    <row r="35" spans="2:4">
      <c r="C35" s="85"/>
      <c r="D35" s="97"/>
    </row>
    <row r="36" spans="2:4" ht="42">
      <c r="B36" s="61" t="s">
        <v>99</v>
      </c>
      <c r="C36" s="352"/>
      <c r="D36" s="97" t="s">
        <v>4798</v>
      </c>
    </row>
    <row r="37" spans="2:4">
      <c r="B37" s="61"/>
      <c r="C37" s="85"/>
      <c r="D37" s="97"/>
    </row>
    <row r="38" spans="2:4" ht="28">
      <c r="B38" s="61" t="s">
        <v>100</v>
      </c>
      <c r="C38" s="352"/>
      <c r="D38" s="343" t="s">
        <v>4801</v>
      </c>
    </row>
    <row r="39" spans="2:4">
      <c r="C39" s="85"/>
      <c r="D39" s="343"/>
    </row>
    <row r="40" spans="2:4" ht="28">
      <c r="B40" s="61" t="s">
        <v>101</v>
      </c>
      <c r="C40" s="352"/>
      <c r="D40" s="343" t="s">
        <v>4801</v>
      </c>
    </row>
    <row r="41" spans="2:4">
      <c r="C41" s="85"/>
      <c r="D41" s="343"/>
    </row>
    <row r="42" spans="2:4" ht="28">
      <c r="B42" s="61" t="s">
        <v>4673</v>
      </c>
      <c r="C42" s="352"/>
      <c r="D42" s="343" t="s">
        <v>4801</v>
      </c>
    </row>
    <row r="43" spans="2:4">
      <c r="C43" s="85"/>
      <c r="D43" s="343"/>
    </row>
    <row r="44" spans="2:4" ht="28">
      <c r="B44" s="61" t="s">
        <v>4674</v>
      </c>
      <c r="C44" s="352"/>
      <c r="D44" s="343" t="s">
        <v>4801</v>
      </c>
    </row>
    <row r="45" spans="2:4">
      <c r="C45" s="85"/>
      <c r="D45" s="343"/>
    </row>
    <row r="46" spans="2:4" ht="28">
      <c r="B46" s="61" t="s">
        <v>4675</v>
      </c>
      <c r="C46" s="352"/>
      <c r="D46" s="343" t="s">
        <v>4801</v>
      </c>
    </row>
    <row r="47" spans="2:4">
      <c r="C47" s="85"/>
      <c r="D47" s="97"/>
    </row>
    <row r="48" spans="2:4" ht="28">
      <c r="B48" s="61" t="s">
        <v>4799</v>
      </c>
      <c r="C48" s="352"/>
      <c r="D48" s="97" t="s">
        <v>4800</v>
      </c>
    </row>
    <row r="49" spans="4:4">
      <c r="D49" s="97"/>
    </row>
  </sheetData>
  <dataValidations count="1">
    <dataValidation type="list" allowBlank="1" showInputMessage="1" showErrorMessage="1" sqref="C48" xr:uid="{E55AA51E-8EDE-4B85-9978-859DA6509993}">
      <formula1>"2014,2016,2018"</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6FDDE6A5-6CF0-48C9-8A77-5EF401E22E7A}">
          <x14:formula1>
            <xm:f>'Calculations (All)'!$B$5:$B$322</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7B8AE-6881-4718-B129-FAD9A7ECC5C4}">
  <sheetPr>
    <tabColor rgb="FF7030A0"/>
    <pageSetUpPr fitToPage="1"/>
  </sheetPr>
  <dimension ref="A1:DH326"/>
  <sheetViews>
    <sheetView zoomScale="59" zoomScaleNormal="59" workbookViewId="0">
      <pane xSplit="4" ySplit="4" topLeftCell="AF5" activePane="bottomRight" state="frozen"/>
      <selection activeCell="AI18" sqref="AI18"/>
      <selection pane="topRight" activeCell="AI18" sqref="AI18"/>
      <selection pane="bottomLeft" activeCell="AI18" sqref="AI18"/>
      <selection pane="bottomRight" activeCell="AI18" sqref="AI18"/>
    </sheetView>
  </sheetViews>
  <sheetFormatPr defaultColWidth="9.36328125" defaultRowHeight="14.5"/>
  <cols>
    <col min="1" max="1" width="13.36328125" style="8" customWidth="1"/>
    <col min="2" max="2" width="11.453125" style="8" customWidth="1"/>
    <col min="3" max="5" width="13.36328125" style="8" customWidth="1"/>
    <col min="6" max="6" width="19.08984375" style="8" customWidth="1"/>
    <col min="7" max="7" width="18.453125" style="8" customWidth="1"/>
    <col min="8" max="8" width="17" style="8" customWidth="1"/>
    <col min="9" max="9" width="44.453125" style="8" customWidth="1"/>
    <col min="10" max="10" width="9.453125" style="10" customWidth="1"/>
    <col min="11" max="15" width="14.36328125" style="11" customWidth="1"/>
    <col min="16" max="18" width="14.453125" style="11" customWidth="1"/>
    <col min="19" max="29" width="14.453125" style="8" customWidth="1"/>
    <col min="30" max="34" width="16.6328125" style="8" customWidth="1"/>
    <col min="35" max="66" width="14.453125" style="8" customWidth="1"/>
    <col min="67" max="74" width="11.6328125" bestFit="1" customWidth="1"/>
    <col min="75" max="78" width="14.453125" style="8" customWidth="1"/>
    <col min="79" max="79" width="16" style="8" customWidth="1"/>
    <col min="80" max="82" width="14.453125" style="8" customWidth="1"/>
    <col min="83" max="88" width="14.6328125" style="47" customWidth="1"/>
    <col min="89" max="89" width="19.90625" style="47" customWidth="1"/>
    <col min="90" max="90" width="19.36328125" style="47" customWidth="1"/>
    <col min="91" max="94" width="19" style="47" customWidth="1"/>
    <col min="95" max="100" width="14.6328125" style="47" customWidth="1"/>
    <col min="101" max="101" width="13.08984375" style="47" bestFit="1" customWidth="1"/>
    <col min="102" max="102" width="25.6328125" style="48" bestFit="1" customWidth="1"/>
    <col min="103" max="103" width="13.08984375" style="47" bestFit="1" customWidth="1"/>
    <col min="104" max="104" width="25.6328125" style="48" bestFit="1" customWidth="1"/>
    <col min="105" max="105" width="13.08984375" style="47" bestFit="1" customWidth="1"/>
    <col min="106" max="106" width="25.6328125" style="48" bestFit="1" customWidth="1"/>
    <col min="107" max="107" width="13" style="8" bestFit="1" customWidth="1"/>
    <col min="108" max="108" width="29.90625" style="8" bestFit="1" customWidth="1"/>
    <col min="109" max="109" width="13" style="8" bestFit="1" customWidth="1"/>
    <col min="110" max="110" width="29.90625" style="8" bestFit="1" customWidth="1"/>
    <col min="111" max="111" width="13" style="8" bestFit="1" customWidth="1"/>
    <col min="112" max="112" width="29.90625" style="8" bestFit="1" customWidth="1"/>
    <col min="113" max="16384" width="9.36328125" style="8"/>
  </cols>
  <sheetData>
    <row r="1" spans="1:112" ht="105" customHeight="1">
      <c r="A1" s="34"/>
      <c r="B1" s="34"/>
      <c r="C1" s="34"/>
      <c r="D1" s="34"/>
      <c r="E1" s="34"/>
      <c r="F1" s="34"/>
      <c r="G1" s="34"/>
      <c r="H1" s="34"/>
      <c r="I1" s="34"/>
      <c r="K1" s="265">
        <v>43191</v>
      </c>
      <c r="L1" s="265">
        <v>43556</v>
      </c>
      <c r="M1" s="265">
        <v>43922</v>
      </c>
      <c r="N1" s="265">
        <v>44287</v>
      </c>
      <c r="O1" s="265">
        <v>44652</v>
      </c>
      <c r="P1" s="265">
        <v>45017</v>
      </c>
      <c r="Q1" s="265">
        <v>45383</v>
      </c>
      <c r="R1" s="265">
        <v>45748</v>
      </c>
      <c r="S1" s="265">
        <v>43191</v>
      </c>
      <c r="T1" s="265">
        <v>43556</v>
      </c>
      <c r="U1" s="265">
        <v>43922</v>
      </c>
      <c r="V1" s="265">
        <v>44287</v>
      </c>
      <c r="W1" s="265">
        <v>44652</v>
      </c>
      <c r="X1" s="265">
        <v>45017</v>
      </c>
      <c r="Y1" s="265">
        <v>45383</v>
      </c>
      <c r="Z1" s="265">
        <v>45748</v>
      </c>
      <c r="AA1" s="271" t="s">
        <v>30</v>
      </c>
      <c r="AB1" s="272"/>
      <c r="AC1" s="272"/>
      <c r="AD1" s="273"/>
      <c r="AE1" s="274"/>
      <c r="AF1" s="274"/>
      <c r="AG1" s="274"/>
      <c r="AH1" s="274"/>
      <c r="AI1" s="272"/>
      <c r="AJ1" s="272"/>
      <c r="AK1" s="272"/>
      <c r="AL1" s="272"/>
      <c r="AM1" s="272"/>
      <c r="AN1" s="272"/>
      <c r="AO1" s="272"/>
      <c r="AP1" s="272"/>
      <c r="AQ1" s="272"/>
      <c r="AR1" s="272"/>
      <c r="AS1" s="272"/>
      <c r="AT1" s="272"/>
      <c r="AU1" s="272"/>
      <c r="AV1" s="272"/>
      <c r="AW1" s="272"/>
      <c r="AX1" s="272"/>
      <c r="AY1" s="272"/>
      <c r="AZ1" s="272"/>
      <c r="BA1" s="272"/>
      <c r="BB1" s="272"/>
      <c r="BC1" s="272"/>
      <c r="BD1" s="272"/>
      <c r="BE1" s="272"/>
      <c r="BF1" s="272"/>
      <c r="BG1" s="272"/>
      <c r="BH1" s="272"/>
      <c r="BI1" s="272"/>
      <c r="BJ1" s="272"/>
      <c r="BK1" s="272"/>
      <c r="BL1" s="272"/>
      <c r="BM1" s="272"/>
      <c r="BN1" s="272"/>
      <c r="BO1" s="272"/>
      <c r="BP1" s="272"/>
      <c r="BQ1" s="272"/>
      <c r="BR1" s="272"/>
      <c r="BS1" s="272"/>
      <c r="BT1" s="272"/>
      <c r="BU1" s="272"/>
      <c r="BV1" s="272"/>
      <c r="BW1" s="36">
        <v>43191</v>
      </c>
      <c r="BX1" s="36">
        <v>43556</v>
      </c>
      <c r="BY1" s="36">
        <v>43922</v>
      </c>
      <c r="BZ1" s="36">
        <v>44287</v>
      </c>
      <c r="CA1" s="36">
        <v>44652</v>
      </c>
      <c r="CB1" s="36">
        <v>45017</v>
      </c>
      <c r="CC1" s="36">
        <v>45383</v>
      </c>
      <c r="CD1" s="36">
        <v>45748</v>
      </c>
      <c r="CE1" s="284"/>
      <c r="CF1" s="285"/>
      <c r="CG1" s="285"/>
      <c r="CH1" s="285"/>
      <c r="CI1" s="285"/>
      <c r="CJ1" s="285"/>
      <c r="CK1" s="285"/>
      <c r="CL1" s="285"/>
      <c r="CM1" s="285"/>
      <c r="CN1" s="285"/>
      <c r="CO1" s="285"/>
      <c r="CP1" s="285"/>
      <c r="CQ1" s="286"/>
      <c r="CR1" s="286"/>
      <c r="CS1" s="286"/>
      <c r="CT1" s="286"/>
      <c r="CU1" s="286"/>
      <c r="CV1" s="286"/>
      <c r="CW1" s="49"/>
      <c r="CY1" s="49"/>
      <c r="DA1" s="49"/>
    </row>
    <row r="2" spans="1:112">
      <c r="A2" s="34"/>
      <c r="B2" s="34"/>
      <c r="C2" s="34"/>
      <c r="D2" s="34"/>
      <c r="E2" s="34"/>
      <c r="F2" s="34"/>
      <c r="G2" s="34"/>
      <c r="H2" s="34"/>
      <c r="I2" s="34"/>
      <c r="S2" s="34"/>
      <c r="T2" s="34"/>
      <c r="U2" s="34"/>
      <c r="V2" s="34"/>
      <c r="W2" s="34"/>
      <c r="X2" s="34"/>
      <c r="Y2" s="34"/>
      <c r="Z2" s="34"/>
      <c r="AA2" s="37"/>
      <c r="AB2" s="37"/>
      <c r="AC2" s="37"/>
      <c r="AD2" s="10"/>
      <c r="AE2" s="10"/>
      <c r="AF2" s="10"/>
      <c r="AG2" s="10"/>
      <c r="AH2" s="10"/>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W2" s="34"/>
      <c r="BX2" s="34"/>
      <c r="BY2" s="34"/>
      <c r="BZ2" s="34"/>
      <c r="CA2" s="34"/>
      <c r="CB2" s="34"/>
      <c r="CC2" s="34"/>
      <c r="CD2" s="34"/>
      <c r="CE2" s="48"/>
      <c r="CF2" s="49"/>
      <c r="CG2" s="49"/>
      <c r="CH2" s="49"/>
      <c r="CI2" s="49"/>
      <c r="CJ2" s="49"/>
      <c r="CK2" s="49"/>
      <c r="CL2" s="49"/>
      <c r="CM2" s="49"/>
      <c r="CN2" s="49"/>
      <c r="CO2" s="49"/>
      <c r="CP2" s="49"/>
      <c r="CQ2" s="49"/>
      <c r="CR2" s="50"/>
      <c r="CS2" s="49"/>
      <c r="CT2" s="49"/>
      <c r="CU2" s="49"/>
      <c r="CV2" s="49"/>
      <c r="CW2" s="49"/>
      <c r="CY2" s="49"/>
      <c r="DA2" s="49"/>
    </row>
    <row r="3" spans="1:112" s="12" customFormat="1" thickBot="1">
      <c r="A3" s="35"/>
      <c r="B3" s="35"/>
      <c r="C3" s="35"/>
      <c r="D3" s="35"/>
      <c r="E3" s="35"/>
      <c r="F3" s="35"/>
      <c r="G3" s="35"/>
      <c r="H3" s="35"/>
      <c r="I3" s="35"/>
      <c r="J3" s="13"/>
      <c r="K3" s="14"/>
      <c r="L3" s="14"/>
      <c r="M3" s="14"/>
      <c r="N3" s="14"/>
      <c r="O3" s="14"/>
      <c r="P3" s="14"/>
      <c r="Q3" s="14"/>
      <c r="R3" s="14"/>
      <c r="S3" s="35"/>
      <c r="T3" s="35"/>
      <c r="U3" s="35"/>
      <c r="V3" s="35"/>
      <c r="W3" s="35"/>
      <c r="X3" s="35"/>
      <c r="Y3" s="35"/>
      <c r="Z3" s="35"/>
      <c r="AA3" s="13" t="str">
        <f>IndividualLATest!$J$7&amp;" projections"</f>
        <v xml:space="preserve"> projections</v>
      </c>
      <c r="AB3" s="13" t="str">
        <f>IndividualLATest!$J$7&amp;" projections"</f>
        <v xml:space="preserve"> projections</v>
      </c>
      <c r="AC3" s="13" t="str">
        <f>IndividualLATest!$J$7&amp;" projections"</f>
        <v xml:space="preserve"> projections</v>
      </c>
      <c r="AD3" s="13" t="str">
        <f>IndividualLATest!$J$7&amp;" projections"</f>
        <v xml:space="preserve"> projections</v>
      </c>
      <c r="AE3" s="13" t="str">
        <f>IndividualLATest!$J$7&amp;" projections"</f>
        <v xml:space="preserve"> projections</v>
      </c>
      <c r="AF3" s="13" t="str">
        <f>IndividualLATest!$J$7&amp;" projections"</f>
        <v xml:space="preserve"> projections</v>
      </c>
      <c r="AG3" s="13" t="str">
        <f>IndividualLATest!$J$7&amp;" projections"</f>
        <v xml:space="preserve"> projections</v>
      </c>
      <c r="AH3" s="13" t="str">
        <f>IndividualLATest!$J$7&amp;" projections"</f>
        <v xml:space="preserve"> projections</v>
      </c>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W3" s="35"/>
      <c r="BX3" s="35"/>
      <c r="BY3" s="35"/>
      <c r="BZ3" s="35"/>
      <c r="CA3" s="35"/>
      <c r="CB3" s="35"/>
      <c r="CC3" s="35"/>
      <c r="CD3" s="35"/>
      <c r="CE3" s="51"/>
      <c r="CF3" s="51"/>
      <c r="CG3" s="51"/>
      <c r="CH3" s="51"/>
      <c r="CI3" s="51"/>
      <c r="CJ3" s="51"/>
      <c r="CK3" s="51"/>
      <c r="CL3" s="51"/>
      <c r="CM3" s="51"/>
      <c r="CN3" s="51"/>
      <c r="CO3" s="51"/>
      <c r="CP3" s="51"/>
      <c r="CQ3" s="51"/>
      <c r="CR3" s="51"/>
      <c r="CS3" s="51"/>
      <c r="CT3" s="51"/>
      <c r="CU3" s="51"/>
      <c r="CV3" s="51"/>
      <c r="CW3" s="51"/>
      <c r="CX3" s="52"/>
      <c r="CY3" s="51"/>
      <c r="CZ3" s="52"/>
      <c r="DA3" s="51"/>
      <c r="DB3" s="52"/>
    </row>
    <row r="4" spans="1:112" ht="58.5" customHeight="1" thickTop="1" thickBot="1">
      <c r="A4" s="61" t="s">
        <v>31</v>
      </c>
      <c r="B4" s="61" t="s">
        <v>32</v>
      </c>
      <c r="C4" s="61" t="s">
        <v>31</v>
      </c>
      <c r="D4" s="61" t="s">
        <v>33</v>
      </c>
      <c r="E4" s="61" t="s">
        <v>34</v>
      </c>
      <c r="F4" s="61" t="s">
        <v>35</v>
      </c>
      <c r="G4" s="61" t="s">
        <v>36</v>
      </c>
      <c r="H4" s="255" t="s">
        <v>37</v>
      </c>
      <c r="I4" s="255" t="s">
        <v>38</v>
      </c>
      <c r="J4" s="256" t="s">
        <v>39</v>
      </c>
      <c r="K4" s="257" t="s">
        <v>40</v>
      </c>
      <c r="L4" s="257" t="s">
        <v>41</v>
      </c>
      <c r="M4" s="257" t="s">
        <v>42</v>
      </c>
      <c r="N4" s="257" t="s">
        <v>43</v>
      </c>
      <c r="O4" s="257" t="s">
        <v>44</v>
      </c>
      <c r="P4" s="257" t="s">
        <v>45</v>
      </c>
      <c r="Q4" s="257" t="s">
        <v>46</v>
      </c>
      <c r="R4" s="257" t="s">
        <v>47</v>
      </c>
      <c r="S4" s="257" t="s">
        <v>80</v>
      </c>
      <c r="T4" s="257" t="s">
        <v>81</v>
      </c>
      <c r="U4" s="257" t="s">
        <v>82</v>
      </c>
      <c r="V4" s="257" t="s">
        <v>83</v>
      </c>
      <c r="W4" s="257" t="s">
        <v>84</v>
      </c>
      <c r="X4" s="257" t="s">
        <v>85</v>
      </c>
      <c r="Y4" s="257" t="s">
        <v>86</v>
      </c>
      <c r="Z4" s="257" t="s">
        <v>87</v>
      </c>
      <c r="AA4" s="129" t="s">
        <v>48</v>
      </c>
      <c r="AB4" s="129" t="s">
        <v>49</v>
      </c>
      <c r="AC4" s="129" t="s">
        <v>50</v>
      </c>
      <c r="AD4" s="129" t="s">
        <v>51</v>
      </c>
      <c r="AE4" s="129" t="s">
        <v>52</v>
      </c>
      <c r="AF4" s="129" t="s">
        <v>53</v>
      </c>
      <c r="AG4" s="129" t="s">
        <v>54</v>
      </c>
      <c r="AH4" s="129" t="s">
        <v>55</v>
      </c>
      <c r="AI4" s="266" t="s">
        <v>56</v>
      </c>
      <c r="AJ4" s="266" t="s">
        <v>57</v>
      </c>
      <c r="AK4" s="266" t="s">
        <v>58</v>
      </c>
      <c r="AL4" s="266" t="s">
        <v>59</v>
      </c>
      <c r="AM4" s="266" t="s">
        <v>60</v>
      </c>
      <c r="AN4" s="266" t="s">
        <v>61</v>
      </c>
      <c r="AO4" s="266" t="s">
        <v>62</v>
      </c>
      <c r="AP4" s="266" t="s">
        <v>63</v>
      </c>
      <c r="AQ4" s="266" t="s">
        <v>64</v>
      </c>
      <c r="AR4" s="266" t="s">
        <v>65</v>
      </c>
      <c r="AS4" s="266" t="s">
        <v>66</v>
      </c>
      <c r="AT4" s="266" t="s">
        <v>67</v>
      </c>
      <c r="AU4" s="266" t="s">
        <v>68</v>
      </c>
      <c r="AV4" s="266" t="s">
        <v>69</v>
      </c>
      <c r="AW4" s="266" t="s">
        <v>70</v>
      </c>
      <c r="AX4" s="266" t="s">
        <v>71</v>
      </c>
      <c r="AY4" s="266" t="s">
        <v>72</v>
      </c>
      <c r="AZ4" s="266" t="s">
        <v>73</v>
      </c>
      <c r="BA4" s="266" t="s">
        <v>74</v>
      </c>
      <c r="BB4" s="266" t="s">
        <v>75</v>
      </c>
      <c r="BC4" s="266" t="s">
        <v>76</v>
      </c>
      <c r="BD4" s="266" t="s">
        <v>77</v>
      </c>
      <c r="BE4" s="266" t="s">
        <v>78</v>
      </c>
      <c r="BF4" s="266" t="s">
        <v>79</v>
      </c>
      <c r="BG4" s="266" t="s">
        <v>88</v>
      </c>
      <c r="BH4" s="266" t="s">
        <v>89</v>
      </c>
      <c r="BI4" s="266" t="s">
        <v>90</v>
      </c>
      <c r="BJ4" s="266" t="s">
        <v>91</v>
      </c>
      <c r="BK4" s="266" t="s">
        <v>92</v>
      </c>
      <c r="BL4" s="266" t="s">
        <v>93</v>
      </c>
      <c r="BM4" s="266" t="s">
        <v>94</v>
      </c>
      <c r="BN4" s="266" t="s">
        <v>95</v>
      </c>
      <c r="BO4" s="266" t="s">
        <v>4732</v>
      </c>
      <c r="BP4" s="266" t="s">
        <v>4733</v>
      </c>
      <c r="BQ4" s="266" t="s">
        <v>4734</v>
      </c>
      <c r="BR4" s="266" t="s">
        <v>4735</v>
      </c>
      <c r="BS4" s="266" t="s">
        <v>4736</v>
      </c>
      <c r="BT4" s="266" t="s">
        <v>4737</v>
      </c>
      <c r="BU4" s="266" t="s">
        <v>4738</v>
      </c>
      <c r="BV4" s="266" t="s">
        <v>4739</v>
      </c>
      <c r="BW4" s="275" t="s">
        <v>96</v>
      </c>
      <c r="BX4" s="275" t="s">
        <v>97</v>
      </c>
      <c r="BY4" s="275" t="s">
        <v>98</v>
      </c>
      <c r="BZ4" s="275" t="s">
        <v>99</v>
      </c>
      <c r="CA4" s="275" t="s">
        <v>100</v>
      </c>
      <c r="CB4" s="275" t="s">
        <v>101</v>
      </c>
      <c r="CC4" s="275" t="s">
        <v>102</v>
      </c>
      <c r="CD4" s="275" t="s">
        <v>103</v>
      </c>
      <c r="CE4" s="191" t="s">
        <v>4740</v>
      </c>
      <c r="CF4" s="191" t="s">
        <v>4741</v>
      </c>
      <c r="CG4" s="294" t="s">
        <v>104</v>
      </c>
      <c r="CH4" s="294" t="s">
        <v>4761</v>
      </c>
      <c r="CI4" s="294" t="s">
        <v>4762</v>
      </c>
      <c r="CJ4" s="294" t="s">
        <v>4763</v>
      </c>
      <c r="CK4" s="281" t="s">
        <v>4742</v>
      </c>
      <c r="CL4" s="281" t="s">
        <v>4743</v>
      </c>
      <c r="CM4" s="281" t="s">
        <v>4744</v>
      </c>
      <c r="CN4" s="294" t="s">
        <v>4766</v>
      </c>
      <c r="CO4" s="294" t="s">
        <v>4764</v>
      </c>
      <c r="CP4" s="294" t="s">
        <v>4765</v>
      </c>
      <c r="CQ4" s="283" t="s">
        <v>4745</v>
      </c>
      <c r="CR4" s="283" t="s">
        <v>4746</v>
      </c>
      <c r="CS4" s="295" t="s">
        <v>4747</v>
      </c>
      <c r="CT4" s="298" t="s">
        <v>4767</v>
      </c>
      <c r="CU4" s="298" t="s">
        <v>4768</v>
      </c>
      <c r="CV4" s="298" t="s">
        <v>4769</v>
      </c>
      <c r="CW4" s="296" t="s">
        <v>105</v>
      </c>
      <c r="CX4" s="280" t="s">
        <v>106</v>
      </c>
      <c r="CY4" s="280" t="s">
        <v>107</v>
      </c>
      <c r="CZ4" s="280" t="s">
        <v>108</v>
      </c>
      <c r="DA4" s="280" t="s">
        <v>109</v>
      </c>
      <c r="DB4" s="291" t="s">
        <v>110</v>
      </c>
      <c r="DC4" s="280" t="s">
        <v>4755</v>
      </c>
      <c r="DD4" s="280" t="s">
        <v>4758</v>
      </c>
      <c r="DE4" s="280" t="s">
        <v>4756</v>
      </c>
      <c r="DF4" s="280" t="s">
        <v>4759</v>
      </c>
      <c r="DG4" s="280" t="s">
        <v>4757</v>
      </c>
      <c r="DH4" s="280" t="s">
        <v>4760</v>
      </c>
    </row>
    <row r="5" spans="1:112" ht="15" thickTop="1" thickBot="1">
      <c r="A5" s="38" t="s">
        <v>111</v>
      </c>
      <c r="B5" s="38" t="s">
        <v>112</v>
      </c>
      <c r="C5" s="38" t="s">
        <v>111</v>
      </c>
      <c r="D5" s="38" t="s">
        <v>113</v>
      </c>
      <c r="E5" s="38" t="str">
        <f>VLOOKUP(C5,PoliticalControl!A:K,11,FALSE)</f>
        <v>CON</v>
      </c>
      <c r="F5" s="38" t="str">
        <f>VLOOKUP(C5,UrbanRuralClassification!A:N,13,FALSE)</f>
        <v>Urban with City and Town</v>
      </c>
      <c r="G5" s="38" t="str">
        <f>VLOOKUP(C5,UrbanRuralClassification!A:N,14,FALSE)</f>
        <v>Predominantly Urban</v>
      </c>
      <c r="H5" s="258">
        <f>IF(ISBLANK((VLOOKUP($A5,'local-plan-data'!$C$1:$AD$566,27,FALSE)))=TRUE,"",VLOOKUP($A5,'local-plan-data'!$C$1:$AD$566,27,FALSE))</f>
        <v>43083</v>
      </c>
      <c r="I5" s="259">
        <f>VLOOKUP($A5,'local-plan-data'!$C$1:$AD$566,28,FALSE)</f>
        <v>177.04761904761904</v>
      </c>
      <c r="J5" s="260">
        <f>IFERROR(IF(ISNUMBER(I5),I5,VALUE(LEFT(I5,FIND("-",I5)-1))),"-")</f>
        <v>177.04761904761904</v>
      </c>
      <c r="K5" s="259">
        <f>IF(AND(ISNUMBER($H5),ISNUMBER($J5)),IF(($H5-K$1&gt;0),$J5,IF(DATEDIF($H5,K$1,"y")&lt;5,$J5,"-")),"-")</f>
        <v>177.04761904761904</v>
      </c>
      <c r="L5" s="259">
        <f t="shared" ref="L5:R20" si="0">IF(AND(ISNUMBER($H5),ISNUMBER($J5)),IF(($H5-L$1&gt;0),$J5,IF(DATEDIF($H5,L$1,"y")&lt;5,$J5,"-")),"-")</f>
        <v>177.04761904761904</v>
      </c>
      <c r="M5" s="259">
        <f t="shared" si="0"/>
        <v>177.04761904761904</v>
      </c>
      <c r="N5" s="259">
        <f t="shared" si="0"/>
        <v>177.04761904761904</v>
      </c>
      <c r="O5" s="259">
        <f t="shared" si="0"/>
        <v>177.04761904761904</v>
      </c>
      <c r="P5" s="259" t="str">
        <f t="shared" si="0"/>
        <v>-</v>
      </c>
      <c r="Q5" s="259" t="str">
        <f t="shared" si="0"/>
        <v>-</v>
      </c>
      <c r="R5" s="259" t="str">
        <f t="shared" si="0"/>
        <v>-</v>
      </c>
      <c r="S5" s="259">
        <f>IFERROR((EDATE($H5,60))-S$1,"-")</f>
        <v>1718</v>
      </c>
      <c r="T5" s="259">
        <f t="shared" ref="T5:Z20" si="1">IFERROR((EDATE($H5,60))-T$1,"-")</f>
        <v>1353</v>
      </c>
      <c r="U5" s="259">
        <f t="shared" si="1"/>
        <v>987</v>
      </c>
      <c r="V5" s="259">
        <f>IFERROR((EDATE($H5,60))-V$1,"-")</f>
        <v>622</v>
      </c>
      <c r="W5" s="259">
        <f t="shared" si="1"/>
        <v>257</v>
      </c>
      <c r="X5" s="259">
        <f t="shared" si="1"/>
        <v>-108</v>
      </c>
      <c r="Y5" s="259">
        <f t="shared" si="1"/>
        <v>-474</v>
      </c>
      <c r="Z5" s="259">
        <f t="shared" si="1"/>
        <v>-839</v>
      </c>
      <c r="AA5" s="267">
        <f>(VLOOKUP(A5,Hshldprojections2014!$A$2:$AW$319,40, FALSE)-VLOOKUP(A5,Hshldprojections2014!$A$2:$AW$319,30, FALSE))/10</f>
        <v>305.5</v>
      </c>
      <c r="AB5" s="267">
        <f>(VLOOKUP(A5,Hshldprojections2014!$A$2:$AW$319,41, FALSE)-VLOOKUP(A5,Hshldprojections2014!$A$2:$AW$319,31, FALSE))/10</f>
        <v>308.8</v>
      </c>
      <c r="AC5" s="267">
        <f>(VLOOKUP(A5,Hshldprojections2014!$A$2:$AW$319,42, FALSE)-VLOOKUP(A5,Hshldprojections2014!$A$2:$AW$319,32, FALSE))/10</f>
        <v>312.5</v>
      </c>
      <c r="AD5" s="267">
        <f>IF(IndividualLATest!$J$7=2014,(VLOOKUP($A5,Hshldprojections2014!$A$2:$AY$326,43,FALSE)-VLOOKUP($A5,Hshldprojections2014!$A$2:$AY$326,33,FALSE))/10,IF(IndividualLATest!$J$7=2016,(VLOOKUP($A5,Hshldprojections2016!$A$1:$AQ$322,33,FALSE)-VLOOKUP($A5,Hshldprojections2016!$A$1:$AQ$322,23,FALSE))/10,(VLOOKUP($A5,Hshldprojections2018!$A$1:$AQ$327,33,FALSE)-VLOOKUP($A5,Hshldprojections2018!$A$1:$AQ$327,23,FALSE))/10))</f>
        <v>155.19999999999999</v>
      </c>
      <c r="AE5" s="267">
        <f>IF(IndividualLATest!$J$7=2014,(VLOOKUP($A5,Hshldprojections2014!$A$2:$AY$326,44,FALSE)-VLOOKUP($A5,Hshldprojections2014!$A$2:$AY$326,34,FALSE))/10,IF(IndividualLATest!$J$7=2016,(VLOOKUP($A5,Hshldprojections2016!$A$1:$AQ$322,34,FALSE)-VLOOKUP($A5,Hshldprojections2016!$A$1:$AQ$322,24,FALSE))/10,(VLOOKUP($A5,Hshldprojections2018!$A$1:$AQ$327,34,FALSE)-VLOOKUP($A5,Hshldprojections2018!$A$1:$AQ$327,24,FALSE))/10))</f>
        <v>154.6</v>
      </c>
      <c r="AF5" s="267">
        <f>IF(IndividualLATest!$J$7=2014,(VLOOKUP($A5,Hshldprojections2014!$A$2:$AY$326,45,FALSE)-VLOOKUP($A5,Hshldprojections2014!$A$2:$AY$326,35,FALSE))/10,IF(IndividualLATest!$J$7=2016,(VLOOKUP($A5,Hshldprojections2016!$A$1:$AQ$322,35,FALSE)-VLOOKUP($A5,Hshldprojections2016!$A$1:$AQ$322,25,FALSE))/10,(VLOOKUP($A5,Hshldprojections2018!$A$1:$AQ$327,35,FALSE)-VLOOKUP($A5,Hshldprojections2018!$A$1:$AQ$327,25,FALSE))/10))</f>
        <v>153.30000000000001</v>
      </c>
      <c r="AG5" s="267">
        <f>IF(IndividualLATest!$J$7=2014,(VLOOKUP($A5,Hshldprojections2014!$A$2:$AY$326,46,FALSE)-VLOOKUP($A5,Hshldprojections2014!$A$2:$AY$326,36,FALSE))/10,IF(IndividualLATest!$J$7=2016,(VLOOKUP($A5,Hshldprojections2016!$A$1:$AQ$322,36,FALSE)-VLOOKUP($A5,Hshldprojections2016!$A$1:$AQ$322,26,FALSE))/10,(VLOOKUP($A5,Hshldprojections2018!$A$1:$AQ$327,36,FALSE)-VLOOKUP($A5,Hshldprojections2018!$A$1:$AQ$327,26,FALSE))/10))</f>
        <v>151.80000000000001</v>
      </c>
      <c r="AH5" s="267">
        <f>IF(IndividualLATest!$J$7=2014,(VLOOKUP($A5,Hshldprojections2014!$A$2:$AY$326,47,FALSE)-VLOOKUP($A5,Hshldprojections2014!$A$2:$AY$326,37,FALSE))/10,IF(IndividualLATest!$J$7=2016,(VLOOKUP($A5,Hshldprojections2016!$A$1:$AQ$322,37,FALSE)-VLOOKUP($A5,Hshldprojections2016!$A$1:$AQ$322,27,FALSE))/10,(VLOOKUP($A5,Hshldprojections2018!$A$1:$AQ$327,37,FALSE)-VLOOKUP($A5,Hshldprojections2018!$A$1:$AQ$327,27,FALSE))/10))</f>
        <v>152.19999999999999</v>
      </c>
      <c r="AI5" s="268">
        <f>IF(ISNUMBER('Sensitivity Tests'!$C$30),'Sensitivity Tests'!$C$30,VLOOKUP($A5,AffordabilityRatio!$A$2:$I$321,5,FALSE))</f>
        <v>11.59</v>
      </c>
      <c r="AJ5" s="268">
        <f>IF(ISNUMBER('Sensitivity Tests'!$C$30),'Sensitivity Tests'!$C$30,VLOOKUP($A5,AffordabilityRatio!$A$2:$I$321,6,FALSE))</f>
        <v>11.81</v>
      </c>
      <c r="AK5" s="268">
        <f>IF(ISNUMBER('Sensitivity Tests'!$C$30),'Sensitivity Tests'!$C$30,VLOOKUP($A5,AffordabilityRatio!$A$2:$I$321,7,FALSE))</f>
        <v>11.49</v>
      </c>
      <c r="AL5" s="268">
        <f>IF(ISNUMBER('Sensitivity Tests'!$C$30),'Sensitivity Tests'!$C$30,IF((VLOOKUP($A5,AffordabilityRatio!$A$2:$I$321,8,FALSE))="",AK5,VLOOKUP($A5,AffordabilityRatio!$A$2:$I$321,8,FALSE)))</f>
        <v>11.52</v>
      </c>
      <c r="AM5" s="268">
        <f>IF(ISNUMBER('Sensitivity Tests'!$C$30),'Sensitivity Tests'!$C$30,IF((VLOOKUP($A5,AffordabilityRatio!$A$2:$I$321,9,FALSE))="",AL5,VLOOKUP($A5,AffordabilityRatio!$A$2:$I$321,9,FALSE)))</f>
        <v>13.41</v>
      </c>
      <c r="AN5" s="268">
        <f>IF(ISNUMBER('Sensitivity Tests'!$C$30),'Sensitivity Tests'!$C$30,IF((VLOOKUP($A5,AffordabilityRatio!$A$2:$I$321,9,FALSE))="",AM5,VLOOKUP($A5,AffordabilityRatio!$A$2:$I$321,9,FALSE)))</f>
        <v>13.41</v>
      </c>
      <c r="AO5" s="268">
        <f>IF(ISNUMBER('Sensitivity Tests'!$C$30),'Sensitivity Tests'!$C$30,IF((VLOOKUP($A5,AffordabilityRatio!$A$2:$I$321,9,FALSE))="",AN5,VLOOKUP($A5,AffordabilityRatio!$A$2:$I$321,9,FALSE)))</f>
        <v>13.41</v>
      </c>
      <c r="AP5" s="268">
        <f>IF(ISNUMBER('Sensitivity Tests'!$C$30),'Sensitivity Tests'!$C$30,IF((VLOOKUP($A5,AffordabilityRatio!$A$2:$I$321,9,FALSE))="",AO5,VLOOKUP($A5,AffordabilityRatio!$A$2:$I$321,9,FALSE)))</f>
        <v>13.41</v>
      </c>
      <c r="AQ5" s="267">
        <f>IF(AA5&lt;0,0,IF(AI5&gt;4,ROUND((1+((AI5-4)/4*0.25))*AA5,0),AA5))</f>
        <v>450</v>
      </c>
      <c r="AR5" s="267">
        <f t="shared" ref="AR5:AX20" si="2">IF(AB5&lt;0,0,IF(AJ5&gt;4,ROUND((1+((AJ5-4)/4*0.25))*AB5,0),AB5))</f>
        <v>460</v>
      </c>
      <c r="AS5" s="267">
        <f t="shared" si="2"/>
        <v>459</v>
      </c>
      <c r="AT5" s="267">
        <f t="shared" si="2"/>
        <v>228</v>
      </c>
      <c r="AU5" s="267">
        <f t="shared" si="2"/>
        <v>246</v>
      </c>
      <c r="AV5" s="267">
        <f t="shared" si="2"/>
        <v>243</v>
      </c>
      <c r="AW5" s="267">
        <f t="shared" si="2"/>
        <v>241</v>
      </c>
      <c r="AX5" s="267">
        <f t="shared" si="2"/>
        <v>242</v>
      </c>
      <c r="AY5" s="267">
        <f>IF(AA5&lt;0,0,IF(K5="-",MIN((MAX(J5, AA5)+((MAX(J5, AA5))*0.4)),AQ5),MIN(K5+(K5*0.4),AQ5)))</f>
        <v>247.86666666666667</v>
      </c>
      <c r="AZ5" s="267">
        <f>IF(AB5&lt;0,0,IF(L5="-",MIN((MAX(J5, AB5)+((MAX(J5, AB5))*0.4)),AR5),MIN(L5+(L5*0.4),AR5)))</f>
        <v>247.86666666666667</v>
      </c>
      <c r="BA5" s="267">
        <f>IF(AC5&lt;0,0,IF(M5="-",MIN((MAX(J5, AC5)+((MAX(J5, AC5))*0.4)),AS5),MIN(M5+(M5*0.4),AS5)))</f>
        <v>247.86666666666667</v>
      </c>
      <c r="BB5" s="267">
        <f>IF(AD5&lt;0,0,IF(N5="-",MIN((MAX(J5, AD5)+((MAX(J5, AD5))*0.4)),AT5),MIN(N5+(N5*0.4),AT5)))</f>
        <v>228</v>
      </c>
      <c r="BC5" s="267">
        <f>IF(AE5&lt;0,0,IF(O5="-",MIN((MAX(J5, AE5)+((MAX(J5, AE5))*0.4)),AU5),MIN(O5+(O5*0.4),AU5)))</f>
        <v>246</v>
      </c>
      <c r="BD5" s="267">
        <f>IF(AF5&lt;0,0,IF(P5="-",MIN((MAX(J5, AF5)+((MAX(J5, AF5))*0.4)),AV5),MIN(P5+(P5*0.4),AV5)))</f>
        <v>243</v>
      </c>
      <c r="BE5" s="267">
        <f>IF(AG5&lt;0,0,IF(Q5="-",MIN((MAX(J5, AG5)+((MAX(J5, AG5))*0.4)),AW5),MIN(Q5+(Q5*0.4),AW5)))</f>
        <v>241</v>
      </c>
      <c r="BF5" s="267">
        <f>IF(AH5&lt;0,0,IF(R5="-",MIN((MAX(J5, AH5)+((MAX(J5, AH5))*0.4)),AX5),MIN(R5+(R5*0.4),AX5)))</f>
        <v>242</v>
      </c>
      <c r="BG5" s="269">
        <f>AY5*VLOOKUP($B5,'Major Cities &amp; Towns'!$A$28:$B$345,2,FALSE)</f>
        <v>247.86666666666667</v>
      </c>
      <c r="BH5" s="269">
        <f>AZ5*VLOOKUP($B5,'Major Cities &amp; Towns'!$A$28:$B$345,2,FALSE)</f>
        <v>247.86666666666667</v>
      </c>
      <c r="BI5" s="269">
        <f>BA5*VLOOKUP($B5,'Major Cities &amp; Towns'!$A$28:$B$345,2,FALSE)</f>
        <v>247.86666666666667</v>
      </c>
      <c r="BJ5" s="269">
        <f>BB5*VLOOKUP($B5,'Major Cities &amp; Towns'!$A$28:$B$345,2,FALSE)</f>
        <v>228</v>
      </c>
      <c r="BK5" s="269">
        <f>BC5*VLOOKUP($B5,'Major Cities &amp; Towns'!$A$28:$B$345,2,FALSE)</f>
        <v>246</v>
      </c>
      <c r="BL5" s="269">
        <f>BD5*VLOOKUP($B5,'Major Cities &amp; Towns'!$A$28:$B$345,2,FALSE)</f>
        <v>243</v>
      </c>
      <c r="BM5" s="269">
        <f>BE5*VLOOKUP($B5,'Major Cities &amp; Towns'!$A$28:$B$345,2,FALSE)</f>
        <v>241</v>
      </c>
      <c r="BN5" s="269">
        <f>BF5*VLOOKUP($B5,'Major Cities &amp; Towns'!$A$28:$B$345,2,FALSE)</f>
        <v>242</v>
      </c>
      <c r="BO5" s="270">
        <f>IFERROR(IF(AND(S5&lt;365,S5&gt;0),SUM(((S5/365)*(MIN(K5,BG5)))+(((365-S5)/365)*AQ5)),(MIN(K5,AQ5))),AQ5)</f>
        <v>177.04761904761904</v>
      </c>
      <c r="BP5" s="270">
        <f t="shared" ref="BP5:BU5" si="3">IFERROR(IF(AND(T5&lt;365,T5&gt;0),SUM(((T5/365)*(MIN(L5,BH5)))+(((365-T5)/365)*AR5)),(MIN(L5,AR5))),AR5)</f>
        <v>177.04761904761904</v>
      </c>
      <c r="BQ5" s="270">
        <f t="shared" si="3"/>
        <v>177.04761904761904</v>
      </c>
      <c r="BR5" s="270">
        <f>IFERROR(IF(AND(V5&lt;365,V5&gt;0),SUM(((V5/365)*(MIN(N5,BJ5)))+(((365-V5)/365)*AT5)),(MIN(N5,AT5))),AT5)</f>
        <v>177.04761904761904</v>
      </c>
      <c r="BS5" s="270">
        <f t="shared" si="3"/>
        <v>197.44996738421395</v>
      </c>
      <c r="BT5" s="270">
        <f t="shared" si="3"/>
        <v>243</v>
      </c>
      <c r="BU5" s="270">
        <f t="shared" si="3"/>
        <v>241</v>
      </c>
      <c r="BV5" s="270">
        <f>IFERROR(IF(AND(Z5&lt;365,Z5&gt;0),SUM(((Z5/365)*(MIN(R5,BN5)))+(((365-Z5)/365)*AX5)),(MIN(R5,AX5))),AX5)</f>
        <v>242</v>
      </c>
      <c r="BW5" s="39">
        <f>VLOOKUP($A5,NetAdditions!$A$2:$H$336,6,FALSE)</f>
        <v>113</v>
      </c>
      <c r="BX5" s="39">
        <f>VLOOKUP($A5,NetAdditions!$A$2:$H$336,7,FALSE)</f>
        <v>13</v>
      </c>
      <c r="BY5" s="39">
        <f>IF((VLOOKUP($C5,NetAdditions!$A$2:$H$336,8,FALSE))="",(AVERAGE(VLOOKUP($C5,NetAdditions!$A$2:$H$336,5,FALSE),VLOOKUP($C5,NetAdditions!$A$2:$H$336,6,FALSE),VLOOKUP($C5,NetAdditions!$A$2:$H$336,7,FALSE))),VLOOKUP($C5,NetAdditions!$A$2:$H$336,8,FALSE))</f>
        <v>209</v>
      </c>
      <c r="BZ5" s="39">
        <f>AVERAGE(BW5:BY5)</f>
        <v>111.66666666666667</v>
      </c>
      <c r="CA5" s="39">
        <f t="shared" ref="CA5:CD20" si="4">AVERAGE(BX5:BZ5)</f>
        <v>111.22222222222223</v>
      </c>
      <c r="CB5" s="39">
        <f t="shared" si="4"/>
        <v>143.96296296296296</v>
      </c>
      <c r="CC5" s="39">
        <f t="shared" si="4"/>
        <v>122.28395061728395</v>
      </c>
      <c r="CD5" s="39">
        <f>AVERAGE(CA5:CC5)</f>
        <v>125.82304526748972</v>
      </c>
      <c r="CE5" s="276">
        <f t="shared" ref="CE5:CE68" si="5">SUM(BO5:BQ5)</f>
        <v>531.14285714285711</v>
      </c>
      <c r="CF5" s="276">
        <f t="shared" ref="CF5:CF68" si="6">SUM(BP5:BR5)</f>
        <v>531.14285714285711</v>
      </c>
      <c r="CG5" s="276">
        <f t="shared" ref="CG5:CG68" si="7">SUM(BQ5:BS5)</f>
        <v>551.54520547945208</v>
      </c>
      <c r="CH5" s="276">
        <f t="shared" ref="CH5:CH68" si="8">SUM(BR5:BT5)</f>
        <v>617.49758643183304</v>
      </c>
      <c r="CI5" s="276">
        <f t="shared" ref="CI5:CI68" si="9">SUM(BS5:BU5)</f>
        <v>681.44996738421401</v>
      </c>
      <c r="CJ5" s="276">
        <f t="shared" ref="CJ5:CJ68" si="10">SUM(BT5:BV5)</f>
        <v>726</v>
      </c>
      <c r="CK5" s="276">
        <f>CE5*((24+7)/36)</f>
        <v>457.37301587301585</v>
      </c>
      <c r="CL5" s="276">
        <f>CF5*((24+7)/36)</f>
        <v>457.37301587301585</v>
      </c>
      <c r="CM5" s="276">
        <f>CG5*((24+7)/36)</f>
        <v>474.9417047184171</v>
      </c>
      <c r="CN5" s="276">
        <f>CH5</f>
        <v>617.49758643183304</v>
      </c>
      <c r="CO5" s="276">
        <f>CI5</f>
        <v>681.44996738421401</v>
      </c>
      <c r="CP5" s="276">
        <f t="shared" ref="CP5:CP68" si="11">CJ5</f>
        <v>726</v>
      </c>
      <c r="CQ5" s="39">
        <f t="shared" ref="CQ5:CQ68" si="12">SUM(BW5:BY5)</f>
        <v>335</v>
      </c>
      <c r="CR5" s="39">
        <f t="shared" ref="CR5:CR68" si="13">SUM(BX5:BZ5)</f>
        <v>333.66666666666669</v>
      </c>
      <c r="CS5" s="39">
        <f t="shared" ref="CS5:CS68" si="14">SUM(BY5:CA5)</f>
        <v>431.88888888888891</v>
      </c>
      <c r="CT5" s="39">
        <f t="shared" ref="CT5:CT68" si="15">SUM(BZ5:CB5)</f>
        <v>366.85185185185185</v>
      </c>
      <c r="CU5" s="39">
        <f t="shared" ref="CU5:CU68" si="16">SUM(CA5:CC5)</f>
        <v>377.46913580246917</v>
      </c>
      <c r="CV5" s="39">
        <f t="shared" ref="CV5:CV68" si="17">SUM(CB5:CD5)</f>
        <v>392.06995884773659</v>
      </c>
      <c r="CW5" s="297">
        <f t="shared" ref="CW5:CW68" si="18">IFERROR(CQ5/CK5,"-")</f>
        <v>0.7324437349251246</v>
      </c>
      <c r="CX5" s="279" t="str">
        <f>IF(CW5&lt;0.25, "Presumption", IF(CW5&lt;0.85, "Buffer and Action Plan", IF(CW5&lt;0.95, "Action Plan", "Pass")))</f>
        <v>Buffer and Action Plan</v>
      </c>
      <c r="CY5" s="278">
        <f t="shared" ref="CY5:CY68" si="19">IFERROR(CR5/CL5,"-")</f>
        <v>0.729528535980149</v>
      </c>
      <c r="CZ5" s="279" t="str">
        <f>IF(CY5&lt;0.45, "Presumption", IF(CY5&lt;0.85, "Buffer and Action Plan", IF(CY5&lt;0.95, "Action Plan", "Pass")))</f>
        <v>Buffer and Action Plan</v>
      </c>
      <c r="DA5" s="278">
        <f t="shared" ref="DA5:DA68" si="20">IFERROR(CS5/CM5,"-")</f>
        <v>0.90935136796408877</v>
      </c>
      <c r="DB5" s="292" t="str">
        <f>IF(DA5&lt;0.75, "Presumption", IF(DA5&lt;0.85, "Buffer and Action Plan", IF(DA5&lt;0.95, "Action Plan", "Pass")))</f>
        <v>Action Plan</v>
      </c>
      <c r="DC5" s="299">
        <f>IFERROR(CT5/CN5,"-")</f>
        <v>0.59409438986098684</v>
      </c>
      <c r="DD5" s="293" t="str">
        <f>IF(DC5&lt;0.75, "Presumption", IF(DC5&lt;0.85, "Buffer and Action Plan", IF(DC5&lt;0.95, "Action Plan", "Pass")))</f>
        <v>Presumption</v>
      </c>
      <c r="DE5" s="299">
        <f>IFERROR(CU5/CO5,"-")</f>
        <v>0.55392054276766167</v>
      </c>
      <c r="DF5" s="293" t="str">
        <f>IF(DE5&lt;0.75, "Presumption", IF(DE5&lt;0.85, "Buffer and Action Plan", IF(DE5&lt;0.95, "Action Plan", "Pass")))</f>
        <v>Presumption</v>
      </c>
      <c r="DG5" s="299">
        <f>IFERROR(CV5/CP5,"-")</f>
        <v>0.54004126563049115</v>
      </c>
      <c r="DH5" s="293" t="str">
        <f>IF(DG5&lt;0.75, "Presumption", IF(DG5&lt;0.85, "Buffer and Action Plan", IF(DG5&lt;0.95, "Action Plan", "Pass")))</f>
        <v>Presumption</v>
      </c>
    </row>
    <row r="6" spans="1:112" ht="15" thickTop="1" thickBot="1">
      <c r="A6" s="38" t="s">
        <v>114</v>
      </c>
      <c r="B6" s="38" t="s">
        <v>115</v>
      </c>
      <c r="C6" s="38" t="s">
        <v>114</v>
      </c>
      <c r="D6" s="38" t="s">
        <v>116</v>
      </c>
      <c r="E6" s="38" t="str">
        <f>VLOOKUP(C6,PoliticalControl!A:K,11,FALSE)</f>
        <v>NOC</v>
      </c>
      <c r="F6" s="38" t="str">
        <f>VLOOKUP(C6,UrbanRuralClassification!A:N,13,FALSE)</f>
        <v xml:space="preserve">Mainly Rural (rural including hub towns &gt;=80%) </v>
      </c>
      <c r="G6" s="38" t="str">
        <f>VLOOKUP(C6,UrbanRuralClassification!A:N,14,FALSE)</f>
        <v>Predominantly Rural</v>
      </c>
      <c r="H6" s="258">
        <f>IF(ISBLANK((VLOOKUP($A6,'local-plan-data'!$C$1:$AD$566,27,FALSE)))=TRUE,"",VLOOKUP($A6,'local-plan-data'!$C$1:$AD$566,27,FALSE))</f>
        <v>41836</v>
      </c>
      <c r="I6" s="259">
        <f>VLOOKUP($A6,'local-plan-data'!$C$1:$AD$566,28,FALSE)</f>
        <v>304</v>
      </c>
      <c r="J6" s="260">
        <f t="shared" ref="J6:J69" si="21">IFERROR(IF(ISNUMBER(I6),I6,VALUE(LEFT(I6,FIND("-",I6)-1))),"-")</f>
        <v>304</v>
      </c>
      <c r="K6" s="259">
        <f t="shared" ref="K6:R50" si="22">IF(AND(ISNUMBER($H6),ISNUMBER($J6)),IF(($H6-K$1&gt;0),$J6,IF(DATEDIF($H6,K$1,"y")&lt;5,$J6,"-")),"-")</f>
        <v>304</v>
      </c>
      <c r="L6" s="259">
        <f t="shared" si="0"/>
        <v>304</v>
      </c>
      <c r="M6" s="259" t="str">
        <f t="shared" si="0"/>
        <v>-</v>
      </c>
      <c r="N6" s="259" t="str">
        <f t="shared" si="0"/>
        <v>-</v>
      </c>
      <c r="O6" s="259" t="str">
        <f t="shared" si="0"/>
        <v>-</v>
      </c>
      <c r="P6" s="259" t="str">
        <f t="shared" si="0"/>
        <v>-</v>
      </c>
      <c r="Q6" s="259" t="str">
        <f t="shared" si="0"/>
        <v>-</v>
      </c>
      <c r="R6" s="259" t="str">
        <f t="shared" si="0"/>
        <v>-</v>
      </c>
      <c r="S6" s="259">
        <f t="shared" ref="S6:Z50" si="23">IFERROR((EDATE($H6,60))-S$1,"-")</f>
        <v>471</v>
      </c>
      <c r="T6" s="259">
        <f t="shared" si="1"/>
        <v>106</v>
      </c>
      <c r="U6" s="259">
        <f t="shared" si="1"/>
        <v>-260</v>
      </c>
      <c r="V6" s="259">
        <f t="shared" si="1"/>
        <v>-625</v>
      </c>
      <c r="W6" s="259">
        <f t="shared" si="1"/>
        <v>-990</v>
      </c>
      <c r="X6" s="259">
        <f t="shared" si="1"/>
        <v>-1355</v>
      </c>
      <c r="Y6" s="259">
        <f t="shared" si="1"/>
        <v>-1721</v>
      </c>
      <c r="Z6" s="259">
        <f t="shared" si="1"/>
        <v>-2086</v>
      </c>
      <c r="AA6" s="267">
        <f>(VLOOKUP(A6,Hshldprojections2014!$A$2:$AW$319,40, FALSE)-VLOOKUP(A6,Hshldprojections2014!$A$2:$AW$319,30, FALSE))/10</f>
        <v>102.5</v>
      </c>
      <c r="AB6" s="267">
        <f>(VLOOKUP(A6,Hshldprojections2014!$A$2:$AW$319,41, FALSE)-VLOOKUP(A6,Hshldprojections2014!$A$2:$AW$319,31, FALSE))/10</f>
        <v>95.3</v>
      </c>
      <c r="AC6" s="267">
        <f>(VLOOKUP(A6,Hshldprojections2014!$A$2:$AW$319,42, FALSE)-VLOOKUP(A6,Hshldprojections2014!$A$2:$AW$319,32, FALSE))/10</f>
        <v>90.7</v>
      </c>
      <c r="AD6" s="267">
        <f>IF(IndividualLATest!$J$7=2014,(VLOOKUP($A6,Hshldprojections2014!$A$2:$AY$326,43,FALSE)-VLOOKUP($A6,Hshldprojections2014!$A$2:$AY$326,33,FALSE))/10,IF(IndividualLATest!$J$7=2016,(VLOOKUP($A6,Hshldprojections2016!$A$1:$AQ$322,33,FALSE)-VLOOKUP($A6,Hshldprojections2016!$A$1:$AQ$322,23,FALSE))/10,(VLOOKUP($A6,Hshldprojections2018!$A$1:$AQ$327,33,FALSE)-VLOOKUP($A6,Hshldprojections2018!$A$1:$AQ$327,23,FALSE))/10))</f>
        <v>110.8</v>
      </c>
      <c r="AE6" s="267">
        <f>IF(IndividualLATest!$J$7=2014,(VLOOKUP($A6,Hshldprojections2014!$A$2:$AY$326,44,FALSE)-VLOOKUP($A6,Hshldprojections2014!$A$2:$AY$326,34,FALSE))/10,IF(IndividualLATest!$J$7=2016,(VLOOKUP($A6,Hshldprojections2016!$A$1:$AQ$322,34,FALSE)-VLOOKUP($A6,Hshldprojections2016!$A$1:$AQ$322,24,FALSE))/10,(VLOOKUP($A6,Hshldprojections2018!$A$1:$AQ$327,34,FALSE)-VLOOKUP($A6,Hshldprojections2018!$A$1:$AQ$327,24,FALSE))/10))</f>
        <v>100.8</v>
      </c>
      <c r="AF6" s="267">
        <f>IF(IndividualLATest!$J$7=2014,(VLOOKUP($A6,Hshldprojections2014!$A$2:$AY$326,45,FALSE)-VLOOKUP($A6,Hshldprojections2014!$A$2:$AY$326,35,FALSE))/10,IF(IndividualLATest!$J$7=2016,(VLOOKUP($A6,Hshldprojections2016!$A$1:$AQ$322,35,FALSE)-VLOOKUP($A6,Hshldprojections2016!$A$1:$AQ$322,25,FALSE))/10,(VLOOKUP($A6,Hshldprojections2018!$A$1:$AQ$327,35,FALSE)-VLOOKUP($A6,Hshldprojections2018!$A$1:$AQ$327,25,FALSE))/10))</f>
        <v>94.1</v>
      </c>
      <c r="AG6" s="267">
        <f>IF(IndividualLATest!$J$7=2014,(VLOOKUP($A6,Hshldprojections2014!$A$2:$AY$326,46,FALSE)-VLOOKUP($A6,Hshldprojections2014!$A$2:$AY$326,36,FALSE))/10,IF(IndividualLATest!$J$7=2016,(VLOOKUP($A6,Hshldprojections2016!$A$1:$AQ$322,36,FALSE)-VLOOKUP($A6,Hshldprojections2016!$A$1:$AQ$322,26,FALSE))/10,(VLOOKUP($A6,Hshldprojections2018!$A$1:$AQ$327,36,FALSE)-VLOOKUP($A6,Hshldprojections2018!$A$1:$AQ$327,26,FALSE))/10))</f>
        <v>89.8</v>
      </c>
      <c r="AH6" s="267">
        <f>IF(IndividualLATest!$J$7=2014,(VLOOKUP($A6,Hshldprojections2014!$A$2:$AY$326,47,FALSE)-VLOOKUP($A6,Hshldprojections2014!$A$2:$AY$326,37,FALSE))/10,IF(IndividualLATest!$J$7=2016,(VLOOKUP($A6,Hshldprojections2016!$A$1:$AQ$322,37,FALSE)-VLOOKUP($A6,Hshldprojections2016!$A$1:$AQ$322,27,FALSE))/10,(VLOOKUP($A6,Hshldprojections2018!$A$1:$AQ$327,37,FALSE)-VLOOKUP($A6,Hshldprojections2018!$A$1:$AQ$327,27,FALSE))/10))</f>
        <v>87.7</v>
      </c>
      <c r="AI6" s="268">
        <f>IF(ISNUMBER('Sensitivity Tests'!$C$30),'Sensitivity Tests'!$C$30,VLOOKUP($A6,AffordabilityRatio!$A$2:$I$321,5,FALSE))</f>
        <v>6.47</v>
      </c>
      <c r="AJ6" s="268">
        <f>IF(ISNUMBER('Sensitivity Tests'!$C$30),'Sensitivity Tests'!$C$30,VLOOKUP($A6,AffordabilityRatio!$A$2:$I$321,6,FALSE))</f>
        <v>6.65</v>
      </c>
      <c r="AK6" s="268">
        <f>IF(ISNUMBER('Sensitivity Tests'!$C$30),'Sensitivity Tests'!$C$30,VLOOKUP($A6,AffordabilityRatio!$A$2:$I$321,7,FALSE))</f>
        <v>6.69</v>
      </c>
      <c r="AL6" s="268">
        <f>IF(ISNUMBER('Sensitivity Tests'!$C$30),'Sensitivity Tests'!$C$30,IF((VLOOKUP($A6,AffordabilityRatio!$A$2:$I$321,8,FALSE))="",AK6,VLOOKUP($A6,AffordabilityRatio!$A$2:$I$321,8,FALSE)))</f>
        <v>6.09</v>
      </c>
      <c r="AM6" s="268">
        <f>IF(ISNUMBER('Sensitivity Tests'!$C$30),'Sensitivity Tests'!$C$30,IF((VLOOKUP($A6,AffordabilityRatio!$A$2:$I$321,9,FALSE))="",AL6,VLOOKUP($A6,AffordabilityRatio!$A$2:$I$321,9,FALSE)))</f>
        <v>6.6</v>
      </c>
      <c r="AN6" s="268">
        <f>IF(ISNUMBER('Sensitivity Tests'!$C$30),'Sensitivity Tests'!$C$30,IF((VLOOKUP($A6,AffordabilityRatio!$A$2:$I$321,9,FALSE))="",AM6,VLOOKUP($A6,AffordabilityRatio!$A$2:$I$321,9,FALSE)))</f>
        <v>6.6</v>
      </c>
      <c r="AO6" s="268">
        <f>IF(ISNUMBER('Sensitivity Tests'!$C$30),'Sensitivity Tests'!$C$30,IF((VLOOKUP($A6,AffordabilityRatio!$A$2:$I$321,9,FALSE))="",AN6,VLOOKUP($A6,AffordabilityRatio!$A$2:$I$321,9,FALSE)))</f>
        <v>6.6</v>
      </c>
      <c r="AP6" s="268">
        <f>IF(ISNUMBER('Sensitivity Tests'!$C$30),'Sensitivity Tests'!$C$30,IF((VLOOKUP($A6,AffordabilityRatio!$A$2:$I$321,9,FALSE))="",AO6,VLOOKUP($A6,AffordabilityRatio!$A$2:$I$321,9,FALSE)))</f>
        <v>6.6</v>
      </c>
      <c r="AQ6" s="267">
        <f t="shared" ref="AQ6:AX50" si="24">IF(AA6&lt;0,0,IF(AI6&gt;4,ROUND((1+((AI6-4)/4*0.25))*AA6,0),AA6))</f>
        <v>118</v>
      </c>
      <c r="AR6" s="267">
        <f t="shared" si="2"/>
        <v>111</v>
      </c>
      <c r="AS6" s="267">
        <f t="shared" si="2"/>
        <v>106</v>
      </c>
      <c r="AT6" s="267">
        <f t="shared" si="2"/>
        <v>125</v>
      </c>
      <c r="AU6" s="267">
        <f t="shared" si="2"/>
        <v>117</v>
      </c>
      <c r="AV6" s="267">
        <f t="shared" si="2"/>
        <v>109</v>
      </c>
      <c r="AW6" s="267">
        <f t="shared" si="2"/>
        <v>104</v>
      </c>
      <c r="AX6" s="267">
        <f t="shared" si="2"/>
        <v>102</v>
      </c>
      <c r="AY6" s="267">
        <f t="shared" ref="AY6:AY69" si="25">IF(AA6&lt;0,0,IF(K6="-",MIN((MAX(J6, AA6)+((MAX(J6, AA6))*0.4)),AQ6),MIN(K6+(K6*0.4),AQ6)))</f>
        <v>118</v>
      </c>
      <c r="AZ6" s="267">
        <f t="shared" ref="AZ6:AZ69" si="26">IF(AB6&lt;0,0,IF(L6="-",MIN((MAX(J6, AB6)+((MAX(J6, AB6))*0.4)),AR6),MIN(L6+(L6*0.4),AR6)))</f>
        <v>111</v>
      </c>
      <c r="BA6" s="267">
        <f t="shared" ref="BA6:BA69" si="27">IF(AC6&lt;0,0,IF(M6="-",MIN((MAX(J6, AC6)+((MAX(J6, AC6))*0.4)),AS6),MIN(M6+(M6*0.4),AS6)))</f>
        <v>106</v>
      </c>
      <c r="BB6" s="267">
        <f t="shared" ref="BB6:BB69" si="28">IF(AD6&lt;0,0,IF(N6="-",MIN((MAX(J6, AD6)+((MAX(J6, AD6))*0.4)),AT6),MIN(N6+(N6*0.4),AT6)))</f>
        <v>125</v>
      </c>
      <c r="BC6" s="267">
        <f t="shared" ref="BC6:BC69" si="29">IF(AE6&lt;0,0,IF(O6="-",MIN((MAX(J6, AE6)+((MAX(J6, AE6))*0.4)),AU6),MIN(O6+(O6*0.4),AU6)))</f>
        <v>117</v>
      </c>
      <c r="BD6" s="267">
        <f t="shared" ref="BD6:BD69" si="30">IF(AF6&lt;0,0,IF(P6="-",MIN((MAX(J6, AF6)+((MAX(J6, AF6))*0.4)),AV6),MIN(P6+(P6*0.4),AV6)))</f>
        <v>109</v>
      </c>
      <c r="BE6" s="267">
        <f t="shared" ref="BE6:BE69" si="31">IF(AG6&lt;0,0,IF(Q6="-",MIN((MAX(J6, AG6)+((MAX(J6, AG6))*0.4)),AW6),MIN(Q6+(Q6*0.4),AW6)))</f>
        <v>104</v>
      </c>
      <c r="BF6" s="267">
        <f t="shared" ref="BF6:BF69" si="32">IF(AH6&lt;0,0,IF(R6="-",MIN((MAX(J6, AH6)+((MAX(J6, AH6))*0.4)),AX6),MIN(R6+(R6*0.4),AX6)))</f>
        <v>102</v>
      </c>
      <c r="BG6" s="269">
        <f>AY6*VLOOKUP($B6,'Major Cities &amp; Towns'!$A$28:$B$345,2,FALSE)</f>
        <v>118</v>
      </c>
      <c r="BH6" s="269">
        <f>AZ6*VLOOKUP($B6,'Major Cities &amp; Towns'!$A$28:$B$345,2,FALSE)</f>
        <v>111</v>
      </c>
      <c r="BI6" s="269">
        <f>BA6*VLOOKUP($B6,'Major Cities &amp; Towns'!$A$28:$B$345,2,FALSE)</f>
        <v>106</v>
      </c>
      <c r="BJ6" s="269">
        <f>BB6*VLOOKUP($B6,'Major Cities &amp; Towns'!$A$28:$B$345,2,FALSE)</f>
        <v>125</v>
      </c>
      <c r="BK6" s="269">
        <f>BC6*VLOOKUP($B6,'Major Cities &amp; Towns'!$A$28:$B$345,2,FALSE)</f>
        <v>117</v>
      </c>
      <c r="BL6" s="269">
        <f>BD6*VLOOKUP($B6,'Major Cities &amp; Towns'!$A$28:$B$345,2,FALSE)</f>
        <v>109</v>
      </c>
      <c r="BM6" s="269">
        <f>BE6*VLOOKUP($B6,'Major Cities &amp; Towns'!$A$28:$B$345,2,FALSE)</f>
        <v>104</v>
      </c>
      <c r="BN6" s="269">
        <f>BF6*VLOOKUP($B6,'Major Cities &amp; Towns'!$A$28:$B$345,2,FALSE)</f>
        <v>102</v>
      </c>
      <c r="BO6" s="270">
        <f t="shared" ref="BO6:BO69" si="33">IFERROR(IF(AND(S6&lt;365,S6&gt;0),SUM(((S6/365)*(MIN(K6,BG6)))+(((365-S6)/365)*AQ6)),(MIN(K6,AQ6))),AQ6)</f>
        <v>118</v>
      </c>
      <c r="BP6" s="270">
        <f t="shared" ref="BP6:BV42" si="34">IFERROR(IF(AND(T6&lt;365,T6&gt;0),SUM(((T6/365)*(MIN(L6,BH6)))+(((365-T6)/365)*AR6)),(MIN(L6,AR6))),AR6)</f>
        <v>111</v>
      </c>
      <c r="BQ6" s="270">
        <f t="shared" si="34"/>
        <v>106</v>
      </c>
      <c r="BR6" s="270">
        <f t="shared" si="34"/>
        <v>125</v>
      </c>
      <c r="BS6" s="270">
        <f t="shared" si="34"/>
        <v>117</v>
      </c>
      <c r="BT6" s="270">
        <f t="shared" si="34"/>
        <v>109</v>
      </c>
      <c r="BU6" s="270">
        <f t="shared" si="34"/>
        <v>104</v>
      </c>
      <c r="BV6" s="270">
        <f t="shared" si="34"/>
        <v>102</v>
      </c>
      <c r="BW6" s="39">
        <f>VLOOKUP($A6,NetAdditions!$A$2:$H$336,6,FALSE)</f>
        <v>337</v>
      </c>
      <c r="BX6" s="39">
        <f>VLOOKUP($A6,NetAdditions!$A$2:$H$336,7,FALSE)</f>
        <v>256</v>
      </c>
      <c r="BY6" s="39">
        <f>IF((VLOOKUP($C6,NetAdditions!$A$2:$H$336,8,FALSE))="",(AVERAGE(VLOOKUP($C6,NetAdditions!$A$2:$H$336,5,FALSE),VLOOKUP($C6,NetAdditions!$A$2:$H$336,6,FALSE),VLOOKUP($C6,NetAdditions!$A$2:$H$336,7,FALSE))),VLOOKUP($C6,NetAdditions!$A$2:$H$336,8,FALSE))</f>
        <v>300</v>
      </c>
      <c r="BZ6" s="39">
        <f t="shared" ref="BZ6:CD68" si="35">AVERAGE(BW6:BY6)</f>
        <v>297.66666666666669</v>
      </c>
      <c r="CA6" s="39">
        <f t="shared" si="4"/>
        <v>284.5555555555556</v>
      </c>
      <c r="CB6" s="39">
        <f t="shared" si="4"/>
        <v>294.07407407407413</v>
      </c>
      <c r="CC6" s="39">
        <f t="shared" si="4"/>
        <v>292.09876543209879</v>
      </c>
      <c r="CD6" s="39">
        <f t="shared" si="4"/>
        <v>290.24279835390956</v>
      </c>
      <c r="CE6" s="276">
        <f t="shared" si="5"/>
        <v>335</v>
      </c>
      <c r="CF6" s="276">
        <f t="shared" si="6"/>
        <v>342</v>
      </c>
      <c r="CG6" s="276">
        <f t="shared" si="7"/>
        <v>348</v>
      </c>
      <c r="CH6" s="276">
        <f t="shared" si="8"/>
        <v>351</v>
      </c>
      <c r="CI6" s="276">
        <f t="shared" si="9"/>
        <v>330</v>
      </c>
      <c r="CJ6" s="276">
        <f t="shared" si="10"/>
        <v>315</v>
      </c>
      <c r="CK6" s="276">
        <f t="shared" ref="CK6:CK69" si="36">CE6*((24+7)/36)</f>
        <v>288.47222222222223</v>
      </c>
      <c r="CL6" s="276">
        <f t="shared" ref="CL6:CL69" si="37">CF6*((24+7)/36)</f>
        <v>294.5</v>
      </c>
      <c r="CM6" s="276">
        <f t="shared" ref="CM6:CM69" si="38">CG6*((24+9)/36)</f>
        <v>319</v>
      </c>
      <c r="CN6" s="276">
        <f t="shared" ref="CN6:CP69" si="39">CH6</f>
        <v>351</v>
      </c>
      <c r="CO6" s="276">
        <f t="shared" si="39"/>
        <v>330</v>
      </c>
      <c r="CP6" s="276">
        <f t="shared" si="11"/>
        <v>315</v>
      </c>
      <c r="CQ6" s="39">
        <f t="shared" si="12"/>
        <v>893</v>
      </c>
      <c r="CR6" s="39">
        <f t="shared" si="13"/>
        <v>853.66666666666674</v>
      </c>
      <c r="CS6" s="277">
        <f t="shared" si="14"/>
        <v>882.2222222222224</v>
      </c>
      <c r="CT6" s="39">
        <f t="shared" si="15"/>
        <v>876.29629629629642</v>
      </c>
      <c r="CU6" s="39">
        <f t="shared" si="16"/>
        <v>870.72839506172863</v>
      </c>
      <c r="CV6" s="39">
        <f t="shared" si="17"/>
        <v>876.4156378600826</v>
      </c>
      <c r="CW6" s="297">
        <f t="shared" si="18"/>
        <v>3.0956186807896002</v>
      </c>
      <c r="CX6" s="279" t="str">
        <f t="shared" ref="CX6:CX69" si="40">IF(CW6&lt;0.25, "Presumption", IF(CW6&lt;0.85, "Buffer and Action Plan", IF(CW6&lt;0.95, "Action Plan", "Pass")))</f>
        <v>Pass</v>
      </c>
      <c r="CY6" s="278">
        <f t="shared" si="19"/>
        <v>2.8986983588002264</v>
      </c>
      <c r="CZ6" s="279" t="str">
        <f t="shared" ref="CZ6:CZ69" si="41">IF(CY6&lt;0.45, "Presumption", IF(CY6&lt;0.85, "Buffer and Action Plan", IF(CY6&lt;0.95, "Action Plan", "Pass")))</f>
        <v>Pass</v>
      </c>
      <c r="DA6" s="278">
        <f t="shared" si="20"/>
        <v>2.7655869035179386</v>
      </c>
      <c r="DB6" s="292" t="str">
        <f t="shared" ref="DB6:DB69" si="42">IF(DA6&lt;0.75, "Presumption", IF(DA6&lt;0.85, "Buffer and Action Plan", IF(DA6&lt;0.95, "Action Plan", "Pass")))</f>
        <v>Pass</v>
      </c>
      <c r="DC6" s="299">
        <f t="shared" ref="DC6:DC69" si="43">IFERROR(CT6/CN6,"-")</f>
        <v>2.4965706447187932</v>
      </c>
      <c r="DD6" s="293" t="str">
        <f t="shared" ref="DD6:DD69" si="44">IF(DC6&lt;0.75, "Presumption", IF(DC6&lt;0.85, "Buffer and Action Plan", IF(DC6&lt;0.95, "Action Plan", "Pass")))</f>
        <v>Pass</v>
      </c>
      <c r="DE6" s="299">
        <f t="shared" ref="DE6:DE69" si="45">IFERROR(CU6/CO6,"-")</f>
        <v>2.6385708941264503</v>
      </c>
      <c r="DF6" s="293" t="str">
        <f t="shared" ref="DF6:DF69" si="46">IF(DE6&lt;0.75, "Presumption", IF(DE6&lt;0.85, "Buffer and Action Plan", IF(DE6&lt;0.95, "Action Plan", "Pass")))</f>
        <v>Pass</v>
      </c>
      <c r="DG6" s="299">
        <f t="shared" ref="DG6:DG69" si="47">IFERROR(CV6/CP6,"-")</f>
        <v>2.7822718662224846</v>
      </c>
      <c r="DH6" s="293" t="str">
        <f t="shared" ref="DH6:DH69" si="48">IF(DG6&lt;0.75, "Presumption", IF(DG6&lt;0.85, "Buffer and Action Plan", IF(DG6&lt;0.95, "Action Plan", "Pass")))</f>
        <v>Pass</v>
      </c>
    </row>
    <row r="7" spans="1:112" ht="15" thickTop="1" thickBot="1">
      <c r="A7" s="38" t="s">
        <v>117</v>
      </c>
      <c r="B7" s="38" t="s">
        <v>118</v>
      </c>
      <c r="C7" s="38" t="s">
        <v>117</v>
      </c>
      <c r="D7" s="38" t="s">
        <v>119</v>
      </c>
      <c r="E7" s="38" t="str">
        <f>VLOOKUP(C7,PoliticalControl!A:K,11,FALSE)</f>
        <v>CON</v>
      </c>
      <c r="F7" s="38" t="str">
        <f>VLOOKUP(C7,UrbanRuralClassification!A:N,13,FALSE)</f>
        <v>Urban with Minor Conurbation</v>
      </c>
      <c r="G7" s="38" t="str">
        <f>VLOOKUP(C7,UrbanRuralClassification!A:N,14,FALSE)</f>
        <v>Predominantly Urban</v>
      </c>
      <c r="H7" s="261" t="str">
        <f>IF(ISBLANK((VLOOKUP($A7,'local-plan-data'!$C$1:$AD$566,27,FALSE)))=TRUE,"",VLOOKUP($A7,'local-plan-data'!$C$1:$AD$566,27,FALSE))</f>
        <v/>
      </c>
      <c r="I7" s="259">
        <f>VLOOKUP($A7,'local-plan-data'!$C$1:$AD$566,28,FALSE)</f>
        <v>574.70588235294122</v>
      </c>
      <c r="J7" s="260">
        <f t="shared" si="21"/>
        <v>574.70588235294122</v>
      </c>
      <c r="K7" s="259" t="str">
        <f t="shared" si="22"/>
        <v>-</v>
      </c>
      <c r="L7" s="259" t="str">
        <f t="shared" si="0"/>
        <v>-</v>
      </c>
      <c r="M7" s="259" t="str">
        <f t="shared" si="0"/>
        <v>-</v>
      </c>
      <c r="N7" s="259" t="str">
        <f t="shared" si="0"/>
        <v>-</v>
      </c>
      <c r="O7" s="259" t="str">
        <f t="shared" si="0"/>
        <v>-</v>
      </c>
      <c r="P7" s="259" t="str">
        <f t="shared" si="0"/>
        <v>-</v>
      </c>
      <c r="Q7" s="259" t="str">
        <f t="shared" si="0"/>
        <v>-</v>
      </c>
      <c r="R7" s="259" t="str">
        <f t="shared" si="0"/>
        <v>-</v>
      </c>
      <c r="S7" s="259" t="str">
        <f t="shared" si="23"/>
        <v>-</v>
      </c>
      <c r="T7" s="259" t="str">
        <f t="shared" si="1"/>
        <v>-</v>
      </c>
      <c r="U7" s="259" t="str">
        <f t="shared" si="1"/>
        <v>-</v>
      </c>
      <c r="V7" s="259" t="str">
        <f t="shared" si="1"/>
        <v>-</v>
      </c>
      <c r="W7" s="259" t="str">
        <f t="shared" si="1"/>
        <v>-</v>
      </c>
      <c r="X7" s="259" t="str">
        <f t="shared" si="1"/>
        <v>-</v>
      </c>
      <c r="Y7" s="259" t="str">
        <f t="shared" si="1"/>
        <v>-</v>
      </c>
      <c r="Z7" s="259" t="str">
        <f t="shared" si="1"/>
        <v>-</v>
      </c>
      <c r="AA7" s="267">
        <f>(VLOOKUP(A7,Hshldprojections2014!$A$2:$AW$319,40, FALSE)-VLOOKUP(A7,Hshldprojections2014!$A$2:$AW$319,30, FALSE))/10</f>
        <v>355.6</v>
      </c>
      <c r="AB7" s="267">
        <f>(VLOOKUP(A7,Hshldprojections2014!$A$2:$AW$319,41, FALSE)-VLOOKUP(A7,Hshldprojections2014!$A$2:$AW$319,31, FALSE))/10</f>
        <v>346.8</v>
      </c>
      <c r="AC7" s="267">
        <f>(VLOOKUP(A7,Hshldprojections2014!$A$2:$AW$319,42, FALSE)-VLOOKUP(A7,Hshldprojections2014!$A$2:$AW$319,32, FALSE))/10</f>
        <v>339.2</v>
      </c>
      <c r="AD7" s="267">
        <f>IF(IndividualLATest!$J$7=2014,(VLOOKUP($A7,Hshldprojections2014!$A$2:$AY$326,43,FALSE)-VLOOKUP($A7,Hshldprojections2014!$A$2:$AY$326,33,FALSE))/10,IF(IndividualLATest!$J$7=2016,(VLOOKUP($A7,Hshldprojections2016!$A$1:$AQ$322,33,FALSE)-VLOOKUP($A7,Hshldprojections2016!$A$1:$AQ$322,23,FALSE))/10,(VLOOKUP($A7,Hshldprojections2018!$A$1:$AQ$327,33,FALSE)-VLOOKUP($A7,Hshldprojections2018!$A$1:$AQ$327,23,FALSE))/10))</f>
        <v>479.5</v>
      </c>
      <c r="AE7" s="267">
        <f>IF(IndividualLATest!$J$7=2014,(VLOOKUP($A7,Hshldprojections2014!$A$2:$AY$326,44,FALSE)-VLOOKUP($A7,Hshldprojections2014!$A$2:$AY$326,34,FALSE))/10,IF(IndividualLATest!$J$7=2016,(VLOOKUP($A7,Hshldprojections2016!$A$1:$AQ$322,34,FALSE)-VLOOKUP($A7,Hshldprojections2016!$A$1:$AQ$322,24,FALSE))/10,(VLOOKUP($A7,Hshldprojections2018!$A$1:$AQ$327,34,FALSE)-VLOOKUP($A7,Hshldprojections2018!$A$1:$AQ$327,24,FALSE))/10))</f>
        <v>460.6</v>
      </c>
      <c r="AF7" s="267">
        <f>IF(IndividualLATest!$J$7=2014,(VLOOKUP($A7,Hshldprojections2014!$A$2:$AY$326,45,FALSE)-VLOOKUP($A7,Hshldprojections2014!$A$2:$AY$326,35,FALSE))/10,IF(IndividualLATest!$J$7=2016,(VLOOKUP($A7,Hshldprojections2016!$A$1:$AQ$322,35,FALSE)-VLOOKUP($A7,Hshldprojections2016!$A$1:$AQ$322,25,FALSE))/10,(VLOOKUP($A7,Hshldprojections2018!$A$1:$AQ$327,35,FALSE)-VLOOKUP($A7,Hshldprojections2018!$A$1:$AQ$327,25,FALSE))/10))</f>
        <v>447.4</v>
      </c>
      <c r="AG7" s="267">
        <f>IF(IndividualLATest!$J$7=2014,(VLOOKUP($A7,Hshldprojections2014!$A$2:$AY$326,46,FALSE)-VLOOKUP($A7,Hshldprojections2014!$A$2:$AY$326,36,FALSE))/10,IF(IndividualLATest!$J$7=2016,(VLOOKUP($A7,Hshldprojections2016!$A$1:$AQ$322,36,FALSE)-VLOOKUP($A7,Hshldprojections2016!$A$1:$AQ$322,26,FALSE))/10,(VLOOKUP($A7,Hshldprojections2018!$A$1:$AQ$327,36,FALSE)-VLOOKUP($A7,Hshldprojections2018!$A$1:$AQ$327,26,FALSE))/10))</f>
        <v>433.5</v>
      </c>
      <c r="AH7" s="267">
        <f>IF(IndividualLATest!$J$7=2014,(VLOOKUP($A7,Hshldprojections2014!$A$2:$AY$326,47,FALSE)-VLOOKUP($A7,Hshldprojections2014!$A$2:$AY$326,37,FALSE))/10,IF(IndividualLATest!$J$7=2016,(VLOOKUP($A7,Hshldprojections2016!$A$1:$AQ$322,37,FALSE)-VLOOKUP($A7,Hshldprojections2016!$A$1:$AQ$322,27,FALSE))/10,(VLOOKUP($A7,Hshldprojections2018!$A$1:$AQ$327,37,FALSE)-VLOOKUP($A7,Hshldprojections2018!$A$1:$AQ$327,27,FALSE))/10))</f>
        <v>423.4</v>
      </c>
      <c r="AI7" s="268">
        <f>IF(ISNUMBER('Sensitivity Tests'!$C$30),'Sensitivity Tests'!$C$30,VLOOKUP($A7,AffordabilityRatio!$A$2:$I$321,5,FALSE))</f>
        <v>5.39</v>
      </c>
      <c r="AJ7" s="268">
        <f>IF(ISNUMBER('Sensitivity Tests'!$C$30),'Sensitivity Tests'!$C$30,VLOOKUP($A7,AffordabilityRatio!$A$2:$I$321,6,FALSE))</f>
        <v>5.94</v>
      </c>
      <c r="AK7" s="268">
        <f>IF(ISNUMBER('Sensitivity Tests'!$C$30),'Sensitivity Tests'!$C$30,VLOOKUP($A7,AffordabilityRatio!$A$2:$I$321,7,FALSE))</f>
        <v>5.95</v>
      </c>
      <c r="AL7" s="268">
        <f>IF(ISNUMBER('Sensitivity Tests'!$C$30),'Sensitivity Tests'!$C$30,IF((VLOOKUP($A7,AffordabilityRatio!$A$2:$I$321,8,FALSE))="",AK7,VLOOKUP($A7,AffordabilityRatio!$A$2:$I$321,8,FALSE)))</f>
        <v>5.97</v>
      </c>
      <c r="AM7" s="268">
        <f>IF(ISNUMBER('Sensitivity Tests'!$C$30),'Sensitivity Tests'!$C$30,IF((VLOOKUP($A7,AffordabilityRatio!$A$2:$I$321,9,FALSE))="",AL7,VLOOKUP($A7,AffordabilityRatio!$A$2:$I$321,9,FALSE)))</f>
        <v>6.69</v>
      </c>
      <c r="AN7" s="268">
        <f>IF(ISNUMBER('Sensitivity Tests'!$C$30),'Sensitivity Tests'!$C$30,IF((VLOOKUP($A7,AffordabilityRatio!$A$2:$I$321,9,FALSE))="",AM7,VLOOKUP($A7,AffordabilityRatio!$A$2:$I$321,9,FALSE)))</f>
        <v>6.69</v>
      </c>
      <c r="AO7" s="268">
        <f>IF(ISNUMBER('Sensitivity Tests'!$C$30),'Sensitivity Tests'!$C$30,IF((VLOOKUP($A7,AffordabilityRatio!$A$2:$I$321,9,FALSE))="",AN7,VLOOKUP($A7,AffordabilityRatio!$A$2:$I$321,9,FALSE)))</f>
        <v>6.69</v>
      </c>
      <c r="AP7" s="268">
        <f>IF(ISNUMBER('Sensitivity Tests'!$C$30),'Sensitivity Tests'!$C$30,IF((VLOOKUP($A7,AffordabilityRatio!$A$2:$I$321,9,FALSE))="",AO7,VLOOKUP($A7,AffordabilityRatio!$A$2:$I$321,9,FALSE)))</f>
        <v>6.69</v>
      </c>
      <c r="AQ7" s="267">
        <f t="shared" si="24"/>
        <v>386</v>
      </c>
      <c r="AR7" s="267">
        <f t="shared" si="2"/>
        <v>389</v>
      </c>
      <c r="AS7" s="267">
        <f t="shared" si="2"/>
        <v>381</v>
      </c>
      <c r="AT7" s="267">
        <f t="shared" si="2"/>
        <v>539</v>
      </c>
      <c r="AU7" s="267">
        <f t="shared" si="2"/>
        <v>538</v>
      </c>
      <c r="AV7" s="267">
        <f t="shared" si="2"/>
        <v>523</v>
      </c>
      <c r="AW7" s="267">
        <f t="shared" si="2"/>
        <v>506</v>
      </c>
      <c r="AX7" s="267">
        <f t="shared" si="2"/>
        <v>495</v>
      </c>
      <c r="AY7" s="267">
        <f t="shared" si="25"/>
        <v>386</v>
      </c>
      <c r="AZ7" s="267">
        <f t="shared" si="26"/>
        <v>389</v>
      </c>
      <c r="BA7" s="267">
        <f t="shared" si="27"/>
        <v>381</v>
      </c>
      <c r="BB7" s="267">
        <f t="shared" si="28"/>
        <v>539</v>
      </c>
      <c r="BC7" s="267">
        <f t="shared" si="29"/>
        <v>538</v>
      </c>
      <c r="BD7" s="267">
        <f t="shared" si="30"/>
        <v>523</v>
      </c>
      <c r="BE7" s="267">
        <f t="shared" si="31"/>
        <v>506</v>
      </c>
      <c r="BF7" s="267">
        <f t="shared" si="32"/>
        <v>495</v>
      </c>
      <c r="BG7" s="269">
        <f>AY7*VLOOKUP($B7,'Major Cities &amp; Towns'!$A$28:$B$345,2,FALSE)</f>
        <v>386</v>
      </c>
      <c r="BH7" s="269">
        <f>AZ7*VLOOKUP($B7,'Major Cities &amp; Towns'!$A$28:$B$345,2,FALSE)</f>
        <v>389</v>
      </c>
      <c r="BI7" s="269">
        <f>BA7*VLOOKUP($B7,'Major Cities &amp; Towns'!$A$28:$B$345,2,FALSE)</f>
        <v>381</v>
      </c>
      <c r="BJ7" s="269">
        <f>BB7*VLOOKUP($B7,'Major Cities &amp; Towns'!$A$28:$B$345,2,FALSE)</f>
        <v>539</v>
      </c>
      <c r="BK7" s="269">
        <f>BC7*VLOOKUP($B7,'Major Cities &amp; Towns'!$A$28:$B$345,2,FALSE)</f>
        <v>538</v>
      </c>
      <c r="BL7" s="269">
        <f>BD7*VLOOKUP($B7,'Major Cities &amp; Towns'!$A$28:$B$345,2,FALSE)</f>
        <v>523</v>
      </c>
      <c r="BM7" s="269">
        <f>BE7*VLOOKUP($B7,'Major Cities &amp; Towns'!$A$28:$B$345,2,FALSE)</f>
        <v>506</v>
      </c>
      <c r="BN7" s="269">
        <f>BF7*VLOOKUP($B7,'Major Cities &amp; Towns'!$A$28:$B$345,2,FALSE)</f>
        <v>495</v>
      </c>
      <c r="BO7" s="270">
        <f t="shared" si="33"/>
        <v>386</v>
      </c>
      <c r="BP7" s="270">
        <f t="shared" si="34"/>
        <v>389</v>
      </c>
      <c r="BQ7" s="270">
        <f t="shared" si="34"/>
        <v>381</v>
      </c>
      <c r="BR7" s="270">
        <f t="shared" si="34"/>
        <v>539</v>
      </c>
      <c r="BS7" s="270">
        <f t="shared" si="34"/>
        <v>538</v>
      </c>
      <c r="BT7" s="270">
        <f t="shared" si="34"/>
        <v>523</v>
      </c>
      <c r="BU7" s="270">
        <f t="shared" si="34"/>
        <v>506</v>
      </c>
      <c r="BV7" s="270">
        <f t="shared" si="34"/>
        <v>495</v>
      </c>
      <c r="BW7" s="39">
        <f>VLOOKUP($A7,NetAdditions!$A$2:$H$336,6,FALSE)</f>
        <v>594</v>
      </c>
      <c r="BX7" s="39">
        <f>VLOOKUP($A7,NetAdditions!$A$2:$H$336,7,FALSE)</f>
        <v>458</v>
      </c>
      <c r="BY7" s="39">
        <f>IF((VLOOKUP($C7,NetAdditions!$A$2:$H$336,8,FALSE))="",(AVERAGE(VLOOKUP($C7,NetAdditions!$A$2:$H$336,5,FALSE),VLOOKUP($C7,NetAdditions!$A$2:$H$336,6,FALSE),VLOOKUP($C7,NetAdditions!$A$2:$H$336,7,FALSE))),VLOOKUP($C7,NetAdditions!$A$2:$H$336,8,FALSE))</f>
        <v>509</v>
      </c>
      <c r="BZ7" s="39">
        <f t="shared" si="35"/>
        <v>520.33333333333337</v>
      </c>
      <c r="CA7" s="39">
        <f t="shared" si="4"/>
        <v>495.77777777777783</v>
      </c>
      <c r="CB7" s="39">
        <f t="shared" si="4"/>
        <v>508.37037037037044</v>
      </c>
      <c r="CC7" s="39">
        <f t="shared" si="4"/>
        <v>508.16049382716056</v>
      </c>
      <c r="CD7" s="39">
        <f t="shared" si="4"/>
        <v>504.10288065843628</v>
      </c>
      <c r="CE7" s="276">
        <f t="shared" si="5"/>
        <v>1156</v>
      </c>
      <c r="CF7" s="276">
        <f t="shared" si="6"/>
        <v>1309</v>
      </c>
      <c r="CG7" s="276">
        <f t="shared" si="7"/>
        <v>1458</v>
      </c>
      <c r="CH7" s="276">
        <f t="shared" si="8"/>
        <v>1600</v>
      </c>
      <c r="CI7" s="276">
        <f t="shared" si="9"/>
        <v>1567</v>
      </c>
      <c r="CJ7" s="276">
        <f t="shared" si="10"/>
        <v>1524</v>
      </c>
      <c r="CK7" s="276">
        <f t="shared" si="36"/>
        <v>995.44444444444446</v>
      </c>
      <c r="CL7" s="276">
        <f t="shared" si="37"/>
        <v>1127.1944444444446</v>
      </c>
      <c r="CM7" s="276">
        <f t="shared" si="38"/>
        <v>1336.5</v>
      </c>
      <c r="CN7" s="276">
        <f t="shared" si="39"/>
        <v>1600</v>
      </c>
      <c r="CO7" s="276">
        <f t="shared" si="39"/>
        <v>1567</v>
      </c>
      <c r="CP7" s="276">
        <f t="shared" si="11"/>
        <v>1524</v>
      </c>
      <c r="CQ7" s="39">
        <f t="shared" si="12"/>
        <v>1561</v>
      </c>
      <c r="CR7" s="39">
        <f t="shared" si="13"/>
        <v>1487.3333333333335</v>
      </c>
      <c r="CS7" s="277">
        <f t="shared" si="14"/>
        <v>1525.1111111111113</v>
      </c>
      <c r="CT7" s="39">
        <f t="shared" si="15"/>
        <v>1524.4814814814818</v>
      </c>
      <c r="CU7" s="39">
        <f t="shared" si="16"/>
        <v>1512.3086419753088</v>
      </c>
      <c r="CV7" s="39">
        <f t="shared" si="17"/>
        <v>1520.6337448559673</v>
      </c>
      <c r="CW7" s="297">
        <f t="shared" si="18"/>
        <v>1.5681437660453175</v>
      </c>
      <c r="CX7" s="279" t="str">
        <f t="shared" si="40"/>
        <v>Pass</v>
      </c>
      <c r="CY7" s="278">
        <f t="shared" si="19"/>
        <v>1.3195002341112398</v>
      </c>
      <c r="CZ7" s="279" t="str">
        <f t="shared" si="41"/>
        <v>Pass</v>
      </c>
      <c r="DA7" s="278">
        <f t="shared" si="20"/>
        <v>1.141123165814524</v>
      </c>
      <c r="DB7" s="292" t="str">
        <f t="shared" si="42"/>
        <v>Pass</v>
      </c>
      <c r="DC7" s="299">
        <f t="shared" si="43"/>
        <v>0.95280092592592613</v>
      </c>
      <c r="DD7" s="293" t="str">
        <f t="shared" si="44"/>
        <v>Pass</v>
      </c>
      <c r="DE7" s="299">
        <f t="shared" si="45"/>
        <v>0.96509804848456204</v>
      </c>
      <c r="DF7" s="293" t="str">
        <f t="shared" si="46"/>
        <v>Pass</v>
      </c>
      <c r="DG7" s="299">
        <f t="shared" si="47"/>
        <v>0.99779117116533289</v>
      </c>
      <c r="DH7" s="293" t="str">
        <f t="shared" si="48"/>
        <v>Pass</v>
      </c>
    </row>
    <row r="8" spans="1:112" ht="15" thickTop="1" thickBot="1">
      <c r="A8" s="38" t="s">
        <v>120</v>
      </c>
      <c r="B8" s="38" t="s">
        <v>121</v>
      </c>
      <c r="C8" s="38" t="s">
        <v>120</v>
      </c>
      <c r="D8" s="38" t="s">
        <v>113</v>
      </c>
      <c r="E8" s="38" t="str">
        <f>VLOOKUP(C8,PoliticalControl!A:K,11,FALSE)</f>
        <v>NOC</v>
      </c>
      <c r="F8" s="38" t="str">
        <f>VLOOKUP(C8,UrbanRuralClassification!A:N,13,FALSE)</f>
        <v>Urban with City and Town</v>
      </c>
      <c r="G8" s="38" t="str">
        <f>VLOOKUP(C8,UrbanRuralClassification!A:N,14,FALSE)</f>
        <v>Predominantly Urban</v>
      </c>
      <c r="H8" s="258">
        <f>IF(ISBLANK((VLOOKUP($A8,'local-plan-data'!$C$1:$AD$566,27,FALSE)))=TRUE,"",VLOOKUP($A8,'local-plan-data'!$C$1:$AD$566,27,FALSE))</f>
        <v>43299</v>
      </c>
      <c r="I8" s="259">
        <f>VLOOKUP($A8,'local-plan-data'!$C$1:$AD$566,28,FALSE)</f>
        <v>1000</v>
      </c>
      <c r="J8" s="260">
        <f t="shared" si="21"/>
        <v>1000</v>
      </c>
      <c r="K8" s="259">
        <f t="shared" si="22"/>
        <v>1000</v>
      </c>
      <c r="L8" s="259">
        <f t="shared" si="0"/>
        <v>1000</v>
      </c>
      <c r="M8" s="259">
        <f t="shared" si="0"/>
        <v>1000</v>
      </c>
      <c r="N8" s="259">
        <f t="shared" si="0"/>
        <v>1000</v>
      </c>
      <c r="O8" s="259">
        <f t="shared" si="0"/>
        <v>1000</v>
      </c>
      <c r="P8" s="259">
        <f t="shared" si="0"/>
        <v>1000</v>
      </c>
      <c r="Q8" s="259" t="str">
        <f t="shared" si="0"/>
        <v>-</v>
      </c>
      <c r="R8" s="259" t="str">
        <f t="shared" si="0"/>
        <v>-</v>
      </c>
      <c r="S8" s="259">
        <f t="shared" si="23"/>
        <v>1934</v>
      </c>
      <c r="T8" s="259">
        <f t="shared" si="1"/>
        <v>1569</v>
      </c>
      <c r="U8" s="259">
        <f t="shared" si="1"/>
        <v>1203</v>
      </c>
      <c r="V8" s="259">
        <f t="shared" si="1"/>
        <v>838</v>
      </c>
      <c r="W8" s="259">
        <f t="shared" si="1"/>
        <v>473</v>
      </c>
      <c r="X8" s="259">
        <f t="shared" si="1"/>
        <v>108</v>
      </c>
      <c r="Y8" s="259">
        <f t="shared" si="1"/>
        <v>-258</v>
      </c>
      <c r="Z8" s="259">
        <f t="shared" si="1"/>
        <v>-623</v>
      </c>
      <c r="AA8" s="267">
        <f>(VLOOKUP(A8,Hshldprojections2014!$A$2:$AW$319,40, FALSE)-VLOOKUP(A8,Hshldprojections2014!$A$2:$AW$319,30, FALSE))/10</f>
        <v>871.7</v>
      </c>
      <c r="AB8" s="267">
        <f>(VLOOKUP(A8,Hshldprojections2014!$A$2:$AW$319,41, FALSE)-VLOOKUP(A8,Hshldprojections2014!$A$2:$AW$319,31, FALSE))/10</f>
        <v>879.1</v>
      </c>
      <c r="AC8" s="267">
        <f>(VLOOKUP(A8,Hshldprojections2014!$A$2:$AW$319,42, FALSE)-VLOOKUP(A8,Hshldprojections2014!$A$2:$AW$319,32, FALSE))/10</f>
        <v>885.5</v>
      </c>
      <c r="AD8" s="267">
        <f>IF(IndividualLATest!$J$7=2014,(VLOOKUP($A8,Hshldprojections2014!$A$2:$AY$326,43,FALSE)-VLOOKUP($A8,Hshldprojections2014!$A$2:$AY$326,33,FALSE))/10,IF(IndividualLATest!$J$7=2016,(VLOOKUP($A8,Hshldprojections2016!$A$1:$AQ$322,33,FALSE)-VLOOKUP($A8,Hshldprojections2016!$A$1:$AQ$322,23,FALSE))/10,(VLOOKUP($A8,Hshldprojections2018!$A$1:$AQ$327,33,FALSE)-VLOOKUP($A8,Hshldprojections2018!$A$1:$AQ$327,23,FALSE))/10))</f>
        <v>792.6</v>
      </c>
      <c r="AE8" s="267">
        <f>IF(IndividualLATest!$J$7=2014,(VLOOKUP($A8,Hshldprojections2014!$A$2:$AY$326,44,FALSE)-VLOOKUP($A8,Hshldprojections2014!$A$2:$AY$326,34,FALSE))/10,IF(IndividualLATest!$J$7=2016,(VLOOKUP($A8,Hshldprojections2016!$A$1:$AQ$322,34,FALSE)-VLOOKUP($A8,Hshldprojections2016!$A$1:$AQ$322,24,FALSE))/10,(VLOOKUP($A8,Hshldprojections2018!$A$1:$AQ$327,34,FALSE)-VLOOKUP($A8,Hshldprojections2018!$A$1:$AQ$327,24,FALSE))/10))</f>
        <v>784</v>
      </c>
      <c r="AF8" s="267">
        <f>IF(IndividualLATest!$J$7=2014,(VLOOKUP($A8,Hshldprojections2014!$A$2:$AY$326,45,FALSE)-VLOOKUP($A8,Hshldprojections2014!$A$2:$AY$326,35,FALSE))/10,IF(IndividualLATest!$J$7=2016,(VLOOKUP($A8,Hshldprojections2016!$A$1:$AQ$322,35,FALSE)-VLOOKUP($A8,Hshldprojections2016!$A$1:$AQ$322,25,FALSE))/10,(VLOOKUP($A8,Hshldprojections2018!$A$1:$AQ$327,35,FALSE)-VLOOKUP($A8,Hshldprojections2018!$A$1:$AQ$327,25,FALSE))/10))</f>
        <v>772.4</v>
      </c>
      <c r="AG8" s="267">
        <f>IF(IndividualLATest!$J$7=2014,(VLOOKUP($A8,Hshldprojections2014!$A$2:$AY$326,46,FALSE)-VLOOKUP($A8,Hshldprojections2014!$A$2:$AY$326,36,FALSE))/10,IF(IndividualLATest!$J$7=2016,(VLOOKUP($A8,Hshldprojections2016!$A$1:$AQ$322,36,FALSE)-VLOOKUP($A8,Hshldprojections2016!$A$1:$AQ$322,26,FALSE))/10,(VLOOKUP($A8,Hshldprojections2018!$A$1:$AQ$327,36,FALSE)-VLOOKUP($A8,Hshldprojections2018!$A$1:$AQ$327,26,FALSE))/10))</f>
        <v>763.3</v>
      </c>
      <c r="AH8" s="267">
        <f>IF(IndividualLATest!$J$7=2014,(VLOOKUP($A8,Hshldprojections2014!$A$2:$AY$326,47,FALSE)-VLOOKUP($A8,Hshldprojections2014!$A$2:$AY$326,37,FALSE))/10,IF(IndividualLATest!$J$7=2016,(VLOOKUP($A8,Hshldprojections2016!$A$1:$AQ$322,37,FALSE)-VLOOKUP($A8,Hshldprojections2016!$A$1:$AQ$322,27,FALSE))/10,(VLOOKUP($A8,Hshldprojections2018!$A$1:$AQ$327,37,FALSE)-VLOOKUP($A8,Hshldprojections2018!$A$1:$AQ$327,27,FALSE))/10))</f>
        <v>755.6</v>
      </c>
      <c r="AI8" s="268">
        <f>IF(ISNUMBER('Sensitivity Tests'!$C$30),'Sensitivity Tests'!$C$30,VLOOKUP($A8,AffordabilityRatio!$A$2:$I$321,5,FALSE))</f>
        <v>12.26</v>
      </c>
      <c r="AJ8" s="268">
        <f>IF(ISNUMBER('Sensitivity Tests'!$C$30),'Sensitivity Tests'!$C$30,VLOOKUP($A8,AffordabilityRatio!$A$2:$I$321,6,FALSE))</f>
        <v>12.12</v>
      </c>
      <c r="AK8" s="268">
        <f>IF(ISNUMBER('Sensitivity Tests'!$C$30),'Sensitivity Tests'!$C$30,VLOOKUP($A8,AffordabilityRatio!$A$2:$I$321,7,FALSE))</f>
        <v>12.16</v>
      </c>
      <c r="AL8" s="268">
        <f>IF(ISNUMBER('Sensitivity Tests'!$C$30),'Sensitivity Tests'!$C$30,IF((VLOOKUP($A8,AffordabilityRatio!$A$2:$I$321,8,FALSE))="",AK8,VLOOKUP($A8,AffordabilityRatio!$A$2:$I$321,8,FALSE)))</f>
        <v>11.45</v>
      </c>
      <c r="AM8" s="268">
        <f>IF(ISNUMBER('Sensitivity Tests'!$C$30),'Sensitivity Tests'!$C$30,IF((VLOOKUP($A8,AffordabilityRatio!$A$2:$I$321,9,FALSE))="",AL8,VLOOKUP($A8,AffordabilityRatio!$A$2:$I$321,9,FALSE)))</f>
        <v>12.16</v>
      </c>
      <c r="AN8" s="268">
        <f>IF(ISNUMBER('Sensitivity Tests'!$C$30),'Sensitivity Tests'!$C$30,IF((VLOOKUP($A8,AffordabilityRatio!$A$2:$I$321,9,FALSE))="",AM8,VLOOKUP($A8,AffordabilityRatio!$A$2:$I$321,9,FALSE)))</f>
        <v>12.16</v>
      </c>
      <c r="AO8" s="268">
        <f>IF(ISNUMBER('Sensitivity Tests'!$C$30),'Sensitivity Tests'!$C$30,IF((VLOOKUP($A8,AffordabilityRatio!$A$2:$I$321,9,FALSE))="",AN8,VLOOKUP($A8,AffordabilityRatio!$A$2:$I$321,9,FALSE)))</f>
        <v>12.16</v>
      </c>
      <c r="AP8" s="268">
        <f>IF(ISNUMBER('Sensitivity Tests'!$C$30),'Sensitivity Tests'!$C$30,IF((VLOOKUP($A8,AffordabilityRatio!$A$2:$I$321,9,FALSE))="",AO8,VLOOKUP($A8,AffordabilityRatio!$A$2:$I$321,9,FALSE)))</f>
        <v>12.16</v>
      </c>
      <c r="AQ8" s="267">
        <f t="shared" si="24"/>
        <v>1322</v>
      </c>
      <c r="AR8" s="267">
        <f t="shared" si="2"/>
        <v>1325</v>
      </c>
      <c r="AS8" s="267">
        <f t="shared" si="2"/>
        <v>1337</v>
      </c>
      <c r="AT8" s="267">
        <f t="shared" si="2"/>
        <v>1162</v>
      </c>
      <c r="AU8" s="267">
        <f t="shared" si="2"/>
        <v>1184</v>
      </c>
      <c r="AV8" s="267">
        <f t="shared" si="2"/>
        <v>1166</v>
      </c>
      <c r="AW8" s="267">
        <f t="shared" si="2"/>
        <v>1153</v>
      </c>
      <c r="AX8" s="267">
        <f t="shared" si="2"/>
        <v>1141</v>
      </c>
      <c r="AY8" s="267">
        <f t="shared" si="25"/>
        <v>1322</v>
      </c>
      <c r="AZ8" s="267">
        <f t="shared" si="26"/>
        <v>1325</v>
      </c>
      <c r="BA8" s="267">
        <f t="shared" si="27"/>
        <v>1337</v>
      </c>
      <c r="BB8" s="267">
        <f t="shared" si="28"/>
        <v>1162</v>
      </c>
      <c r="BC8" s="267">
        <f t="shared" si="29"/>
        <v>1184</v>
      </c>
      <c r="BD8" s="267">
        <f t="shared" si="30"/>
        <v>1166</v>
      </c>
      <c r="BE8" s="267">
        <f t="shared" si="31"/>
        <v>1153</v>
      </c>
      <c r="BF8" s="267">
        <f t="shared" si="32"/>
        <v>1141</v>
      </c>
      <c r="BG8" s="269">
        <f>AY8*VLOOKUP($B8,'Major Cities &amp; Towns'!$A$28:$B$345,2,FALSE)</f>
        <v>1322</v>
      </c>
      <c r="BH8" s="269">
        <f>AZ8*VLOOKUP($B8,'Major Cities &amp; Towns'!$A$28:$B$345,2,FALSE)</f>
        <v>1325</v>
      </c>
      <c r="BI8" s="269">
        <f>BA8*VLOOKUP($B8,'Major Cities &amp; Towns'!$A$28:$B$345,2,FALSE)</f>
        <v>1337</v>
      </c>
      <c r="BJ8" s="269">
        <f>BB8*VLOOKUP($B8,'Major Cities &amp; Towns'!$A$28:$B$345,2,FALSE)</f>
        <v>1162</v>
      </c>
      <c r="BK8" s="269">
        <f>BC8*VLOOKUP($B8,'Major Cities &amp; Towns'!$A$28:$B$345,2,FALSE)</f>
        <v>1184</v>
      </c>
      <c r="BL8" s="269">
        <f>BD8*VLOOKUP($B8,'Major Cities &amp; Towns'!$A$28:$B$345,2,FALSE)</f>
        <v>1166</v>
      </c>
      <c r="BM8" s="269">
        <f>BE8*VLOOKUP($B8,'Major Cities &amp; Towns'!$A$28:$B$345,2,FALSE)</f>
        <v>1153</v>
      </c>
      <c r="BN8" s="269">
        <f>BF8*VLOOKUP($B8,'Major Cities &amp; Towns'!$A$28:$B$345,2,FALSE)</f>
        <v>1141</v>
      </c>
      <c r="BO8" s="270">
        <f t="shared" si="33"/>
        <v>1000</v>
      </c>
      <c r="BP8" s="270">
        <f t="shared" si="34"/>
        <v>1000</v>
      </c>
      <c r="BQ8" s="270">
        <f t="shared" si="34"/>
        <v>1000</v>
      </c>
      <c r="BR8" s="270">
        <f t="shared" si="34"/>
        <v>1000</v>
      </c>
      <c r="BS8" s="270">
        <f t="shared" si="34"/>
        <v>1000</v>
      </c>
      <c r="BT8" s="270">
        <f t="shared" si="34"/>
        <v>1116.8821917808218</v>
      </c>
      <c r="BU8" s="270">
        <f t="shared" si="34"/>
        <v>1153</v>
      </c>
      <c r="BV8" s="270">
        <f t="shared" si="34"/>
        <v>1141</v>
      </c>
      <c r="BW8" s="39">
        <f>VLOOKUP($A8,NetAdditions!$A$2:$H$336,6,FALSE)</f>
        <v>609</v>
      </c>
      <c r="BX8" s="39">
        <f>VLOOKUP($A8,NetAdditions!$A$2:$H$336,7,FALSE)</f>
        <v>512</v>
      </c>
      <c r="BY8" s="39">
        <f>IF((VLOOKUP($C8,NetAdditions!$A$2:$H$336,8,FALSE))="",(AVERAGE(VLOOKUP($C8,NetAdditions!$A$2:$H$336,5,FALSE),VLOOKUP($C8,NetAdditions!$A$2:$H$336,6,FALSE),VLOOKUP($C8,NetAdditions!$A$2:$H$336,7,FALSE))),VLOOKUP($C8,NetAdditions!$A$2:$H$336,8,FALSE))</f>
        <v>691</v>
      </c>
      <c r="BZ8" s="39">
        <f t="shared" si="35"/>
        <v>604</v>
      </c>
      <c r="CA8" s="39">
        <f t="shared" si="4"/>
        <v>602.33333333333337</v>
      </c>
      <c r="CB8" s="39">
        <f t="shared" si="4"/>
        <v>632.44444444444446</v>
      </c>
      <c r="CC8" s="39">
        <f t="shared" si="4"/>
        <v>612.92592592592598</v>
      </c>
      <c r="CD8" s="39">
        <f t="shared" si="4"/>
        <v>615.90123456790127</v>
      </c>
      <c r="CE8" s="276">
        <f t="shared" si="5"/>
        <v>3000</v>
      </c>
      <c r="CF8" s="276">
        <f t="shared" si="6"/>
        <v>3000</v>
      </c>
      <c r="CG8" s="276">
        <f t="shared" si="7"/>
        <v>3000</v>
      </c>
      <c r="CH8" s="276">
        <f t="shared" si="8"/>
        <v>3116.8821917808218</v>
      </c>
      <c r="CI8" s="276">
        <f t="shared" si="9"/>
        <v>3269.8821917808218</v>
      </c>
      <c r="CJ8" s="276">
        <f t="shared" si="10"/>
        <v>3410.8821917808218</v>
      </c>
      <c r="CK8" s="276">
        <f t="shared" si="36"/>
        <v>2583.3333333333335</v>
      </c>
      <c r="CL8" s="276">
        <f t="shared" si="37"/>
        <v>2583.3333333333335</v>
      </c>
      <c r="CM8" s="276">
        <f t="shared" si="38"/>
        <v>2750</v>
      </c>
      <c r="CN8" s="276">
        <f t="shared" si="39"/>
        <v>3116.8821917808218</v>
      </c>
      <c r="CO8" s="276">
        <f t="shared" si="39"/>
        <v>3269.8821917808218</v>
      </c>
      <c r="CP8" s="276">
        <f t="shared" si="11"/>
        <v>3410.8821917808218</v>
      </c>
      <c r="CQ8" s="39">
        <f t="shared" si="12"/>
        <v>1812</v>
      </c>
      <c r="CR8" s="39">
        <f t="shared" si="13"/>
        <v>1807</v>
      </c>
      <c r="CS8" s="277">
        <f t="shared" si="14"/>
        <v>1897.3333333333335</v>
      </c>
      <c r="CT8" s="39">
        <f t="shared" si="15"/>
        <v>1838.7777777777778</v>
      </c>
      <c r="CU8" s="39">
        <f t="shared" si="16"/>
        <v>1847.7037037037039</v>
      </c>
      <c r="CV8" s="39">
        <f t="shared" si="17"/>
        <v>1861.2716049382716</v>
      </c>
      <c r="CW8" s="297">
        <f t="shared" si="18"/>
        <v>0.70141935483870965</v>
      </c>
      <c r="CX8" s="279" t="str">
        <f t="shared" si="40"/>
        <v>Buffer and Action Plan</v>
      </c>
      <c r="CY8" s="278">
        <f t="shared" si="19"/>
        <v>0.69948387096774189</v>
      </c>
      <c r="CZ8" s="279" t="str">
        <f t="shared" si="41"/>
        <v>Buffer and Action Plan</v>
      </c>
      <c r="DA8" s="278">
        <f t="shared" si="20"/>
        <v>0.68993939393939396</v>
      </c>
      <c r="DB8" s="292" t="str">
        <f t="shared" si="42"/>
        <v>Presumption</v>
      </c>
      <c r="DC8" s="299">
        <f t="shared" si="43"/>
        <v>0.58994137880046005</v>
      </c>
      <c r="DD8" s="293" t="str">
        <f t="shared" si="44"/>
        <v>Presumption</v>
      </c>
      <c r="DE8" s="299">
        <f t="shared" si="45"/>
        <v>0.56506736186034268</v>
      </c>
      <c r="DF8" s="293" t="str">
        <f t="shared" si="46"/>
        <v>Presumption</v>
      </c>
      <c r="DG8" s="299">
        <f t="shared" si="47"/>
        <v>0.54568627712307516</v>
      </c>
      <c r="DH8" s="293" t="str">
        <f t="shared" si="48"/>
        <v>Presumption</v>
      </c>
    </row>
    <row r="9" spans="1:112" ht="15" thickTop="1" thickBot="1">
      <c r="A9" s="38" t="s">
        <v>122</v>
      </c>
      <c r="B9" s="38" t="s">
        <v>123</v>
      </c>
      <c r="C9" s="38" t="s">
        <v>122</v>
      </c>
      <c r="D9" s="38" t="s">
        <v>119</v>
      </c>
      <c r="E9" s="38" t="str">
        <f>VLOOKUP(C9,PoliticalControl!A:K,11,FALSE)</f>
        <v>IND/OTHER</v>
      </c>
      <c r="F9" s="38" t="str">
        <f>VLOOKUP(C9,UrbanRuralClassification!A:N,13,FALSE)</f>
        <v>Urban with City and Town</v>
      </c>
      <c r="G9" s="38" t="str">
        <f>VLOOKUP(C9,UrbanRuralClassification!A:N,14,FALSE)</f>
        <v>Predominantly Urban</v>
      </c>
      <c r="H9" s="258" t="str">
        <f>IF(ISBLANK((VLOOKUP($A9,'local-plan-data'!$C$1:$AD$566,27,FALSE)))=TRUE,"",VLOOKUP($A9,'local-plan-data'!$C$1:$AD$566,27,FALSE))</f>
        <v/>
      </c>
      <c r="I9" s="259" t="str">
        <f>VLOOKUP($A9,'local-plan-data'!$C$1:$AD$566,28,FALSE)</f>
        <v/>
      </c>
      <c r="J9" s="260" t="str">
        <f t="shared" si="21"/>
        <v>-</v>
      </c>
      <c r="K9" s="259" t="str">
        <f t="shared" si="22"/>
        <v>-</v>
      </c>
      <c r="L9" s="259" t="str">
        <f t="shared" si="0"/>
        <v>-</v>
      </c>
      <c r="M9" s="259" t="str">
        <f t="shared" si="0"/>
        <v>-</v>
      </c>
      <c r="N9" s="259" t="str">
        <f t="shared" si="0"/>
        <v>-</v>
      </c>
      <c r="O9" s="259" t="str">
        <f t="shared" si="0"/>
        <v>-</v>
      </c>
      <c r="P9" s="259" t="str">
        <f t="shared" si="0"/>
        <v>-</v>
      </c>
      <c r="Q9" s="259" t="str">
        <f t="shared" si="0"/>
        <v>-</v>
      </c>
      <c r="R9" s="259" t="str">
        <f t="shared" si="0"/>
        <v>-</v>
      </c>
      <c r="S9" s="259" t="str">
        <f t="shared" si="23"/>
        <v>-</v>
      </c>
      <c r="T9" s="259" t="str">
        <f t="shared" si="1"/>
        <v>-</v>
      </c>
      <c r="U9" s="259" t="str">
        <f t="shared" si="1"/>
        <v>-</v>
      </c>
      <c r="V9" s="259" t="str">
        <f t="shared" si="1"/>
        <v>-</v>
      </c>
      <c r="W9" s="259" t="str">
        <f t="shared" si="1"/>
        <v>-</v>
      </c>
      <c r="X9" s="259" t="str">
        <f t="shared" si="1"/>
        <v>-</v>
      </c>
      <c r="Y9" s="259" t="str">
        <f t="shared" si="1"/>
        <v>-</v>
      </c>
      <c r="Z9" s="259" t="str">
        <f t="shared" si="1"/>
        <v>-</v>
      </c>
      <c r="AA9" s="267">
        <f>(VLOOKUP(A9,Hshldprojections2014!$A$2:$AW$319,40, FALSE)-VLOOKUP(A9,Hshldprojections2014!$A$2:$AW$319,30, FALSE))/10</f>
        <v>458.3</v>
      </c>
      <c r="AB9" s="267">
        <f>(VLOOKUP(A9,Hshldprojections2014!$A$2:$AW$319,41, FALSE)-VLOOKUP(A9,Hshldprojections2014!$A$2:$AW$319,31, FALSE))/10</f>
        <v>445.7</v>
      </c>
      <c r="AC9" s="267">
        <f>(VLOOKUP(A9,Hshldprojections2014!$A$2:$AW$319,42, FALSE)-VLOOKUP(A9,Hshldprojections2014!$A$2:$AW$319,32, FALSE))/10</f>
        <v>434.2</v>
      </c>
      <c r="AD9" s="267">
        <f>IF(IndividualLATest!$J$7=2014,(VLOOKUP($A9,Hshldprojections2014!$A$2:$AY$326,43,FALSE)-VLOOKUP($A9,Hshldprojections2014!$A$2:$AY$326,33,FALSE))/10,IF(IndividualLATest!$J$7=2016,(VLOOKUP($A9,Hshldprojections2016!$A$1:$AQ$322,33,FALSE)-VLOOKUP($A9,Hshldprojections2016!$A$1:$AQ$322,23,FALSE))/10,(VLOOKUP($A9,Hshldprojections2018!$A$1:$AQ$327,33,FALSE)-VLOOKUP($A9,Hshldprojections2018!$A$1:$AQ$327,23,FALSE))/10))</f>
        <v>553</v>
      </c>
      <c r="AE9" s="267">
        <f>IF(IndividualLATest!$J$7=2014,(VLOOKUP($A9,Hshldprojections2014!$A$2:$AY$326,44,FALSE)-VLOOKUP($A9,Hshldprojections2014!$A$2:$AY$326,34,FALSE))/10,IF(IndividualLATest!$J$7=2016,(VLOOKUP($A9,Hshldprojections2016!$A$1:$AQ$322,34,FALSE)-VLOOKUP($A9,Hshldprojections2016!$A$1:$AQ$322,24,FALSE))/10,(VLOOKUP($A9,Hshldprojections2018!$A$1:$AQ$327,34,FALSE)-VLOOKUP($A9,Hshldprojections2018!$A$1:$AQ$327,24,FALSE))/10))</f>
        <v>540.79999999999995</v>
      </c>
      <c r="AF9" s="267">
        <f>IF(IndividualLATest!$J$7=2014,(VLOOKUP($A9,Hshldprojections2014!$A$2:$AY$326,45,FALSE)-VLOOKUP($A9,Hshldprojections2014!$A$2:$AY$326,35,FALSE))/10,IF(IndividualLATest!$J$7=2016,(VLOOKUP($A9,Hshldprojections2016!$A$1:$AQ$322,35,FALSE)-VLOOKUP($A9,Hshldprojections2016!$A$1:$AQ$322,25,FALSE))/10,(VLOOKUP($A9,Hshldprojections2018!$A$1:$AQ$327,35,FALSE)-VLOOKUP($A9,Hshldprojections2018!$A$1:$AQ$327,25,FALSE))/10))</f>
        <v>530.20000000000005</v>
      </c>
      <c r="AG9" s="267">
        <f>IF(IndividualLATest!$J$7=2014,(VLOOKUP($A9,Hshldprojections2014!$A$2:$AY$326,46,FALSE)-VLOOKUP($A9,Hshldprojections2014!$A$2:$AY$326,36,FALSE))/10,IF(IndividualLATest!$J$7=2016,(VLOOKUP($A9,Hshldprojections2016!$A$1:$AQ$322,36,FALSE)-VLOOKUP($A9,Hshldprojections2016!$A$1:$AQ$322,26,FALSE))/10,(VLOOKUP($A9,Hshldprojections2018!$A$1:$AQ$327,36,FALSE)-VLOOKUP($A9,Hshldprojections2018!$A$1:$AQ$327,26,FALSE))/10))</f>
        <v>523.79999999999995</v>
      </c>
      <c r="AH9" s="267">
        <f>IF(IndividualLATest!$J$7=2014,(VLOOKUP($A9,Hshldprojections2014!$A$2:$AY$326,47,FALSE)-VLOOKUP($A9,Hshldprojections2014!$A$2:$AY$326,37,FALSE))/10,IF(IndividualLATest!$J$7=2016,(VLOOKUP($A9,Hshldprojections2016!$A$1:$AQ$322,37,FALSE)-VLOOKUP($A9,Hshldprojections2016!$A$1:$AQ$322,27,FALSE))/10,(VLOOKUP($A9,Hshldprojections2018!$A$1:$AQ$327,37,FALSE)-VLOOKUP($A9,Hshldprojections2018!$A$1:$AQ$327,27,FALSE))/10))</f>
        <v>520.70000000000005</v>
      </c>
      <c r="AI9" s="268">
        <f>IF(ISNUMBER('Sensitivity Tests'!$C$30),'Sensitivity Tests'!$C$30,VLOOKUP($A9,AffordabilityRatio!$A$2:$I$321,5,FALSE))</f>
        <v>5.56</v>
      </c>
      <c r="AJ9" s="268">
        <f>IF(ISNUMBER('Sensitivity Tests'!$C$30),'Sensitivity Tests'!$C$30,VLOOKUP($A9,AffordabilityRatio!$A$2:$I$321,6,FALSE))</f>
        <v>5.04</v>
      </c>
      <c r="AK9" s="268">
        <f>IF(ISNUMBER('Sensitivity Tests'!$C$30),'Sensitivity Tests'!$C$30,VLOOKUP($A9,AffordabilityRatio!$A$2:$I$321,7,FALSE))</f>
        <v>5.76</v>
      </c>
      <c r="AL9" s="268">
        <f>IF(ISNUMBER('Sensitivity Tests'!$C$30),'Sensitivity Tests'!$C$30,IF((VLOOKUP($A9,AffordabilityRatio!$A$2:$I$321,8,FALSE))="",AK9,VLOOKUP($A9,AffordabilityRatio!$A$2:$I$321,8,FALSE)))</f>
        <v>5.28</v>
      </c>
      <c r="AM9" s="268">
        <f>IF(ISNUMBER('Sensitivity Tests'!$C$30),'Sensitivity Tests'!$C$30,IF((VLOOKUP($A9,AffordabilityRatio!$A$2:$I$321,9,FALSE))="",AL9,VLOOKUP($A9,AffordabilityRatio!$A$2:$I$321,9,FALSE)))</f>
        <v>6.15</v>
      </c>
      <c r="AN9" s="268">
        <f>IF(ISNUMBER('Sensitivity Tests'!$C$30),'Sensitivity Tests'!$C$30,IF((VLOOKUP($A9,AffordabilityRatio!$A$2:$I$321,9,FALSE))="",AM9,VLOOKUP($A9,AffordabilityRatio!$A$2:$I$321,9,FALSE)))</f>
        <v>6.15</v>
      </c>
      <c r="AO9" s="268">
        <f>IF(ISNUMBER('Sensitivity Tests'!$C$30),'Sensitivity Tests'!$C$30,IF((VLOOKUP($A9,AffordabilityRatio!$A$2:$I$321,9,FALSE))="",AN9,VLOOKUP($A9,AffordabilityRatio!$A$2:$I$321,9,FALSE)))</f>
        <v>6.15</v>
      </c>
      <c r="AP9" s="268">
        <f>IF(ISNUMBER('Sensitivity Tests'!$C$30),'Sensitivity Tests'!$C$30,IF((VLOOKUP($A9,AffordabilityRatio!$A$2:$I$321,9,FALSE))="",AO9,VLOOKUP($A9,AffordabilityRatio!$A$2:$I$321,9,FALSE)))</f>
        <v>6.15</v>
      </c>
      <c r="AQ9" s="267">
        <f t="shared" si="24"/>
        <v>503</v>
      </c>
      <c r="AR9" s="267">
        <f t="shared" si="2"/>
        <v>475</v>
      </c>
      <c r="AS9" s="267">
        <f t="shared" si="2"/>
        <v>482</v>
      </c>
      <c r="AT9" s="267">
        <f t="shared" si="2"/>
        <v>597</v>
      </c>
      <c r="AU9" s="267">
        <f t="shared" si="2"/>
        <v>613</v>
      </c>
      <c r="AV9" s="267">
        <f t="shared" si="2"/>
        <v>601</v>
      </c>
      <c r="AW9" s="267">
        <f t="shared" si="2"/>
        <v>594</v>
      </c>
      <c r="AX9" s="267">
        <f t="shared" si="2"/>
        <v>591</v>
      </c>
      <c r="AY9" s="267">
        <f t="shared" si="25"/>
        <v>503</v>
      </c>
      <c r="AZ9" s="267">
        <f t="shared" si="26"/>
        <v>475</v>
      </c>
      <c r="BA9" s="267">
        <f t="shared" si="27"/>
        <v>482</v>
      </c>
      <c r="BB9" s="267">
        <f t="shared" si="28"/>
        <v>597</v>
      </c>
      <c r="BC9" s="267">
        <f t="shared" si="29"/>
        <v>613</v>
      </c>
      <c r="BD9" s="267">
        <f t="shared" si="30"/>
        <v>601</v>
      </c>
      <c r="BE9" s="267">
        <f t="shared" si="31"/>
        <v>594</v>
      </c>
      <c r="BF9" s="267">
        <f t="shared" si="32"/>
        <v>591</v>
      </c>
      <c r="BG9" s="269">
        <f>AY9*VLOOKUP($B9,'Major Cities &amp; Towns'!$A$28:$B$345,2,FALSE)</f>
        <v>503</v>
      </c>
      <c r="BH9" s="269">
        <f>AZ9*VLOOKUP($B9,'Major Cities &amp; Towns'!$A$28:$B$345,2,FALSE)</f>
        <v>475</v>
      </c>
      <c r="BI9" s="269">
        <f>BA9*VLOOKUP($B9,'Major Cities &amp; Towns'!$A$28:$B$345,2,FALSE)</f>
        <v>482</v>
      </c>
      <c r="BJ9" s="269">
        <f>BB9*VLOOKUP($B9,'Major Cities &amp; Towns'!$A$28:$B$345,2,FALSE)</f>
        <v>597</v>
      </c>
      <c r="BK9" s="269">
        <f>BC9*VLOOKUP($B9,'Major Cities &amp; Towns'!$A$28:$B$345,2,FALSE)</f>
        <v>613</v>
      </c>
      <c r="BL9" s="269">
        <f>BD9*VLOOKUP($B9,'Major Cities &amp; Towns'!$A$28:$B$345,2,FALSE)</f>
        <v>601</v>
      </c>
      <c r="BM9" s="269">
        <f>BE9*VLOOKUP($B9,'Major Cities &amp; Towns'!$A$28:$B$345,2,FALSE)</f>
        <v>594</v>
      </c>
      <c r="BN9" s="269">
        <f>BF9*VLOOKUP($B9,'Major Cities &amp; Towns'!$A$28:$B$345,2,FALSE)</f>
        <v>591</v>
      </c>
      <c r="BO9" s="270">
        <f t="shared" si="33"/>
        <v>503</v>
      </c>
      <c r="BP9" s="270">
        <f t="shared" si="34"/>
        <v>475</v>
      </c>
      <c r="BQ9" s="270">
        <f t="shared" si="34"/>
        <v>482</v>
      </c>
      <c r="BR9" s="270">
        <f t="shared" si="34"/>
        <v>597</v>
      </c>
      <c r="BS9" s="270">
        <f t="shared" si="34"/>
        <v>613</v>
      </c>
      <c r="BT9" s="270">
        <f t="shared" si="34"/>
        <v>601</v>
      </c>
      <c r="BU9" s="270">
        <f t="shared" si="34"/>
        <v>594</v>
      </c>
      <c r="BV9" s="270">
        <f t="shared" si="34"/>
        <v>591</v>
      </c>
      <c r="BW9" s="39">
        <f>VLOOKUP($A9,NetAdditions!$A$2:$H$336,6,FALSE)</f>
        <v>300</v>
      </c>
      <c r="BX9" s="39">
        <f>VLOOKUP($A9,NetAdditions!$A$2:$H$336,7,FALSE)</f>
        <v>173</v>
      </c>
      <c r="BY9" s="39">
        <f>IF((VLOOKUP($C9,NetAdditions!$A$2:$H$336,8,FALSE))="",(AVERAGE(VLOOKUP($C9,NetAdditions!$A$2:$H$336,5,FALSE),VLOOKUP($C9,NetAdditions!$A$2:$H$336,6,FALSE),VLOOKUP($C9,NetAdditions!$A$2:$H$336,7,FALSE))),VLOOKUP($C9,NetAdditions!$A$2:$H$336,8,FALSE))</f>
        <v>265</v>
      </c>
      <c r="BZ9" s="39">
        <f t="shared" si="35"/>
        <v>246</v>
      </c>
      <c r="CA9" s="39">
        <f t="shared" si="4"/>
        <v>228</v>
      </c>
      <c r="CB9" s="39">
        <f t="shared" si="4"/>
        <v>246.33333333333334</v>
      </c>
      <c r="CC9" s="39">
        <f t="shared" si="4"/>
        <v>240.11111111111111</v>
      </c>
      <c r="CD9" s="39">
        <f t="shared" si="4"/>
        <v>238.14814814814815</v>
      </c>
      <c r="CE9" s="276">
        <f t="shared" si="5"/>
        <v>1460</v>
      </c>
      <c r="CF9" s="276">
        <f t="shared" si="6"/>
        <v>1554</v>
      </c>
      <c r="CG9" s="276">
        <f t="shared" si="7"/>
        <v>1692</v>
      </c>
      <c r="CH9" s="276">
        <f t="shared" si="8"/>
        <v>1811</v>
      </c>
      <c r="CI9" s="276">
        <f t="shared" si="9"/>
        <v>1808</v>
      </c>
      <c r="CJ9" s="276">
        <f t="shared" si="10"/>
        <v>1786</v>
      </c>
      <c r="CK9" s="276">
        <f t="shared" si="36"/>
        <v>1257.2222222222224</v>
      </c>
      <c r="CL9" s="276">
        <f t="shared" si="37"/>
        <v>1338.1666666666667</v>
      </c>
      <c r="CM9" s="276">
        <f t="shared" si="38"/>
        <v>1551</v>
      </c>
      <c r="CN9" s="276">
        <f t="shared" si="39"/>
        <v>1811</v>
      </c>
      <c r="CO9" s="276">
        <f t="shared" si="39"/>
        <v>1808</v>
      </c>
      <c r="CP9" s="276">
        <f t="shared" si="11"/>
        <v>1786</v>
      </c>
      <c r="CQ9" s="39">
        <f t="shared" si="12"/>
        <v>738</v>
      </c>
      <c r="CR9" s="39">
        <f t="shared" si="13"/>
        <v>684</v>
      </c>
      <c r="CS9" s="277">
        <f t="shared" si="14"/>
        <v>739</v>
      </c>
      <c r="CT9" s="39">
        <f t="shared" si="15"/>
        <v>720.33333333333337</v>
      </c>
      <c r="CU9" s="39">
        <f t="shared" si="16"/>
        <v>714.44444444444446</v>
      </c>
      <c r="CV9" s="39">
        <f t="shared" si="17"/>
        <v>724.59259259259261</v>
      </c>
      <c r="CW9" s="297">
        <f t="shared" si="18"/>
        <v>0.58700839593459997</v>
      </c>
      <c r="CX9" s="279" t="str">
        <f t="shared" si="40"/>
        <v>Buffer and Action Plan</v>
      </c>
      <c r="CY9" s="278">
        <f t="shared" si="19"/>
        <v>0.51114709179225304</v>
      </c>
      <c r="CZ9" s="279" t="str">
        <f t="shared" si="41"/>
        <v>Buffer and Action Plan</v>
      </c>
      <c r="DA9" s="278">
        <f t="shared" si="20"/>
        <v>0.4764667956157318</v>
      </c>
      <c r="DB9" s="292" t="str">
        <f t="shared" si="42"/>
        <v>Presumption</v>
      </c>
      <c r="DC9" s="299">
        <f t="shared" si="43"/>
        <v>0.39775446346401622</v>
      </c>
      <c r="DD9" s="293" t="str">
        <f t="shared" si="44"/>
        <v>Presumption</v>
      </c>
      <c r="DE9" s="299">
        <f t="shared" si="45"/>
        <v>0.39515732546706001</v>
      </c>
      <c r="DF9" s="293" t="str">
        <f t="shared" si="46"/>
        <v>Presumption</v>
      </c>
      <c r="DG9" s="299">
        <f t="shared" si="47"/>
        <v>0.4057069387416532</v>
      </c>
      <c r="DH9" s="293" t="str">
        <f t="shared" si="48"/>
        <v>Presumption</v>
      </c>
    </row>
    <row r="10" spans="1:112" ht="15" thickTop="1" thickBot="1">
      <c r="A10" s="38" t="s">
        <v>124</v>
      </c>
      <c r="B10" s="38" t="s">
        <v>125</v>
      </c>
      <c r="C10" s="38" t="s">
        <v>124</v>
      </c>
      <c r="D10" s="38" t="s">
        <v>113</v>
      </c>
      <c r="E10" s="38" t="str">
        <f>VLOOKUP(C10,PoliticalControl!A:K,11,FALSE)</f>
        <v>CON</v>
      </c>
      <c r="F10" s="38" t="str">
        <f>VLOOKUP(C10,UrbanRuralClassification!A:N,13,FALSE)</f>
        <v>Urban with Significant Rural (rural including hub towns 26-49%)</v>
      </c>
      <c r="G10" s="38" t="str">
        <f>VLOOKUP(C10,UrbanRuralClassification!A:N,14,FALSE)</f>
        <v>Urban with Significant Rural</v>
      </c>
      <c r="H10" s="258">
        <f>IF(ISBLANK((VLOOKUP($A10,'local-plan-data'!$C$1:$AD$566,27,FALSE)))=TRUE,"",VLOOKUP($A10,'local-plan-data'!$C$1:$AD$566,27,FALSE))</f>
        <v>43517</v>
      </c>
      <c r="I10" s="259">
        <f>VLOOKUP($A10,'local-plan-data'!$C$1:$AD$566,28,FALSE)</f>
        <v>888</v>
      </c>
      <c r="J10" s="260">
        <f t="shared" si="21"/>
        <v>888</v>
      </c>
      <c r="K10" s="259">
        <f t="shared" si="22"/>
        <v>888</v>
      </c>
      <c r="L10" s="259">
        <f t="shared" si="0"/>
        <v>888</v>
      </c>
      <c r="M10" s="259">
        <f t="shared" si="0"/>
        <v>888</v>
      </c>
      <c r="N10" s="259">
        <f t="shared" si="0"/>
        <v>888</v>
      </c>
      <c r="O10" s="259">
        <f t="shared" si="0"/>
        <v>888</v>
      </c>
      <c r="P10" s="259">
        <f t="shared" si="0"/>
        <v>888</v>
      </c>
      <c r="Q10" s="259" t="str">
        <f t="shared" si="0"/>
        <v>-</v>
      </c>
      <c r="R10" s="259" t="str">
        <f t="shared" si="0"/>
        <v>-</v>
      </c>
      <c r="S10" s="259">
        <f t="shared" si="23"/>
        <v>2152</v>
      </c>
      <c r="T10" s="259">
        <f t="shared" si="1"/>
        <v>1787</v>
      </c>
      <c r="U10" s="259">
        <f t="shared" si="1"/>
        <v>1421</v>
      </c>
      <c r="V10" s="259">
        <f t="shared" si="1"/>
        <v>1056</v>
      </c>
      <c r="W10" s="259">
        <f t="shared" si="1"/>
        <v>691</v>
      </c>
      <c r="X10" s="259">
        <f t="shared" si="1"/>
        <v>326</v>
      </c>
      <c r="Y10" s="259">
        <f t="shared" si="1"/>
        <v>-40</v>
      </c>
      <c r="Z10" s="259">
        <f t="shared" si="1"/>
        <v>-405</v>
      </c>
      <c r="AA10" s="267">
        <f>(VLOOKUP(A10,Hshldprojections2014!$A$2:$AW$319,40, FALSE)-VLOOKUP(A10,Hshldprojections2014!$A$2:$AW$319,30, FALSE))/10</f>
        <v>744.3</v>
      </c>
      <c r="AB10" s="267">
        <f>(VLOOKUP(A10,Hshldprojections2014!$A$2:$AW$319,41, FALSE)-VLOOKUP(A10,Hshldprojections2014!$A$2:$AW$319,31, FALSE))/10</f>
        <v>735.5</v>
      </c>
      <c r="AC10" s="267">
        <f>(VLOOKUP(A10,Hshldprojections2014!$A$2:$AW$319,42, FALSE)-VLOOKUP(A10,Hshldprojections2014!$A$2:$AW$319,32, FALSE))/10</f>
        <v>725.7</v>
      </c>
      <c r="AD10" s="267">
        <f>IF(IndividualLATest!$J$7=2014,(VLOOKUP($A10,Hshldprojections2014!$A$2:$AY$326,43,FALSE)-VLOOKUP($A10,Hshldprojections2014!$A$2:$AY$326,33,FALSE))/10,IF(IndividualLATest!$J$7=2016,(VLOOKUP($A10,Hshldprojections2016!$A$1:$AQ$322,33,FALSE)-VLOOKUP($A10,Hshldprojections2016!$A$1:$AQ$322,23,FALSE))/10,(VLOOKUP($A10,Hshldprojections2018!$A$1:$AQ$327,33,FALSE)-VLOOKUP($A10,Hshldprojections2018!$A$1:$AQ$327,23,FALSE))/10))</f>
        <v>660.7</v>
      </c>
      <c r="AE10" s="267">
        <f>IF(IndividualLATest!$J$7=2014,(VLOOKUP($A10,Hshldprojections2014!$A$2:$AY$326,44,FALSE)-VLOOKUP($A10,Hshldprojections2014!$A$2:$AY$326,34,FALSE))/10,IF(IndividualLATest!$J$7=2016,(VLOOKUP($A10,Hshldprojections2016!$A$1:$AQ$322,34,FALSE)-VLOOKUP($A10,Hshldprojections2016!$A$1:$AQ$322,24,FALSE))/10,(VLOOKUP($A10,Hshldprojections2018!$A$1:$AQ$327,34,FALSE)-VLOOKUP($A10,Hshldprojections2018!$A$1:$AQ$327,24,FALSE))/10))</f>
        <v>642.1</v>
      </c>
      <c r="AF10" s="267">
        <f>IF(IndividualLATest!$J$7=2014,(VLOOKUP($A10,Hshldprojections2014!$A$2:$AY$326,45,FALSE)-VLOOKUP($A10,Hshldprojections2014!$A$2:$AY$326,35,FALSE))/10,IF(IndividualLATest!$J$7=2016,(VLOOKUP($A10,Hshldprojections2016!$A$1:$AQ$322,35,FALSE)-VLOOKUP($A10,Hshldprojections2016!$A$1:$AQ$322,25,FALSE))/10,(VLOOKUP($A10,Hshldprojections2018!$A$1:$AQ$327,35,FALSE)-VLOOKUP($A10,Hshldprojections2018!$A$1:$AQ$327,25,FALSE))/10))</f>
        <v>626.6</v>
      </c>
      <c r="AG10" s="267">
        <f>IF(IndividualLATest!$J$7=2014,(VLOOKUP($A10,Hshldprojections2014!$A$2:$AY$326,46,FALSE)-VLOOKUP($A10,Hshldprojections2014!$A$2:$AY$326,36,FALSE))/10,IF(IndividualLATest!$J$7=2016,(VLOOKUP($A10,Hshldprojections2016!$A$1:$AQ$322,36,FALSE)-VLOOKUP($A10,Hshldprojections2016!$A$1:$AQ$322,26,FALSE))/10,(VLOOKUP($A10,Hshldprojections2018!$A$1:$AQ$327,36,FALSE)-VLOOKUP($A10,Hshldprojections2018!$A$1:$AQ$327,26,FALSE))/10))</f>
        <v>612.5</v>
      </c>
      <c r="AH10" s="267">
        <f>IF(IndividualLATest!$J$7=2014,(VLOOKUP($A10,Hshldprojections2014!$A$2:$AY$326,47,FALSE)-VLOOKUP($A10,Hshldprojections2014!$A$2:$AY$326,37,FALSE))/10,IF(IndividualLATest!$J$7=2016,(VLOOKUP($A10,Hshldprojections2016!$A$1:$AQ$322,37,FALSE)-VLOOKUP($A10,Hshldprojections2016!$A$1:$AQ$322,27,FALSE))/10,(VLOOKUP($A10,Hshldprojections2018!$A$1:$AQ$327,37,FALSE)-VLOOKUP($A10,Hshldprojections2018!$A$1:$AQ$327,27,FALSE))/10))</f>
        <v>600.6</v>
      </c>
      <c r="AI10" s="268">
        <f>IF(ISNUMBER('Sensitivity Tests'!$C$30),'Sensitivity Tests'!$C$30,VLOOKUP($A10,AffordabilityRatio!$A$2:$I$321,5,FALSE))</f>
        <v>9.6199999999999992</v>
      </c>
      <c r="AJ10" s="268">
        <f>IF(ISNUMBER('Sensitivity Tests'!$C$30),'Sensitivity Tests'!$C$30,VLOOKUP($A10,AffordabilityRatio!$A$2:$I$321,6,FALSE))</f>
        <v>10.61</v>
      </c>
      <c r="AK10" s="268">
        <f>IF(ISNUMBER('Sensitivity Tests'!$C$30),'Sensitivity Tests'!$C$30,VLOOKUP($A10,AffordabilityRatio!$A$2:$I$321,7,FALSE))</f>
        <v>9.33</v>
      </c>
      <c r="AL10" s="268">
        <f>IF(ISNUMBER('Sensitivity Tests'!$C$30),'Sensitivity Tests'!$C$30,IF((VLOOKUP($A10,AffordabilityRatio!$A$2:$I$321,8,FALSE))="",AK10,VLOOKUP($A10,AffordabilityRatio!$A$2:$I$321,8,FALSE)))</f>
        <v>10.38</v>
      </c>
      <c r="AM10" s="268">
        <f>IF(ISNUMBER('Sensitivity Tests'!$C$30),'Sensitivity Tests'!$C$30,IF((VLOOKUP($A10,AffordabilityRatio!$A$2:$I$321,9,FALSE))="",AL10,VLOOKUP($A10,AffordabilityRatio!$A$2:$I$321,9,FALSE)))</f>
        <v>10.45</v>
      </c>
      <c r="AN10" s="268">
        <f>IF(ISNUMBER('Sensitivity Tests'!$C$30),'Sensitivity Tests'!$C$30,IF((VLOOKUP($A10,AffordabilityRatio!$A$2:$I$321,9,FALSE))="",AM10,VLOOKUP($A10,AffordabilityRatio!$A$2:$I$321,9,FALSE)))</f>
        <v>10.45</v>
      </c>
      <c r="AO10" s="268">
        <f>IF(ISNUMBER('Sensitivity Tests'!$C$30),'Sensitivity Tests'!$C$30,IF((VLOOKUP($A10,AffordabilityRatio!$A$2:$I$321,9,FALSE))="",AN10,VLOOKUP($A10,AffordabilityRatio!$A$2:$I$321,9,FALSE)))</f>
        <v>10.45</v>
      </c>
      <c r="AP10" s="268">
        <f>IF(ISNUMBER('Sensitivity Tests'!$C$30),'Sensitivity Tests'!$C$30,IF((VLOOKUP($A10,AffordabilityRatio!$A$2:$I$321,9,FALSE))="",AO10,VLOOKUP($A10,AffordabilityRatio!$A$2:$I$321,9,FALSE)))</f>
        <v>10.45</v>
      </c>
      <c r="AQ10" s="267">
        <f t="shared" si="24"/>
        <v>1006</v>
      </c>
      <c r="AR10" s="267">
        <f t="shared" si="2"/>
        <v>1039</v>
      </c>
      <c r="AS10" s="267">
        <f t="shared" si="2"/>
        <v>967</v>
      </c>
      <c r="AT10" s="267">
        <f t="shared" si="2"/>
        <v>924</v>
      </c>
      <c r="AU10" s="267">
        <f t="shared" si="2"/>
        <v>901</v>
      </c>
      <c r="AV10" s="267">
        <f t="shared" si="2"/>
        <v>879</v>
      </c>
      <c r="AW10" s="267">
        <f t="shared" si="2"/>
        <v>859</v>
      </c>
      <c r="AX10" s="267">
        <f t="shared" si="2"/>
        <v>843</v>
      </c>
      <c r="AY10" s="267">
        <f t="shared" si="25"/>
        <v>1006</v>
      </c>
      <c r="AZ10" s="267">
        <f t="shared" si="26"/>
        <v>1039</v>
      </c>
      <c r="BA10" s="267">
        <f t="shared" si="27"/>
        <v>967</v>
      </c>
      <c r="BB10" s="267">
        <f t="shared" si="28"/>
        <v>924</v>
      </c>
      <c r="BC10" s="267">
        <f t="shared" si="29"/>
        <v>901</v>
      </c>
      <c r="BD10" s="267">
        <f t="shared" si="30"/>
        <v>879</v>
      </c>
      <c r="BE10" s="267">
        <f t="shared" si="31"/>
        <v>859</v>
      </c>
      <c r="BF10" s="267">
        <f t="shared" si="32"/>
        <v>843</v>
      </c>
      <c r="BG10" s="269">
        <f>AY10*VLOOKUP($B10,'Major Cities &amp; Towns'!$A$28:$B$345,2,FALSE)</f>
        <v>1006</v>
      </c>
      <c r="BH10" s="269">
        <f>AZ10*VLOOKUP($B10,'Major Cities &amp; Towns'!$A$28:$B$345,2,FALSE)</f>
        <v>1039</v>
      </c>
      <c r="BI10" s="269">
        <f>BA10*VLOOKUP($B10,'Major Cities &amp; Towns'!$A$28:$B$345,2,FALSE)</f>
        <v>967</v>
      </c>
      <c r="BJ10" s="269">
        <f>BB10*VLOOKUP($B10,'Major Cities &amp; Towns'!$A$28:$B$345,2,FALSE)</f>
        <v>924</v>
      </c>
      <c r="BK10" s="269">
        <f>BC10*VLOOKUP($B10,'Major Cities &amp; Towns'!$A$28:$B$345,2,FALSE)</f>
        <v>901</v>
      </c>
      <c r="BL10" s="269">
        <f>BD10*VLOOKUP($B10,'Major Cities &amp; Towns'!$A$28:$B$345,2,FALSE)</f>
        <v>879</v>
      </c>
      <c r="BM10" s="269">
        <f>BE10*VLOOKUP($B10,'Major Cities &amp; Towns'!$A$28:$B$345,2,FALSE)</f>
        <v>859</v>
      </c>
      <c r="BN10" s="269">
        <f>BF10*VLOOKUP($B10,'Major Cities &amp; Towns'!$A$28:$B$345,2,FALSE)</f>
        <v>843</v>
      </c>
      <c r="BO10" s="270">
        <f t="shared" si="33"/>
        <v>888</v>
      </c>
      <c r="BP10" s="270">
        <f t="shared" si="34"/>
        <v>888</v>
      </c>
      <c r="BQ10" s="270">
        <f t="shared" si="34"/>
        <v>888</v>
      </c>
      <c r="BR10" s="270">
        <f t="shared" si="34"/>
        <v>888</v>
      </c>
      <c r="BS10" s="270">
        <f t="shared" si="34"/>
        <v>888</v>
      </c>
      <c r="BT10" s="270">
        <f t="shared" si="34"/>
        <v>879</v>
      </c>
      <c r="BU10" s="270">
        <f t="shared" si="34"/>
        <v>859</v>
      </c>
      <c r="BV10" s="270">
        <f t="shared" si="34"/>
        <v>843</v>
      </c>
      <c r="BW10" s="39">
        <f>VLOOKUP($A10,NetAdditions!$A$2:$H$336,6,FALSE)</f>
        <v>878</v>
      </c>
      <c r="BX10" s="39">
        <f>VLOOKUP($A10,NetAdditions!$A$2:$H$336,7,FALSE)</f>
        <v>708</v>
      </c>
      <c r="BY10" s="39">
        <f>IF((VLOOKUP($C10,NetAdditions!$A$2:$H$336,8,FALSE))="",(AVERAGE(VLOOKUP($C10,NetAdditions!$A$2:$H$336,5,FALSE),VLOOKUP($C10,NetAdditions!$A$2:$H$336,6,FALSE),VLOOKUP($C10,NetAdditions!$A$2:$H$336,7,FALSE))),VLOOKUP($C10,NetAdditions!$A$2:$H$336,8,FALSE))</f>
        <v>1099</v>
      </c>
      <c r="BZ10" s="39">
        <f t="shared" si="35"/>
        <v>895</v>
      </c>
      <c r="CA10" s="39">
        <f t="shared" si="4"/>
        <v>900.66666666666663</v>
      </c>
      <c r="CB10" s="39">
        <f t="shared" si="4"/>
        <v>964.8888888888888</v>
      </c>
      <c r="CC10" s="39">
        <f t="shared" si="4"/>
        <v>920.18518518518511</v>
      </c>
      <c r="CD10" s="39">
        <f t="shared" si="4"/>
        <v>928.58024691358014</v>
      </c>
      <c r="CE10" s="276">
        <f t="shared" si="5"/>
        <v>2664</v>
      </c>
      <c r="CF10" s="276">
        <f t="shared" si="6"/>
        <v>2664</v>
      </c>
      <c r="CG10" s="276">
        <f t="shared" si="7"/>
        <v>2664</v>
      </c>
      <c r="CH10" s="276">
        <f t="shared" si="8"/>
        <v>2655</v>
      </c>
      <c r="CI10" s="276">
        <f t="shared" si="9"/>
        <v>2626</v>
      </c>
      <c r="CJ10" s="276">
        <f t="shared" si="10"/>
        <v>2581</v>
      </c>
      <c r="CK10" s="276">
        <f t="shared" si="36"/>
        <v>2294</v>
      </c>
      <c r="CL10" s="276">
        <f t="shared" si="37"/>
        <v>2294</v>
      </c>
      <c r="CM10" s="276">
        <f t="shared" si="38"/>
        <v>2442</v>
      </c>
      <c r="CN10" s="276">
        <f t="shared" si="39"/>
        <v>2655</v>
      </c>
      <c r="CO10" s="276">
        <f t="shared" si="39"/>
        <v>2626</v>
      </c>
      <c r="CP10" s="276">
        <f t="shared" si="11"/>
        <v>2581</v>
      </c>
      <c r="CQ10" s="39">
        <f t="shared" si="12"/>
        <v>2685</v>
      </c>
      <c r="CR10" s="39">
        <f t="shared" si="13"/>
        <v>2702</v>
      </c>
      <c r="CS10" s="277">
        <f t="shared" si="14"/>
        <v>2894.6666666666665</v>
      </c>
      <c r="CT10" s="39">
        <f t="shared" si="15"/>
        <v>2760.5555555555552</v>
      </c>
      <c r="CU10" s="39">
        <f t="shared" si="16"/>
        <v>2785.7407407407404</v>
      </c>
      <c r="CV10" s="39">
        <f t="shared" si="17"/>
        <v>2813.654320987654</v>
      </c>
      <c r="CW10" s="297">
        <f t="shared" si="18"/>
        <v>1.1704446381865736</v>
      </c>
      <c r="CX10" s="279" t="str">
        <f t="shared" si="40"/>
        <v>Pass</v>
      </c>
      <c r="CY10" s="278">
        <f t="shared" si="19"/>
        <v>1.1778552746294682</v>
      </c>
      <c r="CZ10" s="279" t="str">
        <f t="shared" si="41"/>
        <v>Pass</v>
      </c>
      <c r="DA10" s="278">
        <f t="shared" si="20"/>
        <v>1.1853671853671852</v>
      </c>
      <c r="DB10" s="292" t="str">
        <f t="shared" si="42"/>
        <v>Pass</v>
      </c>
      <c r="DC10" s="299">
        <f t="shared" si="43"/>
        <v>1.0397572713956893</v>
      </c>
      <c r="DD10" s="293" t="str">
        <f t="shared" si="44"/>
        <v>Pass</v>
      </c>
      <c r="DE10" s="299">
        <f t="shared" si="45"/>
        <v>1.0608304420185608</v>
      </c>
      <c r="DF10" s="293" t="str">
        <f t="shared" si="46"/>
        <v>Pass</v>
      </c>
      <c r="DG10" s="299">
        <f t="shared" si="47"/>
        <v>1.0901411549739071</v>
      </c>
      <c r="DH10" s="293" t="str">
        <f t="shared" si="48"/>
        <v>Pass</v>
      </c>
    </row>
    <row r="11" spans="1:112" ht="15" thickTop="1" thickBot="1">
      <c r="A11" s="38" t="s">
        <v>126</v>
      </c>
      <c r="B11" s="38" t="s">
        <v>127</v>
      </c>
      <c r="C11" s="38" t="s">
        <v>126</v>
      </c>
      <c r="D11" s="38" t="s">
        <v>128</v>
      </c>
      <c r="E11" s="38" t="str">
        <f>VLOOKUP(C11,PoliticalControl!A:K,11,FALSE)</f>
        <v>NOC</v>
      </c>
      <c r="F11" s="38" t="str">
        <f>VLOOKUP(C11,UrbanRuralClassification!A:N,13,FALSE)</f>
        <v xml:space="preserve">Mainly Rural (rural including hub towns &gt;=80%) </v>
      </c>
      <c r="G11" s="38" t="str">
        <f>VLOOKUP(C11,UrbanRuralClassification!A:N,14,FALSE)</f>
        <v>Predominantly Rural</v>
      </c>
      <c r="H11" s="258">
        <f>IF(ISBLANK((VLOOKUP($A11,'local-plan-data'!$C$1:$AD$566,27,FALSE)))=TRUE,"",VLOOKUP($A11,'local-plan-data'!$C$1:$AD$566,27,FALSE))</f>
        <v>41695</v>
      </c>
      <c r="I11" s="259">
        <f>VLOOKUP($A11,'local-plan-data'!$C$1:$AD$566,28,FALSE)</f>
        <v>298.75</v>
      </c>
      <c r="J11" s="260">
        <f t="shared" si="21"/>
        <v>298.75</v>
      </c>
      <c r="K11" s="259">
        <f t="shared" si="22"/>
        <v>298.75</v>
      </c>
      <c r="L11" s="259" t="str">
        <f t="shared" si="0"/>
        <v>-</v>
      </c>
      <c r="M11" s="259" t="str">
        <f t="shared" si="0"/>
        <v>-</v>
      </c>
      <c r="N11" s="259" t="str">
        <f t="shared" si="0"/>
        <v>-</v>
      </c>
      <c r="O11" s="259" t="str">
        <f t="shared" si="0"/>
        <v>-</v>
      </c>
      <c r="P11" s="259" t="str">
        <f t="shared" si="0"/>
        <v>-</v>
      </c>
      <c r="Q11" s="259" t="str">
        <f t="shared" si="0"/>
        <v>-</v>
      </c>
      <c r="R11" s="259" t="str">
        <f t="shared" si="0"/>
        <v>-</v>
      </c>
      <c r="S11" s="259">
        <f t="shared" si="23"/>
        <v>330</v>
      </c>
      <c r="T11" s="259">
        <f t="shared" si="1"/>
        <v>-35</v>
      </c>
      <c r="U11" s="259">
        <f t="shared" si="1"/>
        <v>-401</v>
      </c>
      <c r="V11" s="259">
        <f t="shared" si="1"/>
        <v>-766</v>
      </c>
      <c r="W11" s="259">
        <f t="shared" si="1"/>
        <v>-1131</v>
      </c>
      <c r="X11" s="259">
        <f t="shared" si="1"/>
        <v>-1496</v>
      </c>
      <c r="Y11" s="259">
        <f t="shared" si="1"/>
        <v>-1862</v>
      </c>
      <c r="Z11" s="259">
        <f t="shared" si="1"/>
        <v>-2227</v>
      </c>
      <c r="AA11" s="267">
        <f>(VLOOKUP(A11,Hshldprojections2014!$A$2:$AW$319,40, FALSE)-VLOOKUP(A11,Hshldprojections2014!$A$2:$AW$319,30, FALSE))/10</f>
        <v>298</v>
      </c>
      <c r="AB11" s="267">
        <f>(VLOOKUP(A11,Hshldprojections2014!$A$2:$AW$319,41, FALSE)-VLOOKUP(A11,Hshldprojections2014!$A$2:$AW$319,31, FALSE))/10</f>
        <v>293.2</v>
      </c>
      <c r="AC11" s="267">
        <f>(VLOOKUP(A11,Hshldprojections2014!$A$2:$AW$319,42, FALSE)-VLOOKUP(A11,Hshldprojections2014!$A$2:$AW$319,32, FALSE))/10</f>
        <v>290</v>
      </c>
      <c r="AD11" s="267">
        <f>IF(IndividualLATest!$J$7=2014,(VLOOKUP($A11,Hshldprojections2014!$A$2:$AY$326,43,FALSE)-VLOOKUP($A11,Hshldprojections2014!$A$2:$AY$326,33,FALSE))/10,IF(IndividualLATest!$J$7=2016,(VLOOKUP($A11,Hshldprojections2016!$A$1:$AQ$322,33,FALSE)-VLOOKUP($A11,Hshldprojections2016!$A$1:$AQ$322,23,FALSE))/10,(VLOOKUP($A11,Hshldprojections2018!$A$1:$AQ$327,33,FALSE)-VLOOKUP($A11,Hshldprojections2018!$A$1:$AQ$327,23,FALSE))/10))</f>
        <v>338.9</v>
      </c>
      <c r="AE11" s="267">
        <f>IF(IndividualLATest!$J$7=2014,(VLOOKUP($A11,Hshldprojections2014!$A$2:$AY$326,44,FALSE)-VLOOKUP($A11,Hshldprojections2014!$A$2:$AY$326,34,FALSE))/10,IF(IndividualLATest!$J$7=2016,(VLOOKUP($A11,Hshldprojections2016!$A$1:$AQ$322,34,FALSE)-VLOOKUP($A11,Hshldprojections2016!$A$1:$AQ$322,24,FALSE))/10,(VLOOKUP($A11,Hshldprojections2018!$A$1:$AQ$327,34,FALSE)-VLOOKUP($A11,Hshldprojections2018!$A$1:$AQ$327,24,FALSE))/10))</f>
        <v>326.3</v>
      </c>
      <c r="AF11" s="267">
        <f>IF(IndividualLATest!$J$7=2014,(VLOOKUP($A11,Hshldprojections2014!$A$2:$AY$326,45,FALSE)-VLOOKUP($A11,Hshldprojections2014!$A$2:$AY$326,35,FALSE))/10,IF(IndividualLATest!$J$7=2016,(VLOOKUP($A11,Hshldprojections2016!$A$1:$AQ$322,35,FALSE)-VLOOKUP($A11,Hshldprojections2016!$A$1:$AQ$322,25,FALSE))/10,(VLOOKUP($A11,Hshldprojections2018!$A$1:$AQ$327,35,FALSE)-VLOOKUP($A11,Hshldprojections2018!$A$1:$AQ$327,25,FALSE))/10))</f>
        <v>315.5</v>
      </c>
      <c r="AG11" s="267">
        <f>IF(IndividualLATest!$J$7=2014,(VLOOKUP($A11,Hshldprojections2014!$A$2:$AY$326,46,FALSE)-VLOOKUP($A11,Hshldprojections2014!$A$2:$AY$326,36,FALSE))/10,IF(IndividualLATest!$J$7=2016,(VLOOKUP($A11,Hshldprojections2016!$A$1:$AQ$322,36,FALSE)-VLOOKUP($A11,Hshldprojections2016!$A$1:$AQ$322,26,FALSE))/10,(VLOOKUP($A11,Hshldprojections2018!$A$1:$AQ$327,36,FALSE)-VLOOKUP($A11,Hshldprojections2018!$A$1:$AQ$327,26,FALSE))/10))</f>
        <v>304.3</v>
      </c>
      <c r="AH11" s="267">
        <f>IF(IndividualLATest!$J$7=2014,(VLOOKUP($A11,Hshldprojections2014!$A$2:$AY$326,47,FALSE)-VLOOKUP($A11,Hshldprojections2014!$A$2:$AY$326,37,FALSE))/10,IF(IndividualLATest!$J$7=2016,(VLOOKUP($A11,Hshldprojections2016!$A$1:$AQ$322,37,FALSE)-VLOOKUP($A11,Hshldprojections2016!$A$1:$AQ$322,27,FALSE))/10,(VLOOKUP($A11,Hshldprojections2018!$A$1:$AQ$327,37,FALSE)-VLOOKUP($A11,Hshldprojections2018!$A$1:$AQ$327,27,FALSE))/10))</f>
        <v>294.89999999999998</v>
      </c>
      <c r="AI11" s="268">
        <f>IF(ISNUMBER('Sensitivity Tests'!$C$30),'Sensitivity Tests'!$C$30,VLOOKUP($A11,AffordabilityRatio!$A$2:$I$321,5,FALSE))</f>
        <v>10.74</v>
      </c>
      <c r="AJ11" s="268">
        <f>IF(ISNUMBER('Sensitivity Tests'!$C$30),'Sensitivity Tests'!$C$30,VLOOKUP($A11,AffordabilityRatio!$A$2:$I$321,6,FALSE))</f>
        <v>11.48</v>
      </c>
      <c r="AK11" s="268">
        <f>IF(ISNUMBER('Sensitivity Tests'!$C$30),'Sensitivity Tests'!$C$30,VLOOKUP($A11,AffordabilityRatio!$A$2:$I$321,7,FALSE))</f>
        <v>10.87</v>
      </c>
      <c r="AL11" s="268">
        <f>IF(ISNUMBER('Sensitivity Tests'!$C$30),'Sensitivity Tests'!$C$30,IF((VLOOKUP($A11,AffordabilityRatio!$A$2:$I$321,8,FALSE))="",AK11,VLOOKUP($A11,AffordabilityRatio!$A$2:$I$321,8,FALSE)))</f>
        <v>10.68</v>
      </c>
      <c r="AM11" s="268">
        <f>IF(ISNUMBER('Sensitivity Tests'!$C$30),'Sensitivity Tests'!$C$30,IF((VLOOKUP($A11,AffordabilityRatio!$A$2:$I$321,9,FALSE))="",AL11,VLOOKUP($A11,AffordabilityRatio!$A$2:$I$321,9,FALSE)))</f>
        <v>11.84</v>
      </c>
      <c r="AN11" s="268">
        <f>IF(ISNUMBER('Sensitivity Tests'!$C$30),'Sensitivity Tests'!$C$30,IF((VLOOKUP($A11,AffordabilityRatio!$A$2:$I$321,9,FALSE))="",AM11,VLOOKUP($A11,AffordabilityRatio!$A$2:$I$321,9,FALSE)))</f>
        <v>11.84</v>
      </c>
      <c r="AO11" s="268">
        <f>IF(ISNUMBER('Sensitivity Tests'!$C$30),'Sensitivity Tests'!$C$30,IF((VLOOKUP($A11,AffordabilityRatio!$A$2:$I$321,9,FALSE))="",AN11,VLOOKUP($A11,AffordabilityRatio!$A$2:$I$321,9,FALSE)))</f>
        <v>11.84</v>
      </c>
      <c r="AP11" s="268">
        <f>IF(ISNUMBER('Sensitivity Tests'!$C$30),'Sensitivity Tests'!$C$30,IF((VLOOKUP($A11,AffordabilityRatio!$A$2:$I$321,9,FALSE))="",AO11,VLOOKUP($A11,AffordabilityRatio!$A$2:$I$321,9,FALSE)))</f>
        <v>11.84</v>
      </c>
      <c r="AQ11" s="267">
        <f t="shared" si="24"/>
        <v>424</v>
      </c>
      <c r="AR11" s="267">
        <f t="shared" si="2"/>
        <v>430</v>
      </c>
      <c r="AS11" s="267">
        <f t="shared" si="2"/>
        <v>415</v>
      </c>
      <c r="AT11" s="267">
        <f t="shared" si="2"/>
        <v>480</v>
      </c>
      <c r="AU11" s="267">
        <f t="shared" si="2"/>
        <v>486</v>
      </c>
      <c r="AV11" s="267">
        <f t="shared" si="2"/>
        <v>470</v>
      </c>
      <c r="AW11" s="267">
        <f t="shared" si="2"/>
        <v>453</v>
      </c>
      <c r="AX11" s="267">
        <f t="shared" si="2"/>
        <v>439</v>
      </c>
      <c r="AY11" s="267">
        <f t="shared" si="25"/>
        <v>418.25</v>
      </c>
      <c r="AZ11" s="267">
        <f t="shared" si="26"/>
        <v>418.25</v>
      </c>
      <c r="BA11" s="267">
        <f t="shared" si="27"/>
        <v>415</v>
      </c>
      <c r="BB11" s="267">
        <f t="shared" si="28"/>
        <v>474.46</v>
      </c>
      <c r="BC11" s="267">
        <f t="shared" si="29"/>
        <v>456.82000000000005</v>
      </c>
      <c r="BD11" s="267">
        <f t="shared" si="30"/>
        <v>441.7</v>
      </c>
      <c r="BE11" s="267">
        <f t="shared" si="31"/>
        <v>426.02000000000004</v>
      </c>
      <c r="BF11" s="267">
        <f t="shared" si="32"/>
        <v>418.25</v>
      </c>
      <c r="BG11" s="269">
        <f>AY11*VLOOKUP($B11,'Major Cities &amp; Towns'!$A$28:$B$345,2,FALSE)</f>
        <v>418.25</v>
      </c>
      <c r="BH11" s="269">
        <f>AZ11*VLOOKUP($B11,'Major Cities &amp; Towns'!$A$28:$B$345,2,FALSE)</f>
        <v>418.25</v>
      </c>
      <c r="BI11" s="269">
        <f>BA11*VLOOKUP($B11,'Major Cities &amp; Towns'!$A$28:$B$345,2,FALSE)</f>
        <v>415</v>
      </c>
      <c r="BJ11" s="269">
        <f>BB11*VLOOKUP($B11,'Major Cities &amp; Towns'!$A$28:$B$345,2,FALSE)</f>
        <v>474.46</v>
      </c>
      <c r="BK11" s="269">
        <f>BC11*VLOOKUP($B11,'Major Cities &amp; Towns'!$A$28:$B$345,2,FALSE)</f>
        <v>456.82000000000005</v>
      </c>
      <c r="BL11" s="269">
        <f>BD11*VLOOKUP($B11,'Major Cities &amp; Towns'!$A$28:$B$345,2,FALSE)</f>
        <v>441.7</v>
      </c>
      <c r="BM11" s="269">
        <f>BE11*VLOOKUP($B11,'Major Cities &amp; Towns'!$A$28:$B$345,2,FALSE)</f>
        <v>426.02000000000004</v>
      </c>
      <c r="BN11" s="269">
        <f>BF11*VLOOKUP($B11,'Major Cities &amp; Towns'!$A$28:$B$345,2,FALSE)</f>
        <v>418.25</v>
      </c>
      <c r="BO11" s="270">
        <f t="shared" si="33"/>
        <v>310.7602739726027</v>
      </c>
      <c r="BP11" s="270">
        <f t="shared" si="34"/>
        <v>430</v>
      </c>
      <c r="BQ11" s="270">
        <f t="shared" si="34"/>
        <v>415</v>
      </c>
      <c r="BR11" s="270">
        <f t="shared" si="34"/>
        <v>480</v>
      </c>
      <c r="BS11" s="270">
        <f t="shared" si="34"/>
        <v>486</v>
      </c>
      <c r="BT11" s="270">
        <f t="shared" si="34"/>
        <v>470</v>
      </c>
      <c r="BU11" s="270">
        <f t="shared" si="34"/>
        <v>453</v>
      </c>
      <c r="BV11" s="270">
        <f t="shared" si="34"/>
        <v>439</v>
      </c>
      <c r="BW11" s="39">
        <f>VLOOKUP($A11,NetAdditions!$A$2:$H$336,6,FALSE)</f>
        <v>579</v>
      </c>
      <c r="BX11" s="39">
        <f>VLOOKUP($A11,NetAdditions!$A$2:$H$336,7,FALSE)</f>
        <v>293</v>
      </c>
      <c r="BY11" s="39">
        <f>IF((VLOOKUP($C11,NetAdditions!$A$2:$H$336,8,FALSE))="",(AVERAGE(VLOOKUP($C11,NetAdditions!$A$2:$H$336,5,FALSE),VLOOKUP($C11,NetAdditions!$A$2:$H$336,6,FALSE),VLOOKUP($C11,NetAdditions!$A$2:$H$336,7,FALSE))),VLOOKUP($C11,NetAdditions!$A$2:$H$336,8,FALSE))</f>
        <v>527</v>
      </c>
      <c r="BZ11" s="39">
        <f t="shared" si="35"/>
        <v>466.33333333333331</v>
      </c>
      <c r="CA11" s="39">
        <f t="shared" si="4"/>
        <v>428.77777777777777</v>
      </c>
      <c r="CB11" s="39">
        <f t="shared" si="4"/>
        <v>474.03703703703701</v>
      </c>
      <c r="CC11" s="39">
        <f t="shared" si="4"/>
        <v>456.38271604938268</v>
      </c>
      <c r="CD11" s="39">
        <f t="shared" si="4"/>
        <v>453.06584362139915</v>
      </c>
      <c r="CE11" s="276">
        <f t="shared" si="5"/>
        <v>1155.7602739726026</v>
      </c>
      <c r="CF11" s="276">
        <f t="shared" si="6"/>
        <v>1325</v>
      </c>
      <c r="CG11" s="276">
        <f t="shared" si="7"/>
        <v>1381</v>
      </c>
      <c r="CH11" s="276">
        <f t="shared" si="8"/>
        <v>1436</v>
      </c>
      <c r="CI11" s="276">
        <f t="shared" si="9"/>
        <v>1409</v>
      </c>
      <c r="CJ11" s="276">
        <f t="shared" si="10"/>
        <v>1362</v>
      </c>
      <c r="CK11" s="276">
        <f t="shared" si="36"/>
        <v>995.23801369863008</v>
      </c>
      <c r="CL11" s="276">
        <f t="shared" si="37"/>
        <v>1140.9722222222224</v>
      </c>
      <c r="CM11" s="276">
        <f t="shared" si="38"/>
        <v>1265.9166666666665</v>
      </c>
      <c r="CN11" s="276">
        <f t="shared" si="39"/>
        <v>1436</v>
      </c>
      <c r="CO11" s="276">
        <f t="shared" si="39"/>
        <v>1409</v>
      </c>
      <c r="CP11" s="276">
        <f t="shared" si="11"/>
        <v>1362</v>
      </c>
      <c r="CQ11" s="39">
        <f t="shared" si="12"/>
        <v>1399</v>
      </c>
      <c r="CR11" s="39">
        <f t="shared" si="13"/>
        <v>1286.3333333333333</v>
      </c>
      <c r="CS11" s="277">
        <f t="shared" si="14"/>
        <v>1422.1111111111111</v>
      </c>
      <c r="CT11" s="39">
        <f t="shared" si="15"/>
        <v>1369.148148148148</v>
      </c>
      <c r="CU11" s="39">
        <f t="shared" si="16"/>
        <v>1359.1975308641975</v>
      </c>
      <c r="CV11" s="39">
        <f t="shared" si="17"/>
        <v>1383.4855967078188</v>
      </c>
      <c r="CW11" s="297">
        <f t="shared" si="18"/>
        <v>1.4056938950722533</v>
      </c>
      <c r="CX11" s="279" t="str">
        <f t="shared" si="40"/>
        <v>Pass</v>
      </c>
      <c r="CY11" s="278">
        <f t="shared" si="19"/>
        <v>1.1274010955569078</v>
      </c>
      <c r="CZ11" s="279" t="str">
        <f t="shared" si="41"/>
        <v>Pass</v>
      </c>
      <c r="DA11" s="278">
        <f t="shared" si="20"/>
        <v>1.1233844600969873</v>
      </c>
      <c r="DB11" s="292" t="str">
        <f t="shared" si="42"/>
        <v>Pass</v>
      </c>
      <c r="DC11" s="299">
        <f t="shared" si="43"/>
        <v>0.95344578561848747</v>
      </c>
      <c r="DD11" s="293" t="str">
        <f t="shared" si="44"/>
        <v>Pass</v>
      </c>
      <c r="DE11" s="299">
        <f t="shared" si="45"/>
        <v>0.96465403184116216</v>
      </c>
      <c r="DF11" s="293" t="str">
        <f t="shared" si="46"/>
        <v>Pass</v>
      </c>
      <c r="DG11" s="299">
        <f t="shared" si="47"/>
        <v>1.0157750342935528</v>
      </c>
      <c r="DH11" s="293" t="str">
        <f t="shared" si="48"/>
        <v>Pass</v>
      </c>
    </row>
    <row r="12" spans="1:112" customFormat="1" ht="15.5" thickTop="1" thickBot="1">
      <c r="A12" s="3" t="s">
        <v>129</v>
      </c>
      <c r="B12" s="3" t="s">
        <v>130</v>
      </c>
      <c r="C12" s="3" t="s">
        <v>129</v>
      </c>
      <c r="D12" s="3" t="s">
        <v>131</v>
      </c>
      <c r="E12" s="3" t="str">
        <f>VLOOKUP(C12,PoliticalControl!A:K,11,FALSE)</f>
        <v>LAB</v>
      </c>
      <c r="F12" s="3" t="str">
        <f>VLOOKUP(C12,UrbanRuralClassification!A:N,13,FALSE)</f>
        <v>Urban with Major Conurbation</v>
      </c>
      <c r="G12" s="3" t="str">
        <f>VLOOKUP(C12,UrbanRuralClassification!A:N,14,FALSE)</f>
        <v>Predominantly Urban</v>
      </c>
      <c r="H12" s="262">
        <f>IF(ISBLANK((VLOOKUP($A12,'local-plan-data'!$C$1:$AD$566,27,FALSE)))=TRUE,"",VLOOKUP($A12,'local-plan-data'!$C$1:$AD$566,27,FALSE))</f>
        <v>40380</v>
      </c>
      <c r="I12" s="263">
        <f>VLOOKUP($A12,'local-plan-data'!$C$1:$AD$566,28,FALSE)</f>
        <v>1190</v>
      </c>
      <c r="J12" s="264">
        <f t="shared" si="21"/>
        <v>1190</v>
      </c>
      <c r="K12" s="259" t="str">
        <f t="shared" si="22"/>
        <v>-</v>
      </c>
      <c r="L12" s="259" t="str">
        <f t="shared" si="0"/>
        <v>-</v>
      </c>
      <c r="M12" s="259" t="str">
        <f t="shared" si="0"/>
        <v>-</v>
      </c>
      <c r="N12" s="259" t="str">
        <f t="shared" si="0"/>
        <v>-</v>
      </c>
      <c r="O12" s="259" t="str">
        <f t="shared" si="0"/>
        <v>-</v>
      </c>
      <c r="P12" s="259" t="str">
        <f t="shared" si="0"/>
        <v>-</v>
      </c>
      <c r="Q12" s="259" t="str">
        <f t="shared" si="0"/>
        <v>-</v>
      </c>
      <c r="R12" s="259" t="str">
        <f t="shared" si="0"/>
        <v>-</v>
      </c>
      <c r="S12" s="259">
        <f t="shared" si="23"/>
        <v>-985</v>
      </c>
      <c r="T12" s="259">
        <f t="shared" si="1"/>
        <v>-1350</v>
      </c>
      <c r="U12" s="259">
        <f t="shared" si="1"/>
        <v>-1716</v>
      </c>
      <c r="V12" s="259">
        <f t="shared" si="1"/>
        <v>-2081</v>
      </c>
      <c r="W12" s="259">
        <f t="shared" si="1"/>
        <v>-2446</v>
      </c>
      <c r="X12" s="259">
        <f t="shared" si="1"/>
        <v>-2811</v>
      </c>
      <c r="Y12" s="259">
        <f t="shared" si="1"/>
        <v>-3177</v>
      </c>
      <c r="Z12" s="259">
        <f t="shared" si="1"/>
        <v>-3542</v>
      </c>
      <c r="AA12" s="267">
        <f>(VLOOKUP(A12,Hshldprojections2014!$A$2:$AW$319,40, FALSE)-VLOOKUP(A12,Hshldprojections2014!$A$2:$AW$319,30, FALSE))/10</f>
        <v>1597.7</v>
      </c>
      <c r="AB12" s="267">
        <f>(VLOOKUP(A12,Hshldprojections2014!$A$2:$AW$319,41, FALSE)-VLOOKUP(A12,Hshldprojections2014!$A$2:$AW$319,31, FALSE))/10</f>
        <v>1589.4</v>
      </c>
      <c r="AC12" s="267">
        <f>(VLOOKUP(A12,Hshldprojections2014!$A$2:$AW$319,42, FALSE)-VLOOKUP(A12,Hshldprojections2014!$A$2:$AW$319,32, FALSE))/10</f>
        <v>1578.4</v>
      </c>
      <c r="AD12" s="267">
        <f>IF(IndividualLATest!$J$7=2014,(VLOOKUP($A12,Hshldprojections2014!$A$2:$AY$326,43,FALSE)-VLOOKUP($A12,Hshldprojections2014!$A$2:$AY$326,33,FALSE))/10,IF(IndividualLATest!$J$7=2016,(VLOOKUP($A12,Hshldprojections2016!$A$1:$AQ$322,33,FALSE)-VLOOKUP($A12,Hshldprojections2016!$A$1:$AQ$322,23,FALSE))/10,(VLOOKUP($A12,Hshldprojections2018!$A$1:$AQ$327,33,FALSE)-VLOOKUP($A12,Hshldprojections2018!$A$1:$AQ$327,23,FALSE))/10))</f>
        <v>574.20000000000005</v>
      </c>
      <c r="AE12" s="267">
        <f>IF(IndividualLATest!$J$7=2014,(VLOOKUP($A12,Hshldprojections2014!$A$2:$AY$326,44,FALSE)-VLOOKUP($A12,Hshldprojections2014!$A$2:$AY$326,34,FALSE))/10,IF(IndividualLATest!$J$7=2016,(VLOOKUP($A12,Hshldprojections2016!$A$1:$AQ$322,34,FALSE)-VLOOKUP($A12,Hshldprojections2016!$A$1:$AQ$322,24,FALSE))/10,(VLOOKUP($A12,Hshldprojections2018!$A$1:$AQ$327,34,FALSE)-VLOOKUP($A12,Hshldprojections2018!$A$1:$AQ$327,24,FALSE))/10))</f>
        <v>557.1</v>
      </c>
      <c r="AF12" s="267">
        <f>IF(IndividualLATest!$J$7=2014,(VLOOKUP($A12,Hshldprojections2014!$A$2:$AY$326,45,FALSE)-VLOOKUP($A12,Hshldprojections2014!$A$2:$AY$326,35,FALSE))/10,IF(IndividualLATest!$J$7=2016,(VLOOKUP($A12,Hshldprojections2016!$A$1:$AQ$322,35,FALSE)-VLOOKUP($A12,Hshldprojections2016!$A$1:$AQ$322,25,FALSE))/10,(VLOOKUP($A12,Hshldprojections2018!$A$1:$AQ$327,35,FALSE)-VLOOKUP($A12,Hshldprojections2018!$A$1:$AQ$327,25,FALSE))/10))</f>
        <v>540.1</v>
      </c>
      <c r="AG12" s="267">
        <f>IF(IndividualLATest!$J$7=2014,(VLOOKUP($A12,Hshldprojections2014!$A$2:$AY$326,46,FALSE)-VLOOKUP($A12,Hshldprojections2014!$A$2:$AY$326,36,FALSE))/10,IF(IndividualLATest!$J$7=2016,(VLOOKUP($A12,Hshldprojections2016!$A$1:$AQ$322,36,FALSE)-VLOOKUP($A12,Hshldprojections2016!$A$1:$AQ$322,26,FALSE))/10,(VLOOKUP($A12,Hshldprojections2018!$A$1:$AQ$327,36,FALSE)-VLOOKUP($A12,Hshldprojections2018!$A$1:$AQ$327,26,FALSE))/10))</f>
        <v>527.9</v>
      </c>
      <c r="AH12" s="267">
        <f>IF(IndividualLATest!$J$7=2014,(VLOOKUP($A12,Hshldprojections2014!$A$2:$AY$326,47,FALSE)-VLOOKUP($A12,Hshldprojections2014!$A$2:$AY$326,37,FALSE))/10,IF(IndividualLATest!$J$7=2016,(VLOOKUP($A12,Hshldprojections2016!$A$1:$AQ$322,37,FALSE)-VLOOKUP($A12,Hshldprojections2016!$A$1:$AQ$322,27,FALSE))/10,(VLOOKUP($A12,Hshldprojections2018!$A$1:$AQ$327,37,FALSE)-VLOOKUP($A12,Hshldprojections2018!$A$1:$AQ$327,27,FALSE))/10))</f>
        <v>514.5</v>
      </c>
      <c r="AI12" s="268">
        <f>IF(ISNUMBER('Sensitivity Tests'!$C$30),'Sensitivity Tests'!$C$30,VLOOKUP($A12,AffordabilityRatio!$A$2:$I$321,5,FALSE))</f>
        <v>10.58</v>
      </c>
      <c r="AJ12" s="268">
        <f>IF(ISNUMBER('Sensitivity Tests'!$C$30),'Sensitivity Tests'!$C$30,VLOOKUP($A12,AffordabilityRatio!$A$2:$I$321,6,FALSE))</f>
        <v>10.17</v>
      </c>
      <c r="AK12" s="268">
        <f>IF(ISNUMBER('Sensitivity Tests'!$C$30),'Sensitivity Tests'!$C$30,VLOOKUP($A12,AffordabilityRatio!$A$2:$I$321,7,FALSE))</f>
        <v>10.98</v>
      </c>
      <c r="AL12" s="268">
        <f>IF(ISNUMBER('Sensitivity Tests'!$C$30),'Sensitivity Tests'!$C$30,IF((VLOOKUP($A12,AffordabilityRatio!$A$2:$I$321,8,FALSE))="",AK12,VLOOKUP($A12,AffordabilityRatio!$A$2:$I$321,8,FALSE)))</f>
        <v>9.86</v>
      </c>
      <c r="AM12" s="268">
        <f>IF(ISNUMBER('Sensitivity Tests'!$C$30),'Sensitivity Tests'!$C$30,IF((VLOOKUP($A12,AffordabilityRatio!$A$2:$I$321,9,FALSE))="",AL12,VLOOKUP($A12,AffordabilityRatio!$A$2:$I$321,9,FALSE)))</f>
        <v>10.3</v>
      </c>
      <c r="AN12" s="268">
        <f>IF(ISNUMBER('Sensitivity Tests'!$C$30),'Sensitivity Tests'!$C$30,IF((VLOOKUP($A12,AffordabilityRatio!$A$2:$I$321,9,FALSE))="",AM12,VLOOKUP($A12,AffordabilityRatio!$A$2:$I$321,9,FALSE)))</f>
        <v>10.3</v>
      </c>
      <c r="AO12" s="268">
        <f>IF(ISNUMBER('Sensitivity Tests'!$C$30),'Sensitivity Tests'!$C$30,IF((VLOOKUP($A12,AffordabilityRatio!$A$2:$I$321,9,FALSE))="",AN12,VLOOKUP($A12,AffordabilityRatio!$A$2:$I$321,9,FALSE)))</f>
        <v>10.3</v>
      </c>
      <c r="AP12" s="268">
        <f>IF(ISNUMBER('Sensitivity Tests'!$C$30),'Sensitivity Tests'!$C$30,IF((VLOOKUP($A12,AffordabilityRatio!$A$2:$I$321,9,FALSE))="",AO12,VLOOKUP($A12,AffordabilityRatio!$A$2:$I$321,9,FALSE)))</f>
        <v>10.3</v>
      </c>
      <c r="AQ12" s="267">
        <f t="shared" si="24"/>
        <v>2255</v>
      </c>
      <c r="AR12" s="267">
        <f t="shared" si="2"/>
        <v>2202</v>
      </c>
      <c r="AS12" s="267">
        <f t="shared" si="2"/>
        <v>2267</v>
      </c>
      <c r="AT12" s="267">
        <f t="shared" si="2"/>
        <v>785</v>
      </c>
      <c r="AU12" s="267">
        <f t="shared" si="2"/>
        <v>776</v>
      </c>
      <c r="AV12" s="267">
        <f t="shared" si="2"/>
        <v>753</v>
      </c>
      <c r="AW12" s="267">
        <f t="shared" si="2"/>
        <v>736</v>
      </c>
      <c r="AX12" s="267">
        <f t="shared" si="2"/>
        <v>717</v>
      </c>
      <c r="AY12" s="267">
        <f t="shared" si="25"/>
        <v>2236.7800000000002</v>
      </c>
      <c r="AZ12" s="267">
        <f t="shared" si="26"/>
        <v>2202</v>
      </c>
      <c r="BA12" s="267">
        <f t="shared" si="27"/>
        <v>2209.7600000000002</v>
      </c>
      <c r="BB12" s="267">
        <f t="shared" si="28"/>
        <v>785</v>
      </c>
      <c r="BC12" s="267">
        <f t="shared" si="29"/>
        <v>776</v>
      </c>
      <c r="BD12" s="267">
        <f t="shared" si="30"/>
        <v>753</v>
      </c>
      <c r="BE12" s="267">
        <f t="shared" si="31"/>
        <v>736</v>
      </c>
      <c r="BF12" s="267">
        <f t="shared" si="32"/>
        <v>717</v>
      </c>
      <c r="BG12" s="269">
        <f>AY12*VLOOKUP($B12,'Major Cities &amp; Towns'!$A$28:$B$345,2,FALSE)</f>
        <v>3019.6530000000002</v>
      </c>
      <c r="BH12" s="269">
        <f>AZ12*VLOOKUP($B12,'Major Cities &amp; Towns'!$A$28:$B$345,2,FALSE)</f>
        <v>2972.7000000000003</v>
      </c>
      <c r="BI12" s="269">
        <f>BA12*VLOOKUP($B12,'Major Cities &amp; Towns'!$A$28:$B$345,2,FALSE)</f>
        <v>2983.1760000000004</v>
      </c>
      <c r="BJ12" s="269">
        <f>BB12*VLOOKUP($B12,'Major Cities &amp; Towns'!$A$28:$B$345,2,FALSE)</f>
        <v>1059.75</v>
      </c>
      <c r="BK12" s="269">
        <f>BC12*VLOOKUP($B12,'Major Cities &amp; Towns'!$A$28:$B$345,2,FALSE)</f>
        <v>1047.6000000000001</v>
      </c>
      <c r="BL12" s="269">
        <f>BD12*VLOOKUP($B12,'Major Cities &amp; Towns'!$A$28:$B$345,2,FALSE)</f>
        <v>1016.5500000000001</v>
      </c>
      <c r="BM12" s="269">
        <f>BE12*VLOOKUP($B12,'Major Cities &amp; Towns'!$A$28:$B$345,2,FALSE)</f>
        <v>993.6</v>
      </c>
      <c r="BN12" s="269">
        <f>BF12*VLOOKUP($B12,'Major Cities &amp; Towns'!$A$28:$B$345,2,FALSE)</f>
        <v>967.95</v>
      </c>
      <c r="BO12" s="270">
        <f t="shared" si="33"/>
        <v>2255</v>
      </c>
      <c r="BP12" s="270">
        <f t="shared" si="34"/>
        <v>2202</v>
      </c>
      <c r="BQ12" s="270">
        <f t="shared" si="34"/>
        <v>2267</v>
      </c>
      <c r="BR12" s="270">
        <f t="shared" si="34"/>
        <v>785</v>
      </c>
      <c r="BS12" s="270">
        <f t="shared" si="34"/>
        <v>776</v>
      </c>
      <c r="BT12" s="270">
        <f t="shared" si="34"/>
        <v>753</v>
      </c>
      <c r="BU12" s="270">
        <f t="shared" si="34"/>
        <v>736</v>
      </c>
      <c r="BV12" s="270">
        <f t="shared" si="34"/>
        <v>717</v>
      </c>
      <c r="BW12" s="39">
        <f>VLOOKUP($A12,NetAdditions!$A$2:$H$336,6,FALSE)</f>
        <v>906</v>
      </c>
      <c r="BX12" s="39">
        <f>VLOOKUP($A12,NetAdditions!$A$2:$H$336,7,FALSE)</f>
        <v>741</v>
      </c>
      <c r="BY12" s="39">
        <f>IF((VLOOKUP($C12,NetAdditions!$A$2:$H$336,8,FALSE))="",(AVERAGE(VLOOKUP($C12,NetAdditions!$A$2:$H$336,5,FALSE),VLOOKUP($C12,NetAdditions!$A$2:$H$336,6,FALSE),VLOOKUP($C12,NetAdditions!$A$2:$H$336,7,FALSE))),VLOOKUP($C12,NetAdditions!$A$2:$H$336,8,FALSE))</f>
        <v>1048</v>
      </c>
      <c r="BZ12" s="39">
        <f t="shared" si="35"/>
        <v>898.33333333333337</v>
      </c>
      <c r="CA12" s="39">
        <f t="shared" si="4"/>
        <v>895.77777777777783</v>
      </c>
      <c r="CB12" s="39">
        <f t="shared" si="4"/>
        <v>947.37037037037044</v>
      </c>
      <c r="CC12" s="39">
        <f t="shared" si="4"/>
        <v>913.82716049382725</v>
      </c>
      <c r="CD12" s="39">
        <f t="shared" si="4"/>
        <v>918.99176954732513</v>
      </c>
      <c r="CE12" s="276">
        <f t="shared" si="5"/>
        <v>6724</v>
      </c>
      <c r="CF12" s="276">
        <f t="shared" si="6"/>
        <v>5254</v>
      </c>
      <c r="CG12" s="276">
        <f t="shared" si="7"/>
        <v>3828</v>
      </c>
      <c r="CH12" s="276">
        <f t="shared" si="8"/>
        <v>2314</v>
      </c>
      <c r="CI12" s="276">
        <f t="shared" si="9"/>
        <v>2265</v>
      </c>
      <c r="CJ12" s="276">
        <f t="shared" si="10"/>
        <v>2206</v>
      </c>
      <c r="CK12" s="276">
        <f t="shared" si="36"/>
        <v>5790.1111111111113</v>
      </c>
      <c r="CL12" s="276">
        <f t="shared" si="37"/>
        <v>4524.2777777777783</v>
      </c>
      <c r="CM12" s="276">
        <f t="shared" si="38"/>
        <v>3509</v>
      </c>
      <c r="CN12" s="276">
        <f t="shared" si="39"/>
        <v>2314</v>
      </c>
      <c r="CO12" s="276">
        <f t="shared" si="39"/>
        <v>2265</v>
      </c>
      <c r="CP12" s="276">
        <f t="shared" si="11"/>
        <v>2206</v>
      </c>
      <c r="CQ12" s="39">
        <f t="shared" si="12"/>
        <v>2695</v>
      </c>
      <c r="CR12" s="39">
        <f t="shared" si="13"/>
        <v>2687.3333333333335</v>
      </c>
      <c r="CS12" s="277">
        <f t="shared" si="14"/>
        <v>2842.1111111111113</v>
      </c>
      <c r="CT12" s="39">
        <f t="shared" si="15"/>
        <v>2741.4814814814818</v>
      </c>
      <c r="CU12" s="39">
        <f t="shared" si="16"/>
        <v>2756.9753086419755</v>
      </c>
      <c r="CV12" s="39">
        <f t="shared" si="17"/>
        <v>2780.1893004115227</v>
      </c>
      <c r="CW12" s="297">
        <f t="shared" si="18"/>
        <v>0.46544875362207594</v>
      </c>
      <c r="CX12" s="279" t="str">
        <f t="shared" si="40"/>
        <v>Buffer and Action Plan</v>
      </c>
      <c r="CY12" s="278">
        <f t="shared" si="19"/>
        <v>0.593980623058315</v>
      </c>
      <c r="CZ12" s="279" t="str">
        <f t="shared" si="41"/>
        <v>Buffer and Action Plan</v>
      </c>
      <c r="DA12" s="278">
        <f t="shared" si="20"/>
        <v>0.80994901998036795</v>
      </c>
      <c r="DB12" s="292" t="str">
        <f t="shared" si="42"/>
        <v>Buffer and Action Plan</v>
      </c>
      <c r="DC12" s="299">
        <f t="shared" si="43"/>
        <v>1.1847370274336568</v>
      </c>
      <c r="DD12" s="293" t="str">
        <f t="shared" si="44"/>
        <v>Pass</v>
      </c>
      <c r="DE12" s="299">
        <f t="shared" si="45"/>
        <v>1.2172076417845366</v>
      </c>
      <c r="DF12" s="293" t="str">
        <f t="shared" si="46"/>
        <v>Pass</v>
      </c>
      <c r="DG12" s="299">
        <f t="shared" si="47"/>
        <v>1.2602852676389495</v>
      </c>
      <c r="DH12" s="293" t="str">
        <f t="shared" si="48"/>
        <v>Pass</v>
      </c>
    </row>
    <row r="13" spans="1:112" customFormat="1" ht="15.5" thickTop="1" thickBot="1">
      <c r="A13" s="3" t="s">
        <v>132</v>
      </c>
      <c r="B13" s="3" t="s">
        <v>133</v>
      </c>
      <c r="C13" s="3" t="s">
        <v>132</v>
      </c>
      <c r="D13" s="3" t="s">
        <v>131</v>
      </c>
      <c r="E13" s="3" t="str">
        <f>VLOOKUP(C13,PoliticalControl!A:K,11,FALSE)</f>
        <v>CON</v>
      </c>
      <c r="F13" s="3" t="str">
        <f>VLOOKUP(C13,UrbanRuralClassification!A:N,13,FALSE)</f>
        <v>Urban with Major Conurbation</v>
      </c>
      <c r="G13" s="3" t="str">
        <f>VLOOKUP(C13,UrbanRuralClassification!A:N,14,FALSE)</f>
        <v>Predominantly Urban</v>
      </c>
      <c r="H13" s="262">
        <f>IF(ISBLANK((VLOOKUP($A13,'local-plan-data'!$C$1:$AD$566,27,FALSE)))=TRUE,"",VLOOKUP($A13,'local-plan-data'!$C$1:$AD$566,27,FALSE))</f>
        <v>41163</v>
      </c>
      <c r="I13" s="263">
        <f>VLOOKUP($A13,'local-plan-data'!$C$1:$AD$566,28,FALSE)</f>
        <v>1866.6666666666667</v>
      </c>
      <c r="J13" s="264">
        <f t="shared" si="21"/>
        <v>1866.6666666666667</v>
      </c>
      <c r="K13" s="259" t="str">
        <f t="shared" si="22"/>
        <v>-</v>
      </c>
      <c r="L13" s="259" t="str">
        <f t="shared" si="0"/>
        <v>-</v>
      </c>
      <c r="M13" s="259" t="str">
        <f t="shared" si="0"/>
        <v>-</v>
      </c>
      <c r="N13" s="259" t="str">
        <f t="shared" si="0"/>
        <v>-</v>
      </c>
      <c r="O13" s="259" t="str">
        <f t="shared" si="0"/>
        <v>-</v>
      </c>
      <c r="P13" s="259" t="str">
        <f t="shared" si="0"/>
        <v>-</v>
      </c>
      <c r="Q13" s="259" t="str">
        <f t="shared" si="0"/>
        <v>-</v>
      </c>
      <c r="R13" s="259" t="str">
        <f t="shared" si="0"/>
        <v>-</v>
      </c>
      <c r="S13" s="259">
        <f t="shared" si="23"/>
        <v>-202</v>
      </c>
      <c r="T13" s="259">
        <f t="shared" si="1"/>
        <v>-567</v>
      </c>
      <c r="U13" s="259">
        <f t="shared" si="1"/>
        <v>-933</v>
      </c>
      <c r="V13" s="259">
        <f t="shared" si="1"/>
        <v>-1298</v>
      </c>
      <c r="W13" s="259">
        <f t="shared" si="1"/>
        <v>-1663</v>
      </c>
      <c r="X13" s="259">
        <f t="shared" si="1"/>
        <v>-2028</v>
      </c>
      <c r="Y13" s="259">
        <f t="shared" si="1"/>
        <v>-2394</v>
      </c>
      <c r="Z13" s="259">
        <f t="shared" si="1"/>
        <v>-2759</v>
      </c>
      <c r="AA13" s="267">
        <f>(VLOOKUP(A13,Hshldprojections2014!$A$2:$AW$319,40, FALSE)-VLOOKUP(A13,Hshldprojections2014!$A$2:$AW$319,30, FALSE))/10</f>
        <v>2891.5</v>
      </c>
      <c r="AB13" s="267">
        <f>(VLOOKUP(A13,Hshldprojections2014!$A$2:$AW$319,41, FALSE)-VLOOKUP(A13,Hshldprojections2014!$A$2:$AW$319,31, FALSE))/10</f>
        <v>2863.2</v>
      </c>
      <c r="AC13" s="267">
        <f>(VLOOKUP(A13,Hshldprojections2014!$A$2:$AW$319,42, FALSE)-VLOOKUP(A13,Hshldprojections2014!$A$2:$AW$319,32, FALSE))/10</f>
        <v>2836.3</v>
      </c>
      <c r="AD13" s="267">
        <f>IF(IndividualLATest!$J$7=2014,(VLOOKUP($A13,Hshldprojections2014!$A$2:$AY$326,43,FALSE)-VLOOKUP($A13,Hshldprojections2014!$A$2:$AY$326,33,FALSE))/10,IF(IndividualLATest!$J$7=2016,(VLOOKUP($A13,Hshldprojections2016!$A$1:$AQ$322,33,FALSE)-VLOOKUP($A13,Hshldprojections2016!$A$1:$AQ$322,23,FALSE))/10,(VLOOKUP($A13,Hshldprojections2018!$A$1:$AQ$327,33,FALSE)-VLOOKUP($A13,Hshldprojections2018!$A$1:$AQ$327,23,FALSE))/10))</f>
        <v>1629.4</v>
      </c>
      <c r="AE13" s="267">
        <f>IF(IndividualLATest!$J$7=2014,(VLOOKUP($A13,Hshldprojections2014!$A$2:$AY$326,44,FALSE)-VLOOKUP($A13,Hshldprojections2014!$A$2:$AY$326,34,FALSE))/10,IF(IndividualLATest!$J$7=2016,(VLOOKUP($A13,Hshldprojections2016!$A$1:$AQ$322,34,FALSE)-VLOOKUP($A13,Hshldprojections2016!$A$1:$AQ$322,24,FALSE))/10,(VLOOKUP($A13,Hshldprojections2018!$A$1:$AQ$327,34,FALSE)-VLOOKUP($A13,Hshldprojections2018!$A$1:$AQ$327,24,FALSE))/10))</f>
        <v>1572.6</v>
      </c>
      <c r="AF13" s="267">
        <f>IF(IndividualLATest!$J$7=2014,(VLOOKUP($A13,Hshldprojections2014!$A$2:$AY$326,45,FALSE)-VLOOKUP($A13,Hshldprojections2014!$A$2:$AY$326,35,FALSE))/10,IF(IndividualLATest!$J$7=2016,(VLOOKUP($A13,Hshldprojections2016!$A$1:$AQ$322,35,FALSE)-VLOOKUP($A13,Hshldprojections2016!$A$1:$AQ$322,25,FALSE))/10,(VLOOKUP($A13,Hshldprojections2018!$A$1:$AQ$327,35,FALSE)-VLOOKUP($A13,Hshldprojections2018!$A$1:$AQ$327,25,FALSE))/10))</f>
        <v>1521.9</v>
      </c>
      <c r="AG13" s="267">
        <f>IF(IndividualLATest!$J$7=2014,(VLOOKUP($A13,Hshldprojections2014!$A$2:$AY$326,46,FALSE)-VLOOKUP($A13,Hshldprojections2014!$A$2:$AY$326,36,FALSE))/10,IF(IndividualLATest!$J$7=2016,(VLOOKUP($A13,Hshldprojections2016!$A$1:$AQ$322,36,FALSE)-VLOOKUP($A13,Hshldprojections2016!$A$1:$AQ$322,26,FALSE))/10,(VLOOKUP($A13,Hshldprojections2018!$A$1:$AQ$327,36,FALSE)-VLOOKUP($A13,Hshldprojections2018!$A$1:$AQ$327,26,FALSE))/10))</f>
        <v>1479</v>
      </c>
      <c r="AH13" s="267">
        <f>IF(IndividualLATest!$J$7=2014,(VLOOKUP($A13,Hshldprojections2014!$A$2:$AY$326,47,FALSE)-VLOOKUP($A13,Hshldprojections2014!$A$2:$AY$326,37,FALSE))/10,IF(IndividualLATest!$J$7=2016,(VLOOKUP($A13,Hshldprojections2016!$A$1:$AQ$322,37,FALSE)-VLOOKUP($A13,Hshldprojections2016!$A$1:$AQ$322,27,FALSE))/10,(VLOOKUP($A13,Hshldprojections2018!$A$1:$AQ$327,37,FALSE)-VLOOKUP($A13,Hshldprojections2018!$A$1:$AQ$327,27,FALSE))/10))</f>
        <v>1437.1</v>
      </c>
      <c r="AI13" s="268">
        <f>IF(ISNUMBER('Sensitivity Tests'!$C$30),'Sensitivity Tests'!$C$30,VLOOKUP($A13,AffordabilityRatio!$A$2:$I$321,5,FALSE))</f>
        <v>15.91</v>
      </c>
      <c r="AJ13" s="268">
        <f>IF(ISNUMBER('Sensitivity Tests'!$C$30),'Sensitivity Tests'!$C$30,VLOOKUP($A13,AffordabilityRatio!$A$2:$I$321,6,FALSE))</f>
        <v>17.21</v>
      </c>
      <c r="AK13" s="268">
        <f>IF(ISNUMBER('Sensitivity Tests'!$C$30),'Sensitivity Tests'!$C$30,VLOOKUP($A13,AffordabilityRatio!$A$2:$I$321,7,FALSE))</f>
        <v>16.28</v>
      </c>
      <c r="AL13" s="268">
        <f>IF(ISNUMBER('Sensitivity Tests'!$C$30),'Sensitivity Tests'!$C$30,IF((VLOOKUP($A13,AffordabilityRatio!$A$2:$I$321,8,FALSE))="",AK13,VLOOKUP($A13,AffordabilityRatio!$A$2:$I$321,8,FALSE)))</f>
        <v>16.170000000000002</v>
      </c>
      <c r="AM13" s="268">
        <f>IF(ISNUMBER('Sensitivity Tests'!$C$30),'Sensitivity Tests'!$C$30,IF((VLOOKUP($A13,AffordabilityRatio!$A$2:$I$321,9,FALSE))="",AL13,VLOOKUP($A13,AffordabilityRatio!$A$2:$I$321,9,FALSE)))</f>
        <v>16.55</v>
      </c>
      <c r="AN13" s="268">
        <f>IF(ISNUMBER('Sensitivity Tests'!$C$30),'Sensitivity Tests'!$C$30,IF((VLOOKUP($A13,AffordabilityRatio!$A$2:$I$321,9,FALSE))="",AM13,VLOOKUP($A13,AffordabilityRatio!$A$2:$I$321,9,FALSE)))</f>
        <v>16.55</v>
      </c>
      <c r="AO13" s="268">
        <f>IF(ISNUMBER('Sensitivity Tests'!$C$30),'Sensitivity Tests'!$C$30,IF((VLOOKUP($A13,AffordabilityRatio!$A$2:$I$321,9,FALSE))="",AN13,VLOOKUP($A13,AffordabilityRatio!$A$2:$I$321,9,FALSE)))</f>
        <v>16.55</v>
      </c>
      <c r="AP13" s="268">
        <f>IF(ISNUMBER('Sensitivity Tests'!$C$30),'Sensitivity Tests'!$C$30,IF((VLOOKUP($A13,AffordabilityRatio!$A$2:$I$321,9,FALSE))="",AO13,VLOOKUP($A13,AffordabilityRatio!$A$2:$I$321,9,FALSE)))</f>
        <v>16.55</v>
      </c>
      <c r="AQ13" s="267">
        <f t="shared" si="24"/>
        <v>5044</v>
      </c>
      <c r="AR13" s="267">
        <f t="shared" si="2"/>
        <v>5227</v>
      </c>
      <c r="AS13" s="267">
        <f t="shared" si="2"/>
        <v>5013</v>
      </c>
      <c r="AT13" s="267">
        <f t="shared" si="2"/>
        <v>2869</v>
      </c>
      <c r="AU13" s="267">
        <f t="shared" si="2"/>
        <v>2806</v>
      </c>
      <c r="AV13" s="267">
        <f t="shared" si="2"/>
        <v>2716</v>
      </c>
      <c r="AW13" s="267">
        <f t="shared" si="2"/>
        <v>2639</v>
      </c>
      <c r="AX13" s="267">
        <f t="shared" si="2"/>
        <v>2564</v>
      </c>
      <c r="AY13" s="267">
        <f t="shared" si="25"/>
        <v>4048.1000000000004</v>
      </c>
      <c r="AZ13" s="267">
        <f t="shared" si="26"/>
        <v>4008.4799999999996</v>
      </c>
      <c r="BA13" s="267">
        <f t="shared" si="27"/>
        <v>3970.8200000000006</v>
      </c>
      <c r="BB13" s="267">
        <f t="shared" si="28"/>
        <v>2613.3333333333335</v>
      </c>
      <c r="BC13" s="267">
        <f t="shared" si="29"/>
        <v>2613.3333333333335</v>
      </c>
      <c r="BD13" s="267">
        <f t="shared" si="30"/>
        <v>2613.3333333333335</v>
      </c>
      <c r="BE13" s="267">
        <f t="shared" si="31"/>
        <v>2613.3333333333335</v>
      </c>
      <c r="BF13" s="267">
        <f t="shared" si="32"/>
        <v>2564</v>
      </c>
      <c r="BG13" s="269">
        <f>AY13*VLOOKUP($B13,'Major Cities &amp; Towns'!$A$28:$B$345,2,FALSE)</f>
        <v>5464.9350000000004</v>
      </c>
      <c r="BH13" s="269">
        <f>AZ13*VLOOKUP($B13,'Major Cities &amp; Towns'!$A$28:$B$345,2,FALSE)</f>
        <v>5411.4479999999994</v>
      </c>
      <c r="BI13" s="269">
        <f>BA13*VLOOKUP($B13,'Major Cities &amp; Towns'!$A$28:$B$345,2,FALSE)</f>
        <v>5360.6070000000009</v>
      </c>
      <c r="BJ13" s="269">
        <f>BB13*VLOOKUP($B13,'Major Cities &amp; Towns'!$A$28:$B$345,2,FALSE)</f>
        <v>3528.0000000000005</v>
      </c>
      <c r="BK13" s="269">
        <f>BC13*VLOOKUP($B13,'Major Cities &amp; Towns'!$A$28:$B$345,2,FALSE)</f>
        <v>3528.0000000000005</v>
      </c>
      <c r="BL13" s="269">
        <f>BD13*VLOOKUP($B13,'Major Cities &amp; Towns'!$A$28:$B$345,2,FALSE)</f>
        <v>3528.0000000000005</v>
      </c>
      <c r="BM13" s="269">
        <f>BE13*VLOOKUP($B13,'Major Cities &amp; Towns'!$A$28:$B$345,2,FALSE)</f>
        <v>3528.0000000000005</v>
      </c>
      <c r="BN13" s="269">
        <f>BF13*VLOOKUP($B13,'Major Cities &amp; Towns'!$A$28:$B$345,2,FALSE)</f>
        <v>3461.4</v>
      </c>
      <c r="BO13" s="270">
        <f t="shared" si="33"/>
        <v>5044</v>
      </c>
      <c r="BP13" s="270">
        <f t="shared" si="34"/>
        <v>5227</v>
      </c>
      <c r="BQ13" s="270">
        <f t="shared" si="34"/>
        <v>5013</v>
      </c>
      <c r="BR13" s="270">
        <f t="shared" si="34"/>
        <v>2869</v>
      </c>
      <c r="BS13" s="270">
        <f t="shared" si="34"/>
        <v>2806</v>
      </c>
      <c r="BT13" s="270">
        <f t="shared" si="34"/>
        <v>2716</v>
      </c>
      <c r="BU13" s="270">
        <f t="shared" si="34"/>
        <v>2639</v>
      </c>
      <c r="BV13" s="270">
        <f t="shared" si="34"/>
        <v>2564</v>
      </c>
      <c r="BW13" s="39">
        <f>VLOOKUP($A13,NetAdditions!$A$2:$H$336,6,FALSE)</f>
        <v>2209</v>
      </c>
      <c r="BX13" s="39">
        <f>VLOOKUP($A13,NetAdditions!$A$2:$H$336,7,FALSE)</f>
        <v>1990</v>
      </c>
      <c r="BY13" s="39">
        <f>IF((VLOOKUP($C13,NetAdditions!$A$2:$H$336,8,FALSE))="",(AVERAGE(VLOOKUP($C13,NetAdditions!$A$2:$H$336,5,FALSE),VLOOKUP($C13,NetAdditions!$A$2:$H$336,6,FALSE),VLOOKUP($C13,NetAdditions!$A$2:$H$336,7,FALSE))),VLOOKUP($C13,NetAdditions!$A$2:$H$336,8,FALSE))</f>
        <v>2250</v>
      </c>
      <c r="BZ13" s="39">
        <f t="shared" si="35"/>
        <v>2149.6666666666665</v>
      </c>
      <c r="CA13" s="39">
        <f t="shared" si="4"/>
        <v>2129.8888888888887</v>
      </c>
      <c r="CB13" s="39">
        <f t="shared" si="4"/>
        <v>2176.5185185185182</v>
      </c>
      <c r="CC13" s="39">
        <f t="shared" si="4"/>
        <v>2152.0246913580245</v>
      </c>
      <c r="CD13" s="39">
        <f t="shared" si="4"/>
        <v>2152.8106995884773</v>
      </c>
      <c r="CE13" s="276">
        <f t="shared" si="5"/>
        <v>15284</v>
      </c>
      <c r="CF13" s="276">
        <f t="shared" si="6"/>
        <v>13109</v>
      </c>
      <c r="CG13" s="276">
        <f t="shared" si="7"/>
        <v>10688</v>
      </c>
      <c r="CH13" s="276">
        <f t="shared" si="8"/>
        <v>8391</v>
      </c>
      <c r="CI13" s="276">
        <f t="shared" si="9"/>
        <v>8161</v>
      </c>
      <c r="CJ13" s="276">
        <f t="shared" si="10"/>
        <v>7919</v>
      </c>
      <c r="CK13" s="276">
        <f t="shared" si="36"/>
        <v>13161.222222222223</v>
      </c>
      <c r="CL13" s="276">
        <f t="shared" si="37"/>
        <v>11288.305555555557</v>
      </c>
      <c r="CM13" s="276">
        <f t="shared" si="38"/>
        <v>9797.3333333333321</v>
      </c>
      <c r="CN13" s="276">
        <f t="shared" si="39"/>
        <v>8391</v>
      </c>
      <c r="CO13" s="276">
        <f t="shared" si="39"/>
        <v>8161</v>
      </c>
      <c r="CP13" s="276">
        <f t="shared" si="11"/>
        <v>7919</v>
      </c>
      <c r="CQ13" s="39">
        <f t="shared" si="12"/>
        <v>6449</v>
      </c>
      <c r="CR13" s="39">
        <f t="shared" si="13"/>
        <v>6389.6666666666661</v>
      </c>
      <c r="CS13" s="277">
        <f t="shared" si="14"/>
        <v>6529.5555555555547</v>
      </c>
      <c r="CT13" s="39">
        <f t="shared" si="15"/>
        <v>6456.074074074073</v>
      </c>
      <c r="CU13" s="39">
        <f t="shared" si="16"/>
        <v>6458.4320987654319</v>
      </c>
      <c r="CV13" s="39">
        <f t="shared" si="17"/>
        <v>6481.3539094650205</v>
      </c>
      <c r="CW13" s="297">
        <f t="shared" si="18"/>
        <v>0.49000008442309478</v>
      </c>
      <c r="CX13" s="279" t="str">
        <f t="shared" si="40"/>
        <v>Buffer and Action Plan</v>
      </c>
      <c r="CY13" s="278">
        <f t="shared" si="19"/>
        <v>0.56604302879823998</v>
      </c>
      <c r="CZ13" s="279" t="str">
        <f t="shared" si="41"/>
        <v>Buffer and Action Plan</v>
      </c>
      <c r="DA13" s="278">
        <f t="shared" si="20"/>
        <v>0.66646252948648155</v>
      </c>
      <c r="DB13" s="292" t="str">
        <f t="shared" si="42"/>
        <v>Presumption</v>
      </c>
      <c r="DC13" s="299">
        <f t="shared" si="43"/>
        <v>0.7694046089946458</v>
      </c>
      <c r="DD13" s="293" t="str">
        <f t="shared" si="44"/>
        <v>Buffer and Action Plan</v>
      </c>
      <c r="DE13" s="299">
        <f t="shared" si="45"/>
        <v>0.79137753936593946</v>
      </c>
      <c r="DF13" s="293" t="str">
        <f t="shared" si="46"/>
        <v>Buffer and Action Plan</v>
      </c>
      <c r="DG13" s="299">
        <f t="shared" si="47"/>
        <v>0.81845610676411418</v>
      </c>
      <c r="DH13" s="293" t="str">
        <f t="shared" si="48"/>
        <v>Buffer and Action Plan</v>
      </c>
    </row>
    <row r="14" spans="1:112" ht="15" thickTop="1" thickBot="1">
      <c r="A14" s="38" t="s">
        <v>134</v>
      </c>
      <c r="B14" s="38" t="s">
        <v>135</v>
      </c>
      <c r="C14" s="38" t="s">
        <v>134</v>
      </c>
      <c r="D14" s="38" t="s">
        <v>136</v>
      </c>
      <c r="E14" s="38" t="str">
        <f>VLOOKUP(C14,PoliticalControl!A:K,11,FALSE)</f>
        <v>LAB</v>
      </c>
      <c r="F14" s="38" t="str">
        <f>VLOOKUP(C14,UrbanRuralClassification!A:N,13,FALSE)</f>
        <v>Urban with Minor Conurbation</v>
      </c>
      <c r="G14" s="38" t="str">
        <f>VLOOKUP(C14,UrbanRuralClassification!A:N,14,FALSE)</f>
        <v>Predominantly Urban</v>
      </c>
      <c r="H14" s="258">
        <f>IF(ISBLANK((VLOOKUP($A14,'local-plan-data'!$C$1:$AD$566,27,FALSE)))=TRUE,"",VLOOKUP($A14,'local-plan-data'!$C$1:$AD$566,27,FALSE))</f>
        <v>43468</v>
      </c>
      <c r="I14" s="259">
        <f>VLOOKUP($A14,'local-plan-data'!$C$1:$AD$566,28,FALSE)</f>
        <v>1134</v>
      </c>
      <c r="J14" s="260">
        <f t="shared" si="21"/>
        <v>1134</v>
      </c>
      <c r="K14" s="259">
        <f t="shared" si="22"/>
        <v>1134</v>
      </c>
      <c r="L14" s="259">
        <f t="shared" si="0"/>
        <v>1134</v>
      </c>
      <c r="M14" s="259">
        <f t="shared" si="0"/>
        <v>1134</v>
      </c>
      <c r="N14" s="259">
        <f t="shared" si="0"/>
        <v>1134</v>
      </c>
      <c r="O14" s="259">
        <f t="shared" si="0"/>
        <v>1134</v>
      </c>
      <c r="P14" s="259">
        <f t="shared" si="0"/>
        <v>1134</v>
      </c>
      <c r="Q14" s="259" t="str">
        <f t="shared" si="0"/>
        <v>-</v>
      </c>
      <c r="R14" s="259" t="str">
        <f t="shared" si="0"/>
        <v>-</v>
      </c>
      <c r="S14" s="259">
        <f t="shared" si="23"/>
        <v>2103</v>
      </c>
      <c r="T14" s="259">
        <f t="shared" si="1"/>
        <v>1738</v>
      </c>
      <c r="U14" s="259">
        <f t="shared" si="1"/>
        <v>1372</v>
      </c>
      <c r="V14" s="259">
        <f t="shared" si="1"/>
        <v>1007</v>
      </c>
      <c r="W14" s="259">
        <f t="shared" si="1"/>
        <v>642</v>
      </c>
      <c r="X14" s="259">
        <f t="shared" si="1"/>
        <v>277</v>
      </c>
      <c r="Y14" s="259">
        <f t="shared" si="1"/>
        <v>-89</v>
      </c>
      <c r="Z14" s="259">
        <f t="shared" si="1"/>
        <v>-454</v>
      </c>
      <c r="AA14" s="267">
        <f>(VLOOKUP(A14,Hshldprojections2014!$A$2:$AW$319,40, FALSE)-VLOOKUP(A14,Hshldprojections2014!$A$2:$AW$319,30, FALSE))/10</f>
        <v>842.5</v>
      </c>
      <c r="AB14" s="267">
        <f>(VLOOKUP(A14,Hshldprojections2014!$A$2:$AW$319,41, FALSE)-VLOOKUP(A14,Hshldprojections2014!$A$2:$AW$319,31, FALSE))/10</f>
        <v>830.6</v>
      </c>
      <c r="AC14" s="267">
        <f>(VLOOKUP(A14,Hshldprojections2014!$A$2:$AW$319,42, FALSE)-VLOOKUP(A14,Hshldprojections2014!$A$2:$AW$319,32, FALSE))/10</f>
        <v>822.9</v>
      </c>
      <c r="AD14" s="267">
        <f>IF(IndividualLATest!$J$7=2014,(VLOOKUP($A14,Hshldprojections2014!$A$2:$AY$326,43,FALSE)-VLOOKUP($A14,Hshldprojections2014!$A$2:$AY$326,33,FALSE))/10,IF(IndividualLATest!$J$7=2016,(VLOOKUP($A14,Hshldprojections2016!$A$1:$AQ$322,33,FALSE)-VLOOKUP($A14,Hshldprojections2016!$A$1:$AQ$322,23,FALSE))/10,(VLOOKUP($A14,Hshldprojections2018!$A$1:$AQ$327,33,FALSE)-VLOOKUP($A14,Hshldprojections2018!$A$1:$AQ$327,23,FALSE))/10))</f>
        <v>858.4</v>
      </c>
      <c r="AE14" s="267">
        <f>IF(IndividualLATest!$J$7=2014,(VLOOKUP($A14,Hshldprojections2014!$A$2:$AY$326,44,FALSE)-VLOOKUP($A14,Hshldprojections2014!$A$2:$AY$326,34,FALSE))/10,IF(IndividualLATest!$J$7=2016,(VLOOKUP($A14,Hshldprojections2016!$A$1:$AQ$322,34,FALSE)-VLOOKUP($A14,Hshldprojections2016!$A$1:$AQ$322,24,FALSE))/10,(VLOOKUP($A14,Hshldprojections2018!$A$1:$AQ$327,34,FALSE)-VLOOKUP($A14,Hshldprojections2018!$A$1:$AQ$327,24,FALSE))/10))</f>
        <v>850.5</v>
      </c>
      <c r="AF14" s="267">
        <f>IF(IndividualLATest!$J$7=2014,(VLOOKUP($A14,Hshldprojections2014!$A$2:$AY$326,45,FALSE)-VLOOKUP($A14,Hshldprojections2014!$A$2:$AY$326,35,FALSE))/10,IF(IndividualLATest!$J$7=2016,(VLOOKUP($A14,Hshldprojections2016!$A$1:$AQ$322,35,FALSE)-VLOOKUP($A14,Hshldprojections2016!$A$1:$AQ$322,25,FALSE))/10,(VLOOKUP($A14,Hshldprojections2018!$A$1:$AQ$327,35,FALSE)-VLOOKUP($A14,Hshldprojections2018!$A$1:$AQ$327,25,FALSE))/10))</f>
        <v>845.5</v>
      </c>
      <c r="AG14" s="267">
        <f>IF(IndividualLATest!$J$7=2014,(VLOOKUP($A14,Hshldprojections2014!$A$2:$AY$326,46,FALSE)-VLOOKUP($A14,Hshldprojections2014!$A$2:$AY$326,36,FALSE))/10,IF(IndividualLATest!$J$7=2016,(VLOOKUP($A14,Hshldprojections2016!$A$1:$AQ$322,36,FALSE)-VLOOKUP($A14,Hshldprojections2016!$A$1:$AQ$322,26,FALSE))/10,(VLOOKUP($A14,Hshldprojections2018!$A$1:$AQ$327,36,FALSE)-VLOOKUP($A14,Hshldprojections2018!$A$1:$AQ$327,26,FALSE))/10))</f>
        <v>838</v>
      </c>
      <c r="AH14" s="267">
        <f>IF(IndividualLATest!$J$7=2014,(VLOOKUP($A14,Hshldprojections2014!$A$2:$AY$326,47,FALSE)-VLOOKUP($A14,Hshldprojections2014!$A$2:$AY$326,37,FALSE))/10,IF(IndividualLATest!$J$7=2016,(VLOOKUP($A14,Hshldprojections2016!$A$1:$AQ$322,37,FALSE)-VLOOKUP($A14,Hshldprojections2016!$A$1:$AQ$322,27,FALSE))/10,(VLOOKUP($A14,Hshldprojections2018!$A$1:$AQ$327,37,FALSE)-VLOOKUP($A14,Hshldprojections2018!$A$1:$AQ$327,27,FALSE))/10))</f>
        <v>837.2</v>
      </c>
      <c r="AI14" s="268">
        <f>IF(ISNUMBER('Sensitivity Tests'!$C$30),'Sensitivity Tests'!$C$30,VLOOKUP($A14,AffordabilityRatio!$A$2:$I$321,5,FALSE))</f>
        <v>4.9000000000000004</v>
      </c>
      <c r="AJ14" s="268">
        <f>IF(ISNUMBER('Sensitivity Tests'!$C$30),'Sensitivity Tests'!$C$30,VLOOKUP($A14,AffordabilityRatio!$A$2:$I$321,6,FALSE))</f>
        <v>5.14</v>
      </c>
      <c r="AK14" s="268">
        <f>IF(ISNUMBER('Sensitivity Tests'!$C$30),'Sensitivity Tests'!$C$30,VLOOKUP($A14,AffordabilityRatio!$A$2:$I$321,7,FALSE))</f>
        <v>4.87</v>
      </c>
      <c r="AL14" s="268">
        <f>IF(ISNUMBER('Sensitivity Tests'!$C$30),'Sensitivity Tests'!$C$30,IF((VLOOKUP($A14,AffordabilityRatio!$A$2:$I$321,8,FALSE))="",AK14,VLOOKUP($A14,AffordabilityRatio!$A$2:$I$321,8,FALSE)))</f>
        <v>5.0599999999999996</v>
      </c>
      <c r="AM14" s="268">
        <f>IF(ISNUMBER('Sensitivity Tests'!$C$30),'Sensitivity Tests'!$C$30,IF((VLOOKUP($A14,AffordabilityRatio!$A$2:$I$321,9,FALSE))="",AL14,VLOOKUP($A14,AffordabilityRatio!$A$2:$I$321,9,FALSE)))</f>
        <v>5.0199999999999996</v>
      </c>
      <c r="AN14" s="268">
        <f>IF(ISNUMBER('Sensitivity Tests'!$C$30),'Sensitivity Tests'!$C$30,IF((VLOOKUP($A14,AffordabilityRatio!$A$2:$I$321,9,FALSE))="",AM14,VLOOKUP($A14,AffordabilityRatio!$A$2:$I$321,9,FALSE)))</f>
        <v>5.0199999999999996</v>
      </c>
      <c r="AO14" s="268">
        <f>IF(ISNUMBER('Sensitivity Tests'!$C$30),'Sensitivity Tests'!$C$30,IF((VLOOKUP($A14,AffordabilityRatio!$A$2:$I$321,9,FALSE))="",AN14,VLOOKUP($A14,AffordabilityRatio!$A$2:$I$321,9,FALSE)))</f>
        <v>5.0199999999999996</v>
      </c>
      <c r="AP14" s="268">
        <f>IF(ISNUMBER('Sensitivity Tests'!$C$30),'Sensitivity Tests'!$C$30,IF((VLOOKUP($A14,AffordabilityRatio!$A$2:$I$321,9,FALSE))="",AO14,VLOOKUP($A14,AffordabilityRatio!$A$2:$I$321,9,FALSE)))</f>
        <v>5.0199999999999996</v>
      </c>
      <c r="AQ14" s="267">
        <f t="shared" si="24"/>
        <v>890</v>
      </c>
      <c r="AR14" s="267">
        <f t="shared" si="2"/>
        <v>890</v>
      </c>
      <c r="AS14" s="267">
        <f t="shared" si="2"/>
        <v>868</v>
      </c>
      <c r="AT14" s="267">
        <f t="shared" si="2"/>
        <v>915</v>
      </c>
      <c r="AU14" s="267">
        <f t="shared" si="2"/>
        <v>905</v>
      </c>
      <c r="AV14" s="267">
        <f t="shared" si="2"/>
        <v>899</v>
      </c>
      <c r="AW14" s="267">
        <f t="shared" si="2"/>
        <v>891</v>
      </c>
      <c r="AX14" s="267">
        <f t="shared" si="2"/>
        <v>891</v>
      </c>
      <c r="AY14" s="267">
        <f t="shared" si="25"/>
        <v>890</v>
      </c>
      <c r="AZ14" s="267">
        <f t="shared" si="26"/>
        <v>890</v>
      </c>
      <c r="BA14" s="267">
        <f t="shared" si="27"/>
        <v>868</v>
      </c>
      <c r="BB14" s="267">
        <f t="shared" si="28"/>
        <v>915</v>
      </c>
      <c r="BC14" s="267">
        <f t="shared" si="29"/>
        <v>905</v>
      </c>
      <c r="BD14" s="267">
        <f t="shared" si="30"/>
        <v>899</v>
      </c>
      <c r="BE14" s="267">
        <f t="shared" si="31"/>
        <v>891</v>
      </c>
      <c r="BF14" s="267">
        <f t="shared" si="32"/>
        <v>891</v>
      </c>
      <c r="BG14" s="269">
        <f>AY14*VLOOKUP($B14,'Major Cities &amp; Towns'!$A$28:$B$345,2,FALSE)</f>
        <v>890</v>
      </c>
      <c r="BH14" s="269">
        <f>AZ14*VLOOKUP($B14,'Major Cities &amp; Towns'!$A$28:$B$345,2,FALSE)</f>
        <v>890</v>
      </c>
      <c r="BI14" s="269">
        <f>BA14*VLOOKUP($B14,'Major Cities &amp; Towns'!$A$28:$B$345,2,FALSE)</f>
        <v>868</v>
      </c>
      <c r="BJ14" s="269">
        <f>BB14*VLOOKUP($B14,'Major Cities &amp; Towns'!$A$28:$B$345,2,FALSE)</f>
        <v>915</v>
      </c>
      <c r="BK14" s="269">
        <f>BC14*VLOOKUP($B14,'Major Cities &amp; Towns'!$A$28:$B$345,2,FALSE)</f>
        <v>905</v>
      </c>
      <c r="BL14" s="269">
        <f>BD14*VLOOKUP($B14,'Major Cities &amp; Towns'!$A$28:$B$345,2,FALSE)</f>
        <v>899</v>
      </c>
      <c r="BM14" s="269">
        <f>BE14*VLOOKUP($B14,'Major Cities &amp; Towns'!$A$28:$B$345,2,FALSE)</f>
        <v>891</v>
      </c>
      <c r="BN14" s="269">
        <f>BF14*VLOOKUP($B14,'Major Cities &amp; Towns'!$A$28:$B$345,2,FALSE)</f>
        <v>891</v>
      </c>
      <c r="BO14" s="270">
        <f t="shared" si="33"/>
        <v>890</v>
      </c>
      <c r="BP14" s="270">
        <f t="shared" si="34"/>
        <v>890</v>
      </c>
      <c r="BQ14" s="270">
        <f t="shared" si="34"/>
        <v>868</v>
      </c>
      <c r="BR14" s="270">
        <f t="shared" si="34"/>
        <v>915</v>
      </c>
      <c r="BS14" s="270">
        <f t="shared" si="34"/>
        <v>905</v>
      </c>
      <c r="BT14" s="270">
        <f t="shared" si="34"/>
        <v>899</v>
      </c>
      <c r="BU14" s="270">
        <f t="shared" si="34"/>
        <v>891</v>
      </c>
      <c r="BV14" s="270">
        <f t="shared" si="34"/>
        <v>891</v>
      </c>
      <c r="BW14" s="39">
        <f>VLOOKUP($A14,NetAdditions!$A$2:$H$336,6,FALSE)</f>
        <v>988</v>
      </c>
      <c r="BX14" s="39">
        <f>VLOOKUP($A14,NetAdditions!$A$2:$H$336,7,FALSE)</f>
        <v>1052</v>
      </c>
      <c r="BY14" s="39">
        <f>IF((VLOOKUP($C14,NetAdditions!$A$2:$H$336,8,FALSE))="",(AVERAGE(VLOOKUP($C14,NetAdditions!$A$2:$H$336,5,FALSE),VLOOKUP($C14,NetAdditions!$A$2:$H$336,6,FALSE),VLOOKUP($C14,NetAdditions!$A$2:$H$336,7,FALSE))),VLOOKUP($C14,NetAdditions!$A$2:$H$336,8,FALSE))</f>
        <v>590</v>
      </c>
      <c r="BZ14" s="39">
        <f t="shared" si="35"/>
        <v>876.66666666666663</v>
      </c>
      <c r="CA14" s="39">
        <f t="shared" si="4"/>
        <v>839.55555555555554</v>
      </c>
      <c r="CB14" s="39">
        <f t="shared" si="4"/>
        <v>768.74074074074076</v>
      </c>
      <c r="CC14" s="39">
        <f t="shared" si="4"/>
        <v>828.32098765432102</v>
      </c>
      <c r="CD14" s="39">
        <f t="shared" si="4"/>
        <v>812.20576131687233</v>
      </c>
      <c r="CE14" s="276">
        <f t="shared" si="5"/>
        <v>2648</v>
      </c>
      <c r="CF14" s="276">
        <f t="shared" si="6"/>
        <v>2673</v>
      </c>
      <c r="CG14" s="276">
        <f t="shared" si="7"/>
        <v>2688</v>
      </c>
      <c r="CH14" s="276">
        <f t="shared" si="8"/>
        <v>2719</v>
      </c>
      <c r="CI14" s="276">
        <f t="shared" si="9"/>
        <v>2695</v>
      </c>
      <c r="CJ14" s="276">
        <f t="shared" si="10"/>
        <v>2681</v>
      </c>
      <c r="CK14" s="276">
        <f t="shared" si="36"/>
        <v>2280.2222222222222</v>
      </c>
      <c r="CL14" s="276">
        <f t="shared" si="37"/>
        <v>2301.75</v>
      </c>
      <c r="CM14" s="276">
        <f t="shared" si="38"/>
        <v>2464</v>
      </c>
      <c r="CN14" s="276">
        <f t="shared" si="39"/>
        <v>2719</v>
      </c>
      <c r="CO14" s="276">
        <f t="shared" si="39"/>
        <v>2695</v>
      </c>
      <c r="CP14" s="276">
        <f t="shared" si="11"/>
        <v>2681</v>
      </c>
      <c r="CQ14" s="39">
        <f t="shared" si="12"/>
        <v>2630</v>
      </c>
      <c r="CR14" s="39">
        <f t="shared" si="13"/>
        <v>2518.6666666666665</v>
      </c>
      <c r="CS14" s="277">
        <f t="shared" si="14"/>
        <v>2306.2222222222222</v>
      </c>
      <c r="CT14" s="39">
        <f t="shared" si="15"/>
        <v>2484.962962962963</v>
      </c>
      <c r="CU14" s="39">
        <f t="shared" si="16"/>
        <v>2436.6172839506171</v>
      </c>
      <c r="CV14" s="39">
        <f t="shared" si="17"/>
        <v>2409.2674897119341</v>
      </c>
      <c r="CW14" s="297">
        <f t="shared" si="18"/>
        <v>1.1533963551310789</v>
      </c>
      <c r="CX14" s="279" t="str">
        <f t="shared" si="40"/>
        <v>Pass</v>
      </c>
      <c r="CY14" s="278">
        <f t="shared" si="19"/>
        <v>1.0942398899388146</v>
      </c>
      <c r="CZ14" s="279" t="str">
        <f t="shared" si="41"/>
        <v>Pass</v>
      </c>
      <c r="DA14" s="278">
        <f t="shared" si="20"/>
        <v>0.93596681096681089</v>
      </c>
      <c r="DB14" s="292" t="str">
        <f t="shared" si="42"/>
        <v>Action Plan</v>
      </c>
      <c r="DC14" s="299">
        <f t="shared" si="43"/>
        <v>0.91392532657703685</v>
      </c>
      <c r="DD14" s="293" t="str">
        <f t="shared" si="44"/>
        <v>Action Plan</v>
      </c>
      <c r="DE14" s="299">
        <f t="shared" si="45"/>
        <v>0.90412515174419927</v>
      </c>
      <c r="DF14" s="293" t="str">
        <f t="shared" si="46"/>
        <v>Action Plan</v>
      </c>
      <c r="DG14" s="299">
        <f t="shared" si="47"/>
        <v>0.89864509127636483</v>
      </c>
      <c r="DH14" s="293" t="str">
        <f t="shared" si="48"/>
        <v>Action Plan</v>
      </c>
    </row>
    <row r="15" spans="1:112" ht="15" thickTop="1" thickBot="1">
      <c r="A15" s="38" t="s">
        <v>137</v>
      </c>
      <c r="B15" s="38" t="s">
        <v>138</v>
      </c>
      <c r="C15" s="38" t="s">
        <v>137</v>
      </c>
      <c r="D15" s="38" t="s">
        <v>116</v>
      </c>
      <c r="E15" s="38" t="str">
        <f>VLOOKUP(C15,PoliticalControl!A:K,11,FALSE)</f>
        <v>LAB</v>
      </c>
      <c r="F15" s="38" t="str">
        <f>VLOOKUP(C15,UrbanRuralClassification!A:N,13,FALSE)</f>
        <v>Urban with Significant Rural (rural including hub towns 26-49%)</v>
      </c>
      <c r="G15" s="38" t="str">
        <f>VLOOKUP(C15,UrbanRuralClassification!A:N,14,FALSE)</f>
        <v>Urban with Significant Rural</v>
      </c>
      <c r="H15" s="258">
        <f>IF(ISBLANK((VLOOKUP($A15,'local-plan-data'!$C$1:$AD$566,27,FALSE)))=TRUE,"",VLOOKUP($A15,'local-plan-data'!$C$1:$AD$566,27,FALSE))</f>
        <v>43620</v>
      </c>
      <c r="I15" s="259">
        <f>VLOOKUP($A15,'local-plan-data'!$C$1:$AD$566,28,FALSE)</f>
        <v>119</v>
      </c>
      <c r="J15" s="260">
        <f t="shared" si="21"/>
        <v>119</v>
      </c>
      <c r="K15" s="259">
        <f t="shared" si="22"/>
        <v>119</v>
      </c>
      <c r="L15" s="259">
        <f t="shared" si="0"/>
        <v>119</v>
      </c>
      <c r="M15" s="259">
        <f t="shared" si="0"/>
        <v>119</v>
      </c>
      <c r="N15" s="259">
        <f t="shared" si="0"/>
        <v>119</v>
      </c>
      <c r="O15" s="259">
        <f t="shared" si="0"/>
        <v>119</v>
      </c>
      <c r="P15" s="259">
        <f t="shared" si="0"/>
        <v>119</v>
      </c>
      <c r="Q15" s="259">
        <f>IF(AND(ISNUMBER($H15),ISNUMBER($J15)),IF(($H15-Q$1&gt;0),$J15,IF(DATEDIF($H15,Q$1,"y")&lt;5,$J15,"-")),"-")</f>
        <v>119</v>
      </c>
      <c r="R15" s="259" t="str">
        <f t="shared" si="0"/>
        <v>-</v>
      </c>
      <c r="S15" s="259">
        <f t="shared" si="23"/>
        <v>2256</v>
      </c>
      <c r="T15" s="259">
        <f t="shared" si="1"/>
        <v>1891</v>
      </c>
      <c r="U15" s="259">
        <f t="shared" si="1"/>
        <v>1525</v>
      </c>
      <c r="V15" s="259">
        <f t="shared" si="1"/>
        <v>1160</v>
      </c>
      <c r="W15" s="259">
        <f t="shared" si="1"/>
        <v>795</v>
      </c>
      <c r="X15" s="259">
        <f t="shared" si="1"/>
        <v>430</v>
      </c>
      <c r="Y15" s="259">
        <f t="shared" si="1"/>
        <v>64</v>
      </c>
      <c r="Z15" s="259">
        <f t="shared" si="1"/>
        <v>-301</v>
      </c>
      <c r="AA15" s="267">
        <f>(VLOOKUP(A15,Hshldprojections2014!$A$2:$AW$319,40, FALSE)-VLOOKUP(A15,Hshldprojections2014!$A$2:$AW$319,30, FALSE))/10</f>
        <v>-70.3</v>
      </c>
      <c r="AB15" s="267">
        <f>(VLOOKUP(A15,Hshldprojections2014!$A$2:$AW$319,41, FALSE)-VLOOKUP(A15,Hshldprojections2014!$A$2:$AW$319,31, FALSE))/10</f>
        <v>-74.2</v>
      </c>
      <c r="AC15" s="267">
        <f>(VLOOKUP(A15,Hshldprojections2014!$A$2:$AW$319,42, FALSE)-VLOOKUP(A15,Hshldprojections2014!$A$2:$AW$319,32, FALSE))/10</f>
        <v>-77.7</v>
      </c>
      <c r="AD15" s="267">
        <f>IF(IndividualLATest!$J$7=2014,(VLOOKUP($A15,Hshldprojections2014!$A$2:$AY$326,43,FALSE)-VLOOKUP($A15,Hshldprojections2014!$A$2:$AY$326,33,FALSE))/10,IF(IndividualLATest!$J$7=2016,(VLOOKUP($A15,Hshldprojections2016!$A$1:$AQ$322,33,FALSE)-VLOOKUP($A15,Hshldprojections2016!$A$1:$AQ$322,23,FALSE))/10,(VLOOKUP($A15,Hshldprojections2018!$A$1:$AQ$327,33,FALSE)-VLOOKUP($A15,Hshldprojections2018!$A$1:$AQ$327,23,FALSE))/10))</f>
        <v>-58</v>
      </c>
      <c r="AE15" s="267">
        <f>IF(IndividualLATest!$J$7=2014,(VLOOKUP($A15,Hshldprojections2014!$A$2:$AY$326,44,FALSE)-VLOOKUP($A15,Hshldprojections2014!$A$2:$AY$326,34,FALSE))/10,IF(IndividualLATest!$J$7=2016,(VLOOKUP($A15,Hshldprojections2016!$A$1:$AQ$322,34,FALSE)-VLOOKUP($A15,Hshldprojections2016!$A$1:$AQ$322,24,FALSE))/10,(VLOOKUP($A15,Hshldprojections2018!$A$1:$AQ$327,34,FALSE)-VLOOKUP($A15,Hshldprojections2018!$A$1:$AQ$327,24,FALSE))/10))</f>
        <v>-57.9</v>
      </c>
      <c r="AF15" s="267">
        <f>IF(IndividualLATest!$J$7=2014,(VLOOKUP($A15,Hshldprojections2014!$A$2:$AY$326,45,FALSE)-VLOOKUP($A15,Hshldprojections2014!$A$2:$AY$326,35,FALSE))/10,IF(IndividualLATest!$J$7=2016,(VLOOKUP($A15,Hshldprojections2016!$A$1:$AQ$322,35,FALSE)-VLOOKUP($A15,Hshldprojections2016!$A$1:$AQ$322,25,FALSE))/10,(VLOOKUP($A15,Hshldprojections2018!$A$1:$AQ$327,35,FALSE)-VLOOKUP($A15,Hshldprojections2018!$A$1:$AQ$327,25,FALSE))/10))</f>
        <v>-58.5</v>
      </c>
      <c r="AG15" s="267">
        <f>IF(IndividualLATest!$J$7=2014,(VLOOKUP($A15,Hshldprojections2014!$A$2:$AY$326,46,FALSE)-VLOOKUP($A15,Hshldprojections2014!$A$2:$AY$326,36,FALSE))/10,IF(IndividualLATest!$J$7=2016,(VLOOKUP($A15,Hshldprojections2016!$A$1:$AQ$322,36,FALSE)-VLOOKUP($A15,Hshldprojections2016!$A$1:$AQ$322,26,FALSE))/10,(VLOOKUP($A15,Hshldprojections2018!$A$1:$AQ$327,36,FALSE)-VLOOKUP($A15,Hshldprojections2018!$A$1:$AQ$327,26,FALSE))/10))</f>
        <v>-57.1</v>
      </c>
      <c r="AH15" s="267">
        <f>IF(IndividualLATest!$J$7=2014,(VLOOKUP($A15,Hshldprojections2014!$A$2:$AY$326,47,FALSE)-VLOOKUP($A15,Hshldprojections2014!$A$2:$AY$326,37,FALSE))/10,IF(IndividualLATest!$J$7=2016,(VLOOKUP($A15,Hshldprojections2016!$A$1:$AQ$322,37,FALSE)-VLOOKUP($A15,Hshldprojections2016!$A$1:$AQ$322,27,FALSE))/10,(VLOOKUP($A15,Hshldprojections2018!$A$1:$AQ$327,37,FALSE)-VLOOKUP($A15,Hshldprojections2018!$A$1:$AQ$327,27,FALSE))/10))</f>
        <v>-53.4</v>
      </c>
      <c r="AI15" s="268">
        <f>IF(ISNUMBER('Sensitivity Tests'!$C$30),'Sensitivity Tests'!$C$30,VLOOKUP($A15,AffordabilityRatio!$A$2:$I$321,5,FALSE))</f>
        <v>3.72</v>
      </c>
      <c r="AJ15" s="268">
        <f>IF(ISNUMBER('Sensitivity Tests'!$C$30),'Sensitivity Tests'!$C$30,VLOOKUP($A15,AffordabilityRatio!$A$2:$I$321,6,FALSE))</f>
        <v>3.54</v>
      </c>
      <c r="AK15" s="268">
        <f>IF(ISNUMBER('Sensitivity Tests'!$C$30),'Sensitivity Tests'!$C$30,VLOOKUP($A15,AffordabilityRatio!$A$2:$I$321,7,FALSE))</f>
        <v>3.59</v>
      </c>
      <c r="AL15" s="268">
        <f>IF(ISNUMBER('Sensitivity Tests'!$C$30),'Sensitivity Tests'!$C$30,IF((VLOOKUP($A15,AffordabilityRatio!$A$2:$I$321,8,FALSE))="",AK15,VLOOKUP($A15,AffordabilityRatio!$A$2:$I$321,8,FALSE)))</f>
        <v>3.44</v>
      </c>
      <c r="AM15" s="268">
        <f>IF(ISNUMBER('Sensitivity Tests'!$C$30),'Sensitivity Tests'!$C$30,IF((VLOOKUP($A15,AffordabilityRatio!$A$2:$I$321,9,FALSE))="",AL15,VLOOKUP($A15,AffordabilityRatio!$A$2:$I$321,9,FALSE)))</f>
        <v>3.74</v>
      </c>
      <c r="AN15" s="268">
        <f>IF(ISNUMBER('Sensitivity Tests'!$C$30),'Sensitivity Tests'!$C$30,IF((VLOOKUP($A15,AffordabilityRatio!$A$2:$I$321,9,FALSE))="",AM15,VLOOKUP($A15,AffordabilityRatio!$A$2:$I$321,9,FALSE)))</f>
        <v>3.74</v>
      </c>
      <c r="AO15" s="268">
        <f>IF(ISNUMBER('Sensitivity Tests'!$C$30),'Sensitivity Tests'!$C$30,IF((VLOOKUP($A15,AffordabilityRatio!$A$2:$I$321,9,FALSE))="",AN15,VLOOKUP($A15,AffordabilityRatio!$A$2:$I$321,9,FALSE)))</f>
        <v>3.74</v>
      </c>
      <c r="AP15" s="268">
        <f>IF(ISNUMBER('Sensitivity Tests'!$C$30),'Sensitivity Tests'!$C$30,IF((VLOOKUP($A15,AffordabilityRatio!$A$2:$I$321,9,FALSE))="",AO15,VLOOKUP($A15,AffordabilityRatio!$A$2:$I$321,9,FALSE)))</f>
        <v>3.74</v>
      </c>
      <c r="AQ15" s="267">
        <f t="shared" si="24"/>
        <v>0</v>
      </c>
      <c r="AR15" s="267">
        <f t="shared" si="2"/>
        <v>0</v>
      </c>
      <c r="AS15" s="267">
        <f t="shared" si="2"/>
        <v>0</v>
      </c>
      <c r="AT15" s="267">
        <f t="shared" si="2"/>
        <v>0</v>
      </c>
      <c r="AU15" s="267">
        <f t="shared" si="2"/>
        <v>0</v>
      </c>
      <c r="AV15" s="267">
        <f t="shared" si="2"/>
        <v>0</v>
      </c>
      <c r="AW15" s="267">
        <f t="shared" si="2"/>
        <v>0</v>
      </c>
      <c r="AX15" s="267">
        <f t="shared" si="2"/>
        <v>0</v>
      </c>
      <c r="AY15" s="267">
        <f t="shared" si="25"/>
        <v>0</v>
      </c>
      <c r="AZ15" s="267">
        <f t="shared" si="26"/>
        <v>0</v>
      </c>
      <c r="BA15" s="267">
        <f t="shared" si="27"/>
        <v>0</v>
      </c>
      <c r="BB15" s="267">
        <f t="shared" si="28"/>
        <v>0</v>
      </c>
      <c r="BC15" s="267">
        <f t="shared" si="29"/>
        <v>0</v>
      </c>
      <c r="BD15" s="267">
        <f t="shared" si="30"/>
        <v>0</v>
      </c>
      <c r="BE15" s="267">
        <f t="shared" si="31"/>
        <v>0</v>
      </c>
      <c r="BF15" s="267">
        <f t="shared" si="32"/>
        <v>0</v>
      </c>
      <c r="BG15" s="269">
        <f>AY15*VLOOKUP($B15,'Major Cities &amp; Towns'!$A$28:$B$345,2,FALSE)</f>
        <v>0</v>
      </c>
      <c r="BH15" s="269">
        <f>AZ15*VLOOKUP($B15,'Major Cities &amp; Towns'!$A$28:$B$345,2,FALSE)</f>
        <v>0</v>
      </c>
      <c r="BI15" s="269">
        <f>BA15*VLOOKUP($B15,'Major Cities &amp; Towns'!$A$28:$B$345,2,FALSE)</f>
        <v>0</v>
      </c>
      <c r="BJ15" s="269">
        <f>BB15*VLOOKUP($B15,'Major Cities &amp; Towns'!$A$28:$B$345,2,FALSE)</f>
        <v>0</v>
      </c>
      <c r="BK15" s="269">
        <f>BC15*VLOOKUP($B15,'Major Cities &amp; Towns'!$A$28:$B$345,2,FALSE)</f>
        <v>0</v>
      </c>
      <c r="BL15" s="269">
        <f>BD15*VLOOKUP($B15,'Major Cities &amp; Towns'!$A$28:$B$345,2,FALSE)</f>
        <v>0</v>
      </c>
      <c r="BM15" s="269">
        <f>BE15*VLOOKUP($B15,'Major Cities &amp; Towns'!$A$28:$B$345,2,FALSE)</f>
        <v>0</v>
      </c>
      <c r="BN15" s="269">
        <f>BF15*VLOOKUP($B15,'Major Cities &amp; Towns'!$A$28:$B$345,2,FALSE)</f>
        <v>0</v>
      </c>
      <c r="BO15" s="270">
        <f t="shared" si="33"/>
        <v>0</v>
      </c>
      <c r="BP15" s="270">
        <f t="shared" si="34"/>
        <v>0</v>
      </c>
      <c r="BQ15" s="270">
        <f t="shared" si="34"/>
        <v>0</v>
      </c>
      <c r="BR15" s="270">
        <f t="shared" si="34"/>
        <v>0</v>
      </c>
      <c r="BS15" s="270">
        <f t="shared" si="34"/>
        <v>0</v>
      </c>
      <c r="BT15" s="270">
        <f t="shared" si="34"/>
        <v>0</v>
      </c>
      <c r="BU15" s="270">
        <f t="shared" si="34"/>
        <v>0</v>
      </c>
      <c r="BV15" s="270">
        <f t="shared" si="34"/>
        <v>0</v>
      </c>
      <c r="BW15" s="39">
        <f>VLOOKUP($A15,NetAdditions!$A$2:$H$336,6,FALSE)</f>
        <v>122</v>
      </c>
      <c r="BX15" s="39">
        <f>VLOOKUP($A15,NetAdditions!$A$2:$H$336,7,FALSE)</f>
        <v>103</v>
      </c>
      <c r="BY15" s="39">
        <f>IF((VLOOKUP($C15,NetAdditions!$A$2:$H$336,8,FALSE))="",(AVERAGE(VLOOKUP($C15,NetAdditions!$A$2:$H$336,5,FALSE),VLOOKUP($C15,NetAdditions!$A$2:$H$336,6,FALSE),VLOOKUP($C15,NetAdditions!$A$2:$H$336,7,FALSE))),VLOOKUP($C15,NetAdditions!$A$2:$H$336,8,FALSE))</f>
        <v>88</v>
      </c>
      <c r="BZ15" s="39">
        <f t="shared" si="35"/>
        <v>104.33333333333333</v>
      </c>
      <c r="CA15" s="39">
        <f t="shared" si="4"/>
        <v>98.444444444444443</v>
      </c>
      <c r="CB15" s="39">
        <f t="shared" si="4"/>
        <v>96.925925925925924</v>
      </c>
      <c r="CC15" s="39">
        <f t="shared" si="4"/>
        <v>99.901234567901227</v>
      </c>
      <c r="CD15" s="39">
        <f t="shared" si="4"/>
        <v>98.423868312757193</v>
      </c>
      <c r="CE15" s="276">
        <f t="shared" si="5"/>
        <v>0</v>
      </c>
      <c r="CF15" s="276">
        <f t="shared" si="6"/>
        <v>0</v>
      </c>
      <c r="CG15" s="276">
        <f t="shared" si="7"/>
        <v>0</v>
      </c>
      <c r="CH15" s="276">
        <f t="shared" si="8"/>
        <v>0</v>
      </c>
      <c r="CI15" s="276">
        <f t="shared" si="9"/>
        <v>0</v>
      </c>
      <c r="CJ15" s="276">
        <f t="shared" si="10"/>
        <v>0</v>
      </c>
      <c r="CK15" s="276">
        <f t="shared" si="36"/>
        <v>0</v>
      </c>
      <c r="CL15" s="276">
        <f t="shared" si="37"/>
        <v>0</v>
      </c>
      <c r="CM15" s="276">
        <f t="shared" si="38"/>
        <v>0</v>
      </c>
      <c r="CN15" s="276">
        <f t="shared" si="39"/>
        <v>0</v>
      </c>
      <c r="CO15" s="276">
        <f t="shared" si="39"/>
        <v>0</v>
      </c>
      <c r="CP15" s="276">
        <f t="shared" si="11"/>
        <v>0</v>
      </c>
      <c r="CQ15" s="39">
        <f t="shared" si="12"/>
        <v>313</v>
      </c>
      <c r="CR15" s="39">
        <f t="shared" si="13"/>
        <v>295.33333333333331</v>
      </c>
      <c r="CS15" s="277">
        <f t="shared" si="14"/>
        <v>290.77777777777777</v>
      </c>
      <c r="CT15" s="39">
        <f t="shared" si="15"/>
        <v>299.7037037037037</v>
      </c>
      <c r="CU15" s="39">
        <f t="shared" si="16"/>
        <v>295.27160493827159</v>
      </c>
      <c r="CV15" s="39">
        <f t="shared" si="17"/>
        <v>295.25102880658432</v>
      </c>
      <c r="CW15" s="297" t="str">
        <f t="shared" si="18"/>
        <v>-</v>
      </c>
      <c r="CX15" s="279" t="str">
        <f>IF(CW15&lt;0.25, "Presumption", IF(CW15&lt;0.85, "Buffer and Action Plan", IF(CW15&lt;0.95, "Action Plan", "Pass")))</f>
        <v>Pass</v>
      </c>
      <c r="CY15" s="278" t="str">
        <f t="shared" si="19"/>
        <v>-</v>
      </c>
      <c r="CZ15" s="279" t="str">
        <f t="shared" si="41"/>
        <v>Pass</v>
      </c>
      <c r="DA15" s="278" t="str">
        <f t="shared" si="20"/>
        <v>-</v>
      </c>
      <c r="DB15" s="292" t="str">
        <f t="shared" si="42"/>
        <v>Pass</v>
      </c>
      <c r="DC15" s="299" t="str">
        <f t="shared" si="43"/>
        <v>-</v>
      </c>
      <c r="DD15" s="293" t="str">
        <f t="shared" si="44"/>
        <v>Pass</v>
      </c>
      <c r="DE15" s="299" t="str">
        <f t="shared" si="45"/>
        <v>-</v>
      </c>
      <c r="DF15" s="293" t="str">
        <f t="shared" si="46"/>
        <v>Pass</v>
      </c>
      <c r="DG15" s="299" t="str">
        <f t="shared" si="47"/>
        <v>-</v>
      </c>
      <c r="DH15" s="293" t="str">
        <f t="shared" si="48"/>
        <v>Pass</v>
      </c>
    </row>
    <row r="16" spans="1:112" ht="15" thickTop="1" thickBot="1">
      <c r="A16" s="38" t="s">
        <v>139</v>
      </c>
      <c r="B16" s="38" t="s">
        <v>140</v>
      </c>
      <c r="C16" s="38" t="s">
        <v>139</v>
      </c>
      <c r="D16" s="38" t="s">
        <v>128</v>
      </c>
      <c r="E16" s="38" t="str">
        <f>VLOOKUP(C16,PoliticalControl!A:K,11,FALSE)</f>
        <v>CON</v>
      </c>
      <c r="F16" s="38" t="str">
        <f>VLOOKUP(C16,UrbanRuralClassification!A:N,13,FALSE)</f>
        <v>Urban with City and Town</v>
      </c>
      <c r="G16" s="38" t="str">
        <f>VLOOKUP(C16,UrbanRuralClassification!A:N,14,FALSE)</f>
        <v>Predominantly Urban</v>
      </c>
      <c r="H16" s="258" t="str">
        <f>IF(ISBLANK((VLOOKUP($A16,'local-plan-data'!$C$1:$AD$566,27,FALSE)))=TRUE,"",VLOOKUP($A16,'local-plan-data'!$C$1:$AD$566,27,FALSE))</f>
        <v/>
      </c>
      <c r="I16" s="259">
        <f>VLOOKUP($A16,'local-plan-data'!$C$1:$AD$566,28,FALSE)</f>
        <v>773.25</v>
      </c>
      <c r="J16" s="260">
        <f t="shared" si="21"/>
        <v>773.25</v>
      </c>
      <c r="K16" s="259" t="str">
        <f t="shared" si="22"/>
        <v>-</v>
      </c>
      <c r="L16" s="259" t="str">
        <f t="shared" si="0"/>
        <v>-</v>
      </c>
      <c r="M16" s="259" t="str">
        <f t="shared" si="0"/>
        <v>-</v>
      </c>
      <c r="N16" s="259" t="str">
        <f t="shared" si="0"/>
        <v>-</v>
      </c>
      <c r="O16" s="259" t="str">
        <f t="shared" si="0"/>
        <v>-</v>
      </c>
      <c r="P16" s="259" t="str">
        <f t="shared" si="0"/>
        <v>-</v>
      </c>
      <c r="Q16" s="259" t="str">
        <f t="shared" si="0"/>
        <v>-</v>
      </c>
      <c r="R16" s="259" t="str">
        <f t="shared" si="0"/>
        <v>-</v>
      </c>
      <c r="S16" s="259" t="str">
        <f t="shared" si="23"/>
        <v>-</v>
      </c>
      <c r="T16" s="259" t="str">
        <f t="shared" si="1"/>
        <v>-</v>
      </c>
      <c r="U16" s="259" t="str">
        <f t="shared" si="1"/>
        <v>-</v>
      </c>
      <c r="V16" s="259" t="str">
        <f t="shared" si="1"/>
        <v>-</v>
      </c>
      <c r="W16" s="259" t="str">
        <f t="shared" si="1"/>
        <v>-</v>
      </c>
      <c r="X16" s="259" t="str">
        <f t="shared" si="1"/>
        <v>-</v>
      </c>
      <c r="Y16" s="259" t="str">
        <f t="shared" si="1"/>
        <v>-</v>
      </c>
      <c r="Z16" s="259" t="str">
        <f t="shared" si="1"/>
        <v>-</v>
      </c>
      <c r="AA16" s="267">
        <f>(VLOOKUP(A16,Hshldprojections2014!$A$2:$AW$319,40, FALSE)-VLOOKUP(A16,Hshldprojections2014!$A$2:$AW$319,30, FALSE))/10</f>
        <v>768.7</v>
      </c>
      <c r="AB16" s="267">
        <f>(VLOOKUP(A16,Hshldprojections2014!$A$2:$AW$319,41, FALSE)-VLOOKUP(A16,Hshldprojections2014!$A$2:$AW$319,31, FALSE))/10</f>
        <v>759.7</v>
      </c>
      <c r="AC16" s="267">
        <f>(VLOOKUP(A16,Hshldprojections2014!$A$2:$AW$319,42, FALSE)-VLOOKUP(A16,Hshldprojections2014!$A$2:$AW$319,32, FALSE))/10</f>
        <v>750.2</v>
      </c>
      <c r="AD16" s="267">
        <f>IF(IndividualLATest!$J$7=2014,(VLOOKUP($A16,Hshldprojections2014!$A$2:$AY$326,43,FALSE)-VLOOKUP($A16,Hshldprojections2014!$A$2:$AY$326,33,FALSE))/10,IF(IndividualLATest!$J$7=2016,(VLOOKUP($A16,Hshldprojections2016!$A$1:$AQ$322,33,FALSE)-VLOOKUP($A16,Hshldprojections2016!$A$1:$AQ$322,23,FALSE))/10,(VLOOKUP($A16,Hshldprojections2018!$A$1:$AQ$327,33,FALSE)-VLOOKUP($A16,Hshldprojections2018!$A$1:$AQ$327,23,FALSE))/10))</f>
        <v>421.3</v>
      </c>
      <c r="AE16" s="267">
        <f>IF(IndividualLATest!$J$7=2014,(VLOOKUP($A16,Hshldprojections2014!$A$2:$AY$326,44,FALSE)-VLOOKUP($A16,Hshldprojections2014!$A$2:$AY$326,34,FALSE))/10,IF(IndividualLATest!$J$7=2016,(VLOOKUP($A16,Hshldprojections2016!$A$1:$AQ$322,34,FALSE)-VLOOKUP($A16,Hshldprojections2016!$A$1:$AQ$322,24,FALSE))/10,(VLOOKUP($A16,Hshldprojections2018!$A$1:$AQ$327,34,FALSE)-VLOOKUP($A16,Hshldprojections2018!$A$1:$AQ$327,24,FALSE))/10))</f>
        <v>418.8</v>
      </c>
      <c r="AF16" s="267">
        <f>IF(IndividualLATest!$J$7=2014,(VLOOKUP($A16,Hshldprojections2014!$A$2:$AY$326,45,FALSE)-VLOOKUP($A16,Hshldprojections2014!$A$2:$AY$326,35,FALSE))/10,IF(IndividualLATest!$J$7=2016,(VLOOKUP($A16,Hshldprojections2016!$A$1:$AQ$322,35,FALSE)-VLOOKUP($A16,Hshldprojections2016!$A$1:$AQ$322,25,FALSE))/10,(VLOOKUP($A16,Hshldprojections2018!$A$1:$AQ$327,35,FALSE)-VLOOKUP($A16,Hshldprojections2018!$A$1:$AQ$327,25,FALSE))/10))</f>
        <v>419</v>
      </c>
      <c r="AG16" s="267">
        <f>IF(IndividualLATest!$J$7=2014,(VLOOKUP($A16,Hshldprojections2014!$A$2:$AY$326,46,FALSE)-VLOOKUP($A16,Hshldprojections2014!$A$2:$AY$326,36,FALSE))/10,IF(IndividualLATest!$J$7=2016,(VLOOKUP($A16,Hshldprojections2016!$A$1:$AQ$322,36,FALSE)-VLOOKUP($A16,Hshldprojections2016!$A$1:$AQ$322,26,FALSE))/10,(VLOOKUP($A16,Hshldprojections2018!$A$1:$AQ$327,36,FALSE)-VLOOKUP($A16,Hshldprojections2018!$A$1:$AQ$327,26,FALSE))/10))</f>
        <v>418.1</v>
      </c>
      <c r="AH16" s="267">
        <f>IF(IndividualLATest!$J$7=2014,(VLOOKUP($A16,Hshldprojections2014!$A$2:$AY$326,47,FALSE)-VLOOKUP($A16,Hshldprojections2014!$A$2:$AY$326,37,FALSE))/10,IF(IndividualLATest!$J$7=2016,(VLOOKUP($A16,Hshldprojections2016!$A$1:$AQ$322,37,FALSE)-VLOOKUP($A16,Hshldprojections2016!$A$1:$AQ$322,27,FALSE))/10,(VLOOKUP($A16,Hshldprojections2018!$A$1:$AQ$327,37,FALSE)-VLOOKUP($A16,Hshldprojections2018!$A$1:$AQ$327,27,FALSE))/10))</f>
        <v>419.4</v>
      </c>
      <c r="AI16" s="268">
        <f>IF(ISNUMBER('Sensitivity Tests'!$C$30),'Sensitivity Tests'!$C$30,VLOOKUP($A16,AffordabilityRatio!$A$2:$I$321,5,FALSE))</f>
        <v>10.27</v>
      </c>
      <c r="AJ16" s="268">
        <f>IF(ISNUMBER('Sensitivity Tests'!$C$30),'Sensitivity Tests'!$C$30,VLOOKUP($A16,AffordabilityRatio!$A$2:$I$321,6,FALSE))</f>
        <v>10.66</v>
      </c>
      <c r="AK16" s="268">
        <f>IF(ISNUMBER('Sensitivity Tests'!$C$30),'Sensitivity Tests'!$C$30,VLOOKUP($A16,AffordabilityRatio!$A$2:$I$321,7,FALSE))</f>
        <v>9.39</v>
      </c>
      <c r="AL16" s="268">
        <f>IF(ISNUMBER('Sensitivity Tests'!$C$30),'Sensitivity Tests'!$C$30,IF((VLOOKUP($A16,AffordabilityRatio!$A$2:$I$321,8,FALSE))="",AK16,VLOOKUP($A16,AffordabilityRatio!$A$2:$I$321,8,FALSE)))</f>
        <v>9.7899999999999991</v>
      </c>
      <c r="AM16" s="268">
        <f>IF(ISNUMBER('Sensitivity Tests'!$C$30),'Sensitivity Tests'!$C$30,IF((VLOOKUP($A16,AffordabilityRatio!$A$2:$I$321,9,FALSE))="",AL16,VLOOKUP($A16,AffordabilityRatio!$A$2:$I$321,9,FALSE)))</f>
        <v>10.36</v>
      </c>
      <c r="AN16" s="268">
        <f>IF(ISNUMBER('Sensitivity Tests'!$C$30),'Sensitivity Tests'!$C$30,IF((VLOOKUP($A16,AffordabilityRatio!$A$2:$I$321,9,FALSE))="",AM16,VLOOKUP($A16,AffordabilityRatio!$A$2:$I$321,9,FALSE)))</f>
        <v>10.36</v>
      </c>
      <c r="AO16" s="268">
        <f>IF(ISNUMBER('Sensitivity Tests'!$C$30),'Sensitivity Tests'!$C$30,IF((VLOOKUP($A16,AffordabilityRatio!$A$2:$I$321,9,FALSE))="",AN16,VLOOKUP($A16,AffordabilityRatio!$A$2:$I$321,9,FALSE)))</f>
        <v>10.36</v>
      </c>
      <c r="AP16" s="268">
        <f>IF(ISNUMBER('Sensitivity Tests'!$C$30),'Sensitivity Tests'!$C$30,IF((VLOOKUP($A16,AffordabilityRatio!$A$2:$I$321,9,FALSE))="",AO16,VLOOKUP($A16,AffordabilityRatio!$A$2:$I$321,9,FALSE)))</f>
        <v>10.36</v>
      </c>
      <c r="AQ16" s="267">
        <f t="shared" si="24"/>
        <v>1070</v>
      </c>
      <c r="AR16" s="267">
        <f t="shared" si="2"/>
        <v>1076</v>
      </c>
      <c r="AS16" s="267">
        <f t="shared" si="2"/>
        <v>1003</v>
      </c>
      <c r="AT16" s="267">
        <f t="shared" si="2"/>
        <v>574</v>
      </c>
      <c r="AU16" s="267">
        <f t="shared" si="2"/>
        <v>585</v>
      </c>
      <c r="AV16" s="267">
        <f t="shared" si="2"/>
        <v>586</v>
      </c>
      <c r="AW16" s="267">
        <f t="shared" si="2"/>
        <v>584</v>
      </c>
      <c r="AX16" s="267">
        <f t="shared" si="2"/>
        <v>586</v>
      </c>
      <c r="AY16" s="267">
        <f t="shared" si="25"/>
        <v>1070</v>
      </c>
      <c r="AZ16" s="267">
        <f t="shared" si="26"/>
        <v>1076</v>
      </c>
      <c r="BA16" s="267">
        <f t="shared" si="27"/>
        <v>1003</v>
      </c>
      <c r="BB16" s="267">
        <f t="shared" si="28"/>
        <v>574</v>
      </c>
      <c r="BC16" s="267">
        <f t="shared" si="29"/>
        <v>585</v>
      </c>
      <c r="BD16" s="267">
        <f t="shared" si="30"/>
        <v>586</v>
      </c>
      <c r="BE16" s="267">
        <f t="shared" si="31"/>
        <v>584</v>
      </c>
      <c r="BF16" s="267">
        <f t="shared" si="32"/>
        <v>586</v>
      </c>
      <c r="BG16" s="269">
        <f>AY16*VLOOKUP($B16,'Major Cities &amp; Towns'!$A$28:$B$345,2,FALSE)</f>
        <v>1070</v>
      </c>
      <c r="BH16" s="269">
        <f>AZ16*VLOOKUP($B16,'Major Cities &amp; Towns'!$A$28:$B$345,2,FALSE)</f>
        <v>1076</v>
      </c>
      <c r="BI16" s="269">
        <f>BA16*VLOOKUP($B16,'Major Cities &amp; Towns'!$A$28:$B$345,2,FALSE)</f>
        <v>1003</v>
      </c>
      <c r="BJ16" s="269">
        <f>BB16*VLOOKUP($B16,'Major Cities &amp; Towns'!$A$28:$B$345,2,FALSE)</f>
        <v>574</v>
      </c>
      <c r="BK16" s="269">
        <f>BC16*VLOOKUP($B16,'Major Cities &amp; Towns'!$A$28:$B$345,2,FALSE)</f>
        <v>585</v>
      </c>
      <c r="BL16" s="269">
        <f>BD16*VLOOKUP($B16,'Major Cities &amp; Towns'!$A$28:$B$345,2,FALSE)</f>
        <v>586</v>
      </c>
      <c r="BM16" s="269">
        <f>BE16*VLOOKUP($B16,'Major Cities &amp; Towns'!$A$28:$B$345,2,FALSE)</f>
        <v>584</v>
      </c>
      <c r="BN16" s="269">
        <f>BF16*VLOOKUP($B16,'Major Cities &amp; Towns'!$A$28:$B$345,2,FALSE)</f>
        <v>586</v>
      </c>
      <c r="BO16" s="270">
        <f t="shared" si="33"/>
        <v>1070</v>
      </c>
      <c r="BP16" s="270">
        <f t="shared" si="34"/>
        <v>1076</v>
      </c>
      <c r="BQ16" s="270">
        <f t="shared" si="34"/>
        <v>1003</v>
      </c>
      <c r="BR16" s="270">
        <f t="shared" si="34"/>
        <v>574</v>
      </c>
      <c r="BS16" s="270">
        <f t="shared" si="34"/>
        <v>585</v>
      </c>
      <c r="BT16" s="270">
        <f t="shared" si="34"/>
        <v>586</v>
      </c>
      <c r="BU16" s="270">
        <f t="shared" si="34"/>
        <v>584</v>
      </c>
      <c r="BV16" s="270">
        <f t="shared" si="34"/>
        <v>586</v>
      </c>
      <c r="BW16" s="39">
        <f>VLOOKUP($A16,NetAdditions!$A$2:$H$336,6,FALSE)</f>
        <v>340</v>
      </c>
      <c r="BX16" s="39">
        <f>VLOOKUP($A16,NetAdditions!$A$2:$H$336,7,FALSE)</f>
        <v>460</v>
      </c>
      <c r="BY16" s="39">
        <f>IF((VLOOKUP($C16,NetAdditions!$A$2:$H$336,8,FALSE))="",(AVERAGE(VLOOKUP($C16,NetAdditions!$A$2:$H$336,5,FALSE),VLOOKUP($C16,NetAdditions!$A$2:$H$336,6,FALSE),VLOOKUP($C16,NetAdditions!$A$2:$H$336,7,FALSE))),VLOOKUP($C16,NetAdditions!$A$2:$H$336,8,FALSE))</f>
        <v>317</v>
      </c>
      <c r="BZ16" s="39">
        <f t="shared" si="35"/>
        <v>372.33333333333331</v>
      </c>
      <c r="CA16" s="39">
        <f t="shared" si="4"/>
        <v>383.11111111111109</v>
      </c>
      <c r="CB16" s="39">
        <f t="shared" si="4"/>
        <v>357.48148148148147</v>
      </c>
      <c r="CC16" s="39">
        <f t="shared" si="4"/>
        <v>370.97530864197529</v>
      </c>
      <c r="CD16" s="39">
        <f t="shared" si="4"/>
        <v>370.52263374485597</v>
      </c>
      <c r="CE16" s="276">
        <f t="shared" si="5"/>
        <v>3149</v>
      </c>
      <c r="CF16" s="276">
        <f t="shared" si="6"/>
        <v>2653</v>
      </c>
      <c r="CG16" s="276">
        <f t="shared" si="7"/>
        <v>2162</v>
      </c>
      <c r="CH16" s="276">
        <f t="shared" si="8"/>
        <v>1745</v>
      </c>
      <c r="CI16" s="276">
        <f t="shared" si="9"/>
        <v>1755</v>
      </c>
      <c r="CJ16" s="276">
        <f t="shared" si="10"/>
        <v>1756</v>
      </c>
      <c r="CK16" s="276">
        <f t="shared" si="36"/>
        <v>2711.6388888888891</v>
      </c>
      <c r="CL16" s="276">
        <f t="shared" si="37"/>
        <v>2284.5277777777778</v>
      </c>
      <c r="CM16" s="276">
        <f t="shared" si="38"/>
        <v>1981.8333333333333</v>
      </c>
      <c r="CN16" s="276">
        <f t="shared" si="39"/>
        <v>1745</v>
      </c>
      <c r="CO16" s="276">
        <f t="shared" si="39"/>
        <v>1755</v>
      </c>
      <c r="CP16" s="276">
        <f t="shared" si="11"/>
        <v>1756</v>
      </c>
      <c r="CQ16" s="39">
        <f t="shared" si="12"/>
        <v>1117</v>
      </c>
      <c r="CR16" s="39">
        <f t="shared" si="13"/>
        <v>1149.3333333333333</v>
      </c>
      <c r="CS16" s="277">
        <f t="shared" si="14"/>
        <v>1072.4444444444443</v>
      </c>
      <c r="CT16" s="39">
        <f t="shared" si="15"/>
        <v>1112.9259259259259</v>
      </c>
      <c r="CU16" s="39">
        <f t="shared" si="16"/>
        <v>1111.5679012345679</v>
      </c>
      <c r="CV16" s="39">
        <f t="shared" si="17"/>
        <v>1098.9794238683128</v>
      </c>
      <c r="CW16" s="297">
        <f t="shared" si="18"/>
        <v>0.41192800581853939</v>
      </c>
      <c r="CX16" s="279" t="str">
        <f t="shared" si="40"/>
        <v>Buffer and Action Plan</v>
      </c>
      <c r="CY16" s="278">
        <f t="shared" si="19"/>
        <v>0.50309448828471715</v>
      </c>
      <c r="CZ16" s="279" t="str">
        <f t="shared" si="41"/>
        <v>Buffer and Action Plan</v>
      </c>
      <c r="DA16" s="278">
        <f t="shared" si="20"/>
        <v>0.54113755501359573</v>
      </c>
      <c r="DB16" s="292" t="str">
        <f t="shared" si="42"/>
        <v>Presumption</v>
      </c>
      <c r="DC16" s="299">
        <f t="shared" si="43"/>
        <v>0.6377799002440836</v>
      </c>
      <c r="DD16" s="293" t="str">
        <f t="shared" si="44"/>
        <v>Presumption</v>
      </c>
      <c r="DE16" s="299">
        <f t="shared" si="45"/>
        <v>0.63337202349548027</v>
      </c>
      <c r="DF16" s="293" t="str">
        <f t="shared" si="46"/>
        <v>Presumption</v>
      </c>
      <c r="DG16" s="299">
        <f t="shared" si="47"/>
        <v>0.62584249650815083</v>
      </c>
      <c r="DH16" s="293" t="str">
        <f t="shared" si="48"/>
        <v>Presumption</v>
      </c>
    </row>
    <row r="17" spans="1:112" ht="15" thickTop="1" thickBot="1">
      <c r="A17" s="38" t="s">
        <v>141</v>
      </c>
      <c r="B17" s="38" t="s">
        <v>142</v>
      </c>
      <c r="C17" s="38" t="s">
        <v>141</v>
      </c>
      <c r="D17" s="38" t="s">
        <v>113</v>
      </c>
      <c r="E17" s="38" t="str">
        <f>VLOOKUP(C17,PoliticalControl!A:K,11,FALSE)</f>
        <v>CON</v>
      </c>
      <c r="F17" s="38" t="str">
        <f>VLOOKUP(C17,UrbanRuralClassification!A:N,13,FALSE)</f>
        <v>Urban with Significant Rural (rural including hub towns 26-49%)</v>
      </c>
      <c r="G17" s="38" t="str">
        <f>VLOOKUP(C17,UrbanRuralClassification!A:N,14,FALSE)</f>
        <v>Urban with Significant Rural</v>
      </c>
      <c r="H17" s="258">
        <f>IF(ISBLANK((VLOOKUP($A17,'local-plan-data'!$C$1:$AD$566,27,FALSE)))=TRUE,"",VLOOKUP($A17,'local-plan-data'!$C$1:$AD$566,27,FALSE))</f>
        <v>42516</v>
      </c>
      <c r="I17" s="259">
        <f>VLOOKUP($A17,'local-plan-data'!$C$1:$AD$566,28,FALSE)</f>
        <v>850</v>
      </c>
      <c r="J17" s="260">
        <f t="shared" si="21"/>
        <v>850</v>
      </c>
      <c r="K17" s="259">
        <f t="shared" si="22"/>
        <v>850</v>
      </c>
      <c r="L17" s="259">
        <f t="shared" si="0"/>
        <v>850</v>
      </c>
      <c r="M17" s="259">
        <f t="shared" si="0"/>
        <v>850</v>
      </c>
      <c r="N17" s="259">
        <f t="shared" si="0"/>
        <v>850</v>
      </c>
      <c r="O17" s="259" t="str">
        <f t="shared" si="0"/>
        <v>-</v>
      </c>
      <c r="P17" s="259" t="str">
        <f t="shared" si="0"/>
        <v>-</v>
      </c>
      <c r="Q17" s="259" t="str">
        <f t="shared" si="0"/>
        <v>-</v>
      </c>
      <c r="R17" s="259" t="str">
        <f t="shared" si="0"/>
        <v>-</v>
      </c>
      <c r="S17" s="259">
        <f t="shared" si="23"/>
        <v>1151</v>
      </c>
      <c r="T17" s="259">
        <f t="shared" si="1"/>
        <v>786</v>
      </c>
      <c r="U17" s="259">
        <f t="shared" si="1"/>
        <v>420</v>
      </c>
      <c r="V17" s="259">
        <f t="shared" si="1"/>
        <v>55</v>
      </c>
      <c r="W17" s="259">
        <f t="shared" si="1"/>
        <v>-310</v>
      </c>
      <c r="X17" s="259">
        <f t="shared" si="1"/>
        <v>-675</v>
      </c>
      <c r="Y17" s="259">
        <f t="shared" si="1"/>
        <v>-1041</v>
      </c>
      <c r="Z17" s="259">
        <f t="shared" si="1"/>
        <v>-1406</v>
      </c>
      <c r="AA17" s="267">
        <f>(VLOOKUP(A17,Hshldprojections2014!$A$2:$AW$319,40, FALSE)-VLOOKUP(A17,Hshldprojections2014!$A$2:$AW$319,30, FALSE))/10</f>
        <v>735</v>
      </c>
      <c r="AB17" s="267">
        <f>(VLOOKUP(A17,Hshldprojections2014!$A$2:$AW$319,41, FALSE)-VLOOKUP(A17,Hshldprojections2014!$A$2:$AW$319,31, FALSE))/10</f>
        <v>711.1</v>
      </c>
      <c r="AC17" s="267">
        <f>(VLOOKUP(A17,Hshldprojections2014!$A$2:$AW$319,42, FALSE)-VLOOKUP(A17,Hshldprojections2014!$A$2:$AW$319,32, FALSE))/10</f>
        <v>691.6</v>
      </c>
      <c r="AD17" s="267">
        <f>IF(IndividualLATest!$J$7=2014,(VLOOKUP($A17,Hshldprojections2014!$A$2:$AY$326,43,FALSE)-VLOOKUP($A17,Hshldprojections2014!$A$2:$AY$326,33,FALSE))/10,IF(IndividualLATest!$J$7=2016,(VLOOKUP($A17,Hshldprojections2016!$A$1:$AQ$322,33,FALSE)-VLOOKUP($A17,Hshldprojections2016!$A$1:$AQ$322,23,FALSE))/10,(VLOOKUP($A17,Hshldprojections2018!$A$1:$AQ$327,33,FALSE)-VLOOKUP($A17,Hshldprojections2018!$A$1:$AQ$327,23,FALSE))/10))</f>
        <v>254.8</v>
      </c>
      <c r="AE17" s="267">
        <f>IF(IndividualLATest!$J$7=2014,(VLOOKUP($A17,Hshldprojections2014!$A$2:$AY$326,44,FALSE)-VLOOKUP($A17,Hshldprojections2014!$A$2:$AY$326,34,FALSE))/10,IF(IndividualLATest!$J$7=2016,(VLOOKUP($A17,Hshldprojections2016!$A$1:$AQ$322,34,FALSE)-VLOOKUP($A17,Hshldprojections2016!$A$1:$AQ$322,24,FALSE))/10,(VLOOKUP($A17,Hshldprojections2018!$A$1:$AQ$327,34,FALSE)-VLOOKUP($A17,Hshldprojections2018!$A$1:$AQ$327,24,FALSE))/10))</f>
        <v>246.5</v>
      </c>
      <c r="AF17" s="267">
        <f>IF(IndividualLATest!$J$7=2014,(VLOOKUP($A17,Hshldprojections2014!$A$2:$AY$326,45,FALSE)-VLOOKUP($A17,Hshldprojections2014!$A$2:$AY$326,35,FALSE))/10,IF(IndividualLATest!$J$7=2016,(VLOOKUP($A17,Hshldprojections2016!$A$1:$AQ$322,35,FALSE)-VLOOKUP($A17,Hshldprojections2016!$A$1:$AQ$322,25,FALSE))/10,(VLOOKUP($A17,Hshldprojections2018!$A$1:$AQ$327,35,FALSE)-VLOOKUP($A17,Hshldprojections2018!$A$1:$AQ$327,25,FALSE))/10))</f>
        <v>239.3</v>
      </c>
      <c r="AG17" s="267">
        <f>IF(IndividualLATest!$J$7=2014,(VLOOKUP($A17,Hshldprojections2014!$A$2:$AY$326,46,FALSE)-VLOOKUP($A17,Hshldprojections2014!$A$2:$AY$326,36,FALSE))/10,IF(IndividualLATest!$J$7=2016,(VLOOKUP($A17,Hshldprojections2016!$A$1:$AQ$322,36,FALSE)-VLOOKUP($A17,Hshldprojections2016!$A$1:$AQ$322,26,FALSE))/10,(VLOOKUP($A17,Hshldprojections2018!$A$1:$AQ$327,36,FALSE)-VLOOKUP($A17,Hshldprojections2018!$A$1:$AQ$327,26,FALSE))/10))</f>
        <v>231.5</v>
      </c>
      <c r="AH17" s="267">
        <f>IF(IndividualLATest!$J$7=2014,(VLOOKUP($A17,Hshldprojections2014!$A$2:$AY$326,47,FALSE)-VLOOKUP($A17,Hshldprojections2014!$A$2:$AY$326,37,FALSE))/10,IF(IndividualLATest!$J$7=2016,(VLOOKUP($A17,Hshldprojections2016!$A$1:$AQ$322,37,FALSE)-VLOOKUP($A17,Hshldprojections2016!$A$1:$AQ$322,27,FALSE))/10,(VLOOKUP($A17,Hshldprojections2018!$A$1:$AQ$327,37,FALSE)-VLOOKUP($A17,Hshldprojections2018!$A$1:$AQ$327,27,FALSE))/10))</f>
        <v>229.2</v>
      </c>
      <c r="AI17" s="268">
        <f>IF(ISNUMBER('Sensitivity Tests'!$C$30),'Sensitivity Tests'!$C$30,VLOOKUP($A17,AffordabilityRatio!$A$2:$I$321,5,FALSE))</f>
        <v>9.5500000000000007</v>
      </c>
      <c r="AJ17" s="268">
        <f>IF(ISNUMBER('Sensitivity Tests'!$C$30),'Sensitivity Tests'!$C$30,VLOOKUP($A17,AffordabilityRatio!$A$2:$I$321,6,FALSE))</f>
        <v>9.5399999999999991</v>
      </c>
      <c r="AK17" s="268">
        <f>IF(ISNUMBER('Sensitivity Tests'!$C$30),'Sensitivity Tests'!$C$30,VLOOKUP($A17,AffordabilityRatio!$A$2:$I$321,7,FALSE))</f>
        <v>8.48</v>
      </c>
      <c r="AL17" s="268">
        <f>IF(ISNUMBER('Sensitivity Tests'!$C$30),'Sensitivity Tests'!$C$30,IF((VLOOKUP($A17,AffordabilityRatio!$A$2:$I$321,8,FALSE))="",AK17,VLOOKUP($A17,AffordabilityRatio!$A$2:$I$321,8,FALSE)))</f>
        <v>8.86</v>
      </c>
      <c r="AM17" s="268">
        <f>IF(ISNUMBER('Sensitivity Tests'!$C$30),'Sensitivity Tests'!$C$30,IF((VLOOKUP($A17,AffordabilityRatio!$A$2:$I$321,9,FALSE))="",AL17,VLOOKUP($A17,AffordabilityRatio!$A$2:$I$321,9,FALSE)))</f>
        <v>9.24</v>
      </c>
      <c r="AN17" s="268">
        <f>IF(ISNUMBER('Sensitivity Tests'!$C$30),'Sensitivity Tests'!$C$30,IF((VLOOKUP($A17,AffordabilityRatio!$A$2:$I$321,9,FALSE))="",AM17,VLOOKUP($A17,AffordabilityRatio!$A$2:$I$321,9,FALSE)))</f>
        <v>9.24</v>
      </c>
      <c r="AO17" s="268">
        <f>IF(ISNUMBER('Sensitivity Tests'!$C$30),'Sensitivity Tests'!$C$30,IF((VLOOKUP($A17,AffordabilityRatio!$A$2:$I$321,9,FALSE))="",AN17,VLOOKUP($A17,AffordabilityRatio!$A$2:$I$321,9,FALSE)))</f>
        <v>9.24</v>
      </c>
      <c r="AP17" s="268">
        <f>IF(ISNUMBER('Sensitivity Tests'!$C$30),'Sensitivity Tests'!$C$30,IF((VLOOKUP($A17,AffordabilityRatio!$A$2:$I$321,9,FALSE))="",AO17,VLOOKUP($A17,AffordabilityRatio!$A$2:$I$321,9,FALSE)))</f>
        <v>9.24</v>
      </c>
      <c r="AQ17" s="267">
        <f t="shared" si="24"/>
        <v>990</v>
      </c>
      <c r="AR17" s="267">
        <f t="shared" si="2"/>
        <v>957</v>
      </c>
      <c r="AS17" s="267">
        <f t="shared" si="2"/>
        <v>885</v>
      </c>
      <c r="AT17" s="267">
        <f t="shared" si="2"/>
        <v>332</v>
      </c>
      <c r="AU17" s="267">
        <f t="shared" si="2"/>
        <v>327</v>
      </c>
      <c r="AV17" s="267">
        <f t="shared" si="2"/>
        <v>318</v>
      </c>
      <c r="AW17" s="267">
        <f t="shared" si="2"/>
        <v>307</v>
      </c>
      <c r="AX17" s="267">
        <f t="shared" si="2"/>
        <v>304</v>
      </c>
      <c r="AY17" s="267">
        <f t="shared" si="25"/>
        <v>990</v>
      </c>
      <c r="AZ17" s="267">
        <f t="shared" si="26"/>
        <v>957</v>
      </c>
      <c r="BA17" s="267">
        <f t="shared" si="27"/>
        <v>885</v>
      </c>
      <c r="BB17" s="267">
        <f t="shared" si="28"/>
        <v>332</v>
      </c>
      <c r="BC17" s="267">
        <f t="shared" si="29"/>
        <v>327</v>
      </c>
      <c r="BD17" s="267">
        <f t="shared" si="30"/>
        <v>318</v>
      </c>
      <c r="BE17" s="267">
        <f t="shared" si="31"/>
        <v>307</v>
      </c>
      <c r="BF17" s="267">
        <f t="shared" si="32"/>
        <v>304</v>
      </c>
      <c r="BG17" s="269">
        <f>AY17*VLOOKUP($B17,'Major Cities &amp; Towns'!$A$28:$B$345,2,FALSE)</f>
        <v>990</v>
      </c>
      <c r="BH17" s="269">
        <f>AZ17*VLOOKUP($B17,'Major Cities &amp; Towns'!$A$28:$B$345,2,FALSE)</f>
        <v>957</v>
      </c>
      <c r="BI17" s="269">
        <f>BA17*VLOOKUP($B17,'Major Cities &amp; Towns'!$A$28:$B$345,2,FALSE)</f>
        <v>885</v>
      </c>
      <c r="BJ17" s="269">
        <f>BB17*VLOOKUP($B17,'Major Cities &amp; Towns'!$A$28:$B$345,2,FALSE)</f>
        <v>332</v>
      </c>
      <c r="BK17" s="269">
        <f>BC17*VLOOKUP($B17,'Major Cities &amp; Towns'!$A$28:$B$345,2,FALSE)</f>
        <v>327</v>
      </c>
      <c r="BL17" s="269">
        <f>BD17*VLOOKUP($B17,'Major Cities &amp; Towns'!$A$28:$B$345,2,FALSE)</f>
        <v>318</v>
      </c>
      <c r="BM17" s="269">
        <f>BE17*VLOOKUP($B17,'Major Cities &amp; Towns'!$A$28:$B$345,2,FALSE)</f>
        <v>307</v>
      </c>
      <c r="BN17" s="269">
        <f>BF17*VLOOKUP($B17,'Major Cities &amp; Towns'!$A$28:$B$345,2,FALSE)</f>
        <v>304</v>
      </c>
      <c r="BO17" s="270">
        <f t="shared" si="33"/>
        <v>850</v>
      </c>
      <c r="BP17" s="270">
        <f t="shared" si="34"/>
        <v>850</v>
      </c>
      <c r="BQ17" s="270">
        <f t="shared" si="34"/>
        <v>850</v>
      </c>
      <c r="BR17" s="270">
        <f t="shared" si="34"/>
        <v>332</v>
      </c>
      <c r="BS17" s="270">
        <f t="shared" si="34"/>
        <v>327</v>
      </c>
      <c r="BT17" s="270">
        <f t="shared" si="34"/>
        <v>318</v>
      </c>
      <c r="BU17" s="270">
        <f t="shared" si="34"/>
        <v>307</v>
      </c>
      <c r="BV17" s="270">
        <f t="shared" si="34"/>
        <v>304</v>
      </c>
      <c r="BW17" s="39">
        <f>VLOOKUP($A17,NetAdditions!$A$2:$H$336,6,FALSE)</f>
        <v>1200</v>
      </c>
      <c r="BX17" s="39">
        <f>VLOOKUP($A17,NetAdditions!$A$2:$H$336,7,FALSE)</f>
        <v>1574</v>
      </c>
      <c r="BY17" s="39">
        <f>IF((VLOOKUP($C17,NetAdditions!$A$2:$H$336,8,FALSE))="",(AVERAGE(VLOOKUP($C17,NetAdditions!$A$2:$H$336,5,FALSE),VLOOKUP($C17,NetAdditions!$A$2:$H$336,6,FALSE),VLOOKUP($C17,NetAdditions!$A$2:$H$336,7,FALSE))),VLOOKUP($C17,NetAdditions!$A$2:$H$336,8,FALSE))</f>
        <v>1241</v>
      </c>
      <c r="BZ17" s="39">
        <f t="shared" si="35"/>
        <v>1338.3333333333333</v>
      </c>
      <c r="CA17" s="39">
        <f t="shared" si="4"/>
        <v>1384.4444444444443</v>
      </c>
      <c r="CB17" s="39">
        <f t="shared" si="4"/>
        <v>1321.2592592592591</v>
      </c>
      <c r="CC17" s="39">
        <f t="shared" si="4"/>
        <v>1348.0123456790122</v>
      </c>
      <c r="CD17" s="39">
        <f t="shared" si="4"/>
        <v>1351.2386831275719</v>
      </c>
      <c r="CE17" s="276">
        <f t="shared" si="5"/>
        <v>2550</v>
      </c>
      <c r="CF17" s="276">
        <f t="shared" si="6"/>
        <v>2032</v>
      </c>
      <c r="CG17" s="276">
        <f t="shared" si="7"/>
        <v>1509</v>
      </c>
      <c r="CH17" s="276">
        <f t="shared" si="8"/>
        <v>977</v>
      </c>
      <c r="CI17" s="276">
        <f t="shared" si="9"/>
        <v>952</v>
      </c>
      <c r="CJ17" s="276">
        <f t="shared" si="10"/>
        <v>929</v>
      </c>
      <c r="CK17" s="276">
        <f t="shared" si="36"/>
        <v>2195.8333333333335</v>
      </c>
      <c r="CL17" s="276">
        <f t="shared" si="37"/>
        <v>1749.7777777777778</v>
      </c>
      <c r="CM17" s="276">
        <f t="shared" si="38"/>
        <v>1383.25</v>
      </c>
      <c r="CN17" s="276">
        <f t="shared" si="39"/>
        <v>977</v>
      </c>
      <c r="CO17" s="276">
        <f t="shared" si="39"/>
        <v>952</v>
      </c>
      <c r="CP17" s="276">
        <f t="shared" si="11"/>
        <v>929</v>
      </c>
      <c r="CQ17" s="39">
        <f t="shared" si="12"/>
        <v>4015</v>
      </c>
      <c r="CR17" s="39">
        <f t="shared" si="13"/>
        <v>4153.333333333333</v>
      </c>
      <c r="CS17" s="277">
        <f t="shared" si="14"/>
        <v>3963.7777777777774</v>
      </c>
      <c r="CT17" s="39">
        <f t="shared" si="15"/>
        <v>4044.0370370370365</v>
      </c>
      <c r="CU17" s="39">
        <f t="shared" si="16"/>
        <v>4053.7160493827159</v>
      </c>
      <c r="CV17" s="39">
        <f t="shared" si="17"/>
        <v>4020.5102880658433</v>
      </c>
      <c r="CW17" s="297">
        <f t="shared" si="18"/>
        <v>1.8284629981024667</v>
      </c>
      <c r="CX17" s="279" t="str">
        <f t="shared" si="40"/>
        <v>Pass</v>
      </c>
      <c r="CY17" s="278">
        <f t="shared" si="19"/>
        <v>2.3736347472694943</v>
      </c>
      <c r="CZ17" s="279" t="str">
        <f t="shared" si="41"/>
        <v>Pass</v>
      </c>
      <c r="DA17" s="278">
        <f t="shared" si="20"/>
        <v>2.8655541498483843</v>
      </c>
      <c r="DB17" s="292" t="str">
        <f t="shared" si="42"/>
        <v>Pass</v>
      </c>
      <c r="DC17" s="299">
        <f t="shared" si="43"/>
        <v>4.1392395466090441</v>
      </c>
      <c r="DD17" s="293" t="str">
        <f t="shared" si="44"/>
        <v>Pass</v>
      </c>
      <c r="DE17" s="299">
        <f t="shared" si="45"/>
        <v>4.2581050938894078</v>
      </c>
      <c r="DF17" s="293" t="str">
        <f t="shared" si="46"/>
        <v>Pass</v>
      </c>
      <c r="DG17" s="299">
        <f t="shared" si="47"/>
        <v>4.32778287197615</v>
      </c>
      <c r="DH17" s="293" t="str">
        <f t="shared" si="48"/>
        <v>Pass</v>
      </c>
    </row>
    <row r="18" spans="1:112" ht="15" thickTop="1" thickBot="1">
      <c r="A18" s="38" t="s">
        <v>143</v>
      </c>
      <c r="B18" s="38" t="s">
        <v>144</v>
      </c>
      <c r="C18" s="38" t="s">
        <v>143</v>
      </c>
      <c r="D18" s="38" t="s">
        <v>119</v>
      </c>
      <c r="E18" s="38" t="str">
        <f>VLOOKUP(C18,PoliticalControl!A:K,11,FALSE)</f>
        <v>LAB</v>
      </c>
      <c r="F18" s="38" t="str">
        <f>VLOOKUP(C18,UrbanRuralClassification!A:N,13,FALSE)</f>
        <v xml:space="preserve">Largely Rural (rural including hub towns 50-79%) </v>
      </c>
      <c r="G18" s="38" t="str">
        <f>VLOOKUP(C18,UrbanRuralClassification!A:N,14,FALSE)</f>
        <v>Predominantly Rural</v>
      </c>
      <c r="H18" s="258">
        <f>IF(ISBLANK((VLOOKUP($A18,'local-plan-data'!$C$1:$AD$566,27,FALSE)))=TRUE,"",VLOOKUP($A18,'local-plan-data'!$C$1:$AD$566,27,FALSE))</f>
        <v>40899</v>
      </c>
      <c r="I18" s="259">
        <f>VLOOKUP($A18,'local-plan-data'!$C$1:$AD$566,28,FALSE)</f>
        <v>350</v>
      </c>
      <c r="J18" s="260">
        <f t="shared" si="21"/>
        <v>350</v>
      </c>
      <c r="K18" s="259" t="str">
        <f t="shared" si="22"/>
        <v>-</v>
      </c>
      <c r="L18" s="259" t="str">
        <f t="shared" si="0"/>
        <v>-</v>
      </c>
      <c r="M18" s="259" t="str">
        <f t="shared" si="0"/>
        <v>-</v>
      </c>
      <c r="N18" s="259" t="str">
        <f t="shared" si="0"/>
        <v>-</v>
      </c>
      <c r="O18" s="259" t="str">
        <f t="shared" si="0"/>
        <v>-</v>
      </c>
      <c r="P18" s="259" t="str">
        <f t="shared" si="0"/>
        <v>-</v>
      </c>
      <c r="Q18" s="259" t="str">
        <f t="shared" si="0"/>
        <v>-</v>
      </c>
      <c r="R18" s="259" t="str">
        <f t="shared" si="0"/>
        <v>-</v>
      </c>
      <c r="S18" s="259">
        <f t="shared" si="23"/>
        <v>-465</v>
      </c>
      <c r="T18" s="259">
        <f t="shared" si="1"/>
        <v>-830</v>
      </c>
      <c r="U18" s="259">
        <f t="shared" si="1"/>
        <v>-1196</v>
      </c>
      <c r="V18" s="259">
        <f t="shared" si="1"/>
        <v>-1561</v>
      </c>
      <c r="W18" s="259">
        <f t="shared" si="1"/>
        <v>-1926</v>
      </c>
      <c r="X18" s="259">
        <f t="shared" si="1"/>
        <v>-2291</v>
      </c>
      <c r="Y18" s="259">
        <f t="shared" si="1"/>
        <v>-2657</v>
      </c>
      <c r="Z18" s="259">
        <f t="shared" si="1"/>
        <v>-3022</v>
      </c>
      <c r="AA18" s="267">
        <f>(VLOOKUP(A18,Hshldprojections2014!$A$2:$AW$319,40, FALSE)-VLOOKUP(A18,Hshldprojections2014!$A$2:$AW$319,30, FALSE))/10</f>
        <v>271.10000000000002</v>
      </c>
      <c r="AB18" s="267">
        <f>(VLOOKUP(A18,Hshldprojections2014!$A$2:$AW$319,41, FALSE)-VLOOKUP(A18,Hshldprojections2014!$A$2:$AW$319,31, FALSE))/10</f>
        <v>261.10000000000002</v>
      </c>
      <c r="AC18" s="267">
        <f>(VLOOKUP(A18,Hshldprojections2014!$A$2:$AW$319,42, FALSE)-VLOOKUP(A18,Hshldprojections2014!$A$2:$AW$319,32, FALSE))/10</f>
        <v>251.4</v>
      </c>
      <c r="AD18" s="267">
        <f>IF(IndividualLATest!$J$7=2014,(VLOOKUP($A18,Hshldprojections2014!$A$2:$AY$326,43,FALSE)-VLOOKUP($A18,Hshldprojections2014!$A$2:$AY$326,33,FALSE))/10,IF(IndividualLATest!$J$7=2016,(VLOOKUP($A18,Hshldprojections2016!$A$1:$AQ$322,33,FALSE)-VLOOKUP($A18,Hshldprojections2016!$A$1:$AQ$322,23,FALSE))/10,(VLOOKUP($A18,Hshldprojections2018!$A$1:$AQ$327,33,FALSE)-VLOOKUP($A18,Hshldprojections2018!$A$1:$AQ$327,23,FALSE))/10))</f>
        <v>390</v>
      </c>
      <c r="AE18" s="267">
        <f>IF(IndividualLATest!$J$7=2014,(VLOOKUP($A18,Hshldprojections2014!$A$2:$AY$326,44,FALSE)-VLOOKUP($A18,Hshldprojections2014!$A$2:$AY$326,34,FALSE))/10,IF(IndividualLATest!$J$7=2016,(VLOOKUP($A18,Hshldprojections2016!$A$1:$AQ$322,34,FALSE)-VLOOKUP($A18,Hshldprojections2016!$A$1:$AQ$322,24,FALSE))/10,(VLOOKUP($A18,Hshldprojections2018!$A$1:$AQ$327,34,FALSE)-VLOOKUP($A18,Hshldprojections2018!$A$1:$AQ$327,24,FALSE))/10))</f>
        <v>379.3</v>
      </c>
      <c r="AF18" s="267">
        <f>IF(IndividualLATest!$J$7=2014,(VLOOKUP($A18,Hshldprojections2014!$A$2:$AY$326,45,FALSE)-VLOOKUP($A18,Hshldprojections2014!$A$2:$AY$326,35,FALSE))/10,IF(IndividualLATest!$J$7=2016,(VLOOKUP($A18,Hshldprojections2016!$A$1:$AQ$322,35,FALSE)-VLOOKUP($A18,Hshldprojections2016!$A$1:$AQ$322,25,FALSE))/10,(VLOOKUP($A18,Hshldprojections2018!$A$1:$AQ$327,35,FALSE)-VLOOKUP($A18,Hshldprojections2018!$A$1:$AQ$327,25,FALSE))/10))</f>
        <v>368.8</v>
      </c>
      <c r="AG18" s="267">
        <f>IF(IndividualLATest!$J$7=2014,(VLOOKUP($A18,Hshldprojections2014!$A$2:$AY$326,46,FALSE)-VLOOKUP($A18,Hshldprojections2014!$A$2:$AY$326,36,FALSE))/10,IF(IndividualLATest!$J$7=2016,(VLOOKUP($A18,Hshldprojections2016!$A$1:$AQ$322,36,FALSE)-VLOOKUP($A18,Hshldprojections2016!$A$1:$AQ$322,26,FALSE))/10,(VLOOKUP($A18,Hshldprojections2018!$A$1:$AQ$327,36,FALSE)-VLOOKUP($A18,Hshldprojections2018!$A$1:$AQ$327,26,FALSE))/10))</f>
        <v>362</v>
      </c>
      <c r="AH18" s="267">
        <f>IF(IndividualLATest!$J$7=2014,(VLOOKUP($A18,Hshldprojections2014!$A$2:$AY$326,47,FALSE)-VLOOKUP($A18,Hshldprojections2014!$A$2:$AY$326,37,FALSE))/10,IF(IndividualLATest!$J$7=2016,(VLOOKUP($A18,Hshldprojections2016!$A$1:$AQ$322,37,FALSE)-VLOOKUP($A18,Hshldprojections2016!$A$1:$AQ$322,27,FALSE))/10,(VLOOKUP($A18,Hshldprojections2018!$A$1:$AQ$327,37,FALSE)-VLOOKUP($A18,Hshldprojections2018!$A$1:$AQ$327,27,FALSE))/10))</f>
        <v>355.4</v>
      </c>
      <c r="AI18" s="268">
        <f>IF(ISNUMBER('Sensitivity Tests'!$C$30),'Sensitivity Tests'!$C$30,VLOOKUP($A18,AffordabilityRatio!$A$2:$I$321,5,FALSE))</f>
        <v>6.1</v>
      </c>
      <c r="AJ18" s="268">
        <f>IF(ISNUMBER('Sensitivity Tests'!$C$30),'Sensitivity Tests'!$C$30,VLOOKUP($A18,AffordabilityRatio!$A$2:$I$321,6,FALSE))</f>
        <v>6.23</v>
      </c>
      <c r="AK18" s="268">
        <f>IF(ISNUMBER('Sensitivity Tests'!$C$30),'Sensitivity Tests'!$C$30,VLOOKUP($A18,AffordabilityRatio!$A$2:$I$321,7,FALSE))</f>
        <v>6.42</v>
      </c>
      <c r="AL18" s="268">
        <f>IF(ISNUMBER('Sensitivity Tests'!$C$30),'Sensitivity Tests'!$C$30,IF((VLOOKUP($A18,AffordabilityRatio!$A$2:$I$321,8,FALSE))="",AK18,VLOOKUP($A18,AffordabilityRatio!$A$2:$I$321,8,FALSE)))</f>
        <v>6.39</v>
      </c>
      <c r="AM18" s="268">
        <f>IF(ISNUMBER('Sensitivity Tests'!$C$30),'Sensitivity Tests'!$C$30,IF((VLOOKUP($A18,AffordabilityRatio!$A$2:$I$321,9,FALSE))="",AL18,VLOOKUP($A18,AffordabilityRatio!$A$2:$I$321,9,FALSE)))</f>
        <v>6.81</v>
      </c>
      <c r="AN18" s="268">
        <f>IF(ISNUMBER('Sensitivity Tests'!$C$30),'Sensitivity Tests'!$C$30,IF((VLOOKUP($A18,AffordabilityRatio!$A$2:$I$321,9,FALSE))="",AM18,VLOOKUP($A18,AffordabilityRatio!$A$2:$I$321,9,FALSE)))</f>
        <v>6.81</v>
      </c>
      <c r="AO18" s="268">
        <f>IF(ISNUMBER('Sensitivity Tests'!$C$30),'Sensitivity Tests'!$C$30,IF((VLOOKUP($A18,AffordabilityRatio!$A$2:$I$321,9,FALSE))="",AN18,VLOOKUP($A18,AffordabilityRatio!$A$2:$I$321,9,FALSE)))</f>
        <v>6.81</v>
      </c>
      <c r="AP18" s="268">
        <f>IF(ISNUMBER('Sensitivity Tests'!$C$30),'Sensitivity Tests'!$C$30,IF((VLOOKUP($A18,AffordabilityRatio!$A$2:$I$321,9,FALSE))="",AO18,VLOOKUP($A18,AffordabilityRatio!$A$2:$I$321,9,FALSE)))</f>
        <v>6.81</v>
      </c>
      <c r="AQ18" s="267">
        <f t="shared" si="24"/>
        <v>307</v>
      </c>
      <c r="AR18" s="267">
        <f t="shared" si="2"/>
        <v>297</v>
      </c>
      <c r="AS18" s="267">
        <f t="shared" si="2"/>
        <v>289</v>
      </c>
      <c r="AT18" s="267">
        <f t="shared" si="2"/>
        <v>448</v>
      </c>
      <c r="AU18" s="267">
        <f t="shared" si="2"/>
        <v>446</v>
      </c>
      <c r="AV18" s="267">
        <f t="shared" si="2"/>
        <v>434</v>
      </c>
      <c r="AW18" s="267">
        <f t="shared" si="2"/>
        <v>426</v>
      </c>
      <c r="AX18" s="267">
        <f t="shared" si="2"/>
        <v>418</v>
      </c>
      <c r="AY18" s="267">
        <f t="shared" si="25"/>
        <v>307</v>
      </c>
      <c r="AZ18" s="267">
        <f t="shared" si="26"/>
        <v>297</v>
      </c>
      <c r="BA18" s="267">
        <f t="shared" si="27"/>
        <v>289</v>
      </c>
      <c r="BB18" s="267">
        <f t="shared" si="28"/>
        <v>448</v>
      </c>
      <c r="BC18" s="267">
        <f t="shared" si="29"/>
        <v>446</v>
      </c>
      <c r="BD18" s="267">
        <f t="shared" si="30"/>
        <v>434</v>
      </c>
      <c r="BE18" s="267">
        <f t="shared" si="31"/>
        <v>426</v>
      </c>
      <c r="BF18" s="267">
        <f t="shared" si="32"/>
        <v>418</v>
      </c>
      <c r="BG18" s="269">
        <f>AY18*VLOOKUP($B18,'Major Cities &amp; Towns'!$A$28:$B$345,2,FALSE)</f>
        <v>307</v>
      </c>
      <c r="BH18" s="269">
        <f>AZ18*VLOOKUP($B18,'Major Cities &amp; Towns'!$A$28:$B$345,2,FALSE)</f>
        <v>297</v>
      </c>
      <c r="BI18" s="269">
        <f>BA18*VLOOKUP($B18,'Major Cities &amp; Towns'!$A$28:$B$345,2,FALSE)</f>
        <v>289</v>
      </c>
      <c r="BJ18" s="269">
        <f>BB18*VLOOKUP($B18,'Major Cities &amp; Towns'!$A$28:$B$345,2,FALSE)</f>
        <v>448</v>
      </c>
      <c r="BK18" s="269">
        <f>BC18*VLOOKUP($B18,'Major Cities &amp; Towns'!$A$28:$B$345,2,FALSE)</f>
        <v>446</v>
      </c>
      <c r="BL18" s="269">
        <f>BD18*VLOOKUP($B18,'Major Cities &amp; Towns'!$A$28:$B$345,2,FALSE)</f>
        <v>434</v>
      </c>
      <c r="BM18" s="269">
        <f>BE18*VLOOKUP($B18,'Major Cities &amp; Towns'!$A$28:$B$345,2,FALSE)</f>
        <v>426</v>
      </c>
      <c r="BN18" s="269">
        <f>BF18*VLOOKUP($B18,'Major Cities &amp; Towns'!$A$28:$B$345,2,FALSE)</f>
        <v>418</v>
      </c>
      <c r="BO18" s="270">
        <f t="shared" si="33"/>
        <v>307</v>
      </c>
      <c r="BP18" s="270">
        <f t="shared" si="34"/>
        <v>297</v>
      </c>
      <c r="BQ18" s="270">
        <f t="shared" si="34"/>
        <v>289</v>
      </c>
      <c r="BR18" s="270">
        <f t="shared" si="34"/>
        <v>448</v>
      </c>
      <c r="BS18" s="270">
        <f t="shared" si="34"/>
        <v>446</v>
      </c>
      <c r="BT18" s="270">
        <f t="shared" si="34"/>
        <v>434</v>
      </c>
      <c r="BU18" s="270">
        <f t="shared" si="34"/>
        <v>426</v>
      </c>
      <c r="BV18" s="270">
        <f t="shared" si="34"/>
        <v>418</v>
      </c>
      <c r="BW18" s="39">
        <f>VLOOKUP($A18,NetAdditions!$A$2:$H$336,6,FALSE)</f>
        <v>434</v>
      </c>
      <c r="BX18" s="39">
        <f>VLOOKUP($A18,NetAdditions!$A$2:$H$336,7,FALSE)</f>
        <v>694</v>
      </c>
      <c r="BY18" s="39">
        <f>IF((VLOOKUP($C18,NetAdditions!$A$2:$H$336,8,FALSE))="",(AVERAGE(VLOOKUP($C18,NetAdditions!$A$2:$H$336,5,FALSE),VLOOKUP($C18,NetAdditions!$A$2:$H$336,6,FALSE),VLOOKUP($C18,NetAdditions!$A$2:$H$336,7,FALSE))),VLOOKUP($C18,NetAdditions!$A$2:$H$336,8,FALSE))</f>
        <v>776</v>
      </c>
      <c r="BZ18" s="39">
        <f t="shared" si="35"/>
        <v>634.66666666666663</v>
      </c>
      <c r="CA18" s="39">
        <f t="shared" si="4"/>
        <v>701.55555555555554</v>
      </c>
      <c r="CB18" s="39">
        <f t="shared" si="4"/>
        <v>704.07407407407402</v>
      </c>
      <c r="CC18" s="39">
        <f t="shared" si="4"/>
        <v>680.09876543209873</v>
      </c>
      <c r="CD18" s="39">
        <f t="shared" si="4"/>
        <v>695.24279835390951</v>
      </c>
      <c r="CE18" s="276">
        <f t="shared" si="5"/>
        <v>893</v>
      </c>
      <c r="CF18" s="276">
        <f t="shared" si="6"/>
        <v>1034</v>
      </c>
      <c r="CG18" s="276">
        <f t="shared" si="7"/>
        <v>1183</v>
      </c>
      <c r="CH18" s="276">
        <f t="shared" si="8"/>
        <v>1328</v>
      </c>
      <c r="CI18" s="276">
        <f t="shared" si="9"/>
        <v>1306</v>
      </c>
      <c r="CJ18" s="276">
        <f t="shared" si="10"/>
        <v>1278</v>
      </c>
      <c r="CK18" s="276">
        <f t="shared" si="36"/>
        <v>768.97222222222229</v>
      </c>
      <c r="CL18" s="276">
        <f t="shared" si="37"/>
        <v>890.38888888888891</v>
      </c>
      <c r="CM18" s="276">
        <f t="shared" si="38"/>
        <v>1084.4166666666665</v>
      </c>
      <c r="CN18" s="276">
        <f t="shared" si="39"/>
        <v>1328</v>
      </c>
      <c r="CO18" s="276">
        <f t="shared" si="39"/>
        <v>1306</v>
      </c>
      <c r="CP18" s="276">
        <f t="shared" si="11"/>
        <v>1278</v>
      </c>
      <c r="CQ18" s="39">
        <f t="shared" si="12"/>
        <v>1904</v>
      </c>
      <c r="CR18" s="39">
        <f t="shared" si="13"/>
        <v>2104.6666666666665</v>
      </c>
      <c r="CS18" s="277">
        <f t="shared" si="14"/>
        <v>2112.2222222222222</v>
      </c>
      <c r="CT18" s="39">
        <f t="shared" si="15"/>
        <v>2040.2962962962961</v>
      </c>
      <c r="CU18" s="39">
        <f t="shared" si="16"/>
        <v>2085.7283950617284</v>
      </c>
      <c r="CV18" s="39">
        <f t="shared" si="17"/>
        <v>2079.4156378600824</v>
      </c>
      <c r="CW18" s="297">
        <f t="shared" si="18"/>
        <v>2.4760322219412636</v>
      </c>
      <c r="CX18" s="279" t="str">
        <f t="shared" si="40"/>
        <v>Pass</v>
      </c>
      <c r="CY18" s="278">
        <f t="shared" si="19"/>
        <v>2.3637611530542206</v>
      </c>
      <c r="CZ18" s="279" t="str">
        <f t="shared" si="41"/>
        <v>Pass</v>
      </c>
      <c r="DA18" s="278">
        <f t="shared" si="20"/>
        <v>1.9477957939496404</v>
      </c>
      <c r="DB18" s="292" t="str">
        <f t="shared" si="42"/>
        <v>Pass</v>
      </c>
      <c r="DC18" s="299">
        <f t="shared" si="43"/>
        <v>1.536367692994199</v>
      </c>
      <c r="DD18" s="293" t="str">
        <f t="shared" si="44"/>
        <v>Pass</v>
      </c>
      <c r="DE18" s="299">
        <f t="shared" si="45"/>
        <v>1.5970355245495624</v>
      </c>
      <c r="DF18" s="293" t="str">
        <f t="shared" si="46"/>
        <v>Pass</v>
      </c>
      <c r="DG18" s="299">
        <f t="shared" si="47"/>
        <v>1.6270857886229126</v>
      </c>
      <c r="DH18" s="293" t="str">
        <f t="shared" si="48"/>
        <v>Pass</v>
      </c>
    </row>
    <row r="19" spans="1:112" ht="15" thickTop="1" thickBot="1">
      <c r="A19" s="38" t="s">
        <v>145</v>
      </c>
      <c r="B19" s="38" t="s">
        <v>146</v>
      </c>
      <c r="C19" s="38" t="s">
        <v>145</v>
      </c>
      <c r="D19" s="38" t="s">
        <v>147</v>
      </c>
      <c r="E19" s="38" t="str">
        <f>VLOOKUP(C19,PoliticalControl!A:K,11,FALSE)</f>
        <v>LD</v>
      </c>
      <c r="F19" s="38" t="str">
        <f>VLOOKUP(C19,UrbanRuralClassification!A:N,13,FALSE)</f>
        <v>Urban with Significant Rural (rural including hub towns 26-49%)</v>
      </c>
      <c r="G19" s="38" t="str">
        <f>VLOOKUP(C19,UrbanRuralClassification!A:N,14,FALSE)</f>
        <v>Urban with Significant Rural</v>
      </c>
      <c r="H19" s="258" t="str">
        <f>IF(ISBLANK((VLOOKUP($A19,'local-plan-data'!$C$1:$AD$566,27,FALSE)))=TRUE,"",VLOOKUP($A19,'local-plan-data'!$C$1:$AD$566,27,FALSE))</f>
        <v/>
      </c>
      <c r="I19" s="259">
        <f>VLOOKUP($A19,'local-plan-data'!$C$1:$AD$566,28,FALSE)</f>
        <v>722.22222222222217</v>
      </c>
      <c r="J19" s="260">
        <f t="shared" si="21"/>
        <v>722.22222222222217</v>
      </c>
      <c r="K19" s="259" t="str">
        <f t="shared" si="22"/>
        <v>-</v>
      </c>
      <c r="L19" s="259" t="str">
        <f t="shared" si="0"/>
        <v>-</v>
      </c>
      <c r="M19" s="259" t="str">
        <f t="shared" si="0"/>
        <v>-</v>
      </c>
      <c r="N19" s="259" t="str">
        <f t="shared" si="0"/>
        <v>-</v>
      </c>
      <c r="O19" s="259" t="str">
        <f t="shared" si="0"/>
        <v>-</v>
      </c>
      <c r="P19" s="259" t="str">
        <f t="shared" si="0"/>
        <v>-</v>
      </c>
      <c r="Q19" s="259" t="str">
        <f t="shared" si="0"/>
        <v>-</v>
      </c>
      <c r="R19" s="259" t="str">
        <f t="shared" si="0"/>
        <v>-</v>
      </c>
      <c r="S19" s="259" t="str">
        <f t="shared" si="23"/>
        <v>-</v>
      </c>
      <c r="T19" s="259" t="str">
        <f t="shared" si="1"/>
        <v>-</v>
      </c>
      <c r="U19" s="259" t="str">
        <f t="shared" si="1"/>
        <v>-</v>
      </c>
      <c r="V19" s="259" t="str">
        <f t="shared" si="1"/>
        <v>-</v>
      </c>
      <c r="W19" s="259" t="str">
        <f t="shared" si="1"/>
        <v>-</v>
      </c>
      <c r="X19" s="259" t="str">
        <f t="shared" si="1"/>
        <v>-</v>
      </c>
      <c r="Y19" s="259" t="str">
        <f t="shared" si="1"/>
        <v>-</v>
      </c>
      <c r="Z19" s="259" t="str">
        <f t="shared" si="1"/>
        <v>-</v>
      </c>
      <c r="AA19" s="267">
        <f>(VLOOKUP(A19,Hshldprojections2014!$A$2:$AW$319,40, FALSE)-VLOOKUP(A19,Hshldprojections2014!$A$2:$AW$319,30, FALSE))/10</f>
        <v>455</v>
      </c>
      <c r="AB19" s="267">
        <f>(VLOOKUP(A19,Hshldprojections2014!$A$2:$AW$319,41, FALSE)-VLOOKUP(A19,Hshldprojections2014!$A$2:$AW$319,31, FALSE))/10</f>
        <v>458.5</v>
      </c>
      <c r="AC19" s="267">
        <f>(VLOOKUP(A19,Hshldprojections2014!$A$2:$AW$319,42, FALSE)-VLOOKUP(A19,Hshldprojections2014!$A$2:$AW$319,32, FALSE))/10</f>
        <v>467.6</v>
      </c>
      <c r="AD19" s="267">
        <f>IF(IndividualLATest!$J$7=2014,(VLOOKUP($A19,Hshldprojections2014!$A$2:$AY$326,43,FALSE)-VLOOKUP($A19,Hshldprojections2014!$A$2:$AY$326,33,FALSE))/10,IF(IndividualLATest!$J$7=2016,(VLOOKUP($A19,Hshldprojections2016!$A$1:$AQ$322,33,FALSE)-VLOOKUP($A19,Hshldprojections2016!$A$1:$AQ$322,23,FALSE))/10,(VLOOKUP($A19,Hshldprojections2018!$A$1:$AQ$327,33,FALSE)-VLOOKUP($A19,Hshldprojections2018!$A$1:$AQ$327,23,FALSE))/10))</f>
        <v>655.1</v>
      </c>
      <c r="AE19" s="267">
        <f>IF(IndividualLATest!$J$7=2014,(VLOOKUP($A19,Hshldprojections2014!$A$2:$AY$326,44,FALSE)-VLOOKUP($A19,Hshldprojections2014!$A$2:$AY$326,34,FALSE))/10,IF(IndividualLATest!$J$7=2016,(VLOOKUP($A19,Hshldprojections2016!$A$1:$AQ$322,34,FALSE)-VLOOKUP($A19,Hshldprojections2016!$A$1:$AQ$322,24,FALSE))/10,(VLOOKUP($A19,Hshldprojections2018!$A$1:$AQ$327,34,FALSE)-VLOOKUP($A19,Hshldprojections2018!$A$1:$AQ$327,24,FALSE))/10))</f>
        <v>656.3</v>
      </c>
      <c r="AF19" s="267">
        <f>IF(IndividualLATest!$J$7=2014,(VLOOKUP($A19,Hshldprojections2014!$A$2:$AY$326,45,FALSE)-VLOOKUP($A19,Hshldprojections2014!$A$2:$AY$326,35,FALSE))/10,IF(IndividualLATest!$J$7=2016,(VLOOKUP($A19,Hshldprojections2016!$A$1:$AQ$322,35,FALSE)-VLOOKUP($A19,Hshldprojections2016!$A$1:$AQ$322,25,FALSE))/10,(VLOOKUP($A19,Hshldprojections2018!$A$1:$AQ$327,35,FALSE)-VLOOKUP($A19,Hshldprojections2018!$A$1:$AQ$327,25,FALSE))/10))</f>
        <v>648.9</v>
      </c>
      <c r="AG19" s="267">
        <f>IF(IndividualLATest!$J$7=2014,(VLOOKUP($A19,Hshldprojections2014!$A$2:$AY$326,46,FALSE)-VLOOKUP($A19,Hshldprojections2014!$A$2:$AY$326,36,FALSE))/10,IF(IndividualLATest!$J$7=2016,(VLOOKUP($A19,Hshldprojections2016!$A$1:$AQ$322,36,FALSE)-VLOOKUP($A19,Hshldprojections2016!$A$1:$AQ$322,26,FALSE))/10,(VLOOKUP($A19,Hshldprojections2018!$A$1:$AQ$327,36,FALSE)-VLOOKUP($A19,Hshldprojections2018!$A$1:$AQ$327,26,FALSE))/10))</f>
        <v>640.6</v>
      </c>
      <c r="AH19" s="267">
        <f>IF(IndividualLATest!$J$7=2014,(VLOOKUP($A19,Hshldprojections2014!$A$2:$AY$326,47,FALSE)-VLOOKUP($A19,Hshldprojections2014!$A$2:$AY$326,37,FALSE))/10,IF(IndividualLATest!$J$7=2016,(VLOOKUP($A19,Hshldprojections2016!$A$1:$AQ$322,37,FALSE)-VLOOKUP($A19,Hshldprojections2016!$A$1:$AQ$322,27,FALSE))/10,(VLOOKUP($A19,Hshldprojections2018!$A$1:$AQ$327,37,FALSE)-VLOOKUP($A19,Hshldprojections2018!$A$1:$AQ$327,27,FALSE))/10))</f>
        <v>630.79999999999995</v>
      </c>
      <c r="AI19" s="268">
        <f>IF(ISNUMBER('Sensitivity Tests'!$C$30),'Sensitivity Tests'!$C$30,VLOOKUP($A19,AffordabilityRatio!$A$2:$I$321,5,FALSE))</f>
        <v>11.11</v>
      </c>
      <c r="AJ19" s="268">
        <f>IF(ISNUMBER('Sensitivity Tests'!$C$30),'Sensitivity Tests'!$C$30,VLOOKUP($A19,AffordabilityRatio!$A$2:$I$321,6,FALSE))</f>
        <v>10.85</v>
      </c>
      <c r="AK19" s="268">
        <f>IF(ISNUMBER('Sensitivity Tests'!$C$30),'Sensitivity Tests'!$C$30,VLOOKUP($A19,AffordabilityRatio!$A$2:$I$321,7,FALSE))</f>
        <v>10.199999999999999</v>
      </c>
      <c r="AL19" s="268">
        <f>IF(ISNUMBER('Sensitivity Tests'!$C$30),'Sensitivity Tests'!$C$30,IF((VLOOKUP($A19,AffordabilityRatio!$A$2:$I$321,8,FALSE))="",AK19,VLOOKUP($A19,AffordabilityRatio!$A$2:$I$321,8,FALSE)))</f>
        <v>10.29</v>
      </c>
      <c r="AM19" s="268">
        <f>IF(ISNUMBER('Sensitivity Tests'!$C$30),'Sensitivity Tests'!$C$30,IF((VLOOKUP($A19,AffordabilityRatio!$A$2:$I$321,9,FALSE))="",AL19,VLOOKUP($A19,AffordabilityRatio!$A$2:$I$321,9,FALSE)))</f>
        <v>12.15</v>
      </c>
      <c r="AN19" s="268">
        <f>IF(ISNUMBER('Sensitivity Tests'!$C$30),'Sensitivity Tests'!$C$30,IF((VLOOKUP($A19,AffordabilityRatio!$A$2:$I$321,9,FALSE))="",AM19,VLOOKUP($A19,AffordabilityRatio!$A$2:$I$321,9,FALSE)))</f>
        <v>12.15</v>
      </c>
      <c r="AO19" s="268">
        <f>IF(ISNUMBER('Sensitivity Tests'!$C$30),'Sensitivity Tests'!$C$30,IF((VLOOKUP($A19,AffordabilityRatio!$A$2:$I$321,9,FALSE))="",AN19,VLOOKUP($A19,AffordabilityRatio!$A$2:$I$321,9,FALSE)))</f>
        <v>12.15</v>
      </c>
      <c r="AP19" s="268">
        <f>IF(ISNUMBER('Sensitivity Tests'!$C$30),'Sensitivity Tests'!$C$30,IF((VLOOKUP($A19,AffordabilityRatio!$A$2:$I$321,9,FALSE))="",AO19,VLOOKUP($A19,AffordabilityRatio!$A$2:$I$321,9,FALSE)))</f>
        <v>12.15</v>
      </c>
      <c r="AQ19" s="267">
        <f t="shared" si="24"/>
        <v>657</v>
      </c>
      <c r="AR19" s="267">
        <f t="shared" si="2"/>
        <v>655</v>
      </c>
      <c r="AS19" s="267">
        <f t="shared" si="2"/>
        <v>649</v>
      </c>
      <c r="AT19" s="267">
        <f t="shared" si="2"/>
        <v>913</v>
      </c>
      <c r="AU19" s="267">
        <f t="shared" si="2"/>
        <v>991</v>
      </c>
      <c r="AV19" s="267">
        <f t="shared" si="2"/>
        <v>979</v>
      </c>
      <c r="AW19" s="267">
        <f t="shared" si="2"/>
        <v>967</v>
      </c>
      <c r="AX19" s="267">
        <f t="shared" si="2"/>
        <v>952</v>
      </c>
      <c r="AY19" s="267">
        <f t="shared" si="25"/>
        <v>657</v>
      </c>
      <c r="AZ19" s="267">
        <f t="shared" si="26"/>
        <v>655</v>
      </c>
      <c r="BA19" s="267">
        <f t="shared" si="27"/>
        <v>649</v>
      </c>
      <c r="BB19" s="267">
        <f t="shared" si="28"/>
        <v>913</v>
      </c>
      <c r="BC19" s="267">
        <f t="shared" si="29"/>
        <v>991</v>
      </c>
      <c r="BD19" s="267">
        <f t="shared" si="30"/>
        <v>979</v>
      </c>
      <c r="BE19" s="267">
        <f t="shared" si="31"/>
        <v>967</v>
      </c>
      <c r="BF19" s="267">
        <f t="shared" si="32"/>
        <v>952</v>
      </c>
      <c r="BG19" s="269">
        <f>AY19*VLOOKUP($B19,'Major Cities &amp; Towns'!$A$28:$B$345,2,FALSE)</f>
        <v>657</v>
      </c>
      <c r="BH19" s="269">
        <f>AZ19*VLOOKUP($B19,'Major Cities &amp; Towns'!$A$28:$B$345,2,FALSE)</f>
        <v>655</v>
      </c>
      <c r="BI19" s="269">
        <f>BA19*VLOOKUP($B19,'Major Cities &amp; Towns'!$A$28:$B$345,2,FALSE)</f>
        <v>649</v>
      </c>
      <c r="BJ19" s="269">
        <f>BB19*VLOOKUP($B19,'Major Cities &amp; Towns'!$A$28:$B$345,2,FALSE)</f>
        <v>913</v>
      </c>
      <c r="BK19" s="269">
        <f>BC19*VLOOKUP($B19,'Major Cities &amp; Towns'!$A$28:$B$345,2,FALSE)</f>
        <v>991</v>
      </c>
      <c r="BL19" s="269">
        <f>BD19*VLOOKUP($B19,'Major Cities &amp; Towns'!$A$28:$B$345,2,FALSE)</f>
        <v>979</v>
      </c>
      <c r="BM19" s="269">
        <f>BE19*VLOOKUP($B19,'Major Cities &amp; Towns'!$A$28:$B$345,2,FALSE)</f>
        <v>967</v>
      </c>
      <c r="BN19" s="269">
        <f>BF19*VLOOKUP($B19,'Major Cities &amp; Towns'!$A$28:$B$345,2,FALSE)</f>
        <v>952</v>
      </c>
      <c r="BO19" s="270">
        <f t="shared" si="33"/>
        <v>657</v>
      </c>
      <c r="BP19" s="270">
        <f t="shared" si="34"/>
        <v>655</v>
      </c>
      <c r="BQ19" s="270">
        <f t="shared" si="34"/>
        <v>649</v>
      </c>
      <c r="BR19" s="270">
        <f t="shared" si="34"/>
        <v>913</v>
      </c>
      <c r="BS19" s="270">
        <f t="shared" si="34"/>
        <v>991</v>
      </c>
      <c r="BT19" s="270">
        <f t="shared" si="34"/>
        <v>979</v>
      </c>
      <c r="BU19" s="270">
        <f t="shared" si="34"/>
        <v>967</v>
      </c>
      <c r="BV19" s="270">
        <f t="shared" si="34"/>
        <v>952</v>
      </c>
      <c r="BW19" s="39">
        <f>VLOOKUP($A19,NetAdditions!$A$2:$H$336,6,FALSE)</f>
        <v>1040</v>
      </c>
      <c r="BX19" s="39">
        <f>VLOOKUP($A19,NetAdditions!$A$2:$H$336,7,FALSE)</f>
        <v>1167</v>
      </c>
      <c r="BY19" s="39">
        <f>IF((VLOOKUP($C19,NetAdditions!$A$2:$H$336,8,FALSE))="",(AVERAGE(VLOOKUP($C19,NetAdditions!$A$2:$H$336,5,FALSE),VLOOKUP($C19,NetAdditions!$A$2:$H$336,6,FALSE),VLOOKUP($C19,NetAdditions!$A$2:$H$336,7,FALSE))),VLOOKUP($C19,NetAdditions!$A$2:$H$336,8,FALSE))</f>
        <v>764</v>
      </c>
      <c r="BZ19" s="39">
        <f t="shared" si="35"/>
        <v>990.33333333333337</v>
      </c>
      <c r="CA19" s="39">
        <f t="shared" si="4"/>
        <v>973.77777777777783</v>
      </c>
      <c r="CB19" s="39">
        <f t="shared" si="4"/>
        <v>909.37037037037044</v>
      </c>
      <c r="CC19" s="39">
        <f t="shared" si="4"/>
        <v>957.82716049382725</v>
      </c>
      <c r="CD19" s="39">
        <f t="shared" si="4"/>
        <v>946.99176954732513</v>
      </c>
      <c r="CE19" s="276">
        <f t="shared" si="5"/>
        <v>1961</v>
      </c>
      <c r="CF19" s="276">
        <f t="shared" si="6"/>
        <v>2217</v>
      </c>
      <c r="CG19" s="276">
        <f t="shared" si="7"/>
        <v>2553</v>
      </c>
      <c r="CH19" s="276">
        <f t="shared" si="8"/>
        <v>2883</v>
      </c>
      <c r="CI19" s="276">
        <f t="shared" si="9"/>
        <v>2937</v>
      </c>
      <c r="CJ19" s="276">
        <f t="shared" si="10"/>
        <v>2898</v>
      </c>
      <c r="CK19" s="276">
        <f t="shared" si="36"/>
        <v>1688.6388888888889</v>
      </c>
      <c r="CL19" s="276">
        <f t="shared" si="37"/>
        <v>1909.0833333333335</v>
      </c>
      <c r="CM19" s="276">
        <f t="shared" si="38"/>
        <v>2340.25</v>
      </c>
      <c r="CN19" s="276">
        <f t="shared" si="39"/>
        <v>2883</v>
      </c>
      <c r="CO19" s="276">
        <f t="shared" si="39"/>
        <v>2937</v>
      </c>
      <c r="CP19" s="276">
        <f t="shared" si="11"/>
        <v>2898</v>
      </c>
      <c r="CQ19" s="39">
        <f t="shared" si="12"/>
        <v>2971</v>
      </c>
      <c r="CR19" s="39">
        <f t="shared" si="13"/>
        <v>2921.3333333333335</v>
      </c>
      <c r="CS19" s="277">
        <f t="shared" si="14"/>
        <v>2728.1111111111113</v>
      </c>
      <c r="CT19" s="39">
        <f t="shared" si="15"/>
        <v>2873.4814814814818</v>
      </c>
      <c r="CU19" s="39">
        <f t="shared" si="16"/>
        <v>2840.9753086419755</v>
      </c>
      <c r="CV19" s="39">
        <f t="shared" si="17"/>
        <v>2814.1893004115227</v>
      </c>
      <c r="CW19" s="297">
        <f t="shared" si="18"/>
        <v>1.7594051751081574</v>
      </c>
      <c r="CX19" s="279" t="str">
        <f t="shared" si="40"/>
        <v>Pass</v>
      </c>
      <c r="CY19" s="278">
        <f t="shared" si="19"/>
        <v>1.5302282945567245</v>
      </c>
      <c r="CZ19" s="279" t="str">
        <f t="shared" si="41"/>
        <v>Pass</v>
      </c>
      <c r="DA19" s="278">
        <f t="shared" si="20"/>
        <v>1.1657349048653398</v>
      </c>
      <c r="DB19" s="292" t="str">
        <f t="shared" si="42"/>
        <v>Pass</v>
      </c>
      <c r="DC19" s="299">
        <f t="shared" si="43"/>
        <v>0.99669839801646953</v>
      </c>
      <c r="DD19" s="293" t="str">
        <f t="shared" si="44"/>
        <v>Pass</v>
      </c>
      <c r="DE19" s="299">
        <f t="shared" si="45"/>
        <v>0.96730517829144558</v>
      </c>
      <c r="DF19" s="293" t="str">
        <f t="shared" si="46"/>
        <v>Pass</v>
      </c>
      <c r="DG19" s="299">
        <f t="shared" si="47"/>
        <v>0.97107981380659858</v>
      </c>
      <c r="DH19" s="293" t="str">
        <f t="shared" si="48"/>
        <v>Pass</v>
      </c>
    </row>
    <row r="20" spans="1:112" ht="15" thickTop="1" thickBot="1">
      <c r="A20" s="38" t="s">
        <v>148</v>
      </c>
      <c r="B20" s="38" t="s">
        <v>149</v>
      </c>
      <c r="C20" s="38" t="s">
        <v>148</v>
      </c>
      <c r="D20" s="38" t="s">
        <v>128</v>
      </c>
      <c r="E20" s="38" t="str">
        <f>VLOOKUP(C20,PoliticalControl!A:K,11,FALSE)</f>
        <v>NOC</v>
      </c>
      <c r="F20" s="38" t="str">
        <f>VLOOKUP(C20,UrbanRuralClassification!A:N,13,FALSE)</f>
        <v>Urban with Significant Rural (rural including hub towns 26-49%)</v>
      </c>
      <c r="G20" s="38" t="str">
        <f>VLOOKUP(C20,UrbanRuralClassification!A:N,14,FALSE)</f>
        <v>Urban with Significant Rural</v>
      </c>
      <c r="H20" s="258">
        <f>IF(ISBLANK((VLOOKUP($A20,'local-plan-data'!$C$1:$AD$566,27,FALSE)))=TRUE,"",VLOOKUP($A20,'local-plan-data'!$C$1:$AD$566,27,FALSE))</f>
        <v>43845</v>
      </c>
      <c r="I20" s="259">
        <f>VLOOKUP($A20,'local-plan-data'!$C$1:$AD$566,28,FALSE)</f>
        <v>970</v>
      </c>
      <c r="J20" s="260">
        <f t="shared" si="21"/>
        <v>970</v>
      </c>
      <c r="K20" s="259">
        <f t="shared" si="22"/>
        <v>970</v>
      </c>
      <c r="L20" s="259">
        <f t="shared" si="0"/>
        <v>970</v>
      </c>
      <c r="M20" s="259">
        <f t="shared" si="0"/>
        <v>970</v>
      </c>
      <c r="N20" s="259">
        <f t="shared" si="0"/>
        <v>970</v>
      </c>
      <c r="O20" s="259">
        <f t="shared" si="0"/>
        <v>970</v>
      </c>
      <c r="P20" s="259">
        <f t="shared" si="0"/>
        <v>970</v>
      </c>
      <c r="Q20" s="259">
        <f t="shared" si="0"/>
        <v>970</v>
      </c>
      <c r="R20" s="259" t="str">
        <f t="shared" si="0"/>
        <v>-</v>
      </c>
      <c r="S20" s="259">
        <f t="shared" si="23"/>
        <v>2481</v>
      </c>
      <c r="T20" s="259">
        <f t="shared" si="1"/>
        <v>2116</v>
      </c>
      <c r="U20" s="259">
        <f t="shared" si="1"/>
        <v>1750</v>
      </c>
      <c r="V20" s="259">
        <f t="shared" si="1"/>
        <v>1385</v>
      </c>
      <c r="W20" s="259">
        <f t="shared" si="1"/>
        <v>1020</v>
      </c>
      <c r="X20" s="259">
        <f t="shared" si="1"/>
        <v>655</v>
      </c>
      <c r="Y20" s="259">
        <f t="shared" si="1"/>
        <v>289</v>
      </c>
      <c r="Z20" s="259">
        <f t="shared" si="1"/>
        <v>-76</v>
      </c>
      <c r="AA20" s="267">
        <f>(VLOOKUP(A20,Hshldprojections2014!$A$2:$AW$319,40, FALSE)-VLOOKUP(A20,Hshldprojections2014!$A$2:$AW$319,30, FALSE))/10</f>
        <v>989.7</v>
      </c>
      <c r="AB20" s="267">
        <f>(VLOOKUP(A20,Hshldprojections2014!$A$2:$AW$319,41, FALSE)-VLOOKUP(A20,Hshldprojections2014!$A$2:$AW$319,31, FALSE))/10</f>
        <v>986.4</v>
      </c>
      <c r="AC20" s="267">
        <f>(VLOOKUP(A20,Hshldprojections2014!$A$2:$AW$319,42, FALSE)-VLOOKUP(A20,Hshldprojections2014!$A$2:$AW$319,32, FALSE))/10</f>
        <v>985.1</v>
      </c>
      <c r="AD20" s="267">
        <f>IF(IndividualLATest!$J$7=2014,(VLOOKUP($A20,Hshldprojections2014!$A$2:$AY$326,43,FALSE)-VLOOKUP($A20,Hshldprojections2014!$A$2:$AY$326,33,FALSE))/10,IF(IndividualLATest!$J$7=2016,(VLOOKUP($A20,Hshldprojections2016!$A$1:$AQ$322,33,FALSE)-VLOOKUP($A20,Hshldprojections2016!$A$1:$AQ$322,23,FALSE))/10,(VLOOKUP($A20,Hshldprojections2018!$A$1:$AQ$327,33,FALSE)-VLOOKUP($A20,Hshldprojections2018!$A$1:$AQ$327,23,FALSE))/10))</f>
        <v>615.70000000000005</v>
      </c>
      <c r="AE20" s="267">
        <f>IF(IndividualLATest!$J$7=2014,(VLOOKUP($A20,Hshldprojections2014!$A$2:$AY$326,44,FALSE)-VLOOKUP($A20,Hshldprojections2014!$A$2:$AY$326,34,FALSE))/10,IF(IndividualLATest!$J$7=2016,(VLOOKUP($A20,Hshldprojections2016!$A$1:$AQ$322,34,FALSE)-VLOOKUP($A20,Hshldprojections2016!$A$1:$AQ$322,24,FALSE))/10,(VLOOKUP($A20,Hshldprojections2018!$A$1:$AQ$327,34,FALSE)-VLOOKUP($A20,Hshldprojections2018!$A$1:$AQ$327,24,FALSE))/10))</f>
        <v>604.4</v>
      </c>
      <c r="AF20" s="267">
        <f>IF(IndividualLATest!$J$7=2014,(VLOOKUP($A20,Hshldprojections2014!$A$2:$AY$326,45,FALSE)-VLOOKUP($A20,Hshldprojections2014!$A$2:$AY$326,35,FALSE))/10,IF(IndividualLATest!$J$7=2016,(VLOOKUP($A20,Hshldprojections2016!$A$1:$AQ$322,35,FALSE)-VLOOKUP($A20,Hshldprojections2016!$A$1:$AQ$322,25,FALSE))/10,(VLOOKUP($A20,Hshldprojections2018!$A$1:$AQ$327,35,FALSE)-VLOOKUP($A20,Hshldprojections2018!$A$1:$AQ$327,25,FALSE))/10))</f>
        <v>594.4</v>
      </c>
      <c r="AG20" s="267">
        <f>IF(IndividualLATest!$J$7=2014,(VLOOKUP($A20,Hshldprojections2014!$A$2:$AY$326,46,FALSE)-VLOOKUP($A20,Hshldprojections2014!$A$2:$AY$326,36,FALSE))/10,IF(IndividualLATest!$J$7=2016,(VLOOKUP($A20,Hshldprojections2016!$A$1:$AQ$322,36,FALSE)-VLOOKUP($A20,Hshldprojections2016!$A$1:$AQ$322,26,FALSE))/10,(VLOOKUP($A20,Hshldprojections2018!$A$1:$AQ$327,36,FALSE)-VLOOKUP($A20,Hshldprojections2018!$A$1:$AQ$327,26,FALSE))/10))</f>
        <v>585.9</v>
      </c>
      <c r="AH20" s="267">
        <f>IF(IndividualLATest!$J$7=2014,(VLOOKUP($A20,Hshldprojections2014!$A$2:$AY$326,47,FALSE)-VLOOKUP($A20,Hshldprojections2014!$A$2:$AY$326,37,FALSE))/10,IF(IndividualLATest!$J$7=2016,(VLOOKUP($A20,Hshldprojections2016!$A$1:$AQ$322,37,FALSE)-VLOOKUP($A20,Hshldprojections2016!$A$1:$AQ$322,27,FALSE))/10,(VLOOKUP($A20,Hshldprojections2018!$A$1:$AQ$327,37,FALSE)-VLOOKUP($A20,Hshldprojections2018!$A$1:$AQ$327,27,FALSE))/10))</f>
        <v>576.70000000000005</v>
      </c>
      <c r="AI20" s="268">
        <f>IF(ISNUMBER('Sensitivity Tests'!$C$30),'Sensitivity Tests'!$C$30,VLOOKUP($A20,AffordabilityRatio!$A$2:$I$321,5,FALSE))</f>
        <v>9.35</v>
      </c>
      <c r="AJ20" s="268">
        <f>IF(ISNUMBER('Sensitivity Tests'!$C$30),'Sensitivity Tests'!$C$30,VLOOKUP($A20,AffordabilityRatio!$A$2:$I$321,6,FALSE))</f>
        <v>9.83</v>
      </c>
      <c r="AK20" s="268">
        <f>IF(ISNUMBER('Sensitivity Tests'!$C$30),'Sensitivity Tests'!$C$30,VLOOKUP($A20,AffordabilityRatio!$A$2:$I$321,7,FALSE))</f>
        <v>9.0399999999999991</v>
      </c>
      <c r="AL20" s="268">
        <f>IF(ISNUMBER('Sensitivity Tests'!$C$30),'Sensitivity Tests'!$C$30,IF((VLOOKUP($A20,AffordabilityRatio!$A$2:$I$321,8,FALSE))="",AK20,VLOOKUP($A20,AffordabilityRatio!$A$2:$I$321,8,FALSE)))</f>
        <v>8.92</v>
      </c>
      <c r="AM20" s="268">
        <f>IF(ISNUMBER('Sensitivity Tests'!$C$30),'Sensitivity Tests'!$C$30,IF((VLOOKUP($A20,AffordabilityRatio!$A$2:$I$321,9,FALSE))="",AL20,VLOOKUP($A20,AffordabilityRatio!$A$2:$I$321,9,FALSE)))</f>
        <v>10.19</v>
      </c>
      <c r="AN20" s="268">
        <f>IF(ISNUMBER('Sensitivity Tests'!$C$30),'Sensitivity Tests'!$C$30,IF((VLOOKUP($A20,AffordabilityRatio!$A$2:$I$321,9,FALSE))="",AM20,VLOOKUP($A20,AffordabilityRatio!$A$2:$I$321,9,FALSE)))</f>
        <v>10.19</v>
      </c>
      <c r="AO20" s="268">
        <f>IF(ISNUMBER('Sensitivity Tests'!$C$30),'Sensitivity Tests'!$C$30,IF((VLOOKUP($A20,AffordabilityRatio!$A$2:$I$321,9,FALSE))="",AN20,VLOOKUP($A20,AffordabilityRatio!$A$2:$I$321,9,FALSE)))</f>
        <v>10.19</v>
      </c>
      <c r="AP20" s="268">
        <f>IF(ISNUMBER('Sensitivity Tests'!$C$30),'Sensitivity Tests'!$C$30,IF((VLOOKUP($A20,AffordabilityRatio!$A$2:$I$321,9,FALSE))="",AO20,VLOOKUP($A20,AffordabilityRatio!$A$2:$I$321,9,FALSE)))</f>
        <v>10.19</v>
      </c>
      <c r="AQ20" s="267">
        <f t="shared" si="24"/>
        <v>1321</v>
      </c>
      <c r="AR20" s="267">
        <f t="shared" si="2"/>
        <v>1346</v>
      </c>
      <c r="AS20" s="267">
        <f t="shared" si="2"/>
        <v>1295</v>
      </c>
      <c r="AT20" s="267">
        <f t="shared" si="2"/>
        <v>805</v>
      </c>
      <c r="AU20" s="267">
        <f t="shared" si="2"/>
        <v>838</v>
      </c>
      <c r="AV20" s="267">
        <f t="shared" si="2"/>
        <v>824</v>
      </c>
      <c r="AW20" s="267">
        <f t="shared" si="2"/>
        <v>813</v>
      </c>
      <c r="AX20" s="267">
        <f t="shared" si="2"/>
        <v>800</v>
      </c>
      <c r="AY20" s="267">
        <f t="shared" si="25"/>
        <v>1321</v>
      </c>
      <c r="AZ20" s="267">
        <f t="shared" si="26"/>
        <v>1346</v>
      </c>
      <c r="BA20" s="267">
        <f t="shared" si="27"/>
        <v>1295</v>
      </c>
      <c r="BB20" s="267">
        <f t="shared" si="28"/>
        <v>805</v>
      </c>
      <c r="BC20" s="267">
        <f t="shared" si="29"/>
        <v>838</v>
      </c>
      <c r="BD20" s="267">
        <f t="shared" si="30"/>
        <v>824</v>
      </c>
      <c r="BE20" s="267">
        <f t="shared" si="31"/>
        <v>813</v>
      </c>
      <c r="BF20" s="267">
        <f t="shared" si="32"/>
        <v>800</v>
      </c>
      <c r="BG20" s="269">
        <f>AY20*VLOOKUP($B20,'Major Cities &amp; Towns'!$A$28:$B$345,2,FALSE)</f>
        <v>1321</v>
      </c>
      <c r="BH20" s="269">
        <f>AZ20*VLOOKUP($B20,'Major Cities &amp; Towns'!$A$28:$B$345,2,FALSE)</f>
        <v>1346</v>
      </c>
      <c r="BI20" s="269">
        <f>BA20*VLOOKUP($B20,'Major Cities &amp; Towns'!$A$28:$B$345,2,FALSE)</f>
        <v>1295</v>
      </c>
      <c r="BJ20" s="269">
        <f>BB20*VLOOKUP($B20,'Major Cities &amp; Towns'!$A$28:$B$345,2,FALSE)</f>
        <v>805</v>
      </c>
      <c r="BK20" s="269">
        <f>BC20*VLOOKUP($B20,'Major Cities &amp; Towns'!$A$28:$B$345,2,FALSE)</f>
        <v>838</v>
      </c>
      <c r="BL20" s="269">
        <f>BD20*VLOOKUP($B20,'Major Cities &amp; Towns'!$A$28:$B$345,2,FALSE)</f>
        <v>824</v>
      </c>
      <c r="BM20" s="269">
        <f>BE20*VLOOKUP($B20,'Major Cities &amp; Towns'!$A$28:$B$345,2,FALSE)</f>
        <v>813</v>
      </c>
      <c r="BN20" s="269">
        <f>BF20*VLOOKUP($B20,'Major Cities &amp; Towns'!$A$28:$B$345,2,FALSE)</f>
        <v>800</v>
      </c>
      <c r="BO20" s="270">
        <f t="shared" si="33"/>
        <v>970</v>
      </c>
      <c r="BP20" s="270">
        <f t="shared" si="34"/>
        <v>970</v>
      </c>
      <c r="BQ20" s="270">
        <f t="shared" si="34"/>
        <v>970</v>
      </c>
      <c r="BR20" s="270">
        <f t="shared" si="34"/>
        <v>805</v>
      </c>
      <c r="BS20" s="270">
        <f t="shared" si="34"/>
        <v>838</v>
      </c>
      <c r="BT20" s="270">
        <f t="shared" si="34"/>
        <v>824</v>
      </c>
      <c r="BU20" s="270">
        <f t="shared" si="34"/>
        <v>813</v>
      </c>
      <c r="BV20" s="270">
        <f t="shared" si="34"/>
        <v>800</v>
      </c>
      <c r="BW20" s="39">
        <f>VLOOKUP($A20,NetAdditions!$A$2:$H$336,6,FALSE)</f>
        <v>1359</v>
      </c>
      <c r="BX20" s="39">
        <f>VLOOKUP($A20,NetAdditions!$A$2:$H$336,7,FALSE)</f>
        <v>1026</v>
      </c>
      <c r="BY20" s="39">
        <f>IF((VLOOKUP($C20,NetAdditions!$A$2:$H$336,8,FALSE))="",(AVERAGE(VLOOKUP($C20,NetAdditions!$A$2:$H$336,5,FALSE),VLOOKUP($C20,NetAdditions!$A$2:$H$336,6,FALSE),VLOOKUP($C20,NetAdditions!$A$2:$H$336,7,FALSE))),VLOOKUP($C20,NetAdditions!$A$2:$H$336,8,FALSE))</f>
        <v>1199</v>
      </c>
      <c r="BZ20" s="39">
        <f t="shared" si="35"/>
        <v>1194.6666666666667</v>
      </c>
      <c r="CA20" s="39">
        <f t="shared" si="4"/>
        <v>1139.8888888888889</v>
      </c>
      <c r="CB20" s="39">
        <f t="shared" si="4"/>
        <v>1177.851851851852</v>
      </c>
      <c r="CC20" s="39">
        <f t="shared" si="4"/>
        <v>1170.8024691358025</v>
      </c>
      <c r="CD20" s="39">
        <f t="shared" si="4"/>
        <v>1162.8477366255145</v>
      </c>
      <c r="CE20" s="276">
        <f t="shared" si="5"/>
        <v>2910</v>
      </c>
      <c r="CF20" s="276">
        <f t="shared" si="6"/>
        <v>2745</v>
      </c>
      <c r="CG20" s="276">
        <f t="shared" si="7"/>
        <v>2613</v>
      </c>
      <c r="CH20" s="276">
        <f t="shared" si="8"/>
        <v>2467</v>
      </c>
      <c r="CI20" s="276">
        <f t="shared" si="9"/>
        <v>2475</v>
      </c>
      <c r="CJ20" s="276">
        <f t="shared" si="10"/>
        <v>2437</v>
      </c>
      <c r="CK20" s="276">
        <f t="shared" si="36"/>
        <v>2505.8333333333335</v>
      </c>
      <c r="CL20" s="276">
        <f t="shared" si="37"/>
        <v>2363.75</v>
      </c>
      <c r="CM20" s="276">
        <f t="shared" si="38"/>
        <v>2395.25</v>
      </c>
      <c r="CN20" s="276">
        <f t="shared" si="39"/>
        <v>2467</v>
      </c>
      <c r="CO20" s="276">
        <f t="shared" si="39"/>
        <v>2475</v>
      </c>
      <c r="CP20" s="276">
        <f t="shared" si="11"/>
        <v>2437</v>
      </c>
      <c r="CQ20" s="39">
        <f t="shared" si="12"/>
        <v>3584</v>
      </c>
      <c r="CR20" s="39">
        <f t="shared" si="13"/>
        <v>3419.666666666667</v>
      </c>
      <c r="CS20" s="277">
        <f t="shared" si="14"/>
        <v>3533.5555555555557</v>
      </c>
      <c r="CT20" s="39">
        <f t="shared" si="15"/>
        <v>3512.4074074074078</v>
      </c>
      <c r="CU20" s="39">
        <f t="shared" si="16"/>
        <v>3488.5432098765432</v>
      </c>
      <c r="CV20" s="39">
        <f t="shared" si="17"/>
        <v>3511.5020576131692</v>
      </c>
      <c r="CW20" s="297">
        <f t="shared" si="18"/>
        <v>1.4302627203192551</v>
      </c>
      <c r="CX20" s="279" t="str">
        <f t="shared" si="40"/>
        <v>Pass</v>
      </c>
      <c r="CY20" s="278">
        <f t="shared" si="19"/>
        <v>1.4467124977965804</v>
      </c>
      <c r="CZ20" s="279" t="str">
        <f t="shared" si="41"/>
        <v>Pass</v>
      </c>
      <c r="DA20" s="278">
        <f t="shared" si="20"/>
        <v>1.4752345498614157</v>
      </c>
      <c r="DB20" s="292" t="str">
        <f t="shared" si="42"/>
        <v>Pass</v>
      </c>
      <c r="DC20" s="299">
        <f t="shared" si="43"/>
        <v>1.4237565494152444</v>
      </c>
      <c r="DD20" s="293" t="str">
        <f t="shared" si="44"/>
        <v>Pass</v>
      </c>
      <c r="DE20" s="299">
        <f t="shared" si="45"/>
        <v>1.4095124080309265</v>
      </c>
      <c r="DF20" s="293" t="str">
        <f t="shared" si="46"/>
        <v>Pass</v>
      </c>
      <c r="DG20" s="299">
        <f t="shared" si="47"/>
        <v>1.4409118004157444</v>
      </c>
      <c r="DH20" s="293" t="str">
        <f t="shared" si="48"/>
        <v>Pass</v>
      </c>
    </row>
    <row r="21" spans="1:112" customFormat="1" ht="15.5" thickTop="1" thickBot="1">
      <c r="A21" s="3" t="s">
        <v>150</v>
      </c>
      <c r="B21" s="3" t="s">
        <v>151</v>
      </c>
      <c r="C21" s="3" t="s">
        <v>150</v>
      </c>
      <c r="D21" s="3" t="s">
        <v>131</v>
      </c>
      <c r="E21" s="3" t="str">
        <f>VLOOKUP(C21,PoliticalControl!A:K,11,FALSE)</f>
        <v>CON</v>
      </c>
      <c r="F21" s="3" t="str">
        <f>VLOOKUP(C21,UrbanRuralClassification!A:N,13,FALSE)</f>
        <v>Urban with Major Conurbation</v>
      </c>
      <c r="G21" s="3" t="str">
        <f>VLOOKUP(C21,UrbanRuralClassification!A:N,14,FALSE)</f>
        <v>Predominantly Urban</v>
      </c>
      <c r="H21" s="262">
        <f>IF(ISBLANK((VLOOKUP($A21,'local-plan-data'!$C$1:$AD$566,27,FALSE)))=TRUE,"",VLOOKUP($A21,'local-plan-data'!$C$1:$AD$566,27,FALSE))</f>
        <v>40961</v>
      </c>
      <c r="I21" s="263">
        <f>VLOOKUP($A21,'local-plan-data'!$C$1:$AD$566,28,FALSE)</f>
        <v>335</v>
      </c>
      <c r="J21" s="264">
        <f t="shared" si="21"/>
        <v>335</v>
      </c>
      <c r="K21" s="259" t="str">
        <f t="shared" si="22"/>
        <v>-</v>
      </c>
      <c r="L21" s="259" t="str">
        <f t="shared" si="22"/>
        <v>-</v>
      </c>
      <c r="M21" s="259" t="str">
        <f t="shared" si="22"/>
        <v>-</v>
      </c>
      <c r="N21" s="259" t="str">
        <f t="shared" si="22"/>
        <v>-</v>
      </c>
      <c r="O21" s="259" t="str">
        <f t="shared" si="22"/>
        <v>-</v>
      </c>
      <c r="P21" s="259" t="str">
        <f t="shared" si="22"/>
        <v>-</v>
      </c>
      <c r="Q21" s="259" t="str">
        <f t="shared" si="22"/>
        <v>-</v>
      </c>
      <c r="R21" s="259" t="str">
        <f t="shared" si="22"/>
        <v>-</v>
      </c>
      <c r="S21" s="259">
        <f t="shared" si="23"/>
        <v>-403</v>
      </c>
      <c r="T21" s="259">
        <f t="shared" si="23"/>
        <v>-768</v>
      </c>
      <c r="U21" s="259">
        <f t="shared" si="23"/>
        <v>-1134</v>
      </c>
      <c r="V21" s="259">
        <f t="shared" si="23"/>
        <v>-1499</v>
      </c>
      <c r="W21" s="259">
        <f t="shared" si="23"/>
        <v>-1864</v>
      </c>
      <c r="X21" s="259">
        <f t="shared" si="23"/>
        <v>-2229</v>
      </c>
      <c r="Y21" s="259">
        <f t="shared" si="23"/>
        <v>-2595</v>
      </c>
      <c r="Z21" s="259">
        <f t="shared" si="23"/>
        <v>-2960</v>
      </c>
      <c r="AA21" s="267">
        <f>(VLOOKUP(A21,Hshldprojections2014!$A$2:$AW$319,40, FALSE)-VLOOKUP(A21,Hshldprojections2014!$A$2:$AW$319,30, FALSE))/10</f>
        <v>1256.4000000000001</v>
      </c>
      <c r="AB21" s="267">
        <f>(VLOOKUP(A21,Hshldprojections2014!$A$2:$AW$319,41, FALSE)-VLOOKUP(A21,Hshldprojections2014!$A$2:$AW$319,31, FALSE))/10</f>
        <v>1259.7</v>
      </c>
      <c r="AC21" s="267">
        <f>(VLOOKUP(A21,Hshldprojections2014!$A$2:$AW$319,42, FALSE)-VLOOKUP(A21,Hshldprojections2014!$A$2:$AW$319,32, FALSE))/10</f>
        <v>1266.5999999999999</v>
      </c>
      <c r="AD21" s="267">
        <f>IF(IndividualLATest!$J$7=2014,(VLOOKUP($A21,Hshldprojections2014!$A$2:$AY$326,43,FALSE)-VLOOKUP($A21,Hshldprojections2014!$A$2:$AY$326,33,FALSE))/10,IF(IndividualLATest!$J$7=2016,(VLOOKUP($A21,Hshldprojections2016!$A$1:$AQ$322,33,FALSE)-VLOOKUP($A21,Hshldprojections2016!$A$1:$AQ$322,23,FALSE))/10,(VLOOKUP($A21,Hshldprojections2018!$A$1:$AQ$327,33,FALSE)-VLOOKUP($A21,Hshldprojections2018!$A$1:$AQ$327,23,FALSE))/10))</f>
        <v>723.5</v>
      </c>
      <c r="AE21" s="267">
        <f>IF(IndividualLATest!$J$7=2014,(VLOOKUP($A21,Hshldprojections2014!$A$2:$AY$326,44,FALSE)-VLOOKUP($A21,Hshldprojections2014!$A$2:$AY$326,34,FALSE))/10,IF(IndividualLATest!$J$7=2016,(VLOOKUP($A21,Hshldprojections2016!$A$1:$AQ$322,34,FALSE)-VLOOKUP($A21,Hshldprojections2016!$A$1:$AQ$322,24,FALSE))/10,(VLOOKUP($A21,Hshldprojections2018!$A$1:$AQ$327,34,FALSE)-VLOOKUP($A21,Hshldprojections2018!$A$1:$AQ$327,24,FALSE))/10))</f>
        <v>720.1</v>
      </c>
      <c r="AF21" s="267">
        <f>IF(IndividualLATest!$J$7=2014,(VLOOKUP($A21,Hshldprojections2014!$A$2:$AY$326,45,FALSE)-VLOOKUP($A21,Hshldprojections2014!$A$2:$AY$326,35,FALSE))/10,IF(IndividualLATest!$J$7=2016,(VLOOKUP($A21,Hshldprojections2016!$A$1:$AQ$322,35,FALSE)-VLOOKUP($A21,Hshldprojections2016!$A$1:$AQ$322,25,FALSE))/10,(VLOOKUP($A21,Hshldprojections2018!$A$1:$AQ$327,35,FALSE)-VLOOKUP($A21,Hshldprojections2018!$A$1:$AQ$327,25,FALSE))/10))</f>
        <v>718</v>
      </c>
      <c r="AG21" s="267">
        <f>IF(IndividualLATest!$J$7=2014,(VLOOKUP($A21,Hshldprojections2014!$A$2:$AY$326,46,FALSE)-VLOOKUP($A21,Hshldprojections2014!$A$2:$AY$326,36,FALSE))/10,IF(IndividualLATest!$J$7=2016,(VLOOKUP($A21,Hshldprojections2016!$A$1:$AQ$322,36,FALSE)-VLOOKUP($A21,Hshldprojections2016!$A$1:$AQ$322,26,FALSE))/10,(VLOOKUP($A21,Hshldprojections2018!$A$1:$AQ$327,36,FALSE)-VLOOKUP($A21,Hshldprojections2018!$A$1:$AQ$327,26,FALSE))/10))</f>
        <v>718.8</v>
      </c>
      <c r="AH21" s="267">
        <f>IF(IndividualLATest!$J$7=2014,(VLOOKUP($A21,Hshldprojections2014!$A$2:$AY$326,47,FALSE)-VLOOKUP($A21,Hshldprojections2014!$A$2:$AY$326,37,FALSE))/10,IF(IndividualLATest!$J$7=2016,(VLOOKUP($A21,Hshldprojections2016!$A$1:$AQ$322,37,FALSE)-VLOOKUP($A21,Hshldprojections2016!$A$1:$AQ$322,27,FALSE))/10,(VLOOKUP($A21,Hshldprojections2018!$A$1:$AQ$327,37,FALSE)-VLOOKUP($A21,Hshldprojections2018!$A$1:$AQ$327,27,FALSE))/10))</f>
        <v>722.2</v>
      </c>
      <c r="AI21" s="268">
        <f>IF(ISNUMBER('Sensitivity Tests'!$C$30),'Sensitivity Tests'!$C$30,VLOOKUP($A21,AffordabilityRatio!$A$2:$I$321,5,FALSE))</f>
        <v>10.9</v>
      </c>
      <c r="AJ21" s="268">
        <f>IF(ISNUMBER('Sensitivity Tests'!$C$30),'Sensitivity Tests'!$C$30,VLOOKUP($A21,AffordabilityRatio!$A$2:$I$321,6,FALSE))</f>
        <v>11.34</v>
      </c>
      <c r="AK21" s="268">
        <f>IF(ISNUMBER('Sensitivity Tests'!$C$30),'Sensitivity Tests'!$C$30,VLOOKUP($A21,AffordabilityRatio!$A$2:$I$321,7,FALSE))</f>
        <v>11.21</v>
      </c>
      <c r="AL21" s="268">
        <f>IF(ISNUMBER('Sensitivity Tests'!$C$30),'Sensitivity Tests'!$C$30,IF((VLOOKUP($A21,AffordabilityRatio!$A$2:$I$321,8,FALSE))="",AK21,VLOOKUP($A21,AffordabilityRatio!$A$2:$I$321,8,FALSE)))</f>
        <v>11.56</v>
      </c>
      <c r="AM21" s="268">
        <f>IF(ISNUMBER('Sensitivity Tests'!$C$30),'Sensitivity Tests'!$C$30,IF((VLOOKUP($A21,AffordabilityRatio!$A$2:$I$321,9,FALSE))="",AL21,VLOOKUP($A21,AffordabilityRatio!$A$2:$I$321,9,FALSE)))</f>
        <v>13.26</v>
      </c>
      <c r="AN21" s="268">
        <f>IF(ISNUMBER('Sensitivity Tests'!$C$30),'Sensitivity Tests'!$C$30,IF((VLOOKUP($A21,AffordabilityRatio!$A$2:$I$321,9,FALSE))="",AM21,VLOOKUP($A21,AffordabilityRatio!$A$2:$I$321,9,FALSE)))</f>
        <v>13.26</v>
      </c>
      <c r="AO21" s="268">
        <f>IF(ISNUMBER('Sensitivity Tests'!$C$30),'Sensitivity Tests'!$C$30,IF((VLOOKUP($A21,AffordabilityRatio!$A$2:$I$321,9,FALSE))="",AN21,VLOOKUP($A21,AffordabilityRatio!$A$2:$I$321,9,FALSE)))</f>
        <v>13.26</v>
      </c>
      <c r="AP21" s="268">
        <f>IF(ISNUMBER('Sensitivity Tests'!$C$30),'Sensitivity Tests'!$C$30,IF((VLOOKUP($A21,AffordabilityRatio!$A$2:$I$321,9,FALSE))="",AO21,VLOOKUP($A21,AffordabilityRatio!$A$2:$I$321,9,FALSE)))</f>
        <v>13.26</v>
      </c>
      <c r="AQ21" s="267">
        <f t="shared" si="24"/>
        <v>1798</v>
      </c>
      <c r="AR21" s="267">
        <f t="shared" si="24"/>
        <v>1838</v>
      </c>
      <c r="AS21" s="267">
        <f t="shared" si="24"/>
        <v>1837</v>
      </c>
      <c r="AT21" s="267">
        <f t="shared" si="24"/>
        <v>1065</v>
      </c>
      <c r="AU21" s="267">
        <f t="shared" si="24"/>
        <v>1137</v>
      </c>
      <c r="AV21" s="267">
        <f t="shared" si="24"/>
        <v>1134</v>
      </c>
      <c r="AW21" s="267">
        <f t="shared" si="24"/>
        <v>1135</v>
      </c>
      <c r="AX21" s="267">
        <f t="shared" si="24"/>
        <v>1140</v>
      </c>
      <c r="AY21" s="267">
        <f t="shared" si="25"/>
        <v>1758.96</v>
      </c>
      <c r="AZ21" s="267">
        <f t="shared" si="26"/>
        <v>1763.5800000000002</v>
      </c>
      <c r="BA21" s="267">
        <f t="shared" si="27"/>
        <v>1773.2399999999998</v>
      </c>
      <c r="BB21" s="267">
        <f t="shared" si="28"/>
        <v>1012.9000000000001</v>
      </c>
      <c r="BC21" s="267">
        <f t="shared" si="29"/>
        <v>1008.1400000000001</v>
      </c>
      <c r="BD21" s="267">
        <f t="shared" si="30"/>
        <v>1005.2</v>
      </c>
      <c r="BE21" s="267">
        <f t="shared" si="31"/>
        <v>1006.3199999999999</v>
      </c>
      <c r="BF21" s="267">
        <f t="shared" si="32"/>
        <v>1011.0800000000002</v>
      </c>
      <c r="BG21" s="269">
        <f>AY21*VLOOKUP($B21,'Major Cities &amp; Towns'!$A$28:$B$345,2,FALSE)</f>
        <v>2374.596</v>
      </c>
      <c r="BH21" s="269">
        <f>AZ21*VLOOKUP($B21,'Major Cities &amp; Towns'!$A$28:$B$345,2,FALSE)</f>
        <v>2380.8330000000005</v>
      </c>
      <c r="BI21" s="269">
        <f>BA21*VLOOKUP($B21,'Major Cities &amp; Towns'!$A$28:$B$345,2,FALSE)</f>
        <v>2393.8739999999998</v>
      </c>
      <c r="BJ21" s="269">
        <f>BB21*VLOOKUP($B21,'Major Cities &amp; Towns'!$A$28:$B$345,2,FALSE)</f>
        <v>1367.4150000000002</v>
      </c>
      <c r="BK21" s="269">
        <f>BC21*VLOOKUP($B21,'Major Cities &amp; Towns'!$A$28:$B$345,2,FALSE)</f>
        <v>1360.9890000000003</v>
      </c>
      <c r="BL21" s="269">
        <f>BD21*VLOOKUP($B21,'Major Cities &amp; Towns'!$A$28:$B$345,2,FALSE)</f>
        <v>1357.0200000000002</v>
      </c>
      <c r="BM21" s="269">
        <f>BE21*VLOOKUP($B21,'Major Cities &amp; Towns'!$A$28:$B$345,2,FALSE)</f>
        <v>1358.5319999999999</v>
      </c>
      <c r="BN21" s="269">
        <f>BF21*VLOOKUP($B21,'Major Cities &amp; Towns'!$A$28:$B$345,2,FALSE)</f>
        <v>1364.9580000000003</v>
      </c>
      <c r="BO21" s="270">
        <f t="shared" si="33"/>
        <v>1798</v>
      </c>
      <c r="BP21" s="270">
        <f t="shared" si="34"/>
        <v>1838</v>
      </c>
      <c r="BQ21" s="270">
        <f t="shared" si="34"/>
        <v>1837</v>
      </c>
      <c r="BR21" s="270">
        <f t="shared" si="34"/>
        <v>1065</v>
      </c>
      <c r="BS21" s="270">
        <f t="shared" si="34"/>
        <v>1137</v>
      </c>
      <c r="BT21" s="270">
        <f t="shared" si="34"/>
        <v>1134</v>
      </c>
      <c r="BU21" s="270">
        <f t="shared" si="34"/>
        <v>1135</v>
      </c>
      <c r="BV21" s="270">
        <f t="shared" si="34"/>
        <v>1140</v>
      </c>
      <c r="BW21" s="39">
        <f>VLOOKUP($A21,NetAdditions!$A$2:$H$336,6,FALSE)</f>
        <v>486</v>
      </c>
      <c r="BX21" s="39">
        <f>VLOOKUP($A21,NetAdditions!$A$2:$H$336,7,FALSE)</f>
        <v>208</v>
      </c>
      <c r="BY21" s="39">
        <f>IF((VLOOKUP($C21,NetAdditions!$A$2:$H$336,8,FALSE))="",(AVERAGE(VLOOKUP($C21,NetAdditions!$A$2:$H$336,5,FALSE),VLOOKUP($C21,NetAdditions!$A$2:$H$336,6,FALSE),VLOOKUP($C21,NetAdditions!$A$2:$H$336,7,FALSE))),VLOOKUP($C21,NetAdditions!$A$2:$H$336,8,FALSE))</f>
        <v>632</v>
      </c>
      <c r="BZ21" s="39">
        <f t="shared" si="35"/>
        <v>442</v>
      </c>
      <c r="CA21" s="39">
        <f t="shared" si="35"/>
        <v>427.33333333333331</v>
      </c>
      <c r="CB21" s="39">
        <f t="shared" si="35"/>
        <v>500.4444444444444</v>
      </c>
      <c r="CC21" s="39">
        <f t="shared" si="35"/>
        <v>456.59259259259255</v>
      </c>
      <c r="CD21" s="39">
        <f t="shared" si="35"/>
        <v>461.45679012345676</v>
      </c>
      <c r="CE21" s="276">
        <f t="shared" si="5"/>
        <v>5473</v>
      </c>
      <c r="CF21" s="276">
        <f t="shared" si="6"/>
        <v>4740</v>
      </c>
      <c r="CG21" s="276">
        <f t="shared" si="7"/>
        <v>4039</v>
      </c>
      <c r="CH21" s="276">
        <f t="shared" si="8"/>
        <v>3336</v>
      </c>
      <c r="CI21" s="276">
        <f t="shared" si="9"/>
        <v>3406</v>
      </c>
      <c r="CJ21" s="276">
        <f t="shared" si="10"/>
        <v>3409</v>
      </c>
      <c r="CK21" s="276">
        <f t="shared" si="36"/>
        <v>4712.8611111111113</v>
      </c>
      <c r="CL21" s="276">
        <f t="shared" si="37"/>
        <v>4081.666666666667</v>
      </c>
      <c r="CM21" s="276">
        <f t="shared" si="38"/>
        <v>3702.4166666666665</v>
      </c>
      <c r="CN21" s="276">
        <f t="shared" si="39"/>
        <v>3336</v>
      </c>
      <c r="CO21" s="276">
        <f t="shared" si="39"/>
        <v>3406</v>
      </c>
      <c r="CP21" s="276">
        <f t="shared" si="11"/>
        <v>3409</v>
      </c>
      <c r="CQ21" s="39">
        <f t="shared" si="12"/>
        <v>1326</v>
      </c>
      <c r="CR21" s="39">
        <f t="shared" si="13"/>
        <v>1282</v>
      </c>
      <c r="CS21" s="277">
        <f t="shared" si="14"/>
        <v>1501.3333333333333</v>
      </c>
      <c r="CT21" s="39">
        <f t="shared" si="15"/>
        <v>1369.7777777777776</v>
      </c>
      <c r="CU21" s="39">
        <f t="shared" si="16"/>
        <v>1384.3703703703702</v>
      </c>
      <c r="CV21" s="39">
        <f t="shared" si="17"/>
        <v>1418.4938271604938</v>
      </c>
      <c r="CW21" s="297">
        <f t="shared" si="18"/>
        <v>0.28135775036395677</v>
      </c>
      <c r="CX21" s="279" t="str">
        <f t="shared" si="40"/>
        <v>Buffer and Action Plan</v>
      </c>
      <c r="CY21" s="278">
        <f t="shared" si="19"/>
        <v>0.31408738260514496</v>
      </c>
      <c r="CZ21" s="279" t="str">
        <f t="shared" si="41"/>
        <v>Presumption</v>
      </c>
      <c r="DA21" s="278">
        <f t="shared" si="20"/>
        <v>0.40550091156676943</v>
      </c>
      <c r="DB21" s="292" t="str">
        <f t="shared" si="42"/>
        <v>Presumption</v>
      </c>
      <c r="DC21" s="299">
        <f t="shared" si="43"/>
        <v>0.41060484945377024</v>
      </c>
      <c r="DD21" s="293" t="str">
        <f t="shared" si="44"/>
        <v>Presumption</v>
      </c>
      <c r="DE21" s="299">
        <f t="shared" si="45"/>
        <v>0.40645049041995601</v>
      </c>
      <c r="DF21" s="293" t="str">
        <f t="shared" si="46"/>
        <v>Presumption</v>
      </c>
      <c r="DG21" s="299">
        <f t="shared" si="47"/>
        <v>0.41610261870357695</v>
      </c>
      <c r="DH21" s="293" t="str">
        <f t="shared" si="48"/>
        <v>Presumption</v>
      </c>
    </row>
    <row r="22" spans="1:112" ht="15" thickTop="1" thickBot="1">
      <c r="A22" s="38" t="s">
        <v>152</v>
      </c>
      <c r="B22" s="38" t="s">
        <v>153</v>
      </c>
      <c r="C22" s="38" t="s">
        <v>152</v>
      </c>
      <c r="D22" s="38" t="s">
        <v>154</v>
      </c>
      <c r="E22" s="38" t="str">
        <f>VLOOKUP(C22,PoliticalControl!A:K,11,FALSE)</f>
        <v>LAB</v>
      </c>
      <c r="F22" s="38" t="str">
        <f>VLOOKUP(C22,UrbanRuralClassification!A:N,13,FALSE)</f>
        <v>Urban with Major Conurbation</v>
      </c>
      <c r="G22" s="38" t="str">
        <f>VLOOKUP(C22,UrbanRuralClassification!A:N,14,FALSE)</f>
        <v>Predominantly Urban</v>
      </c>
      <c r="H22" s="258">
        <f>IF(ISBLANK((VLOOKUP($A22,'local-plan-data'!$C$1:$AD$566,27,FALSE)))=TRUE,"",VLOOKUP($A22,'local-plan-data'!$C$1:$AD$566,27,FALSE))</f>
        <v>42745</v>
      </c>
      <c r="I22" s="259">
        <f>VLOOKUP($A22,'local-plan-data'!$C$1:$AD$566,28,FALSE)</f>
        <v>2555</v>
      </c>
      <c r="J22" s="260">
        <f t="shared" si="21"/>
        <v>2555</v>
      </c>
      <c r="K22" s="259">
        <f t="shared" si="22"/>
        <v>2555</v>
      </c>
      <c r="L22" s="259">
        <f t="shared" si="22"/>
        <v>2555</v>
      </c>
      <c r="M22" s="259">
        <f t="shared" si="22"/>
        <v>2555</v>
      </c>
      <c r="N22" s="259">
        <f t="shared" si="22"/>
        <v>2555</v>
      </c>
      <c r="O22" s="259" t="str">
        <f t="shared" si="22"/>
        <v>-</v>
      </c>
      <c r="P22" s="259" t="str">
        <f t="shared" si="22"/>
        <v>-</v>
      </c>
      <c r="Q22" s="259" t="str">
        <f t="shared" si="22"/>
        <v>-</v>
      </c>
      <c r="R22" s="259" t="str">
        <f t="shared" si="22"/>
        <v>-</v>
      </c>
      <c r="S22" s="259">
        <f t="shared" si="23"/>
        <v>1380</v>
      </c>
      <c r="T22" s="259">
        <f t="shared" si="23"/>
        <v>1015</v>
      </c>
      <c r="U22" s="259">
        <f t="shared" si="23"/>
        <v>649</v>
      </c>
      <c r="V22" s="259">
        <f t="shared" si="23"/>
        <v>284</v>
      </c>
      <c r="W22" s="259">
        <f t="shared" si="23"/>
        <v>-81</v>
      </c>
      <c r="X22" s="259">
        <f t="shared" si="23"/>
        <v>-446</v>
      </c>
      <c r="Y22" s="259">
        <f t="shared" si="23"/>
        <v>-812</v>
      </c>
      <c r="Z22" s="259">
        <f t="shared" si="23"/>
        <v>-1177</v>
      </c>
      <c r="AA22" s="267">
        <f>(VLOOKUP(A22,Hshldprojections2014!$A$2:$AW$319,40, FALSE)-VLOOKUP(A22,Hshldprojections2014!$A$2:$AW$319,30, FALSE))/10</f>
        <v>4493.8</v>
      </c>
      <c r="AB22" s="267">
        <f>(VLOOKUP(A22,Hshldprojections2014!$A$2:$AW$319,41, FALSE)-VLOOKUP(A22,Hshldprojections2014!$A$2:$AW$319,31, FALSE))/10</f>
        <v>4526.3999999999996</v>
      </c>
      <c r="AC22" s="267">
        <f>(VLOOKUP(A22,Hshldprojections2014!$A$2:$AW$319,42, FALSE)-VLOOKUP(A22,Hshldprojections2014!$A$2:$AW$319,32, FALSE))/10</f>
        <v>4538.3</v>
      </c>
      <c r="AD22" s="267">
        <f>IF(IndividualLATest!$J$7=2014,(VLOOKUP($A22,Hshldprojections2014!$A$2:$AY$326,43,FALSE)-VLOOKUP($A22,Hshldprojections2014!$A$2:$AY$326,33,FALSE))/10,IF(IndividualLATest!$J$7=2016,(VLOOKUP($A22,Hshldprojections2016!$A$1:$AQ$322,33,FALSE)-VLOOKUP($A22,Hshldprojections2016!$A$1:$AQ$322,23,FALSE))/10,(VLOOKUP($A22,Hshldprojections2018!$A$1:$AQ$327,33,FALSE)-VLOOKUP($A22,Hshldprojections2018!$A$1:$AQ$327,23,FALSE))/10))</f>
        <v>2349.6999999999998</v>
      </c>
      <c r="AE22" s="267">
        <f>IF(IndividualLATest!$J$7=2014,(VLOOKUP($A22,Hshldprojections2014!$A$2:$AY$326,44,FALSE)-VLOOKUP($A22,Hshldprojections2014!$A$2:$AY$326,34,FALSE))/10,IF(IndividualLATest!$J$7=2016,(VLOOKUP($A22,Hshldprojections2016!$A$1:$AQ$322,34,FALSE)-VLOOKUP($A22,Hshldprojections2016!$A$1:$AQ$322,24,FALSE))/10,(VLOOKUP($A22,Hshldprojections2018!$A$1:$AQ$327,34,FALSE)-VLOOKUP($A22,Hshldprojections2018!$A$1:$AQ$327,24,FALSE))/10))</f>
        <v>2388.6</v>
      </c>
      <c r="AF22" s="267">
        <f>IF(IndividualLATest!$J$7=2014,(VLOOKUP($A22,Hshldprojections2014!$A$2:$AY$326,45,FALSE)-VLOOKUP($A22,Hshldprojections2014!$A$2:$AY$326,35,FALSE))/10,IF(IndividualLATest!$J$7=2016,(VLOOKUP($A22,Hshldprojections2016!$A$1:$AQ$322,35,FALSE)-VLOOKUP($A22,Hshldprojections2016!$A$1:$AQ$322,25,FALSE))/10,(VLOOKUP($A22,Hshldprojections2018!$A$1:$AQ$327,35,FALSE)-VLOOKUP($A22,Hshldprojections2018!$A$1:$AQ$327,25,FALSE))/10))</f>
        <v>2426.5</v>
      </c>
      <c r="AG22" s="267">
        <f>IF(IndividualLATest!$J$7=2014,(VLOOKUP($A22,Hshldprojections2014!$A$2:$AY$326,46,FALSE)-VLOOKUP($A22,Hshldprojections2014!$A$2:$AY$326,36,FALSE))/10,IF(IndividualLATest!$J$7=2016,(VLOOKUP($A22,Hshldprojections2016!$A$1:$AQ$322,36,FALSE)-VLOOKUP($A22,Hshldprojections2016!$A$1:$AQ$322,26,FALSE))/10,(VLOOKUP($A22,Hshldprojections2018!$A$1:$AQ$327,36,FALSE)-VLOOKUP($A22,Hshldprojections2018!$A$1:$AQ$327,26,FALSE))/10))</f>
        <v>2457.1999999999998</v>
      </c>
      <c r="AH22" s="267">
        <f>IF(IndividualLATest!$J$7=2014,(VLOOKUP($A22,Hshldprojections2014!$A$2:$AY$326,47,FALSE)-VLOOKUP($A22,Hshldprojections2014!$A$2:$AY$326,37,FALSE))/10,IF(IndividualLATest!$J$7=2016,(VLOOKUP($A22,Hshldprojections2016!$A$1:$AQ$322,37,FALSE)-VLOOKUP($A22,Hshldprojections2016!$A$1:$AQ$322,27,FALSE))/10,(VLOOKUP($A22,Hshldprojections2018!$A$1:$AQ$327,37,FALSE)-VLOOKUP($A22,Hshldprojections2018!$A$1:$AQ$327,27,FALSE))/10))</f>
        <v>2478.6</v>
      </c>
      <c r="AI22" s="268">
        <f>IF(ISNUMBER('Sensitivity Tests'!$C$30),'Sensitivity Tests'!$C$30,VLOOKUP($A22,AffordabilityRatio!$A$2:$I$321,5,FALSE))</f>
        <v>5.62</v>
      </c>
      <c r="AJ22" s="268">
        <f>IF(ISNUMBER('Sensitivity Tests'!$C$30),'Sensitivity Tests'!$C$30,VLOOKUP($A22,AffordabilityRatio!$A$2:$I$321,6,FALSE))</f>
        <v>5.67</v>
      </c>
      <c r="AK22" s="268">
        <f>IF(ISNUMBER('Sensitivity Tests'!$C$30),'Sensitivity Tests'!$C$30,VLOOKUP($A22,AffordabilityRatio!$A$2:$I$321,7,FALSE))</f>
        <v>5.86</v>
      </c>
      <c r="AL22" s="268">
        <f>IF(ISNUMBER('Sensitivity Tests'!$C$30),'Sensitivity Tests'!$C$30,IF((VLOOKUP($A22,AffordabilityRatio!$A$2:$I$321,8,FALSE))="",AK22,VLOOKUP($A22,AffordabilityRatio!$A$2:$I$321,8,FALSE)))</f>
        <v>5.68</v>
      </c>
      <c r="AM22" s="268">
        <f>IF(ISNUMBER('Sensitivity Tests'!$C$30),'Sensitivity Tests'!$C$30,IF((VLOOKUP($A22,AffordabilityRatio!$A$2:$I$321,9,FALSE))="",AL22,VLOOKUP($A22,AffordabilityRatio!$A$2:$I$321,9,FALSE)))</f>
        <v>6.49</v>
      </c>
      <c r="AN22" s="268">
        <f>IF(ISNUMBER('Sensitivity Tests'!$C$30),'Sensitivity Tests'!$C$30,IF((VLOOKUP($A22,AffordabilityRatio!$A$2:$I$321,9,FALSE))="",AM22,VLOOKUP($A22,AffordabilityRatio!$A$2:$I$321,9,FALSE)))</f>
        <v>6.49</v>
      </c>
      <c r="AO22" s="268">
        <f>IF(ISNUMBER('Sensitivity Tests'!$C$30),'Sensitivity Tests'!$C$30,IF((VLOOKUP($A22,AffordabilityRatio!$A$2:$I$321,9,FALSE))="",AN22,VLOOKUP($A22,AffordabilityRatio!$A$2:$I$321,9,FALSE)))</f>
        <v>6.49</v>
      </c>
      <c r="AP22" s="268">
        <f>IF(ISNUMBER('Sensitivity Tests'!$C$30),'Sensitivity Tests'!$C$30,IF((VLOOKUP($A22,AffordabilityRatio!$A$2:$I$321,9,FALSE))="",AO22,VLOOKUP($A22,AffordabilityRatio!$A$2:$I$321,9,FALSE)))</f>
        <v>6.49</v>
      </c>
      <c r="AQ22" s="267">
        <f t="shared" si="24"/>
        <v>4949</v>
      </c>
      <c r="AR22" s="267">
        <f t="shared" si="24"/>
        <v>4999</v>
      </c>
      <c r="AS22" s="267">
        <f t="shared" si="24"/>
        <v>5066</v>
      </c>
      <c r="AT22" s="267">
        <f t="shared" si="24"/>
        <v>2596</v>
      </c>
      <c r="AU22" s="267">
        <f t="shared" si="24"/>
        <v>2760</v>
      </c>
      <c r="AV22" s="267">
        <f t="shared" si="24"/>
        <v>2804</v>
      </c>
      <c r="AW22" s="267">
        <f t="shared" si="24"/>
        <v>2840</v>
      </c>
      <c r="AX22" s="267">
        <f t="shared" si="24"/>
        <v>2864</v>
      </c>
      <c r="AY22" s="267">
        <f t="shared" si="25"/>
        <v>3577</v>
      </c>
      <c r="AZ22" s="267">
        <f t="shared" si="26"/>
        <v>3577</v>
      </c>
      <c r="BA22" s="267">
        <f t="shared" si="27"/>
        <v>3577</v>
      </c>
      <c r="BB22" s="267">
        <f t="shared" si="28"/>
        <v>2596</v>
      </c>
      <c r="BC22" s="267">
        <f t="shared" si="29"/>
        <v>2760</v>
      </c>
      <c r="BD22" s="267">
        <f t="shared" si="30"/>
        <v>2804</v>
      </c>
      <c r="BE22" s="267">
        <f t="shared" si="31"/>
        <v>2840</v>
      </c>
      <c r="BF22" s="267">
        <f t="shared" si="32"/>
        <v>2864</v>
      </c>
      <c r="BG22" s="269">
        <f>AY22*VLOOKUP($B22,'Major Cities &amp; Towns'!$A$28:$B$345,2,FALSE)</f>
        <v>4828.9500000000007</v>
      </c>
      <c r="BH22" s="269">
        <f>AZ22*VLOOKUP($B22,'Major Cities &amp; Towns'!$A$28:$B$345,2,FALSE)</f>
        <v>4828.9500000000007</v>
      </c>
      <c r="BI22" s="269">
        <f>BA22*VLOOKUP($B22,'Major Cities &amp; Towns'!$A$28:$B$345,2,FALSE)</f>
        <v>4828.9500000000007</v>
      </c>
      <c r="BJ22" s="269">
        <f>BB22*VLOOKUP($B22,'Major Cities &amp; Towns'!$A$28:$B$345,2,FALSE)</f>
        <v>3504.6000000000004</v>
      </c>
      <c r="BK22" s="269">
        <f>BC22*VLOOKUP($B22,'Major Cities &amp; Towns'!$A$28:$B$345,2,FALSE)</f>
        <v>3726.0000000000005</v>
      </c>
      <c r="BL22" s="269">
        <f>BD22*VLOOKUP($B22,'Major Cities &amp; Towns'!$A$28:$B$345,2,FALSE)</f>
        <v>3785.4</v>
      </c>
      <c r="BM22" s="269">
        <f>BE22*VLOOKUP($B22,'Major Cities &amp; Towns'!$A$28:$B$345,2,FALSE)</f>
        <v>3834.0000000000005</v>
      </c>
      <c r="BN22" s="269">
        <f>BF22*VLOOKUP($B22,'Major Cities &amp; Towns'!$A$28:$B$345,2,FALSE)</f>
        <v>3866.4</v>
      </c>
      <c r="BO22" s="270">
        <f t="shared" si="33"/>
        <v>2555</v>
      </c>
      <c r="BP22" s="270">
        <f t="shared" si="34"/>
        <v>2555</v>
      </c>
      <c r="BQ22" s="270">
        <f t="shared" si="34"/>
        <v>2555</v>
      </c>
      <c r="BR22" s="270">
        <f t="shared" si="34"/>
        <v>2564.0986301369862</v>
      </c>
      <c r="BS22" s="270">
        <f t="shared" si="34"/>
        <v>2760</v>
      </c>
      <c r="BT22" s="270">
        <f t="shared" si="34"/>
        <v>2804</v>
      </c>
      <c r="BU22" s="270">
        <f t="shared" si="34"/>
        <v>2840</v>
      </c>
      <c r="BV22" s="270">
        <f t="shared" si="34"/>
        <v>2864</v>
      </c>
      <c r="BW22" s="39">
        <f>VLOOKUP($A22,NetAdditions!$A$2:$H$336,6,FALSE)</f>
        <v>4187</v>
      </c>
      <c r="BX22" s="39">
        <f>VLOOKUP($A22,NetAdditions!$A$2:$H$336,7,FALSE)</f>
        <v>3795</v>
      </c>
      <c r="BY22" s="39">
        <f>IF((VLOOKUP($C22,NetAdditions!$A$2:$H$336,8,FALSE))="",(AVERAGE(VLOOKUP($C22,NetAdditions!$A$2:$H$336,5,FALSE),VLOOKUP($C22,NetAdditions!$A$2:$H$336,6,FALSE),VLOOKUP($C22,NetAdditions!$A$2:$H$336,7,FALSE))),VLOOKUP($C22,NetAdditions!$A$2:$H$336,8,FALSE))</f>
        <v>3481</v>
      </c>
      <c r="BZ22" s="39">
        <f t="shared" si="35"/>
        <v>3821</v>
      </c>
      <c r="CA22" s="39">
        <f t="shared" si="35"/>
        <v>3699</v>
      </c>
      <c r="CB22" s="39">
        <f t="shared" si="35"/>
        <v>3667</v>
      </c>
      <c r="CC22" s="39">
        <f t="shared" si="35"/>
        <v>3729</v>
      </c>
      <c r="CD22" s="39">
        <f t="shared" si="35"/>
        <v>3698.3333333333335</v>
      </c>
      <c r="CE22" s="276">
        <f t="shared" si="5"/>
        <v>7665</v>
      </c>
      <c r="CF22" s="276">
        <f t="shared" si="6"/>
        <v>7674.0986301369867</v>
      </c>
      <c r="CG22" s="276">
        <f t="shared" si="7"/>
        <v>7879.0986301369867</v>
      </c>
      <c r="CH22" s="276">
        <f t="shared" si="8"/>
        <v>8128.0986301369867</v>
      </c>
      <c r="CI22" s="276">
        <f t="shared" si="9"/>
        <v>8404</v>
      </c>
      <c r="CJ22" s="276">
        <f t="shared" si="10"/>
        <v>8508</v>
      </c>
      <c r="CK22" s="276">
        <f t="shared" si="36"/>
        <v>6600.416666666667</v>
      </c>
      <c r="CL22" s="276">
        <f t="shared" si="37"/>
        <v>6608.2515981735169</v>
      </c>
      <c r="CM22" s="276">
        <f t="shared" si="38"/>
        <v>7222.5070776255707</v>
      </c>
      <c r="CN22" s="276">
        <f t="shared" si="39"/>
        <v>8128.0986301369867</v>
      </c>
      <c r="CO22" s="276">
        <f t="shared" si="39"/>
        <v>8404</v>
      </c>
      <c r="CP22" s="276">
        <f t="shared" si="11"/>
        <v>8508</v>
      </c>
      <c r="CQ22" s="39">
        <f t="shared" si="12"/>
        <v>11463</v>
      </c>
      <c r="CR22" s="39">
        <f t="shared" si="13"/>
        <v>11097</v>
      </c>
      <c r="CS22" s="277">
        <f t="shared" si="14"/>
        <v>11001</v>
      </c>
      <c r="CT22" s="39">
        <f t="shared" si="15"/>
        <v>11187</v>
      </c>
      <c r="CU22" s="39">
        <f t="shared" si="16"/>
        <v>11095</v>
      </c>
      <c r="CV22" s="39">
        <f t="shared" si="17"/>
        <v>11094.333333333334</v>
      </c>
      <c r="CW22" s="297">
        <f t="shared" si="18"/>
        <v>1.7367085411274541</v>
      </c>
      <c r="CX22" s="279" t="str">
        <f t="shared" si="40"/>
        <v>Pass</v>
      </c>
      <c r="CY22" s="278">
        <f t="shared" si="19"/>
        <v>1.6792641495470826</v>
      </c>
      <c r="CZ22" s="279" t="str">
        <f t="shared" si="41"/>
        <v>Pass</v>
      </c>
      <c r="DA22" s="278">
        <f t="shared" si="20"/>
        <v>1.5231553090587797</v>
      </c>
      <c r="DB22" s="292" t="str">
        <f t="shared" si="42"/>
        <v>Pass</v>
      </c>
      <c r="DC22" s="299">
        <f t="shared" si="43"/>
        <v>1.3763366451437191</v>
      </c>
      <c r="DD22" s="293" t="str">
        <f t="shared" si="44"/>
        <v>Pass</v>
      </c>
      <c r="DE22" s="299">
        <f t="shared" si="45"/>
        <v>1.3202046644455021</v>
      </c>
      <c r="DF22" s="293" t="str">
        <f t="shared" si="46"/>
        <v>Pass</v>
      </c>
      <c r="DG22" s="299">
        <f t="shared" si="47"/>
        <v>1.3039884030716189</v>
      </c>
      <c r="DH22" s="293" t="str">
        <f t="shared" si="48"/>
        <v>Pass</v>
      </c>
    </row>
    <row r="23" spans="1:112" ht="15" thickTop="1" thickBot="1">
      <c r="A23" s="38" t="s">
        <v>155</v>
      </c>
      <c r="B23" s="38" t="s">
        <v>156</v>
      </c>
      <c r="C23" s="38" t="s">
        <v>155</v>
      </c>
      <c r="D23" s="38" t="s">
        <v>119</v>
      </c>
      <c r="E23" s="38" t="str">
        <f>VLOOKUP(C23,PoliticalControl!A:K,11,FALSE)</f>
        <v>CON</v>
      </c>
      <c r="F23" s="38" t="str">
        <f>VLOOKUP(C23,UrbanRuralClassification!A:N,13,FALSE)</f>
        <v>Urban with City and Town</v>
      </c>
      <c r="G23" s="38" t="str">
        <f>VLOOKUP(C23,UrbanRuralClassification!A:N,14,FALSE)</f>
        <v>Predominantly Urban</v>
      </c>
      <c r="H23" s="258">
        <f>IF(ISBLANK((VLOOKUP($A23,'local-plan-data'!$C$1:$AD$566,27,FALSE)))=TRUE,"",VLOOKUP($A23,'local-plan-data'!$C$1:$AD$566,27,FALSE))</f>
        <v>41326</v>
      </c>
      <c r="I23" s="259">
        <f>VLOOKUP($A23,'local-plan-data'!$C$1:$AD$566,28,FALSE)</f>
        <v>380</v>
      </c>
      <c r="J23" s="260">
        <f t="shared" si="21"/>
        <v>380</v>
      </c>
      <c r="K23" s="259" t="str">
        <f t="shared" si="22"/>
        <v>-</v>
      </c>
      <c r="L23" s="259" t="str">
        <f t="shared" si="22"/>
        <v>-</v>
      </c>
      <c r="M23" s="259" t="str">
        <f t="shared" si="22"/>
        <v>-</v>
      </c>
      <c r="N23" s="259" t="str">
        <f t="shared" si="22"/>
        <v>-</v>
      </c>
      <c r="O23" s="259" t="str">
        <f t="shared" si="22"/>
        <v>-</v>
      </c>
      <c r="P23" s="259" t="str">
        <f t="shared" si="22"/>
        <v>-</v>
      </c>
      <c r="Q23" s="259" t="str">
        <f t="shared" si="22"/>
        <v>-</v>
      </c>
      <c r="R23" s="259" t="str">
        <f t="shared" si="22"/>
        <v>-</v>
      </c>
      <c r="S23" s="259">
        <f t="shared" si="23"/>
        <v>-39</v>
      </c>
      <c r="T23" s="259">
        <f t="shared" si="23"/>
        <v>-404</v>
      </c>
      <c r="U23" s="259">
        <f t="shared" si="23"/>
        <v>-770</v>
      </c>
      <c r="V23" s="259">
        <f t="shared" si="23"/>
        <v>-1135</v>
      </c>
      <c r="W23" s="259">
        <f t="shared" si="23"/>
        <v>-1500</v>
      </c>
      <c r="X23" s="259">
        <f t="shared" si="23"/>
        <v>-1865</v>
      </c>
      <c r="Y23" s="259">
        <f t="shared" si="23"/>
        <v>-2231</v>
      </c>
      <c r="Z23" s="259">
        <f t="shared" si="23"/>
        <v>-2596</v>
      </c>
      <c r="AA23" s="267">
        <f>(VLOOKUP(A23,Hshldprojections2014!$A$2:$AW$319,40, FALSE)-VLOOKUP(A23,Hshldprojections2014!$A$2:$AW$319,30, FALSE))/10</f>
        <v>283.5</v>
      </c>
      <c r="AB23" s="267">
        <f>(VLOOKUP(A23,Hshldprojections2014!$A$2:$AW$319,41, FALSE)-VLOOKUP(A23,Hshldprojections2014!$A$2:$AW$319,31, FALSE))/10</f>
        <v>278.5</v>
      </c>
      <c r="AC23" s="267">
        <f>(VLOOKUP(A23,Hshldprojections2014!$A$2:$AW$319,42, FALSE)-VLOOKUP(A23,Hshldprojections2014!$A$2:$AW$319,32, FALSE))/10</f>
        <v>274.60000000000002</v>
      </c>
      <c r="AD23" s="267">
        <f>IF(IndividualLATest!$J$7=2014,(VLOOKUP($A23,Hshldprojections2014!$A$2:$AY$326,43,FALSE)-VLOOKUP($A23,Hshldprojections2014!$A$2:$AY$326,33,FALSE))/10,IF(IndividualLATest!$J$7=2016,(VLOOKUP($A23,Hshldprojections2016!$A$1:$AQ$322,33,FALSE)-VLOOKUP($A23,Hshldprojections2016!$A$1:$AQ$322,23,FALSE))/10,(VLOOKUP($A23,Hshldprojections2018!$A$1:$AQ$327,33,FALSE)-VLOOKUP($A23,Hshldprojections2018!$A$1:$AQ$327,23,FALSE))/10))</f>
        <v>575.4</v>
      </c>
      <c r="AE23" s="267">
        <f>IF(IndividualLATest!$J$7=2014,(VLOOKUP($A23,Hshldprojections2014!$A$2:$AY$326,44,FALSE)-VLOOKUP($A23,Hshldprojections2014!$A$2:$AY$326,34,FALSE))/10,IF(IndividualLATest!$J$7=2016,(VLOOKUP($A23,Hshldprojections2016!$A$1:$AQ$322,34,FALSE)-VLOOKUP($A23,Hshldprojections2016!$A$1:$AQ$322,24,FALSE))/10,(VLOOKUP($A23,Hshldprojections2018!$A$1:$AQ$327,34,FALSE)-VLOOKUP($A23,Hshldprojections2018!$A$1:$AQ$327,24,FALSE))/10))</f>
        <v>566.1</v>
      </c>
      <c r="AF23" s="267">
        <f>IF(IndividualLATest!$J$7=2014,(VLOOKUP($A23,Hshldprojections2014!$A$2:$AY$326,45,FALSE)-VLOOKUP($A23,Hshldprojections2014!$A$2:$AY$326,35,FALSE))/10,IF(IndividualLATest!$J$7=2016,(VLOOKUP($A23,Hshldprojections2016!$A$1:$AQ$322,35,FALSE)-VLOOKUP($A23,Hshldprojections2016!$A$1:$AQ$322,25,FALSE))/10,(VLOOKUP($A23,Hshldprojections2018!$A$1:$AQ$327,35,FALSE)-VLOOKUP($A23,Hshldprojections2018!$A$1:$AQ$327,25,FALSE))/10))</f>
        <v>556</v>
      </c>
      <c r="AG23" s="267">
        <f>IF(IndividualLATest!$J$7=2014,(VLOOKUP($A23,Hshldprojections2014!$A$2:$AY$326,46,FALSE)-VLOOKUP($A23,Hshldprojections2014!$A$2:$AY$326,36,FALSE))/10,IF(IndividualLATest!$J$7=2016,(VLOOKUP($A23,Hshldprojections2016!$A$1:$AQ$322,36,FALSE)-VLOOKUP($A23,Hshldprojections2016!$A$1:$AQ$322,26,FALSE))/10,(VLOOKUP($A23,Hshldprojections2018!$A$1:$AQ$327,36,FALSE)-VLOOKUP($A23,Hshldprojections2018!$A$1:$AQ$327,26,FALSE))/10))</f>
        <v>545</v>
      </c>
      <c r="AH23" s="267">
        <f>IF(IndividualLATest!$J$7=2014,(VLOOKUP($A23,Hshldprojections2014!$A$2:$AY$326,47,FALSE)-VLOOKUP($A23,Hshldprojections2014!$A$2:$AY$326,37,FALSE))/10,IF(IndividualLATest!$J$7=2016,(VLOOKUP($A23,Hshldprojections2016!$A$1:$AQ$322,37,FALSE)-VLOOKUP($A23,Hshldprojections2016!$A$1:$AQ$322,27,FALSE))/10,(VLOOKUP($A23,Hshldprojections2018!$A$1:$AQ$327,37,FALSE)-VLOOKUP($A23,Hshldprojections2018!$A$1:$AQ$327,27,FALSE))/10))</f>
        <v>536.20000000000005</v>
      </c>
      <c r="AI23" s="268">
        <f>IF(ISNUMBER('Sensitivity Tests'!$C$30),'Sensitivity Tests'!$C$30,VLOOKUP($A23,AffordabilityRatio!$A$2:$I$321,5,FALSE))</f>
        <v>7.69</v>
      </c>
      <c r="AJ23" s="268">
        <f>IF(ISNUMBER('Sensitivity Tests'!$C$30),'Sensitivity Tests'!$C$30,VLOOKUP($A23,AffordabilityRatio!$A$2:$I$321,6,FALSE))</f>
        <v>7.72</v>
      </c>
      <c r="AK23" s="268">
        <f>IF(ISNUMBER('Sensitivity Tests'!$C$30),'Sensitivity Tests'!$C$30,VLOOKUP($A23,AffordabilityRatio!$A$2:$I$321,7,FALSE))</f>
        <v>8.1300000000000008</v>
      </c>
      <c r="AL23" s="268">
        <f>IF(ISNUMBER('Sensitivity Tests'!$C$30),'Sensitivity Tests'!$C$30,IF((VLOOKUP($A23,AffordabilityRatio!$A$2:$I$321,8,FALSE))="",AK23,VLOOKUP($A23,AffordabilityRatio!$A$2:$I$321,8,FALSE)))</f>
        <v>7.28</v>
      </c>
      <c r="AM23" s="268">
        <f>IF(ISNUMBER('Sensitivity Tests'!$C$30),'Sensitivity Tests'!$C$30,IF((VLOOKUP($A23,AffordabilityRatio!$A$2:$I$321,9,FALSE))="",AL23,VLOOKUP($A23,AffordabilityRatio!$A$2:$I$321,9,FALSE)))</f>
        <v>8.07</v>
      </c>
      <c r="AN23" s="268">
        <f>IF(ISNUMBER('Sensitivity Tests'!$C$30),'Sensitivity Tests'!$C$30,IF((VLOOKUP($A23,AffordabilityRatio!$A$2:$I$321,9,FALSE))="",AM23,VLOOKUP($A23,AffordabilityRatio!$A$2:$I$321,9,FALSE)))</f>
        <v>8.07</v>
      </c>
      <c r="AO23" s="268">
        <f>IF(ISNUMBER('Sensitivity Tests'!$C$30),'Sensitivity Tests'!$C$30,IF((VLOOKUP($A23,AffordabilityRatio!$A$2:$I$321,9,FALSE))="",AN23,VLOOKUP($A23,AffordabilityRatio!$A$2:$I$321,9,FALSE)))</f>
        <v>8.07</v>
      </c>
      <c r="AP23" s="268">
        <f>IF(ISNUMBER('Sensitivity Tests'!$C$30),'Sensitivity Tests'!$C$30,IF((VLOOKUP($A23,AffordabilityRatio!$A$2:$I$321,9,FALSE))="",AO23,VLOOKUP($A23,AffordabilityRatio!$A$2:$I$321,9,FALSE)))</f>
        <v>8.07</v>
      </c>
      <c r="AQ23" s="267">
        <f t="shared" si="24"/>
        <v>349</v>
      </c>
      <c r="AR23" s="267">
        <f t="shared" si="24"/>
        <v>343</v>
      </c>
      <c r="AS23" s="267">
        <f t="shared" si="24"/>
        <v>345</v>
      </c>
      <c r="AT23" s="267">
        <f t="shared" si="24"/>
        <v>693</v>
      </c>
      <c r="AU23" s="267">
        <f t="shared" si="24"/>
        <v>710</v>
      </c>
      <c r="AV23" s="267">
        <f t="shared" si="24"/>
        <v>697</v>
      </c>
      <c r="AW23" s="267">
        <f t="shared" si="24"/>
        <v>684</v>
      </c>
      <c r="AX23" s="267">
        <f t="shared" si="24"/>
        <v>673</v>
      </c>
      <c r="AY23" s="267">
        <f t="shared" si="25"/>
        <v>349</v>
      </c>
      <c r="AZ23" s="267">
        <f t="shared" si="26"/>
        <v>343</v>
      </c>
      <c r="BA23" s="267">
        <f t="shared" si="27"/>
        <v>345</v>
      </c>
      <c r="BB23" s="267">
        <f t="shared" si="28"/>
        <v>693</v>
      </c>
      <c r="BC23" s="267">
        <f t="shared" si="29"/>
        <v>710</v>
      </c>
      <c r="BD23" s="267">
        <f t="shared" si="30"/>
        <v>697</v>
      </c>
      <c r="BE23" s="267">
        <f t="shared" si="31"/>
        <v>684</v>
      </c>
      <c r="BF23" s="267">
        <f t="shared" si="32"/>
        <v>673</v>
      </c>
      <c r="BG23" s="269">
        <f>AY23*VLOOKUP($B23,'Major Cities &amp; Towns'!$A$28:$B$345,2,FALSE)</f>
        <v>349</v>
      </c>
      <c r="BH23" s="269">
        <f>AZ23*VLOOKUP($B23,'Major Cities &amp; Towns'!$A$28:$B$345,2,FALSE)</f>
        <v>343</v>
      </c>
      <c r="BI23" s="269">
        <f>BA23*VLOOKUP($B23,'Major Cities &amp; Towns'!$A$28:$B$345,2,FALSE)</f>
        <v>345</v>
      </c>
      <c r="BJ23" s="269">
        <f>BB23*VLOOKUP($B23,'Major Cities &amp; Towns'!$A$28:$B$345,2,FALSE)</f>
        <v>693</v>
      </c>
      <c r="BK23" s="269">
        <f>BC23*VLOOKUP($B23,'Major Cities &amp; Towns'!$A$28:$B$345,2,FALSE)</f>
        <v>710</v>
      </c>
      <c r="BL23" s="269">
        <f>BD23*VLOOKUP($B23,'Major Cities &amp; Towns'!$A$28:$B$345,2,FALSE)</f>
        <v>697</v>
      </c>
      <c r="BM23" s="269">
        <f>BE23*VLOOKUP($B23,'Major Cities &amp; Towns'!$A$28:$B$345,2,FALSE)</f>
        <v>684</v>
      </c>
      <c r="BN23" s="269">
        <f>BF23*VLOOKUP($B23,'Major Cities &amp; Towns'!$A$28:$B$345,2,FALSE)</f>
        <v>673</v>
      </c>
      <c r="BO23" s="270">
        <f t="shared" si="33"/>
        <v>349</v>
      </c>
      <c r="BP23" s="270">
        <f t="shared" si="34"/>
        <v>343</v>
      </c>
      <c r="BQ23" s="270">
        <f t="shared" si="34"/>
        <v>345</v>
      </c>
      <c r="BR23" s="270">
        <f t="shared" si="34"/>
        <v>693</v>
      </c>
      <c r="BS23" s="270">
        <f t="shared" si="34"/>
        <v>710</v>
      </c>
      <c r="BT23" s="270">
        <f t="shared" si="34"/>
        <v>697</v>
      </c>
      <c r="BU23" s="270">
        <f t="shared" si="34"/>
        <v>684</v>
      </c>
      <c r="BV23" s="270">
        <f t="shared" si="34"/>
        <v>673</v>
      </c>
      <c r="BW23" s="39">
        <f>VLOOKUP($A23,NetAdditions!$A$2:$H$336,6,FALSE)</f>
        <v>522</v>
      </c>
      <c r="BX23" s="39">
        <f>VLOOKUP($A23,NetAdditions!$A$2:$H$336,7,FALSE)</f>
        <v>427</v>
      </c>
      <c r="BY23" s="39">
        <f>IF((VLOOKUP($C23,NetAdditions!$A$2:$H$336,8,FALSE))="",(AVERAGE(VLOOKUP($C23,NetAdditions!$A$2:$H$336,5,FALSE),VLOOKUP($C23,NetAdditions!$A$2:$H$336,6,FALSE),VLOOKUP($C23,NetAdditions!$A$2:$H$336,7,FALSE))),VLOOKUP($C23,NetAdditions!$A$2:$H$336,8,FALSE))</f>
        <v>292</v>
      </c>
      <c r="BZ23" s="39">
        <f t="shared" si="35"/>
        <v>413.66666666666669</v>
      </c>
      <c r="CA23" s="39">
        <f t="shared" si="35"/>
        <v>377.5555555555556</v>
      </c>
      <c r="CB23" s="39">
        <f t="shared" si="35"/>
        <v>361.07407407407413</v>
      </c>
      <c r="CC23" s="39">
        <f t="shared" si="35"/>
        <v>384.09876543209884</v>
      </c>
      <c r="CD23" s="39">
        <f t="shared" si="35"/>
        <v>374.24279835390956</v>
      </c>
      <c r="CE23" s="276">
        <f t="shared" si="5"/>
        <v>1037</v>
      </c>
      <c r="CF23" s="276">
        <f t="shared" si="6"/>
        <v>1381</v>
      </c>
      <c r="CG23" s="276">
        <f t="shared" si="7"/>
        <v>1748</v>
      </c>
      <c r="CH23" s="276">
        <f t="shared" si="8"/>
        <v>2100</v>
      </c>
      <c r="CI23" s="276">
        <f t="shared" si="9"/>
        <v>2091</v>
      </c>
      <c r="CJ23" s="276">
        <f t="shared" si="10"/>
        <v>2054</v>
      </c>
      <c r="CK23" s="276">
        <f t="shared" si="36"/>
        <v>892.97222222222229</v>
      </c>
      <c r="CL23" s="276">
        <f t="shared" si="37"/>
        <v>1189.1944444444446</v>
      </c>
      <c r="CM23" s="276">
        <f t="shared" si="38"/>
        <v>1602.3333333333333</v>
      </c>
      <c r="CN23" s="276">
        <f t="shared" si="39"/>
        <v>2100</v>
      </c>
      <c r="CO23" s="276">
        <f t="shared" si="39"/>
        <v>2091</v>
      </c>
      <c r="CP23" s="276">
        <f t="shared" si="11"/>
        <v>2054</v>
      </c>
      <c r="CQ23" s="39">
        <f t="shared" si="12"/>
        <v>1241</v>
      </c>
      <c r="CR23" s="39">
        <f t="shared" si="13"/>
        <v>1132.6666666666667</v>
      </c>
      <c r="CS23" s="277">
        <f t="shared" si="14"/>
        <v>1083.2222222222224</v>
      </c>
      <c r="CT23" s="39">
        <f t="shared" si="15"/>
        <v>1152.2962962962965</v>
      </c>
      <c r="CU23" s="39">
        <f t="shared" si="16"/>
        <v>1122.7283950617286</v>
      </c>
      <c r="CV23" s="39">
        <f t="shared" si="17"/>
        <v>1119.4156378600826</v>
      </c>
      <c r="CW23" s="297">
        <f t="shared" si="18"/>
        <v>1.3897408778424114</v>
      </c>
      <c r="CX23" s="279" t="str">
        <f t="shared" si="40"/>
        <v>Pass</v>
      </c>
      <c r="CY23" s="278">
        <f t="shared" si="19"/>
        <v>0.95246548784190976</v>
      </c>
      <c r="CZ23" s="279" t="str">
        <f t="shared" si="41"/>
        <v>Pass</v>
      </c>
      <c r="DA23" s="278">
        <f t="shared" si="20"/>
        <v>0.67602801470078377</v>
      </c>
      <c r="DB23" s="292" t="str">
        <f t="shared" si="42"/>
        <v>Presumption</v>
      </c>
      <c r="DC23" s="299">
        <f t="shared" si="43"/>
        <v>0.54871252204585552</v>
      </c>
      <c r="DD23" s="293" t="str">
        <f t="shared" si="44"/>
        <v>Presumption</v>
      </c>
      <c r="DE23" s="299">
        <f t="shared" si="45"/>
        <v>0.53693371356371522</v>
      </c>
      <c r="DF23" s="293" t="str">
        <f t="shared" si="46"/>
        <v>Presumption</v>
      </c>
      <c r="DG23" s="299">
        <f t="shared" si="47"/>
        <v>0.54499300772155923</v>
      </c>
      <c r="DH23" s="293" t="str">
        <f t="shared" si="48"/>
        <v>Presumption</v>
      </c>
    </row>
    <row r="24" spans="1:112" ht="15" thickTop="1" thickBot="1">
      <c r="A24" s="38" t="s">
        <v>157</v>
      </c>
      <c r="B24" s="38" t="s">
        <v>158</v>
      </c>
      <c r="C24" s="38" t="s">
        <v>157</v>
      </c>
      <c r="D24" s="38" t="s">
        <v>116</v>
      </c>
      <c r="E24" s="38" t="str">
        <f>VLOOKUP(C24,PoliticalControl!A:K,11,FALSE)</f>
        <v>LAB</v>
      </c>
      <c r="F24" s="38" t="str">
        <f>VLOOKUP(C24,UrbanRuralClassification!A:N,13,FALSE)</f>
        <v>Urban with City and Town</v>
      </c>
      <c r="G24" s="38" t="str">
        <f>VLOOKUP(C24,UrbanRuralClassification!A:N,14,FALSE)</f>
        <v>Predominantly Urban</v>
      </c>
      <c r="H24" s="258">
        <f>IF(ISBLANK((VLOOKUP($A24,'local-plan-data'!$C$1:$AD$566,27,FALSE)))=TRUE,"",VLOOKUP($A24,'local-plan-data'!$C$1:$AD$566,27,FALSE))</f>
        <v>40570</v>
      </c>
      <c r="I24" s="259">
        <f>VLOOKUP($A24,'local-plan-data'!$C$1:$AD$566,28,FALSE)</f>
        <v>624.33333333333337</v>
      </c>
      <c r="J24" s="260">
        <f t="shared" si="21"/>
        <v>624.33333333333337</v>
      </c>
      <c r="K24" s="259" t="str">
        <f t="shared" si="22"/>
        <v>-</v>
      </c>
      <c r="L24" s="259" t="str">
        <f t="shared" si="22"/>
        <v>-</v>
      </c>
      <c r="M24" s="259" t="str">
        <f t="shared" si="22"/>
        <v>-</v>
      </c>
      <c r="N24" s="259" t="str">
        <f t="shared" si="22"/>
        <v>-</v>
      </c>
      <c r="O24" s="259" t="str">
        <f t="shared" si="22"/>
        <v>-</v>
      </c>
      <c r="P24" s="259" t="str">
        <f t="shared" si="22"/>
        <v>-</v>
      </c>
      <c r="Q24" s="259" t="str">
        <f t="shared" si="22"/>
        <v>-</v>
      </c>
      <c r="R24" s="259" t="str">
        <f t="shared" si="22"/>
        <v>-</v>
      </c>
      <c r="S24" s="259">
        <f t="shared" si="23"/>
        <v>-795</v>
      </c>
      <c r="T24" s="259">
        <f t="shared" si="23"/>
        <v>-1160</v>
      </c>
      <c r="U24" s="259">
        <f t="shared" si="23"/>
        <v>-1526</v>
      </c>
      <c r="V24" s="259">
        <f t="shared" si="23"/>
        <v>-1891</v>
      </c>
      <c r="W24" s="259">
        <f t="shared" si="23"/>
        <v>-2256</v>
      </c>
      <c r="X24" s="259">
        <f t="shared" si="23"/>
        <v>-2621</v>
      </c>
      <c r="Y24" s="259">
        <f t="shared" si="23"/>
        <v>-2987</v>
      </c>
      <c r="Z24" s="259">
        <f t="shared" si="23"/>
        <v>-3352</v>
      </c>
      <c r="AA24" s="267">
        <f>(VLOOKUP(A24,Hshldprojections2014!$A$2:$AW$319,40, FALSE)-VLOOKUP(A24,Hshldprojections2014!$A$2:$AW$319,30, FALSE))/10</f>
        <v>152.6</v>
      </c>
      <c r="AB24" s="267">
        <f>(VLOOKUP(A24,Hshldprojections2014!$A$2:$AW$319,41, FALSE)-VLOOKUP(A24,Hshldprojections2014!$A$2:$AW$319,31, FALSE))/10</f>
        <v>151.1</v>
      </c>
      <c r="AC24" s="267">
        <f>(VLOOKUP(A24,Hshldprojections2014!$A$2:$AW$319,42, FALSE)-VLOOKUP(A24,Hshldprojections2014!$A$2:$AW$319,32, FALSE))/10</f>
        <v>148.19999999999999</v>
      </c>
      <c r="AD24" s="267">
        <f>IF(IndividualLATest!$J$7=2014,(VLOOKUP($A24,Hshldprojections2014!$A$2:$AY$326,43,FALSE)-VLOOKUP($A24,Hshldprojections2014!$A$2:$AY$326,33,FALSE))/10,IF(IndividualLATest!$J$7=2016,(VLOOKUP($A24,Hshldprojections2016!$A$1:$AQ$322,33,FALSE)-VLOOKUP($A24,Hshldprojections2016!$A$1:$AQ$322,23,FALSE))/10,(VLOOKUP($A24,Hshldprojections2018!$A$1:$AQ$327,33,FALSE)-VLOOKUP($A24,Hshldprojections2018!$A$1:$AQ$327,23,FALSE))/10))</f>
        <v>165.9</v>
      </c>
      <c r="AE24" s="267">
        <f>IF(IndividualLATest!$J$7=2014,(VLOOKUP($A24,Hshldprojections2014!$A$2:$AY$326,44,FALSE)-VLOOKUP($A24,Hshldprojections2014!$A$2:$AY$326,34,FALSE))/10,IF(IndividualLATest!$J$7=2016,(VLOOKUP($A24,Hshldprojections2016!$A$1:$AQ$322,34,FALSE)-VLOOKUP($A24,Hshldprojections2016!$A$1:$AQ$322,24,FALSE))/10,(VLOOKUP($A24,Hshldprojections2018!$A$1:$AQ$327,34,FALSE)-VLOOKUP($A24,Hshldprojections2018!$A$1:$AQ$327,24,FALSE))/10))</f>
        <v>162.6</v>
      </c>
      <c r="AF24" s="267">
        <f>IF(IndividualLATest!$J$7=2014,(VLOOKUP($A24,Hshldprojections2014!$A$2:$AY$326,45,FALSE)-VLOOKUP($A24,Hshldprojections2014!$A$2:$AY$326,35,FALSE))/10,IF(IndividualLATest!$J$7=2016,(VLOOKUP($A24,Hshldprojections2016!$A$1:$AQ$322,35,FALSE)-VLOOKUP($A24,Hshldprojections2016!$A$1:$AQ$322,25,FALSE))/10,(VLOOKUP($A24,Hshldprojections2018!$A$1:$AQ$327,35,FALSE)-VLOOKUP($A24,Hshldprojections2018!$A$1:$AQ$327,25,FALSE))/10))</f>
        <v>160.69999999999999</v>
      </c>
      <c r="AG24" s="267">
        <f>IF(IndividualLATest!$J$7=2014,(VLOOKUP($A24,Hshldprojections2014!$A$2:$AY$326,46,FALSE)-VLOOKUP($A24,Hshldprojections2014!$A$2:$AY$326,36,FALSE))/10,IF(IndividualLATest!$J$7=2016,(VLOOKUP($A24,Hshldprojections2016!$A$1:$AQ$322,36,FALSE)-VLOOKUP($A24,Hshldprojections2016!$A$1:$AQ$322,26,FALSE))/10,(VLOOKUP($A24,Hshldprojections2018!$A$1:$AQ$327,36,FALSE)-VLOOKUP($A24,Hshldprojections2018!$A$1:$AQ$327,26,FALSE))/10))</f>
        <v>158.4</v>
      </c>
      <c r="AH24" s="267">
        <f>IF(IndividualLATest!$J$7=2014,(VLOOKUP($A24,Hshldprojections2014!$A$2:$AY$326,47,FALSE)-VLOOKUP($A24,Hshldprojections2014!$A$2:$AY$326,37,FALSE))/10,IF(IndividualLATest!$J$7=2016,(VLOOKUP($A24,Hshldprojections2016!$A$1:$AQ$322,37,FALSE)-VLOOKUP($A24,Hshldprojections2016!$A$1:$AQ$322,27,FALSE))/10,(VLOOKUP($A24,Hshldprojections2018!$A$1:$AQ$327,37,FALSE)-VLOOKUP($A24,Hshldprojections2018!$A$1:$AQ$327,27,FALSE))/10))</f>
        <v>157.4</v>
      </c>
      <c r="AI24" s="268">
        <f>IF(ISNUMBER('Sensitivity Tests'!$C$30),'Sensitivity Tests'!$C$30,VLOOKUP($A24,AffordabilityRatio!$A$2:$I$321,5,FALSE))</f>
        <v>4.25</v>
      </c>
      <c r="AJ24" s="268">
        <f>IF(ISNUMBER('Sensitivity Tests'!$C$30),'Sensitivity Tests'!$C$30,VLOOKUP($A24,AffordabilityRatio!$A$2:$I$321,6,FALSE))</f>
        <v>4.96</v>
      </c>
      <c r="AK24" s="268">
        <f>IF(ISNUMBER('Sensitivity Tests'!$C$30),'Sensitivity Tests'!$C$30,VLOOKUP($A24,AffordabilityRatio!$A$2:$I$321,7,FALSE))</f>
        <v>4.7699999999999996</v>
      </c>
      <c r="AL24" s="268">
        <f>IF(ISNUMBER('Sensitivity Tests'!$C$30),'Sensitivity Tests'!$C$30,IF((VLOOKUP($A24,AffordabilityRatio!$A$2:$I$321,8,FALSE))="",AK24,VLOOKUP($A24,AffordabilityRatio!$A$2:$I$321,8,FALSE)))</f>
        <v>4.8499999999999996</v>
      </c>
      <c r="AM24" s="268">
        <f>IF(ISNUMBER('Sensitivity Tests'!$C$30),'Sensitivity Tests'!$C$30,IF((VLOOKUP($A24,AffordabilityRatio!$A$2:$I$321,9,FALSE))="",AL24,VLOOKUP($A24,AffordabilityRatio!$A$2:$I$321,9,FALSE)))</f>
        <v>4.8499999999999996</v>
      </c>
      <c r="AN24" s="268">
        <f>IF(ISNUMBER('Sensitivity Tests'!$C$30),'Sensitivity Tests'!$C$30,IF((VLOOKUP($A24,AffordabilityRatio!$A$2:$I$321,9,FALSE))="",AM24,VLOOKUP($A24,AffordabilityRatio!$A$2:$I$321,9,FALSE)))</f>
        <v>4.8499999999999996</v>
      </c>
      <c r="AO24" s="268">
        <f>IF(ISNUMBER('Sensitivity Tests'!$C$30),'Sensitivity Tests'!$C$30,IF((VLOOKUP($A24,AffordabilityRatio!$A$2:$I$321,9,FALSE))="",AN24,VLOOKUP($A24,AffordabilityRatio!$A$2:$I$321,9,FALSE)))</f>
        <v>4.8499999999999996</v>
      </c>
      <c r="AP24" s="268">
        <f>IF(ISNUMBER('Sensitivity Tests'!$C$30),'Sensitivity Tests'!$C$30,IF((VLOOKUP($A24,AffordabilityRatio!$A$2:$I$321,9,FALSE))="",AO24,VLOOKUP($A24,AffordabilityRatio!$A$2:$I$321,9,FALSE)))</f>
        <v>4.8499999999999996</v>
      </c>
      <c r="AQ24" s="267">
        <f t="shared" si="24"/>
        <v>155</v>
      </c>
      <c r="AR24" s="267">
        <f t="shared" si="24"/>
        <v>160</v>
      </c>
      <c r="AS24" s="267">
        <f t="shared" si="24"/>
        <v>155</v>
      </c>
      <c r="AT24" s="267">
        <f t="shared" si="24"/>
        <v>175</v>
      </c>
      <c r="AU24" s="267">
        <f t="shared" si="24"/>
        <v>171</v>
      </c>
      <c r="AV24" s="267">
        <f t="shared" si="24"/>
        <v>169</v>
      </c>
      <c r="AW24" s="267">
        <f t="shared" si="24"/>
        <v>167</v>
      </c>
      <c r="AX24" s="267">
        <f t="shared" si="24"/>
        <v>166</v>
      </c>
      <c r="AY24" s="267">
        <f t="shared" si="25"/>
        <v>155</v>
      </c>
      <c r="AZ24" s="267">
        <f t="shared" si="26"/>
        <v>160</v>
      </c>
      <c r="BA24" s="267">
        <f t="shared" si="27"/>
        <v>155</v>
      </c>
      <c r="BB24" s="267">
        <f t="shared" si="28"/>
        <v>175</v>
      </c>
      <c r="BC24" s="267">
        <f t="shared" si="29"/>
        <v>171</v>
      </c>
      <c r="BD24" s="267">
        <f t="shared" si="30"/>
        <v>169</v>
      </c>
      <c r="BE24" s="267">
        <f t="shared" si="31"/>
        <v>167</v>
      </c>
      <c r="BF24" s="267">
        <f t="shared" si="32"/>
        <v>166</v>
      </c>
      <c r="BG24" s="269">
        <f>AY24*VLOOKUP($B24,'Major Cities &amp; Towns'!$A$28:$B$345,2,FALSE)</f>
        <v>155</v>
      </c>
      <c r="BH24" s="269">
        <f>AZ24*VLOOKUP($B24,'Major Cities &amp; Towns'!$A$28:$B$345,2,FALSE)</f>
        <v>160</v>
      </c>
      <c r="BI24" s="269">
        <f>BA24*VLOOKUP($B24,'Major Cities &amp; Towns'!$A$28:$B$345,2,FALSE)</f>
        <v>155</v>
      </c>
      <c r="BJ24" s="269">
        <f>BB24*VLOOKUP($B24,'Major Cities &amp; Towns'!$A$28:$B$345,2,FALSE)</f>
        <v>175</v>
      </c>
      <c r="BK24" s="269">
        <f>BC24*VLOOKUP($B24,'Major Cities &amp; Towns'!$A$28:$B$345,2,FALSE)</f>
        <v>171</v>
      </c>
      <c r="BL24" s="269">
        <f>BD24*VLOOKUP($B24,'Major Cities &amp; Towns'!$A$28:$B$345,2,FALSE)</f>
        <v>169</v>
      </c>
      <c r="BM24" s="269">
        <f>BE24*VLOOKUP($B24,'Major Cities &amp; Towns'!$A$28:$B$345,2,FALSE)</f>
        <v>167</v>
      </c>
      <c r="BN24" s="269">
        <f>BF24*VLOOKUP($B24,'Major Cities &amp; Towns'!$A$28:$B$345,2,FALSE)</f>
        <v>166</v>
      </c>
      <c r="BO24" s="270">
        <f t="shared" si="33"/>
        <v>155</v>
      </c>
      <c r="BP24" s="270">
        <f t="shared" si="34"/>
        <v>160</v>
      </c>
      <c r="BQ24" s="270">
        <f t="shared" si="34"/>
        <v>155</v>
      </c>
      <c r="BR24" s="270">
        <f t="shared" si="34"/>
        <v>175</v>
      </c>
      <c r="BS24" s="270">
        <f t="shared" si="34"/>
        <v>171</v>
      </c>
      <c r="BT24" s="270">
        <f t="shared" si="34"/>
        <v>169</v>
      </c>
      <c r="BU24" s="270">
        <f t="shared" si="34"/>
        <v>167</v>
      </c>
      <c r="BV24" s="270">
        <f t="shared" si="34"/>
        <v>166</v>
      </c>
      <c r="BW24" s="39">
        <f>VLOOKUP($A24,NetAdditions!$A$2:$H$336,6,FALSE)</f>
        <v>485</v>
      </c>
      <c r="BX24" s="39">
        <f>VLOOKUP($A24,NetAdditions!$A$2:$H$336,7,FALSE)</f>
        <v>303</v>
      </c>
      <c r="BY24" s="39">
        <f>IF((VLOOKUP($C24,NetAdditions!$A$2:$H$336,8,FALSE))="",(AVERAGE(VLOOKUP($C24,NetAdditions!$A$2:$H$336,5,FALSE),VLOOKUP($C24,NetAdditions!$A$2:$H$336,6,FALSE),VLOOKUP($C24,NetAdditions!$A$2:$H$336,7,FALSE))),VLOOKUP($C24,NetAdditions!$A$2:$H$336,8,FALSE))</f>
        <v>484</v>
      </c>
      <c r="BZ24" s="39">
        <f t="shared" si="35"/>
        <v>424</v>
      </c>
      <c r="CA24" s="39">
        <f t="shared" si="35"/>
        <v>403.66666666666669</v>
      </c>
      <c r="CB24" s="39">
        <f t="shared" si="35"/>
        <v>437.22222222222223</v>
      </c>
      <c r="CC24" s="39">
        <f t="shared" si="35"/>
        <v>421.62962962962962</v>
      </c>
      <c r="CD24" s="39">
        <f t="shared" si="35"/>
        <v>420.83950617283949</v>
      </c>
      <c r="CE24" s="276">
        <f t="shared" si="5"/>
        <v>470</v>
      </c>
      <c r="CF24" s="276">
        <f t="shared" si="6"/>
        <v>490</v>
      </c>
      <c r="CG24" s="276">
        <f t="shared" si="7"/>
        <v>501</v>
      </c>
      <c r="CH24" s="276">
        <f t="shared" si="8"/>
        <v>515</v>
      </c>
      <c r="CI24" s="276">
        <f t="shared" si="9"/>
        <v>507</v>
      </c>
      <c r="CJ24" s="276">
        <f t="shared" si="10"/>
        <v>502</v>
      </c>
      <c r="CK24" s="276">
        <f t="shared" si="36"/>
        <v>404.72222222222223</v>
      </c>
      <c r="CL24" s="276">
        <f t="shared" si="37"/>
        <v>421.94444444444446</v>
      </c>
      <c r="CM24" s="276">
        <f t="shared" si="38"/>
        <v>459.25</v>
      </c>
      <c r="CN24" s="276">
        <f t="shared" si="39"/>
        <v>515</v>
      </c>
      <c r="CO24" s="276">
        <f t="shared" si="39"/>
        <v>507</v>
      </c>
      <c r="CP24" s="276">
        <f t="shared" si="11"/>
        <v>502</v>
      </c>
      <c r="CQ24" s="39">
        <f t="shared" si="12"/>
        <v>1272</v>
      </c>
      <c r="CR24" s="39">
        <f t="shared" si="13"/>
        <v>1211</v>
      </c>
      <c r="CS24" s="277">
        <f t="shared" si="14"/>
        <v>1311.6666666666667</v>
      </c>
      <c r="CT24" s="39">
        <f t="shared" si="15"/>
        <v>1264.8888888888889</v>
      </c>
      <c r="CU24" s="39">
        <f t="shared" si="16"/>
        <v>1262.5185185185185</v>
      </c>
      <c r="CV24" s="39">
        <f t="shared" si="17"/>
        <v>1279.6913580246915</v>
      </c>
      <c r="CW24" s="297">
        <f t="shared" si="18"/>
        <v>3.1428963623884694</v>
      </c>
      <c r="CX24" s="279" t="str">
        <f t="shared" si="40"/>
        <v>Pass</v>
      </c>
      <c r="CY24" s="278">
        <f t="shared" si="19"/>
        <v>2.8700460829493086</v>
      </c>
      <c r="CZ24" s="279" t="str">
        <f t="shared" si="41"/>
        <v>Pass</v>
      </c>
      <c r="DA24" s="278">
        <f t="shared" si="20"/>
        <v>2.856105969878425</v>
      </c>
      <c r="DB24" s="292" t="str">
        <f t="shared" si="42"/>
        <v>Pass</v>
      </c>
      <c r="DC24" s="299">
        <f t="shared" si="43"/>
        <v>2.4560949298813375</v>
      </c>
      <c r="DD24" s="293" t="str">
        <f t="shared" si="44"/>
        <v>Pass</v>
      </c>
      <c r="DE24" s="299">
        <f t="shared" si="45"/>
        <v>2.4901745927386951</v>
      </c>
      <c r="DF24" s="293" t="str">
        <f t="shared" si="46"/>
        <v>Pass</v>
      </c>
      <c r="DG24" s="299">
        <f t="shared" si="47"/>
        <v>2.5491859721607399</v>
      </c>
      <c r="DH24" s="293" t="str">
        <f t="shared" si="48"/>
        <v>Pass</v>
      </c>
    </row>
    <row r="25" spans="1:112" ht="15" thickTop="1" thickBot="1">
      <c r="A25" s="38" t="s">
        <v>159</v>
      </c>
      <c r="B25" s="38" t="s">
        <v>160</v>
      </c>
      <c r="C25" s="38" t="s">
        <v>159</v>
      </c>
      <c r="D25" s="38" t="s">
        <v>116</v>
      </c>
      <c r="E25" s="38" t="str">
        <f>VLOOKUP(C25,PoliticalControl!A:K,11,FALSE)</f>
        <v>LAB</v>
      </c>
      <c r="F25" s="38" t="str">
        <f>VLOOKUP(C25,UrbanRuralClassification!A:N,13,FALSE)</f>
        <v>Urban with City and Town</v>
      </c>
      <c r="G25" s="38" t="str">
        <f>VLOOKUP(C25,UrbanRuralClassification!A:N,14,FALSE)</f>
        <v>Predominantly Urban</v>
      </c>
      <c r="H25" s="258">
        <f>IF(ISBLANK((VLOOKUP($A25,'local-plan-data'!$C$1:$AD$566,27,FALSE)))=TRUE,"",VLOOKUP($A25,'local-plan-data'!$C$1:$AD$566,27,FALSE))</f>
        <v>42389</v>
      </c>
      <c r="I25" s="259">
        <f>VLOOKUP($A25,'local-plan-data'!$C$1:$AD$566,28,FALSE)</f>
        <v>280</v>
      </c>
      <c r="J25" s="260">
        <f t="shared" si="21"/>
        <v>280</v>
      </c>
      <c r="K25" s="259">
        <f t="shared" si="22"/>
        <v>280</v>
      </c>
      <c r="L25" s="259">
        <f t="shared" si="22"/>
        <v>280</v>
      </c>
      <c r="M25" s="259">
        <f t="shared" si="22"/>
        <v>280</v>
      </c>
      <c r="N25" s="259" t="str">
        <f t="shared" si="22"/>
        <v>-</v>
      </c>
      <c r="O25" s="259" t="str">
        <f t="shared" si="22"/>
        <v>-</v>
      </c>
      <c r="P25" s="259" t="str">
        <f t="shared" si="22"/>
        <v>-</v>
      </c>
      <c r="Q25" s="259" t="str">
        <f t="shared" si="22"/>
        <v>-</v>
      </c>
      <c r="R25" s="259" t="str">
        <f t="shared" si="22"/>
        <v>-</v>
      </c>
      <c r="S25" s="259">
        <f t="shared" si="23"/>
        <v>1025</v>
      </c>
      <c r="T25" s="259">
        <f t="shared" si="23"/>
        <v>660</v>
      </c>
      <c r="U25" s="259">
        <f t="shared" si="23"/>
        <v>294</v>
      </c>
      <c r="V25" s="259">
        <f t="shared" si="23"/>
        <v>-71</v>
      </c>
      <c r="W25" s="259">
        <f t="shared" si="23"/>
        <v>-436</v>
      </c>
      <c r="X25" s="259">
        <f t="shared" si="23"/>
        <v>-801</v>
      </c>
      <c r="Y25" s="259">
        <f t="shared" si="23"/>
        <v>-1167</v>
      </c>
      <c r="Z25" s="259">
        <f t="shared" si="23"/>
        <v>-1532</v>
      </c>
      <c r="AA25" s="267">
        <f>(VLOOKUP(A25,Hshldprojections2014!$A$2:$AW$319,40, FALSE)-VLOOKUP(A25,Hshldprojections2014!$A$2:$AW$319,30, FALSE))/10</f>
        <v>103.6</v>
      </c>
      <c r="AB25" s="267">
        <f>(VLOOKUP(A25,Hshldprojections2014!$A$2:$AW$319,41, FALSE)-VLOOKUP(A25,Hshldprojections2014!$A$2:$AW$319,31, FALSE))/10</f>
        <v>109.9</v>
      </c>
      <c r="AC25" s="267">
        <f>(VLOOKUP(A25,Hshldprojections2014!$A$2:$AW$319,42, FALSE)-VLOOKUP(A25,Hshldprojections2014!$A$2:$AW$319,32, FALSE))/10</f>
        <v>117.3</v>
      </c>
      <c r="AD25" s="267">
        <f>IF(IndividualLATest!$J$7=2014,(VLOOKUP($A25,Hshldprojections2014!$A$2:$AY$326,43,FALSE)-VLOOKUP($A25,Hshldprojections2014!$A$2:$AY$326,33,FALSE))/10,IF(IndividualLATest!$J$7=2016,(VLOOKUP($A25,Hshldprojections2016!$A$1:$AQ$322,33,FALSE)-VLOOKUP($A25,Hshldprojections2016!$A$1:$AQ$322,23,FALSE))/10,(VLOOKUP($A25,Hshldprojections2018!$A$1:$AQ$327,33,FALSE)-VLOOKUP($A25,Hshldprojections2018!$A$1:$AQ$327,23,FALSE))/10))</f>
        <v>48.9</v>
      </c>
      <c r="AE25" s="267">
        <f>IF(IndividualLATest!$J$7=2014,(VLOOKUP($A25,Hshldprojections2014!$A$2:$AY$326,44,FALSE)-VLOOKUP($A25,Hshldprojections2014!$A$2:$AY$326,34,FALSE))/10,IF(IndividualLATest!$J$7=2016,(VLOOKUP($A25,Hshldprojections2016!$A$1:$AQ$322,34,FALSE)-VLOOKUP($A25,Hshldprojections2016!$A$1:$AQ$322,24,FALSE))/10,(VLOOKUP($A25,Hshldprojections2018!$A$1:$AQ$327,34,FALSE)-VLOOKUP($A25,Hshldprojections2018!$A$1:$AQ$327,24,FALSE))/10))</f>
        <v>62.8</v>
      </c>
      <c r="AF25" s="267">
        <f>IF(IndividualLATest!$J$7=2014,(VLOOKUP($A25,Hshldprojections2014!$A$2:$AY$326,45,FALSE)-VLOOKUP($A25,Hshldprojections2014!$A$2:$AY$326,35,FALSE))/10,IF(IndividualLATest!$J$7=2016,(VLOOKUP($A25,Hshldprojections2016!$A$1:$AQ$322,35,FALSE)-VLOOKUP($A25,Hshldprojections2016!$A$1:$AQ$322,25,FALSE))/10,(VLOOKUP($A25,Hshldprojections2018!$A$1:$AQ$327,35,FALSE)-VLOOKUP($A25,Hshldprojections2018!$A$1:$AQ$327,25,FALSE))/10))</f>
        <v>79.3</v>
      </c>
      <c r="AG25" s="267">
        <f>IF(IndividualLATest!$J$7=2014,(VLOOKUP($A25,Hshldprojections2014!$A$2:$AY$326,46,FALSE)-VLOOKUP($A25,Hshldprojections2014!$A$2:$AY$326,36,FALSE))/10,IF(IndividualLATest!$J$7=2016,(VLOOKUP($A25,Hshldprojections2016!$A$1:$AQ$322,36,FALSE)-VLOOKUP($A25,Hshldprojections2016!$A$1:$AQ$322,26,FALSE))/10,(VLOOKUP($A25,Hshldprojections2018!$A$1:$AQ$327,36,FALSE)-VLOOKUP($A25,Hshldprojections2018!$A$1:$AQ$327,26,FALSE))/10))</f>
        <v>94.2</v>
      </c>
      <c r="AH25" s="267">
        <f>IF(IndividualLATest!$J$7=2014,(VLOOKUP($A25,Hshldprojections2014!$A$2:$AY$326,47,FALSE)-VLOOKUP($A25,Hshldprojections2014!$A$2:$AY$326,37,FALSE))/10,IF(IndividualLATest!$J$7=2016,(VLOOKUP($A25,Hshldprojections2016!$A$1:$AQ$322,37,FALSE)-VLOOKUP($A25,Hshldprojections2016!$A$1:$AQ$322,27,FALSE))/10,(VLOOKUP($A25,Hshldprojections2018!$A$1:$AQ$327,37,FALSE)-VLOOKUP($A25,Hshldprojections2018!$A$1:$AQ$327,27,FALSE))/10))</f>
        <v>110.2</v>
      </c>
      <c r="AI25" s="268">
        <f>IF(ISNUMBER('Sensitivity Tests'!$C$30),'Sensitivity Tests'!$C$30,VLOOKUP($A25,AffordabilityRatio!$A$2:$I$321,5,FALSE))</f>
        <v>4.6500000000000004</v>
      </c>
      <c r="AJ25" s="268">
        <f>IF(ISNUMBER('Sensitivity Tests'!$C$30),'Sensitivity Tests'!$C$30,VLOOKUP($A25,AffordabilityRatio!$A$2:$I$321,6,FALSE))</f>
        <v>4.53</v>
      </c>
      <c r="AK25" s="268">
        <f>IF(ISNUMBER('Sensitivity Tests'!$C$30),'Sensitivity Tests'!$C$30,VLOOKUP($A25,AffordabilityRatio!$A$2:$I$321,7,FALSE))</f>
        <v>4.45</v>
      </c>
      <c r="AL25" s="268">
        <f>IF(ISNUMBER('Sensitivity Tests'!$C$30),'Sensitivity Tests'!$C$30,IF((VLOOKUP($A25,AffordabilityRatio!$A$2:$I$321,8,FALSE))="",AK25,VLOOKUP($A25,AffordabilityRatio!$A$2:$I$321,8,FALSE)))</f>
        <v>4.75</v>
      </c>
      <c r="AM25" s="268">
        <f>IF(ISNUMBER('Sensitivity Tests'!$C$30),'Sensitivity Tests'!$C$30,IF((VLOOKUP($A25,AffordabilityRatio!$A$2:$I$321,9,FALSE))="",AL25,VLOOKUP($A25,AffordabilityRatio!$A$2:$I$321,9,FALSE)))</f>
        <v>4.34</v>
      </c>
      <c r="AN25" s="268">
        <f>IF(ISNUMBER('Sensitivity Tests'!$C$30),'Sensitivity Tests'!$C$30,IF((VLOOKUP($A25,AffordabilityRatio!$A$2:$I$321,9,FALSE))="",AM25,VLOOKUP($A25,AffordabilityRatio!$A$2:$I$321,9,FALSE)))</f>
        <v>4.34</v>
      </c>
      <c r="AO25" s="268">
        <f>IF(ISNUMBER('Sensitivity Tests'!$C$30),'Sensitivity Tests'!$C$30,IF((VLOOKUP($A25,AffordabilityRatio!$A$2:$I$321,9,FALSE))="",AN25,VLOOKUP($A25,AffordabilityRatio!$A$2:$I$321,9,FALSE)))</f>
        <v>4.34</v>
      </c>
      <c r="AP25" s="268">
        <f>IF(ISNUMBER('Sensitivity Tests'!$C$30),'Sensitivity Tests'!$C$30,IF((VLOOKUP($A25,AffordabilityRatio!$A$2:$I$321,9,FALSE))="",AO25,VLOOKUP($A25,AffordabilityRatio!$A$2:$I$321,9,FALSE)))</f>
        <v>4.34</v>
      </c>
      <c r="AQ25" s="267">
        <f t="shared" si="24"/>
        <v>108</v>
      </c>
      <c r="AR25" s="267">
        <f t="shared" si="24"/>
        <v>114</v>
      </c>
      <c r="AS25" s="267">
        <f t="shared" si="24"/>
        <v>121</v>
      </c>
      <c r="AT25" s="267">
        <f t="shared" si="24"/>
        <v>51</v>
      </c>
      <c r="AU25" s="267">
        <f t="shared" si="24"/>
        <v>64</v>
      </c>
      <c r="AV25" s="267">
        <f t="shared" si="24"/>
        <v>81</v>
      </c>
      <c r="AW25" s="267">
        <f t="shared" si="24"/>
        <v>96</v>
      </c>
      <c r="AX25" s="267">
        <f t="shared" si="24"/>
        <v>113</v>
      </c>
      <c r="AY25" s="267">
        <f t="shared" si="25"/>
        <v>108</v>
      </c>
      <c r="AZ25" s="267">
        <f t="shared" si="26"/>
        <v>114</v>
      </c>
      <c r="BA25" s="267">
        <f t="shared" si="27"/>
        <v>121</v>
      </c>
      <c r="BB25" s="267">
        <f t="shared" si="28"/>
        <v>51</v>
      </c>
      <c r="BC25" s="267">
        <f t="shared" si="29"/>
        <v>64</v>
      </c>
      <c r="BD25" s="267">
        <f t="shared" si="30"/>
        <v>81</v>
      </c>
      <c r="BE25" s="267">
        <f t="shared" si="31"/>
        <v>96</v>
      </c>
      <c r="BF25" s="267">
        <f t="shared" si="32"/>
        <v>113</v>
      </c>
      <c r="BG25" s="269">
        <f>AY25*VLOOKUP($B25,'Major Cities &amp; Towns'!$A$28:$B$345,2,FALSE)</f>
        <v>108</v>
      </c>
      <c r="BH25" s="269">
        <f>AZ25*VLOOKUP($B25,'Major Cities &amp; Towns'!$A$28:$B$345,2,FALSE)</f>
        <v>114</v>
      </c>
      <c r="BI25" s="269">
        <f>BA25*VLOOKUP($B25,'Major Cities &amp; Towns'!$A$28:$B$345,2,FALSE)</f>
        <v>121</v>
      </c>
      <c r="BJ25" s="269">
        <f>BB25*VLOOKUP($B25,'Major Cities &amp; Towns'!$A$28:$B$345,2,FALSE)</f>
        <v>51</v>
      </c>
      <c r="BK25" s="269">
        <f>BC25*VLOOKUP($B25,'Major Cities &amp; Towns'!$A$28:$B$345,2,FALSE)</f>
        <v>64</v>
      </c>
      <c r="BL25" s="269">
        <f>BD25*VLOOKUP($B25,'Major Cities &amp; Towns'!$A$28:$B$345,2,FALSE)</f>
        <v>81</v>
      </c>
      <c r="BM25" s="269">
        <f>BE25*VLOOKUP($B25,'Major Cities &amp; Towns'!$A$28:$B$345,2,FALSE)</f>
        <v>96</v>
      </c>
      <c r="BN25" s="269">
        <f>BF25*VLOOKUP($B25,'Major Cities &amp; Towns'!$A$28:$B$345,2,FALSE)</f>
        <v>113</v>
      </c>
      <c r="BO25" s="270">
        <f t="shared" si="33"/>
        <v>108</v>
      </c>
      <c r="BP25" s="270">
        <f t="shared" si="34"/>
        <v>114</v>
      </c>
      <c r="BQ25" s="270">
        <f t="shared" si="34"/>
        <v>121</v>
      </c>
      <c r="BR25" s="270">
        <f t="shared" si="34"/>
        <v>51</v>
      </c>
      <c r="BS25" s="270">
        <f t="shared" si="34"/>
        <v>64</v>
      </c>
      <c r="BT25" s="270">
        <f t="shared" si="34"/>
        <v>81</v>
      </c>
      <c r="BU25" s="270">
        <f t="shared" si="34"/>
        <v>96</v>
      </c>
      <c r="BV25" s="270">
        <f t="shared" si="34"/>
        <v>113</v>
      </c>
      <c r="BW25" s="39">
        <f>VLOOKUP($A25,NetAdditions!$A$2:$H$336,6,FALSE)</f>
        <v>368</v>
      </c>
      <c r="BX25" s="39">
        <f>VLOOKUP($A25,NetAdditions!$A$2:$H$336,7,FALSE)</f>
        <v>335</v>
      </c>
      <c r="BY25" s="39">
        <f>IF((VLOOKUP($C25,NetAdditions!$A$2:$H$336,8,FALSE))="",(AVERAGE(VLOOKUP($C25,NetAdditions!$A$2:$H$336,5,FALSE),VLOOKUP($C25,NetAdditions!$A$2:$H$336,6,FALSE),VLOOKUP($C25,NetAdditions!$A$2:$H$336,7,FALSE))),VLOOKUP($C25,NetAdditions!$A$2:$H$336,8,FALSE))</f>
        <v>161</v>
      </c>
      <c r="BZ25" s="39">
        <f t="shared" si="35"/>
        <v>288</v>
      </c>
      <c r="CA25" s="39">
        <f t="shared" si="35"/>
        <v>261.33333333333331</v>
      </c>
      <c r="CB25" s="39">
        <f t="shared" si="35"/>
        <v>236.77777777777774</v>
      </c>
      <c r="CC25" s="39">
        <f t="shared" si="35"/>
        <v>262.03703703703701</v>
      </c>
      <c r="CD25" s="39">
        <f t="shared" si="35"/>
        <v>253.38271604938268</v>
      </c>
      <c r="CE25" s="276">
        <f t="shared" si="5"/>
        <v>343</v>
      </c>
      <c r="CF25" s="276">
        <f t="shared" si="6"/>
        <v>286</v>
      </c>
      <c r="CG25" s="276">
        <f t="shared" si="7"/>
        <v>236</v>
      </c>
      <c r="CH25" s="276">
        <f t="shared" si="8"/>
        <v>196</v>
      </c>
      <c r="CI25" s="276">
        <f t="shared" si="9"/>
        <v>241</v>
      </c>
      <c r="CJ25" s="276">
        <f t="shared" si="10"/>
        <v>290</v>
      </c>
      <c r="CK25" s="276">
        <f t="shared" si="36"/>
        <v>295.36111111111114</v>
      </c>
      <c r="CL25" s="276">
        <f t="shared" si="37"/>
        <v>246.2777777777778</v>
      </c>
      <c r="CM25" s="276">
        <f t="shared" si="38"/>
        <v>216.33333333333331</v>
      </c>
      <c r="CN25" s="276">
        <f t="shared" si="39"/>
        <v>196</v>
      </c>
      <c r="CO25" s="276">
        <f t="shared" si="39"/>
        <v>241</v>
      </c>
      <c r="CP25" s="276">
        <f t="shared" si="11"/>
        <v>290</v>
      </c>
      <c r="CQ25" s="39">
        <f t="shared" si="12"/>
        <v>864</v>
      </c>
      <c r="CR25" s="39">
        <f t="shared" si="13"/>
        <v>784</v>
      </c>
      <c r="CS25" s="277">
        <f t="shared" si="14"/>
        <v>710.33333333333326</v>
      </c>
      <c r="CT25" s="39">
        <f t="shared" si="15"/>
        <v>786.11111111111097</v>
      </c>
      <c r="CU25" s="39">
        <f t="shared" si="16"/>
        <v>760.14814814814804</v>
      </c>
      <c r="CV25" s="39">
        <f t="shared" si="17"/>
        <v>752.19753086419746</v>
      </c>
      <c r="CW25" s="297">
        <f t="shared" si="18"/>
        <v>2.9252327659174266</v>
      </c>
      <c r="CX25" s="279" t="str">
        <f t="shared" si="40"/>
        <v>Pass</v>
      </c>
      <c r="CY25" s="278">
        <f t="shared" si="19"/>
        <v>3.1833972479133767</v>
      </c>
      <c r="CZ25" s="279" t="str">
        <f t="shared" si="41"/>
        <v>Pass</v>
      </c>
      <c r="DA25" s="278">
        <f t="shared" si="20"/>
        <v>3.2835130970724191</v>
      </c>
      <c r="DB25" s="292" t="str">
        <f t="shared" si="42"/>
        <v>Pass</v>
      </c>
      <c r="DC25" s="299">
        <f t="shared" si="43"/>
        <v>4.0107709750566887</v>
      </c>
      <c r="DD25" s="293" t="str">
        <f t="shared" si="44"/>
        <v>Pass</v>
      </c>
      <c r="DE25" s="299">
        <f t="shared" si="45"/>
        <v>3.1541416935607804</v>
      </c>
      <c r="DF25" s="293" t="str">
        <f t="shared" si="46"/>
        <v>Pass</v>
      </c>
      <c r="DG25" s="299">
        <f t="shared" si="47"/>
        <v>2.5937845891868876</v>
      </c>
      <c r="DH25" s="293" t="str">
        <f t="shared" si="48"/>
        <v>Pass</v>
      </c>
    </row>
    <row r="26" spans="1:112" ht="15" thickTop="1" thickBot="1">
      <c r="A26" s="38" t="s">
        <v>161</v>
      </c>
      <c r="B26" s="38" t="s">
        <v>162</v>
      </c>
      <c r="C26" s="38" t="s">
        <v>161</v>
      </c>
      <c r="D26" s="38" t="s">
        <v>119</v>
      </c>
      <c r="E26" s="38" t="str">
        <f>VLOOKUP(C26,PoliticalControl!A:K,11,FALSE)</f>
        <v>LAB</v>
      </c>
      <c r="F26" s="38" t="str">
        <f>VLOOKUP(C26,UrbanRuralClassification!A:N,13,FALSE)</f>
        <v>Urban with Significant Rural (rural including hub towns 26-49%)</v>
      </c>
      <c r="G26" s="38" t="str">
        <f>VLOOKUP(C26,UrbanRuralClassification!A:N,14,FALSE)</f>
        <v>Urban with Significant Rural</v>
      </c>
      <c r="H26" s="258">
        <f>IF(ISBLANK((VLOOKUP($A26,'local-plan-data'!$C$1:$AD$566,27,FALSE)))=TRUE,"",VLOOKUP($A26,'local-plan-data'!$C$1:$AD$566,27,FALSE))</f>
        <v>43894</v>
      </c>
      <c r="I26" s="259">
        <f>VLOOKUP($A26,'local-plan-data'!$C$1:$AD$566,28,FALSE)</f>
        <v>272</v>
      </c>
      <c r="J26" s="260">
        <f t="shared" si="21"/>
        <v>272</v>
      </c>
      <c r="K26" s="259">
        <f t="shared" si="22"/>
        <v>272</v>
      </c>
      <c r="L26" s="259">
        <f t="shared" si="22"/>
        <v>272</v>
      </c>
      <c r="M26" s="259">
        <f t="shared" si="22"/>
        <v>272</v>
      </c>
      <c r="N26" s="259">
        <f t="shared" si="22"/>
        <v>272</v>
      </c>
      <c r="O26" s="259">
        <f t="shared" si="22"/>
        <v>272</v>
      </c>
      <c r="P26" s="259">
        <f t="shared" si="22"/>
        <v>272</v>
      </c>
      <c r="Q26" s="259">
        <f t="shared" si="22"/>
        <v>272</v>
      </c>
      <c r="R26" s="259" t="str">
        <f t="shared" si="22"/>
        <v>-</v>
      </c>
      <c r="S26" s="259">
        <f t="shared" si="23"/>
        <v>2529</v>
      </c>
      <c r="T26" s="259">
        <f t="shared" si="23"/>
        <v>2164</v>
      </c>
      <c r="U26" s="259">
        <f t="shared" si="23"/>
        <v>1798</v>
      </c>
      <c r="V26" s="259">
        <f t="shared" si="23"/>
        <v>1433</v>
      </c>
      <c r="W26" s="259">
        <f t="shared" si="23"/>
        <v>1068</v>
      </c>
      <c r="X26" s="259">
        <f t="shared" si="23"/>
        <v>703</v>
      </c>
      <c r="Y26" s="259">
        <f t="shared" si="23"/>
        <v>337</v>
      </c>
      <c r="Z26" s="259">
        <f t="shared" si="23"/>
        <v>-28</v>
      </c>
      <c r="AA26" s="267">
        <f>(VLOOKUP(A26,Hshldprojections2014!$A$2:$AW$319,40, FALSE)-VLOOKUP(A26,Hshldprojections2014!$A$2:$AW$319,30, FALSE))/10</f>
        <v>218.9</v>
      </c>
      <c r="AB26" s="267">
        <f>(VLOOKUP(A26,Hshldprojections2014!$A$2:$AW$319,41, FALSE)-VLOOKUP(A26,Hshldprojections2014!$A$2:$AW$319,31, FALSE))/10</f>
        <v>211.4</v>
      </c>
      <c r="AC26" s="267">
        <f>(VLOOKUP(A26,Hshldprojections2014!$A$2:$AW$319,42, FALSE)-VLOOKUP(A26,Hshldprojections2014!$A$2:$AW$319,32, FALSE))/10</f>
        <v>204</v>
      </c>
      <c r="AD26" s="267">
        <f>IF(IndividualLATest!$J$7=2014,(VLOOKUP($A26,Hshldprojections2014!$A$2:$AY$326,43,FALSE)-VLOOKUP($A26,Hshldprojections2014!$A$2:$AY$326,33,FALSE))/10,IF(IndividualLATest!$J$7=2016,(VLOOKUP($A26,Hshldprojections2016!$A$1:$AQ$322,33,FALSE)-VLOOKUP($A26,Hshldprojections2016!$A$1:$AQ$322,23,FALSE))/10,(VLOOKUP($A26,Hshldprojections2018!$A$1:$AQ$327,33,FALSE)-VLOOKUP($A26,Hshldprojections2018!$A$1:$AQ$327,23,FALSE))/10))</f>
        <v>321.39999999999998</v>
      </c>
      <c r="AE26" s="267">
        <f>IF(IndividualLATest!$J$7=2014,(VLOOKUP($A26,Hshldprojections2014!$A$2:$AY$326,44,FALSE)-VLOOKUP($A26,Hshldprojections2014!$A$2:$AY$326,34,FALSE))/10,IF(IndividualLATest!$J$7=2016,(VLOOKUP($A26,Hshldprojections2016!$A$1:$AQ$322,34,FALSE)-VLOOKUP($A26,Hshldprojections2016!$A$1:$AQ$322,24,FALSE))/10,(VLOOKUP($A26,Hshldprojections2018!$A$1:$AQ$327,34,FALSE)-VLOOKUP($A26,Hshldprojections2018!$A$1:$AQ$327,24,FALSE))/10))</f>
        <v>313.7</v>
      </c>
      <c r="AF26" s="267">
        <f>IF(IndividualLATest!$J$7=2014,(VLOOKUP($A26,Hshldprojections2014!$A$2:$AY$326,45,FALSE)-VLOOKUP($A26,Hshldprojections2014!$A$2:$AY$326,35,FALSE))/10,IF(IndividualLATest!$J$7=2016,(VLOOKUP($A26,Hshldprojections2016!$A$1:$AQ$322,35,FALSE)-VLOOKUP($A26,Hshldprojections2016!$A$1:$AQ$322,25,FALSE))/10,(VLOOKUP($A26,Hshldprojections2018!$A$1:$AQ$327,35,FALSE)-VLOOKUP($A26,Hshldprojections2018!$A$1:$AQ$327,25,FALSE))/10))</f>
        <v>307.8</v>
      </c>
      <c r="AG26" s="267">
        <f>IF(IndividualLATest!$J$7=2014,(VLOOKUP($A26,Hshldprojections2014!$A$2:$AY$326,46,FALSE)-VLOOKUP($A26,Hshldprojections2014!$A$2:$AY$326,36,FALSE))/10,IF(IndividualLATest!$J$7=2016,(VLOOKUP($A26,Hshldprojections2016!$A$1:$AQ$322,36,FALSE)-VLOOKUP($A26,Hshldprojections2016!$A$1:$AQ$322,26,FALSE))/10,(VLOOKUP($A26,Hshldprojections2018!$A$1:$AQ$327,36,FALSE)-VLOOKUP($A26,Hshldprojections2018!$A$1:$AQ$327,26,FALSE))/10))</f>
        <v>300.8</v>
      </c>
      <c r="AH26" s="267">
        <f>IF(IndividualLATest!$J$7=2014,(VLOOKUP($A26,Hshldprojections2014!$A$2:$AY$326,47,FALSE)-VLOOKUP($A26,Hshldprojections2014!$A$2:$AY$326,37,FALSE))/10,IF(IndividualLATest!$J$7=2016,(VLOOKUP($A26,Hshldprojections2016!$A$1:$AQ$322,37,FALSE)-VLOOKUP($A26,Hshldprojections2016!$A$1:$AQ$322,27,FALSE))/10,(VLOOKUP($A26,Hshldprojections2018!$A$1:$AQ$327,37,FALSE)-VLOOKUP($A26,Hshldprojections2018!$A$1:$AQ$327,27,FALSE))/10))</f>
        <v>296.10000000000002</v>
      </c>
      <c r="AI26" s="268">
        <f>IF(ISNUMBER('Sensitivity Tests'!$C$30),'Sensitivity Tests'!$C$30,VLOOKUP($A26,AffordabilityRatio!$A$2:$I$321,5,FALSE))</f>
        <v>5.59</v>
      </c>
      <c r="AJ26" s="268">
        <f>IF(ISNUMBER('Sensitivity Tests'!$C$30),'Sensitivity Tests'!$C$30,VLOOKUP($A26,AffordabilityRatio!$A$2:$I$321,6,FALSE))</f>
        <v>5.4</v>
      </c>
      <c r="AK26" s="268">
        <f>IF(ISNUMBER('Sensitivity Tests'!$C$30),'Sensitivity Tests'!$C$30,VLOOKUP($A26,AffordabilityRatio!$A$2:$I$321,7,FALSE))</f>
        <v>5.57</v>
      </c>
      <c r="AL26" s="268">
        <f>IF(ISNUMBER('Sensitivity Tests'!$C$30),'Sensitivity Tests'!$C$30,IF((VLOOKUP($A26,AffordabilityRatio!$A$2:$I$321,8,FALSE))="",AK26,VLOOKUP($A26,AffordabilityRatio!$A$2:$I$321,8,FALSE)))</f>
        <v>4.95</v>
      </c>
      <c r="AM26" s="268">
        <f>IF(ISNUMBER('Sensitivity Tests'!$C$30),'Sensitivity Tests'!$C$30,IF((VLOOKUP($A26,AffordabilityRatio!$A$2:$I$321,9,FALSE))="",AL26,VLOOKUP($A26,AffordabilityRatio!$A$2:$I$321,9,FALSE)))</f>
        <v>6.07</v>
      </c>
      <c r="AN26" s="268">
        <f>IF(ISNUMBER('Sensitivity Tests'!$C$30),'Sensitivity Tests'!$C$30,IF((VLOOKUP($A26,AffordabilityRatio!$A$2:$I$321,9,FALSE))="",AM26,VLOOKUP($A26,AffordabilityRatio!$A$2:$I$321,9,FALSE)))</f>
        <v>6.07</v>
      </c>
      <c r="AO26" s="268">
        <f>IF(ISNUMBER('Sensitivity Tests'!$C$30),'Sensitivity Tests'!$C$30,IF((VLOOKUP($A26,AffordabilityRatio!$A$2:$I$321,9,FALSE))="",AN26,VLOOKUP($A26,AffordabilityRatio!$A$2:$I$321,9,FALSE)))</f>
        <v>6.07</v>
      </c>
      <c r="AP26" s="268">
        <f>IF(ISNUMBER('Sensitivity Tests'!$C$30),'Sensitivity Tests'!$C$30,IF((VLOOKUP($A26,AffordabilityRatio!$A$2:$I$321,9,FALSE))="",AO26,VLOOKUP($A26,AffordabilityRatio!$A$2:$I$321,9,FALSE)))</f>
        <v>6.07</v>
      </c>
      <c r="AQ26" s="267">
        <f t="shared" si="24"/>
        <v>241</v>
      </c>
      <c r="AR26" s="267">
        <f t="shared" si="24"/>
        <v>230</v>
      </c>
      <c r="AS26" s="267">
        <f t="shared" si="24"/>
        <v>224</v>
      </c>
      <c r="AT26" s="267">
        <f t="shared" si="24"/>
        <v>340</v>
      </c>
      <c r="AU26" s="267">
        <f t="shared" si="24"/>
        <v>354</v>
      </c>
      <c r="AV26" s="267">
        <f t="shared" si="24"/>
        <v>348</v>
      </c>
      <c r="AW26" s="267">
        <f t="shared" si="24"/>
        <v>340</v>
      </c>
      <c r="AX26" s="267">
        <f t="shared" si="24"/>
        <v>334</v>
      </c>
      <c r="AY26" s="267">
        <f t="shared" si="25"/>
        <v>241</v>
      </c>
      <c r="AZ26" s="267">
        <f t="shared" si="26"/>
        <v>230</v>
      </c>
      <c r="BA26" s="267">
        <f t="shared" si="27"/>
        <v>224</v>
      </c>
      <c r="BB26" s="267">
        <f t="shared" si="28"/>
        <v>340</v>
      </c>
      <c r="BC26" s="267">
        <f t="shared" si="29"/>
        <v>354</v>
      </c>
      <c r="BD26" s="267">
        <f t="shared" si="30"/>
        <v>348</v>
      </c>
      <c r="BE26" s="267">
        <f t="shared" si="31"/>
        <v>340</v>
      </c>
      <c r="BF26" s="267">
        <f t="shared" si="32"/>
        <v>334</v>
      </c>
      <c r="BG26" s="269">
        <f>AY26*VLOOKUP($B26,'Major Cities &amp; Towns'!$A$28:$B$345,2,FALSE)</f>
        <v>241</v>
      </c>
      <c r="BH26" s="269">
        <f>AZ26*VLOOKUP($B26,'Major Cities &amp; Towns'!$A$28:$B$345,2,FALSE)</f>
        <v>230</v>
      </c>
      <c r="BI26" s="269">
        <f>BA26*VLOOKUP($B26,'Major Cities &amp; Towns'!$A$28:$B$345,2,FALSE)</f>
        <v>224</v>
      </c>
      <c r="BJ26" s="269">
        <f>BB26*VLOOKUP($B26,'Major Cities &amp; Towns'!$A$28:$B$345,2,FALSE)</f>
        <v>340</v>
      </c>
      <c r="BK26" s="269">
        <f>BC26*VLOOKUP($B26,'Major Cities &amp; Towns'!$A$28:$B$345,2,FALSE)</f>
        <v>354</v>
      </c>
      <c r="BL26" s="269">
        <f>BD26*VLOOKUP($B26,'Major Cities &amp; Towns'!$A$28:$B$345,2,FALSE)</f>
        <v>348</v>
      </c>
      <c r="BM26" s="269">
        <f>BE26*VLOOKUP($B26,'Major Cities &amp; Towns'!$A$28:$B$345,2,FALSE)</f>
        <v>340</v>
      </c>
      <c r="BN26" s="269">
        <f>BF26*VLOOKUP($B26,'Major Cities &amp; Towns'!$A$28:$B$345,2,FALSE)</f>
        <v>334</v>
      </c>
      <c r="BO26" s="270">
        <f t="shared" si="33"/>
        <v>241</v>
      </c>
      <c r="BP26" s="270">
        <f t="shared" si="34"/>
        <v>230</v>
      </c>
      <c r="BQ26" s="270">
        <f t="shared" si="34"/>
        <v>224</v>
      </c>
      <c r="BR26" s="270">
        <f t="shared" si="34"/>
        <v>272</v>
      </c>
      <c r="BS26" s="270">
        <f t="shared" si="34"/>
        <v>272</v>
      </c>
      <c r="BT26" s="270">
        <f t="shared" si="34"/>
        <v>272</v>
      </c>
      <c r="BU26" s="270">
        <f t="shared" si="34"/>
        <v>277.21643835616442</v>
      </c>
      <c r="BV26" s="270">
        <f t="shared" si="34"/>
        <v>334</v>
      </c>
      <c r="BW26" s="39">
        <f>VLOOKUP($A26,NetAdditions!$A$2:$H$336,6,FALSE)</f>
        <v>291</v>
      </c>
      <c r="BX26" s="39">
        <f>VLOOKUP($A26,NetAdditions!$A$2:$H$336,7,FALSE)</f>
        <v>439</v>
      </c>
      <c r="BY26" s="39">
        <f>IF((VLOOKUP($C26,NetAdditions!$A$2:$H$336,8,FALSE))="",(AVERAGE(VLOOKUP($C26,NetAdditions!$A$2:$H$336,5,FALSE),VLOOKUP($C26,NetAdditions!$A$2:$H$336,6,FALSE),VLOOKUP($C26,NetAdditions!$A$2:$H$336,7,FALSE))),VLOOKUP($C26,NetAdditions!$A$2:$H$336,8,FALSE))</f>
        <v>446</v>
      </c>
      <c r="BZ26" s="39">
        <f t="shared" si="35"/>
        <v>392</v>
      </c>
      <c r="CA26" s="39">
        <f t="shared" si="35"/>
        <v>425.66666666666669</v>
      </c>
      <c r="CB26" s="39">
        <f t="shared" si="35"/>
        <v>421.22222222222223</v>
      </c>
      <c r="CC26" s="39">
        <f t="shared" si="35"/>
        <v>412.96296296296299</v>
      </c>
      <c r="CD26" s="39">
        <f t="shared" si="35"/>
        <v>419.95061728395063</v>
      </c>
      <c r="CE26" s="276">
        <f t="shared" si="5"/>
        <v>695</v>
      </c>
      <c r="CF26" s="276">
        <f t="shared" si="6"/>
        <v>726</v>
      </c>
      <c r="CG26" s="276">
        <f t="shared" si="7"/>
        <v>768</v>
      </c>
      <c r="CH26" s="276">
        <f t="shared" si="8"/>
        <v>816</v>
      </c>
      <c r="CI26" s="276">
        <f t="shared" si="9"/>
        <v>821.21643835616442</v>
      </c>
      <c r="CJ26" s="276">
        <f t="shared" si="10"/>
        <v>883.21643835616442</v>
      </c>
      <c r="CK26" s="276">
        <f t="shared" si="36"/>
        <v>598.47222222222229</v>
      </c>
      <c r="CL26" s="276">
        <f t="shared" si="37"/>
        <v>625.16666666666674</v>
      </c>
      <c r="CM26" s="276">
        <f t="shared" si="38"/>
        <v>704</v>
      </c>
      <c r="CN26" s="276">
        <f t="shared" si="39"/>
        <v>816</v>
      </c>
      <c r="CO26" s="276">
        <f t="shared" si="39"/>
        <v>821.21643835616442</v>
      </c>
      <c r="CP26" s="276">
        <f t="shared" si="11"/>
        <v>883.21643835616442</v>
      </c>
      <c r="CQ26" s="39">
        <f t="shared" si="12"/>
        <v>1176</v>
      </c>
      <c r="CR26" s="39">
        <f t="shared" si="13"/>
        <v>1277</v>
      </c>
      <c r="CS26" s="277">
        <f t="shared" si="14"/>
        <v>1263.6666666666667</v>
      </c>
      <c r="CT26" s="39">
        <f t="shared" si="15"/>
        <v>1238.8888888888889</v>
      </c>
      <c r="CU26" s="39">
        <f t="shared" si="16"/>
        <v>1259.851851851852</v>
      </c>
      <c r="CV26" s="39">
        <f t="shared" si="17"/>
        <v>1254.1358024691358</v>
      </c>
      <c r="CW26" s="297">
        <f t="shared" si="18"/>
        <v>1.9650034810860986</v>
      </c>
      <c r="CX26" s="279" t="str">
        <f t="shared" si="40"/>
        <v>Pass</v>
      </c>
      <c r="CY26" s="278">
        <f t="shared" si="19"/>
        <v>2.0426552919221539</v>
      </c>
      <c r="CZ26" s="279" t="str">
        <f t="shared" si="41"/>
        <v>Pass</v>
      </c>
      <c r="DA26" s="278">
        <f t="shared" si="20"/>
        <v>1.7949810606060608</v>
      </c>
      <c r="DB26" s="292" t="str">
        <f t="shared" si="42"/>
        <v>Pass</v>
      </c>
      <c r="DC26" s="299">
        <f t="shared" si="43"/>
        <v>1.5182461873638344</v>
      </c>
      <c r="DD26" s="293" t="str">
        <f t="shared" si="44"/>
        <v>Pass</v>
      </c>
      <c r="DE26" s="299">
        <f t="shared" si="45"/>
        <v>1.5341288763942762</v>
      </c>
      <c r="DF26" s="293" t="str">
        <f t="shared" si="46"/>
        <v>Pass</v>
      </c>
      <c r="DG26" s="299">
        <f t="shared" si="47"/>
        <v>1.4199642896177562</v>
      </c>
      <c r="DH26" s="293" t="str">
        <f t="shared" si="48"/>
        <v>Pass</v>
      </c>
    </row>
    <row r="27" spans="1:112" ht="15" thickTop="1" thickBot="1">
      <c r="A27" s="38" t="s">
        <v>163</v>
      </c>
      <c r="B27" s="38" t="s">
        <v>164</v>
      </c>
      <c r="C27" s="38" t="s">
        <v>163</v>
      </c>
      <c r="D27" s="38" t="s">
        <v>116</v>
      </c>
      <c r="E27" s="38" t="str">
        <f>VLOOKUP(C27,PoliticalControl!A:K,11,FALSE)</f>
        <v>NOC</v>
      </c>
      <c r="F27" s="38" t="str">
        <f>VLOOKUP(C27,UrbanRuralClassification!A:N,13,FALSE)</f>
        <v>Urban with Major Conurbation</v>
      </c>
      <c r="G27" s="38" t="str">
        <f>VLOOKUP(C27,UrbanRuralClassification!A:N,14,FALSE)</f>
        <v>Predominantly Urban</v>
      </c>
      <c r="H27" s="258">
        <f>IF(ISBLANK((VLOOKUP($A27,'local-plan-data'!$C$1:$AD$566,27,FALSE)))=TRUE,"",VLOOKUP($A27,'local-plan-data'!$C$1:$AD$566,27,FALSE))</f>
        <v>40604</v>
      </c>
      <c r="I27" s="259">
        <f>VLOOKUP($A27,'local-plan-data'!$C$1:$AD$566,28,FALSE)</f>
        <v>694</v>
      </c>
      <c r="J27" s="260">
        <f t="shared" si="21"/>
        <v>694</v>
      </c>
      <c r="K27" s="259" t="str">
        <f t="shared" si="22"/>
        <v>-</v>
      </c>
      <c r="L27" s="259" t="str">
        <f t="shared" si="22"/>
        <v>-</v>
      </c>
      <c r="M27" s="259" t="str">
        <f t="shared" si="22"/>
        <v>-</v>
      </c>
      <c r="N27" s="259" t="str">
        <f t="shared" si="22"/>
        <v>-</v>
      </c>
      <c r="O27" s="259" t="str">
        <f t="shared" si="22"/>
        <v>-</v>
      </c>
      <c r="P27" s="259" t="str">
        <f t="shared" si="22"/>
        <v>-</v>
      </c>
      <c r="Q27" s="259" t="str">
        <f t="shared" si="22"/>
        <v>-</v>
      </c>
      <c r="R27" s="259" t="str">
        <f t="shared" si="22"/>
        <v>-</v>
      </c>
      <c r="S27" s="259">
        <f t="shared" si="23"/>
        <v>-760</v>
      </c>
      <c r="T27" s="259">
        <f t="shared" si="23"/>
        <v>-1125</v>
      </c>
      <c r="U27" s="259">
        <f t="shared" si="23"/>
        <v>-1491</v>
      </c>
      <c r="V27" s="259">
        <f t="shared" si="23"/>
        <v>-1856</v>
      </c>
      <c r="W27" s="259">
        <f t="shared" si="23"/>
        <v>-2221</v>
      </c>
      <c r="X27" s="259">
        <f t="shared" si="23"/>
        <v>-2586</v>
      </c>
      <c r="Y27" s="259">
        <f t="shared" si="23"/>
        <v>-2952</v>
      </c>
      <c r="Z27" s="259">
        <f t="shared" si="23"/>
        <v>-3317</v>
      </c>
      <c r="AA27" s="267">
        <f>(VLOOKUP(A27,Hshldprojections2014!$A$2:$AW$319,40, FALSE)-VLOOKUP(A27,Hshldprojections2014!$A$2:$AW$319,30, FALSE))/10</f>
        <v>734.1</v>
      </c>
      <c r="AB27" s="267">
        <f>(VLOOKUP(A27,Hshldprojections2014!$A$2:$AW$319,41, FALSE)-VLOOKUP(A27,Hshldprojections2014!$A$2:$AW$319,31, FALSE))/10</f>
        <v>725.1</v>
      </c>
      <c r="AC27" s="267">
        <f>(VLOOKUP(A27,Hshldprojections2014!$A$2:$AW$319,42, FALSE)-VLOOKUP(A27,Hshldprojections2014!$A$2:$AW$319,32, FALSE))/10</f>
        <v>716.8</v>
      </c>
      <c r="AD27" s="267">
        <f>IF(IndividualLATest!$J$7=2014,(VLOOKUP($A27,Hshldprojections2014!$A$2:$AY$326,43,FALSE)-VLOOKUP($A27,Hshldprojections2014!$A$2:$AY$326,33,FALSE))/10,IF(IndividualLATest!$J$7=2016,(VLOOKUP($A27,Hshldprojections2016!$A$1:$AQ$322,33,FALSE)-VLOOKUP($A27,Hshldprojections2016!$A$1:$AQ$322,23,FALSE))/10,(VLOOKUP($A27,Hshldprojections2018!$A$1:$AQ$327,33,FALSE)-VLOOKUP($A27,Hshldprojections2018!$A$1:$AQ$327,23,FALSE))/10))</f>
        <v>429.2</v>
      </c>
      <c r="AE27" s="267">
        <f>IF(IndividualLATest!$J$7=2014,(VLOOKUP($A27,Hshldprojections2014!$A$2:$AY$326,44,FALSE)-VLOOKUP($A27,Hshldprojections2014!$A$2:$AY$326,34,FALSE))/10,IF(IndividualLATest!$J$7=2016,(VLOOKUP($A27,Hshldprojections2016!$A$1:$AQ$322,34,FALSE)-VLOOKUP($A27,Hshldprojections2016!$A$1:$AQ$322,24,FALSE))/10,(VLOOKUP($A27,Hshldprojections2018!$A$1:$AQ$327,34,FALSE)-VLOOKUP($A27,Hshldprojections2018!$A$1:$AQ$327,24,FALSE))/10))</f>
        <v>426</v>
      </c>
      <c r="AF27" s="267">
        <f>IF(IndividualLATest!$J$7=2014,(VLOOKUP($A27,Hshldprojections2014!$A$2:$AY$326,45,FALSE)-VLOOKUP($A27,Hshldprojections2014!$A$2:$AY$326,35,FALSE))/10,IF(IndividualLATest!$J$7=2016,(VLOOKUP($A27,Hshldprojections2016!$A$1:$AQ$322,35,FALSE)-VLOOKUP($A27,Hshldprojections2016!$A$1:$AQ$322,25,FALSE))/10,(VLOOKUP($A27,Hshldprojections2018!$A$1:$AQ$327,35,FALSE)-VLOOKUP($A27,Hshldprojections2018!$A$1:$AQ$327,25,FALSE))/10))</f>
        <v>421.6</v>
      </c>
      <c r="AG27" s="267">
        <f>IF(IndividualLATest!$J$7=2014,(VLOOKUP($A27,Hshldprojections2014!$A$2:$AY$326,46,FALSE)-VLOOKUP($A27,Hshldprojections2014!$A$2:$AY$326,36,FALSE))/10,IF(IndividualLATest!$J$7=2016,(VLOOKUP($A27,Hshldprojections2016!$A$1:$AQ$322,36,FALSE)-VLOOKUP($A27,Hshldprojections2016!$A$1:$AQ$322,26,FALSE))/10,(VLOOKUP($A27,Hshldprojections2018!$A$1:$AQ$327,36,FALSE)-VLOOKUP($A27,Hshldprojections2018!$A$1:$AQ$327,26,FALSE))/10))</f>
        <v>422</v>
      </c>
      <c r="AH27" s="267">
        <f>IF(IndividualLATest!$J$7=2014,(VLOOKUP($A27,Hshldprojections2014!$A$2:$AY$326,47,FALSE)-VLOOKUP($A27,Hshldprojections2014!$A$2:$AY$326,37,FALSE))/10,IF(IndividualLATest!$J$7=2016,(VLOOKUP($A27,Hshldprojections2016!$A$1:$AQ$322,37,FALSE)-VLOOKUP($A27,Hshldprojections2016!$A$1:$AQ$322,27,FALSE))/10,(VLOOKUP($A27,Hshldprojections2018!$A$1:$AQ$327,37,FALSE)-VLOOKUP($A27,Hshldprojections2018!$A$1:$AQ$327,27,FALSE))/10))</f>
        <v>428.3</v>
      </c>
      <c r="AI27" s="268">
        <f>IF(ISNUMBER('Sensitivity Tests'!$C$30),'Sensitivity Tests'!$C$30,VLOOKUP($A27,AffordabilityRatio!$A$2:$I$321,5,FALSE))</f>
        <v>5.26</v>
      </c>
      <c r="AJ27" s="268">
        <f>IF(ISNUMBER('Sensitivity Tests'!$C$30),'Sensitivity Tests'!$C$30,VLOOKUP($A27,AffordabilityRatio!$A$2:$I$321,6,FALSE))</f>
        <v>5.35</v>
      </c>
      <c r="AK27" s="268">
        <f>IF(ISNUMBER('Sensitivity Tests'!$C$30),'Sensitivity Tests'!$C$30,VLOOKUP($A27,AffordabilityRatio!$A$2:$I$321,7,FALSE))</f>
        <v>5.34</v>
      </c>
      <c r="AL27" s="268">
        <f>IF(ISNUMBER('Sensitivity Tests'!$C$30),'Sensitivity Tests'!$C$30,IF((VLOOKUP($A27,AffordabilityRatio!$A$2:$I$321,8,FALSE))="",AK27,VLOOKUP($A27,AffordabilityRatio!$A$2:$I$321,8,FALSE)))</f>
        <v>5.62</v>
      </c>
      <c r="AM27" s="268">
        <f>IF(ISNUMBER('Sensitivity Tests'!$C$30),'Sensitivity Tests'!$C$30,IF((VLOOKUP($A27,AffordabilityRatio!$A$2:$I$321,9,FALSE))="",AL27,VLOOKUP($A27,AffordabilityRatio!$A$2:$I$321,9,FALSE)))</f>
        <v>6.02</v>
      </c>
      <c r="AN27" s="268">
        <f>IF(ISNUMBER('Sensitivity Tests'!$C$30),'Sensitivity Tests'!$C$30,IF((VLOOKUP($A27,AffordabilityRatio!$A$2:$I$321,9,FALSE))="",AM27,VLOOKUP($A27,AffordabilityRatio!$A$2:$I$321,9,FALSE)))</f>
        <v>6.02</v>
      </c>
      <c r="AO27" s="268">
        <f>IF(ISNUMBER('Sensitivity Tests'!$C$30),'Sensitivity Tests'!$C$30,IF((VLOOKUP($A27,AffordabilityRatio!$A$2:$I$321,9,FALSE))="",AN27,VLOOKUP($A27,AffordabilityRatio!$A$2:$I$321,9,FALSE)))</f>
        <v>6.02</v>
      </c>
      <c r="AP27" s="268">
        <f>IF(ISNUMBER('Sensitivity Tests'!$C$30),'Sensitivity Tests'!$C$30,IF((VLOOKUP($A27,AffordabilityRatio!$A$2:$I$321,9,FALSE))="",AO27,VLOOKUP($A27,AffordabilityRatio!$A$2:$I$321,9,FALSE)))</f>
        <v>6.02</v>
      </c>
      <c r="AQ27" s="267">
        <f t="shared" si="24"/>
        <v>792</v>
      </c>
      <c r="AR27" s="267">
        <f t="shared" si="24"/>
        <v>786</v>
      </c>
      <c r="AS27" s="267">
        <f t="shared" si="24"/>
        <v>777</v>
      </c>
      <c r="AT27" s="267">
        <f t="shared" si="24"/>
        <v>473</v>
      </c>
      <c r="AU27" s="267">
        <f t="shared" si="24"/>
        <v>480</v>
      </c>
      <c r="AV27" s="267">
        <f t="shared" si="24"/>
        <v>475</v>
      </c>
      <c r="AW27" s="267">
        <f t="shared" si="24"/>
        <v>475</v>
      </c>
      <c r="AX27" s="267">
        <f t="shared" si="24"/>
        <v>482</v>
      </c>
      <c r="AY27" s="267">
        <f t="shared" si="25"/>
        <v>792</v>
      </c>
      <c r="AZ27" s="267">
        <f t="shared" si="26"/>
        <v>786</v>
      </c>
      <c r="BA27" s="267">
        <f t="shared" si="27"/>
        <v>777</v>
      </c>
      <c r="BB27" s="267">
        <f t="shared" si="28"/>
        <v>473</v>
      </c>
      <c r="BC27" s="267">
        <f t="shared" si="29"/>
        <v>480</v>
      </c>
      <c r="BD27" s="267">
        <f t="shared" si="30"/>
        <v>475</v>
      </c>
      <c r="BE27" s="267">
        <f t="shared" si="31"/>
        <v>475</v>
      </c>
      <c r="BF27" s="267">
        <f t="shared" si="32"/>
        <v>482</v>
      </c>
      <c r="BG27" s="269">
        <f>AY27*VLOOKUP($B27,'Major Cities &amp; Towns'!$A$28:$B$345,2,FALSE)</f>
        <v>792</v>
      </c>
      <c r="BH27" s="269">
        <f>AZ27*VLOOKUP($B27,'Major Cities &amp; Towns'!$A$28:$B$345,2,FALSE)</f>
        <v>786</v>
      </c>
      <c r="BI27" s="269">
        <f>BA27*VLOOKUP($B27,'Major Cities &amp; Towns'!$A$28:$B$345,2,FALSE)</f>
        <v>777</v>
      </c>
      <c r="BJ27" s="269">
        <f>BB27*VLOOKUP($B27,'Major Cities &amp; Towns'!$A$28:$B$345,2,FALSE)</f>
        <v>473</v>
      </c>
      <c r="BK27" s="269">
        <f>BC27*VLOOKUP($B27,'Major Cities &amp; Towns'!$A$28:$B$345,2,FALSE)</f>
        <v>480</v>
      </c>
      <c r="BL27" s="269">
        <f>BD27*VLOOKUP($B27,'Major Cities &amp; Towns'!$A$28:$B$345,2,FALSE)</f>
        <v>475</v>
      </c>
      <c r="BM27" s="269">
        <f>BE27*VLOOKUP($B27,'Major Cities &amp; Towns'!$A$28:$B$345,2,FALSE)</f>
        <v>475</v>
      </c>
      <c r="BN27" s="269">
        <f>BF27*VLOOKUP($B27,'Major Cities &amp; Towns'!$A$28:$B$345,2,FALSE)</f>
        <v>482</v>
      </c>
      <c r="BO27" s="270">
        <f t="shared" si="33"/>
        <v>792</v>
      </c>
      <c r="BP27" s="270">
        <f t="shared" si="34"/>
        <v>786</v>
      </c>
      <c r="BQ27" s="270">
        <f t="shared" si="34"/>
        <v>777</v>
      </c>
      <c r="BR27" s="270">
        <f t="shared" si="34"/>
        <v>473</v>
      </c>
      <c r="BS27" s="270">
        <f t="shared" si="34"/>
        <v>480</v>
      </c>
      <c r="BT27" s="270">
        <f t="shared" si="34"/>
        <v>475</v>
      </c>
      <c r="BU27" s="270">
        <f t="shared" si="34"/>
        <v>475</v>
      </c>
      <c r="BV27" s="270">
        <f t="shared" si="34"/>
        <v>482</v>
      </c>
      <c r="BW27" s="39">
        <f>VLOOKUP($A27,NetAdditions!$A$2:$H$336,6,FALSE)</f>
        <v>544</v>
      </c>
      <c r="BX27" s="39">
        <f>VLOOKUP($A27,NetAdditions!$A$2:$H$336,7,FALSE)</f>
        <v>463</v>
      </c>
      <c r="BY27" s="39">
        <f>IF((VLOOKUP($C27,NetAdditions!$A$2:$H$336,8,FALSE))="",(AVERAGE(VLOOKUP($C27,NetAdditions!$A$2:$H$336,5,FALSE),VLOOKUP($C27,NetAdditions!$A$2:$H$336,6,FALSE),VLOOKUP($C27,NetAdditions!$A$2:$H$336,7,FALSE))),VLOOKUP($C27,NetAdditions!$A$2:$H$336,8,FALSE))</f>
        <v>547</v>
      </c>
      <c r="BZ27" s="39">
        <f t="shared" si="35"/>
        <v>518</v>
      </c>
      <c r="CA27" s="39">
        <f t="shared" si="35"/>
        <v>509.33333333333331</v>
      </c>
      <c r="CB27" s="39">
        <f t="shared" si="35"/>
        <v>524.77777777777771</v>
      </c>
      <c r="CC27" s="39">
        <f t="shared" si="35"/>
        <v>517.37037037037032</v>
      </c>
      <c r="CD27" s="39">
        <f t="shared" si="35"/>
        <v>517.16049382716039</v>
      </c>
      <c r="CE27" s="276">
        <f t="shared" si="5"/>
        <v>2355</v>
      </c>
      <c r="CF27" s="276">
        <f t="shared" si="6"/>
        <v>2036</v>
      </c>
      <c r="CG27" s="276">
        <f t="shared" si="7"/>
        <v>1730</v>
      </c>
      <c r="CH27" s="276">
        <f t="shared" si="8"/>
        <v>1428</v>
      </c>
      <c r="CI27" s="276">
        <f t="shared" si="9"/>
        <v>1430</v>
      </c>
      <c r="CJ27" s="276">
        <f t="shared" si="10"/>
        <v>1432</v>
      </c>
      <c r="CK27" s="276">
        <f t="shared" si="36"/>
        <v>2027.9166666666667</v>
      </c>
      <c r="CL27" s="276">
        <f t="shared" si="37"/>
        <v>1753.2222222222224</v>
      </c>
      <c r="CM27" s="276">
        <f t="shared" si="38"/>
        <v>1585.8333333333333</v>
      </c>
      <c r="CN27" s="276">
        <f t="shared" si="39"/>
        <v>1428</v>
      </c>
      <c r="CO27" s="276">
        <f t="shared" si="39"/>
        <v>1430</v>
      </c>
      <c r="CP27" s="276">
        <f t="shared" si="11"/>
        <v>1432</v>
      </c>
      <c r="CQ27" s="39">
        <f t="shared" si="12"/>
        <v>1554</v>
      </c>
      <c r="CR27" s="39">
        <f t="shared" si="13"/>
        <v>1528</v>
      </c>
      <c r="CS27" s="277">
        <f t="shared" si="14"/>
        <v>1574.3333333333333</v>
      </c>
      <c r="CT27" s="39">
        <f t="shared" si="15"/>
        <v>1552.1111111111109</v>
      </c>
      <c r="CU27" s="39">
        <f t="shared" si="16"/>
        <v>1551.4814814814813</v>
      </c>
      <c r="CV27" s="39">
        <f t="shared" si="17"/>
        <v>1559.3086419753085</v>
      </c>
      <c r="CW27" s="297">
        <f t="shared" si="18"/>
        <v>0.76630367783028552</v>
      </c>
      <c r="CX27" s="279" t="str">
        <f t="shared" si="40"/>
        <v>Buffer and Action Plan</v>
      </c>
      <c r="CY27" s="278">
        <f t="shared" si="19"/>
        <v>0.87153812028645661</v>
      </c>
      <c r="CZ27" s="279" t="str">
        <f t="shared" si="41"/>
        <v>Action Plan</v>
      </c>
      <c r="DA27" s="278">
        <f t="shared" si="20"/>
        <v>0.99274829217025751</v>
      </c>
      <c r="DB27" s="292" t="str">
        <f t="shared" si="42"/>
        <v>Pass</v>
      </c>
      <c r="DC27" s="299">
        <f t="shared" si="43"/>
        <v>1.0869125427948956</v>
      </c>
      <c r="DD27" s="293" t="str">
        <f t="shared" si="44"/>
        <v>Pass</v>
      </c>
      <c r="DE27" s="299">
        <f t="shared" si="45"/>
        <v>1.0849520849520848</v>
      </c>
      <c r="DF27" s="293" t="str">
        <f t="shared" si="46"/>
        <v>Pass</v>
      </c>
      <c r="DG27" s="299">
        <f t="shared" si="47"/>
        <v>1.0889026829436512</v>
      </c>
      <c r="DH27" s="293" t="str">
        <f t="shared" si="48"/>
        <v>Pass</v>
      </c>
    </row>
    <row r="28" spans="1:112" ht="15" thickTop="1" thickBot="1">
      <c r="A28" s="38" t="s">
        <v>165</v>
      </c>
      <c r="B28" s="38" t="s">
        <v>166</v>
      </c>
      <c r="C28" s="38" t="s">
        <v>165</v>
      </c>
      <c r="D28" s="38" t="s">
        <v>119</v>
      </c>
      <c r="E28" s="38" t="str">
        <f>VLOOKUP(C28,PoliticalControl!A:K,11,FALSE)</f>
        <v>NOC</v>
      </c>
      <c r="F28" s="38" t="str">
        <f>VLOOKUP(C28,UrbanRuralClassification!A:N,13,FALSE)</f>
        <v>Urban with Significant Rural (rural including hub towns 26-49%)</v>
      </c>
      <c r="G28" s="38" t="str">
        <f>VLOOKUP(C28,UrbanRuralClassification!A:N,14,FALSE)</f>
        <v>Urban with Significant Rural</v>
      </c>
      <c r="H28" s="258">
        <f>IF(ISBLANK((VLOOKUP($A28,'local-plan-data'!$C$1:$AD$566,27,FALSE)))=TRUE,"",VLOOKUP($A28,'local-plan-data'!$C$1:$AD$566,27,FALSE))</f>
        <v>43532</v>
      </c>
      <c r="I28" s="259">
        <f>VLOOKUP($A28,'local-plan-data'!$C$1:$AD$566,28,FALSE)</f>
        <v>309.76</v>
      </c>
      <c r="J28" s="260">
        <f t="shared" si="21"/>
        <v>309.76</v>
      </c>
      <c r="K28" s="259">
        <f t="shared" si="22"/>
        <v>309.76</v>
      </c>
      <c r="L28" s="259">
        <f t="shared" si="22"/>
        <v>309.76</v>
      </c>
      <c r="M28" s="259">
        <f t="shared" si="22"/>
        <v>309.76</v>
      </c>
      <c r="N28" s="259">
        <f t="shared" si="22"/>
        <v>309.76</v>
      </c>
      <c r="O28" s="259">
        <f t="shared" si="22"/>
        <v>309.76</v>
      </c>
      <c r="P28" s="259">
        <f t="shared" si="22"/>
        <v>309.76</v>
      </c>
      <c r="Q28" s="259" t="str">
        <f t="shared" si="22"/>
        <v>-</v>
      </c>
      <c r="R28" s="259" t="str">
        <f t="shared" si="22"/>
        <v>-</v>
      </c>
      <c r="S28" s="259">
        <f t="shared" si="23"/>
        <v>2168</v>
      </c>
      <c r="T28" s="259">
        <f t="shared" si="23"/>
        <v>1803</v>
      </c>
      <c r="U28" s="259">
        <f t="shared" si="23"/>
        <v>1437</v>
      </c>
      <c r="V28" s="259">
        <f t="shared" si="23"/>
        <v>1072</v>
      </c>
      <c r="W28" s="259">
        <f t="shared" si="23"/>
        <v>707</v>
      </c>
      <c r="X28" s="259">
        <f t="shared" si="23"/>
        <v>342</v>
      </c>
      <c r="Y28" s="259">
        <f t="shared" si="23"/>
        <v>-24</v>
      </c>
      <c r="Z28" s="259">
        <f t="shared" si="23"/>
        <v>-389</v>
      </c>
      <c r="AA28" s="267">
        <f>(VLOOKUP(A28,Hshldprojections2014!$A$2:$AW$319,40, FALSE)-VLOOKUP(A28,Hshldprojections2014!$A$2:$AW$319,30, FALSE))/10</f>
        <v>217</v>
      </c>
      <c r="AB28" s="267">
        <f>(VLOOKUP(A28,Hshldprojections2014!$A$2:$AW$319,41, FALSE)-VLOOKUP(A28,Hshldprojections2014!$A$2:$AW$319,31, FALSE))/10</f>
        <v>214.4</v>
      </c>
      <c r="AC28" s="267">
        <f>(VLOOKUP(A28,Hshldprojections2014!$A$2:$AW$319,42, FALSE)-VLOOKUP(A28,Hshldprojections2014!$A$2:$AW$319,32, FALSE))/10</f>
        <v>212.2</v>
      </c>
      <c r="AD28" s="267">
        <f>IF(IndividualLATest!$J$7=2014,(VLOOKUP($A28,Hshldprojections2014!$A$2:$AY$326,43,FALSE)-VLOOKUP($A28,Hshldprojections2014!$A$2:$AY$326,33,FALSE))/10,IF(IndividualLATest!$J$7=2016,(VLOOKUP($A28,Hshldprojections2016!$A$1:$AQ$322,33,FALSE)-VLOOKUP($A28,Hshldprojections2016!$A$1:$AQ$322,23,FALSE))/10,(VLOOKUP($A28,Hshldprojections2018!$A$1:$AQ$327,33,FALSE)-VLOOKUP($A28,Hshldprojections2018!$A$1:$AQ$327,23,FALSE))/10))</f>
        <v>301.10000000000002</v>
      </c>
      <c r="AE28" s="267">
        <f>IF(IndividualLATest!$J$7=2014,(VLOOKUP($A28,Hshldprojections2014!$A$2:$AY$326,44,FALSE)-VLOOKUP($A28,Hshldprojections2014!$A$2:$AY$326,34,FALSE))/10,IF(IndividualLATest!$J$7=2016,(VLOOKUP($A28,Hshldprojections2016!$A$1:$AQ$322,34,FALSE)-VLOOKUP($A28,Hshldprojections2016!$A$1:$AQ$322,24,FALSE))/10,(VLOOKUP($A28,Hshldprojections2018!$A$1:$AQ$327,34,FALSE)-VLOOKUP($A28,Hshldprojections2018!$A$1:$AQ$327,24,FALSE))/10))</f>
        <v>295.39999999999998</v>
      </c>
      <c r="AF28" s="267">
        <f>IF(IndividualLATest!$J$7=2014,(VLOOKUP($A28,Hshldprojections2014!$A$2:$AY$326,45,FALSE)-VLOOKUP($A28,Hshldprojections2014!$A$2:$AY$326,35,FALSE))/10,IF(IndividualLATest!$J$7=2016,(VLOOKUP($A28,Hshldprojections2016!$A$1:$AQ$322,35,FALSE)-VLOOKUP($A28,Hshldprojections2016!$A$1:$AQ$322,25,FALSE))/10,(VLOOKUP($A28,Hshldprojections2018!$A$1:$AQ$327,35,FALSE)-VLOOKUP($A28,Hshldprojections2018!$A$1:$AQ$327,25,FALSE))/10))</f>
        <v>291.3</v>
      </c>
      <c r="AG28" s="267">
        <f>IF(IndividualLATest!$J$7=2014,(VLOOKUP($A28,Hshldprojections2014!$A$2:$AY$326,46,FALSE)-VLOOKUP($A28,Hshldprojections2014!$A$2:$AY$326,36,FALSE))/10,IF(IndividualLATest!$J$7=2016,(VLOOKUP($A28,Hshldprojections2016!$A$1:$AQ$322,36,FALSE)-VLOOKUP($A28,Hshldprojections2016!$A$1:$AQ$322,26,FALSE))/10,(VLOOKUP($A28,Hshldprojections2018!$A$1:$AQ$327,36,FALSE)-VLOOKUP($A28,Hshldprojections2018!$A$1:$AQ$327,26,FALSE))/10))</f>
        <v>286.8</v>
      </c>
      <c r="AH28" s="267">
        <f>IF(IndividualLATest!$J$7=2014,(VLOOKUP($A28,Hshldprojections2014!$A$2:$AY$326,47,FALSE)-VLOOKUP($A28,Hshldprojections2014!$A$2:$AY$326,37,FALSE))/10,IF(IndividualLATest!$J$7=2016,(VLOOKUP($A28,Hshldprojections2016!$A$1:$AQ$322,37,FALSE)-VLOOKUP($A28,Hshldprojections2016!$A$1:$AQ$322,27,FALSE))/10,(VLOOKUP($A28,Hshldprojections2018!$A$1:$AQ$327,37,FALSE)-VLOOKUP($A28,Hshldprojections2018!$A$1:$AQ$327,27,FALSE))/10))</f>
        <v>283.10000000000002</v>
      </c>
      <c r="AI28" s="268">
        <f>IF(ISNUMBER('Sensitivity Tests'!$C$30),'Sensitivity Tests'!$C$30,VLOOKUP($A28,AffordabilityRatio!$A$2:$I$321,5,FALSE))</f>
        <v>7.14</v>
      </c>
      <c r="AJ28" s="268">
        <f>IF(ISNUMBER('Sensitivity Tests'!$C$30),'Sensitivity Tests'!$C$30,VLOOKUP($A28,AffordabilityRatio!$A$2:$I$321,6,FALSE))</f>
        <v>6.92</v>
      </c>
      <c r="AK28" s="268">
        <f>IF(ISNUMBER('Sensitivity Tests'!$C$30),'Sensitivity Tests'!$C$30,VLOOKUP($A28,AffordabilityRatio!$A$2:$I$321,7,FALSE))</f>
        <v>6.78</v>
      </c>
      <c r="AL28" s="268">
        <f>IF(ISNUMBER('Sensitivity Tests'!$C$30),'Sensitivity Tests'!$C$30,IF((VLOOKUP($A28,AffordabilityRatio!$A$2:$I$321,8,FALSE))="",AK28,VLOOKUP($A28,AffordabilityRatio!$A$2:$I$321,8,FALSE)))</f>
        <v>6.94</v>
      </c>
      <c r="AM28" s="268">
        <f>IF(ISNUMBER('Sensitivity Tests'!$C$30),'Sensitivity Tests'!$C$30,IF((VLOOKUP($A28,AffordabilityRatio!$A$2:$I$321,9,FALSE))="",AL28,VLOOKUP($A28,AffordabilityRatio!$A$2:$I$321,9,FALSE)))</f>
        <v>7.58</v>
      </c>
      <c r="AN28" s="268">
        <f>IF(ISNUMBER('Sensitivity Tests'!$C$30),'Sensitivity Tests'!$C$30,IF((VLOOKUP($A28,AffordabilityRatio!$A$2:$I$321,9,FALSE))="",AM28,VLOOKUP($A28,AffordabilityRatio!$A$2:$I$321,9,FALSE)))</f>
        <v>7.58</v>
      </c>
      <c r="AO28" s="268">
        <f>IF(ISNUMBER('Sensitivity Tests'!$C$30),'Sensitivity Tests'!$C$30,IF((VLOOKUP($A28,AffordabilityRatio!$A$2:$I$321,9,FALSE))="",AN28,VLOOKUP($A28,AffordabilityRatio!$A$2:$I$321,9,FALSE)))</f>
        <v>7.58</v>
      </c>
      <c r="AP28" s="268">
        <f>IF(ISNUMBER('Sensitivity Tests'!$C$30),'Sensitivity Tests'!$C$30,IF((VLOOKUP($A28,AffordabilityRatio!$A$2:$I$321,9,FALSE))="",AO28,VLOOKUP($A28,AffordabilityRatio!$A$2:$I$321,9,FALSE)))</f>
        <v>7.58</v>
      </c>
      <c r="AQ28" s="267">
        <f t="shared" si="24"/>
        <v>260</v>
      </c>
      <c r="AR28" s="267">
        <f t="shared" si="24"/>
        <v>254</v>
      </c>
      <c r="AS28" s="267">
        <f t="shared" si="24"/>
        <v>249</v>
      </c>
      <c r="AT28" s="267">
        <f t="shared" si="24"/>
        <v>356</v>
      </c>
      <c r="AU28" s="267">
        <f t="shared" si="24"/>
        <v>361</v>
      </c>
      <c r="AV28" s="267">
        <f t="shared" si="24"/>
        <v>356</v>
      </c>
      <c r="AW28" s="267">
        <f t="shared" si="24"/>
        <v>351</v>
      </c>
      <c r="AX28" s="267">
        <f t="shared" si="24"/>
        <v>346</v>
      </c>
      <c r="AY28" s="267">
        <f t="shared" si="25"/>
        <v>260</v>
      </c>
      <c r="AZ28" s="267">
        <f t="shared" si="26"/>
        <v>254</v>
      </c>
      <c r="BA28" s="267">
        <f t="shared" si="27"/>
        <v>249</v>
      </c>
      <c r="BB28" s="267">
        <f t="shared" si="28"/>
        <v>356</v>
      </c>
      <c r="BC28" s="267">
        <f t="shared" si="29"/>
        <v>361</v>
      </c>
      <c r="BD28" s="267">
        <f t="shared" si="30"/>
        <v>356</v>
      </c>
      <c r="BE28" s="267">
        <f t="shared" si="31"/>
        <v>351</v>
      </c>
      <c r="BF28" s="267">
        <f t="shared" si="32"/>
        <v>346</v>
      </c>
      <c r="BG28" s="269">
        <f>AY28*VLOOKUP($B28,'Major Cities &amp; Towns'!$A$28:$B$345,2,FALSE)</f>
        <v>260</v>
      </c>
      <c r="BH28" s="269">
        <f>AZ28*VLOOKUP($B28,'Major Cities &amp; Towns'!$A$28:$B$345,2,FALSE)</f>
        <v>254</v>
      </c>
      <c r="BI28" s="269">
        <f>BA28*VLOOKUP($B28,'Major Cities &amp; Towns'!$A$28:$B$345,2,FALSE)</f>
        <v>249</v>
      </c>
      <c r="BJ28" s="269">
        <f>BB28*VLOOKUP($B28,'Major Cities &amp; Towns'!$A$28:$B$345,2,FALSE)</f>
        <v>356</v>
      </c>
      <c r="BK28" s="269">
        <f>BC28*VLOOKUP($B28,'Major Cities &amp; Towns'!$A$28:$B$345,2,FALSE)</f>
        <v>361</v>
      </c>
      <c r="BL28" s="269">
        <f>BD28*VLOOKUP($B28,'Major Cities &amp; Towns'!$A$28:$B$345,2,FALSE)</f>
        <v>356</v>
      </c>
      <c r="BM28" s="269">
        <f>BE28*VLOOKUP($B28,'Major Cities &amp; Towns'!$A$28:$B$345,2,FALSE)</f>
        <v>351</v>
      </c>
      <c r="BN28" s="269">
        <f>BF28*VLOOKUP($B28,'Major Cities &amp; Towns'!$A$28:$B$345,2,FALSE)</f>
        <v>346</v>
      </c>
      <c r="BO28" s="270">
        <f t="shared" si="33"/>
        <v>260</v>
      </c>
      <c r="BP28" s="270">
        <f t="shared" si="34"/>
        <v>254</v>
      </c>
      <c r="BQ28" s="270">
        <f t="shared" si="34"/>
        <v>249</v>
      </c>
      <c r="BR28" s="270">
        <f t="shared" si="34"/>
        <v>309.76</v>
      </c>
      <c r="BS28" s="270">
        <f t="shared" si="34"/>
        <v>309.76</v>
      </c>
      <c r="BT28" s="270">
        <f t="shared" si="34"/>
        <v>312.67375342465755</v>
      </c>
      <c r="BU28" s="270">
        <f t="shared" si="34"/>
        <v>351</v>
      </c>
      <c r="BV28" s="270">
        <f t="shared" si="34"/>
        <v>346</v>
      </c>
      <c r="BW28" s="39">
        <f>VLOOKUP($A28,NetAdditions!$A$2:$H$336,6,FALSE)</f>
        <v>429</v>
      </c>
      <c r="BX28" s="39">
        <f>VLOOKUP($A28,NetAdditions!$A$2:$H$336,7,FALSE)</f>
        <v>324</v>
      </c>
      <c r="BY28" s="39">
        <f>IF((VLOOKUP($C28,NetAdditions!$A$2:$H$336,8,FALSE))="",(AVERAGE(VLOOKUP($C28,NetAdditions!$A$2:$H$336,5,FALSE),VLOOKUP($C28,NetAdditions!$A$2:$H$336,6,FALSE),VLOOKUP($C28,NetAdditions!$A$2:$H$336,7,FALSE))),VLOOKUP($C28,NetAdditions!$A$2:$H$336,8,FALSE))</f>
        <v>294</v>
      </c>
      <c r="BZ28" s="39">
        <f t="shared" si="35"/>
        <v>349</v>
      </c>
      <c r="CA28" s="39">
        <f t="shared" si="35"/>
        <v>322.33333333333331</v>
      </c>
      <c r="CB28" s="39">
        <f t="shared" si="35"/>
        <v>321.77777777777777</v>
      </c>
      <c r="CC28" s="39">
        <f t="shared" si="35"/>
        <v>331.03703703703701</v>
      </c>
      <c r="CD28" s="39">
        <f t="shared" si="35"/>
        <v>325.04938271604937</v>
      </c>
      <c r="CE28" s="276">
        <f t="shared" si="5"/>
        <v>763</v>
      </c>
      <c r="CF28" s="276">
        <f t="shared" si="6"/>
        <v>812.76</v>
      </c>
      <c r="CG28" s="276">
        <f t="shared" si="7"/>
        <v>868.52</v>
      </c>
      <c r="CH28" s="276">
        <f t="shared" si="8"/>
        <v>932.19375342465753</v>
      </c>
      <c r="CI28" s="276">
        <f t="shared" si="9"/>
        <v>973.43375342465754</v>
      </c>
      <c r="CJ28" s="276">
        <f t="shared" si="10"/>
        <v>1009.6737534246575</v>
      </c>
      <c r="CK28" s="276">
        <f t="shared" si="36"/>
        <v>657.02777777777783</v>
      </c>
      <c r="CL28" s="276">
        <f t="shared" si="37"/>
        <v>699.87666666666667</v>
      </c>
      <c r="CM28" s="276">
        <f t="shared" si="38"/>
        <v>796.14333333333332</v>
      </c>
      <c r="CN28" s="276">
        <f t="shared" si="39"/>
        <v>932.19375342465753</v>
      </c>
      <c r="CO28" s="276">
        <f t="shared" si="39"/>
        <v>973.43375342465754</v>
      </c>
      <c r="CP28" s="276">
        <f t="shared" si="11"/>
        <v>1009.6737534246575</v>
      </c>
      <c r="CQ28" s="39">
        <f t="shared" si="12"/>
        <v>1047</v>
      </c>
      <c r="CR28" s="39">
        <f t="shared" si="13"/>
        <v>967</v>
      </c>
      <c r="CS28" s="277">
        <f t="shared" si="14"/>
        <v>965.33333333333326</v>
      </c>
      <c r="CT28" s="39">
        <f t="shared" si="15"/>
        <v>993.11111111111109</v>
      </c>
      <c r="CU28" s="39">
        <f t="shared" si="16"/>
        <v>975.14814814814804</v>
      </c>
      <c r="CV28" s="39">
        <f t="shared" si="17"/>
        <v>977.8641975308642</v>
      </c>
      <c r="CW28" s="297">
        <f t="shared" si="18"/>
        <v>1.5935399315097449</v>
      </c>
      <c r="CX28" s="279" t="str">
        <f t="shared" si="40"/>
        <v>Pass</v>
      </c>
      <c r="CY28" s="278">
        <f t="shared" si="19"/>
        <v>1.3816720088777548</v>
      </c>
      <c r="CZ28" s="279" t="str">
        <f t="shared" si="41"/>
        <v>Pass</v>
      </c>
      <c r="DA28" s="278">
        <f t="shared" si="20"/>
        <v>1.2125119848603476</v>
      </c>
      <c r="DB28" s="292" t="str">
        <f t="shared" si="42"/>
        <v>Pass</v>
      </c>
      <c r="DC28" s="299">
        <f t="shared" si="43"/>
        <v>1.0653483864943931</v>
      </c>
      <c r="DD28" s="293" t="str">
        <f t="shared" si="44"/>
        <v>Pass</v>
      </c>
      <c r="DE28" s="299">
        <f t="shared" si="45"/>
        <v>1.0017611827383825</v>
      </c>
      <c r="DF28" s="293" t="str">
        <f t="shared" si="46"/>
        <v>Pass</v>
      </c>
      <c r="DG28" s="299">
        <f t="shared" si="47"/>
        <v>0.96849521364113877</v>
      </c>
      <c r="DH28" s="293" t="str">
        <f t="shared" si="48"/>
        <v>Pass</v>
      </c>
    </row>
    <row r="29" spans="1:112" ht="15" thickTop="1" thickBot="1">
      <c r="A29" s="38" t="s">
        <v>167</v>
      </c>
      <c r="B29" s="38" t="s">
        <v>168</v>
      </c>
      <c r="C29" s="38" t="s">
        <v>167</v>
      </c>
      <c r="D29" s="38" t="s">
        <v>147</v>
      </c>
      <c r="E29" s="38" t="str">
        <f>VLOOKUP(C29,PoliticalControl!A:K,11,FALSE)</f>
        <v>NOC</v>
      </c>
      <c r="F29" s="38" t="str">
        <f>VLOOKUP(C29,UrbanRuralClassification!A:N,13,FALSE)</f>
        <v>Urban with City and Town</v>
      </c>
      <c r="G29" s="38" t="str">
        <f>VLOOKUP(C29,UrbanRuralClassification!A:N,14,FALSE)</f>
        <v>Predominantly Urban</v>
      </c>
      <c r="H29" s="258" t="str">
        <f>IF(ISBLANK((VLOOKUP($A29,'local-plan-data'!$C$1:$AD$566,27,FALSE)))=TRUE,"",VLOOKUP($A29,'local-plan-data'!$C$1:$AD$566,27,FALSE))</f>
        <v/>
      </c>
      <c r="I29" s="259" t="str">
        <f>VLOOKUP($A29,'local-plan-data'!$C$1:$AD$566,28,FALSE)</f>
        <v/>
      </c>
      <c r="J29" s="260" t="str">
        <f t="shared" si="21"/>
        <v>-</v>
      </c>
      <c r="K29" s="259" t="str">
        <f t="shared" si="22"/>
        <v>-</v>
      </c>
      <c r="L29" s="259" t="str">
        <f t="shared" si="22"/>
        <v>-</v>
      </c>
      <c r="M29" s="259" t="str">
        <f t="shared" si="22"/>
        <v>-</v>
      </c>
      <c r="N29" s="259" t="str">
        <f t="shared" si="22"/>
        <v>-</v>
      </c>
      <c r="O29" s="259" t="str">
        <f t="shared" si="22"/>
        <v>-</v>
      </c>
      <c r="P29" s="259" t="str">
        <f t="shared" si="22"/>
        <v>-</v>
      </c>
      <c r="Q29" s="259" t="str">
        <f t="shared" si="22"/>
        <v>-</v>
      </c>
      <c r="R29" s="259" t="str">
        <f t="shared" si="22"/>
        <v>-</v>
      </c>
      <c r="S29" s="259" t="str">
        <f t="shared" si="23"/>
        <v>-</v>
      </c>
      <c r="T29" s="259" t="str">
        <f t="shared" si="23"/>
        <v>-</v>
      </c>
      <c r="U29" s="259" t="str">
        <f t="shared" si="23"/>
        <v>-</v>
      </c>
      <c r="V29" s="259" t="str">
        <f t="shared" si="23"/>
        <v>-</v>
      </c>
      <c r="W29" s="259" t="str">
        <f t="shared" si="23"/>
        <v>-</v>
      </c>
      <c r="X29" s="259" t="str">
        <f t="shared" si="23"/>
        <v>-</v>
      </c>
      <c r="Y29" s="259" t="str">
        <f t="shared" si="23"/>
        <v>-</v>
      </c>
      <c r="Z29" s="259" t="str">
        <f t="shared" si="23"/>
        <v>-</v>
      </c>
      <c r="AA29" s="267">
        <f>(VLOOKUP(A29,Hshldprojections2014!$A$2:$AW$319,40, FALSE)-VLOOKUP(A29,Hshldprojections2014!$A$2:$AW$319,30, FALSE))/10</f>
        <v>1957.1</v>
      </c>
      <c r="AB29" s="267">
        <f>(VLOOKUP(A29,Hshldprojections2014!$A$2:$AW$319,41, FALSE)-VLOOKUP(A29,Hshldprojections2014!$A$2:$AW$319,31, FALSE))/10</f>
        <v>1964.6</v>
      </c>
      <c r="AC29" s="267">
        <f>(VLOOKUP(A29,Hshldprojections2014!$A$2:$AW$319,42, FALSE)-VLOOKUP(A29,Hshldprojections2014!$A$2:$AW$319,32, FALSE))/10</f>
        <v>1975</v>
      </c>
      <c r="AD29" s="267">
        <f>IF(IndividualLATest!$J$7=2014,(VLOOKUP($A29,Hshldprojections2014!$A$2:$AY$326,43,FALSE)-VLOOKUP($A29,Hshldprojections2014!$A$2:$AY$326,33,FALSE))/10,IF(IndividualLATest!$J$7=2016,(VLOOKUP($A29,Hshldprojections2016!$A$1:$AQ$322,33,FALSE)-VLOOKUP($A29,Hshldprojections2016!$A$1:$AQ$322,23,FALSE))/10,(VLOOKUP($A29,Hshldprojections2018!$A$1:$AQ$327,33,FALSE)-VLOOKUP($A29,Hshldprojections2018!$A$1:$AQ$327,23,FALSE))/10))</f>
        <v>743.6</v>
      </c>
      <c r="AE29" s="267">
        <f>IF(IndividualLATest!$J$7=2014,(VLOOKUP($A29,Hshldprojections2014!$A$2:$AY$326,44,FALSE)-VLOOKUP($A29,Hshldprojections2014!$A$2:$AY$326,34,FALSE))/10,IF(IndividualLATest!$J$7=2016,(VLOOKUP($A29,Hshldprojections2016!$A$1:$AQ$322,34,FALSE)-VLOOKUP($A29,Hshldprojections2016!$A$1:$AQ$322,24,FALSE))/10,(VLOOKUP($A29,Hshldprojections2018!$A$1:$AQ$327,34,FALSE)-VLOOKUP($A29,Hshldprojections2018!$A$1:$AQ$327,24,FALSE))/10))</f>
        <v>756.8</v>
      </c>
      <c r="AF29" s="267">
        <f>IF(IndividualLATest!$J$7=2014,(VLOOKUP($A29,Hshldprojections2014!$A$2:$AY$326,45,FALSE)-VLOOKUP($A29,Hshldprojections2014!$A$2:$AY$326,35,FALSE))/10,IF(IndividualLATest!$J$7=2016,(VLOOKUP($A29,Hshldprojections2016!$A$1:$AQ$322,35,FALSE)-VLOOKUP($A29,Hshldprojections2016!$A$1:$AQ$322,25,FALSE))/10,(VLOOKUP($A29,Hshldprojections2018!$A$1:$AQ$327,35,FALSE)-VLOOKUP($A29,Hshldprojections2018!$A$1:$AQ$327,25,FALSE))/10))</f>
        <v>763</v>
      </c>
      <c r="AG29" s="267">
        <f>IF(IndividualLATest!$J$7=2014,(VLOOKUP($A29,Hshldprojections2014!$A$2:$AY$326,46,FALSE)-VLOOKUP($A29,Hshldprojections2014!$A$2:$AY$326,36,FALSE))/10,IF(IndividualLATest!$J$7=2016,(VLOOKUP($A29,Hshldprojections2016!$A$1:$AQ$322,36,FALSE)-VLOOKUP($A29,Hshldprojections2016!$A$1:$AQ$322,26,FALSE))/10,(VLOOKUP($A29,Hshldprojections2018!$A$1:$AQ$327,36,FALSE)-VLOOKUP($A29,Hshldprojections2018!$A$1:$AQ$327,26,FALSE))/10))</f>
        <v>756</v>
      </c>
      <c r="AH29" s="267">
        <f>IF(IndividualLATest!$J$7=2014,(VLOOKUP($A29,Hshldprojections2014!$A$2:$AY$326,47,FALSE)-VLOOKUP($A29,Hshldprojections2014!$A$2:$AY$326,37,FALSE))/10,IF(IndividualLATest!$J$7=2016,(VLOOKUP($A29,Hshldprojections2016!$A$1:$AQ$322,37,FALSE)-VLOOKUP($A29,Hshldprojections2016!$A$1:$AQ$322,27,FALSE))/10,(VLOOKUP($A29,Hshldprojections2018!$A$1:$AQ$327,37,FALSE)-VLOOKUP($A29,Hshldprojections2018!$A$1:$AQ$327,27,FALSE))/10))</f>
        <v>743.7</v>
      </c>
      <c r="AI29" s="268">
        <f>IF(ISNUMBER('Sensitivity Tests'!$C$30),'Sensitivity Tests'!$C$30,VLOOKUP($A29,AffordabilityRatio!$A$2:$I$321,5,FALSE))</f>
        <v>9.64</v>
      </c>
      <c r="AJ29" s="268">
        <f>IF(ISNUMBER('Sensitivity Tests'!$C$30),'Sensitivity Tests'!$C$30,VLOOKUP($A29,AffordabilityRatio!$A$2:$I$321,6,FALSE))</f>
        <v>9.1999999999999993</v>
      </c>
      <c r="AK29" s="268">
        <f>IF(ISNUMBER('Sensitivity Tests'!$C$30),'Sensitivity Tests'!$C$30,VLOOKUP($A29,AffordabilityRatio!$A$2:$I$321,7,FALSE))</f>
        <v>9.34</v>
      </c>
      <c r="AL29" s="268">
        <f>IF(ISNUMBER('Sensitivity Tests'!$C$30),'Sensitivity Tests'!$C$30,IF((VLOOKUP($A29,AffordabilityRatio!$A$2:$I$321,8,FALSE))="",AK29,VLOOKUP($A29,AffordabilityRatio!$A$2:$I$321,8,FALSE)))</f>
        <v>9.73</v>
      </c>
      <c r="AM29" s="268">
        <f>IF(ISNUMBER('Sensitivity Tests'!$C$30),'Sensitivity Tests'!$C$30,IF((VLOOKUP($A29,AffordabilityRatio!$A$2:$I$321,9,FALSE))="",AL29,VLOOKUP($A29,AffordabilityRatio!$A$2:$I$321,9,FALSE)))</f>
        <v>11.17</v>
      </c>
      <c r="AN29" s="268">
        <f>IF(ISNUMBER('Sensitivity Tests'!$C$30),'Sensitivity Tests'!$C$30,IF((VLOOKUP($A29,AffordabilityRatio!$A$2:$I$321,9,FALSE))="",AM29,VLOOKUP($A29,AffordabilityRatio!$A$2:$I$321,9,FALSE)))</f>
        <v>11.17</v>
      </c>
      <c r="AO29" s="268">
        <f>IF(ISNUMBER('Sensitivity Tests'!$C$30),'Sensitivity Tests'!$C$30,IF((VLOOKUP($A29,AffordabilityRatio!$A$2:$I$321,9,FALSE))="",AN29,VLOOKUP($A29,AffordabilityRatio!$A$2:$I$321,9,FALSE)))</f>
        <v>11.17</v>
      </c>
      <c r="AP29" s="268">
        <f>IF(ISNUMBER('Sensitivity Tests'!$C$30),'Sensitivity Tests'!$C$30,IF((VLOOKUP($A29,AffordabilityRatio!$A$2:$I$321,9,FALSE))="",AO29,VLOOKUP($A29,AffordabilityRatio!$A$2:$I$321,9,FALSE)))</f>
        <v>11.17</v>
      </c>
      <c r="AQ29" s="267">
        <f t="shared" si="24"/>
        <v>2647</v>
      </c>
      <c r="AR29" s="267">
        <f t="shared" si="24"/>
        <v>2603</v>
      </c>
      <c r="AS29" s="267">
        <f t="shared" si="24"/>
        <v>2634</v>
      </c>
      <c r="AT29" s="267">
        <f t="shared" si="24"/>
        <v>1010</v>
      </c>
      <c r="AU29" s="267">
        <f t="shared" si="24"/>
        <v>1096</v>
      </c>
      <c r="AV29" s="267">
        <f t="shared" si="24"/>
        <v>1105</v>
      </c>
      <c r="AW29" s="267">
        <f t="shared" si="24"/>
        <v>1095</v>
      </c>
      <c r="AX29" s="267">
        <f t="shared" si="24"/>
        <v>1077</v>
      </c>
      <c r="AY29" s="267">
        <f t="shared" si="25"/>
        <v>2647</v>
      </c>
      <c r="AZ29" s="267">
        <f t="shared" si="26"/>
        <v>2603</v>
      </c>
      <c r="BA29" s="267">
        <f t="shared" si="27"/>
        <v>2634</v>
      </c>
      <c r="BB29" s="267">
        <f t="shared" si="28"/>
        <v>1010</v>
      </c>
      <c r="BC29" s="267">
        <f t="shared" si="29"/>
        <v>1059.52</v>
      </c>
      <c r="BD29" s="267">
        <f t="shared" si="30"/>
        <v>1068.2</v>
      </c>
      <c r="BE29" s="267">
        <f t="shared" si="31"/>
        <v>1058.4000000000001</v>
      </c>
      <c r="BF29" s="267">
        <f t="shared" si="32"/>
        <v>1041.18</v>
      </c>
      <c r="BG29" s="269">
        <f>AY29*VLOOKUP($B29,'Major Cities &amp; Towns'!$A$28:$B$345,2,FALSE)</f>
        <v>2647</v>
      </c>
      <c r="BH29" s="269">
        <f>AZ29*VLOOKUP($B29,'Major Cities &amp; Towns'!$A$28:$B$345,2,FALSE)</f>
        <v>2603</v>
      </c>
      <c r="BI29" s="269">
        <f>BA29*VLOOKUP($B29,'Major Cities &amp; Towns'!$A$28:$B$345,2,FALSE)</f>
        <v>2634</v>
      </c>
      <c r="BJ29" s="269">
        <f>BB29*VLOOKUP($B29,'Major Cities &amp; Towns'!$A$28:$B$345,2,FALSE)</f>
        <v>1010</v>
      </c>
      <c r="BK29" s="269">
        <f>BC29*VLOOKUP($B29,'Major Cities &amp; Towns'!$A$28:$B$345,2,FALSE)</f>
        <v>1059.52</v>
      </c>
      <c r="BL29" s="269">
        <f>BD29*VLOOKUP($B29,'Major Cities &amp; Towns'!$A$28:$B$345,2,FALSE)</f>
        <v>1068.2</v>
      </c>
      <c r="BM29" s="269">
        <f>BE29*VLOOKUP($B29,'Major Cities &amp; Towns'!$A$28:$B$345,2,FALSE)</f>
        <v>1058.4000000000001</v>
      </c>
      <c r="BN29" s="269">
        <f>BF29*VLOOKUP($B29,'Major Cities &amp; Towns'!$A$28:$B$345,2,FALSE)</f>
        <v>1041.18</v>
      </c>
      <c r="BO29" s="270">
        <f t="shared" si="33"/>
        <v>2647</v>
      </c>
      <c r="BP29" s="270">
        <f t="shared" si="34"/>
        <v>2603</v>
      </c>
      <c r="BQ29" s="270">
        <f t="shared" si="34"/>
        <v>2634</v>
      </c>
      <c r="BR29" s="270">
        <f t="shared" si="34"/>
        <v>1010</v>
      </c>
      <c r="BS29" s="270">
        <f t="shared" si="34"/>
        <v>1096</v>
      </c>
      <c r="BT29" s="270">
        <f t="shared" si="34"/>
        <v>1105</v>
      </c>
      <c r="BU29" s="270">
        <f t="shared" si="34"/>
        <v>1095</v>
      </c>
      <c r="BV29" s="270">
        <f t="shared" si="34"/>
        <v>1077</v>
      </c>
      <c r="BW29" s="39" t="str">
        <f>VLOOKUP($A29,NetAdditions!$A$2:$H$336,6,FALSE)</f>
        <v>Not Applicable</v>
      </c>
      <c r="BX29" s="39">
        <f>VLOOKUP($A29,NetAdditions!$A$2:$H$336,7,FALSE)</f>
        <v>1703</v>
      </c>
      <c r="BY29" s="39">
        <f>IF((VLOOKUP($C29,NetAdditions!$A$2:$H$336,8,FALSE))="",(AVERAGE(VLOOKUP($C29,NetAdditions!$A$2:$H$336,5,FALSE),VLOOKUP($C29,NetAdditions!$A$2:$H$336,6,FALSE),VLOOKUP($C29,NetAdditions!$A$2:$H$336,7,FALSE))),VLOOKUP($C29,NetAdditions!$A$2:$H$336,8,FALSE))</f>
        <v>790</v>
      </c>
      <c r="BZ29" s="39">
        <f t="shared" si="35"/>
        <v>1246.5</v>
      </c>
      <c r="CA29" s="39">
        <f t="shared" si="35"/>
        <v>1246.5</v>
      </c>
      <c r="CB29" s="39">
        <f t="shared" si="35"/>
        <v>1094.3333333333333</v>
      </c>
      <c r="CC29" s="39">
        <f t="shared" si="35"/>
        <v>1195.7777777777776</v>
      </c>
      <c r="CD29" s="39">
        <f t="shared" si="35"/>
        <v>1178.8703703703702</v>
      </c>
      <c r="CE29" s="276">
        <f t="shared" si="5"/>
        <v>7884</v>
      </c>
      <c r="CF29" s="276">
        <f t="shared" si="6"/>
        <v>6247</v>
      </c>
      <c r="CG29" s="276">
        <f t="shared" si="7"/>
        <v>4740</v>
      </c>
      <c r="CH29" s="276">
        <f t="shared" si="8"/>
        <v>3211</v>
      </c>
      <c r="CI29" s="276">
        <f t="shared" si="9"/>
        <v>3296</v>
      </c>
      <c r="CJ29" s="276">
        <f t="shared" si="10"/>
        <v>3277</v>
      </c>
      <c r="CK29" s="276">
        <f t="shared" si="36"/>
        <v>6789</v>
      </c>
      <c r="CL29" s="276">
        <f t="shared" si="37"/>
        <v>5379.3611111111113</v>
      </c>
      <c r="CM29" s="276">
        <f t="shared" si="38"/>
        <v>4345</v>
      </c>
      <c r="CN29" s="276">
        <f t="shared" si="39"/>
        <v>3211</v>
      </c>
      <c r="CO29" s="276">
        <f t="shared" si="39"/>
        <v>3296</v>
      </c>
      <c r="CP29" s="276">
        <f t="shared" si="11"/>
        <v>3277</v>
      </c>
      <c r="CQ29" s="39">
        <f t="shared" si="12"/>
        <v>2493</v>
      </c>
      <c r="CR29" s="39">
        <f t="shared" si="13"/>
        <v>3739.5</v>
      </c>
      <c r="CS29" s="277">
        <f t="shared" si="14"/>
        <v>3283</v>
      </c>
      <c r="CT29" s="39">
        <f t="shared" si="15"/>
        <v>3587.333333333333</v>
      </c>
      <c r="CU29" s="39">
        <f t="shared" si="16"/>
        <v>3536.6111111111104</v>
      </c>
      <c r="CV29" s="39">
        <f t="shared" si="17"/>
        <v>3468.9814814814808</v>
      </c>
      <c r="CW29" s="297">
        <f t="shared" si="18"/>
        <v>0.36721166593018117</v>
      </c>
      <c r="CX29" s="279" t="str">
        <f t="shared" si="40"/>
        <v>Buffer and Action Plan</v>
      </c>
      <c r="CY29" s="278">
        <f t="shared" si="19"/>
        <v>0.69515690111898865</v>
      </c>
      <c r="CZ29" s="279" t="str">
        <f t="shared" si="41"/>
        <v>Buffer and Action Plan</v>
      </c>
      <c r="DA29" s="278">
        <f t="shared" si="20"/>
        <v>0.75558112773302644</v>
      </c>
      <c r="DB29" s="292" t="str">
        <f t="shared" si="42"/>
        <v>Buffer and Action Plan</v>
      </c>
      <c r="DC29" s="299">
        <f t="shared" si="43"/>
        <v>1.1172012872417729</v>
      </c>
      <c r="DD29" s="293" t="str">
        <f t="shared" si="44"/>
        <v>Pass</v>
      </c>
      <c r="DE29" s="299">
        <f t="shared" si="45"/>
        <v>1.0730009439050698</v>
      </c>
      <c r="DF29" s="293" t="str">
        <f t="shared" si="46"/>
        <v>Pass</v>
      </c>
      <c r="DG29" s="299">
        <f t="shared" si="47"/>
        <v>1.0585845228811355</v>
      </c>
      <c r="DH29" s="293" t="str">
        <f t="shared" si="48"/>
        <v>Pass</v>
      </c>
    </row>
    <row r="30" spans="1:112" ht="15" thickTop="1" thickBot="1">
      <c r="A30" s="38" t="s">
        <v>169</v>
      </c>
      <c r="B30" s="38" t="s">
        <v>170</v>
      </c>
      <c r="C30" s="38" t="s">
        <v>169</v>
      </c>
      <c r="D30" s="38" t="s">
        <v>113</v>
      </c>
      <c r="E30" s="38" t="str">
        <f>VLOOKUP(C30,PoliticalControl!A:K,11,FALSE)</f>
        <v>CON</v>
      </c>
      <c r="F30" s="38" t="str">
        <f>VLOOKUP(C30,UrbanRuralClassification!A:N,13,FALSE)</f>
        <v>Urban with City and Town</v>
      </c>
      <c r="G30" s="38" t="str">
        <f>VLOOKUP(C30,UrbanRuralClassification!A:N,14,FALSE)</f>
        <v>Predominantly Urban</v>
      </c>
      <c r="H30" s="258">
        <f>IF(ISBLANK((VLOOKUP($A30,'local-plan-data'!$C$1:$AD$566,27,FALSE)))=TRUE,"",VLOOKUP($A30,'local-plan-data'!$C$1:$AD$566,27,FALSE))</f>
        <v>39485</v>
      </c>
      <c r="I30" s="259">
        <f>VLOOKUP($A30,'local-plan-data'!$C$1:$AD$566,28,FALSE)</f>
        <v>556.95000000000005</v>
      </c>
      <c r="J30" s="260">
        <f t="shared" si="21"/>
        <v>556.95000000000005</v>
      </c>
      <c r="K30" s="259" t="str">
        <f t="shared" si="22"/>
        <v>-</v>
      </c>
      <c r="L30" s="259" t="str">
        <f t="shared" si="22"/>
        <v>-</v>
      </c>
      <c r="M30" s="259" t="str">
        <f t="shared" si="22"/>
        <v>-</v>
      </c>
      <c r="N30" s="259" t="str">
        <f t="shared" si="22"/>
        <v>-</v>
      </c>
      <c r="O30" s="259" t="str">
        <f t="shared" si="22"/>
        <v>-</v>
      </c>
      <c r="P30" s="259" t="str">
        <f t="shared" si="22"/>
        <v>-</v>
      </c>
      <c r="Q30" s="259" t="str">
        <f t="shared" si="22"/>
        <v>-</v>
      </c>
      <c r="R30" s="259" t="str">
        <f t="shared" si="22"/>
        <v>-</v>
      </c>
      <c r="S30" s="259">
        <f t="shared" si="23"/>
        <v>-1879</v>
      </c>
      <c r="T30" s="259">
        <f t="shared" si="23"/>
        <v>-2244</v>
      </c>
      <c r="U30" s="259">
        <f t="shared" si="23"/>
        <v>-2610</v>
      </c>
      <c r="V30" s="259">
        <f t="shared" si="23"/>
        <v>-2975</v>
      </c>
      <c r="W30" s="259">
        <f t="shared" si="23"/>
        <v>-3340</v>
      </c>
      <c r="X30" s="259">
        <f t="shared" si="23"/>
        <v>-3705</v>
      </c>
      <c r="Y30" s="259">
        <f t="shared" si="23"/>
        <v>-4071</v>
      </c>
      <c r="Z30" s="259">
        <f t="shared" si="23"/>
        <v>-4436</v>
      </c>
      <c r="AA30" s="267">
        <f>(VLOOKUP(A30,Hshldprojections2014!$A$2:$AW$319,40, FALSE)-VLOOKUP(A30,Hshldprojections2014!$A$2:$AW$319,30, FALSE))/10</f>
        <v>481.7</v>
      </c>
      <c r="AB30" s="267">
        <f>(VLOOKUP(A30,Hshldprojections2014!$A$2:$AW$319,41, FALSE)-VLOOKUP(A30,Hshldprojections2014!$A$2:$AW$319,31, FALSE))/10</f>
        <v>469.1</v>
      </c>
      <c r="AC30" s="267">
        <f>(VLOOKUP(A30,Hshldprojections2014!$A$2:$AW$319,42, FALSE)-VLOOKUP(A30,Hshldprojections2014!$A$2:$AW$319,32, FALSE))/10</f>
        <v>460.3</v>
      </c>
      <c r="AD30" s="267">
        <f>IF(IndividualLATest!$J$7=2014,(VLOOKUP($A30,Hshldprojections2014!$A$2:$AY$326,43,FALSE)-VLOOKUP($A30,Hshldprojections2014!$A$2:$AY$326,33,FALSE))/10,IF(IndividualLATest!$J$7=2016,(VLOOKUP($A30,Hshldprojections2016!$A$1:$AQ$322,33,FALSE)-VLOOKUP($A30,Hshldprojections2016!$A$1:$AQ$322,23,FALSE))/10,(VLOOKUP($A30,Hshldprojections2018!$A$1:$AQ$327,33,FALSE)-VLOOKUP($A30,Hshldprojections2018!$A$1:$AQ$327,23,FALSE))/10))</f>
        <v>345.1</v>
      </c>
      <c r="AE30" s="267">
        <f>IF(IndividualLATest!$J$7=2014,(VLOOKUP($A30,Hshldprojections2014!$A$2:$AY$326,44,FALSE)-VLOOKUP($A30,Hshldprojections2014!$A$2:$AY$326,34,FALSE))/10,IF(IndividualLATest!$J$7=2016,(VLOOKUP($A30,Hshldprojections2016!$A$1:$AQ$322,34,FALSE)-VLOOKUP($A30,Hshldprojections2016!$A$1:$AQ$322,24,FALSE))/10,(VLOOKUP($A30,Hshldprojections2018!$A$1:$AQ$327,34,FALSE)-VLOOKUP($A30,Hshldprojections2018!$A$1:$AQ$327,24,FALSE))/10))</f>
        <v>334.5</v>
      </c>
      <c r="AF30" s="267">
        <f>IF(IndividualLATest!$J$7=2014,(VLOOKUP($A30,Hshldprojections2014!$A$2:$AY$326,45,FALSE)-VLOOKUP($A30,Hshldprojections2014!$A$2:$AY$326,35,FALSE))/10,IF(IndividualLATest!$J$7=2016,(VLOOKUP($A30,Hshldprojections2016!$A$1:$AQ$322,35,FALSE)-VLOOKUP($A30,Hshldprojections2016!$A$1:$AQ$322,25,FALSE))/10,(VLOOKUP($A30,Hshldprojections2018!$A$1:$AQ$327,35,FALSE)-VLOOKUP($A30,Hshldprojections2018!$A$1:$AQ$327,25,FALSE))/10))</f>
        <v>323.3</v>
      </c>
      <c r="AG30" s="267">
        <f>IF(IndividualLATest!$J$7=2014,(VLOOKUP($A30,Hshldprojections2014!$A$2:$AY$326,46,FALSE)-VLOOKUP($A30,Hshldprojections2014!$A$2:$AY$326,36,FALSE))/10,IF(IndividualLATest!$J$7=2016,(VLOOKUP($A30,Hshldprojections2016!$A$1:$AQ$322,36,FALSE)-VLOOKUP($A30,Hshldprojections2016!$A$1:$AQ$322,26,FALSE))/10,(VLOOKUP($A30,Hshldprojections2018!$A$1:$AQ$327,36,FALSE)-VLOOKUP($A30,Hshldprojections2018!$A$1:$AQ$327,26,FALSE))/10))</f>
        <v>313.5</v>
      </c>
      <c r="AH30" s="267">
        <f>IF(IndividualLATest!$J$7=2014,(VLOOKUP($A30,Hshldprojections2014!$A$2:$AY$326,47,FALSE)-VLOOKUP($A30,Hshldprojections2014!$A$2:$AY$326,37,FALSE))/10,IF(IndividualLATest!$J$7=2016,(VLOOKUP($A30,Hshldprojections2016!$A$1:$AQ$322,37,FALSE)-VLOOKUP($A30,Hshldprojections2016!$A$1:$AQ$322,27,FALSE))/10,(VLOOKUP($A30,Hshldprojections2018!$A$1:$AQ$327,37,FALSE)-VLOOKUP($A30,Hshldprojections2018!$A$1:$AQ$327,27,FALSE))/10))</f>
        <v>306.2</v>
      </c>
      <c r="AI30" s="268">
        <f>IF(ISNUMBER('Sensitivity Tests'!$C$30),'Sensitivity Tests'!$C$30,VLOOKUP($A30,AffordabilityRatio!$A$2:$I$321,5,FALSE))</f>
        <v>9.15</v>
      </c>
      <c r="AJ30" s="268">
        <f>IF(ISNUMBER('Sensitivity Tests'!$C$30),'Sensitivity Tests'!$C$30,VLOOKUP($A30,AffordabilityRatio!$A$2:$I$321,6,FALSE))</f>
        <v>8.99</v>
      </c>
      <c r="AK30" s="268">
        <f>IF(ISNUMBER('Sensitivity Tests'!$C$30),'Sensitivity Tests'!$C$30,VLOOKUP($A30,AffordabilityRatio!$A$2:$I$321,7,FALSE))</f>
        <v>9.33</v>
      </c>
      <c r="AL30" s="268">
        <f>IF(ISNUMBER('Sensitivity Tests'!$C$30),'Sensitivity Tests'!$C$30,IF((VLOOKUP($A30,AffordabilityRatio!$A$2:$I$321,8,FALSE))="",AK30,VLOOKUP($A30,AffordabilityRatio!$A$2:$I$321,8,FALSE)))</f>
        <v>8.4499999999999993</v>
      </c>
      <c r="AM30" s="268">
        <f>IF(ISNUMBER('Sensitivity Tests'!$C$30),'Sensitivity Tests'!$C$30,IF((VLOOKUP($A30,AffordabilityRatio!$A$2:$I$321,9,FALSE))="",AL30,VLOOKUP($A30,AffordabilityRatio!$A$2:$I$321,9,FALSE)))</f>
        <v>9.0500000000000007</v>
      </c>
      <c r="AN30" s="268">
        <f>IF(ISNUMBER('Sensitivity Tests'!$C$30),'Sensitivity Tests'!$C$30,IF((VLOOKUP($A30,AffordabilityRatio!$A$2:$I$321,9,FALSE))="",AM30,VLOOKUP($A30,AffordabilityRatio!$A$2:$I$321,9,FALSE)))</f>
        <v>9.0500000000000007</v>
      </c>
      <c r="AO30" s="268">
        <f>IF(ISNUMBER('Sensitivity Tests'!$C$30),'Sensitivity Tests'!$C$30,IF((VLOOKUP($A30,AffordabilityRatio!$A$2:$I$321,9,FALSE))="",AN30,VLOOKUP($A30,AffordabilityRatio!$A$2:$I$321,9,FALSE)))</f>
        <v>9.0500000000000007</v>
      </c>
      <c r="AP30" s="268">
        <f>IF(ISNUMBER('Sensitivity Tests'!$C$30),'Sensitivity Tests'!$C$30,IF((VLOOKUP($A30,AffordabilityRatio!$A$2:$I$321,9,FALSE))="",AO30,VLOOKUP($A30,AffordabilityRatio!$A$2:$I$321,9,FALSE)))</f>
        <v>9.0500000000000007</v>
      </c>
      <c r="AQ30" s="267">
        <f t="shared" si="24"/>
        <v>637</v>
      </c>
      <c r="AR30" s="267">
        <f t="shared" si="24"/>
        <v>615</v>
      </c>
      <c r="AS30" s="267">
        <f t="shared" si="24"/>
        <v>614</v>
      </c>
      <c r="AT30" s="267">
        <f t="shared" si="24"/>
        <v>441</v>
      </c>
      <c r="AU30" s="267">
        <f t="shared" si="24"/>
        <v>440</v>
      </c>
      <c r="AV30" s="267">
        <f t="shared" si="24"/>
        <v>425</v>
      </c>
      <c r="AW30" s="267">
        <f t="shared" si="24"/>
        <v>412</v>
      </c>
      <c r="AX30" s="267">
        <f t="shared" si="24"/>
        <v>403</v>
      </c>
      <c r="AY30" s="267">
        <f t="shared" si="25"/>
        <v>637</v>
      </c>
      <c r="AZ30" s="267">
        <f t="shared" si="26"/>
        <v>615</v>
      </c>
      <c r="BA30" s="267">
        <f t="shared" si="27"/>
        <v>614</v>
      </c>
      <c r="BB30" s="267">
        <f t="shared" si="28"/>
        <v>441</v>
      </c>
      <c r="BC30" s="267">
        <f t="shared" si="29"/>
        <v>440</v>
      </c>
      <c r="BD30" s="267">
        <f t="shared" si="30"/>
        <v>425</v>
      </c>
      <c r="BE30" s="267">
        <f t="shared" si="31"/>
        <v>412</v>
      </c>
      <c r="BF30" s="267">
        <f t="shared" si="32"/>
        <v>403</v>
      </c>
      <c r="BG30" s="269">
        <f>AY30*VLOOKUP($B30,'Major Cities &amp; Towns'!$A$28:$B$345,2,FALSE)</f>
        <v>637</v>
      </c>
      <c r="BH30" s="269">
        <f>AZ30*VLOOKUP($B30,'Major Cities &amp; Towns'!$A$28:$B$345,2,FALSE)</f>
        <v>615</v>
      </c>
      <c r="BI30" s="269">
        <f>BA30*VLOOKUP($B30,'Major Cities &amp; Towns'!$A$28:$B$345,2,FALSE)</f>
        <v>614</v>
      </c>
      <c r="BJ30" s="269">
        <f>BB30*VLOOKUP($B30,'Major Cities &amp; Towns'!$A$28:$B$345,2,FALSE)</f>
        <v>441</v>
      </c>
      <c r="BK30" s="269">
        <f>BC30*VLOOKUP($B30,'Major Cities &amp; Towns'!$A$28:$B$345,2,FALSE)</f>
        <v>440</v>
      </c>
      <c r="BL30" s="269">
        <f>BD30*VLOOKUP($B30,'Major Cities &amp; Towns'!$A$28:$B$345,2,FALSE)</f>
        <v>425</v>
      </c>
      <c r="BM30" s="269">
        <f>BE30*VLOOKUP($B30,'Major Cities &amp; Towns'!$A$28:$B$345,2,FALSE)</f>
        <v>412</v>
      </c>
      <c r="BN30" s="269">
        <f>BF30*VLOOKUP($B30,'Major Cities &amp; Towns'!$A$28:$B$345,2,FALSE)</f>
        <v>403</v>
      </c>
      <c r="BO30" s="270">
        <f t="shared" si="33"/>
        <v>637</v>
      </c>
      <c r="BP30" s="270">
        <f t="shared" si="34"/>
        <v>615</v>
      </c>
      <c r="BQ30" s="270">
        <f t="shared" si="34"/>
        <v>614</v>
      </c>
      <c r="BR30" s="270">
        <f t="shared" si="34"/>
        <v>441</v>
      </c>
      <c r="BS30" s="270">
        <f t="shared" si="34"/>
        <v>440</v>
      </c>
      <c r="BT30" s="270">
        <f t="shared" si="34"/>
        <v>425</v>
      </c>
      <c r="BU30" s="270">
        <f t="shared" si="34"/>
        <v>412</v>
      </c>
      <c r="BV30" s="270">
        <f t="shared" si="34"/>
        <v>403</v>
      </c>
      <c r="BW30" s="39">
        <f>VLOOKUP($A30,NetAdditions!$A$2:$H$336,6,FALSE)</f>
        <v>755</v>
      </c>
      <c r="BX30" s="39">
        <f>VLOOKUP($A30,NetAdditions!$A$2:$H$336,7,FALSE)</f>
        <v>1688</v>
      </c>
      <c r="BY30" s="39">
        <f>IF((VLOOKUP($C30,NetAdditions!$A$2:$H$336,8,FALSE))="",(AVERAGE(VLOOKUP($C30,NetAdditions!$A$2:$H$336,5,FALSE),VLOOKUP($C30,NetAdditions!$A$2:$H$336,6,FALSE),VLOOKUP($C30,NetAdditions!$A$2:$H$336,7,FALSE))),VLOOKUP($C30,NetAdditions!$A$2:$H$336,8,FALSE))</f>
        <v>996</v>
      </c>
      <c r="BZ30" s="39">
        <f t="shared" si="35"/>
        <v>1146.3333333333333</v>
      </c>
      <c r="CA30" s="39">
        <f t="shared" si="35"/>
        <v>1276.7777777777776</v>
      </c>
      <c r="CB30" s="39">
        <f t="shared" si="35"/>
        <v>1139.7037037037035</v>
      </c>
      <c r="CC30" s="39">
        <f t="shared" si="35"/>
        <v>1187.6049382716049</v>
      </c>
      <c r="CD30" s="39">
        <f t="shared" si="35"/>
        <v>1201.3621399176952</v>
      </c>
      <c r="CE30" s="276">
        <f t="shared" si="5"/>
        <v>1866</v>
      </c>
      <c r="CF30" s="276">
        <f t="shared" si="6"/>
        <v>1670</v>
      </c>
      <c r="CG30" s="276">
        <f t="shared" si="7"/>
        <v>1495</v>
      </c>
      <c r="CH30" s="276">
        <f t="shared" si="8"/>
        <v>1306</v>
      </c>
      <c r="CI30" s="276">
        <f t="shared" si="9"/>
        <v>1277</v>
      </c>
      <c r="CJ30" s="276">
        <f t="shared" si="10"/>
        <v>1240</v>
      </c>
      <c r="CK30" s="276">
        <f t="shared" si="36"/>
        <v>1606.8333333333335</v>
      </c>
      <c r="CL30" s="276">
        <f t="shared" si="37"/>
        <v>1438.0555555555557</v>
      </c>
      <c r="CM30" s="276">
        <f t="shared" si="38"/>
        <v>1370.4166666666665</v>
      </c>
      <c r="CN30" s="276">
        <f t="shared" si="39"/>
        <v>1306</v>
      </c>
      <c r="CO30" s="276">
        <f t="shared" si="39"/>
        <v>1277</v>
      </c>
      <c r="CP30" s="276">
        <f t="shared" si="11"/>
        <v>1240</v>
      </c>
      <c r="CQ30" s="39">
        <f t="shared" si="12"/>
        <v>3439</v>
      </c>
      <c r="CR30" s="39">
        <f t="shared" si="13"/>
        <v>3830.333333333333</v>
      </c>
      <c r="CS30" s="277">
        <f t="shared" si="14"/>
        <v>3419.1111111111104</v>
      </c>
      <c r="CT30" s="39">
        <f t="shared" si="15"/>
        <v>3562.8148148148143</v>
      </c>
      <c r="CU30" s="39">
        <f t="shared" si="16"/>
        <v>3604.0864197530855</v>
      </c>
      <c r="CV30" s="39">
        <f t="shared" si="17"/>
        <v>3528.6707818930036</v>
      </c>
      <c r="CW30" s="297">
        <f t="shared" si="18"/>
        <v>2.1402344155170625</v>
      </c>
      <c r="CX30" s="279" t="str">
        <f t="shared" si="40"/>
        <v>Pass</v>
      </c>
      <c r="CY30" s="278">
        <f t="shared" si="19"/>
        <v>2.6635503187174034</v>
      </c>
      <c r="CZ30" s="279" t="str">
        <f t="shared" si="41"/>
        <v>Pass</v>
      </c>
      <c r="DA30" s="278">
        <f t="shared" si="20"/>
        <v>2.494942738420999</v>
      </c>
      <c r="DB30" s="292" t="str">
        <f t="shared" si="42"/>
        <v>Pass</v>
      </c>
      <c r="DC30" s="299">
        <f t="shared" si="43"/>
        <v>2.7280358459531504</v>
      </c>
      <c r="DD30" s="293" t="str">
        <f t="shared" si="44"/>
        <v>Pass</v>
      </c>
      <c r="DE30" s="299">
        <f t="shared" si="45"/>
        <v>2.8223072981621655</v>
      </c>
      <c r="DF30" s="293" t="str">
        <f t="shared" si="46"/>
        <v>Pass</v>
      </c>
      <c r="DG30" s="299">
        <f t="shared" si="47"/>
        <v>2.8457022434620995</v>
      </c>
      <c r="DH30" s="293" t="str">
        <f t="shared" si="48"/>
        <v>Pass</v>
      </c>
    </row>
    <row r="31" spans="1:112" ht="15" thickTop="1" thickBot="1">
      <c r="A31" s="38" t="s">
        <v>171</v>
      </c>
      <c r="B31" s="38" t="s">
        <v>172</v>
      </c>
      <c r="C31" s="38" t="s">
        <v>171</v>
      </c>
      <c r="D31" s="38" t="s">
        <v>136</v>
      </c>
      <c r="E31" s="38" t="str">
        <f>VLOOKUP(C31,PoliticalControl!A:K,11,FALSE)</f>
        <v>LAB</v>
      </c>
      <c r="F31" s="38" t="str">
        <f>VLOOKUP(C31,UrbanRuralClassification!A:N,13,FALSE)</f>
        <v>Urban with Major Conurbation</v>
      </c>
      <c r="G31" s="38" t="str">
        <f>VLOOKUP(C31,UrbanRuralClassification!A:N,14,FALSE)</f>
        <v>Predominantly Urban</v>
      </c>
      <c r="H31" s="258">
        <f>IF(ISBLANK((VLOOKUP($A31,'local-plan-data'!$C$1:$AD$566,27,FALSE)))=TRUE,"",VLOOKUP($A31,'local-plan-data'!$C$1:$AD$566,27,FALSE))</f>
        <v>42934</v>
      </c>
      <c r="I31" s="259">
        <f>VLOOKUP($A31,'local-plan-data'!$C$1:$AD$566,28,FALSE)</f>
        <v>2476</v>
      </c>
      <c r="J31" s="260">
        <f t="shared" si="21"/>
        <v>2476</v>
      </c>
      <c r="K31" s="259">
        <f t="shared" si="22"/>
        <v>2476</v>
      </c>
      <c r="L31" s="259">
        <f t="shared" si="22"/>
        <v>2476</v>
      </c>
      <c r="M31" s="259">
        <f t="shared" si="22"/>
        <v>2476</v>
      </c>
      <c r="N31" s="259">
        <f t="shared" si="22"/>
        <v>2476</v>
      </c>
      <c r="O31" s="259">
        <f t="shared" si="22"/>
        <v>2476</v>
      </c>
      <c r="P31" s="259" t="str">
        <f t="shared" si="22"/>
        <v>-</v>
      </c>
      <c r="Q31" s="259" t="str">
        <f t="shared" si="22"/>
        <v>-</v>
      </c>
      <c r="R31" s="259" t="str">
        <f t="shared" si="22"/>
        <v>-</v>
      </c>
      <c r="S31" s="259">
        <f t="shared" si="23"/>
        <v>1569</v>
      </c>
      <c r="T31" s="259">
        <f t="shared" si="23"/>
        <v>1204</v>
      </c>
      <c r="U31" s="259">
        <f t="shared" si="23"/>
        <v>838</v>
      </c>
      <c r="V31" s="259">
        <f t="shared" si="23"/>
        <v>473</v>
      </c>
      <c r="W31" s="259">
        <f t="shared" si="23"/>
        <v>108</v>
      </c>
      <c r="X31" s="259">
        <f t="shared" si="23"/>
        <v>-257</v>
      </c>
      <c r="Y31" s="259">
        <f t="shared" si="23"/>
        <v>-623</v>
      </c>
      <c r="Z31" s="259">
        <f t="shared" si="23"/>
        <v>-988</v>
      </c>
      <c r="AA31" s="267">
        <f>(VLOOKUP(A31,Hshldprojections2014!$A$2:$AW$319,40, FALSE)-VLOOKUP(A31,Hshldprojections2014!$A$2:$AW$319,30, FALSE))/10</f>
        <v>1581.6</v>
      </c>
      <c r="AB31" s="267">
        <f>(VLOOKUP(A31,Hshldprojections2014!$A$2:$AW$319,41, FALSE)-VLOOKUP(A31,Hshldprojections2014!$A$2:$AW$319,31, FALSE))/10</f>
        <v>1583.5</v>
      </c>
      <c r="AC31" s="267">
        <f>(VLOOKUP(A31,Hshldprojections2014!$A$2:$AW$319,42, FALSE)-VLOOKUP(A31,Hshldprojections2014!$A$2:$AW$319,32, FALSE))/10</f>
        <v>1582</v>
      </c>
      <c r="AD31" s="267">
        <f>IF(IndividualLATest!$J$7=2014,(VLOOKUP($A31,Hshldprojections2014!$A$2:$AY$326,43,FALSE)-VLOOKUP($A31,Hshldprojections2014!$A$2:$AY$326,33,FALSE))/10,IF(IndividualLATest!$J$7=2016,(VLOOKUP($A31,Hshldprojections2016!$A$1:$AQ$322,33,FALSE)-VLOOKUP($A31,Hshldprojections2016!$A$1:$AQ$322,23,FALSE))/10,(VLOOKUP($A31,Hshldprojections2018!$A$1:$AQ$327,33,FALSE)-VLOOKUP($A31,Hshldprojections2018!$A$1:$AQ$327,23,FALSE))/10))</f>
        <v>1081.5</v>
      </c>
      <c r="AE31" s="267">
        <f>IF(IndividualLATest!$J$7=2014,(VLOOKUP($A31,Hshldprojections2014!$A$2:$AY$326,44,FALSE)-VLOOKUP($A31,Hshldprojections2014!$A$2:$AY$326,34,FALSE))/10,IF(IndividualLATest!$J$7=2016,(VLOOKUP($A31,Hshldprojections2016!$A$1:$AQ$322,34,FALSE)-VLOOKUP($A31,Hshldprojections2016!$A$1:$AQ$322,24,FALSE))/10,(VLOOKUP($A31,Hshldprojections2018!$A$1:$AQ$327,34,FALSE)-VLOOKUP($A31,Hshldprojections2018!$A$1:$AQ$327,24,FALSE))/10))</f>
        <v>1071.2</v>
      </c>
      <c r="AF31" s="267">
        <f>IF(IndividualLATest!$J$7=2014,(VLOOKUP($A31,Hshldprojections2014!$A$2:$AY$326,45,FALSE)-VLOOKUP($A31,Hshldprojections2014!$A$2:$AY$326,35,FALSE))/10,IF(IndividualLATest!$J$7=2016,(VLOOKUP($A31,Hshldprojections2016!$A$1:$AQ$322,35,FALSE)-VLOOKUP($A31,Hshldprojections2016!$A$1:$AQ$322,25,FALSE))/10,(VLOOKUP($A31,Hshldprojections2018!$A$1:$AQ$327,35,FALSE)-VLOOKUP($A31,Hshldprojections2018!$A$1:$AQ$327,25,FALSE))/10))</f>
        <v>1061.3</v>
      </c>
      <c r="AG31" s="267">
        <f>IF(IndividualLATest!$J$7=2014,(VLOOKUP($A31,Hshldprojections2014!$A$2:$AY$326,46,FALSE)-VLOOKUP($A31,Hshldprojections2014!$A$2:$AY$326,36,FALSE))/10,IF(IndividualLATest!$J$7=2016,(VLOOKUP($A31,Hshldprojections2016!$A$1:$AQ$322,36,FALSE)-VLOOKUP($A31,Hshldprojections2016!$A$1:$AQ$322,26,FALSE))/10,(VLOOKUP($A31,Hshldprojections2018!$A$1:$AQ$327,36,FALSE)-VLOOKUP($A31,Hshldprojections2018!$A$1:$AQ$327,26,FALSE))/10))</f>
        <v>1051</v>
      </c>
      <c r="AH31" s="267">
        <f>IF(IndividualLATest!$J$7=2014,(VLOOKUP($A31,Hshldprojections2014!$A$2:$AY$326,47,FALSE)-VLOOKUP($A31,Hshldprojections2014!$A$2:$AY$326,37,FALSE))/10,IF(IndividualLATest!$J$7=2016,(VLOOKUP($A31,Hshldprojections2016!$A$1:$AQ$322,37,FALSE)-VLOOKUP($A31,Hshldprojections2016!$A$1:$AQ$322,27,FALSE))/10,(VLOOKUP($A31,Hshldprojections2018!$A$1:$AQ$327,37,FALSE)-VLOOKUP($A31,Hshldprojections2018!$A$1:$AQ$327,27,FALSE))/10))</f>
        <v>1043.5999999999999</v>
      </c>
      <c r="AI31" s="268">
        <f>IF(ISNUMBER('Sensitivity Tests'!$C$30),'Sensitivity Tests'!$C$30,VLOOKUP($A31,AffordabilityRatio!$A$2:$I$321,5,FALSE))</f>
        <v>5.17</v>
      </c>
      <c r="AJ31" s="268">
        <f>IF(ISNUMBER('Sensitivity Tests'!$C$30),'Sensitivity Tests'!$C$30,VLOOKUP($A31,AffordabilityRatio!$A$2:$I$321,6,FALSE))</f>
        <v>5.21</v>
      </c>
      <c r="AK31" s="268">
        <f>IF(ISNUMBER('Sensitivity Tests'!$C$30),'Sensitivity Tests'!$C$30,VLOOKUP($A31,AffordabilityRatio!$A$2:$I$321,7,FALSE))</f>
        <v>5.22</v>
      </c>
      <c r="AL31" s="268">
        <f>IF(ISNUMBER('Sensitivity Tests'!$C$30),'Sensitivity Tests'!$C$30,IF((VLOOKUP($A31,AffordabilityRatio!$A$2:$I$321,8,FALSE))="",AK31,VLOOKUP($A31,AffordabilityRatio!$A$2:$I$321,8,FALSE)))</f>
        <v>5.0199999999999996</v>
      </c>
      <c r="AM31" s="268">
        <f>IF(ISNUMBER('Sensitivity Tests'!$C$30),'Sensitivity Tests'!$C$30,IF((VLOOKUP($A31,AffordabilityRatio!$A$2:$I$321,9,FALSE))="",AL31,VLOOKUP($A31,AffordabilityRatio!$A$2:$I$321,9,FALSE)))</f>
        <v>5.37</v>
      </c>
      <c r="AN31" s="268">
        <f>IF(ISNUMBER('Sensitivity Tests'!$C$30),'Sensitivity Tests'!$C$30,IF((VLOOKUP($A31,AffordabilityRatio!$A$2:$I$321,9,FALSE))="",AM31,VLOOKUP($A31,AffordabilityRatio!$A$2:$I$321,9,FALSE)))</f>
        <v>5.37</v>
      </c>
      <c r="AO31" s="268">
        <f>IF(ISNUMBER('Sensitivity Tests'!$C$30),'Sensitivity Tests'!$C$30,IF((VLOOKUP($A31,AffordabilityRatio!$A$2:$I$321,9,FALSE))="",AN31,VLOOKUP($A31,AffordabilityRatio!$A$2:$I$321,9,FALSE)))</f>
        <v>5.37</v>
      </c>
      <c r="AP31" s="268">
        <f>IF(ISNUMBER('Sensitivity Tests'!$C$30),'Sensitivity Tests'!$C$30,IF((VLOOKUP($A31,AffordabilityRatio!$A$2:$I$321,9,FALSE))="",AO31,VLOOKUP($A31,AffordabilityRatio!$A$2:$I$321,9,FALSE)))</f>
        <v>5.37</v>
      </c>
      <c r="AQ31" s="267">
        <f t="shared" si="24"/>
        <v>1697</v>
      </c>
      <c r="AR31" s="267">
        <f t="shared" si="24"/>
        <v>1703</v>
      </c>
      <c r="AS31" s="267">
        <f t="shared" si="24"/>
        <v>1703</v>
      </c>
      <c r="AT31" s="267">
        <f t="shared" si="24"/>
        <v>1150</v>
      </c>
      <c r="AU31" s="267">
        <f t="shared" si="24"/>
        <v>1163</v>
      </c>
      <c r="AV31" s="267">
        <f t="shared" si="24"/>
        <v>1152</v>
      </c>
      <c r="AW31" s="267">
        <f t="shared" si="24"/>
        <v>1141</v>
      </c>
      <c r="AX31" s="267">
        <f t="shared" si="24"/>
        <v>1133</v>
      </c>
      <c r="AY31" s="267">
        <f t="shared" si="25"/>
        <v>1697</v>
      </c>
      <c r="AZ31" s="267">
        <f t="shared" si="26"/>
        <v>1703</v>
      </c>
      <c r="BA31" s="267">
        <f t="shared" si="27"/>
        <v>1703</v>
      </c>
      <c r="BB31" s="267">
        <f t="shared" si="28"/>
        <v>1150</v>
      </c>
      <c r="BC31" s="267">
        <f t="shared" si="29"/>
        <v>1163</v>
      </c>
      <c r="BD31" s="267">
        <f t="shared" si="30"/>
        <v>1152</v>
      </c>
      <c r="BE31" s="267">
        <f t="shared" si="31"/>
        <v>1141</v>
      </c>
      <c r="BF31" s="267">
        <f t="shared" si="32"/>
        <v>1133</v>
      </c>
      <c r="BG31" s="269">
        <f>AY31*VLOOKUP($B31,'Major Cities &amp; Towns'!$A$28:$B$345,2,FALSE)</f>
        <v>2290.9500000000003</v>
      </c>
      <c r="BH31" s="269">
        <f>AZ31*VLOOKUP($B31,'Major Cities &amp; Towns'!$A$28:$B$345,2,FALSE)</f>
        <v>2299.0500000000002</v>
      </c>
      <c r="BI31" s="269">
        <f>BA31*VLOOKUP($B31,'Major Cities &amp; Towns'!$A$28:$B$345,2,FALSE)</f>
        <v>2299.0500000000002</v>
      </c>
      <c r="BJ31" s="269">
        <f>BB31*VLOOKUP($B31,'Major Cities &amp; Towns'!$A$28:$B$345,2,FALSE)</f>
        <v>1552.5</v>
      </c>
      <c r="BK31" s="269">
        <f>BC31*VLOOKUP($B31,'Major Cities &amp; Towns'!$A$28:$B$345,2,FALSE)</f>
        <v>1570.0500000000002</v>
      </c>
      <c r="BL31" s="269">
        <f>BD31*VLOOKUP($B31,'Major Cities &amp; Towns'!$A$28:$B$345,2,FALSE)</f>
        <v>1555.2</v>
      </c>
      <c r="BM31" s="269">
        <f>BE31*VLOOKUP($B31,'Major Cities &amp; Towns'!$A$28:$B$345,2,FALSE)</f>
        <v>1540.3500000000001</v>
      </c>
      <c r="BN31" s="269">
        <f>BF31*VLOOKUP($B31,'Major Cities &amp; Towns'!$A$28:$B$345,2,FALSE)</f>
        <v>1529.5500000000002</v>
      </c>
      <c r="BO31" s="270">
        <f t="shared" si="33"/>
        <v>1697</v>
      </c>
      <c r="BP31" s="270">
        <f t="shared" si="34"/>
        <v>1703</v>
      </c>
      <c r="BQ31" s="270">
        <f t="shared" si="34"/>
        <v>1703</v>
      </c>
      <c r="BR31" s="270">
        <f t="shared" si="34"/>
        <v>1150</v>
      </c>
      <c r="BS31" s="270">
        <f t="shared" si="34"/>
        <v>1283.442191780822</v>
      </c>
      <c r="BT31" s="270">
        <f t="shared" si="34"/>
        <v>1152</v>
      </c>
      <c r="BU31" s="270">
        <f t="shared" si="34"/>
        <v>1141</v>
      </c>
      <c r="BV31" s="270">
        <f t="shared" si="34"/>
        <v>1133</v>
      </c>
      <c r="BW31" s="39">
        <f>VLOOKUP($A31,NetAdditions!$A$2:$H$336,6,FALSE)</f>
        <v>1614</v>
      </c>
      <c r="BX31" s="39">
        <f>VLOOKUP($A31,NetAdditions!$A$2:$H$336,7,FALSE)</f>
        <v>1010</v>
      </c>
      <c r="BY31" s="39">
        <f>IF((VLOOKUP($C31,NetAdditions!$A$2:$H$336,8,FALSE))="",(AVERAGE(VLOOKUP($C31,NetAdditions!$A$2:$H$336,5,FALSE),VLOOKUP($C31,NetAdditions!$A$2:$H$336,6,FALSE),VLOOKUP($C31,NetAdditions!$A$2:$H$336,7,FALSE))),VLOOKUP($C31,NetAdditions!$A$2:$H$336,8,FALSE))</f>
        <v>522</v>
      </c>
      <c r="BZ31" s="39">
        <f t="shared" si="35"/>
        <v>1048.6666666666667</v>
      </c>
      <c r="CA31" s="39">
        <f t="shared" si="35"/>
        <v>860.22222222222229</v>
      </c>
      <c r="CB31" s="39">
        <f t="shared" si="35"/>
        <v>810.29629629629642</v>
      </c>
      <c r="CC31" s="39">
        <f t="shared" si="35"/>
        <v>906.39506172839526</v>
      </c>
      <c r="CD31" s="39">
        <f t="shared" si="35"/>
        <v>858.97119341563803</v>
      </c>
      <c r="CE31" s="276">
        <f t="shared" si="5"/>
        <v>5103</v>
      </c>
      <c r="CF31" s="276">
        <f t="shared" si="6"/>
        <v>4556</v>
      </c>
      <c r="CG31" s="276">
        <f t="shared" si="7"/>
        <v>4136.4421917808222</v>
      </c>
      <c r="CH31" s="276">
        <f t="shared" si="8"/>
        <v>3585.4421917808222</v>
      </c>
      <c r="CI31" s="276">
        <f t="shared" si="9"/>
        <v>3576.4421917808222</v>
      </c>
      <c r="CJ31" s="276">
        <f t="shared" si="10"/>
        <v>3426</v>
      </c>
      <c r="CK31" s="276">
        <f t="shared" si="36"/>
        <v>4394.25</v>
      </c>
      <c r="CL31" s="276">
        <f t="shared" si="37"/>
        <v>3923.2222222222226</v>
      </c>
      <c r="CM31" s="276">
        <f t="shared" si="38"/>
        <v>3791.7386757990866</v>
      </c>
      <c r="CN31" s="276">
        <f t="shared" si="39"/>
        <v>3585.4421917808222</v>
      </c>
      <c r="CO31" s="276">
        <f t="shared" si="39"/>
        <v>3576.4421917808222</v>
      </c>
      <c r="CP31" s="276">
        <f t="shared" si="11"/>
        <v>3426</v>
      </c>
      <c r="CQ31" s="39">
        <f t="shared" si="12"/>
        <v>3146</v>
      </c>
      <c r="CR31" s="39">
        <f t="shared" si="13"/>
        <v>2580.666666666667</v>
      </c>
      <c r="CS31" s="277">
        <f t="shared" si="14"/>
        <v>2430.8888888888891</v>
      </c>
      <c r="CT31" s="39">
        <f t="shared" si="15"/>
        <v>2719.1851851851857</v>
      </c>
      <c r="CU31" s="39">
        <f t="shared" si="16"/>
        <v>2576.9135802469141</v>
      </c>
      <c r="CV31" s="39">
        <f t="shared" si="17"/>
        <v>2575.6625514403295</v>
      </c>
      <c r="CW31" s="297">
        <f t="shared" si="18"/>
        <v>0.71593559765602777</v>
      </c>
      <c r="CX31" s="279" t="str">
        <f t="shared" si="40"/>
        <v>Buffer and Action Plan</v>
      </c>
      <c r="CY31" s="278">
        <f t="shared" si="19"/>
        <v>0.65779263077402361</v>
      </c>
      <c r="CZ31" s="279" t="str">
        <f t="shared" si="41"/>
        <v>Buffer and Action Plan</v>
      </c>
      <c r="DA31" s="278">
        <f t="shared" si="20"/>
        <v>0.6411013776883222</v>
      </c>
      <c r="DB31" s="292" t="str">
        <f t="shared" si="42"/>
        <v>Presumption</v>
      </c>
      <c r="DC31" s="299">
        <f t="shared" si="43"/>
        <v>0.75839604705343666</v>
      </c>
      <c r="DD31" s="293" t="str">
        <f t="shared" si="44"/>
        <v>Buffer and Action Plan</v>
      </c>
      <c r="DE31" s="299">
        <f t="shared" si="45"/>
        <v>0.72052432055774074</v>
      </c>
      <c r="DF31" s="293" t="str">
        <f t="shared" si="46"/>
        <v>Presumption</v>
      </c>
      <c r="DG31" s="299">
        <f t="shared" si="47"/>
        <v>0.75179875990669276</v>
      </c>
      <c r="DH31" s="293" t="str">
        <f t="shared" si="48"/>
        <v>Buffer and Action Plan</v>
      </c>
    </row>
    <row r="32" spans="1:112" ht="15" thickTop="1" thickBot="1">
      <c r="A32" s="38" t="s">
        <v>173</v>
      </c>
      <c r="B32" s="38" t="s">
        <v>174</v>
      </c>
      <c r="C32" s="38" t="s">
        <v>173</v>
      </c>
      <c r="D32" s="38" t="s">
        <v>128</v>
      </c>
      <c r="E32" s="38" t="str">
        <f>VLOOKUP(C32,PoliticalControl!A:K,11,FALSE)</f>
        <v>CON</v>
      </c>
      <c r="F32" s="38" t="str">
        <f>VLOOKUP(C32,UrbanRuralClassification!A:N,13,FALSE)</f>
        <v xml:space="preserve">Largely Rural (rural including hub towns 50-79%) </v>
      </c>
      <c r="G32" s="38" t="str">
        <f>VLOOKUP(C32,UrbanRuralClassification!A:N,14,FALSE)</f>
        <v>Predominantly Rural</v>
      </c>
      <c r="H32" s="258">
        <f>IF(ISBLANK((VLOOKUP($A32,'local-plan-data'!$C$1:$AD$566,27,FALSE)))=TRUE,"",VLOOKUP($A32,'local-plan-data'!$C$1:$AD$566,27,FALSE))</f>
        <v>44249</v>
      </c>
      <c r="I32" s="259">
        <f>VLOOKUP($A32,'local-plan-data'!$C$1:$AD$566,28,FALSE)</f>
        <v>716</v>
      </c>
      <c r="J32" s="260">
        <f t="shared" si="21"/>
        <v>716</v>
      </c>
      <c r="K32" s="259">
        <f t="shared" si="22"/>
        <v>716</v>
      </c>
      <c r="L32" s="259">
        <f t="shared" si="22"/>
        <v>716</v>
      </c>
      <c r="M32" s="259">
        <f t="shared" si="22"/>
        <v>716</v>
      </c>
      <c r="N32" s="259">
        <f t="shared" si="22"/>
        <v>716</v>
      </c>
      <c r="O32" s="259">
        <f t="shared" si="22"/>
        <v>716</v>
      </c>
      <c r="P32" s="259">
        <f t="shared" si="22"/>
        <v>716</v>
      </c>
      <c r="Q32" s="259">
        <f t="shared" si="22"/>
        <v>716</v>
      </c>
      <c r="R32" s="259">
        <f t="shared" si="22"/>
        <v>716</v>
      </c>
      <c r="S32" s="259">
        <f t="shared" si="23"/>
        <v>2884</v>
      </c>
      <c r="T32" s="259">
        <f t="shared" si="23"/>
        <v>2519</v>
      </c>
      <c r="U32" s="259">
        <f t="shared" si="23"/>
        <v>2153</v>
      </c>
      <c r="V32" s="259">
        <f t="shared" si="23"/>
        <v>1788</v>
      </c>
      <c r="W32" s="259">
        <f t="shared" si="23"/>
        <v>1423</v>
      </c>
      <c r="X32" s="259">
        <f t="shared" si="23"/>
        <v>1058</v>
      </c>
      <c r="Y32" s="259">
        <f t="shared" si="23"/>
        <v>692</v>
      </c>
      <c r="Z32" s="259">
        <f t="shared" si="23"/>
        <v>327</v>
      </c>
      <c r="AA32" s="267">
        <f>(VLOOKUP(A32,Hshldprojections2014!$A$2:$AW$319,40, FALSE)-VLOOKUP(A32,Hshldprojections2014!$A$2:$AW$319,30, FALSE))/10</f>
        <v>631.6</v>
      </c>
      <c r="AB32" s="267">
        <f>(VLOOKUP(A32,Hshldprojections2014!$A$2:$AW$319,41, FALSE)-VLOOKUP(A32,Hshldprojections2014!$A$2:$AW$319,31, FALSE))/10</f>
        <v>622.20000000000005</v>
      </c>
      <c r="AC32" s="267">
        <f>(VLOOKUP(A32,Hshldprojections2014!$A$2:$AW$319,42, FALSE)-VLOOKUP(A32,Hshldprojections2014!$A$2:$AW$319,32, FALSE))/10</f>
        <v>616.6</v>
      </c>
      <c r="AD32" s="267">
        <f>IF(IndividualLATest!$J$7=2014,(VLOOKUP($A32,Hshldprojections2014!$A$2:$AY$326,43,FALSE)-VLOOKUP($A32,Hshldprojections2014!$A$2:$AY$326,33,FALSE))/10,IF(IndividualLATest!$J$7=2016,(VLOOKUP($A32,Hshldprojections2016!$A$1:$AQ$322,33,FALSE)-VLOOKUP($A32,Hshldprojections2016!$A$1:$AQ$322,23,FALSE))/10,(VLOOKUP($A32,Hshldprojections2018!$A$1:$AQ$327,33,FALSE)-VLOOKUP($A32,Hshldprojections2018!$A$1:$AQ$327,23,FALSE))/10))</f>
        <v>363.7</v>
      </c>
      <c r="AE32" s="267">
        <f>IF(IndividualLATest!$J$7=2014,(VLOOKUP($A32,Hshldprojections2014!$A$2:$AY$326,44,FALSE)-VLOOKUP($A32,Hshldprojections2014!$A$2:$AY$326,34,FALSE))/10,IF(IndividualLATest!$J$7=2016,(VLOOKUP($A32,Hshldprojections2016!$A$1:$AQ$322,34,FALSE)-VLOOKUP($A32,Hshldprojections2016!$A$1:$AQ$322,24,FALSE))/10,(VLOOKUP($A32,Hshldprojections2018!$A$1:$AQ$327,34,FALSE)-VLOOKUP($A32,Hshldprojections2018!$A$1:$AQ$327,24,FALSE))/10))</f>
        <v>353.2</v>
      </c>
      <c r="AF32" s="267">
        <f>IF(IndividualLATest!$J$7=2014,(VLOOKUP($A32,Hshldprojections2014!$A$2:$AY$326,45,FALSE)-VLOOKUP($A32,Hshldprojections2014!$A$2:$AY$326,35,FALSE))/10,IF(IndividualLATest!$J$7=2016,(VLOOKUP($A32,Hshldprojections2016!$A$1:$AQ$322,35,FALSE)-VLOOKUP($A32,Hshldprojections2016!$A$1:$AQ$322,25,FALSE))/10,(VLOOKUP($A32,Hshldprojections2018!$A$1:$AQ$327,35,FALSE)-VLOOKUP($A32,Hshldprojections2018!$A$1:$AQ$327,25,FALSE))/10))</f>
        <v>345.5</v>
      </c>
      <c r="AG32" s="267">
        <f>IF(IndividualLATest!$J$7=2014,(VLOOKUP($A32,Hshldprojections2014!$A$2:$AY$326,46,FALSE)-VLOOKUP($A32,Hshldprojections2014!$A$2:$AY$326,36,FALSE))/10,IF(IndividualLATest!$J$7=2016,(VLOOKUP($A32,Hshldprojections2016!$A$1:$AQ$322,36,FALSE)-VLOOKUP($A32,Hshldprojections2016!$A$1:$AQ$322,26,FALSE))/10,(VLOOKUP($A32,Hshldprojections2018!$A$1:$AQ$327,36,FALSE)-VLOOKUP($A32,Hshldprojections2018!$A$1:$AQ$327,26,FALSE))/10))</f>
        <v>337.1</v>
      </c>
      <c r="AH32" s="267">
        <f>IF(IndividualLATest!$J$7=2014,(VLOOKUP($A32,Hshldprojections2014!$A$2:$AY$326,47,FALSE)-VLOOKUP($A32,Hshldprojections2014!$A$2:$AY$326,37,FALSE))/10,IF(IndividualLATest!$J$7=2016,(VLOOKUP($A32,Hshldprojections2016!$A$1:$AQ$322,37,FALSE)-VLOOKUP($A32,Hshldprojections2016!$A$1:$AQ$322,27,FALSE))/10,(VLOOKUP($A32,Hshldprojections2018!$A$1:$AQ$327,37,FALSE)-VLOOKUP($A32,Hshldprojections2018!$A$1:$AQ$327,27,FALSE))/10))</f>
        <v>333.3</v>
      </c>
      <c r="AI32" s="268">
        <f>IF(ISNUMBER('Sensitivity Tests'!$C$30),'Sensitivity Tests'!$C$30,VLOOKUP($A32,AffordabilityRatio!$A$2:$I$321,5,FALSE))</f>
        <v>9.5</v>
      </c>
      <c r="AJ32" s="268">
        <f>IF(ISNUMBER('Sensitivity Tests'!$C$30),'Sensitivity Tests'!$C$30,VLOOKUP($A32,AffordabilityRatio!$A$2:$I$321,6,FALSE))</f>
        <v>10.26</v>
      </c>
      <c r="AK32" s="268">
        <f>IF(ISNUMBER('Sensitivity Tests'!$C$30),'Sensitivity Tests'!$C$30,VLOOKUP($A32,AffordabilityRatio!$A$2:$I$321,7,FALSE))</f>
        <v>10.23</v>
      </c>
      <c r="AL32" s="268">
        <f>IF(ISNUMBER('Sensitivity Tests'!$C$30),'Sensitivity Tests'!$C$30,IF((VLOOKUP($A32,AffordabilityRatio!$A$2:$I$321,8,FALSE))="",AK32,VLOOKUP($A32,AffordabilityRatio!$A$2:$I$321,8,FALSE)))</f>
        <v>9.81</v>
      </c>
      <c r="AM32" s="268">
        <f>IF(ISNUMBER('Sensitivity Tests'!$C$30),'Sensitivity Tests'!$C$30,IF((VLOOKUP($A32,AffordabilityRatio!$A$2:$I$321,9,FALSE))="",AL32,VLOOKUP($A32,AffordabilityRatio!$A$2:$I$321,9,FALSE)))</f>
        <v>10.6</v>
      </c>
      <c r="AN32" s="268">
        <f>IF(ISNUMBER('Sensitivity Tests'!$C$30),'Sensitivity Tests'!$C$30,IF((VLOOKUP($A32,AffordabilityRatio!$A$2:$I$321,9,FALSE))="",AM32,VLOOKUP($A32,AffordabilityRatio!$A$2:$I$321,9,FALSE)))</f>
        <v>10.6</v>
      </c>
      <c r="AO32" s="268">
        <f>IF(ISNUMBER('Sensitivity Tests'!$C$30),'Sensitivity Tests'!$C$30,IF((VLOOKUP($A32,AffordabilityRatio!$A$2:$I$321,9,FALSE))="",AN32,VLOOKUP($A32,AffordabilityRatio!$A$2:$I$321,9,FALSE)))</f>
        <v>10.6</v>
      </c>
      <c r="AP32" s="268">
        <f>IF(ISNUMBER('Sensitivity Tests'!$C$30),'Sensitivity Tests'!$C$30,IF((VLOOKUP($A32,AffordabilityRatio!$A$2:$I$321,9,FALSE))="",AO32,VLOOKUP($A32,AffordabilityRatio!$A$2:$I$321,9,FALSE)))</f>
        <v>10.6</v>
      </c>
      <c r="AQ32" s="267">
        <f t="shared" si="24"/>
        <v>849</v>
      </c>
      <c r="AR32" s="267">
        <f t="shared" si="24"/>
        <v>866</v>
      </c>
      <c r="AS32" s="267">
        <f t="shared" si="24"/>
        <v>857</v>
      </c>
      <c r="AT32" s="267">
        <f t="shared" si="24"/>
        <v>496</v>
      </c>
      <c r="AU32" s="267">
        <f t="shared" si="24"/>
        <v>499</v>
      </c>
      <c r="AV32" s="267">
        <f t="shared" si="24"/>
        <v>488</v>
      </c>
      <c r="AW32" s="267">
        <f t="shared" si="24"/>
        <v>476</v>
      </c>
      <c r="AX32" s="267">
        <f t="shared" si="24"/>
        <v>471</v>
      </c>
      <c r="AY32" s="267">
        <f t="shared" si="25"/>
        <v>849</v>
      </c>
      <c r="AZ32" s="267">
        <f t="shared" si="26"/>
        <v>866</v>
      </c>
      <c r="BA32" s="267">
        <f t="shared" si="27"/>
        <v>857</v>
      </c>
      <c r="BB32" s="267">
        <f t="shared" si="28"/>
        <v>496</v>
      </c>
      <c r="BC32" s="267">
        <f t="shared" si="29"/>
        <v>499</v>
      </c>
      <c r="BD32" s="267">
        <f t="shared" si="30"/>
        <v>488</v>
      </c>
      <c r="BE32" s="267">
        <f t="shared" si="31"/>
        <v>476</v>
      </c>
      <c r="BF32" s="267">
        <f t="shared" si="32"/>
        <v>471</v>
      </c>
      <c r="BG32" s="269">
        <f>AY32*VLOOKUP($B32,'Major Cities &amp; Towns'!$A$28:$B$345,2,FALSE)</f>
        <v>849</v>
      </c>
      <c r="BH32" s="269">
        <f>AZ32*VLOOKUP($B32,'Major Cities &amp; Towns'!$A$28:$B$345,2,FALSE)</f>
        <v>866</v>
      </c>
      <c r="BI32" s="269">
        <f>BA32*VLOOKUP($B32,'Major Cities &amp; Towns'!$A$28:$B$345,2,FALSE)</f>
        <v>857</v>
      </c>
      <c r="BJ32" s="269">
        <f>BB32*VLOOKUP($B32,'Major Cities &amp; Towns'!$A$28:$B$345,2,FALSE)</f>
        <v>496</v>
      </c>
      <c r="BK32" s="269">
        <f>BC32*VLOOKUP($B32,'Major Cities &amp; Towns'!$A$28:$B$345,2,FALSE)</f>
        <v>499</v>
      </c>
      <c r="BL32" s="269">
        <f>BD32*VLOOKUP($B32,'Major Cities &amp; Towns'!$A$28:$B$345,2,FALSE)</f>
        <v>488</v>
      </c>
      <c r="BM32" s="269">
        <f>BE32*VLOOKUP($B32,'Major Cities &amp; Towns'!$A$28:$B$345,2,FALSE)</f>
        <v>476</v>
      </c>
      <c r="BN32" s="269">
        <f>BF32*VLOOKUP($B32,'Major Cities &amp; Towns'!$A$28:$B$345,2,FALSE)</f>
        <v>471</v>
      </c>
      <c r="BO32" s="270">
        <f t="shared" si="33"/>
        <v>716</v>
      </c>
      <c r="BP32" s="270">
        <f t="shared" si="34"/>
        <v>716</v>
      </c>
      <c r="BQ32" s="270">
        <f t="shared" si="34"/>
        <v>716</v>
      </c>
      <c r="BR32" s="270">
        <f t="shared" si="34"/>
        <v>496</v>
      </c>
      <c r="BS32" s="270">
        <f t="shared" si="34"/>
        <v>499</v>
      </c>
      <c r="BT32" s="270">
        <f t="shared" si="34"/>
        <v>488</v>
      </c>
      <c r="BU32" s="270">
        <f t="shared" si="34"/>
        <v>476</v>
      </c>
      <c r="BV32" s="270">
        <f t="shared" si="34"/>
        <v>471</v>
      </c>
      <c r="BW32" s="39">
        <f>VLOOKUP($A32,NetAdditions!$A$2:$H$336,6,FALSE)</f>
        <v>534</v>
      </c>
      <c r="BX32" s="39">
        <f>VLOOKUP($A32,NetAdditions!$A$2:$H$336,7,FALSE)</f>
        <v>884</v>
      </c>
      <c r="BY32" s="39">
        <f>IF((VLOOKUP($C32,NetAdditions!$A$2:$H$336,8,FALSE))="",(AVERAGE(VLOOKUP($C32,NetAdditions!$A$2:$H$336,5,FALSE),VLOOKUP($C32,NetAdditions!$A$2:$H$336,6,FALSE),VLOOKUP($C32,NetAdditions!$A$2:$H$336,7,FALSE))),VLOOKUP($C32,NetAdditions!$A$2:$H$336,8,FALSE))</f>
        <v>846</v>
      </c>
      <c r="BZ32" s="39">
        <f t="shared" si="35"/>
        <v>754.66666666666663</v>
      </c>
      <c r="CA32" s="39">
        <f t="shared" si="35"/>
        <v>828.22222222222217</v>
      </c>
      <c r="CB32" s="39">
        <f t="shared" si="35"/>
        <v>809.62962962962956</v>
      </c>
      <c r="CC32" s="39">
        <f t="shared" si="35"/>
        <v>797.50617283950612</v>
      </c>
      <c r="CD32" s="39">
        <f t="shared" si="35"/>
        <v>811.78600823045269</v>
      </c>
      <c r="CE32" s="276">
        <f t="shared" si="5"/>
        <v>2148</v>
      </c>
      <c r="CF32" s="276">
        <f t="shared" si="6"/>
        <v>1928</v>
      </c>
      <c r="CG32" s="276">
        <f t="shared" si="7"/>
        <v>1711</v>
      </c>
      <c r="CH32" s="276">
        <f t="shared" si="8"/>
        <v>1483</v>
      </c>
      <c r="CI32" s="276">
        <f t="shared" si="9"/>
        <v>1463</v>
      </c>
      <c r="CJ32" s="276">
        <f t="shared" si="10"/>
        <v>1435</v>
      </c>
      <c r="CK32" s="276">
        <f t="shared" si="36"/>
        <v>1849.6666666666667</v>
      </c>
      <c r="CL32" s="276">
        <f t="shared" si="37"/>
        <v>1660.2222222222224</v>
      </c>
      <c r="CM32" s="276">
        <f t="shared" si="38"/>
        <v>1568.4166666666665</v>
      </c>
      <c r="CN32" s="276">
        <f t="shared" si="39"/>
        <v>1483</v>
      </c>
      <c r="CO32" s="276">
        <f t="shared" si="39"/>
        <v>1463</v>
      </c>
      <c r="CP32" s="276">
        <f t="shared" si="11"/>
        <v>1435</v>
      </c>
      <c r="CQ32" s="39">
        <f t="shared" si="12"/>
        <v>2264</v>
      </c>
      <c r="CR32" s="39">
        <f t="shared" si="13"/>
        <v>2484.6666666666665</v>
      </c>
      <c r="CS32" s="277">
        <f t="shared" si="14"/>
        <v>2428.8888888888887</v>
      </c>
      <c r="CT32" s="39">
        <f t="shared" si="15"/>
        <v>2392.5185185185182</v>
      </c>
      <c r="CU32" s="39">
        <f t="shared" si="16"/>
        <v>2435.358024691358</v>
      </c>
      <c r="CV32" s="39">
        <f t="shared" si="17"/>
        <v>2418.9218106995886</v>
      </c>
      <c r="CW32" s="297">
        <f t="shared" si="18"/>
        <v>1.2240043251036221</v>
      </c>
      <c r="CX32" s="279" t="str">
        <f t="shared" si="40"/>
        <v>Pass</v>
      </c>
      <c r="CY32" s="278">
        <f t="shared" si="19"/>
        <v>1.4965868023022351</v>
      </c>
      <c r="CZ32" s="279" t="str">
        <f t="shared" si="41"/>
        <v>Pass</v>
      </c>
      <c r="DA32" s="278">
        <f t="shared" si="20"/>
        <v>1.5486247631192109</v>
      </c>
      <c r="DB32" s="292" t="str">
        <f t="shared" si="42"/>
        <v>Pass</v>
      </c>
      <c r="DC32" s="299">
        <f t="shared" si="43"/>
        <v>1.6132963712194999</v>
      </c>
      <c r="DD32" s="293" t="str">
        <f t="shared" si="44"/>
        <v>Pass</v>
      </c>
      <c r="DE32" s="299">
        <f t="shared" si="45"/>
        <v>1.664632962878577</v>
      </c>
      <c r="DF32" s="293" t="str">
        <f t="shared" si="46"/>
        <v>Pass</v>
      </c>
      <c r="DG32" s="299">
        <f t="shared" si="47"/>
        <v>1.6856597983969259</v>
      </c>
      <c r="DH32" s="293" t="str">
        <f t="shared" si="48"/>
        <v>Pass</v>
      </c>
    </row>
    <row r="33" spans="1:112" ht="15" thickTop="1" thickBot="1">
      <c r="A33" s="38" t="s">
        <v>175</v>
      </c>
      <c r="B33" s="38" t="s">
        <v>176</v>
      </c>
      <c r="C33" s="38" t="s">
        <v>175</v>
      </c>
      <c r="D33" s="38" t="s">
        <v>128</v>
      </c>
      <c r="E33" s="38" t="str">
        <f>VLOOKUP(C33,PoliticalControl!A:K,11,FALSE)</f>
        <v>CON</v>
      </c>
      <c r="F33" s="38" t="str">
        <f>VLOOKUP(C33,UrbanRuralClassification!A:N,13,FALSE)</f>
        <v xml:space="preserve">Mainly Rural (rural including hub towns &gt;=80%) </v>
      </c>
      <c r="G33" s="38" t="str">
        <f>VLOOKUP(C33,UrbanRuralClassification!A:N,14,FALSE)</f>
        <v>Predominantly Rural</v>
      </c>
      <c r="H33" s="258">
        <f>IF(ISBLANK((VLOOKUP($A33,'local-plan-data'!$C$1:$AD$566,27,FALSE)))=TRUE,"",VLOOKUP($A33,'local-plan-data'!$C$1:$AD$566,27,FALSE))</f>
        <v>43797</v>
      </c>
      <c r="I33" s="259">
        <f>VLOOKUP($A33,'local-plan-data'!$C$1:$AD$566,28,FALSE)</f>
        <v>611.91999999999996</v>
      </c>
      <c r="J33" s="260">
        <f t="shared" si="21"/>
        <v>611.91999999999996</v>
      </c>
      <c r="K33" s="259">
        <f t="shared" si="22"/>
        <v>611.91999999999996</v>
      </c>
      <c r="L33" s="259">
        <f t="shared" si="22"/>
        <v>611.91999999999996</v>
      </c>
      <c r="M33" s="259">
        <f t="shared" si="22"/>
        <v>611.91999999999996</v>
      </c>
      <c r="N33" s="259">
        <f t="shared" si="22"/>
        <v>611.91999999999996</v>
      </c>
      <c r="O33" s="259">
        <f t="shared" si="22"/>
        <v>611.91999999999996</v>
      </c>
      <c r="P33" s="259">
        <f t="shared" si="22"/>
        <v>611.91999999999996</v>
      </c>
      <c r="Q33" s="259">
        <f t="shared" si="22"/>
        <v>611.91999999999996</v>
      </c>
      <c r="R33" s="259" t="str">
        <f t="shared" si="22"/>
        <v>-</v>
      </c>
      <c r="S33" s="259">
        <f t="shared" si="23"/>
        <v>2433</v>
      </c>
      <c r="T33" s="259">
        <f t="shared" si="23"/>
        <v>2068</v>
      </c>
      <c r="U33" s="259">
        <f t="shared" si="23"/>
        <v>1702</v>
      </c>
      <c r="V33" s="259">
        <f t="shared" si="23"/>
        <v>1337</v>
      </c>
      <c r="W33" s="259">
        <f t="shared" si="23"/>
        <v>972</v>
      </c>
      <c r="X33" s="259">
        <f t="shared" si="23"/>
        <v>607</v>
      </c>
      <c r="Y33" s="259">
        <f t="shared" si="23"/>
        <v>241</v>
      </c>
      <c r="Z33" s="259">
        <f t="shared" si="23"/>
        <v>-124</v>
      </c>
      <c r="AA33" s="267">
        <f>(VLOOKUP(A33,Hshldprojections2014!$A$2:$AW$319,40, FALSE)-VLOOKUP(A33,Hshldprojections2014!$A$2:$AW$319,30, FALSE))/10</f>
        <v>524.5</v>
      </c>
      <c r="AB33" s="267">
        <f>(VLOOKUP(A33,Hshldprojections2014!$A$2:$AW$319,41, FALSE)-VLOOKUP(A33,Hshldprojections2014!$A$2:$AW$319,31, FALSE))/10</f>
        <v>517.70000000000005</v>
      </c>
      <c r="AC33" s="267">
        <f>(VLOOKUP(A33,Hshldprojections2014!$A$2:$AW$319,42, FALSE)-VLOOKUP(A33,Hshldprojections2014!$A$2:$AW$319,32, FALSE))/10</f>
        <v>512.1</v>
      </c>
      <c r="AD33" s="267">
        <f>IF(IndividualLATest!$J$7=2014,(VLOOKUP($A33,Hshldprojections2014!$A$2:$AY$326,43,FALSE)-VLOOKUP($A33,Hshldprojections2014!$A$2:$AY$326,33,FALSE))/10,IF(IndividualLATest!$J$7=2016,(VLOOKUP($A33,Hshldprojections2016!$A$1:$AQ$322,33,FALSE)-VLOOKUP($A33,Hshldprojections2016!$A$1:$AQ$322,23,FALSE))/10,(VLOOKUP($A33,Hshldprojections2018!$A$1:$AQ$327,33,FALSE)-VLOOKUP($A33,Hshldprojections2018!$A$1:$AQ$327,23,FALSE))/10))</f>
        <v>621.9</v>
      </c>
      <c r="AE33" s="267">
        <f>IF(IndividualLATest!$J$7=2014,(VLOOKUP($A33,Hshldprojections2014!$A$2:$AY$326,44,FALSE)-VLOOKUP($A33,Hshldprojections2014!$A$2:$AY$326,34,FALSE))/10,IF(IndividualLATest!$J$7=2016,(VLOOKUP($A33,Hshldprojections2016!$A$1:$AQ$322,34,FALSE)-VLOOKUP($A33,Hshldprojections2016!$A$1:$AQ$322,24,FALSE))/10,(VLOOKUP($A33,Hshldprojections2018!$A$1:$AQ$327,34,FALSE)-VLOOKUP($A33,Hshldprojections2018!$A$1:$AQ$327,24,FALSE))/10))</f>
        <v>608.20000000000005</v>
      </c>
      <c r="AF33" s="267">
        <f>IF(IndividualLATest!$J$7=2014,(VLOOKUP($A33,Hshldprojections2014!$A$2:$AY$326,45,FALSE)-VLOOKUP($A33,Hshldprojections2014!$A$2:$AY$326,35,FALSE))/10,IF(IndividualLATest!$J$7=2016,(VLOOKUP($A33,Hshldprojections2016!$A$1:$AQ$322,35,FALSE)-VLOOKUP($A33,Hshldprojections2016!$A$1:$AQ$322,25,FALSE))/10,(VLOOKUP($A33,Hshldprojections2018!$A$1:$AQ$327,35,FALSE)-VLOOKUP($A33,Hshldprojections2018!$A$1:$AQ$327,25,FALSE))/10))</f>
        <v>596.29999999999995</v>
      </c>
      <c r="AG33" s="267">
        <f>IF(IndividualLATest!$J$7=2014,(VLOOKUP($A33,Hshldprojections2014!$A$2:$AY$326,46,FALSE)-VLOOKUP($A33,Hshldprojections2014!$A$2:$AY$326,36,FALSE))/10,IF(IndividualLATest!$J$7=2016,(VLOOKUP($A33,Hshldprojections2016!$A$1:$AQ$322,36,FALSE)-VLOOKUP($A33,Hshldprojections2016!$A$1:$AQ$322,26,FALSE))/10,(VLOOKUP($A33,Hshldprojections2018!$A$1:$AQ$327,36,FALSE)-VLOOKUP($A33,Hshldprojections2018!$A$1:$AQ$327,26,FALSE))/10))</f>
        <v>584.20000000000005</v>
      </c>
      <c r="AH33" s="267">
        <f>IF(IndividualLATest!$J$7=2014,(VLOOKUP($A33,Hshldprojections2014!$A$2:$AY$326,47,FALSE)-VLOOKUP($A33,Hshldprojections2014!$A$2:$AY$326,37,FALSE))/10,IF(IndividualLATest!$J$7=2016,(VLOOKUP($A33,Hshldprojections2016!$A$1:$AQ$322,37,FALSE)-VLOOKUP($A33,Hshldprojections2016!$A$1:$AQ$322,27,FALSE))/10,(VLOOKUP($A33,Hshldprojections2018!$A$1:$AQ$327,37,FALSE)-VLOOKUP($A33,Hshldprojections2018!$A$1:$AQ$327,27,FALSE))/10))</f>
        <v>576</v>
      </c>
      <c r="AI33" s="268">
        <f>IF(ISNUMBER('Sensitivity Tests'!$C$30),'Sensitivity Tests'!$C$30,VLOOKUP($A33,AffordabilityRatio!$A$2:$I$321,5,FALSE))</f>
        <v>9.34</v>
      </c>
      <c r="AJ33" s="268">
        <f>IF(ISNUMBER('Sensitivity Tests'!$C$30),'Sensitivity Tests'!$C$30,VLOOKUP($A33,AffordabilityRatio!$A$2:$I$321,6,FALSE))</f>
        <v>9.14</v>
      </c>
      <c r="AK33" s="268">
        <f>IF(ISNUMBER('Sensitivity Tests'!$C$30),'Sensitivity Tests'!$C$30,VLOOKUP($A33,AffordabilityRatio!$A$2:$I$321,7,FALSE))</f>
        <v>8.67</v>
      </c>
      <c r="AL33" s="268">
        <f>IF(ISNUMBER('Sensitivity Tests'!$C$30),'Sensitivity Tests'!$C$30,IF((VLOOKUP($A33,AffordabilityRatio!$A$2:$I$321,8,FALSE))="",AK33,VLOOKUP($A33,AffordabilityRatio!$A$2:$I$321,8,FALSE)))</f>
        <v>8.5</v>
      </c>
      <c r="AM33" s="268">
        <f>IF(ISNUMBER('Sensitivity Tests'!$C$30),'Sensitivity Tests'!$C$30,IF((VLOOKUP($A33,AffordabilityRatio!$A$2:$I$321,9,FALSE))="",AL33,VLOOKUP($A33,AffordabilityRatio!$A$2:$I$321,9,FALSE)))</f>
        <v>9.4</v>
      </c>
      <c r="AN33" s="268">
        <f>IF(ISNUMBER('Sensitivity Tests'!$C$30),'Sensitivity Tests'!$C$30,IF((VLOOKUP($A33,AffordabilityRatio!$A$2:$I$321,9,FALSE))="",AM33,VLOOKUP($A33,AffordabilityRatio!$A$2:$I$321,9,FALSE)))</f>
        <v>9.4</v>
      </c>
      <c r="AO33" s="268">
        <f>IF(ISNUMBER('Sensitivity Tests'!$C$30),'Sensitivity Tests'!$C$30,IF((VLOOKUP($A33,AffordabilityRatio!$A$2:$I$321,9,FALSE))="",AN33,VLOOKUP($A33,AffordabilityRatio!$A$2:$I$321,9,FALSE)))</f>
        <v>9.4</v>
      </c>
      <c r="AP33" s="268">
        <f>IF(ISNUMBER('Sensitivity Tests'!$C$30),'Sensitivity Tests'!$C$30,IF((VLOOKUP($A33,AffordabilityRatio!$A$2:$I$321,9,FALSE))="",AO33,VLOOKUP($A33,AffordabilityRatio!$A$2:$I$321,9,FALSE)))</f>
        <v>9.4</v>
      </c>
      <c r="AQ33" s="267">
        <f t="shared" si="24"/>
        <v>700</v>
      </c>
      <c r="AR33" s="267">
        <f t="shared" si="24"/>
        <v>684</v>
      </c>
      <c r="AS33" s="267">
        <f t="shared" si="24"/>
        <v>662</v>
      </c>
      <c r="AT33" s="267">
        <f t="shared" si="24"/>
        <v>797</v>
      </c>
      <c r="AU33" s="267">
        <f t="shared" si="24"/>
        <v>813</v>
      </c>
      <c r="AV33" s="267">
        <f t="shared" si="24"/>
        <v>798</v>
      </c>
      <c r="AW33" s="267">
        <f t="shared" si="24"/>
        <v>781</v>
      </c>
      <c r="AX33" s="267">
        <f t="shared" si="24"/>
        <v>770</v>
      </c>
      <c r="AY33" s="267">
        <f t="shared" si="25"/>
        <v>700</v>
      </c>
      <c r="AZ33" s="267">
        <f t="shared" si="26"/>
        <v>684</v>
      </c>
      <c r="BA33" s="267">
        <f t="shared" si="27"/>
        <v>662</v>
      </c>
      <c r="BB33" s="267">
        <f t="shared" si="28"/>
        <v>797</v>
      </c>
      <c r="BC33" s="267">
        <f t="shared" si="29"/>
        <v>813</v>
      </c>
      <c r="BD33" s="267">
        <f t="shared" si="30"/>
        <v>798</v>
      </c>
      <c r="BE33" s="267">
        <f t="shared" si="31"/>
        <v>781</v>
      </c>
      <c r="BF33" s="267">
        <f t="shared" si="32"/>
        <v>770</v>
      </c>
      <c r="BG33" s="269">
        <f>AY33*VLOOKUP($B33,'Major Cities &amp; Towns'!$A$28:$B$345,2,FALSE)</f>
        <v>700</v>
      </c>
      <c r="BH33" s="269">
        <f>AZ33*VLOOKUP($B33,'Major Cities &amp; Towns'!$A$28:$B$345,2,FALSE)</f>
        <v>684</v>
      </c>
      <c r="BI33" s="269">
        <f>BA33*VLOOKUP($B33,'Major Cities &amp; Towns'!$A$28:$B$345,2,FALSE)</f>
        <v>662</v>
      </c>
      <c r="BJ33" s="269">
        <f>BB33*VLOOKUP($B33,'Major Cities &amp; Towns'!$A$28:$B$345,2,FALSE)</f>
        <v>797</v>
      </c>
      <c r="BK33" s="269">
        <f>BC33*VLOOKUP($B33,'Major Cities &amp; Towns'!$A$28:$B$345,2,FALSE)</f>
        <v>813</v>
      </c>
      <c r="BL33" s="269">
        <f>BD33*VLOOKUP($B33,'Major Cities &amp; Towns'!$A$28:$B$345,2,FALSE)</f>
        <v>798</v>
      </c>
      <c r="BM33" s="269">
        <f>BE33*VLOOKUP($B33,'Major Cities &amp; Towns'!$A$28:$B$345,2,FALSE)</f>
        <v>781</v>
      </c>
      <c r="BN33" s="269">
        <f>BF33*VLOOKUP($B33,'Major Cities &amp; Towns'!$A$28:$B$345,2,FALSE)</f>
        <v>770</v>
      </c>
      <c r="BO33" s="270">
        <f t="shared" si="33"/>
        <v>611.91999999999996</v>
      </c>
      <c r="BP33" s="270">
        <f t="shared" si="34"/>
        <v>611.91999999999996</v>
      </c>
      <c r="BQ33" s="270">
        <f t="shared" si="34"/>
        <v>611.91999999999996</v>
      </c>
      <c r="BR33" s="270">
        <f t="shared" si="34"/>
        <v>611.91999999999996</v>
      </c>
      <c r="BS33" s="270">
        <f t="shared" si="34"/>
        <v>611.91999999999996</v>
      </c>
      <c r="BT33" s="270">
        <f t="shared" si="34"/>
        <v>611.91999999999996</v>
      </c>
      <c r="BU33" s="270">
        <f t="shared" si="34"/>
        <v>669.36087671232872</v>
      </c>
      <c r="BV33" s="270">
        <f t="shared" si="34"/>
        <v>770</v>
      </c>
      <c r="BW33" s="39">
        <f>VLOOKUP($A33,NetAdditions!$A$2:$H$336,6,FALSE)</f>
        <v>753</v>
      </c>
      <c r="BX33" s="39">
        <f>VLOOKUP($A33,NetAdditions!$A$2:$H$336,7,FALSE)</f>
        <v>587</v>
      </c>
      <c r="BY33" s="39">
        <f>IF((VLOOKUP($C33,NetAdditions!$A$2:$H$336,8,FALSE))="",(AVERAGE(VLOOKUP($C33,NetAdditions!$A$2:$H$336,5,FALSE),VLOOKUP($C33,NetAdditions!$A$2:$H$336,6,FALSE),VLOOKUP($C33,NetAdditions!$A$2:$H$336,7,FALSE))),VLOOKUP($C33,NetAdditions!$A$2:$H$336,8,FALSE))</f>
        <v>551</v>
      </c>
      <c r="BZ33" s="39">
        <f t="shared" si="35"/>
        <v>630.33333333333337</v>
      </c>
      <c r="CA33" s="39">
        <f t="shared" si="35"/>
        <v>589.44444444444446</v>
      </c>
      <c r="CB33" s="39">
        <f t="shared" si="35"/>
        <v>590.25925925925924</v>
      </c>
      <c r="CC33" s="39">
        <f t="shared" si="35"/>
        <v>603.34567901234561</v>
      </c>
      <c r="CD33" s="39">
        <f t="shared" si="35"/>
        <v>594.3497942386831</v>
      </c>
      <c r="CE33" s="276">
        <f t="shared" si="5"/>
        <v>1835.7599999999998</v>
      </c>
      <c r="CF33" s="276">
        <f t="shared" si="6"/>
        <v>1835.7599999999998</v>
      </c>
      <c r="CG33" s="276">
        <f t="shared" si="7"/>
        <v>1835.7599999999998</v>
      </c>
      <c r="CH33" s="276">
        <f t="shared" si="8"/>
        <v>1835.7599999999998</v>
      </c>
      <c r="CI33" s="276">
        <f t="shared" si="9"/>
        <v>1893.2008767123286</v>
      </c>
      <c r="CJ33" s="276">
        <f t="shared" si="10"/>
        <v>2051.2808767123288</v>
      </c>
      <c r="CK33" s="276">
        <f t="shared" si="36"/>
        <v>1580.7933333333333</v>
      </c>
      <c r="CL33" s="276">
        <f t="shared" si="37"/>
        <v>1580.7933333333333</v>
      </c>
      <c r="CM33" s="276">
        <f t="shared" si="38"/>
        <v>1682.7799999999997</v>
      </c>
      <c r="CN33" s="276">
        <f t="shared" si="39"/>
        <v>1835.7599999999998</v>
      </c>
      <c r="CO33" s="276">
        <f t="shared" si="39"/>
        <v>1893.2008767123286</v>
      </c>
      <c r="CP33" s="276">
        <f t="shared" si="11"/>
        <v>2051.2808767123288</v>
      </c>
      <c r="CQ33" s="39">
        <f t="shared" si="12"/>
        <v>1891</v>
      </c>
      <c r="CR33" s="39">
        <f t="shared" si="13"/>
        <v>1768.3333333333335</v>
      </c>
      <c r="CS33" s="277">
        <f t="shared" si="14"/>
        <v>1770.7777777777778</v>
      </c>
      <c r="CT33" s="39">
        <f t="shared" si="15"/>
        <v>1810.037037037037</v>
      </c>
      <c r="CU33" s="39">
        <f t="shared" si="16"/>
        <v>1783.0493827160494</v>
      </c>
      <c r="CV33" s="39">
        <f t="shared" si="17"/>
        <v>1787.9547325102881</v>
      </c>
      <c r="CW33" s="297">
        <f t="shared" si="18"/>
        <v>1.1962348019348934</v>
      </c>
      <c r="CX33" s="279" t="str">
        <f t="shared" si="40"/>
        <v>Pass</v>
      </c>
      <c r="CY33" s="278">
        <f t="shared" si="19"/>
        <v>1.1186366339264253</v>
      </c>
      <c r="CZ33" s="279" t="str">
        <f t="shared" si="41"/>
        <v>Pass</v>
      </c>
      <c r="DA33" s="278">
        <f t="shared" si="20"/>
        <v>1.0522930970048243</v>
      </c>
      <c r="DB33" s="292" t="str">
        <f t="shared" si="42"/>
        <v>Pass</v>
      </c>
      <c r="DC33" s="299">
        <f t="shared" si="43"/>
        <v>0.98598783993388961</v>
      </c>
      <c r="DD33" s="293" t="str">
        <f t="shared" si="44"/>
        <v>Pass</v>
      </c>
      <c r="DE33" s="299">
        <f t="shared" si="45"/>
        <v>0.9418173235860926</v>
      </c>
      <c r="DF33" s="293" t="str">
        <f t="shared" si="46"/>
        <v>Action Plan</v>
      </c>
      <c r="DG33" s="299">
        <f t="shared" si="47"/>
        <v>0.87162843119559319</v>
      </c>
      <c r="DH33" s="293" t="str">
        <f t="shared" si="48"/>
        <v>Action Plan</v>
      </c>
    </row>
    <row r="34" spans="1:112" customFormat="1" ht="15.5" thickTop="1" thickBot="1">
      <c r="A34" s="3" t="s">
        <v>177</v>
      </c>
      <c r="B34" s="3" t="s">
        <v>178</v>
      </c>
      <c r="C34" s="3" t="s">
        <v>177</v>
      </c>
      <c r="D34" s="3" t="s">
        <v>131</v>
      </c>
      <c r="E34" s="3" t="str">
        <f>VLOOKUP(C34,PoliticalControl!A:K,11,FALSE)</f>
        <v>LAB</v>
      </c>
      <c r="F34" s="3" t="str">
        <f>VLOOKUP(C34,UrbanRuralClassification!A:N,13,FALSE)</f>
        <v>Urban with Major Conurbation</v>
      </c>
      <c r="G34" s="3" t="str">
        <f>VLOOKUP(C34,UrbanRuralClassification!A:N,14,FALSE)</f>
        <v>Predominantly Urban</v>
      </c>
      <c r="H34" s="262">
        <f>IF(ISBLANK((VLOOKUP($A34,'local-plan-data'!$C$1:$AD$566,27,FALSE)))=TRUE,"",VLOOKUP($A34,'local-plan-data'!$C$1:$AD$566,27,FALSE))</f>
        <v>40371</v>
      </c>
      <c r="I34" s="263">
        <f>VLOOKUP($A34,'local-plan-data'!$C$1:$AD$566,28,FALSE)</f>
        <v>1103.6842105263158</v>
      </c>
      <c r="J34" s="264">
        <f t="shared" si="21"/>
        <v>1103.6842105263158</v>
      </c>
      <c r="K34" s="259" t="str">
        <f t="shared" si="22"/>
        <v>-</v>
      </c>
      <c r="L34" s="259" t="str">
        <f t="shared" si="22"/>
        <v>-</v>
      </c>
      <c r="M34" s="259" t="str">
        <f t="shared" si="22"/>
        <v>-</v>
      </c>
      <c r="N34" s="259" t="str">
        <f t="shared" si="22"/>
        <v>-</v>
      </c>
      <c r="O34" s="259" t="str">
        <f t="shared" si="22"/>
        <v>-</v>
      </c>
      <c r="P34" s="259" t="str">
        <f t="shared" si="22"/>
        <v>-</v>
      </c>
      <c r="Q34" s="259" t="str">
        <f t="shared" si="22"/>
        <v>-</v>
      </c>
      <c r="R34" s="259" t="str">
        <f t="shared" si="22"/>
        <v>-</v>
      </c>
      <c r="S34" s="259">
        <f t="shared" si="23"/>
        <v>-994</v>
      </c>
      <c r="T34" s="259">
        <f t="shared" si="23"/>
        <v>-1359</v>
      </c>
      <c r="U34" s="259">
        <f t="shared" si="23"/>
        <v>-1725</v>
      </c>
      <c r="V34" s="259">
        <f t="shared" si="23"/>
        <v>-2090</v>
      </c>
      <c r="W34" s="259">
        <f t="shared" si="23"/>
        <v>-2455</v>
      </c>
      <c r="X34" s="259">
        <f t="shared" si="23"/>
        <v>-2820</v>
      </c>
      <c r="Y34" s="259">
        <f t="shared" si="23"/>
        <v>-3186</v>
      </c>
      <c r="Z34" s="259">
        <f t="shared" si="23"/>
        <v>-3551</v>
      </c>
      <c r="AA34" s="267">
        <f>(VLOOKUP(A34,Hshldprojections2014!$A$2:$AW$319,40, FALSE)-VLOOKUP(A34,Hshldprojections2014!$A$2:$AW$319,30, FALSE))/10</f>
        <v>1961.7</v>
      </c>
      <c r="AB34" s="267">
        <f>(VLOOKUP(A34,Hshldprojections2014!$A$2:$AW$319,41, FALSE)-VLOOKUP(A34,Hshldprojections2014!$A$2:$AW$319,31, FALSE))/10</f>
        <v>1926.8</v>
      </c>
      <c r="AC34" s="267">
        <f>(VLOOKUP(A34,Hshldprojections2014!$A$2:$AW$319,42, FALSE)-VLOOKUP(A34,Hshldprojections2014!$A$2:$AW$319,32, FALSE))/10</f>
        <v>1890.9</v>
      </c>
      <c r="AD34" s="267">
        <f>IF(IndividualLATest!$J$7=2014,(VLOOKUP($A34,Hshldprojections2014!$A$2:$AY$326,43,FALSE)-VLOOKUP($A34,Hshldprojections2014!$A$2:$AY$326,33,FALSE))/10,IF(IndividualLATest!$J$7=2016,(VLOOKUP($A34,Hshldprojections2016!$A$1:$AQ$322,33,FALSE)-VLOOKUP($A34,Hshldprojections2016!$A$1:$AQ$322,23,FALSE))/10,(VLOOKUP($A34,Hshldprojections2018!$A$1:$AQ$327,33,FALSE)-VLOOKUP($A34,Hshldprojections2018!$A$1:$AQ$327,23,FALSE))/10))</f>
        <v>871.9</v>
      </c>
      <c r="AE34" s="267">
        <f>IF(IndividualLATest!$J$7=2014,(VLOOKUP($A34,Hshldprojections2014!$A$2:$AY$326,44,FALSE)-VLOOKUP($A34,Hshldprojections2014!$A$2:$AY$326,34,FALSE))/10,IF(IndividualLATest!$J$7=2016,(VLOOKUP($A34,Hshldprojections2016!$A$1:$AQ$322,34,FALSE)-VLOOKUP($A34,Hshldprojections2016!$A$1:$AQ$322,24,FALSE))/10,(VLOOKUP($A34,Hshldprojections2018!$A$1:$AQ$327,34,FALSE)-VLOOKUP($A34,Hshldprojections2018!$A$1:$AQ$327,24,FALSE))/10))</f>
        <v>843.3</v>
      </c>
      <c r="AF34" s="267">
        <f>IF(IndividualLATest!$J$7=2014,(VLOOKUP($A34,Hshldprojections2014!$A$2:$AY$326,45,FALSE)-VLOOKUP($A34,Hshldprojections2014!$A$2:$AY$326,35,FALSE))/10,IF(IndividualLATest!$J$7=2016,(VLOOKUP($A34,Hshldprojections2016!$A$1:$AQ$322,35,FALSE)-VLOOKUP($A34,Hshldprojections2016!$A$1:$AQ$322,25,FALSE))/10,(VLOOKUP($A34,Hshldprojections2018!$A$1:$AQ$327,35,FALSE)-VLOOKUP($A34,Hshldprojections2018!$A$1:$AQ$327,25,FALSE))/10))</f>
        <v>823.7</v>
      </c>
      <c r="AG34" s="267">
        <f>IF(IndividualLATest!$J$7=2014,(VLOOKUP($A34,Hshldprojections2014!$A$2:$AY$326,46,FALSE)-VLOOKUP($A34,Hshldprojections2014!$A$2:$AY$326,36,FALSE))/10,IF(IndividualLATest!$J$7=2016,(VLOOKUP($A34,Hshldprojections2016!$A$1:$AQ$322,36,FALSE)-VLOOKUP($A34,Hshldprojections2016!$A$1:$AQ$322,26,FALSE))/10,(VLOOKUP($A34,Hshldprojections2018!$A$1:$AQ$327,36,FALSE)-VLOOKUP($A34,Hshldprojections2018!$A$1:$AQ$327,26,FALSE))/10))</f>
        <v>811.4</v>
      </c>
      <c r="AH34" s="267">
        <f>IF(IndividualLATest!$J$7=2014,(VLOOKUP($A34,Hshldprojections2014!$A$2:$AY$326,47,FALSE)-VLOOKUP($A34,Hshldprojections2014!$A$2:$AY$326,37,FALSE))/10,IF(IndividualLATest!$J$7=2016,(VLOOKUP($A34,Hshldprojections2016!$A$1:$AQ$322,37,FALSE)-VLOOKUP($A34,Hshldprojections2016!$A$1:$AQ$322,27,FALSE))/10,(VLOOKUP($A34,Hshldprojections2018!$A$1:$AQ$327,37,FALSE)-VLOOKUP($A34,Hshldprojections2018!$A$1:$AQ$327,27,FALSE))/10))</f>
        <v>803.2</v>
      </c>
      <c r="AI34" s="268">
        <f>IF(ISNUMBER('Sensitivity Tests'!$C$30),'Sensitivity Tests'!$C$30,VLOOKUP($A34,AffordabilityRatio!$A$2:$I$321,5,FALSE))</f>
        <v>15.76</v>
      </c>
      <c r="AJ34" s="268">
        <f>IF(ISNUMBER('Sensitivity Tests'!$C$30),'Sensitivity Tests'!$C$30,VLOOKUP($A34,AffordabilityRatio!$A$2:$I$321,6,FALSE))</f>
        <v>16.3</v>
      </c>
      <c r="AK34" s="268">
        <f>IF(ISNUMBER('Sensitivity Tests'!$C$30),'Sensitivity Tests'!$C$30,VLOOKUP($A34,AffordabilityRatio!$A$2:$I$321,7,FALSE))</f>
        <v>15.61</v>
      </c>
      <c r="AL34" s="268">
        <f>IF(ISNUMBER('Sensitivity Tests'!$C$30),'Sensitivity Tests'!$C$30,IF((VLOOKUP($A34,AffordabilityRatio!$A$2:$I$321,8,FALSE))="",AK34,VLOOKUP($A34,AffordabilityRatio!$A$2:$I$321,8,FALSE)))</f>
        <v>14.39</v>
      </c>
      <c r="AM34" s="268">
        <f>IF(ISNUMBER('Sensitivity Tests'!$C$30),'Sensitivity Tests'!$C$30,IF((VLOOKUP($A34,AffordabilityRatio!$A$2:$I$321,9,FALSE))="",AL34,VLOOKUP($A34,AffordabilityRatio!$A$2:$I$321,9,FALSE)))</f>
        <v>16.05</v>
      </c>
      <c r="AN34" s="268">
        <f>IF(ISNUMBER('Sensitivity Tests'!$C$30),'Sensitivity Tests'!$C$30,IF((VLOOKUP($A34,AffordabilityRatio!$A$2:$I$321,9,FALSE))="",AM34,VLOOKUP($A34,AffordabilityRatio!$A$2:$I$321,9,FALSE)))</f>
        <v>16.05</v>
      </c>
      <c r="AO34" s="268">
        <f>IF(ISNUMBER('Sensitivity Tests'!$C$30),'Sensitivity Tests'!$C$30,IF((VLOOKUP($A34,AffordabilityRatio!$A$2:$I$321,9,FALSE))="",AN34,VLOOKUP($A34,AffordabilityRatio!$A$2:$I$321,9,FALSE)))</f>
        <v>16.05</v>
      </c>
      <c r="AP34" s="268">
        <f>IF(ISNUMBER('Sensitivity Tests'!$C$30),'Sensitivity Tests'!$C$30,IF((VLOOKUP($A34,AffordabilityRatio!$A$2:$I$321,9,FALSE))="",AO34,VLOOKUP($A34,AffordabilityRatio!$A$2:$I$321,9,FALSE)))</f>
        <v>16.05</v>
      </c>
      <c r="AQ34" s="267">
        <f t="shared" si="24"/>
        <v>3404</v>
      </c>
      <c r="AR34" s="267">
        <f t="shared" si="24"/>
        <v>3408</v>
      </c>
      <c r="AS34" s="267">
        <f t="shared" si="24"/>
        <v>3263</v>
      </c>
      <c r="AT34" s="267">
        <f t="shared" si="24"/>
        <v>1438</v>
      </c>
      <c r="AU34" s="267">
        <f t="shared" si="24"/>
        <v>1478</v>
      </c>
      <c r="AV34" s="267">
        <f t="shared" si="24"/>
        <v>1444</v>
      </c>
      <c r="AW34" s="267">
        <f t="shared" si="24"/>
        <v>1422</v>
      </c>
      <c r="AX34" s="267">
        <f t="shared" si="24"/>
        <v>1408</v>
      </c>
      <c r="AY34" s="267">
        <f t="shared" si="25"/>
        <v>2746.38</v>
      </c>
      <c r="AZ34" s="267">
        <f t="shared" si="26"/>
        <v>2697.52</v>
      </c>
      <c r="BA34" s="267">
        <f t="shared" si="27"/>
        <v>2647.26</v>
      </c>
      <c r="BB34" s="267">
        <f t="shared" si="28"/>
        <v>1438</v>
      </c>
      <c r="BC34" s="267">
        <f t="shared" si="29"/>
        <v>1478</v>
      </c>
      <c r="BD34" s="267">
        <f t="shared" si="30"/>
        <v>1444</v>
      </c>
      <c r="BE34" s="267">
        <f t="shared" si="31"/>
        <v>1422</v>
      </c>
      <c r="BF34" s="267">
        <f t="shared" si="32"/>
        <v>1408</v>
      </c>
      <c r="BG34" s="269">
        <f>AY34*VLOOKUP($B34,'Major Cities &amp; Towns'!$A$28:$B$345,2,FALSE)</f>
        <v>3707.6130000000003</v>
      </c>
      <c r="BH34" s="269">
        <f>AZ34*VLOOKUP($B34,'Major Cities &amp; Towns'!$A$28:$B$345,2,FALSE)</f>
        <v>3641.652</v>
      </c>
      <c r="BI34" s="269">
        <f>BA34*VLOOKUP($B34,'Major Cities &amp; Towns'!$A$28:$B$345,2,FALSE)</f>
        <v>3573.8010000000004</v>
      </c>
      <c r="BJ34" s="269">
        <f>BB34*VLOOKUP($B34,'Major Cities &amp; Towns'!$A$28:$B$345,2,FALSE)</f>
        <v>1941.3000000000002</v>
      </c>
      <c r="BK34" s="269">
        <f>BC34*VLOOKUP($B34,'Major Cities &amp; Towns'!$A$28:$B$345,2,FALSE)</f>
        <v>1995.3000000000002</v>
      </c>
      <c r="BL34" s="269">
        <f>BD34*VLOOKUP($B34,'Major Cities &amp; Towns'!$A$28:$B$345,2,FALSE)</f>
        <v>1949.4</v>
      </c>
      <c r="BM34" s="269">
        <f>BE34*VLOOKUP($B34,'Major Cities &amp; Towns'!$A$28:$B$345,2,FALSE)</f>
        <v>1919.7</v>
      </c>
      <c r="BN34" s="269">
        <f>BF34*VLOOKUP($B34,'Major Cities &amp; Towns'!$A$28:$B$345,2,FALSE)</f>
        <v>1900.8000000000002</v>
      </c>
      <c r="BO34" s="270">
        <f t="shared" si="33"/>
        <v>3404</v>
      </c>
      <c r="BP34" s="270">
        <f t="shared" si="34"/>
        <v>3408</v>
      </c>
      <c r="BQ34" s="270">
        <f t="shared" si="34"/>
        <v>3263</v>
      </c>
      <c r="BR34" s="270">
        <f t="shared" si="34"/>
        <v>1438</v>
      </c>
      <c r="BS34" s="270">
        <f t="shared" si="34"/>
        <v>1478</v>
      </c>
      <c r="BT34" s="270">
        <f t="shared" si="34"/>
        <v>1444</v>
      </c>
      <c r="BU34" s="270">
        <f t="shared" si="34"/>
        <v>1422</v>
      </c>
      <c r="BV34" s="270">
        <f t="shared" si="34"/>
        <v>1408</v>
      </c>
      <c r="BW34" s="39">
        <f>VLOOKUP($A34,NetAdditions!$A$2:$H$336,6,FALSE)</f>
        <v>1741</v>
      </c>
      <c r="BX34" s="39">
        <f>VLOOKUP($A34,NetAdditions!$A$2:$H$336,7,FALSE)</f>
        <v>2433</v>
      </c>
      <c r="BY34" s="39">
        <f>IF((VLOOKUP($C34,NetAdditions!$A$2:$H$336,8,FALSE))="",(AVERAGE(VLOOKUP($C34,NetAdditions!$A$2:$H$336,5,FALSE),VLOOKUP($C34,NetAdditions!$A$2:$H$336,6,FALSE),VLOOKUP($C34,NetAdditions!$A$2:$H$336,7,FALSE))),VLOOKUP($C34,NetAdditions!$A$2:$H$336,8,FALSE))</f>
        <v>2404</v>
      </c>
      <c r="BZ34" s="39">
        <f t="shared" si="35"/>
        <v>2192.6666666666665</v>
      </c>
      <c r="CA34" s="39">
        <f t="shared" si="35"/>
        <v>2343.2222222222222</v>
      </c>
      <c r="CB34" s="39">
        <f t="shared" si="35"/>
        <v>2313.2962962962961</v>
      </c>
      <c r="CC34" s="39">
        <f t="shared" si="35"/>
        <v>2283.0617283950614</v>
      </c>
      <c r="CD34" s="39">
        <f t="shared" si="35"/>
        <v>2313.1934156378597</v>
      </c>
      <c r="CE34" s="276">
        <f t="shared" si="5"/>
        <v>10075</v>
      </c>
      <c r="CF34" s="276">
        <f t="shared" si="6"/>
        <v>8109</v>
      </c>
      <c r="CG34" s="276">
        <f t="shared" si="7"/>
        <v>6179</v>
      </c>
      <c r="CH34" s="276">
        <f t="shared" si="8"/>
        <v>4360</v>
      </c>
      <c r="CI34" s="276">
        <f t="shared" si="9"/>
        <v>4344</v>
      </c>
      <c r="CJ34" s="276">
        <f t="shared" si="10"/>
        <v>4274</v>
      </c>
      <c r="CK34" s="276">
        <f t="shared" si="36"/>
        <v>8675.6944444444453</v>
      </c>
      <c r="CL34" s="276">
        <f t="shared" si="37"/>
        <v>6982.75</v>
      </c>
      <c r="CM34" s="276">
        <f t="shared" si="38"/>
        <v>5664.083333333333</v>
      </c>
      <c r="CN34" s="276">
        <f t="shared" si="39"/>
        <v>4360</v>
      </c>
      <c r="CO34" s="276">
        <f t="shared" si="39"/>
        <v>4344</v>
      </c>
      <c r="CP34" s="276">
        <f t="shared" si="11"/>
        <v>4274</v>
      </c>
      <c r="CQ34" s="39">
        <f t="shared" si="12"/>
        <v>6578</v>
      </c>
      <c r="CR34" s="39">
        <f t="shared" si="13"/>
        <v>7029.6666666666661</v>
      </c>
      <c r="CS34" s="277">
        <f t="shared" si="14"/>
        <v>6939.8888888888887</v>
      </c>
      <c r="CT34" s="39">
        <f t="shared" si="15"/>
        <v>6849.1851851851843</v>
      </c>
      <c r="CU34" s="39">
        <f t="shared" si="16"/>
        <v>6939.5802469135797</v>
      </c>
      <c r="CV34" s="39">
        <f t="shared" si="17"/>
        <v>6909.5514403292163</v>
      </c>
      <c r="CW34" s="297">
        <f t="shared" si="18"/>
        <v>0.75821019771071796</v>
      </c>
      <c r="CX34" s="279" t="str">
        <f t="shared" si="40"/>
        <v>Buffer and Action Plan</v>
      </c>
      <c r="CY34" s="278">
        <f t="shared" si="19"/>
        <v>1.0067189383361377</v>
      </c>
      <c r="CZ34" s="279" t="str">
        <f t="shared" si="41"/>
        <v>Pass</v>
      </c>
      <c r="DA34" s="278">
        <f t="shared" si="20"/>
        <v>1.2252448420113091</v>
      </c>
      <c r="DB34" s="292" t="str">
        <f t="shared" si="42"/>
        <v>Pass</v>
      </c>
      <c r="DC34" s="299">
        <f t="shared" si="43"/>
        <v>1.5709140332993543</v>
      </c>
      <c r="DD34" s="293" t="str">
        <f t="shared" si="44"/>
        <v>Pass</v>
      </c>
      <c r="DE34" s="299">
        <f t="shared" si="45"/>
        <v>1.5975092649432734</v>
      </c>
      <c r="DF34" s="293" t="str">
        <f t="shared" si="46"/>
        <v>Pass</v>
      </c>
      <c r="DG34" s="299">
        <f t="shared" si="47"/>
        <v>1.6166475059263492</v>
      </c>
      <c r="DH34" s="293" t="str">
        <f t="shared" si="48"/>
        <v>Pass</v>
      </c>
    </row>
    <row r="35" spans="1:112" ht="15" thickTop="1" thickBot="1">
      <c r="A35" s="38" t="s">
        <v>179</v>
      </c>
      <c r="B35" s="38" t="s">
        <v>180</v>
      </c>
      <c r="C35" s="38" t="s">
        <v>179</v>
      </c>
      <c r="D35" s="38" t="s">
        <v>128</v>
      </c>
      <c r="E35" s="38" t="str">
        <f>VLOOKUP(C35,PoliticalControl!A:K,11,FALSE)</f>
        <v>CON</v>
      </c>
      <c r="F35" s="38" t="str">
        <f>VLOOKUP(C35,UrbanRuralClassification!A:N,13,FALSE)</f>
        <v>Urban with Significant Rural (rural including hub towns 26-49%)</v>
      </c>
      <c r="G35" s="38" t="str">
        <f>VLOOKUP(C35,UrbanRuralClassification!A:N,14,FALSE)</f>
        <v>Urban with Significant Rural</v>
      </c>
      <c r="H35" s="258" t="str">
        <f>IF(ISBLANK((VLOOKUP($A35,'local-plan-data'!$C$1:$AD$566,27,FALSE)))=TRUE,"",VLOOKUP($A35,'local-plan-data'!$C$1:$AD$566,27,FALSE))</f>
        <v/>
      </c>
      <c r="I35" s="259">
        <f>VLOOKUP($A35,'local-plan-data'!$C$1:$AD$566,28,FALSE)</f>
        <v>456</v>
      </c>
      <c r="J35" s="260">
        <f t="shared" si="21"/>
        <v>456</v>
      </c>
      <c r="K35" s="259" t="str">
        <f t="shared" si="22"/>
        <v>-</v>
      </c>
      <c r="L35" s="259" t="str">
        <f t="shared" si="22"/>
        <v>-</v>
      </c>
      <c r="M35" s="259" t="str">
        <f t="shared" si="22"/>
        <v>-</v>
      </c>
      <c r="N35" s="259" t="str">
        <f t="shared" si="22"/>
        <v>-</v>
      </c>
      <c r="O35" s="259" t="str">
        <f t="shared" si="22"/>
        <v>-</v>
      </c>
      <c r="P35" s="259" t="str">
        <f t="shared" si="22"/>
        <v>-</v>
      </c>
      <c r="Q35" s="259" t="str">
        <f t="shared" si="22"/>
        <v>-</v>
      </c>
      <c r="R35" s="259" t="str">
        <f t="shared" si="22"/>
        <v>-</v>
      </c>
      <c r="S35" s="259" t="str">
        <f t="shared" si="23"/>
        <v>-</v>
      </c>
      <c r="T35" s="259" t="str">
        <f t="shared" si="23"/>
        <v>-</v>
      </c>
      <c r="U35" s="259" t="str">
        <f t="shared" si="23"/>
        <v>-</v>
      </c>
      <c r="V35" s="259" t="str">
        <f t="shared" si="23"/>
        <v>-</v>
      </c>
      <c r="W35" s="259" t="str">
        <f t="shared" si="23"/>
        <v>-</v>
      </c>
      <c r="X35" s="259" t="str">
        <f t="shared" si="23"/>
        <v>-</v>
      </c>
      <c r="Y35" s="259" t="str">
        <f t="shared" si="23"/>
        <v>-</v>
      </c>
      <c r="Z35" s="259" t="str">
        <f t="shared" si="23"/>
        <v>-</v>
      </c>
      <c r="AA35" s="267">
        <f>(VLOOKUP(A35,Hshldprojections2014!$A$2:$AW$319,40, FALSE)-VLOOKUP(A35,Hshldprojections2014!$A$2:$AW$319,30, FALSE))/10</f>
        <v>323.7</v>
      </c>
      <c r="AB35" s="267">
        <f>(VLOOKUP(A35,Hshldprojections2014!$A$2:$AW$319,41, FALSE)-VLOOKUP(A35,Hshldprojections2014!$A$2:$AW$319,31, FALSE))/10</f>
        <v>323.2</v>
      </c>
      <c r="AC35" s="267">
        <f>(VLOOKUP(A35,Hshldprojections2014!$A$2:$AW$319,42, FALSE)-VLOOKUP(A35,Hshldprojections2014!$A$2:$AW$319,32, FALSE))/10</f>
        <v>323.7</v>
      </c>
      <c r="AD35" s="267">
        <f>IF(IndividualLATest!$J$7=2014,(VLOOKUP($A35,Hshldprojections2014!$A$2:$AY$326,43,FALSE)-VLOOKUP($A35,Hshldprojections2014!$A$2:$AY$326,33,FALSE))/10,IF(IndividualLATest!$J$7=2016,(VLOOKUP($A35,Hshldprojections2016!$A$1:$AQ$322,33,FALSE)-VLOOKUP($A35,Hshldprojections2016!$A$1:$AQ$322,23,FALSE))/10,(VLOOKUP($A35,Hshldprojections2018!$A$1:$AQ$327,33,FALSE)-VLOOKUP($A35,Hshldprojections2018!$A$1:$AQ$327,23,FALSE))/10))</f>
        <v>54.4</v>
      </c>
      <c r="AE35" s="267">
        <f>IF(IndividualLATest!$J$7=2014,(VLOOKUP($A35,Hshldprojections2014!$A$2:$AY$326,44,FALSE)-VLOOKUP($A35,Hshldprojections2014!$A$2:$AY$326,34,FALSE))/10,IF(IndividualLATest!$J$7=2016,(VLOOKUP($A35,Hshldprojections2016!$A$1:$AQ$322,34,FALSE)-VLOOKUP($A35,Hshldprojections2016!$A$1:$AQ$322,24,FALSE))/10,(VLOOKUP($A35,Hshldprojections2018!$A$1:$AQ$327,34,FALSE)-VLOOKUP($A35,Hshldprojections2018!$A$1:$AQ$327,24,FALSE))/10))</f>
        <v>62.1</v>
      </c>
      <c r="AF35" s="267">
        <f>IF(IndividualLATest!$J$7=2014,(VLOOKUP($A35,Hshldprojections2014!$A$2:$AY$326,45,FALSE)-VLOOKUP($A35,Hshldprojections2014!$A$2:$AY$326,35,FALSE))/10,IF(IndividualLATest!$J$7=2016,(VLOOKUP($A35,Hshldprojections2016!$A$1:$AQ$322,35,FALSE)-VLOOKUP($A35,Hshldprojections2016!$A$1:$AQ$322,25,FALSE))/10,(VLOOKUP($A35,Hshldprojections2018!$A$1:$AQ$327,35,FALSE)-VLOOKUP($A35,Hshldprojections2018!$A$1:$AQ$327,25,FALSE))/10))</f>
        <v>69.400000000000006</v>
      </c>
      <c r="AG35" s="267">
        <f>IF(IndividualLATest!$J$7=2014,(VLOOKUP($A35,Hshldprojections2014!$A$2:$AY$326,46,FALSE)-VLOOKUP($A35,Hshldprojections2014!$A$2:$AY$326,36,FALSE))/10,IF(IndividualLATest!$J$7=2016,(VLOOKUP($A35,Hshldprojections2016!$A$1:$AQ$322,36,FALSE)-VLOOKUP($A35,Hshldprojections2016!$A$1:$AQ$322,26,FALSE))/10,(VLOOKUP($A35,Hshldprojections2018!$A$1:$AQ$327,36,FALSE)-VLOOKUP($A35,Hshldprojections2018!$A$1:$AQ$327,26,FALSE))/10))</f>
        <v>75.8</v>
      </c>
      <c r="AH35" s="267">
        <f>IF(IndividualLATest!$J$7=2014,(VLOOKUP($A35,Hshldprojections2014!$A$2:$AY$326,47,FALSE)-VLOOKUP($A35,Hshldprojections2014!$A$2:$AY$326,37,FALSE))/10,IF(IndividualLATest!$J$7=2016,(VLOOKUP($A35,Hshldprojections2016!$A$1:$AQ$322,37,FALSE)-VLOOKUP($A35,Hshldprojections2016!$A$1:$AQ$322,27,FALSE))/10,(VLOOKUP($A35,Hshldprojections2018!$A$1:$AQ$327,37,FALSE)-VLOOKUP($A35,Hshldprojections2018!$A$1:$AQ$327,27,FALSE))/10))</f>
        <v>83.5</v>
      </c>
      <c r="AI35" s="268">
        <f>IF(ISNUMBER('Sensitivity Tests'!$C$30),'Sensitivity Tests'!$C$30,VLOOKUP($A35,AffordabilityRatio!$A$2:$I$321,5,FALSE))</f>
        <v>11.24</v>
      </c>
      <c r="AJ35" s="268">
        <f>IF(ISNUMBER('Sensitivity Tests'!$C$30),'Sensitivity Tests'!$C$30,VLOOKUP($A35,AffordabilityRatio!$A$2:$I$321,6,FALSE))</f>
        <v>13.24</v>
      </c>
      <c r="AK35" s="268">
        <f>IF(ISNUMBER('Sensitivity Tests'!$C$30),'Sensitivity Tests'!$C$30,VLOOKUP($A35,AffordabilityRatio!$A$2:$I$321,7,FALSE))</f>
        <v>12.27</v>
      </c>
      <c r="AL35" s="268">
        <f>IF(ISNUMBER('Sensitivity Tests'!$C$30),'Sensitivity Tests'!$C$30,IF((VLOOKUP($A35,AffordabilityRatio!$A$2:$I$321,8,FALSE))="",AK35,VLOOKUP($A35,AffordabilityRatio!$A$2:$I$321,8,FALSE)))</f>
        <v>13.19</v>
      </c>
      <c r="AM35" s="268">
        <f>IF(ISNUMBER('Sensitivity Tests'!$C$30),'Sensitivity Tests'!$C$30,IF((VLOOKUP($A35,AffordabilityRatio!$A$2:$I$321,9,FALSE))="",AL35,VLOOKUP($A35,AffordabilityRatio!$A$2:$I$321,9,FALSE)))</f>
        <v>16.079999999999998</v>
      </c>
      <c r="AN35" s="268">
        <f>IF(ISNUMBER('Sensitivity Tests'!$C$30),'Sensitivity Tests'!$C$30,IF((VLOOKUP($A35,AffordabilityRatio!$A$2:$I$321,9,FALSE))="",AM35,VLOOKUP($A35,AffordabilityRatio!$A$2:$I$321,9,FALSE)))</f>
        <v>16.079999999999998</v>
      </c>
      <c r="AO35" s="268">
        <f>IF(ISNUMBER('Sensitivity Tests'!$C$30),'Sensitivity Tests'!$C$30,IF((VLOOKUP($A35,AffordabilityRatio!$A$2:$I$321,9,FALSE))="",AN35,VLOOKUP($A35,AffordabilityRatio!$A$2:$I$321,9,FALSE)))</f>
        <v>16.079999999999998</v>
      </c>
      <c r="AP35" s="268">
        <f>IF(ISNUMBER('Sensitivity Tests'!$C$30),'Sensitivity Tests'!$C$30,IF((VLOOKUP($A35,AffordabilityRatio!$A$2:$I$321,9,FALSE))="",AO35,VLOOKUP($A35,AffordabilityRatio!$A$2:$I$321,9,FALSE)))</f>
        <v>16.079999999999998</v>
      </c>
      <c r="AQ35" s="267">
        <f t="shared" si="24"/>
        <v>470</v>
      </c>
      <c r="AR35" s="267">
        <f t="shared" si="24"/>
        <v>510</v>
      </c>
      <c r="AS35" s="267">
        <f t="shared" si="24"/>
        <v>491</v>
      </c>
      <c r="AT35" s="267">
        <f t="shared" si="24"/>
        <v>86</v>
      </c>
      <c r="AU35" s="267">
        <f t="shared" si="24"/>
        <v>109</v>
      </c>
      <c r="AV35" s="267">
        <f t="shared" si="24"/>
        <v>122</v>
      </c>
      <c r="AW35" s="267">
        <f t="shared" si="24"/>
        <v>133</v>
      </c>
      <c r="AX35" s="267">
        <f t="shared" si="24"/>
        <v>147</v>
      </c>
      <c r="AY35" s="267">
        <f t="shared" si="25"/>
        <v>470</v>
      </c>
      <c r="AZ35" s="267">
        <f t="shared" si="26"/>
        <v>510</v>
      </c>
      <c r="BA35" s="267">
        <f t="shared" si="27"/>
        <v>491</v>
      </c>
      <c r="BB35" s="267">
        <f t="shared" si="28"/>
        <v>86</v>
      </c>
      <c r="BC35" s="267">
        <f t="shared" si="29"/>
        <v>109</v>
      </c>
      <c r="BD35" s="267">
        <f t="shared" si="30"/>
        <v>122</v>
      </c>
      <c r="BE35" s="267">
        <f t="shared" si="31"/>
        <v>133</v>
      </c>
      <c r="BF35" s="267">
        <f t="shared" si="32"/>
        <v>147</v>
      </c>
      <c r="BG35" s="269">
        <f>AY35*VLOOKUP($B35,'Major Cities &amp; Towns'!$A$28:$B$345,2,FALSE)</f>
        <v>470</v>
      </c>
      <c r="BH35" s="269">
        <f>AZ35*VLOOKUP($B35,'Major Cities &amp; Towns'!$A$28:$B$345,2,FALSE)</f>
        <v>510</v>
      </c>
      <c r="BI35" s="269">
        <f>BA35*VLOOKUP($B35,'Major Cities &amp; Towns'!$A$28:$B$345,2,FALSE)</f>
        <v>491</v>
      </c>
      <c r="BJ35" s="269">
        <f>BB35*VLOOKUP($B35,'Major Cities &amp; Towns'!$A$28:$B$345,2,FALSE)</f>
        <v>86</v>
      </c>
      <c r="BK35" s="269">
        <f>BC35*VLOOKUP($B35,'Major Cities &amp; Towns'!$A$28:$B$345,2,FALSE)</f>
        <v>109</v>
      </c>
      <c r="BL35" s="269">
        <f>BD35*VLOOKUP($B35,'Major Cities &amp; Towns'!$A$28:$B$345,2,FALSE)</f>
        <v>122</v>
      </c>
      <c r="BM35" s="269">
        <f>BE35*VLOOKUP($B35,'Major Cities &amp; Towns'!$A$28:$B$345,2,FALSE)</f>
        <v>133</v>
      </c>
      <c r="BN35" s="269">
        <f>BF35*VLOOKUP($B35,'Major Cities &amp; Towns'!$A$28:$B$345,2,FALSE)</f>
        <v>147</v>
      </c>
      <c r="BO35" s="270">
        <f t="shared" si="33"/>
        <v>470</v>
      </c>
      <c r="BP35" s="270">
        <f t="shared" si="34"/>
        <v>510</v>
      </c>
      <c r="BQ35" s="270">
        <f t="shared" si="34"/>
        <v>491</v>
      </c>
      <c r="BR35" s="270">
        <f t="shared" si="34"/>
        <v>86</v>
      </c>
      <c r="BS35" s="270">
        <f t="shared" si="34"/>
        <v>109</v>
      </c>
      <c r="BT35" s="270">
        <f t="shared" si="34"/>
        <v>122</v>
      </c>
      <c r="BU35" s="270">
        <f t="shared" si="34"/>
        <v>133</v>
      </c>
      <c r="BV35" s="270">
        <f t="shared" si="34"/>
        <v>147</v>
      </c>
      <c r="BW35" s="39">
        <f>VLOOKUP($A35,NetAdditions!$A$2:$H$336,6,FALSE)</f>
        <v>211</v>
      </c>
      <c r="BX35" s="39">
        <f>VLOOKUP($A35,NetAdditions!$A$2:$H$336,7,FALSE)</f>
        <v>395</v>
      </c>
      <c r="BY35" s="39">
        <f>IF((VLOOKUP($C35,NetAdditions!$A$2:$H$336,8,FALSE))="",(AVERAGE(VLOOKUP($C35,NetAdditions!$A$2:$H$336,5,FALSE),VLOOKUP($C35,NetAdditions!$A$2:$H$336,6,FALSE),VLOOKUP($C35,NetAdditions!$A$2:$H$336,7,FALSE))),VLOOKUP($C35,NetAdditions!$A$2:$H$336,8,FALSE))</f>
        <v>168</v>
      </c>
      <c r="BZ35" s="39">
        <f t="shared" si="35"/>
        <v>258</v>
      </c>
      <c r="CA35" s="39">
        <f t="shared" si="35"/>
        <v>273.66666666666669</v>
      </c>
      <c r="CB35" s="39">
        <f t="shared" si="35"/>
        <v>233.22222222222226</v>
      </c>
      <c r="CC35" s="39">
        <f t="shared" si="35"/>
        <v>254.96296296296302</v>
      </c>
      <c r="CD35" s="39">
        <f t="shared" si="35"/>
        <v>253.95061728395066</v>
      </c>
      <c r="CE35" s="276">
        <f t="shared" si="5"/>
        <v>1471</v>
      </c>
      <c r="CF35" s="276">
        <f t="shared" si="6"/>
        <v>1087</v>
      </c>
      <c r="CG35" s="276">
        <f t="shared" si="7"/>
        <v>686</v>
      </c>
      <c r="CH35" s="276">
        <f t="shared" si="8"/>
        <v>317</v>
      </c>
      <c r="CI35" s="276">
        <f t="shared" si="9"/>
        <v>364</v>
      </c>
      <c r="CJ35" s="276">
        <f t="shared" si="10"/>
        <v>402</v>
      </c>
      <c r="CK35" s="276">
        <f t="shared" si="36"/>
        <v>1266.6944444444446</v>
      </c>
      <c r="CL35" s="276">
        <f t="shared" si="37"/>
        <v>936.02777777777783</v>
      </c>
      <c r="CM35" s="276">
        <f t="shared" si="38"/>
        <v>628.83333333333326</v>
      </c>
      <c r="CN35" s="276">
        <f t="shared" si="39"/>
        <v>317</v>
      </c>
      <c r="CO35" s="276">
        <f t="shared" si="39"/>
        <v>364</v>
      </c>
      <c r="CP35" s="276">
        <f t="shared" si="11"/>
        <v>402</v>
      </c>
      <c r="CQ35" s="39">
        <f t="shared" si="12"/>
        <v>774</v>
      </c>
      <c r="CR35" s="39">
        <f t="shared" si="13"/>
        <v>821</v>
      </c>
      <c r="CS35" s="277">
        <f t="shared" si="14"/>
        <v>699.66666666666674</v>
      </c>
      <c r="CT35" s="39">
        <f t="shared" si="15"/>
        <v>764.88888888888903</v>
      </c>
      <c r="CU35" s="39">
        <f t="shared" si="16"/>
        <v>761.85185185185196</v>
      </c>
      <c r="CV35" s="39">
        <f t="shared" si="17"/>
        <v>742.13580246913591</v>
      </c>
      <c r="CW35" s="297">
        <f t="shared" si="18"/>
        <v>0.61103923159579832</v>
      </c>
      <c r="CX35" s="279" t="str">
        <f t="shared" si="40"/>
        <v>Buffer and Action Plan</v>
      </c>
      <c r="CY35" s="278">
        <f t="shared" si="19"/>
        <v>0.87711072202273199</v>
      </c>
      <c r="CZ35" s="279" t="str">
        <f t="shared" si="41"/>
        <v>Action Plan</v>
      </c>
      <c r="DA35" s="278">
        <f t="shared" si="20"/>
        <v>1.1126424595812354</v>
      </c>
      <c r="DB35" s="292" t="str">
        <f t="shared" si="42"/>
        <v>Pass</v>
      </c>
      <c r="DC35" s="299">
        <f t="shared" si="43"/>
        <v>2.4128987031195237</v>
      </c>
      <c r="DD35" s="293" t="str">
        <f t="shared" si="44"/>
        <v>Pass</v>
      </c>
      <c r="DE35" s="299">
        <f t="shared" si="45"/>
        <v>2.0929995929995933</v>
      </c>
      <c r="DF35" s="293" t="str">
        <f t="shared" si="46"/>
        <v>Pass</v>
      </c>
      <c r="DG35" s="299">
        <f t="shared" si="47"/>
        <v>1.8461089613660098</v>
      </c>
      <c r="DH35" s="293" t="str">
        <f t="shared" si="48"/>
        <v>Pass</v>
      </c>
    </row>
    <row r="36" spans="1:112" ht="15" thickTop="1" thickBot="1">
      <c r="A36" s="38" t="s">
        <v>181</v>
      </c>
      <c r="B36" s="38" t="s">
        <v>182</v>
      </c>
      <c r="C36" s="38" t="s">
        <v>181</v>
      </c>
      <c r="D36" s="38" t="s">
        <v>113</v>
      </c>
      <c r="E36" s="38" t="str">
        <f>VLOOKUP(C36,PoliticalControl!A:K,11,FALSE)</f>
        <v>NOC</v>
      </c>
      <c r="F36" s="38" t="str">
        <f>VLOOKUP(C36,UrbanRuralClassification!A:N,13,FALSE)</f>
        <v>Urban with City and Town</v>
      </c>
      <c r="G36" s="38" t="str">
        <f>VLOOKUP(C36,UrbanRuralClassification!A:N,14,FALSE)</f>
        <v>Predominantly Urban</v>
      </c>
      <c r="H36" s="258">
        <f>IF(ISBLANK((VLOOKUP($A36,'local-plan-data'!$C$1:$AD$566,27,FALSE)))=TRUE,"",VLOOKUP($A36,'local-plan-data'!$C$1:$AD$566,27,FALSE))</f>
        <v>42453</v>
      </c>
      <c r="I36" s="259">
        <f>VLOOKUP($A36,'local-plan-data'!$C$1:$AD$566,28,FALSE)</f>
        <v>660</v>
      </c>
      <c r="J36" s="260">
        <f t="shared" si="21"/>
        <v>660</v>
      </c>
      <c r="K36" s="259">
        <f t="shared" si="22"/>
        <v>660</v>
      </c>
      <c r="L36" s="259">
        <f t="shared" si="22"/>
        <v>660</v>
      </c>
      <c r="M36" s="259">
        <f t="shared" si="22"/>
        <v>660</v>
      </c>
      <c r="N36" s="259" t="str">
        <f t="shared" si="22"/>
        <v>-</v>
      </c>
      <c r="O36" s="259" t="str">
        <f t="shared" si="22"/>
        <v>-</v>
      </c>
      <c r="P36" s="259" t="str">
        <f t="shared" si="22"/>
        <v>-</v>
      </c>
      <c r="Q36" s="259" t="str">
        <f t="shared" si="22"/>
        <v>-</v>
      </c>
      <c r="R36" s="259" t="str">
        <f t="shared" si="22"/>
        <v>-</v>
      </c>
      <c r="S36" s="259">
        <f t="shared" si="23"/>
        <v>1088</v>
      </c>
      <c r="T36" s="259">
        <f t="shared" si="23"/>
        <v>723</v>
      </c>
      <c r="U36" s="259">
        <f t="shared" si="23"/>
        <v>357</v>
      </c>
      <c r="V36" s="259">
        <f t="shared" si="23"/>
        <v>-8</v>
      </c>
      <c r="W36" s="259">
        <f t="shared" si="23"/>
        <v>-373</v>
      </c>
      <c r="X36" s="259">
        <f t="shared" si="23"/>
        <v>-738</v>
      </c>
      <c r="Y36" s="259">
        <f t="shared" si="23"/>
        <v>-1104</v>
      </c>
      <c r="Z36" s="259">
        <f t="shared" si="23"/>
        <v>-1469</v>
      </c>
      <c r="AA36" s="267">
        <f>(VLOOKUP(A36,Hshldprojections2014!$A$2:$AW$319,40, FALSE)-VLOOKUP(A36,Hshldprojections2014!$A$2:$AW$319,30, FALSE))/10</f>
        <v>1231.9000000000001</v>
      </c>
      <c r="AB36" s="267">
        <f>(VLOOKUP(A36,Hshldprojections2014!$A$2:$AW$319,41, FALSE)-VLOOKUP(A36,Hshldprojections2014!$A$2:$AW$319,31, FALSE))/10</f>
        <v>1227.3</v>
      </c>
      <c r="AC36" s="267">
        <f>(VLOOKUP(A36,Hshldprojections2014!$A$2:$AW$319,42, FALSE)-VLOOKUP(A36,Hshldprojections2014!$A$2:$AW$319,32, FALSE))/10</f>
        <v>1224.8</v>
      </c>
      <c r="AD36" s="267">
        <f>IF(IndividualLATest!$J$7=2014,(VLOOKUP($A36,Hshldprojections2014!$A$2:$AY$326,43,FALSE)-VLOOKUP($A36,Hshldprojections2014!$A$2:$AY$326,33,FALSE))/10,IF(IndividualLATest!$J$7=2016,(VLOOKUP($A36,Hshldprojections2016!$A$1:$AQ$322,33,FALSE)-VLOOKUP($A36,Hshldprojections2016!$A$1:$AQ$322,23,FALSE))/10,(VLOOKUP($A36,Hshldprojections2018!$A$1:$AQ$327,33,FALSE)-VLOOKUP($A36,Hshldprojections2018!$A$1:$AQ$327,23,FALSE))/10))</f>
        <v>518.4</v>
      </c>
      <c r="AE36" s="267">
        <f>IF(IndividualLATest!$J$7=2014,(VLOOKUP($A36,Hshldprojections2014!$A$2:$AY$326,44,FALSE)-VLOOKUP($A36,Hshldprojections2014!$A$2:$AY$326,34,FALSE))/10,IF(IndividualLATest!$J$7=2016,(VLOOKUP($A36,Hshldprojections2016!$A$1:$AQ$322,34,FALSE)-VLOOKUP($A36,Hshldprojections2016!$A$1:$AQ$322,24,FALSE))/10,(VLOOKUP($A36,Hshldprojections2018!$A$1:$AQ$327,34,FALSE)-VLOOKUP($A36,Hshldprojections2018!$A$1:$AQ$327,24,FALSE))/10))</f>
        <v>531.1</v>
      </c>
      <c r="AF36" s="267">
        <f>IF(IndividualLATest!$J$7=2014,(VLOOKUP($A36,Hshldprojections2014!$A$2:$AY$326,45,FALSE)-VLOOKUP($A36,Hshldprojections2014!$A$2:$AY$326,35,FALSE))/10,IF(IndividualLATest!$J$7=2016,(VLOOKUP($A36,Hshldprojections2016!$A$1:$AQ$322,35,FALSE)-VLOOKUP($A36,Hshldprojections2016!$A$1:$AQ$322,25,FALSE))/10,(VLOOKUP($A36,Hshldprojections2018!$A$1:$AQ$327,35,FALSE)-VLOOKUP($A36,Hshldprojections2018!$A$1:$AQ$327,25,FALSE))/10))</f>
        <v>542.79999999999995</v>
      </c>
      <c r="AG36" s="267">
        <f>IF(IndividualLATest!$J$7=2014,(VLOOKUP($A36,Hshldprojections2014!$A$2:$AY$326,46,FALSE)-VLOOKUP($A36,Hshldprojections2014!$A$2:$AY$326,36,FALSE))/10,IF(IndividualLATest!$J$7=2016,(VLOOKUP($A36,Hshldprojections2016!$A$1:$AQ$322,36,FALSE)-VLOOKUP($A36,Hshldprojections2016!$A$1:$AQ$322,26,FALSE))/10,(VLOOKUP($A36,Hshldprojections2018!$A$1:$AQ$327,36,FALSE)-VLOOKUP($A36,Hshldprojections2018!$A$1:$AQ$327,26,FALSE))/10))</f>
        <v>549.4</v>
      </c>
      <c r="AH36" s="267">
        <f>IF(IndividualLATest!$J$7=2014,(VLOOKUP($A36,Hshldprojections2014!$A$2:$AY$326,47,FALSE)-VLOOKUP($A36,Hshldprojections2014!$A$2:$AY$326,37,FALSE))/10,IF(IndividualLATest!$J$7=2016,(VLOOKUP($A36,Hshldprojections2016!$A$1:$AQ$322,37,FALSE)-VLOOKUP($A36,Hshldprojections2016!$A$1:$AQ$322,27,FALSE))/10,(VLOOKUP($A36,Hshldprojections2018!$A$1:$AQ$327,37,FALSE)-VLOOKUP($A36,Hshldprojections2018!$A$1:$AQ$327,27,FALSE))/10))</f>
        <v>560.29999999999995</v>
      </c>
      <c r="AI36" s="268">
        <f>IF(ISNUMBER('Sensitivity Tests'!$C$30),'Sensitivity Tests'!$C$30,VLOOKUP($A36,AffordabilityRatio!$A$2:$I$321,5,FALSE))</f>
        <v>12.29</v>
      </c>
      <c r="AJ36" s="268">
        <f>IF(ISNUMBER('Sensitivity Tests'!$C$30),'Sensitivity Tests'!$C$30,VLOOKUP($A36,AffordabilityRatio!$A$2:$I$321,6,FALSE))</f>
        <v>12.41</v>
      </c>
      <c r="AK36" s="268">
        <f>IF(ISNUMBER('Sensitivity Tests'!$C$30),'Sensitivity Tests'!$C$30,VLOOKUP($A36,AffordabilityRatio!$A$2:$I$321,7,FALSE))</f>
        <v>11.91</v>
      </c>
      <c r="AL36" s="268">
        <f>IF(ISNUMBER('Sensitivity Tests'!$C$30),'Sensitivity Tests'!$C$30,IF((VLOOKUP($A36,AffordabilityRatio!$A$2:$I$321,8,FALSE))="",AK36,VLOOKUP($A36,AffordabilityRatio!$A$2:$I$321,8,FALSE)))</f>
        <v>10.82</v>
      </c>
      <c r="AM36" s="268">
        <f>IF(ISNUMBER('Sensitivity Tests'!$C$30),'Sensitivity Tests'!$C$30,IF((VLOOKUP($A36,AffordabilityRatio!$A$2:$I$321,9,FALSE))="",AL36,VLOOKUP($A36,AffordabilityRatio!$A$2:$I$321,9,FALSE)))</f>
        <v>12.86</v>
      </c>
      <c r="AN36" s="268">
        <f>IF(ISNUMBER('Sensitivity Tests'!$C$30),'Sensitivity Tests'!$C$30,IF((VLOOKUP($A36,AffordabilityRatio!$A$2:$I$321,9,FALSE))="",AM36,VLOOKUP($A36,AffordabilityRatio!$A$2:$I$321,9,FALSE)))</f>
        <v>12.86</v>
      </c>
      <c r="AO36" s="268">
        <f>IF(ISNUMBER('Sensitivity Tests'!$C$30),'Sensitivity Tests'!$C$30,IF((VLOOKUP($A36,AffordabilityRatio!$A$2:$I$321,9,FALSE))="",AN36,VLOOKUP($A36,AffordabilityRatio!$A$2:$I$321,9,FALSE)))</f>
        <v>12.86</v>
      </c>
      <c r="AP36" s="268">
        <f>IF(ISNUMBER('Sensitivity Tests'!$C$30),'Sensitivity Tests'!$C$30,IF((VLOOKUP($A36,AffordabilityRatio!$A$2:$I$321,9,FALSE))="",AO36,VLOOKUP($A36,AffordabilityRatio!$A$2:$I$321,9,FALSE)))</f>
        <v>12.86</v>
      </c>
      <c r="AQ36" s="267">
        <f t="shared" si="24"/>
        <v>1870</v>
      </c>
      <c r="AR36" s="267">
        <f t="shared" si="24"/>
        <v>1872</v>
      </c>
      <c r="AS36" s="267">
        <f t="shared" si="24"/>
        <v>1830</v>
      </c>
      <c r="AT36" s="267">
        <f t="shared" si="24"/>
        <v>739</v>
      </c>
      <c r="AU36" s="267">
        <f t="shared" si="24"/>
        <v>825</v>
      </c>
      <c r="AV36" s="267">
        <f t="shared" si="24"/>
        <v>843</v>
      </c>
      <c r="AW36" s="267">
        <f t="shared" si="24"/>
        <v>854</v>
      </c>
      <c r="AX36" s="267">
        <f t="shared" si="24"/>
        <v>871</v>
      </c>
      <c r="AY36" s="267">
        <f t="shared" si="25"/>
        <v>924</v>
      </c>
      <c r="AZ36" s="267">
        <f t="shared" si="26"/>
        <v>924</v>
      </c>
      <c r="BA36" s="267">
        <f t="shared" si="27"/>
        <v>924</v>
      </c>
      <c r="BB36" s="267">
        <f t="shared" si="28"/>
        <v>739</v>
      </c>
      <c r="BC36" s="267">
        <f t="shared" si="29"/>
        <v>825</v>
      </c>
      <c r="BD36" s="267">
        <f t="shared" si="30"/>
        <v>843</v>
      </c>
      <c r="BE36" s="267">
        <f t="shared" si="31"/>
        <v>854</v>
      </c>
      <c r="BF36" s="267">
        <f t="shared" si="32"/>
        <v>871</v>
      </c>
      <c r="BG36" s="269">
        <f>AY36*VLOOKUP($B36,'Major Cities &amp; Towns'!$A$28:$B$345,2,FALSE)</f>
        <v>1247.4000000000001</v>
      </c>
      <c r="BH36" s="269">
        <f>AZ36*VLOOKUP($B36,'Major Cities &amp; Towns'!$A$28:$B$345,2,FALSE)</f>
        <v>1247.4000000000001</v>
      </c>
      <c r="BI36" s="269">
        <f>BA36*VLOOKUP($B36,'Major Cities &amp; Towns'!$A$28:$B$345,2,FALSE)</f>
        <v>1247.4000000000001</v>
      </c>
      <c r="BJ36" s="269">
        <f>BB36*VLOOKUP($B36,'Major Cities &amp; Towns'!$A$28:$B$345,2,FALSE)</f>
        <v>997.65000000000009</v>
      </c>
      <c r="BK36" s="269">
        <f>BC36*VLOOKUP($B36,'Major Cities &amp; Towns'!$A$28:$B$345,2,FALSE)</f>
        <v>1113.75</v>
      </c>
      <c r="BL36" s="269">
        <f>BD36*VLOOKUP($B36,'Major Cities &amp; Towns'!$A$28:$B$345,2,FALSE)</f>
        <v>1138.0500000000002</v>
      </c>
      <c r="BM36" s="269">
        <f>BE36*VLOOKUP($B36,'Major Cities &amp; Towns'!$A$28:$B$345,2,FALSE)</f>
        <v>1152.9000000000001</v>
      </c>
      <c r="BN36" s="269">
        <f>BF36*VLOOKUP($B36,'Major Cities &amp; Towns'!$A$28:$B$345,2,FALSE)</f>
        <v>1175.8500000000001</v>
      </c>
      <c r="BO36" s="270">
        <f t="shared" si="33"/>
        <v>660</v>
      </c>
      <c r="BP36" s="270">
        <f t="shared" si="34"/>
        <v>660</v>
      </c>
      <c r="BQ36" s="270">
        <f t="shared" si="34"/>
        <v>685.64383561643831</v>
      </c>
      <c r="BR36" s="270">
        <f t="shared" si="34"/>
        <v>739</v>
      </c>
      <c r="BS36" s="270">
        <f t="shared" si="34"/>
        <v>825</v>
      </c>
      <c r="BT36" s="270">
        <f t="shared" si="34"/>
        <v>843</v>
      </c>
      <c r="BU36" s="270">
        <f t="shared" si="34"/>
        <v>854</v>
      </c>
      <c r="BV36" s="270">
        <f t="shared" si="34"/>
        <v>871</v>
      </c>
      <c r="BW36" s="39">
        <f>VLOOKUP($A36,NetAdditions!$A$2:$H$336,6,FALSE)</f>
        <v>380</v>
      </c>
      <c r="BX36" s="39">
        <f>VLOOKUP($A36,NetAdditions!$A$2:$H$336,7,FALSE)</f>
        <v>558</v>
      </c>
      <c r="BY36" s="39">
        <f>IF((VLOOKUP($C36,NetAdditions!$A$2:$H$336,8,FALSE))="",(AVERAGE(VLOOKUP($C36,NetAdditions!$A$2:$H$336,5,FALSE),VLOOKUP($C36,NetAdditions!$A$2:$H$336,6,FALSE),VLOOKUP($C36,NetAdditions!$A$2:$H$336,7,FALSE))),VLOOKUP($C36,NetAdditions!$A$2:$H$336,8,FALSE))</f>
        <v>782</v>
      </c>
      <c r="BZ36" s="39">
        <f t="shared" si="35"/>
        <v>573.33333333333337</v>
      </c>
      <c r="CA36" s="39">
        <f t="shared" si="35"/>
        <v>637.77777777777783</v>
      </c>
      <c r="CB36" s="39">
        <f t="shared" si="35"/>
        <v>664.37037037037044</v>
      </c>
      <c r="CC36" s="39">
        <f t="shared" si="35"/>
        <v>625.16049382716062</v>
      </c>
      <c r="CD36" s="39">
        <f t="shared" si="35"/>
        <v>642.4362139917697</v>
      </c>
      <c r="CE36" s="276">
        <f t="shared" si="5"/>
        <v>2005.6438356164383</v>
      </c>
      <c r="CF36" s="276">
        <f t="shared" si="6"/>
        <v>2084.6438356164381</v>
      </c>
      <c r="CG36" s="276">
        <f t="shared" si="7"/>
        <v>2249.6438356164381</v>
      </c>
      <c r="CH36" s="276">
        <f t="shared" si="8"/>
        <v>2407</v>
      </c>
      <c r="CI36" s="276">
        <f t="shared" si="9"/>
        <v>2522</v>
      </c>
      <c r="CJ36" s="276">
        <f t="shared" si="10"/>
        <v>2568</v>
      </c>
      <c r="CK36" s="276">
        <f t="shared" si="36"/>
        <v>1727.0821917808221</v>
      </c>
      <c r="CL36" s="276">
        <f t="shared" si="37"/>
        <v>1795.1099695585995</v>
      </c>
      <c r="CM36" s="276">
        <f t="shared" si="38"/>
        <v>2062.1735159817349</v>
      </c>
      <c r="CN36" s="276">
        <f t="shared" si="39"/>
        <v>2407</v>
      </c>
      <c r="CO36" s="276">
        <f t="shared" si="39"/>
        <v>2522</v>
      </c>
      <c r="CP36" s="276">
        <f t="shared" si="11"/>
        <v>2568</v>
      </c>
      <c r="CQ36" s="39">
        <f t="shared" si="12"/>
        <v>1720</v>
      </c>
      <c r="CR36" s="39">
        <f t="shared" si="13"/>
        <v>1913.3333333333335</v>
      </c>
      <c r="CS36" s="277">
        <f t="shared" si="14"/>
        <v>1993.1111111111113</v>
      </c>
      <c r="CT36" s="39">
        <f t="shared" si="15"/>
        <v>1875.4814814814818</v>
      </c>
      <c r="CU36" s="39">
        <f t="shared" si="16"/>
        <v>1927.308641975309</v>
      </c>
      <c r="CV36" s="39">
        <f t="shared" si="17"/>
        <v>1931.967078189301</v>
      </c>
      <c r="CW36" s="297">
        <f t="shared" si="18"/>
        <v>0.99589933136099362</v>
      </c>
      <c r="CX36" s="279" t="str">
        <f t="shared" si="40"/>
        <v>Pass</v>
      </c>
      <c r="CY36" s="278">
        <f t="shared" si="19"/>
        <v>1.0658585634192672</v>
      </c>
      <c r="CZ36" s="279" t="str">
        <f t="shared" si="41"/>
        <v>Pass</v>
      </c>
      <c r="DA36" s="278">
        <f t="shared" si="20"/>
        <v>0.96650989631309214</v>
      </c>
      <c r="DB36" s="292" t="str">
        <f t="shared" si="42"/>
        <v>Pass</v>
      </c>
      <c r="DC36" s="299">
        <f t="shared" si="43"/>
        <v>0.77917801474095627</v>
      </c>
      <c r="DD36" s="293" t="str">
        <f t="shared" si="44"/>
        <v>Buffer and Action Plan</v>
      </c>
      <c r="DE36" s="299">
        <f t="shared" si="45"/>
        <v>0.76419850990297744</v>
      </c>
      <c r="DF36" s="293" t="str">
        <f t="shared" si="46"/>
        <v>Buffer and Action Plan</v>
      </c>
      <c r="DG36" s="299">
        <f t="shared" si="47"/>
        <v>0.75232362857838819</v>
      </c>
      <c r="DH36" s="293" t="str">
        <f t="shared" si="48"/>
        <v>Buffer and Action Plan</v>
      </c>
    </row>
    <row r="37" spans="1:112" ht="15" thickTop="1" thickBot="1">
      <c r="A37" s="38" t="s">
        <v>183</v>
      </c>
      <c r="B37" s="38" t="s">
        <v>184</v>
      </c>
      <c r="C37" s="38" t="s">
        <v>183</v>
      </c>
      <c r="D37" s="38" t="s">
        <v>147</v>
      </c>
      <c r="E37" s="38" t="str">
        <f>VLOOKUP(C37,PoliticalControl!A:K,11,FALSE)</f>
        <v>NOC</v>
      </c>
      <c r="F37" s="38" t="str">
        <f>VLOOKUP(C37,UrbanRuralClassification!A:N,13,FALSE)</f>
        <v>Urban with City and Town</v>
      </c>
      <c r="G37" s="38" t="str">
        <f>VLOOKUP(C37,UrbanRuralClassification!A:N,14,FALSE)</f>
        <v>Predominantly Urban</v>
      </c>
      <c r="H37" s="258">
        <f>IF(ISBLANK((VLOOKUP($A37,'local-plan-data'!$C$1:$AD$566,27,FALSE)))=TRUE,"",VLOOKUP($A37,'local-plan-data'!$C$1:$AD$566,27,FALSE))</f>
        <v>40715</v>
      </c>
      <c r="I37" s="259">
        <f>VLOOKUP($A37,'local-plan-data'!$C$1:$AD$566,28,FALSE)</f>
        <v>1320</v>
      </c>
      <c r="J37" s="260">
        <f t="shared" si="21"/>
        <v>1320</v>
      </c>
      <c r="K37" s="259" t="str">
        <f t="shared" si="22"/>
        <v>-</v>
      </c>
      <c r="L37" s="259" t="str">
        <f t="shared" si="22"/>
        <v>-</v>
      </c>
      <c r="M37" s="259" t="str">
        <f t="shared" si="22"/>
        <v>-</v>
      </c>
      <c r="N37" s="259" t="str">
        <f t="shared" si="22"/>
        <v>-</v>
      </c>
      <c r="O37" s="259" t="str">
        <f t="shared" si="22"/>
        <v>-</v>
      </c>
      <c r="P37" s="259" t="str">
        <f t="shared" si="22"/>
        <v>-</v>
      </c>
      <c r="Q37" s="259" t="str">
        <f t="shared" si="22"/>
        <v>-</v>
      </c>
      <c r="R37" s="259" t="str">
        <f t="shared" si="22"/>
        <v>-</v>
      </c>
      <c r="S37" s="259">
        <f t="shared" si="23"/>
        <v>-649</v>
      </c>
      <c r="T37" s="259">
        <f t="shared" si="23"/>
        <v>-1014</v>
      </c>
      <c r="U37" s="259">
        <f t="shared" si="23"/>
        <v>-1380</v>
      </c>
      <c r="V37" s="259">
        <f t="shared" si="23"/>
        <v>-1745</v>
      </c>
      <c r="W37" s="259">
        <f t="shared" si="23"/>
        <v>-2110</v>
      </c>
      <c r="X37" s="259">
        <f t="shared" si="23"/>
        <v>-2475</v>
      </c>
      <c r="Y37" s="259">
        <f t="shared" si="23"/>
        <v>-2841</v>
      </c>
      <c r="Z37" s="259">
        <f t="shared" si="23"/>
        <v>-3206</v>
      </c>
      <c r="AA37" s="267">
        <f>(VLOOKUP(A37,Hshldprojections2014!$A$2:$AW$319,40, FALSE)-VLOOKUP(A37,Hshldprojections2014!$A$2:$AW$319,30, FALSE))/10</f>
        <v>1860</v>
      </c>
      <c r="AB37" s="267">
        <f>(VLOOKUP(A37,Hshldprojections2014!$A$2:$AW$319,41, FALSE)-VLOOKUP(A37,Hshldprojections2014!$A$2:$AW$319,31, FALSE))/10</f>
        <v>1837.6</v>
      </c>
      <c r="AC37" s="267">
        <f>(VLOOKUP(A37,Hshldprojections2014!$A$2:$AW$319,42, FALSE)-VLOOKUP(A37,Hshldprojections2014!$A$2:$AW$319,32, FALSE))/10</f>
        <v>1823.8</v>
      </c>
      <c r="AD37" s="267">
        <f>IF(IndividualLATest!$J$7=2014,(VLOOKUP($A37,Hshldprojections2014!$A$2:$AY$326,43,FALSE)-VLOOKUP($A37,Hshldprojections2014!$A$2:$AY$326,33,FALSE))/10,IF(IndividualLATest!$J$7=2016,(VLOOKUP($A37,Hshldprojections2016!$A$1:$AQ$322,33,FALSE)-VLOOKUP($A37,Hshldprojections2016!$A$1:$AQ$322,23,FALSE))/10,(VLOOKUP($A37,Hshldprojections2018!$A$1:$AQ$327,33,FALSE)-VLOOKUP($A37,Hshldprojections2018!$A$1:$AQ$327,23,FALSE))/10))</f>
        <v>1275.3</v>
      </c>
      <c r="AE37" s="267">
        <f>IF(IndividualLATest!$J$7=2014,(VLOOKUP($A37,Hshldprojections2014!$A$2:$AY$326,44,FALSE)-VLOOKUP($A37,Hshldprojections2014!$A$2:$AY$326,34,FALSE))/10,IF(IndividualLATest!$J$7=2016,(VLOOKUP($A37,Hshldprojections2016!$A$1:$AQ$322,34,FALSE)-VLOOKUP($A37,Hshldprojections2016!$A$1:$AQ$322,24,FALSE))/10,(VLOOKUP($A37,Hshldprojections2018!$A$1:$AQ$327,34,FALSE)-VLOOKUP($A37,Hshldprojections2018!$A$1:$AQ$327,24,FALSE))/10))</f>
        <v>1289.5999999999999</v>
      </c>
      <c r="AF37" s="267">
        <f>IF(IndividualLATest!$J$7=2014,(VLOOKUP($A37,Hshldprojections2014!$A$2:$AY$326,45,FALSE)-VLOOKUP($A37,Hshldprojections2014!$A$2:$AY$326,35,FALSE))/10,IF(IndividualLATest!$J$7=2016,(VLOOKUP($A37,Hshldprojections2016!$A$1:$AQ$322,35,FALSE)-VLOOKUP($A37,Hshldprojections2016!$A$1:$AQ$322,25,FALSE))/10,(VLOOKUP($A37,Hshldprojections2018!$A$1:$AQ$327,35,FALSE)-VLOOKUP($A37,Hshldprojections2018!$A$1:$AQ$327,25,FALSE))/10))</f>
        <v>1299</v>
      </c>
      <c r="AG37" s="267">
        <f>IF(IndividualLATest!$J$7=2014,(VLOOKUP($A37,Hshldprojections2014!$A$2:$AY$326,46,FALSE)-VLOOKUP($A37,Hshldprojections2014!$A$2:$AY$326,36,FALSE))/10,IF(IndividualLATest!$J$7=2016,(VLOOKUP($A37,Hshldprojections2016!$A$1:$AQ$322,36,FALSE)-VLOOKUP($A37,Hshldprojections2016!$A$1:$AQ$322,26,FALSE))/10,(VLOOKUP($A37,Hshldprojections2018!$A$1:$AQ$327,36,FALSE)-VLOOKUP($A37,Hshldprojections2018!$A$1:$AQ$327,26,FALSE))/10))</f>
        <v>1300.8</v>
      </c>
      <c r="AH37" s="267">
        <f>IF(IndividualLATest!$J$7=2014,(VLOOKUP($A37,Hshldprojections2014!$A$2:$AY$326,47,FALSE)-VLOOKUP($A37,Hshldprojections2014!$A$2:$AY$326,37,FALSE))/10,IF(IndividualLATest!$J$7=2016,(VLOOKUP($A37,Hshldprojections2016!$A$1:$AQ$322,37,FALSE)-VLOOKUP($A37,Hshldprojections2016!$A$1:$AQ$322,27,FALSE))/10,(VLOOKUP($A37,Hshldprojections2018!$A$1:$AQ$327,37,FALSE)-VLOOKUP($A37,Hshldprojections2018!$A$1:$AQ$327,27,FALSE))/10))</f>
        <v>1308.4000000000001</v>
      </c>
      <c r="AI37" s="268">
        <f>IF(ISNUMBER('Sensitivity Tests'!$C$30),'Sensitivity Tests'!$C$30,VLOOKUP($A37,AffordabilityRatio!$A$2:$I$321,5,FALSE))</f>
        <v>9.0399999999999991</v>
      </c>
      <c r="AJ37" s="268">
        <f>IF(ISNUMBER('Sensitivity Tests'!$C$30),'Sensitivity Tests'!$C$30,VLOOKUP($A37,AffordabilityRatio!$A$2:$I$321,6,FALSE))</f>
        <v>8.69</v>
      </c>
      <c r="AK37" s="268">
        <f>IF(ISNUMBER('Sensitivity Tests'!$C$30),'Sensitivity Tests'!$C$30,VLOOKUP($A37,AffordabilityRatio!$A$2:$I$321,7,FALSE))</f>
        <v>8.75</v>
      </c>
      <c r="AL37" s="268">
        <f>IF(ISNUMBER('Sensitivity Tests'!$C$30),'Sensitivity Tests'!$C$30,IF((VLOOKUP($A37,AffordabilityRatio!$A$2:$I$321,8,FALSE))="",AK37,VLOOKUP($A37,AffordabilityRatio!$A$2:$I$321,8,FALSE)))</f>
        <v>8.49</v>
      </c>
      <c r="AM37" s="268">
        <f>IF(ISNUMBER('Sensitivity Tests'!$C$30),'Sensitivity Tests'!$C$30,IF((VLOOKUP($A37,AffordabilityRatio!$A$2:$I$321,9,FALSE))="",AL37,VLOOKUP($A37,AffordabilityRatio!$A$2:$I$321,9,FALSE)))</f>
        <v>9.6999999999999993</v>
      </c>
      <c r="AN37" s="268">
        <f>IF(ISNUMBER('Sensitivity Tests'!$C$30),'Sensitivity Tests'!$C$30,IF((VLOOKUP($A37,AffordabilityRatio!$A$2:$I$321,9,FALSE))="",AM37,VLOOKUP($A37,AffordabilityRatio!$A$2:$I$321,9,FALSE)))</f>
        <v>9.6999999999999993</v>
      </c>
      <c r="AO37" s="268">
        <f>IF(ISNUMBER('Sensitivity Tests'!$C$30),'Sensitivity Tests'!$C$30,IF((VLOOKUP($A37,AffordabilityRatio!$A$2:$I$321,9,FALSE))="",AN37,VLOOKUP($A37,AffordabilityRatio!$A$2:$I$321,9,FALSE)))</f>
        <v>9.6999999999999993</v>
      </c>
      <c r="AP37" s="268">
        <f>IF(ISNUMBER('Sensitivity Tests'!$C$30),'Sensitivity Tests'!$C$30,IF((VLOOKUP($A37,AffordabilityRatio!$A$2:$I$321,9,FALSE))="",AO37,VLOOKUP($A37,AffordabilityRatio!$A$2:$I$321,9,FALSE)))</f>
        <v>9.6999999999999993</v>
      </c>
      <c r="AQ37" s="267">
        <f t="shared" si="24"/>
        <v>2446</v>
      </c>
      <c r="AR37" s="267">
        <f t="shared" si="24"/>
        <v>2376</v>
      </c>
      <c r="AS37" s="267">
        <f t="shared" si="24"/>
        <v>2365</v>
      </c>
      <c r="AT37" s="267">
        <f t="shared" si="24"/>
        <v>1633</v>
      </c>
      <c r="AU37" s="267">
        <f t="shared" si="24"/>
        <v>1749</v>
      </c>
      <c r="AV37" s="267">
        <f t="shared" si="24"/>
        <v>1762</v>
      </c>
      <c r="AW37" s="267">
        <f t="shared" si="24"/>
        <v>1764</v>
      </c>
      <c r="AX37" s="267">
        <f t="shared" si="24"/>
        <v>1775</v>
      </c>
      <c r="AY37" s="267">
        <f t="shared" si="25"/>
        <v>2446</v>
      </c>
      <c r="AZ37" s="267">
        <f t="shared" si="26"/>
        <v>2376</v>
      </c>
      <c r="BA37" s="267">
        <f t="shared" si="27"/>
        <v>2365</v>
      </c>
      <c r="BB37" s="267">
        <f t="shared" si="28"/>
        <v>1633</v>
      </c>
      <c r="BC37" s="267">
        <f t="shared" si="29"/>
        <v>1749</v>
      </c>
      <c r="BD37" s="267">
        <f t="shared" si="30"/>
        <v>1762</v>
      </c>
      <c r="BE37" s="267">
        <f t="shared" si="31"/>
        <v>1764</v>
      </c>
      <c r="BF37" s="267">
        <f t="shared" si="32"/>
        <v>1775</v>
      </c>
      <c r="BG37" s="269">
        <f>AY37*VLOOKUP($B37,'Major Cities &amp; Towns'!$A$28:$B$345,2,FALSE)</f>
        <v>3302.1000000000004</v>
      </c>
      <c r="BH37" s="269">
        <f>AZ37*VLOOKUP($B37,'Major Cities &amp; Towns'!$A$28:$B$345,2,FALSE)</f>
        <v>3207.6000000000004</v>
      </c>
      <c r="BI37" s="269">
        <f>BA37*VLOOKUP($B37,'Major Cities &amp; Towns'!$A$28:$B$345,2,FALSE)</f>
        <v>3192.75</v>
      </c>
      <c r="BJ37" s="269">
        <f>BB37*VLOOKUP($B37,'Major Cities &amp; Towns'!$A$28:$B$345,2,FALSE)</f>
        <v>2204.5500000000002</v>
      </c>
      <c r="BK37" s="269">
        <f>BC37*VLOOKUP($B37,'Major Cities &amp; Towns'!$A$28:$B$345,2,FALSE)</f>
        <v>2361.15</v>
      </c>
      <c r="BL37" s="269">
        <f>BD37*VLOOKUP($B37,'Major Cities &amp; Towns'!$A$28:$B$345,2,FALSE)</f>
        <v>2378.7000000000003</v>
      </c>
      <c r="BM37" s="269">
        <f>BE37*VLOOKUP($B37,'Major Cities &amp; Towns'!$A$28:$B$345,2,FALSE)</f>
        <v>2381.4</v>
      </c>
      <c r="BN37" s="269">
        <f>BF37*VLOOKUP($B37,'Major Cities &amp; Towns'!$A$28:$B$345,2,FALSE)</f>
        <v>2396.25</v>
      </c>
      <c r="BO37" s="270">
        <f t="shared" si="33"/>
        <v>2446</v>
      </c>
      <c r="BP37" s="270">
        <f t="shared" si="34"/>
        <v>2376</v>
      </c>
      <c r="BQ37" s="270">
        <f t="shared" si="34"/>
        <v>2365</v>
      </c>
      <c r="BR37" s="270">
        <f t="shared" si="34"/>
        <v>1633</v>
      </c>
      <c r="BS37" s="270">
        <f t="shared" si="34"/>
        <v>1749</v>
      </c>
      <c r="BT37" s="270">
        <f t="shared" si="34"/>
        <v>1762</v>
      </c>
      <c r="BU37" s="270">
        <f t="shared" si="34"/>
        <v>1764</v>
      </c>
      <c r="BV37" s="270">
        <f t="shared" si="34"/>
        <v>1775</v>
      </c>
      <c r="BW37" s="39">
        <f>VLOOKUP($A37,NetAdditions!$A$2:$H$336,6,FALSE)</f>
        <v>1638</v>
      </c>
      <c r="BX37" s="39">
        <f>VLOOKUP($A37,NetAdditions!$A$2:$H$336,7,FALSE)</f>
        <v>1326</v>
      </c>
      <c r="BY37" s="39">
        <f>IF((VLOOKUP($C37,NetAdditions!$A$2:$H$336,8,FALSE))="",(AVERAGE(VLOOKUP($C37,NetAdditions!$A$2:$H$336,5,FALSE),VLOOKUP($C37,NetAdditions!$A$2:$H$336,6,FALSE),VLOOKUP($C37,NetAdditions!$A$2:$H$336,7,FALSE))),VLOOKUP($C37,NetAdditions!$A$2:$H$336,8,FALSE))</f>
        <v>1621</v>
      </c>
      <c r="BZ37" s="39">
        <f t="shared" si="35"/>
        <v>1528.3333333333333</v>
      </c>
      <c r="CA37" s="39">
        <f t="shared" si="35"/>
        <v>1491.7777777777776</v>
      </c>
      <c r="CB37" s="39">
        <f t="shared" si="35"/>
        <v>1547.0370370370367</v>
      </c>
      <c r="CC37" s="39">
        <f t="shared" si="35"/>
        <v>1522.3827160493827</v>
      </c>
      <c r="CD37" s="39">
        <f t="shared" si="35"/>
        <v>1520.3991769547322</v>
      </c>
      <c r="CE37" s="276">
        <f t="shared" si="5"/>
        <v>7187</v>
      </c>
      <c r="CF37" s="276">
        <f t="shared" si="6"/>
        <v>6374</v>
      </c>
      <c r="CG37" s="276">
        <f t="shared" si="7"/>
        <v>5747</v>
      </c>
      <c r="CH37" s="276">
        <f t="shared" si="8"/>
        <v>5144</v>
      </c>
      <c r="CI37" s="276">
        <f t="shared" si="9"/>
        <v>5275</v>
      </c>
      <c r="CJ37" s="276">
        <f t="shared" si="10"/>
        <v>5301</v>
      </c>
      <c r="CK37" s="276">
        <f t="shared" si="36"/>
        <v>6188.8055555555557</v>
      </c>
      <c r="CL37" s="276">
        <f t="shared" si="37"/>
        <v>5488.7222222222226</v>
      </c>
      <c r="CM37" s="276">
        <f t="shared" si="38"/>
        <v>5268.083333333333</v>
      </c>
      <c r="CN37" s="276">
        <f t="shared" si="39"/>
        <v>5144</v>
      </c>
      <c r="CO37" s="276">
        <f t="shared" si="39"/>
        <v>5275</v>
      </c>
      <c r="CP37" s="276">
        <f t="shared" si="11"/>
        <v>5301</v>
      </c>
      <c r="CQ37" s="39">
        <f t="shared" si="12"/>
        <v>4585</v>
      </c>
      <c r="CR37" s="39">
        <f t="shared" si="13"/>
        <v>4475.333333333333</v>
      </c>
      <c r="CS37" s="277">
        <f t="shared" si="14"/>
        <v>4641.1111111111104</v>
      </c>
      <c r="CT37" s="39">
        <f t="shared" si="15"/>
        <v>4567.1481481481478</v>
      </c>
      <c r="CU37" s="39">
        <f t="shared" si="16"/>
        <v>4561.1975308641968</v>
      </c>
      <c r="CV37" s="39">
        <f t="shared" si="17"/>
        <v>4589.8189300411514</v>
      </c>
      <c r="CW37" s="297">
        <f t="shared" si="18"/>
        <v>0.74085378169364935</v>
      </c>
      <c r="CX37" s="279" t="str">
        <f t="shared" si="40"/>
        <v>Buffer and Action Plan</v>
      </c>
      <c r="CY37" s="278">
        <f t="shared" si="19"/>
        <v>0.81536888771926264</v>
      </c>
      <c r="CZ37" s="279" t="str">
        <f t="shared" si="41"/>
        <v>Buffer and Action Plan</v>
      </c>
      <c r="DA37" s="278">
        <f t="shared" si="20"/>
        <v>0.88098665443367019</v>
      </c>
      <c r="DB37" s="292" t="str">
        <f t="shared" si="42"/>
        <v>Action Plan</v>
      </c>
      <c r="DC37" s="299">
        <f t="shared" si="43"/>
        <v>0.88785928229940669</v>
      </c>
      <c r="DD37" s="293" t="str">
        <f t="shared" si="44"/>
        <v>Action Plan</v>
      </c>
      <c r="DE37" s="299">
        <f t="shared" si="45"/>
        <v>0.86468199637235954</v>
      </c>
      <c r="DF37" s="293" t="str">
        <f t="shared" si="46"/>
        <v>Action Plan</v>
      </c>
      <c r="DG37" s="299">
        <f t="shared" si="47"/>
        <v>0.86584020562934383</v>
      </c>
      <c r="DH37" s="293" t="str">
        <f t="shared" si="48"/>
        <v>Action Plan</v>
      </c>
    </row>
    <row r="38" spans="1:112" ht="15" thickTop="1" thickBot="1">
      <c r="A38" s="38" t="s">
        <v>185</v>
      </c>
      <c r="B38" s="38" t="s">
        <v>186</v>
      </c>
      <c r="C38" s="38" t="s">
        <v>185</v>
      </c>
      <c r="D38" s="38" t="s">
        <v>128</v>
      </c>
      <c r="E38" s="38" t="str">
        <f>VLOOKUP(C38,PoliticalControl!A:K,11,FALSE)</f>
        <v>CON</v>
      </c>
      <c r="F38" s="38" t="str">
        <f>VLOOKUP(C38,UrbanRuralClassification!A:N,13,FALSE)</f>
        <v>Urban with Significant Rural (rural including hub towns 26-49%)</v>
      </c>
      <c r="G38" s="38" t="str">
        <f>VLOOKUP(C38,UrbanRuralClassification!A:N,14,FALSE)</f>
        <v>Urban with Significant Rural</v>
      </c>
      <c r="H38" s="258">
        <f>IF(ISBLANK((VLOOKUP($A38,'local-plan-data'!$C$1:$AD$566,27,FALSE)))=TRUE,"",VLOOKUP($A38,'local-plan-data'!$C$1:$AD$566,27,FALSE))</f>
        <v>41649</v>
      </c>
      <c r="I38" s="259">
        <f>VLOOKUP($A38,'local-plan-data'!$C$1:$AD$566,28,FALSE)</f>
        <v>2045.5555555555557</v>
      </c>
      <c r="J38" s="260">
        <f t="shared" si="21"/>
        <v>2045.5555555555557</v>
      </c>
      <c r="K38" s="259">
        <f t="shared" si="22"/>
        <v>2045.5555555555557</v>
      </c>
      <c r="L38" s="259" t="str">
        <f t="shared" si="22"/>
        <v>-</v>
      </c>
      <c r="M38" s="259" t="str">
        <f t="shared" si="22"/>
        <v>-</v>
      </c>
      <c r="N38" s="259" t="str">
        <f t="shared" si="22"/>
        <v>-</v>
      </c>
      <c r="O38" s="259" t="str">
        <f t="shared" si="22"/>
        <v>-</v>
      </c>
      <c r="P38" s="259" t="str">
        <f t="shared" si="22"/>
        <v>-</v>
      </c>
      <c r="Q38" s="259" t="str">
        <f t="shared" si="22"/>
        <v>-</v>
      </c>
      <c r="R38" s="259" t="str">
        <f t="shared" si="22"/>
        <v>-</v>
      </c>
      <c r="S38" s="259">
        <f t="shared" si="23"/>
        <v>284</v>
      </c>
      <c r="T38" s="259">
        <f t="shared" si="23"/>
        <v>-81</v>
      </c>
      <c r="U38" s="259">
        <f t="shared" si="23"/>
        <v>-447</v>
      </c>
      <c r="V38" s="259">
        <f t="shared" si="23"/>
        <v>-812</v>
      </c>
      <c r="W38" s="259">
        <f t="shared" si="23"/>
        <v>-1177</v>
      </c>
      <c r="X38" s="259">
        <f t="shared" si="23"/>
        <v>-1542</v>
      </c>
      <c r="Y38" s="259">
        <f t="shared" si="23"/>
        <v>-1908</v>
      </c>
      <c r="Z38" s="259">
        <f t="shared" si="23"/>
        <v>-2273</v>
      </c>
      <c r="AA38" s="267">
        <f>(VLOOKUP(A38,Hshldprojections2014!$A$2:$AW$319,40, FALSE)-VLOOKUP(A38,Hshldprojections2014!$A$2:$AW$319,30, FALSE))/10</f>
        <v>400.2</v>
      </c>
      <c r="AB38" s="267">
        <f>(VLOOKUP(A38,Hshldprojections2014!$A$2:$AW$319,41, FALSE)-VLOOKUP(A38,Hshldprojections2014!$A$2:$AW$319,31, FALSE))/10</f>
        <v>396.8</v>
      </c>
      <c r="AC38" s="267">
        <f>(VLOOKUP(A38,Hshldprojections2014!$A$2:$AW$319,42, FALSE)-VLOOKUP(A38,Hshldprojections2014!$A$2:$AW$319,32, FALSE))/10</f>
        <v>393.6</v>
      </c>
      <c r="AD38" s="267">
        <f>IF(IndividualLATest!$J$7=2014,(VLOOKUP($A38,Hshldprojections2014!$A$2:$AY$326,43,FALSE)-VLOOKUP($A38,Hshldprojections2014!$A$2:$AY$326,33,FALSE))/10,IF(IndividualLATest!$J$7=2016,(VLOOKUP($A38,Hshldprojections2016!$A$1:$AQ$322,33,FALSE)-VLOOKUP($A38,Hshldprojections2016!$A$1:$AQ$322,23,FALSE))/10,(VLOOKUP($A38,Hshldprojections2018!$A$1:$AQ$327,33,FALSE)-VLOOKUP($A38,Hshldprojections2018!$A$1:$AQ$327,23,FALSE))/10))</f>
        <v>517.29999999999995</v>
      </c>
      <c r="AE38" s="267">
        <f>IF(IndividualLATest!$J$7=2014,(VLOOKUP($A38,Hshldprojections2014!$A$2:$AY$326,44,FALSE)-VLOOKUP($A38,Hshldprojections2014!$A$2:$AY$326,34,FALSE))/10,IF(IndividualLATest!$J$7=2016,(VLOOKUP($A38,Hshldprojections2016!$A$1:$AQ$322,34,FALSE)-VLOOKUP($A38,Hshldprojections2016!$A$1:$AQ$322,24,FALSE))/10,(VLOOKUP($A38,Hshldprojections2018!$A$1:$AQ$327,34,FALSE)-VLOOKUP($A38,Hshldprojections2018!$A$1:$AQ$327,24,FALSE))/10))</f>
        <v>505</v>
      </c>
      <c r="AF38" s="267">
        <f>IF(IndividualLATest!$J$7=2014,(VLOOKUP($A38,Hshldprojections2014!$A$2:$AY$326,45,FALSE)-VLOOKUP($A38,Hshldprojections2014!$A$2:$AY$326,35,FALSE))/10,IF(IndividualLATest!$J$7=2016,(VLOOKUP($A38,Hshldprojections2016!$A$1:$AQ$322,35,FALSE)-VLOOKUP($A38,Hshldprojections2016!$A$1:$AQ$322,25,FALSE))/10,(VLOOKUP($A38,Hshldprojections2018!$A$1:$AQ$327,35,FALSE)-VLOOKUP($A38,Hshldprojections2018!$A$1:$AQ$327,25,FALSE))/10))</f>
        <v>492.5</v>
      </c>
      <c r="AG38" s="267">
        <f>IF(IndividualLATest!$J$7=2014,(VLOOKUP($A38,Hshldprojections2014!$A$2:$AY$326,46,FALSE)-VLOOKUP($A38,Hshldprojections2014!$A$2:$AY$326,36,FALSE))/10,IF(IndividualLATest!$J$7=2016,(VLOOKUP($A38,Hshldprojections2016!$A$1:$AQ$322,36,FALSE)-VLOOKUP($A38,Hshldprojections2016!$A$1:$AQ$322,26,FALSE))/10,(VLOOKUP($A38,Hshldprojections2018!$A$1:$AQ$327,36,FALSE)-VLOOKUP($A38,Hshldprojections2018!$A$1:$AQ$327,26,FALSE))/10))</f>
        <v>479.2</v>
      </c>
      <c r="AH38" s="267">
        <f>IF(IndividualLATest!$J$7=2014,(VLOOKUP($A38,Hshldprojections2014!$A$2:$AY$326,47,FALSE)-VLOOKUP($A38,Hshldprojections2014!$A$2:$AY$326,37,FALSE))/10,IF(IndividualLATest!$J$7=2016,(VLOOKUP($A38,Hshldprojections2016!$A$1:$AQ$322,37,FALSE)-VLOOKUP($A38,Hshldprojections2016!$A$1:$AQ$322,27,FALSE))/10,(VLOOKUP($A38,Hshldprojections2018!$A$1:$AQ$327,37,FALSE)-VLOOKUP($A38,Hshldprojections2018!$A$1:$AQ$327,27,FALSE))/10))</f>
        <v>467.3</v>
      </c>
      <c r="AI38" s="268">
        <f>IF(ISNUMBER('Sensitivity Tests'!$C$30),'Sensitivity Tests'!$C$30,VLOOKUP($A38,AffordabilityRatio!$A$2:$I$321,5,FALSE))</f>
        <v>9.82</v>
      </c>
      <c r="AJ38" s="268">
        <f>IF(ISNUMBER('Sensitivity Tests'!$C$30),'Sensitivity Tests'!$C$30,VLOOKUP($A38,AffordabilityRatio!$A$2:$I$321,6,FALSE))</f>
        <v>9.27</v>
      </c>
      <c r="AK38" s="268">
        <f>IF(ISNUMBER('Sensitivity Tests'!$C$30),'Sensitivity Tests'!$C$30,VLOOKUP($A38,AffordabilityRatio!$A$2:$I$321,7,FALSE))</f>
        <v>8.9</v>
      </c>
      <c r="AL38" s="268">
        <f>IF(ISNUMBER('Sensitivity Tests'!$C$30),'Sensitivity Tests'!$C$30,IF((VLOOKUP($A38,AffordabilityRatio!$A$2:$I$321,8,FALSE))="",AK38,VLOOKUP($A38,AffordabilityRatio!$A$2:$I$321,8,FALSE)))</f>
        <v>8.5399999999999991</v>
      </c>
      <c r="AM38" s="268">
        <f>IF(ISNUMBER('Sensitivity Tests'!$C$30),'Sensitivity Tests'!$C$30,IF((VLOOKUP($A38,AffordabilityRatio!$A$2:$I$321,9,FALSE))="",AL38,VLOOKUP($A38,AffordabilityRatio!$A$2:$I$321,9,FALSE)))</f>
        <v>9.08</v>
      </c>
      <c r="AN38" s="268">
        <f>IF(ISNUMBER('Sensitivity Tests'!$C$30),'Sensitivity Tests'!$C$30,IF((VLOOKUP($A38,AffordabilityRatio!$A$2:$I$321,9,FALSE))="",AM38,VLOOKUP($A38,AffordabilityRatio!$A$2:$I$321,9,FALSE)))</f>
        <v>9.08</v>
      </c>
      <c r="AO38" s="268">
        <f>IF(ISNUMBER('Sensitivity Tests'!$C$30),'Sensitivity Tests'!$C$30,IF((VLOOKUP($A38,AffordabilityRatio!$A$2:$I$321,9,FALSE))="",AN38,VLOOKUP($A38,AffordabilityRatio!$A$2:$I$321,9,FALSE)))</f>
        <v>9.08</v>
      </c>
      <c r="AP38" s="268">
        <f>IF(ISNUMBER('Sensitivity Tests'!$C$30),'Sensitivity Tests'!$C$30,IF((VLOOKUP($A38,AffordabilityRatio!$A$2:$I$321,9,FALSE))="",AO38,VLOOKUP($A38,AffordabilityRatio!$A$2:$I$321,9,FALSE)))</f>
        <v>9.08</v>
      </c>
      <c r="AQ38" s="267">
        <f t="shared" si="24"/>
        <v>546</v>
      </c>
      <c r="AR38" s="267">
        <f t="shared" si="24"/>
        <v>527</v>
      </c>
      <c r="AS38" s="267">
        <f t="shared" si="24"/>
        <v>514</v>
      </c>
      <c r="AT38" s="267">
        <f t="shared" si="24"/>
        <v>664</v>
      </c>
      <c r="AU38" s="267">
        <f t="shared" si="24"/>
        <v>665</v>
      </c>
      <c r="AV38" s="267">
        <f t="shared" si="24"/>
        <v>649</v>
      </c>
      <c r="AW38" s="267">
        <f t="shared" si="24"/>
        <v>631</v>
      </c>
      <c r="AX38" s="267">
        <f t="shared" si="24"/>
        <v>616</v>
      </c>
      <c r="AY38" s="267">
        <f t="shared" si="25"/>
        <v>546</v>
      </c>
      <c r="AZ38" s="267">
        <f t="shared" si="26"/>
        <v>527</v>
      </c>
      <c r="BA38" s="267">
        <f t="shared" si="27"/>
        <v>514</v>
      </c>
      <c r="BB38" s="267">
        <f t="shared" si="28"/>
        <v>664</v>
      </c>
      <c r="BC38" s="267">
        <f t="shared" si="29"/>
        <v>665</v>
      </c>
      <c r="BD38" s="267">
        <f t="shared" si="30"/>
        <v>649</v>
      </c>
      <c r="BE38" s="267">
        <f t="shared" si="31"/>
        <v>631</v>
      </c>
      <c r="BF38" s="267">
        <f t="shared" si="32"/>
        <v>616</v>
      </c>
      <c r="BG38" s="269">
        <f>AY38*VLOOKUP($B38,'Major Cities &amp; Towns'!$A$28:$B$345,2,FALSE)</f>
        <v>546</v>
      </c>
      <c r="BH38" s="269">
        <f>AZ38*VLOOKUP($B38,'Major Cities &amp; Towns'!$A$28:$B$345,2,FALSE)</f>
        <v>527</v>
      </c>
      <c r="BI38" s="269">
        <f>BA38*VLOOKUP($B38,'Major Cities &amp; Towns'!$A$28:$B$345,2,FALSE)</f>
        <v>514</v>
      </c>
      <c r="BJ38" s="269">
        <f>BB38*VLOOKUP($B38,'Major Cities &amp; Towns'!$A$28:$B$345,2,FALSE)</f>
        <v>664</v>
      </c>
      <c r="BK38" s="269">
        <f>BC38*VLOOKUP($B38,'Major Cities &amp; Towns'!$A$28:$B$345,2,FALSE)</f>
        <v>665</v>
      </c>
      <c r="BL38" s="269">
        <f>BD38*VLOOKUP($B38,'Major Cities &amp; Towns'!$A$28:$B$345,2,FALSE)</f>
        <v>649</v>
      </c>
      <c r="BM38" s="269">
        <f>BE38*VLOOKUP($B38,'Major Cities &amp; Towns'!$A$28:$B$345,2,FALSE)</f>
        <v>631</v>
      </c>
      <c r="BN38" s="269">
        <f>BF38*VLOOKUP($B38,'Major Cities &amp; Towns'!$A$28:$B$345,2,FALSE)</f>
        <v>616</v>
      </c>
      <c r="BO38" s="270">
        <f t="shared" si="33"/>
        <v>546</v>
      </c>
      <c r="BP38" s="270">
        <f t="shared" si="34"/>
        <v>527</v>
      </c>
      <c r="BQ38" s="270">
        <f t="shared" si="34"/>
        <v>514</v>
      </c>
      <c r="BR38" s="270">
        <f t="shared" si="34"/>
        <v>664</v>
      </c>
      <c r="BS38" s="270">
        <f t="shared" si="34"/>
        <v>665</v>
      </c>
      <c r="BT38" s="270">
        <f t="shared" si="34"/>
        <v>649</v>
      </c>
      <c r="BU38" s="270">
        <f t="shared" si="34"/>
        <v>631</v>
      </c>
      <c r="BV38" s="270">
        <f t="shared" si="34"/>
        <v>616</v>
      </c>
      <c r="BW38" s="39">
        <f>VLOOKUP($A38,NetAdditions!$A$2:$H$336,6,FALSE)</f>
        <v>640</v>
      </c>
      <c r="BX38" s="39">
        <f>VLOOKUP($A38,NetAdditions!$A$2:$H$336,7,FALSE)</f>
        <v>663</v>
      </c>
      <c r="BY38" s="39">
        <f>IF((VLOOKUP($C38,NetAdditions!$A$2:$H$336,8,FALSE))="",(AVERAGE(VLOOKUP($C38,NetAdditions!$A$2:$H$336,5,FALSE),VLOOKUP($C38,NetAdditions!$A$2:$H$336,6,FALSE),VLOOKUP($C38,NetAdditions!$A$2:$H$336,7,FALSE))),VLOOKUP($C38,NetAdditions!$A$2:$H$336,8,FALSE))</f>
        <v>499</v>
      </c>
      <c r="BZ38" s="39">
        <f t="shared" si="35"/>
        <v>600.66666666666663</v>
      </c>
      <c r="CA38" s="39">
        <f t="shared" si="35"/>
        <v>587.55555555555554</v>
      </c>
      <c r="CB38" s="39">
        <f t="shared" si="35"/>
        <v>562.40740740740739</v>
      </c>
      <c r="CC38" s="39">
        <f t="shared" si="35"/>
        <v>583.54320987654319</v>
      </c>
      <c r="CD38" s="39">
        <f t="shared" si="35"/>
        <v>577.83539094650212</v>
      </c>
      <c r="CE38" s="276">
        <f t="shared" si="5"/>
        <v>1587</v>
      </c>
      <c r="CF38" s="276">
        <f t="shared" si="6"/>
        <v>1705</v>
      </c>
      <c r="CG38" s="276">
        <f t="shared" si="7"/>
        <v>1843</v>
      </c>
      <c r="CH38" s="276">
        <f t="shared" si="8"/>
        <v>1978</v>
      </c>
      <c r="CI38" s="276">
        <f t="shared" si="9"/>
        <v>1945</v>
      </c>
      <c r="CJ38" s="276">
        <f t="shared" si="10"/>
        <v>1896</v>
      </c>
      <c r="CK38" s="276">
        <f t="shared" si="36"/>
        <v>1366.5833333333335</v>
      </c>
      <c r="CL38" s="276">
        <f t="shared" si="37"/>
        <v>1468.1944444444446</v>
      </c>
      <c r="CM38" s="276">
        <f t="shared" si="38"/>
        <v>1689.4166666666665</v>
      </c>
      <c r="CN38" s="276">
        <f t="shared" si="39"/>
        <v>1978</v>
      </c>
      <c r="CO38" s="276">
        <f t="shared" si="39"/>
        <v>1945</v>
      </c>
      <c r="CP38" s="276">
        <f t="shared" si="11"/>
        <v>1896</v>
      </c>
      <c r="CQ38" s="39">
        <f t="shared" si="12"/>
        <v>1802</v>
      </c>
      <c r="CR38" s="39">
        <f t="shared" si="13"/>
        <v>1762.6666666666665</v>
      </c>
      <c r="CS38" s="277">
        <f t="shared" si="14"/>
        <v>1687.2222222222222</v>
      </c>
      <c r="CT38" s="39">
        <f t="shared" si="15"/>
        <v>1750.6296296296296</v>
      </c>
      <c r="CU38" s="39">
        <f t="shared" si="16"/>
        <v>1733.5061728395062</v>
      </c>
      <c r="CV38" s="39">
        <f t="shared" si="17"/>
        <v>1723.7860082304528</v>
      </c>
      <c r="CW38" s="297">
        <f t="shared" si="18"/>
        <v>1.3186169888407828</v>
      </c>
      <c r="CX38" s="279" t="str">
        <f t="shared" si="40"/>
        <v>Pass</v>
      </c>
      <c r="CY38" s="278">
        <f t="shared" si="19"/>
        <v>1.2005675905779962</v>
      </c>
      <c r="CZ38" s="279" t="str">
        <f t="shared" si="41"/>
        <v>Pass</v>
      </c>
      <c r="DA38" s="278">
        <f t="shared" si="20"/>
        <v>0.99870106381229551</v>
      </c>
      <c r="DB38" s="292" t="str">
        <f t="shared" si="42"/>
        <v>Pass</v>
      </c>
      <c r="DC38" s="299">
        <f t="shared" si="43"/>
        <v>0.88505036887241129</v>
      </c>
      <c r="DD38" s="293" t="str">
        <f t="shared" si="44"/>
        <v>Action Plan</v>
      </c>
      <c r="DE38" s="299">
        <f t="shared" si="45"/>
        <v>0.891262813799232</v>
      </c>
      <c r="DF38" s="293" t="str">
        <f t="shared" si="46"/>
        <v>Action Plan</v>
      </c>
      <c r="DG38" s="299">
        <f t="shared" si="47"/>
        <v>0.90916983556458486</v>
      </c>
      <c r="DH38" s="293" t="str">
        <f t="shared" si="48"/>
        <v>Action Plan</v>
      </c>
    </row>
    <row r="39" spans="1:112" customFormat="1" ht="15.5" thickTop="1" thickBot="1">
      <c r="A39" s="3" t="s">
        <v>187</v>
      </c>
      <c r="B39" s="3" t="s">
        <v>188</v>
      </c>
      <c r="C39" s="3" t="s">
        <v>187</v>
      </c>
      <c r="D39" s="3" t="s">
        <v>131</v>
      </c>
      <c r="E39" s="3" t="str">
        <f>VLOOKUP(C39,PoliticalControl!A:K,11,FALSE)</f>
        <v>CON</v>
      </c>
      <c r="F39" s="3" t="str">
        <f>VLOOKUP(C39,UrbanRuralClassification!A:N,13,FALSE)</f>
        <v>Urban with Major Conurbation</v>
      </c>
      <c r="G39" s="3" t="str">
        <f>VLOOKUP(C39,UrbanRuralClassification!A:N,14,FALSE)</f>
        <v>Predominantly Urban</v>
      </c>
      <c r="H39" s="262">
        <f>IF(ISBLANK((VLOOKUP($A39,'local-plan-data'!$C$1:$AD$566,27,FALSE)))=TRUE,"",VLOOKUP($A39,'local-plan-data'!$C$1:$AD$566,27,FALSE))</f>
        <v>43481</v>
      </c>
      <c r="I39" s="263">
        <f>VLOOKUP($A39,'local-plan-data'!$C$1:$AD$566,28,FALSE)</f>
        <v>641</v>
      </c>
      <c r="J39" s="264">
        <f t="shared" si="21"/>
        <v>641</v>
      </c>
      <c r="K39" s="259">
        <f t="shared" si="22"/>
        <v>641</v>
      </c>
      <c r="L39" s="259">
        <f t="shared" si="22"/>
        <v>641</v>
      </c>
      <c r="M39" s="259">
        <f t="shared" si="22"/>
        <v>641</v>
      </c>
      <c r="N39" s="259">
        <f t="shared" si="22"/>
        <v>641</v>
      </c>
      <c r="O39" s="259">
        <f t="shared" si="22"/>
        <v>641</v>
      </c>
      <c r="P39" s="259">
        <f t="shared" si="22"/>
        <v>641</v>
      </c>
      <c r="Q39" s="259" t="str">
        <f t="shared" si="22"/>
        <v>-</v>
      </c>
      <c r="R39" s="259" t="str">
        <f t="shared" si="22"/>
        <v>-</v>
      </c>
      <c r="S39" s="259">
        <f t="shared" si="23"/>
        <v>2116</v>
      </c>
      <c r="T39" s="259">
        <f t="shared" si="23"/>
        <v>1751</v>
      </c>
      <c r="U39" s="259">
        <f t="shared" si="23"/>
        <v>1385</v>
      </c>
      <c r="V39" s="259">
        <f t="shared" si="23"/>
        <v>1020</v>
      </c>
      <c r="W39" s="259">
        <f t="shared" si="23"/>
        <v>655</v>
      </c>
      <c r="X39" s="259">
        <f t="shared" si="23"/>
        <v>290</v>
      </c>
      <c r="Y39" s="259">
        <f t="shared" si="23"/>
        <v>-76</v>
      </c>
      <c r="Z39" s="259">
        <f t="shared" si="23"/>
        <v>-441</v>
      </c>
      <c r="AA39" s="267">
        <f>(VLOOKUP(A39,Hshldprojections2014!$A$2:$AW$319,40, FALSE)-VLOOKUP(A39,Hshldprojections2014!$A$2:$AW$319,30, FALSE))/10</f>
        <v>1882.4</v>
      </c>
      <c r="AB39" s="267">
        <f>(VLOOKUP(A39,Hshldprojections2014!$A$2:$AW$319,41, FALSE)-VLOOKUP(A39,Hshldprojections2014!$A$2:$AW$319,31, FALSE))/10</f>
        <v>1901.1</v>
      </c>
      <c r="AC39" s="267">
        <f>(VLOOKUP(A39,Hshldprojections2014!$A$2:$AW$319,42, FALSE)-VLOOKUP(A39,Hshldprojections2014!$A$2:$AW$319,32, FALSE))/10</f>
        <v>1918.3</v>
      </c>
      <c r="AD39" s="267">
        <f>IF(IndividualLATest!$J$7=2014,(VLOOKUP($A39,Hshldprojections2014!$A$2:$AY$326,43,FALSE)-VLOOKUP($A39,Hshldprojections2014!$A$2:$AY$326,33,FALSE))/10,IF(IndividualLATest!$J$7=2016,(VLOOKUP($A39,Hshldprojections2016!$A$1:$AQ$322,33,FALSE)-VLOOKUP($A39,Hshldprojections2016!$A$1:$AQ$322,23,FALSE))/10,(VLOOKUP($A39,Hshldprojections2018!$A$1:$AQ$327,33,FALSE)-VLOOKUP($A39,Hshldprojections2018!$A$1:$AQ$327,23,FALSE))/10))</f>
        <v>904.1</v>
      </c>
      <c r="AE39" s="267">
        <f>IF(IndividualLATest!$J$7=2014,(VLOOKUP($A39,Hshldprojections2014!$A$2:$AY$326,44,FALSE)-VLOOKUP($A39,Hshldprojections2014!$A$2:$AY$326,34,FALSE))/10,IF(IndividualLATest!$J$7=2016,(VLOOKUP($A39,Hshldprojections2016!$A$1:$AQ$322,34,FALSE)-VLOOKUP($A39,Hshldprojections2016!$A$1:$AQ$322,24,FALSE))/10,(VLOOKUP($A39,Hshldprojections2018!$A$1:$AQ$327,34,FALSE)-VLOOKUP($A39,Hshldprojections2018!$A$1:$AQ$327,24,FALSE))/10))</f>
        <v>889.9</v>
      </c>
      <c r="AF39" s="267">
        <f>IF(IndividualLATest!$J$7=2014,(VLOOKUP($A39,Hshldprojections2014!$A$2:$AY$326,45,FALSE)-VLOOKUP($A39,Hshldprojections2014!$A$2:$AY$326,35,FALSE))/10,IF(IndividualLATest!$J$7=2016,(VLOOKUP($A39,Hshldprojections2016!$A$1:$AQ$322,35,FALSE)-VLOOKUP($A39,Hshldprojections2016!$A$1:$AQ$322,25,FALSE))/10,(VLOOKUP($A39,Hshldprojections2018!$A$1:$AQ$327,35,FALSE)-VLOOKUP($A39,Hshldprojections2018!$A$1:$AQ$327,25,FALSE))/10))</f>
        <v>872.8</v>
      </c>
      <c r="AG39" s="267">
        <f>IF(IndividualLATest!$J$7=2014,(VLOOKUP($A39,Hshldprojections2014!$A$2:$AY$326,46,FALSE)-VLOOKUP($A39,Hshldprojections2014!$A$2:$AY$326,36,FALSE))/10,IF(IndividualLATest!$J$7=2016,(VLOOKUP($A39,Hshldprojections2016!$A$1:$AQ$322,36,FALSE)-VLOOKUP($A39,Hshldprojections2016!$A$1:$AQ$322,26,FALSE))/10,(VLOOKUP($A39,Hshldprojections2018!$A$1:$AQ$327,36,FALSE)-VLOOKUP($A39,Hshldprojections2018!$A$1:$AQ$327,26,FALSE))/10))</f>
        <v>856.2</v>
      </c>
      <c r="AH39" s="267">
        <f>IF(IndividualLATest!$J$7=2014,(VLOOKUP($A39,Hshldprojections2014!$A$2:$AY$326,47,FALSE)-VLOOKUP($A39,Hshldprojections2014!$A$2:$AY$326,37,FALSE))/10,IF(IndividualLATest!$J$7=2016,(VLOOKUP($A39,Hshldprojections2016!$A$1:$AQ$322,37,FALSE)-VLOOKUP($A39,Hshldprojections2016!$A$1:$AQ$322,27,FALSE))/10,(VLOOKUP($A39,Hshldprojections2018!$A$1:$AQ$327,37,FALSE)-VLOOKUP($A39,Hshldprojections2018!$A$1:$AQ$327,27,FALSE))/10))</f>
        <v>847.7</v>
      </c>
      <c r="AI39" s="268">
        <f>IF(ISNUMBER('Sensitivity Tests'!$C$30),'Sensitivity Tests'!$C$30,VLOOKUP($A39,AffordabilityRatio!$A$2:$I$321,5,FALSE))</f>
        <v>14.59</v>
      </c>
      <c r="AJ39" s="268">
        <f>IF(ISNUMBER('Sensitivity Tests'!$C$30),'Sensitivity Tests'!$C$30,VLOOKUP($A39,AffordabilityRatio!$A$2:$I$321,6,FALSE))</f>
        <v>14.3</v>
      </c>
      <c r="AK39" s="268">
        <f>IF(ISNUMBER('Sensitivity Tests'!$C$30),'Sensitivity Tests'!$C$30,VLOOKUP($A39,AffordabilityRatio!$A$2:$I$321,7,FALSE))</f>
        <v>13.85</v>
      </c>
      <c r="AL39" s="268">
        <f>IF(ISNUMBER('Sensitivity Tests'!$C$30),'Sensitivity Tests'!$C$30,IF((VLOOKUP($A39,AffordabilityRatio!$A$2:$I$321,8,FALSE))="",AK39,VLOOKUP($A39,AffordabilityRatio!$A$2:$I$321,8,FALSE)))</f>
        <v>12.87</v>
      </c>
      <c r="AM39" s="268">
        <f>IF(ISNUMBER('Sensitivity Tests'!$C$30),'Sensitivity Tests'!$C$30,IF((VLOOKUP($A39,AffordabilityRatio!$A$2:$I$321,9,FALSE))="",AL39,VLOOKUP($A39,AffordabilityRatio!$A$2:$I$321,9,FALSE)))</f>
        <v>14.54</v>
      </c>
      <c r="AN39" s="268">
        <f>IF(ISNUMBER('Sensitivity Tests'!$C$30),'Sensitivity Tests'!$C$30,IF((VLOOKUP($A39,AffordabilityRatio!$A$2:$I$321,9,FALSE))="",AM39,VLOOKUP($A39,AffordabilityRatio!$A$2:$I$321,9,FALSE)))</f>
        <v>14.54</v>
      </c>
      <c r="AO39" s="268">
        <f>IF(ISNUMBER('Sensitivity Tests'!$C$30),'Sensitivity Tests'!$C$30,IF((VLOOKUP($A39,AffordabilityRatio!$A$2:$I$321,9,FALSE))="",AN39,VLOOKUP($A39,AffordabilityRatio!$A$2:$I$321,9,FALSE)))</f>
        <v>14.54</v>
      </c>
      <c r="AP39" s="268">
        <f>IF(ISNUMBER('Sensitivity Tests'!$C$30),'Sensitivity Tests'!$C$30,IF((VLOOKUP($A39,AffordabilityRatio!$A$2:$I$321,9,FALSE))="",AO39,VLOOKUP($A39,AffordabilityRatio!$A$2:$I$321,9,FALSE)))</f>
        <v>14.54</v>
      </c>
      <c r="AQ39" s="267">
        <f t="shared" si="24"/>
        <v>3128</v>
      </c>
      <c r="AR39" s="267">
        <f t="shared" si="24"/>
        <v>3125</v>
      </c>
      <c r="AS39" s="267">
        <f t="shared" si="24"/>
        <v>3099</v>
      </c>
      <c r="AT39" s="267">
        <f t="shared" si="24"/>
        <v>1405</v>
      </c>
      <c r="AU39" s="267">
        <f t="shared" si="24"/>
        <v>1476</v>
      </c>
      <c r="AV39" s="267">
        <f t="shared" si="24"/>
        <v>1448</v>
      </c>
      <c r="AW39" s="267">
        <f t="shared" si="24"/>
        <v>1420</v>
      </c>
      <c r="AX39" s="267">
        <f t="shared" si="24"/>
        <v>1406</v>
      </c>
      <c r="AY39" s="267">
        <f t="shared" si="25"/>
        <v>897.40000000000009</v>
      </c>
      <c r="AZ39" s="267">
        <f t="shared" si="26"/>
        <v>897.40000000000009</v>
      </c>
      <c r="BA39" s="267">
        <f t="shared" si="27"/>
        <v>897.40000000000009</v>
      </c>
      <c r="BB39" s="267">
        <f t="shared" si="28"/>
        <v>897.40000000000009</v>
      </c>
      <c r="BC39" s="267">
        <f t="shared" si="29"/>
        <v>897.40000000000009</v>
      </c>
      <c r="BD39" s="267">
        <f t="shared" si="30"/>
        <v>897.40000000000009</v>
      </c>
      <c r="BE39" s="267">
        <f t="shared" si="31"/>
        <v>1198.68</v>
      </c>
      <c r="BF39" s="267">
        <f t="shared" si="32"/>
        <v>1186.7800000000002</v>
      </c>
      <c r="BG39" s="269">
        <f>AY39*VLOOKUP($B39,'Major Cities &amp; Towns'!$A$28:$B$345,2,FALSE)</f>
        <v>1211.4900000000002</v>
      </c>
      <c r="BH39" s="269">
        <f>AZ39*VLOOKUP($B39,'Major Cities &amp; Towns'!$A$28:$B$345,2,FALSE)</f>
        <v>1211.4900000000002</v>
      </c>
      <c r="BI39" s="269">
        <f>BA39*VLOOKUP($B39,'Major Cities &amp; Towns'!$A$28:$B$345,2,FALSE)</f>
        <v>1211.4900000000002</v>
      </c>
      <c r="BJ39" s="269">
        <f>BB39*VLOOKUP($B39,'Major Cities &amp; Towns'!$A$28:$B$345,2,FALSE)</f>
        <v>1211.4900000000002</v>
      </c>
      <c r="BK39" s="269">
        <f>BC39*VLOOKUP($B39,'Major Cities &amp; Towns'!$A$28:$B$345,2,FALSE)</f>
        <v>1211.4900000000002</v>
      </c>
      <c r="BL39" s="269">
        <f>BD39*VLOOKUP($B39,'Major Cities &amp; Towns'!$A$28:$B$345,2,FALSE)</f>
        <v>1211.4900000000002</v>
      </c>
      <c r="BM39" s="269">
        <f>BE39*VLOOKUP($B39,'Major Cities &amp; Towns'!$A$28:$B$345,2,FALSE)</f>
        <v>1618.2180000000003</v>
      </c>
      <c r="BN39" s="269">
        <f>BF39*VLOOKUP($B39,'Major Cities &amp; Towns'!$A$28:$B$345,2,FALSE)</f>
        <v>1602.1530000000005</v>
      </c>
      <c r="BO39" s="270">
        <f t="shared" si="33"/>
        <v>641</v>
      </c>
      <c r="BP39" s="270">
        <f t="shared" si="34"/>
        <v>641</v>
      </c>
      <c r="BQ39" s="270">
        <f t="shared" si="34"/>
        <v>641</v>
      </c>
      <c r="BR39" s="270">
        <f t="shared" si="34"/>
        <v>641</v>
      </c>
      <c r="BS39" s="270">
        <f t="shared" si="34"/>
        <v>641</v>
      </c>
      <c r="BT39" s="270">
        <f t="shared" si="34"/>
        <v>806.82191780821904</v>
      </c>
      <c r="BU39" s="270">
        <f t="shared" si="34"/>
        <v>1420</v>
      </c>
      <c r="BV39" s="270">
        <f t="shared" si="34"/>
        <v>1406</v>
      </c>
      <c r="BW39" s="39">
        <f>VLOOKUP($A39,NetAdditions!$A$2:$H$336,6,FALSE)</f>
        <v>708</v>
      </c>
      <c r="BX39" s="39">
        <f>VLOOKUP($A39,NetAdditions!$A$2:$H$336,7,FALSE)</f>
        <v>485</v>
      </c>
      <c r="BY39" s="39">
        <f>IF((VLOOKUP($C39,NetAdditions!$A$2:$H$336,8,FALSE))="",(AVERAGE(VLOOKUP($C39,NetAdditions!$A$2:$H$336,5,FALSE),VLOOKUP($C39,NetAdditions!$A$2:$H$336,6,FALSE),VLOOKUP($C39,NetAdditions!$A$2:$H$336,7,FALSE))),VLOOKUP($C39,NetAdditions!$A$2:$H$336,8,FALSE))</f>
        <v>272</v>
      </c>
      <c r="BZ39" s="39">
        <f t="shared" si="35"/>
        <v>488.33333333333331</v>
      </c>
      <c r="CA39" s="39">
        <f t="shared" si="35"/>
        <v>415.11111111111109</v>
      </c>
      <c r="CB39" s="39">
        <f t="shared" si="35"/>
        <v>391.81481481481478</v>
      </c>
      <c r="CC39" s="39">
        <f t="shared" si="35"/>
        <v>431.75308641975306</v>
      </c>
      <c r="CD39" s="39">
        <f t="shared" si="35"/>
        <v>412.89300411522635</v>
      </c>
      <c r="CE39" s="276">
        <f t="shared" si="5"/>
        <v>1923</v>
      </c>
      <c r="CF39" s="276">
        <f t="shared" si="6"/>
        <v>1923</v>
      </c>
      <c r="CG39" s="276">
        <f t="shared" si="7"/>
        <v>1923</v>
      </c>
      <c r="CH39" s="276">
        <f t="shared" si="8"/>
        <v>2088.821917808219</v>
      </c>
      <c r="CI39" s="276">
        <f t="shared" si="9"/>
        <v>2867.821917808219</v>
      </c>
      <c r="CJ39" s="276">
        <f t="shared" si="10"/>
        <v>3632.821917808219</v>
      </c>
      <c r="CK39" s="276">
        <f t="shared" si="36"/>
        <v>1655.9166666666667</v>
      </c>
      <c r="CL39" s="276">
        <f t="shared" si="37"/>
        <v>1655.9166666666667</v>
      </c>
      <c r="CM39" s="276">
        <f t="shared" si="38"/>
        <v>1762.75</v>
      </c>
      <c r="CN39" s="276">
        <f t="shared" si="39"/>
        <v>2088.821917808219</v>
      </c>
      <c r="CO39" s="276">
        <f t="shared" si="39"/>
        <v>2867.821917808219</v>
      </c>
      <c r="CP39" s="276">
        <f t="shared" si="11"/>
        <v>3632.821917808219</v>
      </c>
      <c r="CQ39" s="39">
        <f t="shared" si="12"/>
        <v>1465</v>
      </c>
      <c r="CR39" s="39">
        <f t="shared" si="13"/>
        <v>1245.3333333333333</v>
      </c>
      <c r="CS39" s="277">
        <f t="shared" si="14"/>
        <v>1175.4444444444443</v>
      </c>
      <c r="CT39" s="39">
        <f t="shared" si="15"/>
        <v>1295.2592592592591</v>
      </c>
      <c r="CU39" s="39">
        <f t="shared" si="16"/>
        <v>1238.679012345679</v>
      </c>
      <c r="CV39" s="39">
        <f t="shared" si="17"/>
        <v>1236.4609053497943</v>
      </c>
      <c r="CW39" s="297">
        <f t="shared" si="18"/>
        <v>0.88470635599617531</v>
      </c>
      <c r="CX39" s="279" t="str">
        <f t="shared" si="40"/>
        <v>Action Plan</v>
      </c>
      <c r="CY39" s="278">
        <f t="shared" si="19"/>
        <v>0.75205072719037791</v>
      </c>
      <c r="CZ39" s="279" t="str">
        <f t="shared" si="41"/>
        <v>Buffer and Action Plan</v>
      </c>
      <c r="DA39" s="278">
        <f t="shared" si="20"/>
        <v>0.66682424872752477</v>
      </c>
      <c r="DB39" s="292" t="str">
        <f t="shared" si="42"/>
        <v>Presumption</v>
      </c>
      <c r="DC39" s="299">
        <f t="shared" si="43"/>
        <v>0.62009080248370929</v>
      </c>
      <c r="DD39" s="293" t="str">
        <f t="shared" si="44"/>
        <v>Presumption</v>
      </c>
      <c r="DE39" s="299">
        <f t="shared" si="45"/>
        <v>0.43192326715054896</v>
      </c>
      <c r="DF39" s="293" t="str">
        <f t="shared" si="46"/>
        <v>Presumption</v>
      </c>
      <c r="DG39" s="299">
        <f t="shared" si="47"/>
        <v>0.34035824858042724</v>
      </c>
      <c r="DH39" s="293" t="str">
        <f t="shared" si="48"/>
        <v>Presumption</v>
      </c>
    </row>
    <row r="40" spans="1:112" ht="15" thickTop="1" thickBot="1">
      <c r="A40" s="38" t="s">
        <v>189</v>
      </c>
      <c r="B40" s="38" t="s">
        <v>190</v>
      </c>
      <c r="C40" s="38" t="s">
        <v>189</v>
      </c>
      <c r="D40" s="38" t="s">
        <v>154</v>
      </c>
      <c r="E40" s="38" t="str">
        <f>VLOOKUP(C40,PoliticalControl!A:K,11,FALSE)</f>
        <v>CON</v>
      </c>
      <c r="F40" s="38" t="str">
        <f>VLOOKUP(C40,UrbanRuralClassification!A:N,13,FALSE)</f>
        <v>Urban with City and Town</v>
      </c>
      <c r="G40" s="38" t="str">
        <f>VLOOKUP(C40,UrbanRuralClassification!A:N,14,FALSE)</f>
        <v>Predominantly Urban</v>
      </c>
      <c r="H40" s="258">
        <f>IF(ISBLANK((VLOOKUP($A40,'local-plan-data'!$C$1:$AD$566,27,FALSE)))=TRUE,"",VLOOKUP($A40,'local-plan-data'!$C$1:$AD$566,27,FALSE))</f>
        <v>42760</v>
      </c>
      <c r="I40" s="259">
        <f>VLOOKUP($A40,'local-plan-data'!$C$1:$AD$566,28,FALSE)</f>
        <v>547.36842105263156</v>
      </c>
      <c r="J40" s="260">
        <f t="shared" si="21"/>
        <v>547.36842105263156</v>
      </c>
      <c r="K40" s="259">
        <f t="shared" si="22"/>
        <v>547.36842105263156</v>
      </c>
      <c r="L40" s="259">
        <f t="shared" si="22"/>
        <v>547.36842105263156</v>
      </c>
      <c r="M40" s="259">
        <f t="shared" si="22"/>
        <v>547.36842105263156</v>
      </c>
      <c r="N40" s="259">
        <f t="shared" si="22"/>
        <v>547.36842105263156</v>
      </c>
      <c r="O40" s="259" t="str">
        <f t="shared" si="22"/>
        <v>-</v>
      </c>
      <c r="P40" s="259" t="str">
        <f t="shared" si="22"/>
        <v>-</v>
      </c>
      <c r="Q40" s="259" t="str">
        <f t="shared" si="22"/>
        <v>-</v>
      </c>
      <c r="R40" s="259" t="str">
        <f t="shared" si="22"/>
        <v>-</v>
      </c>
      <c r="S40" s="259">
        <f t="shared" si="23"/>
        <v>1395</v>
      </c>
      <c r="T40" s="259">
        <f t="shared" si="23"/>
        <v>1030</v>
      </c>
      <c r="U40" s="259">
        <f t="shared" si="23"/>
        <v>664</v>
      </c>
      <c r="V40" s="259">
        <f t="shared" si="23"/>
        <v>299</v>
      </c>
      <c r="W40" s="259">
        <f t="shared" si="23"/>
        <v>-66</v>
      </c>
      <c r="X40" s="259">
        <f t="shared" si="23"/>
        <v>-431</v>
      </c>
      <c r="Y40" s="259">
        <f t="shared" si="23"/>
        <v>-797</v>
      </c>
      <c r="Z40" s="259">
        <f t="shared" si="23"/>
        <v>-1162</v>
      </c>
      <c r="AA40" s="267">
        <f>(VLOOKUP(A40,Hshldprojections2014!$A$2:$AW$319,40, FALSE)-VLOOKUP(A40,Hshldprojections2014!$A$2:$AW$319,30, FALSE))/10</f>
        <v>268.5</v>
      </c>
      <c r="AB40" s="267">
        <f>(VLOOKUP(A40,Hshldprojections2014!$A$2:$AW$319,41, FALSE)-VLOOKUP(A40,Hshldprojections2014!$A$2:$AW$319,31, FALSE))/10</f>
        <v>271.7</v>
      </c>
      <c r="AC40" s="267">
        <f>(VLOOKUP(A40,Hshldprojections2014!$A$2:$AW$319,42, FALSE)-VLOOKUP(A40,Hshldprojections2014!$A$2:$AW$319,32, FALSE))/10</f>
        <v>274.8</v>
      </c>
      <c r="AD40" s="267">
        <f>IF(IndividualLATest!$J$7=2014,(VLOOKUP($A40,Hshldprojections2014!$A$2:$AY$326,43,FALSE)-VLOOKUP($A40,Hshldprojections2014!$A$2:$AY$326,33,FALSE))/10,IF(IndividualLATest!$J$7=2016,(VLOOKUP($A40,Hshldprojections2016!$A$1:$AQ$322,33,FALSE)-VLOOKUP($A40,Hshldprojections2016!$A$1:$AQ$322,23,FALSE))/10,(VLOOKUP($A40,Hshldprojections2018!$A$1:$AQ$327,33,FALSE)-VLOOKUP($A40,Hshldprojections2018!$A$1:$AQ$327,23,FALSE))/10))</f>
        <v>380.9</v>
      </c>
      <c r="AE40" s="267">
        <f>IF(IndividualLATest!$J$7=2014,(VLOOKUP($A40,Hshldprojections2014!$A$2:$AY$326,44,FALSE)-VLOOKUP($A40,Hshldprojections2014!$A$2:$AY$326,34,FALSE))/10,IF(IndividualLATest!$J$7=2016,(VLOOKUP($A40,Hshldprojections2016!$A$1:$AQ$322,34,FALSE)-VLOOKUP($A40,Hshldprojections2016!$A$1:$AQ$322,24,FALSE))/10,(VLOOKUP($A40,Hshldprojections2018!$A$1:$AQ$327,34,FALSE)-VLOOKUP($A40,Hshldprojections2018!$A$1:$AQ$327,24,FALSE))/10))</f>
        <v>374.8</v>
      </c>
      <c r="AF40" s="267">
        <f>IF(IndividualLATest!$J$7=2014,(VLOOKUP($A40,Hshldprojections2014!$A$2:$AY$326,45,FALSE)-VLOOKUP($A40,Hshldprojections2014!$A$2:$AY$326,35,FALSE))/10,IF(IndividualLATest!$J$7=2016,(VLOOKUP($A40,Hshldprojections2016!$A$1:$AQ$322,35,FALSE)-VLOOKUP($A40,Hshldprojections2016!$A$1:$AQ$322,25,FALSE))/10,(VLOOKUP($A40,Hshldprojections2018!$A$1:$AQ$327,35,FALSE)-VLOOKUP($A40,Hshldprojections2018!$A$1:$AQ$327,25,FALSE))/10))</f>
        <v>369</v>
      </c>
      <c r="AG40" s="267">
        <f>IF(IndividualLATest!$J$7=2014,(VLOOKUP($A40,Hshldprojections2014!$A$2:$AY$326,46,FALSE)-VLOOKUP($A40,Hshldprojections2014!$A$2:$AY$326,36,FALSE))/10,IF(IndividualLATest!$J$7=2016,(VLOOKUP($A40,Hshldprojections2016!$A$1:$AQ$322,36,FALSE)-VLOOKUP($A40,Hshldprojections2016!$A$1:$AQ$322,26,FALSE))/10,(VLOOKUP($A40,Hshldprojections2018!$A$1:$AQ$327,36,FALSE)-VLOOKUP($A40,Hshldprojections2018!$A$1:$AQ$327,26,FALSE))/10))</f>
        <v>361.7</v>
      </c>
      <c r="AH40" s="267">
        <f>IF(IndividualLATest!$J$7=2014,(VLOOKUP($A40,Hshldprojections2014!$A$2:$AY$326,47,FALSE)-VLOOKUP($A40,Hshldprojections2014!$A$2:$AY$326,37,FALSE))/10,IF(IndividualLATest!$J$7=2016,(VLOOKUP($A40,Hshldprojections2016!$A$1:$AQ$322,37,FALSE)-VLOOKUP($A40,Hshldprojections2016!$A$1:$AQ$322,27,FALSE))/10,(VLOOKUP($A40,Hshldprojections2018!$A$1:$AQ$327,37,FALSE)-VLOOKUP($A40,Hshldprojections2018!$A$1:$AQ$327,27,FALSE))/10))</f>
        <v>358.8</v>
      </c>
      <c r="AI40" s="268">
        <f>IF(ISNUMBER('Sensitivity Tests'!$C$30),'Sensitivity Tests'!$C$30,VLOOKUP($A40,AffordabilityRatio!$A$2:$I$321,5,FALSE))</f>
        <v>10.34</v>
      </c>
      <c r="AJ40" s="268">
        <f>IF(ISNUMBER('Sensitivity Tests'!$C$30),'Sensitivity Tests'!$C$30,VLOOKUP($A40,AffordabilityRatio!$A$2:$I$321,6,FALSE))</f>
        <v>10.58</v>
      </c>
      <c r="AK40" s="268">
        <f>IF(ISNUMBER('Sensitivity Tests'!$C$30),'Sensitivity Tests'!$C$30,VLOOKUP($A40,AffordabilityRatio!$A$2:$I$321,7,FALSE))</f>
        <v>10.119999999999999</v>
      </c>
      <c r="AL40" s="268">
        <f>IF(ISNUMBER('Sensitivity Tests'!$C$30),'Sensitivity Tests'!$C$30,IF((VLOOKUP($A40,AffordabilityRatio!$A$2:$I$321,8,FALSE))="",AK40,VLOOKUP($A40,AffordabilityRatio!$A$2:$I$321,8,FALSE)))</f>
        <v>10.130000000000001</v>
      </c>
      <c r="AM40" s="268">
        <f>IF(ISNUMBER('Sensitivity Tests'!$C$30),'Sensitivity Tests'!$C$30,IF((VLOOKUP($A40,AffordabilityRatio!$A$2:$I$321,9,FALSE))="",AL40,VLOOKUP($A40,AffordabilityRatio!$A$2:$I$321,9,FALSE)))</f>
        <v>11.43</v>
      </c>
      <c r="AN40" s="268">
        <f>IF(ISNUMBER('Sensitivity Tests'!$C$30),'Sensitivity Tests'!$C$30,IF((VLOOKUP($A40,AffordabilityRatio!$A$2:$I$321,9,FALSE))="",AM40,VLOOKUP($A40,AffordabilityRatio!$A$2:$I$321,9,FALSE)))</f>
        <v>11.43</v>
      </c>
      <c r="AO40" s="268">
        <f>IF(ISNUMBER('Sensitivity Tests'!$C$30),'Sensitivity Tests'!$C$30,IF((VLOOKUP($A40,AffordabilityRatio!$A$2:$I$321,9,FALSE))="",AN40,VLOOKUP($A40,AffordabilityRatio!$A$2:$I$321,9,FALSE)))</f>
        <v>11.43</v>
      </c>
      <c r="AP40" s="268">
        <f>IF(ISNUMBER('Sensitivity Tests'!$C$30),'Sensitivity Tests'!$C$30,IF((VLOOKUP($A40,AffordabilityRatio!$A$2:$I$321,9,FALSE))="",AO40,VLOOKUP($A40,AffordabilityRatio!$A$2:$I$321,9,FALSE)))</f>
        <v>11.43</v>
      </c>
      <c r="AQ40" s="267">
        <f t="shared" si="24"/>
        <v>375</v>
      </c>
      <c r="AR40" s="267">
        <f t="shared" si="24"/>
        <v>383</v>
      </c>
      <c r="AS40" s="267">
        <f t="shared" si="24"/>
        <v>380</v>
      </c>
      <c r="AT40" s="267">
        <f t="shared" si="24"/>
        <v>527</v>
      </c>
      <c r="AU40" s="267">
        <f t="shared" si="24"/>
        <v>549</v>
      </c>
      <c r="AV40" s="267">
        <f t="shared" si="24"/>
        <v>540</v>
      </c>
      <c r="AW40" s="267">
        <f t="shared" si="24"/>
        <v>530</v>
      </c>
      <c r="AX40" s="267">
        <f t="shared" si="24"/>
        <v>525</v>
      </c>
      <c r="AY40" s="267">
        <f t="shared" si="25"/>
        <v>375</v>
      </c>
      <c r="AZ40" s="267">
        <f t="shared" si="26"/>
        <v>383</v>
      </c>
      <c r="BA40" s="267">
        <f t="shared" si="27"/>
        <v>380</v>
      </c>
      <c r="BB40" s="267">
        <f t="shared" si="28"/>
        <v>527</v>
      </c>
      <c r="BC40" s="267">
        <f t="shared" si="29"/>
        <v>549</v>
      </c>
      <c r="BD40" s="267">
        <f t="shared" si="30"/>
        <v>540</v>
      </c>
      <c r="BE40" s="267">
        <f t="shared" si="31"/>
        <v>530</v>
      </c>
      <c r="BF40" s="267">
        <f t="shared" si="32"/>
        <v>525</v>
      </c>
      <c r="BG40" s="269">
        <f>AY40*VLOOKUP($B40,'Major Cities &amp; Towns'!$A$28:$B$345,2,FALSE)</f>
        <v>375</v>
      </c>
      <c r="BH40" s="269">
        <f>AZ40*VLOOKUP($B40,'Major Cities &amp; Towns'!$A$28:$B$345,2,FALSE)</f>
        <v>383</v>
      </c>
      <c r="BI40" s="269">
        <f>BA40*VLOOKUP($B40,'Major Cities &amp; Towns'!$A$28:$B$345,2,FALSE)</f>
        <v>380</v>
      </c>
      <c r="BJ40" s="269">
        <f>BB40*VLOOKUP($B40,'Major Cities &amp; Towns'!$A$28:$B$345,2,FALSE)</f>
        <v>527</v>
      </c>
      <c r="BK40" s="269">
        <f>BC40*VLOOKUP($B40,'Major Cities &amp; Towns'!$A$28:$B$345,2,FALSE)</f>
        <v>549</v>
      </c>
      <c r="BL40" s="269">
        <f>BD40*VLOOKUP($B40,'Major Cities &amp; Towns'!$A$28:$B$345,2,FALSE)</f>
        <v>540</v>
      </c>
      <c r="BM40" s="269">
        <f>BE40*VLOOKUP($B40,'Major Cities &amp; Towns'!$A$28:$B$345,2,FALSE)</f>
        <v>530</v>
      </c>
      <c r="BN40" s="269">
        <f>BF40*VLOOKUP($B40,'Major Cities &amp; Towns'!$A$28:$B$345,2,FALSE)</f>
        <v>525</v>
      </c>
      <c r="BO40" s="270">
        <f t="shared" si="33"/>
        <v>375</v>
      </c>
      <c r="BP40" s="270">
        <f t="shared" si="34"/>
        <v>383</v>
      </c>
      <c r="BQ40" s="270">
        <f t="shared" si="34"/>
        <v>380</v>
      </c>
      <c r="BR40" s="270">
        <f t="shared" si="34"/>
        <v>527</v>
      </c>
      <c r="BS40" s="270">
        <f t="shared" si="34"/>
        <v>549</v>
      </c>
      <c r="BT40" s="270">
        <f t="shared" si="34"/>
        <v>540</v>
      </c>
      <c r="BU40" s="270">
        <f t="shared" si="34"/>
        <v>530</v>
      </c>
      <c r="BV40" s="270">
        <f t="shared" si="34"/>
        <v>525</v>
      </c>
      <c r="BW40" s="39">
        <f>VLOOKUP($A40,NetAdditions!$A$2:$H$336,6,FALSE)</f>
        <v>202</v>
      </c>
      <c r="BX40" s="39">
        <f>VLOOKUP($A40,NetAdditions!$A$2:$H$336,7,FALSE)</f>
        <v>264</v>
      </c>
      <c r="BY40" s="39">
        <f>IF((VLOOKUP($C40,NetAdditions!$A$2:$H$336,8,FALSE))="",(AVERAGE(VLOOKUP($C40,NetAdditions!$A$2:$H$336,5,FALSE),VLOOKUP($C40,NetAdditions!$A$2:$H$336,6,FALSE),VLOOKUP($C40,NetAdditions!$A$2:$H$336,7,FALSE))),VLOOKUP($C40,NetAdditions!$A$2:$H$336,8,FALSE))</f>
        <v>151</v>
      </c>
      <c r="BZ40" s="39">
        <f t="shared" si="35"/>
        <v>205.66666666666666</v>
      </c>
      <c r="CA40" s="39">
        <f t="shared" si="35"/>
        <v>206.88888888888889</v>
      </c>
      <c r="CB40" s="39">
        <f t="shared" si="35"/>
        <v>187.85185185185185</v>
      </c>
      <c r="CC40" s="39">
        <f t="shared" si="35"/>
        <v>200.1358024691358</v>
      </c>
      <c r="CD40" s="39">
        <f t="shared" si="35"/>
        <v>198.29218106995884</v>
      </c>
      <c r="CE40" s="276">
        <f t="shared" si="5"/>
        <v>1138</v>
      </c>
      <c r="CF40" s="276">
        <f t="shared" si="6"/>
        <v>1290</v>
      </c>
      <c r="CG40" s="276">
        <f t="shared" si="7"/>
        <v>1456</v>
      </c>
      <c r="CH40" s="276">
        <f t="shared" si="8"/>
        <v>1616</v>
      </c>
      <c r="CI40" s="276">
        <f t="shared" si="9"/>
        <v>1619</v>
      </c>
      <c r="CJ40" s="276">
        <f t="shared" si="10"/>
        <v>1595</v>
      </c>
      <c r="CK40" s="276">
        <f t="shared" si="36"/>
        <v>979.94444444444446</v>
      </c>
      <c r="CL40" s="276">
        <f t="shared" si="37"/>
        <v>1110.8333333333335</v>
      </c>
      <c r="CM40" s="276">
        <f t="shared" si="38"/>
        <v>1334.6666666666665</v>
      </c>
      <c r="CN40" s="276">
        <f t="shared" si="39"/>
        <v>1616</v>
      </c>
      <c r="CO40" s="276">
        <f t="shared" si="39"/>
        <v>1619</v>
      </c>
      <c r="CP40" s="276">
        <f t="shared" si="11"/>
        <v>1595</v>
      </c>
      <c r="CQ40" s="39">
        <f t="shared" si="12"/>
        <v>617</v>
      </c>
      <c r="CR40" s="39">
        <f t="shared" si="13"/>
        <v>620.66666666666663</v>
      </c>
      <c r="CS40" s="277">
        <f t="shared" si="14"/>
        <v>563.55555555555554</v>
      </c>
      <c r="CT40" s="39">
        <f t="shared" si="15"/>
        <v>600.40740740740739</v>
      </c>
      <c r="CU40" s="39">
        <f t="shared" si="16"/>
        <v>594.87654320987656</v>
      </c>
      <c r="CV40" s="39">
        <f t="shared" si="17"/>
        <v>586.27983539094646</v>
      </c>
      <c r="CW40" s="297">
        <f t="shared" si="18"/>
        <v>0.62962752990532345</v>
      </c>
      <c r="CX40" s="279" t="str">
        <f t="shared" si="40"/>
        <v>Buffer and Action Plan</v>
      </c>
      <c r="CY40" s="278">
        <f t="shared" si="19"/>
        <v>0.55873968492123016</v>
      </c>
      <c r="CZ40" s="279" t="str">
        <f t="shared" si="41"/>
        <v>Buffer and Action Plan</v>
      </c>
      <c r="DA40" s="278">
        <f t="shared" si="20"/>
        <v>0.42224442224442227</v>
      </c>
      <c r="DB40" s="292" t="str">
        <f t="shared" si="42"/>
        <v>Presumption</v>
      </c>
      <c r="DC40" s="299">
        <f t="shared" si="43"/>
        <v>0.37153923725705901</v>
      </c>
      <c r="DD40" s="293" t="str">
        <f t="shared" si="44"/>
        <v>Presumption</v>
      </c>
      <c r="DE40" s="299">
        <f t="shared" si="45"/>
        <v>0.36743455417534066</v>
      </c>
      <c r="DF40" s="293" t="str">
        <f t="shared" si="46"/>
        <v>Presumption</v>
      </c>
      <c r="DG40" s="299">
        <f t="shared" si="47"/>
        <v>0.36757356450843037</v>
      </c>
      <c r="DH40" s="293" t="str">
        <f t="shared" si="48"/>
        <v>Presumption</v>
      </c>
    </row>
    <row r="41" spans="1:112" ht="15" thickTop="1" thickBot="1">
      <c r="A41" s="38" t="s">
        <v>191</v>
      </c>
      <c r="B41" s="38" t="s">
        <v>192</v>
      </c>
      <c r="C41" s="38" t="s">
        <v>191</v>
      </c>
      <c r="D41" s="38" t="s">
        <v>128</v>
      </c>
      <c r="E41" s="38" t="str">
        <f>VLOOKUP(C41,PoliticalControl!A:K,11,FALSE)</f>
        <v>CON</v>
      </c>
      <c r="F41" s="38" t="str">
        <f>VLOOKUP(C41,UrbanRuralClassification!A:N,13,FALSE)</f>
        <v>Urban with Major Conurbation</v>
      </c>
      <c r="G41" s="38" t="str">
        <f>VLOOKUP(C41,UrbanRuralClassification!A:N,14,FALSE)</f>
        <v>Predominantly Urban</v>
      </c>
      <c r="H41" s="258">
        <f>IF(ISBLANK((VLOOKUP($A41,'local-plan-data'!$C$1:$AD$566,27,FALSE)))=TRUE,"",VLOOKUP($A41,'local-plan-data'!$C$1:$AD$566,27,FALSE))</f>
        <v>44005</v>
      </c>
      <c r="I41" s="259">
        <f>VLOOKUP($A41,'local-plan-data'!$C$1:$AD$566,28,FALSE)</f>
        <v>454</v>
      </c>
      <c r="J41" s="260">
        <f t="shared" si="21"/>
        <v>454</v>
      </c>
      <c r="K41" s="259">
        <f t="shared" si="22"/>
        <v>454</v>
      </c>
      <c r="L41" s="259">
        <f t="shared" si="22"/>
        <v>454</v>
      </c>
      <c r="M41" s="259">
        <f t="shared" si="22"/>
        <v>454</v>
      </c>
      <c r="N41" s="259">
        <f t="shared" si="22"/>
        <v>454</v>
      </c>
      <c r="O41" s="259">
        <f t="shared" si="22"/>
        <v>454</v>
      </c>
      <c r="P41" s="259">
        <f t="shared" si="22"/>
        <v>454</v>
      </c>
      <c r="Q41" s="259">
        <f t="shared" si="22"/>
        <v>454</v>
      </c>
      <c r="R41" s="259">
        <f t="shared" si="22"/>
        <v>454</v>
      </c>
      <c r="S41" s="259">
        <f t="shared" si="23"/>
        <v>2640</v>
      </c>
      <c r="T41" s="259">
        <f t="shared" si="23"/>
        <v>2275</v>
      </c>
      <c r="U41" s="259">
        <f t="shared" si="23"/>
        <v>1909</v>
      </c>
      <c r="V41" s="259">
        <f t="shared" si="23"/>
        <v>1544</v>
      </c>
      <c r="W41" s="259">
        <f t="shared" si="23"/>
        <v>1179</v>
      </c>
      <c r="X41" s="259">
        <f t="shared" si="23"/>
        <v>814</v>
      </c>
      <c r="Y41" s="259">
        <f t="shared" si="23"/>
        <v>448</v>
      </c>
      <c r="Z41" s="259">
        <f t="shared" si="23"/>
        <v>83</v>
      </c>
      <c r="AA41" s="267">
        <f>(VLOOKUP(A41,Hshldprojections2014!$A$2:$AW$319,40, FALSE)-VLOOKUP(A41,Hshldprojections2014!$A$2:$AW$319,30, FALSE))/10</f>
        <v>403.5</v>
      </c>
      <c r="AB41" s="267">
        <f>(VLOOKUP(A41,Hshldprojections2014!$A$2:$AW$319,41, FALSE)-VLOOKUP(A41,Hshldprojections2014!$A$2:$AW$319,31, FALSE))/10</f>
        <v>403.3</v>
      </c>
      <c r="AC41" s="267">
        <f>(VLOOKUP(A41,Hshldprojections2014!$A$2:$AW$319,42, FALSE)-VLOOKUP(A41,Hshldprojections2014!$A$2:$AW$319,32, FALSE))/10</f>
        <v>404.1</v>
      </c>
      <c r="AD41" s="267">
        <f>IF(IndividualLATest!$J$7=2014,(VLOOKUP($A41,Hshldprojections2014!$A$2:$AY$326,43,FALSE)-VLOOKUP($A41,Hshldprojections2014!$A$2:$AY$326,33,FALSE))/10,IF(IndividualLATest!$J$7=2016,(VLOOKUP($A41,Hshldprojections2016!$A$1:$AQ$322,33,FALSE)-VLOOKUP($A41,Hshldprojections2016!$A$1:$AQ$322,23,FALSE))/10,(VLOOKUP($A41,Hshldprojections2018!$A$1:$AQ$327,33,FALSE)-VLOOKUP($A41,Hshldprojections2018!$A$1:$AQ$327,23,FALSE))/10))</f>
        <v>79.7</v>
      </c>
      <c r="AE41" s="267">
        <f>IF(IndividualLATest!$J$7=2014,(VLOOKUP($A41,Hshldprojections2014!$A$2:$AY$326,44,FALSE)-VLOOKUP($A41,Hshldprojections2014!$A$2:$AY$326,34,FALSE))/10,IF(IndividualLATest!$J$7=2016,(VLOOKUP($A41,Hshldprojections2016!$A$1:$AQ$322,34,FALSE)-VLOOKUP($A41,Hshldprojections2016!$A$1:$AQ$322,24,FALSE))/10,(VLOOKUP($A41,Hshldprojections2018!$A$1:$AQ$327,34,FALSE)-VLOOKUP($A41,Hshldprojections2018!$A$1:$AQ$327,24,FALSE))/10))</f>
        <v>82.1</v>
      </c>
      <c r="AF41" s="267">
        <f>IF(IndividualLATest!$J$7=2014,(VLOOKUP($A41,Hshldprojections2014!$A$2:$AY$326,45,FALSE)-VLOOKUP($A41,Hshldprojections2014!$A$2:$AY$326,35,FALSE))/10,IF(IndividualLATest!$J$7=2016,(VLOOKUP($A41,Hshldprojections2016!$A$1:$AQ$322,35,FALSE)-VLOOKUP($A41,Hshldprojections2016!$A$1:$AQ$322,25,FALSE))/10,(VLOOKUP($A41,Hshldprojections2018!$A$1:$AQ$327,35,FALSE)-VLOOKUP($A41,Hshldprojections2018!$A$1:$AQ$327,25,FALSE))/10))</f>
        <v>85.4</v>
      </c>
      <c r="AG41" s="267">
        <f>IF(IndividualLATest!$J$7=2014,(VLOOKUP($A41,Hshldprojections2014!$A$2:$AY$326,46,FALSE)-VLOOKUP($A41,Hshldprojections2014!$A$2:$AY$326,36,FALSE))/10,IF(IndividualLATest!$J$7=2016,(VLOOKUP($A41,Hshldprojections2016!$A$1:$AQ$322,36,FALSE)-VLOOKUP($A41,Hshldprojections2016!$A$1:$AQ$322,26,FALSE))/10,(VLOOKUP($A41,Hshldprojections2018!$A$1:$AQ$327,36,FALSE)-VLOOKUP($A41,Hshldprojections2018!$A$1:$AQ$327,26,FALSE))/10))</f>
        <v>89.2</v>
      </c>
      <c r="AH41" s="267">
        <f>IF(IndividualLATest!$J$7=2014,(VLOOKUP($A41,Hshldprojections2014!$A$2:$AY$326,47,FALSE)-VLOOKUP($A41,Hshldprojections2014!$A$2:$AY$326,37,FALSE))/10,IF(IndividualLATest!$J$7=2016,(VLOOKUP($A41,Hshldprojections2016!$A$1:$AQ$322,37,FALSE)-VLOOKUP($A41,Hshldprojections2016!$A$1:$AQ$322,27,FALSE))/10,(VLOOKUP($A41,Hshldprojections2018!$A$1:$AQ$327,37,FALSE)-VLOOKUP($A41,Hshldprojections2018!$A$1:$AQ$327,27,FALSE))/10))</f>
        <v>93.1</v>
      </c>
      <c r="AI41" s="268">
        <f>IF(ISNUMBER('Sensitivity Tests'!$C$30),'Sensitivity Tests'!$C$30,VLOOKUP($A41,AffordabilityRatio!$A$2:$I$321,5,FALSE))</f>
        <v>11.35</v>
      </c>
      <c r="AJ41" s="268">
        <f>IF(ISNUMBER('Sensitivity Tests'!$C$30),'Sensitivity Tests'!$C$30,VLOOKUP($A41,AffordabilityRatio!$A$2:$I$321,6,FALSE))</f>
        <v>11.17</v>
      </c>
      <c r="AK41" s="268">
        <f>IF(ISNUMBER('Sensitivity Tests'!$C$30),'Sensitivity Tests'!$C$30,VLOOKUP($A41,AffordabilityRatio!$A$2:$I$321,7,FALSE))</f>
        <v>11.32</v>
      </c>
      <c r="AL41" s="268">
        <f>IF(ISNUMBER('Sensitivity Tests'!$C$30),'Sensitivity Tests'!$C$30,IF((VLOOKUP($A41,AffordabilityRatio!$A$2:$I$321,8,FALSE))="",AK41,VLOOKUP($A41,AffordabilityRatio!$A$2:$I$321,8,FALSE)))</f>
        <v>12.24</v>
      </c>
      <c r="AM41" s="268">
        <f>IF(ISNUMBER('Sensitivity Tests'!$C$30),'Sensitivity Tests'!$C$30,IF((VLOOKUP($A41,AffordabilityRatio!$A$2:$I$321,9,FALSE))="",AL41,VLOOKUP($A41,AffordabilityRatio!$A$2:$I$321,9,FALSE)))</f>
        <v>11.46</v>
      </c>
      <c r="AN41" s="268">
        <f>IF(ISNUMBER('Sensitivity Tests'!$C$30),'Sensitivity Tests'!$C$30,IF((VLOOKUP($A41,AffordabilityRatio!$A$2:$I$321,9,FALSE))="",AM41,VLOOKUP($A41,AffordabilityRatio!$A$2:$I$321,9,FALSE)))</f>
        <v>11.46</v>
      </c>
      <c r="AO41" s="268">
        <f>IF(ISNUMBER('Sensitivity Tests'!$C$30),'Sensitivity Tests'!$C$30,IF((VLOOKUP($A41,AffordabilityRatio!$A$2:$I$321,9,FALSE))="",AN41,VLOOKUP($A41,AffordabilityRatio!$A$2:$I$321,9,FALSE)))</f>
        <v>11.46</v>
      </c>
      <c r="AP41" s="268">
        <f>IF(ISNUMBER('Sensitivity Tests'!$C$30),'Sensitivity Tests'!$C$30,IF((VLOOKUP($A41,AffordabilityRatio!$A$2:$I$321,9,FALSE))="",AO41,VLOOKUP($A41,AffordabilityRatio!$A$2:$I$321,9,FALSE)))</f>
        <v>11.46</v>
      </c>
      <c r="AQ41" s="267">
        <f t="shared" si="24"/>
        <v>589</v>
      </c>
      <c r="AR41" s="267">
        <f t="shared" si="24"/>
        <v>584</v>
      </c>
      <c r="AS41" s="267">
        <f t="shared" si="24"/>
        <v>589</v>
      </c>
      <c r="AT41" s="267">
        <f t="shared" si="24"/>
        <v>121</v>
      </c>
      <c r="AU41" s="267">
        <f t="shared" si="24"/>
        <v>120</v>
      </c>
      <c r="AV41" s="267">
        <f t="shared" si="24"/>
        <v>125</v>
      </c>
      <c r="AW41" s="267">
        <f t="shared" si="24"/>
        <v>131</v>
      </c>
      <c r="AX41" s="267">
        <f t="shared" si="24"/>
        <v>137</v>
      </c>
      <c r="AY41" s="267">
        <f t="shared" si="25"/>
        <v>589</v>
      </c>
      <c r="AZ41" s="267">
        <f t="shared" si="26"/>
        <v>584</v>
      </c>
      <c r="BA41" s="267">
        <f t="shared" si="27"/>
        <v>589</v>
      </c>
      <c r="BB41" s="267">
        <f t="shared" si="28"/>
        <v>121</v>
      </c>
      <c r="BC41" s="267">
        <f t="shared" si="29"/>
        <v>120</v>
      </c>
      <c r="BD41" s="267">
        <f t="shared" si="30"/>
        <v>125</v>
      </c>
      <c r="BE41" s="267">
        <f t="shared" si="31"/>
        <v>131</v>
      </c>
      <c r="BF41" s="267">
        <f t="shared" si="32"/>
        <v>137</v>
      </c>
      <c r="BG41" s="269">
        <f>AY41*VLOOKUP($B41,'Major Cities &amp; Towns'!$A$28:$B$345,2,FALSE)</f>
        <v>589</v>
      </c>
      <c r="BH41" s="269">
        <f>AZ41*VLOOKUP($B41,'Major Cities &amp; Towns'!$A$28:$B$345,2,FALSE)</f>
        <v>584</v>
      </c>
      <c r="BI41" s="269">
        <f>BA41*VLOOKUP($B41,'Major Cities &amp; Towns'!$A$28:$B$345,2,FALSE)</f>
        <v>589</v>
      </c>
      <c r="BJ41" s="269">
        <f>BB41*VLOOKUP($B41,'Major Cities &amp; Towns'!$A$28:$B$345,2,FALSE)</f>
        <v>121</v>
      </c>
      <c r="BK41" s="269">
        <f>BC41*VLOOKUP($B41,'Major Cities &amp; Towns'!$A$28:$B$345,2,FALSE)</f>
        <v>120</v>
      </c>
      <c r="BL41" s="269">
        <f>BD41*VLOOKUP($B41,'Major Cities &amp; Towns'!$A$28:$B$345,2,FALSE)</f>
        <v>125</v>
      </c>
      <c r="BM41" s="269">
        <f>BE41*VLOOKUP($B41,'Major Cities &amp; Towns'!$A$28:$B$345,2,FALSE)</f>
        <v>131</v>
      </c>
      <c r="BN41" s="269">
        <f>BF41*VLOOKUP($B41,'Major Cities &amp; Towns'!$A$28:$B$345,2,FALSE)</f>
        <v>137</v>
      </c>
      <c r="BO41" s="270">
        <f t="shared" si="33"/>
        <v>454</v>
      </c>
      <c r="BP41" s="270">
        <f t="shared" si="34"/>
        <v>454</v>
      </c>
      <c r="BQ41" s="270">
        <f t="shared" si="34"/>
        <v>454</v>
      </c>
      <c r="BR41" s="270">
        <f t="shared" si="34"/>
        <v>121</v>
      </c>
      <c r="BS41" s="270">
        <f t="shared" si="34"/>
        <v>120</v>
      </c>
      <c r="BT41" s="270">
        <f t="shared" si="34"/>
        <v>125</v>
      </c>
      <c r="BU41" s="270">
        <f t="shared" si="34"/>
        <v>131</v>
      </c>
      <c r="BV41" s="270">
        <f t="shared" si="34"/>
        <v>137</v>
      </c>
      <c r="BW41" s="39">
        <f>VLOOKUP($A41,NetAdditions!$A$2:$H$336,6,FALSE)</f>
        <v>459</v>
      </c>
      <c r="BX41" s="39">
        <f>VLOOKUP($A41,NetAdditions!$A$2:$H$336,7,FALSE)</f>
        <v>150</v>
      </c>
      <c r="BY41" s="39">
        <f>IF((VLOOKUP($C41,NetAdditions!$A$2:$H$336,8,FALSE))="",(AVERAGE(VLOOKUP($C41,NetAdditions!$A$2:$H$336,5,FALSE),VLOOKUP($C41,NetAdditions!$A$2:$H$336,6,FALSE),VLOOKUP($C41,NetAdditions!$A$2:$H$336,7,FALSE))),VLOOKUP($C41,NetAdditions!$A$2:$H$336,8,FALSE))</f>
        <v>202</v>
      </c>
      <c r="BZ41" s="39">
        <f t="shared" si="35"/>
        <v>270.33333333333331</v>
      </c>
      <c r="CA41" s="39">
        <f t="shared" si="35"/>
        <v>207.44444444444443</v>
      </c>
      <c r="CB41" s="39">
        <f t="shared" si="35"/>
        <v>226.59259259259258</v>
      </c>
      <c r="CC41" s="39">
        <f t="shared" si="35"/>
        <v>234.7901234567901</v>
      </c>
      <c r="CD41" s="39">
        <f t="shared" si="35"/>
        <v>222.94238683127571</v>
      </c>
      <c r="CE41" s="276">
        <f t="shared" si="5"/>
        <v>1362</v>
      </c>
      <c r="CF41" s="276">
        <f t="shared" si="6"/>
        <v>1029</v>
      </c>
      <c r="CG41" s="276">
        <f t="shared" si="7"/>
        <v>695</v>
      </c>
      <c r="CH41" s="276">
        <f t="shared" si="8"/>
        <v>366</v>
      </c>
      <c r="CI41" s="276">
        <f t="shared" si="9"/>
        <v>376</v>
      </c>
      <c r="CJ41" s="276">
        <f t="shared" si="10"/>
        <v>393</v>
      </c>
      <c r="CK41" s="276">
        <f t="shared" si="36"/>
        <v>1172.8333333333335</v>
      </c>
      <c r="CL41" s="276">
        <f t="shared" si="37"/>
        <v>886.08333333333337</v>
      </c>
      <c r="CM41" s="276">
        <f t="shared" si="38"/>
        <v>637.08333333333326</v>
      </c>
      <c r="CN41" s="276">
        <f t="shared" si="39"/>
        <v>366</v>
      </c>
      <c r="CO41" s="276">
        <f t="shared" si="39"/>
        <v>376</v>
      </c>
      <c r="CP41" s="276">
        <f t="shared" si="11"/>
        <v>393</v>
      </c>
      <c r="CQ41" s="39">
        <f t="shared" si="12"/>
        <v>811</v>
      </c>
      <c r="CR41" s="39">
        <f t="shared" si="13"/>
        <v>622.33333333333326</v>
      </c>
      <c r="CS41" s="277">
        <f t="shared" si="14"/>
        <v>679.77777777777771</v>
      </c>
      <c r="CT41" s="39">
        <f t="shared" si="15"/>
        <v>704.37037037037032</v>
      </c>
      <c r="CU41" s="39">
        <f t="shared" si="16"/>
        <v>668.82716049382714</v>
      </c>
      <c r="CV41" s="39">
        <f t="shared" si="17"/>
        <v>684.32510288065839</v>
      </c>
      <c r="CW41" s="297">
        <f t="shared" si="18"/>
        <v>0.69148784993605217</v>
      </c>
      <c r="CX41" s="279" t="str">
        <f t="shared" si="40"/>
        <v>Buffer and Action Plan</v>
      </c>
      <c r="CY41" s="278">
        <f t="shared" si="19"/>
        <v>0.70234176619956723</v>
      </c>
      <c r="CZ41" s="279" t="str">
        <f t="shared" si="41"/>
        <v>Buffer and Action Plan</v>
      </c>
      <c r="DA41" s="278">
        <f t="shared" si="20"/>
        <v>1.06701547852627</v>
      </c>
      <c r="DB41" s="292" t="str">
        <f t="shared" si="42"/>
        <v>Pass</v>
      </c>
      <c r="DC41" s="299">
        <f t="shared" si="43"/>
        <v>1.924509208662214</v>
      </c>
      <c r="DD41" s="293" t="str">
        <f t="shared" si="44"/>
        <v>Pass</v>
      </c>
      <c r="DE41" s="299">
        <f t="shared" si="45"/>
        <v>1.7787956396112423</v>
      </c>
      <c r="DF41" s="293" t="str">
        <f t="shared" si="46"/>
        <v>Pass</v>
      </c>
      <c r="DG41" s="299">
        <f t="shared" si="47"/>
        <v>1.7412852490601995</v>
      </c>
      <c r="DH41" s="293" t="str">
        <f t="shared" si="48"/>
        <v>Pass</v>
      </c>
    </row>
    <row r="42" spans="1:112" ht="15" thickTop="1" thickBot="1">
      <c r="A42" s="38" t="s">
        <v>193</v>
      </c>
      <c r="B42" s="38" t="s">
        <v>194</v>
      </c>
      <c r="C42" s="38" t="s">
        <v>193</v>
      </c>
      <c r="D42" s="38" t="s">
        <v>119</v>
      </c>
      <c r="E42" s="38" t="str">
        <f>VLOOKUP(C42,PoliticalControl!A:K,11,FALSE)</f>
        <v>NOC</v>
      </c>
      <c r="F42" s="38" t="str">
        <f>VLOOKUP(C42,UrbanRuralClassification!A:N,13,FALSE)</f>
        <v>Urban with Minor Conurbation</v>
      </c>
      <c r="G42" s="38" t="str">
        <f>VLOOKUP(C42,UrbanRuralClassification!A:N,14,FALSE)</f>
        <v>Predominantly Urban</v>
      </c>
      <c r="H42" s="258">
        <f>IF(ISBLANK((VLOOKUP($A42,'local-plan-data'!$C$1:$AD$566,27,FALSE)))=TRUE,"",VLOOKUP($A42,'local-plan-data'!$C$1:$AD$566,27,FALSE))</f>
        <v>41899</v>
      </c>
      <c r="I42" s="259">
        <f>VLOOKUP($A42,'local-plan-data'!$C$1:$AD$566,28,FALSE)</f>
        <v>361.76470588235293</v>
      </c>
      <c r="J42" s="260">
        <f t="shared" si="21"/>
        <v>361.76470588235293</v>
      </c>
      <c r="K42" s="259">
        <f t="shared" si="22"/>
        <v>361.76470588235293</v>
      </c>
      <c r="L42" s="259">
        <f t="shared" si="22"/>
        <v>361.76470588235293</v>
      </c>
      <c r="M42" s="259" t="str">
        <f t="shared" si="22"/>
        <v>-</v>
      </c>
      <c r="N42" s="259" t="str">
        <f t="shared" si="22"/>
        <v>-</v>
      </c>
      <c r="O42" s="259" t="str">
        <f t="shared" si="22"/>
        <v>-</v>
      </c>
      <c r="P42" s="259" t="str">
        <f t="shared" si="22"/>
        <v>-</v>
      </c>
      <c r="Q42" s="259" t="str">
        <f t="shared" si="22"/>
        <v>-</v>
      </c>
      <c r="R42" s="259" t="str">
        <f t="shared" si="22"/>
        <v>-</v>
      </c>
      <c r="S42" s="259">
        <f t="shared" si="23"/>
        <v>534</v>
      </c>
      <c r="T42" s="259">
        <f t="shared" si="23"/>
        <v>169</v>
      </c>
      <c r="U42" s="259">
        <f t="shared" si="23"/>
        <v>-197</v>
      </c>
      <c r="V42" s="259">
        <f t="shared" si="23"/>
        <v>-562</v>
      </c>
      <c r="W42" s="259">
        <f t="shared" si="23"/>
        <v>-927</v>
      </c>
      <c r="X42" s="259">
        <f t="shared" si="23"/>
        <v>-1292</v>
      </c>
      <c r="Y42" s="259">
        <f t="shared" si="23"/>
        <v>-1658</v>
      </c>
      <c r="Z42" s="259">
        <f t="shared" si="23"/>
        <v>-2023</v>
      </c>
      <c r="AA42" s="267">
        <f>(VLOOKUP(A42,Hshldprojections2014!$A$2:$AW$319,40, FALSE)-VLOOKUP(A42,Hshldprojections2014!$A$2:$AW$319,30, FALSE))/10</f>
        <v>320.89999999999998</v>
      </c>
      <c r="AB42" s="267">
        <f>(VLOOKUP(A42,Hshldprojections2014!$A$2:$AW$319,41, FALSE)-VLOOKUP(A42,Hshldprojections2014!$A$2:$AW$319,31, FALSE))/10</f>
        <v>316.7</v>
      </c>
      <c r="AC42" s="267">
        <f>(VLOOKUP(A42,Hshldprojections2014!$A$2:$AW$319,42, FALSE)-VLOOKUP(A42,Hshldprojections2014!$A$2:$AW$319,32, FALSE))/10</f>
        <v>313.5</v>
      </c>
      <c r="AD42" s="267">
        <f>IF(IndividualLATest!$J$7=2014,(VLOOKUP($A42,Hshldprojections2014!$A$2:$AY$326,43,FALSE)-VLOOKUP($A42,Hshldprojections2014!$A$2:$AY$326,33,FALSE))/10,IF(IndividualLATest!$J$7=2016,(VLOOKUP($A42,Hshldprojections2016!$A$1:$AQ$322,33,FALSE)-VLOOKUP($A42,Hshldprojections2016!$A$1:$AQ$322,23,FALSE))/10,(VLOOKUP($A42,Hshldprojections2018!$A$1:$AQ$327,33,FALSE)-VLOOKUP($A42,Hshldprojections2018!$A$1:$AQ$327,23,FALSE))/10))</f>
        <v>322.3</v>
      </c>
      <c r="AE42" s="267">
        <f>IF(IndividualLATest!$J$7=2014,(VLOOKUP($A42,Hshldprojections2014!$A$2:$AY$326,44,FALSE)-VLOOKUP($A42,Hshldprojections2014!$A$2:$AY$326,34,FALSE))/10,IF(IndividualLATest!$J$7=2016,(VLOOKUP($A42,Hshldprojections2016!$A$1:$AQ$322,34,FALSE)-VLOOKUP($A42,Hshldprojections2016!$A$1:$AQ$322,24,FALSE))/10,(VLOOKUP($A42,Hshldprojections2018!$A$1:$AQ$327,34,FALSE)-VLOOKUP($A42,Hshldprojections2018!$A$1:$AQ$327,24,FALSE))/10))</f>
        <v>315.3</v>
      </c>
      <c r="AF42" s="267">
        <f>IF(IndividualLATest!$J$7=2014,(VLOOKUP($A42,Hshldprojections2014!$A$2:$AY$326,45,FALSE)-VLOOKUP($A42,Hshldprojections2014!$A$2:$AY$326,35,FALSE))/10,IF(IndividualLATest!$J$7=2016,(VLOOKUP($A42,Hshldprojections2016!$A$1:$AQ$322,35,FALSE)-VLOOKUP($A42,Hshldprojections2016!$A$1:$AQ$322,25,FALSE))/10,(VLOOKUP($A42,Hshldprojections2018!$A$1:$AQ$327,35,FALSE)-VLOOKUP($A42,Hshldprojections2018!$A$1:$AQ$327,25,FALSE))/10))</f>
        <v>313.10000000000002</v>
      </c>
      <c r="AG42" s="267">
        <f>IF(IndividualLATest!$J$7=2014,(VLOOKUP($A42,Hshldprojections2014!$A$2:$AY$326,46,FALSE)-VLOOKUP($A42,Hshldprojections2014!$A$2:$AY$326,36,FALSE))/10,IF(IndividualLATest!$J$7=2016,(VLOOKUP($A42,Hshldprojections2016!$A$1:$AQ$322,36,FALSE)-VLOOKUP($A42,Hshldprojections2016!$A$1:$AQ$322,26,FALSE))/10,(VLOOKUP($A42,Hshldprojections2018!$A$1:$AQ$327,36,FALSE)-VLOOKUP($A42,Hshldprojections2018!$A$1:$AQ$327,26,FALSE))/10))</f>
        <v>307.89999999999998</v>
      </c>
      <c r="AH42" s="267">
        <f>IF(IndividualLATest!$J$7=2014,(VLOOKUP($A42,Hshldprojections2014!$A$2:$AY$326,47,FALSE)-VLOOKUP($A42,Hshldprojections2014!$A$2:$AY$326,37,FALSE))/10,IF(IndividualLATest!$J$7=2016,(VLOOKUP($A42,Hshldprojections2016!$A$1:$AQ$322,37,FALSE)-VLOOKUP($A42,Hshldprojections2016!$A$1:$AQ$322,27,FALSE))/10,(VLOOKUP($A42,Hshldprojections2018!$A$1:$AQ$327,37,FALSE)-VLOOKUP($A42,Hshldprojections2018!$A$1:$AQ$327,27,FALSE))/10))</f>
        <v>305.3</v>
      </c>
      <c r="AI42" s="268">
        <f>IF(ISNUMBER('Sensitivity Tests'!$C$30),'Sensitivity Tests'!$C$30,VLOOKUP($A42,AffordabilityRatio!$A$2:$I$321,5,FALSE))</f>
        <v>6.04</v>
      </c>
      <c r="AJ42" s="268">
        <f>IF(ISNUMBER('Sensitivity Tests'!$C$30),'Sensitivity Tests'!$C$30,VLOOKUP($A42,AffordabilityRatio!$A$2:$I$321,6,FALSE))</f>
        <v>6.81</v>
      </c>
      <c r="AK42" s="268">
        <f>IF(ISNUMBER('Sensitivity Tests'!$C$30),'Sensitivity Tests'!$C$30,VLOOKUP($A42,AffordabilityRatio!$A$2:$I$321,7,FALSE))</f>
        <v>6.76</v>
      </c>
      <c r="AL42" s="268">
        <f>IF(ISNUMBER('Sensitivity Tests'!$C$30),'Sensitivity Tests'!$C$30,IF((VLOOKUP($A42,AffordabilityRatio!$A$2:$I$321,8,FALSE))="",AK42,VLOOKUP($A42,AffordabilityRatio!$A$2:$I$321,8,FALSE)))</f>
        <v>7.69</v>
      </c>
      <c r="AM42" s="268">
        <f>IF(ISNUMBER('Sensitivity Tests'!$C$30),'Sensitivity Tests'!$C$30,IF((VLOOKUP($A42,AffordabilityRatio!$A$2:$I$321,9,FALSE))="",AL42,VLOOKUP($A42,AffordabilityRatio!$A$2:$I$321,9,FALSE)))</f>
        <v>7.98</v>
      </c>
      <c r="AN42" s="268">
        <f>IF(ISNUMBER('Sensitivity Tests'!$C$30),'Sensitivity Tests'!$C$30,IF((VLOOKUP($A42,AffordabilityRatio!$A$2:$I$321,9,FALSE))="",AM42,VLOOKUP($A42,AffordabilityRatio!$A$2:$I$321,9,FALSE)))</f>
        <v>7.98</v>
      </c>
      <c r="AO42" s="268">
        <f>IF(ISNUMBER('Sensitivity Tests'!$C$30),'Sensitivity Tests'!$C$30,IF((VLOOKUP($A42,AffordabilityRatio!$A$2:$I$321,9,FALSE))="",AN42,VLOOKUP($A42,AffordabilityRatio!$A$2:$I$321,9,FALSE)))</f>
        <v>7.98</v>
      </c>
      <c r="AP42" s="268">
        <f>IF(ISNUMBER('Sensitivity Tests'!$C$30),'Sensitivity Tests'!$C$30,IF((VLOOKUP($A42,AffordabilityRatio!$A$2:$I$321,9,FALSE))="",AO42,VLOOKUP($A42,AffordabilityRatio!$A$2:$I$321,9,FALSE)))</f>
        <v>7.98</v>
      </c>
      <c r="AQ42" s="267">
        <f t="shared" si="24"/>
        <v>362</v>
      </c>
      <c r="AR42" s="267">
        <f t="shared" si="24"/>
        <v>372</v>
      </c>
      <c r="AS42" s="267">
        <f t="shared" si="24"/>
        <v>368</v>
      </c>
      <c r="AT42" s="267">
        <f t="shared" si="24"/>
        <v>397</v>
      </c>
      <c r="AU42" s="267">
        <f t="shared" si="24"/>
        <v>394</v>
      </c>
      <c r="AV42" s="267">
        <f t="shared" si="24"/>
        <v>391</v>
      </c>
      <c r="AW42" s="267">
        <f t="shared" si="24"/>
        <v>384</v>
      </c>
      <c r="AX42" s="267">
        <f t="shared" si="24"/>
        <v>381</v>
      </c>
      <c r="AY42" s="267">
        <f t="shared" si="25"/>
        <v>362</v>
      </c>
      <c r="AZ42" s="267">
        <f t="shared" si="26"/>
        <v>372</v>
      </c>
      <c r="BA42" s="267">
        <f t="shared" si="27"/>
        <v>368</v>
      </c>
      <c r="BB42" s="267">
        <f t="shared" si="28"/>
        <v>397</v>
      </c>
      <c r="BC42" s="267">
        <f t="shared" si="29"/>
        <v>394</v>
      </c>
      <c r="BD42" s="267">
        <f t="shared" si="30"/>
        <v>391</v>
      </c>
      <c r="BE42" s="267">
        <f t="shared" si="31"/>
        <v>384</v>
      </c>
      <c r="BF42" s="267">
        <f t="shared" si="32"/>
        <v>381</v>
      </c>
      <c r="BG42" s="269">
        <f>AY42*VLOOKUP($B42,'Major Cities &amp; Towns'!$A$28:$B$345,2,FALSE)</f>
        <v>362</v>
      </c>
      <c r="BH42" s="269">
        <f>AZ42*VLOOKUP($B42,'Major Cities &amp; Towns'!$A$28:$B$345,2,FALSE)</f>
        <v>372</v>
      </c>
      <c r="BI42" s="269">
        <f>BA42*VLOOKUP($B42,'Major Cities &amp; Towns'!$A$28:$B$345,2,FALSE)</f>
        <v>368</v>
      </c>
      <c r="BJ42" s="269">
        <f>BB42*VLOOKUP($B42,'Major Cities &amp; Towns'!$A$28:$B$345,2,FALSE)</f>
        <v>397</v>
      </c>
      <c r="BK42" s="269">
        <f>BC42*VLOOKUP($B42,'Major Cities &amp; Towns'!$A$28:$B$345,2,FALSE)</f>
        <v>394</v>
      </c>
      <c r="BL42" s="269">
        <f>BD42*VLOOKUP($B42,'Major Cities &amp; Towns'!$A$28:$B$345,2,FALSE)</f>
        <v>391</v>
      </c>
      <c r="BM42" s="269">
        <f>BE42*VLOOKUP($B42,'Major Cities &amp; Towns'!$A$28:$B$345,2,FALSE)</f>
        <v>384</v>
      </c>
      <c r="BN42" s="269">
        <f>BF42*VLOOKUP($B42,'Major Cities &amp; Towns'!$A$28:$B$345,2,FALSE)</f>
        <v>381</v>
      </c>
      <c r="BO42" s="270">
        <f t="shared" si="33"/>
        <v>361.76470588235293</v>
      </c>
      <c r="BP42" s="270">
        <f t="shared" si="34"/>
        <v>367.26091861402097</v>
      </c>
      <c r="BQ42" s="270">
        <f t="shared" si="34"/>
        <v>368</v>
      </c>
      <c r="BR42" s="270">
        <f t="shared" si="34"/>
        <v>397</v>
      </c>
      <c r="BS42" s="270">
        <f t="shared" ref="BS42:BV105" si="49">IFERROR(IF(AND(W42&lt;365,W42&gt;0),SUM(((W42/365)*(MIN(O42,BK42)))+(((365-W42)/365)*AU42)),(MIN(O42,AU42))),AU42)</f>
        <v>394</v>
      </c>
      <c r="BT42" s="270">
        <f t="shared" si="49"/>
        <v>391</v>
      </c>
      <c r="BU42" s="270">
        <f t="shared" si="49"/>
        <v>384</v>
      </c>
      <c r="BV42" s="270">
        <f t="shared" si="49"/>
        <v>381</v>
      </c>
      <c r="BW42" s="39">
        <f>VLOOKUP($A42,NetAdditions!$A$2:$H$336,6,FALSE)</f>
        <v>215</v>
      </c>
      <c r="BX42" s="39">
        <f>VLOOKUP($A42,NetAdditions!$A$2:$H$336,7,FALSE)</f>
        <v>192</v>
      </c>
      <c r="BY42" s="39">
        <f>IF((VLOOKUP($C42,NetAdditions!$A$2:$H$336,8,FALSE))="",(AVERAGE(VLOOKUP($C42,NetAdditions!$A$2:$H$336,5,FALSE),VLOOKUP($C42,NetAdditions!$A$2:$H$336,6,FALSE),VLOOKUP($C42,NetAdditions!$A$2:$H$336,7,FALSE))),VLOOKUP($C42,NetAdditions!$A$2:$H$336,8,FALSE))</f>
        <v>255</v>
      </c>
      <c r="BZ42" s="39">
        <f t="shared" si="35"/>
        <v>220.66666666666666</v>
      </c>
      <c r="CA42" s="39">
        <f t="shared" si="35"/>
        <v>222.55555555555554</v>
      </c>
      <c r="CB42" s="39">
        <f t="shared" si="35"/>
        <v>232.74074074074073</v>
      </c>
      <c r="CC42" s="39">
        <f t="shared" si="35"/>
        <v>225.32098765432099</v>
      </c>
      <c r="CD42" s="39">
        <f t="shared" si="35"/>
        <v>226.8724279835391</v>
      </c>
      <c r="CE42" s="276">
        <f t="shared" si="5"/>
        <v>1097.0256244963739</v>
      </c>
      <c r="CF42" s="276">
        <f t="shared" si="6"/>
        <v>1132.260918614021</v>
      </c>
      <c r="CG42" s="276">
        <f t="shared" si="7"/>
        <v>1159</v>
      </c>
      <c r="CH42" s="276">
        <f t="shared" si="8"/>
        <v>1182</v>
      </c>
      <c r="CI42" s="276">
        <f t="shared" si="9"/>
        <v>1169</v>
      </c>
      <c r="CJ42" s="276">
        <f t="shared" si="10"/>
        <v>1156</v>
      </c>
      <c r="CK42" s="276">
        <f t="shared" si="36"/>
        <v>944.66095442743313</v>
      </c>
      <c r="CL42" s="276">
        <f t="shared" si="37"/>
        <v>975.00245769540697</v>
      </c>
      <c r="CM42" s="276">
        <f t="shared" si="38"/>
        <v>1062.4166666666665</v>
      </c>
      <c r="CN42" s="276">
        <f t="shared" si="39"/>
        <v>1182</v>
      </c>
      <c r="CO42" s="276">
        <f t="shared" si="39"/>
        <v>1169</v>
      </c>
      <c r="CP42" s="276">
        <f t="shared" si="11"/>
        <v>1156</v>
      </c>
      <c r="CQ42" s="39">
        <f t="shared" si="12"/>
        <v>662</v>
      </c>
      <c r="CR42" s="39">
        <f t="shared" si="13"/>
        <v>667.66666666666663</v>
      </c>
      <c r="CS42" s="277">
        <f t="shared" si="14"/>
        <v>698.22222222222217</v>
      </c>
      <c r="CT42" s="39">
        <f t="shared" si="15"/>
        <v>675.96296296296293</v>
      </c>
      <c r="CU42" s="39">
        <f t="shared" si="16"/>
        <v>680.61728395061732</v>
      </c>
      <c r="CV42" s="39">
        <f t="shared" si="17"/>
        <v>684.93415637860085</v>
      </c>
      <c r="CW42" s="297">
        <f t="shared" si="18"/>
        <v>0.70078052543332192</v>
      </c>
      <c r="CX42" s="279" t="str">
        <f t="shared" si="40"/>
        <v>Buffer and Action Plan</v>
      </c>
      <c r="CY42" s="278">
        <f t="shared" si="19"/>
        <v>0.68478459864072183</v>
      </c>
      <c r="CZ42" s="279" t="str">
        <f t="shared" si="41"/>
        <v>Buffer and Action Plan</v>
      </c>
      <c r="DA42" s="278">
        <f t="shared" si="20"/>
        <v>0.65720187204225178</v>
      </c>
      <c r="DB42" s="292" t="str">
        <f t="shared" si="42"/>
        <v>Presumption</v>
      </c>
      <c r="DC42" s="299">
        <f t="shared" si="43"/>
        <v>0.57188067932568776</v>
      </c>
      <c r="DD42" s="293" t="str">
        <f t="shared" si="44"/>
        <v>Presumption</v>
      </c>
      <c r="DE42" s="299">
        <f t="shared" si="45"/>
        <v>0.5822217997866701</v>
      </c>
      <c r="DF42" s="293" t="str">
        <f t="shared" si="46"/>
        <v>Presumption</v>
      </c>
      <c r="DG42" s="299">
        <f t="shared" si="47"/>
        <v>0.59250359548321874</v>
      </c>
      <c r="DH42" s="293" t="str">
        <f t="shared" si="48"/>
        <v>Presumption</v>
      </c>
    </row>
    <row r="43" spans="1:112" ht="15" thickTop="1" thickBot="1">
      <c r="A43" s="38" t="s">
        <v>195</v>
      </c>
      <c r="B43" s="38" t="s">
        <v>196</v>
      </c>
      <c r="C43" s="38" t="s">
        <v>195</v>
      </c>
      <c r="D43" s="38" t="s">
        <v>113</v>
      </c>
      <c r="E43" s="38" t="str">
        <f>VLOOKUP(C43,PoliticalControl!A:K,11,FALSE)</f>
        <v>CON</v>
      </c>
      <c r="F43" s="38" t="str">
        <f>VLOOKUP(C43,UrbanRuralClassification!A:N,13,FALSE)</f>
        <v>Urban with Significant Rural (rural including hub towns 26-49%)</v>
      </c>
      <c r="G43" s="38" t="str">
        <f>VLOOKUP(C43,UrbanRuralClassification!A:N,14,FALSE)</f>
        <v>Urban with Significant Rural</v>
      </c>
      <c r="H43" s="258" t="e">
        <f>IF(ISBLANK((VLOOKUP($A43,'local-plan-data'!$C$1:$AD$566,27,FALSE)))=TRUE,"",VLOOKUP($A43,'local-plan-data'!$C$1:$AD$566,27,FALSE))</f>
        <v>#N/A</v>
      </c>
      <c r="I43" s="259" t="e">
        <f>VLOOKUP($A43,'local-plan-data'!$C$1:$AD$566,28,FALSE)</f>
        <v>#N/A</v>
      </c>
      <c r="J43" s="260" t="str">
        <f t="shared" si="21"/>
        <v>-</v>
      </c>
      <c r="K43" s="259" t="str">
        <f t="shared" si="22"/>
        <v>-</v>
      </c>
      <c r="L43" s="259" t="str">
        <f t="shared" si="22"/>
        <v>-</v>
      </c>
      <c r="M43" s="259" t="str">
        <f t="shared" si="22"/>
        <v>-</v>
      </c>
      <c r="N43" s="259" t="str">
        <f t="shared" si="22"/>
        <v>-</v>
      </c>
      <c r="O43" s="259" t="str">
        <f t="shared" si="22"/>
        <v>-</v>
      </c>
      <c r="P43" s="259" t="str">
        <f t="shared" si="22"/>
        <v>-</v>
      </c>
      <c r="Q43" s="259" t="str">
        <f t="shared" si="22"/>
        <v>-</v>
      </c>
      <c r="R43" s="259" t="str">
        <f t="shared" si="22"/>
        <v>-</v>
      </c>
      <c r="S43" s="259" t="str">
        <f t="shared" si="23"/>
        <v>-</v>
      </c>
      <c r="T43" s="259" t="str">
        <f t="shared" si="23"/>
        <v>-</v>
      </c>
      <c r="U43" s="259" t="str">
        <f t="shared" si="23"/>
        <v>-</v>
      </c>
      <c r="V43" s="259" t="str">
        <f t="shared" si="23"/>
        <v>-</v>
      </c>
      <c r="W43" s="259" t="str">
        <f t="shared" si="23"/>
        <v>-</v>
      </c>
      <c r="X43" s="259" t="str">
        <f t="shared" si="23"/>
        <v>-</v>
      </c>
      <c r="Y43" s="259" t="str">
        <f t="shared" si="23"/>
        <v>-</v>
      </c>
      <c r="Z43" s="259" t="str">
        <f t="shared" si="23"/>
        <v>-</v>
      </c>
      <c r="AA43" s="267">
        <f>(VLOOKUP(A43,Hshldprojections2014!$A$2:$AW$319,40, FALSE)-VLOOKUP(A43,Hshldprojections2014!$A$2:$AW$319,30, FALSE))/10</f>
        <v>2135.6</v>
      </c>
      <c r="AB43" s="267">
        <f>(VLOOKUP(A43,Hshldprojections2014!$A$2:$AW$319,41, FALSE)-VLOOKUP(A43,Hshldprojections2014!$A$2:$AW$319,31, FALSE))/10</f>
        <v>2112</v>
      </c>
      <c r="AC43" s="267">
        <f>(VLOOKUP(A43,Hshldprojections2014!$A$2:$AW$319,42, FALSE)-VLOOKUP(A43,Hshldprojections2014!$A$2:$AW$319,32, FALSE))/10</f>
        <v>2092.4</v>
      </c>
      <c r="AD43" s="267">
        <f>IF(IndividualLATest!$J$7=2014,(VLOOKUP($A43,Hshldprojections2014!$A$2:$AY$326,43,FALSE)-VLOOKUP($A43,Hshldprojections2014!$A$2:$AY$326,33,FALSE))/10,IF(IndividualLATest!$J$7=2016,(VLOOKUP($A43,Hshldprojections2016!$A$1:$AQ$322,33,FALSE)-VLOOKUP($A43,Hshldprojections2016!$A$1:$AQ$322,23,FALSE))/10,(VLOOKUP($A43,Hshldprojections2018!$A$1:$AQ$327,33,FALSE)-VLOOKUP($A43,Hshldprojections2018!$A$1:$AQ$327,23,FALSE))/10))</f>
        <v>1326.4</v>
      </c>
      <c r="AE43" s="267">
        <f>IF(IndividualLATest!$J$7=2014,(VLOOKUP($A43,Hshldprojections2014!$A$2:$AY$326,44,FALSE)-VLOOKUP($A43,Hshldprojections2014!$A$2:$AY$326,34,FALSE))/10,IF(IndividualLATest!$J$7=2016,(VLOOKUP($A43,Hshldprojections2016!$A$1:$AQ$322,34,FALSE)-VLOOKUP($A43,Hshldprojections2016!$A$1:$AQ$322,24,FALSE))/10,(VLOOKUP($A43,Hshldprojections2018!$A$1:$AQ$327,34,FALSE)-VLOOKUP($A43,Hshldprojections2018!$A$1:$AQ$327,24,FALSE))/10))</f>
        <v>1281</v>
      </c>
      <c r="AF43" s="267">
        <f>IF(IndividualLATest!$J$7=2014,(VLOOKUP($A43,Hshldprojections2014!$A$2:$AY$326,45,FALSE)-VLOOKUP($A43,Hshldprojections2014!$A$2:$AY$326,35,FALSE))/10,IF(IndividualLATest!$J$7=2016,(VLOOKUP($A43,Hshldprojections2016!$A$1:$AQ$322,35,FALSE)-VLOOKUP($A43,Hshldprojections2016!$A$1:$AQ$322,25,FALSE))/10,(VLOOKUP($A43,Hshldprojections2018!$A$1:$AQ$327,35,FALSE)-VLOOKUP($A43,Hshldprojections2018!$A$1:$AQ$327,25,FALSE))/10))</f>
        <v>1238.5</v>
      </c>
      <c r="AG43" s="267">
        <f>IF(IndividualLATest!$J$7=2014,(VLOOKUP($A43,Hshldprojections2014!$A$2:$AY$326,46,FALSE)-VLOOKUP($A43,Hshldprojections2014!$A$2:$AY$326,36,FALSE))/10,IF(IndividualLATest!$J$7=2016,(VLOOKUP($A43,Hshldprojections2016!$A$1:$AQ$322,36,FALSE)-VLOOKUP($A43,Hshldprojections2016!$A$1:$AQ$322,26,FALSE))/10,(VLOOKUP($A43,Hshldprojections2018!$A$1:$AQ$327,36,FALSE)-VLOOKUP($A43,Hshldprojections2018!$A$1:$AQ$327,26,FALSE))/10))</f>
        <v>1198.9000000000001</v>
      </c>
      <c r="AH43" s="267">
        <f>IF(IndividualLATest!$J$7=2014,(VLOOKUP($A43,Hshldprojections2014!$A$2:$AY$326,47,FALSE)-VLOOKUP($A43,Hshldprojections2014!$A$2:$AY$326,37,FALSE))/10,IF(IndividualLATest!$J$7=2016,(VLOOKUP($A43,Hshldprojections2016!$A$1:$AQ$322,37,FALSE)-VLOOKUP($A43,Hshldprojections2016!$A$1:$AQ$322,27,FALSE))/10,(VLOOKUP($A43,Hshldprojections2018!$A$1:$AQ$327,37,FALSE)-VLOOKUP($A43,Hshldprojections2018!$A$1:$AQ$327,27,FALSE))/10))</f>
        <v>1170.3</v>
      </c>
      <c r="AI43" s="268">
        <f>IF(ISNUMBER('Sensitivity Tests'!$C$30),'Sensitivity Tests'!$C$30,VLOOKUP($A43,AffordabilityRatio!$A$2:$I$321,5,FALSE))</f>
        <v>11.98</v>
      </c>
      <c r="AJ43" s="268">
        <f>IF(ISNUMBER('Sensitivity Tests'!$C$30),'Sensitivity Tests'!$C$30,VLOOKUP($A43,AffordabilityRatio!$A$2:$I$321,6,FALSE))</f>
        <v>12.37</v>
      </c>
      <c r="AK43" s="268">
        <f>IF(ISNUMBER('Sensitivity Tests'!$C$30),'Sensitivity Tests'!$C$30,VLOOKUP($A43,AffordabilityRatio!$A$2:$I$321,7,FALSE))</f>
        <v>11.73</v>
      </c>
      <c r="AL43" s="268">
        <f>IF(ISNUMBER('Sensitivity Tests'!$C$30),'Sensitivity Tests'!$C$30,IF((VLOOKUP($A43,AffordabilityRatio!$A$2:$I$321,8,FALSE))="",AK43,VLOOKUP($A43,AffordabilityRatio!$A$2:$I$321,8,FALSE)))</f>
        <v>11.43</v>
      </c>
      <c r="AM43" s="268">
        <f>IF(ISNUMBER('Sensitivity Tests'!$C$30),'Sensitivity Tests'!$C$30,IF((VLOOKUP($A43,AffordabilityRatio!$A$2:$I$321,9,FALSE))="",AL43,VLOOKUP($A43,AffordabilityRatio!$A$2:$I$321,9,FALSE)))</f>
        <v>12.35</v>
      </c>
      <c r="AN43" s="268">
        <f>IF(ISNUMBER('Sensitivity Tests'!$C$30),'Sensitivity Tests'!$C$30,IF((VLOOKUP($A43,AffordabilityRatio!$A$2:$I$321,9,FALSE))="",AM43,VLOOKUP($A43,AffordabilityRatio!$A$2:$I$321,9,FALSE)))</f>
        <v>12.35</v>
      </c>
      <c r="AO43" s="268">
        <f>IF(ISNUMBER('Sensitivity Tests'!$C$30),'Sensitivity Tests'!$C$30,IF((VLOOKUP($A43,AffordabilityRatio!$A$2:$I$321,9,FALSE))="",AN43,VLOOKUP($A43,AffordabilityRatio!$A$2:$I$321,9,FALSE)))</f>
        <v>12.35</v>
      </c>
      <c r="AP43" s="268">
        <f>IF(ISNUMBER('Sensitivity Tests'!$C$30),'Sensitivity Tests'!$C$30,IF((VLOOKUP($A43,AffordabilityRatio!$A$2:$I$321,9,FALSE))="",AO43,VLOOKUP($A43,AffordabilityRatio!$A$2:$I$321,9,FALSE)))</f>
        <v>12.35</v>
      </c>
      <c r="AQ43" s="267">
        <f t="shared" si="24"/>
        <v>3201</v>
      </c>
      <c r="AR43" s="267">
        <f t="shared" si="24"/>
        <v>3217</v>
      </c>
      <c r="AS43" s="267">
        <f t="shared" si="24"/>
        <v>3103</v>
      </c>
      <c r="AT43" s="267">
        <f t="shared" si="24"/>
        <v>1942</v>
      </c>
      <c r="AU43" s="267">
        <f t="shared" si="24"/>
        <v>1950</v>
      </c>
      <c r="AV43" s="267">
        <f t="shared" si="24"/>
        <v>1885</v>
      </c>
      <c r="AW43" s="267">
        <f t="shared" si="24"/>
        <v>1825</v>
      </c>
      <c r="AX43" s="267">
        <f t="shared" si="24"/>
        <v>1781</v>
      </c>
      <c r="AY43" s="267">
        <f t="shared" si="25"/>
        <v>2989.84</v>
      </c>
      <c r="AZ43" s="267">
        <f t="shared" si="26"/>
        <v>2956.8</v>
      </c>
      <c r="BA43" s="267">
        <f t="shared" si="27"/>
        <v>2929.36</v>
      </c>
      <c r="BB43" s="267">
        <f t="shared" si="28"/>
        <v>1856.96</v>
      </c>
      <c r="BC43" s="267">
        <f t="shared" si="29"/>
        <v>1793.4</v>
      </c>
      <c r="BD43" s="267">
        <f t="shared" si="30"/>
        <v>1733.9</v>
      </c>
      <c r="BE43" s="267">
        <f t="shared" si="31"/>
        <v>1678.46</v>
      </c>
      <c r="BF43" s="267">
        <f t="shared" si="32"/>
        <v>1638.42</v>
      </c>
      <c r="BG43" s="269">
        <f>AY43*VLOOKUP($B43,'Major Cities &amp; Towns'!$A$28:$B$345,2,FALSE)</f>
        <v>2989.84</v>
      </c>
      <c r="BH43" s="269">
        <f>AZ43*VLOOKUP($B43,'Major Cities &amp; Towns'!$A$28:$B$345,2,FALSE)</f>
        <v>2956.8</v>
      </c>
      <c r="BI43" s="269">
        <f>BA43*VLOOKUP($B43,'Major Cities &amp; Towns'!$A$28:$B$345,2,FALSE)</f>
        <v>2929.36</v>
      </c>
      <c r="BJ43" s="269">
        <f>BB43*VLOOKUP($B43,'Major Cities &amp; Towns'!$A$28:$B$345,2,FALSE)</f>
        <v>1856.96</v>
      </c>
      <c r="BK43" s="269">
        <f>BC43*VLOOKUP($B43,'Major Cities &amp; Towns'!$A$28:$B$345,2,FALSE)</f>
        <v>1793.4</v>
      </c>
      <c r="BL43" s="269">
        <f>BD43*VLOOKUP($B43,'Major Cities &amp; Towns'!$A$28:$B$345,2,FALSE)</f>
        <v>1733.9</v>
      </c>
      <c r="BM43" s="269">
        <f>BE43*VLOOKUP($B43,'Major Cities &amp; Towns'!$A$28:$B$345,2,FALSE)</f>
        <v>1678.46</v>
      </c>
      <c r="BN43" s="269">
        <f>BF43*VLOOKUP($B43,'Major Cities &amp; Towns'!$A$28:$B$345,2,FALSE)</f>
        <v>1638.42</v>
      </c>
      <c r="BO43" s="270">
        <f t="shared" si="33"/>
        <v>3201</v>
      </c>
      <c r="BP43" s="270">
        <f t="shared" ref="BP43:BU106" si="50">IFERROR(IF(AND(T43&lt;365,T43&gt;0),SUM(((T43/365)*(MIN(L43,BH43)))+(((365-T43)/365)*AR43)),(MIN(L43,AR43))),AR43)</f>
        <v>3217</v>
      </c>
      <c r="BQ43" s="270">
        <f t="shared" si="50"/>
        <v>3103</v>
      </c>
      <c r="BR43" s="270">
        <f t="shared" si="50"/>
        <v>1942</v>
      </c>
      <c r="BS43" s="270">
        <f t="shared" si="49"/>
        <v>1950</v>
      </c>
      <c r="BT43" s="270">
        <f t="shared" si="49"/>
        <v>1885</v>
      </c>
      <c r="BU43" s="270">
        <f t="shared" si="49"/>
        <v>1825</v>
      </c>
      <c r="BV43" s="270">
        <f t="shared" si="49"/>
        <v>1781</v>
      </c>
      <c r="BW43" s="39" t="str">
        <f>VLOOKUP($A43,NetAdditions!$A$2:$H$336,6,FALSE)</f>
        <v>Not Applicable</v>
      </c>
      <c r="BX43" s="39" t="str">
        <f>VLOOKUP($A43,NetAdditions!$A$2:$H$336,7,FALSE)</f>
        <v>Not Applicable</v>
      </c>
      <c r="BY43" s="39">
        <f>IF((VLOOKUP($C43,NetAdditions!$A$2:$H$336,8,FALSE))="",(AVERAGE(VLOOKUP($C43,NetAdditions!$A$2:$H$336,5,FALSE),VLOOKUP($C43,NetAdditions!$A$2:$H$336,6,FALSE),VLOOKUP($C43,NetAdditions!$A$2:$H$336,7,FALSE))),VLOOKUP($C43,NetAdditions!$A$2:$H$336,8,FALSE))</f>
        <v>1980</v>
      </c>
      <c r="BZ43" s="39">
        <f t="shared" si="35"/>
        <v>1980</v>
      </c>
      <c r="CA43" s="39">
        <f t="shared" si="35"/>
        <v>1980</v>
      </c>
      <c r="CB43" s="39">
        <f t="shared" si="35"/>
        <v>1980</v>
      </c>
      <c r="CC43" s="39">
        <f t="shared" si="35"/>
        <v>1980</v>
      </c>
      <c r="CD43" s="39">
        <f t="shared" si="35"/>
        <v>1980</v>
      </c>
      <c r="CE43" s="276">
        <f t="shared" si="5"/>
        <v>9521</v>
      </c>
      <c r="CF43" s="276">
        <f t="shared" si="6"/>
        <v>8262</v>
      </c>
      <c r="CG43" s="276">
        <f t="shared" si="7"/>
        <v>6995</v>
      </c>
      <c r="CH43" s="276">
        <f t="shared" si="8"/>
        <v>5777</v>
      </c>
      <c r="CI43" s="276">
        <f t="shared" si="9"/>
        <v>5660</v>
      </c>
      <c r="CJ43" s="276">
        <f t="shared" si="10"/>
        <v>5491</v>
      </c>
      <c r="CK43" s="276">
        <f t="shared" si="36"/>
        <v>8198.6388888888887</v>
      </c>
      <c r="CL43" s="276">
        <f t="shared" si="37"/>
        <v>7114.5</v>
      </c>
      <c r="CM43" s="276">
        <f t="shared" si="38"/>
        <v>6412.083333333333</v>
      </c>
      <c r="CN43" s="276">
        <f t="shared" si="39"/>
        <v>5777</v>
      </c>
      <c r="CO43" s="276">
        <f t="shared" si="39"/>
        <v>5660</v>
      </c>
      <c r="CP43" s="276">
        <f t="shared" si="11"/>
        <v>5491</v>
      </c>
      <c r="CQ43" s="39">
        <f t="shared" si="12"/>
        <v>1980</v>
      </c>
      <c r="CR43" s="39">
        <f t="shared" si="13"/>
        <v>3960</v>
      </c>
      <c r="CS43" s="277">
        <f t="shared" si="14"/>
        <v>5940</v>
      </c>
      <c r="CT43" s="39">
        <f t="shared" si="15"/>
        <v>5940</v>
      </c>
      <c r="CU43" s="39">
        <f t="shared" si="16"/>
        <v>5940</v>
      </c>
      <c r="CV43" s="39">
        <f t="shared" si="17"/>
        <v>5940</v>
      </c>
      <c r="CW43" s="297">
        <f t="shared" si="18"/>
        <v>0.2415035015974874</v>
      </c>
      <c r="CX43" s="279" t="str">
        <f t="shared" si="40"/>
        <v>Presumption</v>
      </c>
      <c r="CY43" s="278">
        <f t="shared" si="19"/>
        <v>0.55660974067046176</v>
      </c>
      <c r="CZ43" s="279" t="str">
        <f t="shared" si="41"/>
        <v>Buffer and Action Plan</v>
      </c>
      <c r="DA43" s="278">
        <f t="shared" si="20"/>
        <v>0.9263759828448892</v>
      </c>
      <c r="DB43" s="292" t="str">
        <f t="shared" si="42"/>
        <v>Action Plan</v>
      </c>
      <c r="DC43" s="299">
        <f t="shared" si="43"/>
        <v>1.0282153366799376</v>
      </c>
      <c r="DD43" s="293" t="str">
        <f t="shared" si="44"/>
        <v>Pass</v>
      </c>
      <c r="DE43" s="299">
        <f t="shared" si="45"/>
        <v>1.0494699646643109</v>
      </c>
      <c r="DF43" s="293" t="str">
        <f t="shared" si="46"/>
        <v>Pass</v>
      </c>
      <c r="DG43" s="299">
        <f t="shared" si="47"/>
        <v>1.0817701693680568</v>
      </c>
      <c r="DH43" s="293" t="str">
        <f t="shared" si="48"/>
        <v>Pass</v>
      </c>
    </row>
    <row r="44" spans="1:112" ht="15" thickTop="1" thickBot="1">
      <c r="A44" s="38" t="s">
        <v>197</v>
      </c>
      <c r="B44" s="38" t="s">
        <v>198</v>
      </c>
      <c r="C44" s="38" t="s">
        <v>197</v>
      </c>
      <c r="D44" s="38" t="s">
        <v>116</v>
      </c>
      <c r="E44" s="38" t="str">
        <f>VLOOKUP(C44,PoliticalControl!A:K,11,FALSE)</f>
        <v>NOC</v>
      </c>
      <c r="F44" s="38" t="str">
        <f>VLOOKUP(C44,UrbanRuralClassification!A:N,13,FALSE)</f>
        <v>Urban with City and Town</v>
      </c>
      <c r="G44" s="38" t="str">
        <f>VLOOKUP(C44,UrbanRuralClassification!A:N,14,FALSE)</f>
        <v>Predominantly Urban</v>
      </c>
      <c r="H44" s="258">
        <f>IF(ISBLANK((VLOOKUP($A44,'local-plan-data'!$C$1:$AD$566,27,FALSE)))=TRUE,"",VLOOKUP($A44,'local-plan-data'!$C$1:$AD$566,27,FALSE))</f>
        <v>43312</v>
      </c>
      <c r="I44" s="259">
        <f>VLOOKUP($A44,'local-plan-data'!$C$1:$AD$566,28,FALSE)</f>
        <v>194</v>
      </c>
      <c r="J44" s="260">
        <f t="shared" si="21"/>
        <v>194</v>
      </c>
      <c r="K44" s="259">
        <f t="shared" si="22"/>
        <v>194</v>
      </c>
      <c r="L44" s="259">
        <f t="shared" si="22"/>
        <v>194</v>
      </c>
      <c r="M44" s="259">
        <f t="shared" si="22"/>
        <v>194</v>
      </c>
      <c r="N44" s="259">
        <f t="shared" si="22"/>
        <v>194</v>
      </c>
      <c r="O44" s="259">
        <f t="shared" si="22"/>
        <v>194</v>
      </c>
      <c r="P44" s="259">
        <f t="shared" si="22"/>
        <v>194</v>
      </c>
      <c r="Q44" s="259" t="str">
        <f t="shared" si="22"/>
        <v>-</v>
      </c>
      <c r="R44" s="259" t="str">
        <f t="shared" si="22"/>
        <v>-</v>
      </c>
      <c r="S44" s="259">
        <f t="shared" si="23"/>
        <v>1947</v>
      </c>
      <c r="T44" s="259">
        <f t="shared" si="23"/>
        <v>1582</v>
      </c>
      <c r="U44" s="259">
        <f t="shared" si="23"/>
        <v>1216</v>
      </c>
      <c r="V44" s="259">
        <f t="shared" si="23"/>
        <v>851</v>
      </c>
      <c r="W44" s="259">
        <f t="shared" si="23"/>
        <v>486</v>
      </c>
      <c r="X44" s="259">
        <f t="shared" si="23"/>
        <v>121</v>
      </c>
      <c r="Y44" s="259">
        <f t="shared" si="23"/>
        <v>-245</v>
      </c>
      <c r="Z44" s="259">
        <f t="shared" si="23"/>
        <v>-610</v>
      </c>
      <c r="AA44" s="267">
        <f>(VLOOKUP(A44,Hshldprojections2014!$A$2:$AW$319,40, FALSE)-VLOOKUP(A44,Hshldprojections2014!$A$2:$AW$319,30, FALSE))/10</f>
        <v>65.7</v>
      </c>
      <c r="AB44" s="267">
        <f>(VLOOKUP(A44,Hshldprojections2014!$A$2:$AW$319,41, FALSE)-VLOOKUP(A44,Hshldprojections2014!$A$2:$AW$319,31, FALSE))/10</f>
        <v>63</v>
      </c>
      <c r="AC44" s="267">
        <f>(VLOOKUP(A44,Hshldprojections2014!$A$2:$AW$319,42, FALSE)-VLOOKUP(A44,Hshldprojections2014!$A$2:$AW$319,32, FALSE))/10</f>
        <v>61.8</v>
      </c>
      <c r="AD44" s="267">
        <f>IF(IndividualLATest!$J$7=2014,(VLOOKUP($A44,Hshldprojections2014!$A$2:$AY$326,43,FALSE)-VLOOKUP($A44,Hshldprojections2014!$A$2:$AY$326,33,FALSE))/10,IF(IndividualLATest!$J$7=2016,(VLOOKUP($A44,Hshldprojections2016!$A$1:$AQ$322,33,FALSE)-VLOOKUP($A44,Hshldprojections2016!$A$1:$AQ$322,23,FALSE))/10,(VLOOKUP($A44,Hshldprojections2018!$A$1:$AQ$327,33,FALSE)-VLOOKUP($A44,Hshldprojections2018!$A$1:$AQ$327,23,FALSE))/10))</f>
        <v>161.9</v>
      </c>
      <c r="AE44" s="267">
        <f>IF(IndividualLATest!$J$7=2014,(VLOOKUP($A44,Hshldprojections2014!$A$2:$AY$326,44,FALSE)-VLOOKUP($A44,Hshldprojections2014!$A$2:$AY$326,34,FALSE))/10,IF(IndividualLATest!$J$7=2016,(VLOOKUP($A44,Hshldprojections2016!$A$1:$AQ$322,34,FALSE)-VLOOKUP($A44,Hshldprojections2016!$A$1:$AQ$322,24,FALSE))/10,(VLOOKUP($A44,Hshldprojections2018!$A$1:$AQ$327,34,FALSE)-VLOOKUP($A44,Hshldprojections2018!$A$1:$AQ$327,24,FALSE))/10))</f>
        <v>157.5</v>
      </c>
      <c r="AF44" s="267">
        <f>IF(IndividualLATest!$J$7=2014,(VLOOKUP($A44,Hshldprojections2014!$A$2:$AY$326,45,FALSE)-VLOOKUP($A44,Hshldprojections2014!$A$2:$AY$326,35,FALSE))/10,IF(IndividualLATest!$J$7=2016,(VLOOKUP($A44,Hshldprojections2016!$A$1:$AQ$322,35,FALSE)-VLOOKUP($A44,Hshldprojections2016!$A$1:$AQ$322,25,FALSE))/10,(VLOOKUP($A44,Hshldprojections2018!$A$1:$AQ$327,35,FALSE)-VLOOKUP($A44,Hshldprojections2018!$A$1:$AQ$327,25,FALSE))/10))</f>
        <v>154.5</v>
      </c>
      <c r="AG44" s="267">
        <f>IF(IndividualLATest!$J$7=2014,(VLOOKUP($A44,Hshldprojections2014!$A$2:$AY$326,46,FALSE)-VLOOKUP($A44,Hshldprojections2014!$A$2:$AY$326,36,FALSE))/10,IF(IndividualLATest!$J$7=2016,(VLOOKUP($A44,Hshldprojections2016!$A$1:$AQ$322,36,FALSE)-VLOOKUP($A44,Hshldprojections2016!$A$1:$AQ$322,26,FALSE))/10,(VLOOKUP($A44,Hshldprojections2018!$A$1:$AQ$327,36,FALSE)-VLOOKUP($A44,Hshldprojections2018!$A$1:$AQ$327,26,FALSE))/10))</f>
        <v>151.69999999999999</v>
      </c>
      <c r="AH44" s="267">
        <f>IF(IndividualLATest!$J$7=2014,(VLOOKUP($A44,Hshldprojections2014!$A$2:$AY$326,47,FALSE)-VLOOKUP($A44,Hshldprojections2014!$A$2:$AY$326,37,FALSE))/10,IF(IndividualLATest!$J$7=2016,(VLOOKUP($A44,Hshldprojections2016!$A$1:$AQ$322,37,FALSE)-VLOOKUP($A44,Hshldprojections2016!$A$1:$AQ$322,27,FALSE))/10,(VLOOKUP($A44,Hshldprojections2018!$A$1:$AQ$327,37,FALSE)-VLOOKUP($A44,Hshldprojections2018!$A$1:$AQ$327,27,FALSE))/10))</f>
        <v>149.4</v>
      </c>
      <c r="AI44" s="268">
        <f>IF(ISNUMBER('Sensitivity Tests'!$C$30),'Sensitivity Tests'!$C$30,VLOOKUP($A44,AffordabilityRatio!$A$2:$I$321,5,FALSE))</f>
        <v>3.87</v>
      </c>
      <c r="AJ44" s="268">
        <f>IF(ISNUMBER('Sensitivity Tests'!$C$30),'Sensitivity Tests'!$C$30,VLOOKUP($A44,AffordabilityRatio!$A$2:$I$321,6,FALSE))</f>
        <v>4</v>
      </c>
      <c r="AK44" s="268">
        <f>IF(ISNUMBER('Sensitivity Tests'!$C$30),'Sensitivity Tests'!$C$30,VLOOKUP($A44,AffordabilityRatio!$A$2:$I$321,7,FALSE))</f>
        <v>3.92</v>
      </c>
      <c r="AL44" s="268">
        <f>IF(ISNUMBER('Sensitivity Tests'!$C$30),'Sensitivity Tests'!$C$30,IF((VLOOKUP($A44,AffordabilityRatio!$A$2:$I$321,8,FALSE))="",AK44,VLOOKUP($A44,AffordabilityRatio!$A$2:$I$321,8,FALSE)))</f>
        <v>4.24</v>
      </c>
      <c r="AM44" s="268">
        <f>IF(ISNUMBER('Sensitivity Tests'!$C$30),'Sensitivity Tests'!$C$30,IF((VLOOKUP($A44,AffordabilityRatio!$A$2:$I$321,9,FALSE))="",AL44,VLOOKUP($A44,AffordabilityRatio!$A$2:$I$321,9,FALSE)))</f>
        <v>4.6900000000000004</v>
      </c>
      <c r="AN44" s="268">
        <f>IF(ISNUMBER('Sensitivity Tests'!$C$30),'Sensitivity Tests'!$C$30,IF((VLOOKUP($A44,AffordabilityRatio!$A$2:$I$321,9,FALSE))="",AM44,VLOOKUP($A44,AffordabilityRatio!$A$2:$I$321,9,FALSE)))</f>
        <v>4.6900000000000004</v>
      </c>
      <c r="AO44" s="268">
        <f>IF(ISNUMBER('Sensitivity Tests'!$C$30),'Sensitivity Tests'!$C$30,IF((VLOOKUP($A44,AffordabilityRatio!$A$2:$I$321,9,FALSE))="",AN44,VLOOKUP($A44,AffordabilityRatio!$A$2:$I$321,9,FALSE)))</f>
        <v>4.6900000000000004</v>
      </c>
      <c r="AP44" s="268">
        <f>IF(ISNUMBER('Sensitivity Tests'!$C$30),'Sensitivity Tests'!$C$30,IF((VLOOKUP($A44,AffordabilityRatio!$A$2:$I$321,9,FALSE))="",AO44,VLOOKUP($A44,AffordabilityRatio!$A$2:$I$321,9,FALSE)))</f>
        <v>4.6900000000000004</v>
      </c>
      <c r="AQ44" s="267">
        <f t="shared" si="24"/>
        <v>65.7</v>
      </c>
      <c r="AR44" s="267">
        <f t="shared" si="24"/>
        <v>63</v>
      </c>
      <c r="AS44" s="267">
        <f t="shared" si="24"/>
        <v>61.8</v>
      </c>
      <c r="AT44" s="267">
        <f t="shared" si="24"/>
        <v>164</v>
      </c>
      <c r="AU44" s="267">
        <f t="shared" si="24"/>
        <v>164</v>
      </c>
      <c r="AV44" s="267">
        <f t="shared" si="24"/>
        <v>161</v>
      </c>
      <c r="AW44" s="267">
        <f t="shared" si="24"/>
        <v>158</v>
      </c>
      <c r="AX44" s="267">
        <f t="shared" si="24"/>
        <v>156</v>
      </c>
      <c r="AY44" s="267">
        <f t="shared" si="25"/>
        <v>65.7</v>
      </c>
      <c r="AZ44" s="267">
        <f t="shared" si="26"/>
        <v>63</v>
      </c>
      <c r="BA44" s="267">
        <f t="shared" si="27"/>
        <v>61.8</v>
      </c>
      <c r="BB44" s="267">
        <f t="shared" si="28"/>
        <v>164</v>
      </c>
      <c r="BC44" s="267">
        <f t="shared" si="29"/>
        <v>164</v>
      </c>
      <c r="BD44" s="267">
        <f t="shared" si="30"/>
        <v>161</v>
      </c>
      <c r="BE44" s="267">
        <f t="shared" si="31"/>
        <v>158</v>
      </c>
      <c r="BF44" s="267">
        <f t="shared" si="32"/>
        <v>156</v>
      </c>
      <c r="BG44" s="269">
        <f>AY44*VLOOKUP($B44,'Major Cities &amp; Towns'!$A$28:$B$345,2,FALSE)</f>
        <v>65.7</v>
      </c>
      <c r="BH44" s="269">
        <f>AZ44*VLOOKUP($B44,'Major Cities &amp; Towns'!$A$28:$B$345,2,FALSE)</f>
        <v>63</v>
      </c>
      <c r="BI44" s="269">
        <f>BA44*VLOOKUP($B44,'Major Cities &amp; Towns'!$A$28:$B$345,2,FALSE)</f>
        <v>61.8</v>
      </c>
      <c r="BJ44" s="269">
        <f>BB44*VLOOKUP($B44,'Major Cities &amp; Towns'!$A$28:$B$345,2,FALSE)</f>
        <v>164</v>
      </c>
      <c r="BK44" s="269">
        <f>BC44*VLOOKUP($B44,'Major Cities &amp; Towns'!$A$28:$B$345,2,FALSE)</f>
        <v>164</v>
      </c>
      <c r="BL44" s="269">
        <f>BD44*VLOOKUP($B44,'Major Cities &amp; Towns'!$A$28:$B$345,2,FALSE)</f>
        <v>161</v>
      </c>
      <c r="BM44" s="269">
        <f>BE44*VLOOKUP($B44,'Major Cities &amp; Towns'!$A$28:$B$345,2,FALSE)</f>
        <v>158</v>
      </c>
      <c r="BN44" s="269">
        <f>BF44*VLOOKUP($B44,'Major Cities &amp; Towns'!$A$28:$B$345,2,FALSE)</f>
        <v>156</v>
      </c>
      <c r="BO44" s="270">
        <f t="shared" si="33"/>
        <v>65.7</v>
      </c>
      <c r="BP44" s="270">
        <f t="shared" si="50"/>
        <v>63</v>
      </c>
      <c r="BQ44" s="270">
        <f t="shared" si="50"/>
        <v>61.8</v>
      </c>
      <c r="BR44" s="270">
        <f t="shared" si="50"/>
        <v>164</v>
      </c>
      <c r="BS44" s="270">
        <f t="shared" si="49"/>
        <v>164</v>
      </c>
      <c r="BT44" s="270">
        <f t="shared" si="49"/>
        <v>161</v>
      </c>
      <c r="BU44" s="270">
        <f t="shared" si="49"/>
        <v>158</v>
      </c>
      <c r="BV44" s="270">
        <f t="shared" si="49"/>
        <v>156</v>
      </c>
      <c r="BW44" s="39">
        <f>VLOOKUP($A44,NetAdditions!$A$2:$H$336,6,FALSE)</f>
        <v>251</v>
      </c>
      <c r="BX44" s="39">
        <f>VLOOKUP($A44,NetAdditions!$A$2:$H$336,7,FALSE)</f>
        <v>165</v>
      </c>
      <c r="BY44" s="39">
        <f>IF((VLOOKUP($C44,NetAdditions!$A$2:$H$336,8,FALSE))="",(AVERAGE(VLOOKUP($C44,NetAdditions!$A$2:$H$336,5,FALSE),VLOOKUP($C44,NetAdditions!$A$2:$H$336,6,FALSE),VLOOKUP($C44,NetAdditions!$A$2:$H$336,7,FALSE))),VLOOKUP($C44,NetAdditions!$A$2:$H$336,8,FALSE))</f>
        <v>234</v>
      </c>
      <c r="BZ44" s="39">
        <f t="shared" si="35"/>
        <v>216.66666666666666</v>
      </c>
      <c r="CA44" s="39">
        <f t="shared" si="35"/>
        <v>205.2222222222222</v>
      </c>
      <c r="CB44" s="39">
        <f t="shared" si="35"/>
        <v>218.62962962962959</v>
      </c>
      <c r="CC44" s="39">
        <f t="shared" si="35"/>
        <v>213.50617283950615</v>
      </c>
      <c r="CD44" s="39">
        <f t="shared" si="35"/>
        <v>212.45267489711932</v>
      </c>
      <c r="CE44" s="276">
        <f t="shared" si="5"/>
        <v>190.5</v>
      </c>
      <c r="CF44" s="276">
        <f t="shared" si="6"/>
        <v>288.8</v>
      </c>
      <c r="CG44" s="276">
        <f t="shared" si="7"/>
        <v>389.8</v>
      </c>
      <c r="CH44" s="276">
        <f t="shared" si="8"/>
        <v>489</v>
      </c>
      <c r="CI44" s="276">
        <f t="shared" si="9"/>
        <v>483</v>
      </c>
      <c r="CJ44" s="276">
        <f t="shared" si="10"/>
        <v>475</v>
      </c>
      <c r="CK44" s="276">
        <f t="shared" si="36"/>
        <v>164.04166666666669</v>
      </c>
      <c r="CL44" s="276">
        <f t="shared" si="37"/>
        <v>248.68888888888893</v>
      </c>
      <c r="CM44" s="276">
        <f t="shared" si="38"/>
        <v>357.31666666666666</v>
      </c>
      <c r="CN44" s="276">
        <f t="shared" si="39"/>
        <v>489</v>
      </c>
      <c r="CO44" s="276">
        <f t="shared" si="39"/>
        <v>483</v>
      </c>
      <c r="CP44" s="276">
        <f t="shared" si="11"/>
        <v>475</v>
      </c>
      <c r="CQ44" s="39">
        <f t="shared" si="12"/>
        <v>650</v>
      </c>
      <c r="CR44" s="39">
        <f t="shared" si="13"/>
        <v>615.66666666666663</v>
      </c>
      <c r="CS44" s="277">
        <f t="shared" si="14"/>
        <v>655.8888888888888</v>
      </c>
      <c r="CT44" s="39">
        <f t="shared" si="15"/>
        <v>640.51851851851848</v>
      </c>
      <c r="CU44" s="39">
        <f t="shared" si="16"/>
        <v>637.35802469135797</v>
      </c>
      <c r="CV44" s="39">
        <f t="shared" si="17"/>
        <v>644.58847736625512</v>
      </c>
      <c r="CW44" s="297">
        <f t="shared" si="18"/>
        <v>3.962407924815849</v>
      </c>
      <c r="CX44" s="279" t="str">
        <f t="shared" si="40"/>
        <v>Pass</v>
      </c>
      <c r="CY44" s="278">
        <f t="shared" si="19"/>
        <v>2.4756500759538911</v>
      </c>
      <c r="CZ44" s="279" t="str">
        <f t="shared" si="41"/>
        <v>Pass</v>
      </c>
      <c r="DA44" s="278">
        <f t="shared" si="20"/>
        <v>1.8355955657135747</v>
      </c>
      <c r="DB44" s="292" t="str">
        <f t="shared" si="42"/>
        <v>Pass</v>
      </c>
      <c r="DC44" s="299">
        <f t="shared" si="43"/>
        <v>1.3098538211012647</v>
      </c>
      <c r="DD44" s="293" t="str">
        <f t="shared" si="44"/>
        <v>Pass</v>
      </c>
      <c r="DE44" s="299">
        <f t="shared" si="45"/>
        <v>1.3195818316591261</v>
      </c>
      <c r="DF44" s="293" t="str">
        <f t="shared" si="46"/>
        <v>Pass</v>
      </c>
      <c r="DG44" s="299">
        <f t="shared" si="47"/>
        <v>1.3570283734026423</v>
      </c>
      <c r="DH44" s="293" t="str">
        <f t="shared" si="48"/>
        <v>Pass</v>
      </c>
    </row>
    <row r="45" spans="1:112" ht="15" thickTop="1" thickBot="1">
      <c r="A45" s="38" t="s">
        <v>199</v>
      </c>
      <c r="B45" s="38" t="s">
        <v>200</v>
      </c>
      <c r="C45" s="38" t="s">
        <v>199</v>
      </c>
      <c r="D45" s="38" t="s">
        <v>116</v>
      </c>
      <c r="E45" s="38" t="str">
        <f>VLOOKUP(C45,PoliticalControl!A:K,11,FALSE)</f>
        <v>LAB</v>
      </c>
      <c r="F45" s="38" t="str">
        <f>VLOOKUP(C45,UrbanRuralClassification!A:N,13,FALSE)</f>
        <v>Urban with Major Conurbation</v>
      </c>
      <c r="G45" s="38" t="str">
        <f>VLOOKUP(C45,UrbanRuralClassification!A:N,14,FALSE)</f>
        <v>Predominantly Urban</v>
      </c>
      <c r="H45" s="258" t="str">
        <f>IF(ISBLANK((VLOOKUP($A45,'local-plan-data'!$C$1:$AD$566,27,FALSE)))=TRUE,"",VLOOKUP($A45,'local-plan-data'!$C$1:$AD$566,27,FALSE))</f>
        <v/>
      </c>
      <c r="I45" s="259">
        <f>VLOOKUP($A45,'local-plan-data'!$C$1:$AD$566,28,FALSE)</f>
        <v>451.75</v>
      </c>
      <c r="J45" s="260">
        <f t="shared" si="21"/>
        <v>451.75</v>
      </c>
      <c r="K45" s="259" t="str">
        <f t="shared" si="22"/>
        <v>-</v>
      </c>
      <c r="L45" s="259" t="str">
        <f t="shared" si="22"/>
        <v>-</v>
      </c>
      <c r="M45" s="259" t="str">
        <f t="shared" si="22"/>
        <v>-</v>
      </c>
      <c r="N45" s="259" t="str">
        <f t="shared" si="22"/>
        <v>-</v>
      </c>
      <c r="O45" s="259" t="str">
        <f t="shared" si="22"/>
        <v>-</v>
      </c>
      <c r="P45" s="259" t="str">
        <f t="shared" si="22"/>
        <v>-</v>
      </c>
      <c r="Q45" s="259" t="str">
        <f t="shared" si="22"/>
        <v>-</v>
      </c>
      <c r="R45" s="259" t="str">
        <f t="shared" si="22"/>
        <v>-</v>
      </c>
      <c r="S45" s="259" t="str">
        <f t="shared" si="23"/>
        <v>-</v>
      </c>
      <c r="T45" s="259" t="str">
        <f t="shared" si="23"/>
        <v>-</v>
      </c>
      <c r="U45" s="259" t="str">
        <f t="shared" si="23"/>
        <v>-</v>
      </c>
      <c r="V45" s="259" t="str">
        <f t="shared" si="23"/>
        <v>-</v>
      </c>
      <c r="W45" s="259" t="str">
        <f t="shared" si="23"/>
        <v>-</v>
      </c>
      <c r="X45" s="259" t="str">
        <f t="shared" si="23"/>
        <v>-</v>
      </c>
      <c r="Y45" s="259" t="str">
        <f t="shared" si="23"/>
        <v>-</v>
      </c>
      <c r="Z45" s="259" t="str">
        <f t="shared" si="23"/>
        <v>-</v>
      </c>
      <c r="AA45" s="267">
        <f>(VLOOKUP(A45,Hshldprojections2014!$A$2:$AW$319,40, FALSE)-VLOOKUP(A45,Hshldprojections2014!$A$2:$AW$319,30, FALSE))/10</f>
        <v>525.6</v>
      </c>
      <c r="AB45" s="267">
        <f>(VLOOKUP(A45,Hshldprojections2014!$A$2:$AW$319,41, FALSE)-VLOOKUP(A45,Hshldprojections2014!$A$2:$AW$319,31, FALSE))/10</f>
        <v>517.5</v>
      </c>
      <c r="AC45" s="267">
        <f>(VLOOKUP(A45,Hshldprojections2014!$A$2:$AW$319,42, FALSE)-VLOOKUP(A45,Hshldprojections2014!$A$2:$AW$319,32, FALSE))/10</f>
        <v>510.6</v>
      </c>
      <c r="AD45" s="267">
        <f>IF(IndividualLATest!$J$7=2014,(VLOOKUP($A45,Hshldprojections2014!$A$2:$AY$326,43,FALSE)-VLOOKUP($A45,Hshldprojections2014!$A$2:$AY$326,33,FALSE))/10,IF(IndividualLATest!$J$7=2016,(VLOOKUP($A45,Hshldprojections2016!$A$1:$AQ$322,33,FALSE)-VLOOKUP($A45,Hshldprojections2016!$A$1:$AQ$322,23,FALSE))/10,(VLOOKUP($A45,Hshldprojections2018!$A$1:$AQ$327,33,FALSE)-VLOOKUP($A45,Hshldprojections2018!$A$1:$AQ$327,23,FALSE))/10))</f>
        <v>395.2</v>
      </c>
      <c r="AE45" s="267">
        <f>IF(IndividualLATest!$J$7=2014,(VLOOKUP($A45,Hshldprojections2014!$A$2:$AY$326,44,FALSE)-VLOOKUP($A45,Hshldprojections2014!$A$2:$AY$326,34,FALSE))/10,IF(IndividualLATest!$J$7=2016,(VLOOKUP($A45,Hshldprojections2016!$A$1:$AQ$322,34,FALSE)-VLOOKUP($A45,Hshldprojections2016!$A$1:$AQ$322,24,FALSE))/10,(VLOOKUP($A45,Hshldprojections2018!$A$1:$AQ$327,34,FALSE)-VLOOKUP($A45,Hshldprojections2018!$A$1:$AQ$327,24,FALSE))/10))</f>
        <v>388.4</v>
      </c>
      <c r="AF45" s="267">
        <f>IF(IndividualLATest!$J$7=2014,(VLOOKUP($A45,Hshldprojections2014!$A$2:$AY$326,45,FALSE)-VLOOKUP($A45,Hshldprojections2014!$A$2:$AY$326,35,FALSE))/10,IF(IndividualLATest!$J$7=2016,(VLOOKUP($A45,Hshldprojections2016!$A$1:$AQ$322,35,FALSE)-VLOOKUP($A45,Hshldprojections2016!$A$1:$AQ$322,25,FALSE))/10,(VLOOKUP($A45,Hshldprojections2018!$A$1:$AQ$327,35,FALSE)-VLOOKUP($A45,Hshldprojections2018!$A$1:$AQ$327,25,FALSE))/10))</f>
        <v>386.2</v>
      </c>
      <c r="AG45" s="267">
        <f>IF(IndividualLATest!$J$7=2014,(VLOOKUP($A45,Hshldprojections2014!$A$2:$AY$326,46,FALSE)-VLOOKUP($A45,Hshldprojections2014!$A$2:$AY$326,36,FALSE))/10,IF(IndividualLATest!$J$7=2016,(VLOOKUP($A45,Hshldprojections2016!$A$1:$AQ$322,36,FALSE)-VLOOKUP($A45,Hshldprojections2016!$A$1:$AQ$322,26,FALSE))/10,(VLOOKUP($A45,Hshldprojections2018!$A$1:$AQ$327,36,FALSE)-VLOOKUP($A45,Hshldprojections2018!$A$1:$AQ$327,26,FALSE))/10))</f>
        <v>384.6</v>
      </c>
      <c r="AH45" s="267">
        <f>IF(IndividualLATest!$J$7=2014,(VLOOKUP($A45,Hshldprojections2014!$A$2:$AY$326,47,FALSE)-VLOOKUP($A45,Hshldprojections2014!$A$2:$AY$326,37,FALSE))/10,IF(IndividualLATest!$J$7=2016,(VLOOKUP($A45,Hshldprojections2016!$A$1:$AQ$322,37,FALSE)-VLOOKUP($A45,Hshldprojections2016!$A$1:$AQ$322,27,FALSE))/10,(VLOOKUP($A45,Hshldprojections2018!$A$1:$AQ$327,37,FALSE)-VLOOKUP($A45,Hshldprojections2018!$A$1:$AQ$327,27,FALSE))/10))</f>
        <v>388.4</v>
      </c>
      <c r="AI45" s="268">
        <f>IF(ISNUMBER('Sensitivity Tests'!$C$30),'Sensitivity Tests'!$C$30,VLOOKUP($A45,AffordabilityRatio!$A$2:$I$321,5,FALSE))</f>
        <v>6.57</v>
      </c>
      <c r="AJ45" s="268">
        <f>IF(ISNUMBER('Sensitivity Tests'!$C$30),'Sensitivity Tests'!$C$30,VLOOKUP($A45,AffordabilityRatio!$A$2:$I$321,6,FALSE))</f>
        <v>6.22</v>
      </c>
      <c r="AK45" s="268">
        <f>IF(ISNUMBER('Sensitivity Tests'!$C$30),'Sensitivity Tests'!$C$30,VLOOKUP($A45,AffordabilityRatio!$A$2:$I$321,7,FALSE))</f>
        <v>6.83</v>
      </c>
      <c r="AL45" s="268">
        <f>IF(ISNUMBER('Sensitivity Tests'!$C$30),'Sensitivity Tests'!$C$30,IF((VLOOKUP($A45,AffordabilityRatio!$A$2:$I$321,8,FALSE))="",AK45,VLOOKUP($A45,AffordabilityRatio!$A$2:$I$321,8,FALSE)))</f>
        <v>6.76</v>
      </c>
      <c r="AM45" s="268">
        <f>IF(ISNUMBER('Sensitivity Tests'!$C$30),'Sensitivity Tests'!$C$30,IF((VLOOKUP($A45,AffordabilityRatio!$A$2:$I$321,9,FALSE))="",AL45,VLOOKUP($A45,AffordabilityRatio!$A$2:$I$321,9,FALSE)))</f>
        <v>7.5</v>
      </c>
      <c r="AN45" s="268">
        <f>IF(ISNUMBER('Sensitivity Tests'!$C$30),'Sensitivity Tests'!$C$30,IF((VLOOKUP($A45,AffordabilityRatio!$A$2:$I$321,9,FALSE))="",AM45,VLOOKUP($A45,AffordabilityRatio!$A$2:$I$321,9,FALSE)))</f>
        <v>7.5</v>
      </c>
      <c r="AO45" s="268">
        <f>IF(ISNUMBER('Sensitivity Tests'!$C$30),'Sensitivity Tests'!$C$30,IF((VLOOKUP($A45,AffordabilityRatio!$A$2:$I$321,9,FALSE))="",AN45,VLOOKUP($A45,AffordabilityRatio!$A$2:$I$321,9,FALSE)))</f>
        <v>7.5</v>
      </c>
      <c r="AP45" s="268">
        <f>IF(ISNUMBER('Sensitivity Tests'!$C$30),'Sensitivity Tests'!$C$30,IF((VLOOKUP($A45,AffordabilityRatio!$A$2:$I$321,9,FALSE))="",AO45,VLOOKUP($A45,AffordabilityRatio!$A$2:$I$321,9,FALSE)))</f>
        <v>7.5</v>
      </c>
      <c r="AQ45" s="267">
        <f t="shared" si="24"/>
        <v>610</v>
      </c>
      <c r="AR45" s="267">
        <f t="shared" si="24"/>
        <v>589</v>
      </c>
      <c r="AS45" s="267">
        <f t="shared" si="24"/>
        <v>601</v>
      </c>
      <c r="AT45" s="267">
        <f t="shared" si="24"/>
        <v>463</v>
      </c>
      <c r="AU45" s="267">
        <f t="shared" si="24"/>
        <v>473</v>
      </c>
      <c r="AV45" s="267">
        <f t="shared" si="24"/>
        <v>471</v>
      </c>
      <c r="AW45" s="267">
        <f t="shared" si="24"/>
        <v>469</v>
      </c>
      <c r="AX45" s="267">
        <f t="shared" si="24"/>
        <v>473</v>
      </c>
      <c r="AY45" s="267">
        <f t="shared" si="25"/>
        <v>610</v>
      </c>
      <c r="AZ45" s="267">
        <f t="shared" si="26"/>
        <v>589</v>
      </c>
      <c r="BA45" s="267">
        <f t="shared" si="27"/>
        <v>601</v>
      </c>
      <c r="BB45" s="267">
        <f t="shared" si="28"/>
        <v>463</v>
      </c>
      <c r="BC45" s="267">
        <f t="shared" si="29"/>
        <v>473</v>
      </c>
      <c r="BD45" s="267">
        <f t="shared" si="30"/>
        <v>471</v>
      </c>
      <c r="BE45" s="267">
        <f t="shared" si="31"/>
        <v>469</v>
      </c>
      <c r="BF45" s="267">
        <f t="shared" si="32"/>
        <v>473</v>
      </c>
      <c r="BG45" s="269">
        <f>AY45*VLOOKUP($B45,'Major Cities &amp; Towns'!$A$28:$B$345,2,FALSE)</f>
        <v>610</v>
      </c>
      <c r="BH45" s="269">
        <f>AZ45*VLOOKUP($B45,'Major Cities &amp; Towns'!$A$28:$B$345,2,FALSE)</f>
        <v>589</v>
      </c>
      <c r="BI45" s="269">
        <f>BA45*VLOOKUP($B45,'Major Cities &amp; Towns'!$A$28:$B$345,2,FALSE)</f>
        <v>601</v>
      </c>
      <c r="BJ45" s="269">
        <f>BB45*VLOOKUP($B45,'Major Cities &amp; Towns'!$A$28:$B$345,2,FALSE)</f>
        <v>463</v>
      </c>
      <c r="BK45" s="269">
        <f>BC45*VLOOKUP($B45,'Major Cities &amp; Towns'!$A$28:$B$345,2,FALSE)</f>
        <v>473</v>
      </c>
      <c r="BL45" s="269">
        <f>BD45*VLOOKUP($B45,'Major Cities &amp; Towns'!$A$28:$B$345,2,FALSE)</f>
        <v>471</v>
      </c>
      <c r="BM45" s="269">
        <f>BE45*VLOOKUP($B45,'Major Cities &amp; Towns'!$A$28:$B$345,2,FALSE)</f>
        <v>469</v>
      </c>
      <c r="BN45" s="269">
        <f>BF45*VLOOKUP($B45,'Major Cities &amp; Towns'!$A$28:$B$345,2,FALSE)</f>
        <v>473</v>
      </c>
      <c r="BO45" s="270">
        <f t="shared" si="33"/>
        <v>610</v>
      </c>
      <c r="BP45" s="270">
        <f t="shared" si="50"/>
        <v>589</v>
      </c>
      <c r="BQ45" s="270">
        <f t="shared" si="50"/>
        <v>601</v>
      </c>
      <c r="BR45" s="270">
        <f t="shared" si="50"/>
        <v>463</v>
      </c>
      <c r="BS45" s="270">
        <f t="shared" si="49"/>
        <v>473</v>
      </c>
      <c r="BT45" s="270">
        <f t="shared" si="49"/>
        <v>471</v>
      </c>
      <c r="BU45" s="270">
        <f t="shared" si="49"/>
        <v>469</v>
      </c>
      <c r="BV45" s="270">
        <f t="shared" si="49"/>
        <v>473</v>
      </c>
      <c r="BW45" s="39">
        <f>VLOOKUP($A45,NetAdditions!$A$2:$H$336,6,FALSE)</f>
        <v>390</v>
      </c>
      <c r="BX45" s="39">
        <f>VLOOKUP($A45,NetAdditions!$A$2:$H$336,7,FALSE)</f>
        <v>200</v>
      </c>
      <c r="BY45" s="39">
        <f>IF((VLOOKUP($C45,NetAdditions!$A$2:$H$336,8,FALSE))="",(AVERAGE(VLOOKUP($C45,NetAdditions!$A$2:$H$336,5,FALSE),VLOOKUP($C45,NetAdditions!$A$2:$H$336,6,FALSE),VLOOKUP($C45,NetAdditions!$A$2:$H$336,7,FALSE))),VLOOKUP($C45,NetAdditions!$A$2:$H$336,8,FALSE))</f>
        <v>214</v>
      </c>
      <c r="BZ45" s="39">
        <f t="shared" si="35"/>
        <v>268</v>
      </c>
      <c r="CA45" s="39">
        <f t="shared" si="35"/>
        <v>227.33333333333334</v>
      </c>
      <c r="CB45" s="39">
        <f t="shared" si="35"/>
        <v>236.44444444444446</v>
      </c>
      <c r="CC45" s="39">
        <f t="shared" si="35"/>
        <v>243.92592592592595</v>
      </c>
      <c r="CD45" s="39">
        <f t="shared" si="35"/>
        <v>235.90123456790127</v>
      </c>
      <c r="CE45" s="276">
        <f t="shared" si="5"/>
        <v>1800</v>
      </c>
      <c r="CF45" s="276">
        <f t="shared" si="6"/>
        <v>1653</v>
      </c>
      <c r="CG45" s="276">
        <f t="shared" si="7"/>
        <v>1537</v>
      </c>
      <c r="CH45" s="276">
        <f t="shared" si="8"/>
        <v>1407</v>
      </c>
      <c r="CI45" s="276">
        <f t="shared" si="9"/>
        <v>1413</v>
      </c>
      <c r="CJ45" s="276">
        <f t="shared" si="10"/>
        <v>1413</v>
      </c>
      <c r="CK45" s="276">
        <f t="shared" si="36"/>
        <v>1550</v>
      </c>
      <c r="CL45" s="276">
        <f t="shared" si="37"/>
        <v>1423.4166666666667</v>
      </c>
      <c r="CM45" s="276">
        <f t="shared" si="38"/>
        <v>1408.9166666666665</v>
      </c>
      <c r="CN45" s="276">
        <f t="shared" si="39"/>
        <v>1407</v>
      </c>
      <c r="CO45" s="276">
        <f t="shared" si="39"/>
        <v>1413</v>
      </c>
      <c r="CP45" s="276">
        <f t="shared" si="11"/>
        <v>1413</v>
      </c>
      <c r="CQ45" s="39">
        <f t="shared" si="12"/>
        <v>804</v>
      </c>
      <c r="CR45" s="39">
        <f t="shared" si="13"/>
        <v>682</v>
      </c>
      <c r="CS45" s="277">
        <f t="shared" si="14"/>
        <v>709.33333333333337</v>
      </c>
      <c r="CT45" s="39">
        <f t="shared" si="15"/>
        <v>731.77777777777783</v>
      </c>
      <c r="CU45" s="39">
        <f t="shared" si="16"/>
        <v>707.70370370370381</v>
      </c>
      <c r="CV45" s="39">
        <f t="shared" si="17"/>
        <v>716.27160493827171</v>
      </c>
      <c r="CW45" s="297">
        <f t="shared" si="18"/>
        <v>0.51870967741935481</v>
      </c>
      <c r="CX45" s="279" t="str">
        <f t="shared" si="40"/>
        <v>Buffer and Action Plan</v>
      </c>
      <c r="CY45" s="278">
        <f t="shared" si="19"/>
        <v>0.47912885662431942</v>
      </c>
      <c r="CZ45" s="279" t="str">
        <f t="shared" si="41"/>
        <v>Buffer and Action Plan</v>
      </c>
      <c r="DA45" s="278">
        <f t="shared" si="20"/>
        <v>0.50346010528183605</v>
      </c>
      <c r="DB45" s="292" t="str">
        <f t="shared" si="42"/>
        <v>Presumption</v>
      </c>
      <c r="DC45" s="299">
        <f t="shared" si="43"/>
        <v>0.52009792308299774</v>
      </c>
      <c r="DD45" s="293" t="str">
        <f t="shared" si="44"/>
        <v>Presumption</v>
      </c>
      <c r="DE45" s="299">
        <f t="shared" si="45"/>
        <v>0.50085187806348463</v>
      </c>
      <c r="DF45" s="293" t="str">
        <f t="shared" si="46"/>
        <v>Presumption</v>
      </c>
      <c r="DG45" s="299">
        <f t="shared" si="47"/>
        <v>0.50691550243331329</v>
      </c>
      <c r="DH45" s="293" t="str">
        <f t="shared" si="48"/>
        <v>Presumption</v>
      </c>
    </row>
    <row r="46" spans="1:112" ht="15" thickTop="1" thickBot="1">
      <c r="A46" s="38" t="s">
        <v>201</v>
      </c>
      <c r="B46" s="38" t="s">
        <v>202</v>
      </c>
      <c r="C46" s="38" t="s">
        <v>201</v>
      </c>
      <c r="D46" s="38" t="s">
        <v>136</v>
      </c>
      <c r="E46" s="38" t="str">
        <f>VLOOKUP(C46,PoliticalControl!A:K,11,FALSE)</f>
        <v>LAB</v>
      </c>
      <c r="F46" s="38" t="str">
        <f>VLOOKUP(C46,UrbanRuralClassification!A:N,13,FALSE)</f>
        <v>Urban with Major Conurbation</v>
      </c>
      <c r="G46" s="38" t="str">
        <f>VLOOKUP(C46,UrbanRuralClassification!A:N,14,FALSE)</f>
        <v>Predominantly Urban</v>
      </c>
      <c r="H46" s="258" t="str">
        <f>IF(ISBLANK((VLOOKUP($A46,'local-plan-data'!$C$1:$AD$566,27,FALSE)))=TRUE,"",VLOOKUP($A46,'local-plan-data'!$C$1:$AD$566,27,FALSE))</f>
        <v/>
      </c>
      <c r="I46" s="259">
        <f>VLOOKUP($A46,'local-plan-data'!$C$1:$AD$566,28,FALSE)</f>
        <v>840</v>
      </c>
      <c r="J46" s="260">
        <f t="shared" si="21"/>
        <v>840</v>
      </c>
      <c r="K46" s="259" t="str">
        <f t="shared" si="22"/>
        <v>-</v>
      </c>
      <c r="L46" s="259" t="str">
        <f t="shared" si="22"/>
        <v>-</v>
      </c>
      <c r="M46" s="259" t="str">
        <f t="shared" si="22"/>
        <v>-</v>
      </c>
      <c r="N46" s="259" t="str">
        <f t="shared" si="22"/>
        <v>-</v>
      </c>
      <c r="O46" s="259" t="str">
        <f t="shared" si="22"/>
        <v>-</v>
      </c>
      <c r="P46" s="259" t="str">
        <f t="shared" si="22"/>
        <v>-</v>
      </c>
      <c r="Q46" s="259" t="str">
        <f t="shared" si="22"/>
        <v>-</v>
      </c>
      <c r="R46" s="259" t="str">
        <f t="shared" si="22"/>
        <v>-</v>
      </c>
      <c r="S46" s="259" t="str">
        <f t="shared" si="23"/>
        <v>-</v>
      </c>
      <c r="T46" s="259" t="str">
        <f t="shared" si="23"/>
        <v>-</v>
      </c>
      <c r="U46" s="259" t="str">
        <f t="shared" si="23"/>
        <v>-</v>
      </c>
      <c r="V46" s="259" t="str">
        <f t="shared" si="23"/>
        <v>-</v>
      </c>
      <c r="W46" s="259" t="str">
        <f t="shared" si="23"/>
        <v>-</v>
      </c>
      <c r="X46" s="259" t="str">
        <f t="shared" si="23"/>
        <v>-</v>
      </c>
      <c r="Y46" s="259" t="str">
        <f t="shared" si="23"/>
        <v>-</v>
      </c>
      <c r="Z46" s="259" t="str">
        <f t="shared" si="23"/>
        <v>-</v>
      </c>
      <c r="AA46" s="267">
        <f>(VLOOKUP(A46,Hshldprojections2014!$A$2:$AW$319,40, FALSE)-VLOOKUP(A46,Hshldprojections2014!$A$2:$AW$319,30, FALSE))/10</f>
        <v>767.1</v>
      </c>
      <c r="AB46" s="267">
        <f>(VLOOKUP(A46,Hshldprojections2014!$A$2:$AW$319,41, FALSE)-VLOOKUP(A46,Hshldprojections2014!$A$2:$AW$319,31, FALSE))/10</f>
        <v>754.5</v>
      </c>
      <c r="AC46" s="267">
        <f>(VLOOKUP(A46,Hshldprojections2014!$A$2:$AW$319,42, FALSE)-VLOOKUP(A46,Hshldprojections2014!$A$2:$AW$319,32, FALSE))/10</f>
        <v>740.8</v>
      </c>
      <c r="AD46" s="267">
        <f>IF(IndividualLATest!$J$7=2014,(VLOOKUP($A46,Hshldprojections2014!$A$2:$AY$326,43,FALSE)-VLOOKUP($A46,Hshldprojections2014!$A$2:$AY$326,33,FALSE))/10,IF(IndividualLATest!$J$7=2016,(VLOOKUP($A46,Hshldprojections2016!$A$1:$AQ$322,33,FALSE)-VLOOKUP($A46,Hshldprojections2016!$A$1:$AQ$322,23,FALSE))/10,(VLOOKUP($A46,Hshldprojections2018!$A$1:$AQ$327,33,FALSE)-VLOOKUP($A46,Hshldprojections2018!$A$1:$AQ$327,23,FALSE))/10))</f>
        <v>408.2</v>
      </c>
      <c r="AE46" s="267">
        <f>IF(IndividualLATest!$J$7=2014,(VLOOKUP($A46,Hshldprojections2014!$A$2:$AY$326,44,FALSE)-VLOOKUP($A46,Hshldprojections2014!$A$2:$AY$326,34,FALSE))/10,IF(IndividualLATest!$J$7=2016,(VLOOKUP($A46,Hshldprojections2016!$A$1:$AQ$322,34,FALSE)-VLOOKUP($A46,Hshldprojections2016!$A$1:$AQ$322,24,FALSE))/10,(VLOOKUP($A46,Hshldprojections2018!$A$1:$AQ$327,34,FALSE)-VLOOKUP($A46,Hshldprojections2018!$A$1:$AQ$327,24,FALSE))/10))</f>
        <v>399.2</v>
      </c>
      <c r="AF46" s="267">
        <f>IF(IndividualLATest!$J$7=2014,(VLOOKUP($A46,Hshldprojections2014!$A$2:$AY$326,45,FALSE)-VLOOKUP($A46,Hshldprojections2014!$A$2:$AY$326,35,FALSE))/10,IF(IndividualLATest!$J$7=2016,(VLOOKUP($A46,Hshldprojections2016!$A$1:$AQ$322,35,FALSE)-VLOOKUP($A46,Hshldprojections2016!$A$1:$AQ$322,25,FALSE))/10,(VLOOKUP($A46,Hshldprojections2018!$A$1:$AQ$327,35,FALSE)-VLOOKUP($A46,Hshldprojections2018!$A$1:$AQ$327,25,FALSE))/10))</f>
        <v>392.2</v>
      </c>
      <c r="AG46" s="267">
        <f>IF(IndividualLATest!$J$7=2014,(VLOOKUP($A46,Hshldprojections2014!$A$2:$AY$326,46,FALSE)-VLOOKUP($A46,Hshldprojections2014!$A$2:$AY$326,36,FALSE))/10,IF(IndividualLATest!$J$7=2016,(VLOOKUP($A46,Hshldprojections2016!$A$1:$AQ$322,36,FALSE)-VLOOKUP($A46,Hshldprojections2016!$A$1:$AQ$322,26,FALSE))/10,(VLOOKUP($A46,Hshldprojections2018!$A$1:$AQ$327,36,FALSE)-VLOOKUP($A46,Hshldprojections2018!$A$1:$AQ$327,26,FALSE))/10))</f>
        <v>384.5</v>
      </c>
      <c r="AH46" s="267">
        <f>IF(IndividualLATest!$J$7=2014,(VLOOKUP($A46,Hshldprojections2014!$A$2:$AY$326,47,FALSE)-VLOOKUP($A46,Hshldprojections2014!$A$2:$AY$326,37,FALSE))/10,IF(IndividualLATest!$J$7=2016,(VLOOKUP($A46,Hshldprojections2016!$A$1:$AQ$322,37,FALSE)-VLOOKUP($A46,Hshldprojections2016!$A$1:$AQ$322,27,FALSE))/10,(VLOOKUP($A46,Hshldprojections2018!$A$1:$AQ$327,37,FALSE)-VLOOKUP($A46,Hshldprojections2018!$A$1:$AQ$327,27,FALSE))/10))</f>
        <v>379.6</v>
      </c>
      <c r="AI46" s="268">
        <f>IF(ISNUMBER('Sensitivity Tests'!$C$30),'Sensitivity Tests'!$C$30,VLOOKUP($A46,AffordabilityRatio!$A$2:$I$321,5,FALSE))</f>
        <v>5.0199999999999996</v>
      </c>
      <c r="AJ46" s="268">
        <f>IF(ISNUMBER('Sensitivity Tests'!$C$30),'Sensitivity Tests'!$C$30,VLOOKUP($A46,AffordabilityRatio!$A$2:$I$321,6,FALSE))</f>
        <v>5.07</v>
      </c>
      <c r="AK46" s="268">
        <f>IF(ISNUMBER('Sensitivity Tests'!$C$30),'Sensitivity Tests'!$C$30,VLOOKUP($A46,AffordabilityRatio!$A$2:$I$321,7,FALSE))</f>
        <v>5.33</v>
      </c>
      <c r="AL46" s="268">
        <f>IF(ISNUMBER('Sensitivity Tests'!$C$30),'Sensitivity Tests'!$C$30,IF((VLOOKUP($A46,AffordabilityRatio!$A$2:$I$321,8,FALSE))="",AK46,VLOOKUP($A46,AffordabilityRatio!$A$2:$I$321,8,FALSE)))</f>
        <v>5.41</v>
      </c>
      <c r="AM46" s="268">
        <f>IF(ISNUMBER('Sensitivity Tests'!$C$30),'Sensitivity Tests'!$C$30,IF((VLOOKUP($A46,AffordabilityRatio!$A$2:$I$321,9,FALSE))="",AL46,VLOOKUP($A46,AffordabilityRatio!$A$2:$I$321,9,FALSE)))</f>
        <v>5.88</v>
      </c>
      <c r="AN46" s="268">
        <f>IF(ISNUMBER('Sensitivity Tests'!$C$30),'Sensitivity Tests'!$C$30,IF((VLOOKUP($A46,AffordabilityRatio!$A$2:$I$321,9,FALSE))="",AM46,VLOOKUP($A46,AffordabilityRatio!$A$2:$I$321,9,FALSE)))</f>
        <v>5.88</v>
      </c>
      <c r="AO46" s="268">
        <f>IF(ISNUMBER('Sensitivity Tests'!$C$30),'Sensitivity Tests'!$C$30,IF((VLOOKUP($A46,AffordabilityRatio!$A$2:$I$321,9,FALSE))="",AN46,VLOOKUP($A46,AffordabilityRatio!$A$2:$I$321,9,FALSE)))</f>
        <v>5.88</v>
      </c>
      <c r="AP46" s="268">
        <f>IF(ISNUMBER('Sensitivity Tests'!$C$30),'Sensitivity Tests'!$C$30,IF((VLOOKUP($A46,AffordabilityRatio!$A$2:$I$321,9,FALSE))="",AO46,VLOOKUP($A46,AffordabilityRatio!$A$2:$I$321,9,FALSE)))</f>
        <v>5.88</v>
      </c>
      <c r="AQ46" s="267">
        <f t="shared" si="24"/>
        <v>816</v>
      </c>
      <c r="AR46" s="267">
        <f t="shared" si="24"/>
        <v>805</v>
      </c>
      <c r="AS46" s="267">
        <f t="shared" si="24"/>
        <v>802</v>
      </c>
      <c r="AT46" s="267">
        <f t="shared" si="24"/>
        <v>444</v>
      </c>
      <c r="AU46" s="267">
        <f t="shared" si="24"/>
        <v>446</v>
      </c>
      <c r="AV46" s="267">
        <f t="shared" si="24"/>
        <v>438</v>
      </c>
      <c r="AW46" s="267">
        <f t="shared" si="24"/>
        <v>430</v>
      </c>
      <c r="AX46" s="267">
        <f t="shared" si="24"/>
        <v>424</v>
      </c>
      <c r="AY46" s="267">
        <f t="shared" si="25"/>
        <v>816</v>
      </c>
      <c r="AZ46" s="267">
        <f t="shared" si="26"/>
        <v>805</v>
      </c>
      <c r="BA46" s="267">
        <f t="shared" si="27"/>
        <v>802</v>
      </c>
      <c r="BB46" s="267">
        <f t="shared" si="28"/>
        <v>444</v>
      </c>
      <c r="BC46" s="267">
        <f t="shared" si="29"/>
        <v>446</v>
      </c>
      <c r="BD46" s="267">
        <f t="shared" si="30"/>
        <v>438</v>
      </c>
      <c r="BE46" s="267">
        <f t="shared" si="31"/>
        <v>430</v>
      </c>
      <c r="BF46" s="267">
        <f t="shared" si="32"/>
        <v>424</v>
      </c>
      <c r="BG46" s="269">
        <f>AY46*VLOOKUP($B46,'Major Cities &amp; Towns'!$A$28:$B$345,2,FALSE)</f>
        <v>816</v>
      </c>
      <c r="BH46" s="269">
        <f>AZ46*VLOOKUP($B46,'Major Cities &amp; Towns'!$A$28:$B$345,2,FALSE)</f>
        <v>805</v>
      </c>
      <c r="BI46" s="269">
        <f>BA46*VLOOKUP($B46,'Major Cities &amp; Towns'!$A$28:$B$345,2,FALSE)</f>
        <v>802</v>
      </c>
      <c r="BJ46" s="269">
        <f>BB46*VLOOKUP($B46,'Major Cities &amp; Towns'!$A$28:$B$345,2,FALSE)</f>
        <v>444</v>
      </c>
      <c r="BK46" s="269">
        <f>BC46*VLOOKUP($B46,'Major Cities &amp; Towns'!$A$28:$B$345,2,FALSE)</f>
        <v>446</v>
      </c>
      <c r="BL46" s="269">
        <f>BD46*VLOOKUP($B46,'Major Cities &amp; Towns'!$A$28:$B$345,2,FALSE)</f>
        <v>438</v>
      </c>
      <c r="BM46" s="269">
        <f>BE46*VLOOKUP($B46,'Major Cities &amp; Towns'!$A$28:$B$345,2,FALSE)</f>
        <v>430</v>
      </c>
      <c r="BN46" s="269">
        <f>BF46*VLOOKUP($B46,'Major Cities &amp; Towns'!$A$28:$B$345,2,FALSE)</f>
        <v>424</v>
      </c>
      <c r="BO46" s="270">
        <f t="shared" si="33"/>
        <v>816</v>
      </c>
      <c r="BP46" s="270">
        <f t="shared" si="50"/>
        <v>805</v>
      </c>
      <c r="BQ46" s="270">
        <f t="shared" si="50"/>
        <v>802</v>
      </c>
      <c r="BR46" s="270">
        <f t="shared" si="50"/>
        <v>444</v>
      </c>
      <c r="BS46" s="270">
        <f t="shared" si="49"/>
        <v>446</v>
      </c>
      <c r="BT46" s="270">
        <f t="shared" si="49"/>
        <v>438</v>
      </c>
      <c r="BU46" s="270">
        <f t="shared" si="49"/>
        <v>430</v>
      </c>
      <c r="BV46" s="270">
        <f t="shared" si="49"/>
        <v>424</v>
      </c>
      <c r="BW46" s="39">
        <f>VLOOKUP($A46,NetAdditions!$A$2:$H$336,6,FALSE)</f>
        <v>556</v>
      </c>
      <c r="BX46" s="39">
        <f>VLOOKUP($A46,NetAdditions!$A$2:$H$336,7,FALSE)</f>
        <v>347</v>
      </c>
      <c r="BY46" s="39">
        <f>IF((VLOOKUP($C46,NetAdditions!$A$2:$H$336,8,FALSE))="",(AVERAGE(VLOOKUP($C46,NetAdditions!$A$2:$H$336,5,FALSE),VLOOKUP($C46,NetAdditions!$A$2:$H$336,6,FALSE),VLOOKUP($C46,NetAdditions!$A$2:$H$336,7,FALSE))),VLOOKUP($C46,NetAdditions!$A$2:$H$336,8,FALSE))</f>
        <v>263</v>
      </c>
      <c r="BZ46" s="39">
        <f t="shared" si="35"/>
        <v>388.66666666666669</v>
      </c>
      <c r="CA46" s="39">
        <f t="shared" si="35"/>
        <v>332.88888888888891</v>
      </c>
      <c r="CB46" s="39">
        <f t="shared" si="35"/>
        <v>328.18518518518522</v>
      </c>
      <c r="CC46" s="39">
        <f t="shared" si="35"/>
        <v>349.91358024691363</v>
      </c>
      <c r="CD46" s="39">
        <f t="shared" si="35"/>
        <v>336.99588477366257</v>
      </c>
      <c r="CE46" s="276">
        <f t="shared" si="5"/>
        <v>2423</v>
      </c>
      <c r="CF46" s="276">
        <f t="shared" si="6"/>
        <v>2051</v>
      </c>
      <c r="CG46" s="276">
        <f t="shared" si="7"/>
        <v>1692</v>
      </c>
      <c r="CH46" s="276">
        <f t="shared" si="8"/>
        <v>1328</v>
      </c>
      <c r="CI46" s="276">
        <f t="shared" si="9"/>
        <v>1314</v>
      </c>
      <c r="CJ46" s="276">
        <f t="shared" si="10"/>
        <v>1292</v>
      </c>
      <c r="CK46" s="276">
        <f t="shared" si="36"/>
        <v>2086.4722222222222</v>
      </c>
      <c r="CL46" s="276">
        <f t="shared" si="37"/>
        <v>1766.1388888888889</v>
      </c>
      <c r="CM46" s="276">
        <f t="shared" si="38"/>
        <v>1551</v>
      </c>
      <c r="CN46" s="276">
        <f t="shared" si="39"/>
        <v>1328</v>
      </c>
      <c r="CO46" s="276">
        <f t="shared" si="39"/>
        <v>1314</v>
      </c>
      <c r="CP46" s="276">
        <f t="shared" si="11"/>
        <v>1292</v>
      </c>
      <c r="CQ46" s="39">
        <f t="shared" si="12"/>
        <v>1166</v>
      </c>
      <c r="CR46" s="39">
        <f t="shared" si="13"/>
        <v>998.66666666666674</v>
      </c>
      <c r="CS46" s="277">
        <f t="shared" si="14"/>
        <v>984.55555555555566</v>
      </c>
      <c r="CT46" s="39">
        <f t="shared" si="15"/>
        <v>1049.7407407407409</v>
      </c>
      <c r="CU46" s="39">
        <f t="shared" si="16"/>
        <v>1010.9876543209878</v>
      </c>
      <c r="CV46" s="39">
        <f t="shared" si="17"/>
        <v>1015.0946502057614</v>
      </c>
      <c r="CW46" s="297">
        <f t="shared" si="18"/>
        <v>0.55883801738713668</v>
      </c>
      <c r="CX46" s="279" t="str">
        <f t="shared" si="40"/>
        <v>Buffer and Action Plan</v>
      </c>
      <c r="CY46" s="278">
        <f t="shared" si="19"/>
        <v>0.56545194319057579</v>
      </c>
      <c r="CZ46" s="279" t="str">
        <f t="shared" si="41"/>
        <v>Buffer and Action Plan</v>
      </c>
      <c r="DA46" s="278">
        <f t="shared" si="20"/>
        <v>0.63478759223440084</v>
      </c>
      <c r="DB46" s="292" t="str">
        <f t="shared" si="42"/>
        <v>Presumption</v>
      </c>
      <c r="DC46" s="299">
        <f t="shared" si="43"/>
        <v>0.79046742525658198</v>
      </c>
      <c r="DD46" s="293" t="str">
        <f t="shared" si="44"/>
        <v>Buffer and Action Plan</v>
      </c>
      <c r="DE46" s="299">
        <f t="shared" si="45"/>
        <v>0.76939699720014287</v>
      </c>
      <c r="DF46" s="293" t="str">
        <f t="shared" si="46"/>
        <v>Buffer and Action Plan</v>
      </c>
      <c r="DG46" s="299">
        <f t="shared" si="47"/>
        <v>0.78567697384346857</v>
      </c>
      <c r="DH46" s="293" t="str">
        <f t="shared" si="48"/>
        <v>Buffer and Action Plan</v>
      </c>
    </row>
    <row r="47" spans="1:112" ht="15" thickTop="1" thickBot="1">
      <c r="A47" s="38" t="s">
        <v>203</v>
      </c>
      <c r="B47" s="38" t="s">
        <v>204</v>
      </c>
      <c r="C47" s="38" t="s">
        <v>203</v>
      </c>
      <c r="D47" s="38" t="s">
        <v>128</v>
      </c>
      <c r="E47" s="38" t="str">
        <f>VLOOKUP(C47,PoliticalControl!A:K,11,FALSE)</f>
        <v>LAB</v>
      </c>
      <c r="F47" s="38" t="str">
        <f>VLOOKUP(C47,UrbanRuralClassification!A:N,13,FALSE)</f>
        <v>Urban with City and Town</v>
      </c>
      <c r="G47" s="38" t="str">
        <f>VLOOKUP(C47,UrbanRuralClassification!A:N,14,FALSE)</f>
        <v>Predominantly Urban</v>
      </c>
      <c r="H47" s="258">
        <f>IF(ISBLANK((VLOOKUP($A47,'local-plan-data'!$C$1:$AD$566,27,FALSE)))=TRUE,"",VLOOKUP($A47,'local-plan-data'!$C$1:$AD$566,27,FALSE))</f>
        <v>43391</v>
      </c>
      <c r="I47" s="259">
        <f>VLOOKUP($A47,'local-plan-data'!$C$1:$AD$566,28,FALSE)</f>
        <v>700</v>
      </c>
      <c r="J47" s="260">
        <f t="shared" si="21"/>
        <v>700</v>
      </c>
      <c r="K47" s="259">
        <f t="shared" si="22"/>
        <v>700</v>
      </c>
      <c r="L47" s="259">
        <f t="shared" si="22"/>
        <v>700</v>
      </c>
      <c r="M47" s="259">
        <f t="shared" si="22"/>
        <v>700</v>
      </c>
      <c r="N47" s="259">
        <f t="shared" si="22"/>
        <v>700</v>
      </c>
      <c r="O47" s="259">
        <f t="shared" si="22"/>
        <v>700</v>
      </c>
      <c r="P47" s="259">
        <f t="shared" si="22"/>
        <v>700</v>
      </c>
      <c r="Q47" s="259" t="str">
        <f t="shared" si="22"/>
        <v>-</v>
      </c>
      <c r="R47" s="259" t="str">
        <f t="shared" si="22"/>
        <v>-</v>
      </c>
      <c r="S47" s="259">
        <f t="shared" si="23"/>
        <v>2026</v>
      </c>
      <c r="T47" s="259">
        <f t="shared" si="23"/>
        <v>1661</v>
      </c>
      <c r="U47" s="259">
        <f t="shared" si="23"/>
        <v>1295</v>
      </c>
      <c r="V47" s="259">
        <f t="shared" si="23"/>
        <v>930</v>
      </c>
      <c r="W47" s="259">
        <f t="shared" si="23"/>
        <v>565</v>
      </c>
      <c r="X47" s="259">
        <f t="shared" si="23"/>
        <v>200</v>
      </c>
      <c r="Y47" s="259">
        <f t="shared" si="23"/>
        <v>-166</v>
      </c>
      <c r="Z47" s="259">
        <f t="shared" si="23"/>
        <v>-531</v>
      </c>
      <c r="AA47" s="267">
        <f>(VLOOKUP(A47,Hshldprojections2014!$A$2:$AW$319,40, FALSE)-VLOOKUP(A47,Hshldprojections2014!$A$2:$AW$319,30, FALSE))/10</f>
        <v>413</v>
      </c>
      <c r="AB47" s="267">
        <f>(VLOOKUP(A47,Hshldprojections2014!$A$2:$AW$319,41, FALSE)-VLOOKUP(A47,Hshldprojections2014!$A$2:$AW$319,31, FALSE))/10</f>
        <v>417.7</v>
      </c>
      <c r="AC47" s="267">
        <f>(VLOOKUP(A47,Hshldprojections2014!$A$2:$AW$319,42, FALSE)-VLOOKUP(A47,Hshldprojections2014!$A$2:$AW$319,32, FALSE))/10</f>
        <v>425.4</v>
      </c>
      <c r="AD47" s="267">
        <f>IF(IndividualLATest!$J$7=2014,(VLOOKUP($A47,Hshldprojections2014!$A$2:$AY$326,43,FALSE)-VLOOKUP($A47,Hshldprojections2014!$A$2:$AY$326,33,FALSE))/10,IF(IndividualLATest!$J$7=2016,(VLOOKUP($A47,Hshldprojections2016!$A$1:$AQ$322,33,FALSE)-VLOOKUP($A47,Hshldprojections2016!$A$1:$AQ$322,23,FALSE))/10,(VLOOKUP($A47,Hshldprojections2018!$A$1:$AQ$327,33,FALSE)-VLOOKUP($A47,Hshldprojections2018!$A$1:$AQ$327,23,FALSE))/10))</f>
        <v>76.900000000000006</v>
      </c>
      <c r="AE47" s="267">
        <f>IF(IndividualLATest!$J$7=2014,(VLOOKUP($A47,Hshldprojections2014!$A$2:$AY$326,44,FALSE)-VLOOKUP($A47,Hshldprojections2014!$A$2:$AY$326,34,FALSE))/10,IF(IndividualLATest!$J$7=2016,(VLOOKUP($A47,Hshldprojections2016!$A$1:$AQ$322,34,FALSE)-VLOOKUP($A47,Hshldprojections2016!$A$1:$AQ$322,24,FALSE))/10,(VLOOKUP($A47,Hshldprojections2018!$A$1:$AQ$327,34,FALSE)-VLOOKUP($A47,Hshldprojections2018!$A$1:$AQ$327,24,FALSE))/10))</f>
        <v>101.9</v>
      </c>
      <c r="AF47" s="267">
        <f>IF(IndividualLATest!$J$7=2014,(VLOOKUP($A47,Hshldprojections2014!$A$2:$AY$326,45,FALSE)-VLOOKUP($A47,Hshldprojections2014!$A$2:$AY$326,35,FALSE))/10,IF(IndividualLATest!$J$7=2016,(VLOOKUP($A47,Hshldprojections2016!$A$1:$AQ$322,35,FALSE)-VLOOKUP($A47,Hshldprojections2016!$A$1:$AQ$322,25,FALSE))/10,(VLOOKUP($A47,Hshldprojections2018!$A$1:$AQ$327,35,FALSE)-VLOOKUP($A47,Hshldprojections2018!$A$1:$AQ$327,25,FALSE))/10))</f>
        <v>120.3</v>
      </c>
      <c r="AG47" s="267">
        <f>IF(IndividualLATest!$J$7=2014,(VLOOKUP($A47,Hshldprojections2014!$A$2:$AY$326,46,FALSE)-VLOOKUP($A47,Hshldprojections2014!$A$2:$AY$326,36,FALSE))/10,IF(IndividualLATest!$J$7=2016,(VLOOKUP($A47,Hshldprojections2016!$A$1:$AQ$322,36,FALSE)-VLOOKUP($A47,Hshldprojections2016!$A$1:$AQ$322,26,FALSE))/10,(VLOOKUP($A47,Hshldprojections2018!$A$1:$AQ$327,36,FALSE)-VLOOKUP($A47,Hshldprojections2018!$A$1:$AQ$327,26,FALSE))/10))</f>
        <v>132.4</v>
      </c>
      <c r="AH47" s="267">
        <f>IF(IndividualLATest!$J$7=2014,(VLOOKUP($A47,Hshldprojections2014!$A$2:$AY$326,47,FALSE)-VLOOKUP($A47,Hshldprojections2014!$A$2:$AY$326,37,FALSE))/10,IF(IndividualLATest!$J$7=2016,(VLOOKUP($A47,Hshldprojections2016!$A$1:$AQ$322,37,FALSE)-VLOOKUP($A47,Hshldprojections2016!$A$1:$AQ$322,27,FALSE))/10,(VLOOKUP($A47,Hshldprojections2018!$A$1:$AQ$327,37,FALSE)-VLOOKUP($A47,Hshldprojections2018!$A$1:$AQ$327,27,FALSE))/10))</f>
        <v>141.1</v>
      </c>
      <c r="AI47" s="268">
        <f>IF(ISNUMBER('Sensitivity Tests'!$C$30),'Sensitivity Tests'!$C$30,VLOOKUP($A47,AffordabilityRatio!$A$2:$I$321,5,FALSE))</f>
        <v>13.53</v>
      </c>
      <c r="AJ47" s="268">
        <f>IF(ISNUMBER('Sensitivity Tests'!$C$30),'Sensitivity Tests'!$C$30,VLOOKUP($A47,AffordabilityRatio!$A$2:$I$321,6,FALSE))</f>
        <v>12.96</v>
      </c>
      <c r="AK47" s="268">
        <f>IF(ISNUMBER('Sensitivity Tests'!$C$30),'Sensitivity Tests'!$C$30,VLOOKUP($A47,AffordabilityRatio!$A$2:$I$321,7,FALSE))</f>
        <v>12.71</v>
      </c>
      <c r="AL47" s="268">
        <f>IF(ISNUMBER('Sensitivity Tests'!$C$30),'Sensitivity Tests'!$C$30,IF((VLOOKUP($A47,AffordabilityRatio!$A$2:$I$321,8,FALSE))="",AK47,VLOOKUP($A47,AffordabilityRatio!$A$2:$I$321,8,FALSE)))</f>
        <v>12.34</v>
      </c>
      <c r="AM47" s="268">
        <f>IF(ISNUMBER('Sensitivity Tests'!$C$30),'Sensitivity Tests'!$C$30,IF((VLOOKUP($A47,AffordabilityRatio!$A$2:$I$321,9,FALSE))="",AL47,VLOOKUP($A47,AffordabilityRatio!$A$2:$I$321,9,FALSE)))</f>
        <v>12.61</v>
      </c>
      <c r="AN47" s="268">
        <f>IF(ISNUMBER('Sensitivity Tests'!$C$30),'Sensitivity Tests'!$C$30,IF((VLOOKUP($A47,AffordabilityRatio!$A$2:$I$321,9,FALSE))="",AM47,VLOOKUP($A47,AffordabilityRatio!$A$2:$I$321,9,FALSE)))</f>
        <v>12.61</v>
      </c>
      <c r="AO47" s="268">
        <f>IF(ISNUMBER('Sensitivity Tests'!$C$30),'Sensitivity Tests'!$C$30,IF((VLOOKUP($A47,AffordabilityRatio!$A$2:$I$321,9,FALSE))="",AN47,VLOOKUP($A47,AffordabilityRatio!$A$2:$I$321,9,FALSE)))</f>
        <v>12.61</v>
      </c>
      <c r="AP47" s="268">
        <f>IF(ISNUMBER('Sensitivity Tests'!$C$30),'Sensitivity Tests'!$C$30,IF((VLOOKUP($A47,AffordabilityRatio!$A$2:$I$321,9,FALSE))="",AO47,VLOOKUP($A47,AffordabilityRatio!$A$2:$I$321,9,FALSE)))</f>
        <v>12.61</v>
      </c>
      <c r="AQ47" s="267">
        <f t="shared" si="24"/>
        <v>659</v>
      </c>
      <c r="AR47" s="267">
        <f t="shared" si="24"/>
        <v>652</v>
      </c>
      <c r="AS47" s="267">
        <f t="shared" si="24"/>
        <v>657</v>
      </c>
      <c r="AT47" s="267">
        <f t="shared" si="24"/>
        <v>117</v>
      </c>
      <c r="AU47" s="267">
        <f t="shared" si="24"/>
        <v>157</v>
      </c>
      <c r="AV47" s="267">
        <f t="shared" si="24"/>
        <v>185</v>
      </c>
      <c r="AW47" s="267">
        <f t="shared" si="24"/>
        <v>204</v>
      </c>
      <c r="AX47" s="267">
        <f t="shared" si="24"/>
        <v>217</v>
      </c>
      <c r="AY47" s="267">
        <f t="shared" si="25"/>
        <v>659</v>
      </c>
      <c r="AZ47" s="267">
        <f t="shared" si="26"/>
        <v>652</v>
      </c>
      <c r="BA47" s="267">
        <f t="shared" si="27"/>
        <v>657</v>
      </c>
      <c r="BB47" s="267">
        <f t="shared" si="28"/>
        <v>117</v>
      </c>
      <c r="BC47" s="267">
        <f t="shared" si="29"/>
        <v>157</v>
      </c>
      <c r="BD47" s="267">
        <f t="shared" si="30"/>
        <v>185</v>
      </c>
      <c r="BE47" s="267">
        <f t="shared" si="31"/>
        <v>204</v>
      </c>
      <c r="BF47" s="267">
        <f t="shared" si="32"/>
        <v>217</v>
      </c>
      <c r="BG47" s="269">
        <f>AY47*VLOOKUP($B47,'Major Cities &amp; Towns'!$A$28:$B$345,2,FALSE)</f>
        <v>659</v>
      </c>
      <c r="BH47" s="269">
        <f>AZ47*VLOOKUP($B47,'Major Cities &amp; Towns'!$A$28:$B$345,2,FALSE)</f>
        <v>652</v>
      </c>
      <c r="BI47" s="269">
        <f>BA47*VLOOKUP($B47,'Major Cities &amp; Towns'!$A$28:$B$345,2,FALSE)</f>
        <v>657</v>
      </c>
      <c r="BJ47" s="269">
        <f>BB47*VLOOKUP($B47,'Major Cities &amp; Towns'!$A$28:$B$345,2,FALSE)</f>
        <v>117</v>
      </c>
      <c r="BK47" s="269">
        <f>BC47*VLOOKUP($B47,'Major Cities &amp; Towns'!$A$28:$B$345,2,FALSE)</f>
        <v>157</v>
      </c>
      <c r="BL47" s="269">
        <f>BD47*VLOOKUP($B47,'Major Cities &amp; Towns'!$A$28:$B$345,2,FALSE)</f>
        <v>185</v>
      </c>
      <c r="BM47" s="269">
        <f>BE47*VLOOKUP($B47,'Major Cities &amp; Towns'!$A$28:$B$345,2,FALSE)</f>
        <v>204</v>
      </c>
      <c r="BN47" s="269">
        <f>BF47*VLOOKUP($B47,'Major Cities &amp; Towns'!$A$28:$B$345,2,FALSE)</f>
        <v>217</v>
      </c>
      <c r="BO47" s="270">
        <f t="shared" si="33"/>
        <v>659</v>
      </c>
      <c r="BP47" s="270">
        <f t="shared" si="50"/>
        <v>652</v>
      </c>
      <c r="BQ47" s="270">
        <f t="shared" si="50"/>
        <v>657</v>
      </c>
      <c r="BR47" s="270">
        <f t="shared" si="50"/>
        <v>117</v>
      </c>
      <c r="BS47" s="270">
        <f t="shared" si="49"/>
        <v>157</v>
      </c>
      <c r="BT47" s="270">
        <f t="shared" si="49"/>
        <v>185</v>
      </c>
      <c r="BU47" s="270">
        <f t="shared" si="49"/>
        <v>204</v>
      </c>
      <c r="BV47" s="270">
        <f t="shared" si="49"/>
        <v>217</v>
      </c>
      <c r="BW47" s="39">
        <f>VLOOKUP($A47,NetAdditions!$A$2:$H$336,6,FALSE)</f>
        <v>877</v>
      </c>
      <c r="BX47" s="39">
        <f>VLOOKUP($A47,NetAdditions!$A$2:$H$336,7,FALSE)</f>
        <v>464</v>
      </c>
      <c r="BY47" s="39">
        <f>IF((VLOOKUP($C47,NetAdditions!$A$2:$H$336,8,FALSE))="",(AVERAGE(VLOOKUP($C47,NetAdditions!$A$2:$H$336,5,FALSE),VLOOKUP($C47,NetAdditions!$A$2:$H$336,6,FALSE),VLOOKUP($C47,NetAdditions!$A$2:$H$336,7,FALSE))),VLOOKUP($C47,NetAdditions!$A$2:$H$336,8,FALSE))</f>
        <v>420</v>
      </c>
      <c r="BZ47" s="39">
        <f t="shared" si="35"/>
        <v>587</v>
      </c>
      <c r="CA47" s="39">
        <f t="shared" si="35"/>
        <v>490.33333333333331</v>
      </c>
      <c r="CB47" s="39">
        <f t="shared" si="35"/>
        <v>499.11111111111109</v>
      </c>
      <c r="CC47" s="39">
        <f t="shared" si="35"/>
        <v>525.48148148148141</v>
      </c>
      <c r="CD47" s="39">
        <f t="shared" si="35"/>
        <v>504.97530864197523</v>
      </c>
      <c r="CE47" s="276">
        <f t="shared" si="5"/>
        <v>1968</v>
      </c>
      <c r="CF47" s="276">
        <f t="shared" si="6"/>
        <v>1426</v>
      </c>
      <c r="CG47" s="276">
        <f t="shared" si="7"/>
        <v>931</v>
      </c>
      <c r="CH47" s="276">
        <f t="shared" si="8"/>
        <v>459</v>
      </c>
      <c r="CI47" s="276">
        <f t="shared" si="9"/>
        <v>546</v>
      </c>
      <c r="CJ47" s="276">
        <f t="shared" si="10"/>
        <v>606</v>
      </c>
      <c r="CK47" s="276">
        <f t="shared" si="36"/>
        <v>1694.6666666666667</v>
      </c>
      <c r="CL47" s="276">
        <f t="shared" si="37"/>
        <v>1227.9444444444446</v>
      </c>
      <c r="CM47" s="276">
        <f t="shared" si="38"/>
        <v>853.41666666666663</v>
      </c>
      <c r="CN47" s="276">
        <f t="shared" si="39"/>
        <v>459</v>
      </c>
      <c r="CO47" s="276">
        <f t="shared" si="39"/>
        <v>546</v>
      </c>
      <c r="CP47" s="276">
        <f t="shared" si="11"/>
        <v>606</v>
      </c>
      <c r="CQ47" s="39">
        <f t="shared" si="12"/>
        <v>1761</v>
      </c>
      <c r="CR47" s="39">
        <f t="shared" si="13"/>
        <v>1471</v>
      </c>
      <c r="CS47" s="277">
        <f t="shared" si="14"/>
        <v>1497.3333333333333</v>
      </c>
      <c r="CT47" s="39">
        <f t="shared" si="15"/>
        <v>1576.4444444444443</v>
      </c>
      <c r="CU47" s="39">
        <f t="shared" si="16"/>
        <v>1514.9259259259256</v>
      </c>
      <c r="CV47" s="39">
        <f t="shared" si="17"/>
        <v>1529.5679012345679</v>
      </c>
      <c r="CW47" s="297">
        <f t="shared" si="18"/>
        <v>1.0391424075531077</v>
      </c>
      <c r="CX47" s="279" t="str">
        <f t="shared" si="40"/>
        <v>Pass</v>
      </c>
      <c r="CY47" s="278">
        <f t="shared" si="19"/>
        <v>1.1979369316382391</v>
      </c>
      <c r="CZ47" s="279" t="str">
        <f t="shared" si="41"/>
        <v>Pass</v>
      </c>
      <c r="DA47" s="278">
        <f t="shared" si="20"/>
        <v>1.7545161605311981</v>
      </c>
      <c r="DB47" s="292" t="str">
        <f t="shared" si="42"/>
        <v>Pass</v>
      </c>
      <c r="DC47" s="299">
        <f t="shared" si="43"/>
        <v>3.4345194868070683</v>
      </c>
      <c r="DD47" s="293" t="str">
        <f t="shared" si="44"/>
        <v>Pass</v>
      </c>
      <c r="DE47" s="299">
        <f t="shared" si="45"/>
        <v>2.7745896079229406</v>
      </c>
      <c r="DF47" s="293" t="str">
        <f t="shared" si="46"/>
        <v>Pass</v>
      </c>
      <c r="DG47" s="299">
        <f t="shared" si="47"/>
        <v>2.5240394409811353</v>
      </c>
      <c r="DH47" s="293" t="str">
        <f t="shared" si="48"/>
        <v>Pass</v>
      </c>
    </row>
    <row r="48" spans="1:112" customFormat="1" ht="15.5" thickTop="1" thickBot="1">
      <c r="A48" s="3" t="s">
        <v>205</v>
      </c>
      <c r="B48" s="3" t="s">
        <v>206</v>
      </c>
      <c r="C48" s="3" t="s">
        <v>205</v>
      </c>
      <c r="D48" s="3" t="s">
        <v>131</v>
      </c>
      <c r="E48" s="3" t="str">
        <f>VLOOKUP(C48,PoliticalControl!A:K,11,FALSE)</f>
        <v>LAB</v>
      </c>
      <c r="F48" s="3" t="str">
        <f>VLOOKUP(C48,UrbanRuralClassification!A:N,13,FALSE)</f>
        <v>Urban with Major Conurbation</v>
      </c>
      <c r="G48" s="3" t="str">
        <f>VLOOKUP(C48,UrbanRuralClassification!A:N,14,FALSE)</f>
        <v>Predominantly Urban</v>
      </c>
      <c r="H48" s="262">
        <f>IF(ISBLANK((VLOOKUP($A48,'local-plan-data'!$C$1:$AD$566,27,FALSE)))=TRUE,"",VLOOKUP($A48,'local-plan-data'!$C$1:$AD$566,27,FALSE))</f>
        <v>42919</v>
      </c>
      <c r="I48" s="263">
        <f>VLOOKUP($A48,'local-plan-data'!$C$1:$AD$566,28,FALSE)</f>
        <v>1120</v>
      </c>
      <c r="J48" s="264">
        <f t="shared" si="21"/>
        <v>1120</v>
      </c>
      <c r="K48" s="259">
        <f t="shared" si="22"/>
        <v>1120</v>
      </c>
      <c r="L48" s="259">
        <f t="shared" si="22"/>
        <v>1120</v>
      </c>
      <c r="M48" s="259">
        <f t="shared" si="22"/>
        <v>1120</v>
      </c>
      <c r="N48" s="259">
        <f t="shared" si="22"/>
        <v>1120</v>
      </c>
      <c r="O48" s="259">
        <f t="shared" si="22"/>
        <v>1120</v>
      </c>
      <c r="P48" s="259" t="str">
        <f t="shared" si="22"/>
        <v>-</v>
      </c>
      <c r="Q48" s="259" t="str">
        <f t="shared" si="22"/>
        <v>-</v>
      </c>
      <c r="R48" s="259" t="str">
        <f t="shared" si="22"/>
        <v>-</v>
      </c>
      <c r="S48" s="259">
        <f t="shared" si="23"/>
        <v>1554</v>
      </c>
      <c r="T48" s="259">
        <f t="shared" si="23"/>
        <v>1189</v>
      </c>
      <c r="U48" s="259">
        <f t="shared" si="23"/>
        <v>823</v>
      </c>
      <c r="V48" s="259">
        <f t="shared" si="23"/>
        <v>458</v>
      </c>
      <c r="W48" s="259">
        <f t="shared" si="23"/>
        <v>93</v>
      </c>
      <c r="X48" s="259">
        <f t="shared" si="23"/>
        <v>-272</v>
      </c>
      <c r="Y48" s="259">
        <f t="shared" si="23"/>
        <v>-638</v>
      </c>
      <c r="Z48" s="259">
        <f t="shared" si="23"/>
        <v>-1003</v>
      </c>
      <c r="AA48" s="267">
        <f>(VLOOKUP(A48,Hshldprojections2014!$A$2:$AW$319,40, FALSE)-VLOOKUP(A48,Hshldprojections2014!$A$2:$AW$319,30, FALSE))/10</f>
        <v>1674</v>
      </c>
      <c r="AB48" s="267">
        <f>(VLOOKUP(A48,Hshldprojections2014!$A$2:$AW$319,41, FALSE)-VLOOKUP(A48,Hshldprojections2014!$A$2:$AW$319,31, FALSE))/10</f>
        <v>1637.8</v>
      </c>
      <c r="AC48" s="267">
        <f>(VLOOKUP(A48,Hshldprojections2014!$A$2:$AW$319,42, FALSE)-VLOOKUP(A48,Hshldprojections2014!$A$2:$AW$319,32, FALSE))/10</f>
        <v>1609.6</v>
      </c>
      <c r="AD48" s="267">
        <f>IF(IndividualLATest!$J$7=2014,(VLOOKUP($A48,Hshldprojections2014!$A$2:$AY$326,43,FALSE)-VLOOKUP($A48,Hshldprojections2014!$A$2:$AY$326,33,FALSE))/10,IF(IndividualLATest!$J$7=2016,(VLOOKUP($A48,Hshldprojections2016!$A$1:$AQ$322,33,FALSE)-VLOOKUP($A48,Hshldprojections2016!$A$1:$AQ$322,23,FALSE))/10,(VLOOKUP($A48,Hshldprojections2018!$A$1:$AQ$327,33,FALSE)-VLOOKUP($A48,Hshldprojections2018!$A$1:$AQ$327,23,FALSE))/10))</f>
        <v>1439.1</v>
      </c>
      <c r="AE48" s="267">
        <f>IF(IndividualLATest!$J$7=2014,(VLOOKUP($A48,Hshldprojections2014!$A$2:$AY$326,44,FALSE)-VLOOKUP($A48,Hshldprojections2014!$A$2:$AY$326,34,FALSE))/10,IF(IndividualLATest!$J$7=2016,(VLOOKUP($A48,Hshldprojections2016!$A$1:$AQ$322,34,FALSE)-VLOOKUP($A48,Hshldprojections2016!$A$1:$AQ$322,24,FALSE))/10,(VLOOKUP($A48,Hshldprojections2018!$A$1:$AQ$327,34,FALSE)-VLOOKUP($A48,Hshldprojections2018!$A$1:$AQ$327,24,FALSE))/10))</f>
        <v>1387.3</v>
      </c>
      <c r="AF48" s="267">
        <f>IF(IndividualLATest!$J$7=2014,(VLOOKUP($A48,Hshldprojections2014!$A$2:$AY$326,45,FALSE)-VLOOKUP($A48,Hshldprojections2014!$A$2:$AY$326,35,FALSE))/10,IF(IndividualLATest!$J$7=2016,(VLOOKUP($A48,Hshldprojections2016!$A$1:$AQ$322,35,FALSE)-VLOOKUP($A48,Hshldprojections2016!$A$1:$AQ$322,25,FALSE))/10,(VLOOKUP($A48,Hshldprojections2018!$A$1:$AQ$327,35,FALSE)-VLOOKUP($A48,Hshldprojections2018!$A$1:$AQ$327,25,FALSE))/10))</f>
        <v>1344.5</v>
      </c>
      <c r="AG48" s="267">
        <f>IF(IndividualLATest!$J$7=2014,(VLOOKUP($A48,Hshldprojections2014!$A$2:$AY$326,46,FALSE)-VLOOKUP($A48,Hshldprojections2014!$A$2:$AY$326,36,FALSE))/10,IF(IndividualLATest!$J$7=2016,(VLOOKUP($A48,Hshldprojections2016!$A$1:$AQ$322,36,FALSE)-VLOOKUP($A48,Hshldprojections2016!$A$1:$AQ$322,26,FALSE))/10,(VLOOKUP($A48,Hshldprojections2018!$A$1:$AQ$327,36,FALSE)-VLOOKUP($A48,Hshldprojections2018!$A$1:$AQ$327,26,FALSE))/10))</f>
        <v>1308.3</v>
      </c>
      <c r="AH48" s="267">
        <f>IF(IndividualLATest!$J$7=2014,(VLOOKUP($A48,Hshldprojections2014!$A$2:$AY$326,47,FALSE)-VLOOKUP($A48,Hshldprojections2014!$A$2:$AY$326,37,FALSE))/10,IF(IndividualLATest!$J$7=2016,(VLOOKUP($A48,Hshldprojections2016!$A$1:$AQ$322,37,FALSE)-VLOOKUP($A48,Hshldprojections2016!$A$1:$AQ$322,27,FALSE))/10,(VLOOKUP($A48,Hshldprojections2018!$A$1:$AQ$327,37,FALSE)-VLOOKUP($A48,Hshldprojections2018!$A$1:$AQ$327,27,FALSE))/10))</f>
        <v>1283</v>
      </c>
      <c r="AI48" s="268">
        <f>IF(ISNUMBER('Sensitivity Tests'!$C$30),'Sensitivity Tests'!$C$30,VLOOKUP($A48,AffordabilityRatio!$A$2:$I$321,5,FALSE))</f>
        <v>20.100000000000001</v>
      </c>
      <c r="AJ48" s="268">
        <f>IF(ISNUMBER('Sensitivity Tests'!$C$30),'Sensitivity Tests'!$C$30,VLOOKUP($A48,AffordabilityRatio!$A$2:$I$321,6,FALSE))</f>
        <v>19.39</v>
      </c>
      <c r="AK48" s="268">
        <f>IF(ISNUMBER('Sensitivity Tests'!$C$30),'Sensitivity Tests'!$C$30,VLOOKUP($A48,AffordabilityRatio!$A$2:$I$321,7,FALSE))</f>
        <v>19.260000000000002</v>
      </c>
      <c r="AL48" s="268">
        <f>IF(ISNUMBER('Sensitivity Tests'!$C$30),'Sensitivity Tests'!$C$30,IF((VLOOKUP($A48,AffordabilityRatio!$A$2:$I$321,8,FALSE))="",AK48,VLOOKUP($A48,AffordabilityRatio!$A$2:$I$321,8,FALSE)))</f>
        <v>19.79</v>
      </c>
      <c r="AM48" s="268">
        <f>IF(ISNUMBER('Sensitivity Tests'!$C$30),'Sensitivity Tests'!$C$30,IF((VLOOKUP($A48,AffordabilityRatio!$A$2:$I$321,9,FALSE))="",AL48,VLOOKUP($A48,AffordabilityRatio!$A$2:$I$321,9,FALSE)))</f>
        <v>18.61</v>
      </c>
      <c r="AN48" s="268">
        <f>IF(ISNUMBER('Sensitivity Tests'!$C$30),'Sensitivity Tests'!$C$30,IF((VLOOKUP($A48,AffordabilityRatio!$A$2:$I$321,9,FALSE))="",AM48,VLOOKUP($A48,AffordabilityRatio!$A$2:$I$321,9,FALSE)))</f>
        <v>18.61</v>
      </c>
      <c r="AO48" s="268">
        <f>IF(ISNUMBER('Sensitivity Tests'!$C$30),'Sensitivity Tests'!$C$30,IF((VLOOKUP($A48,AffordabilityRatio!$A$2:$I$321,9,FALSE))="",AN48,VLOOKUP($A48,AffordabilityRatio!$A$2:$I$321,9,FALSE)))</f>
        <v>18.61</v>
      </c>
      <c r="AP48" s="268">
        <f>IF(ISNUMBER('Sensitivity Tests'!$C$30),'Sensitivity Tests'!$C$30,IF((VLOOKUP($A48,AffordabilityRatio!$A$2:$I$321,9,FALSE))="",AO48,VLOOKUP($A48,AffordabilityRatio!$A$2:$I$321,9,FALSE)))</f>
        <v>18.61</v>
      </c>
      <c r="AQ48" s="267">
        <f t="shared" si="24"/>
        <v>3358</v>
      </c>
      <c r="AR48" s="267">
        <f t="shared" si="24"/>
        <v>3213</v>
      </c>
      <c r="AS48" s="267">
        <f t="shared" si="24"/>
        <v>3145</v>
      </c>
      <c r="AT48" s="267">
        <f t="shared" si="24"/>
        <v>2859</v>
      </c>
      <c r="AU48" s="267">
        <f t="shared" si="24"/>
        <v>2654</v>
      </c>
      <c r="AV48" s="267">
        <f t="shared" si="24"/>
        <v>2572</v>
      </c>
      <c r="AW48" s="267">
        <f t="shared" si="24"/>
        <v>2503</v>
      </c>
      <c r="AX48" s="267">
        <f t="shared" si="24"/>
        <v>2455</v>
      </c>
      <c r="AY48" s="267">
        <f t="shared" si="25"/>
        <v>1568</v>
      </c>
      <c r="AZ48" s="267">
        <f t="shared" si="26"/>
        <v>1568</v>
      </c>
      <c r="BA48" s="267">
        <f t="shared" si="27"/>
        <v>1568</v>
      </c>
      <c r="BB48" s="267">
        <f t="shared" si="28"/>
        <v>1568</v>
      </c>
      <c r="BC48" s="267">
        <f t="shared" si="29"/>
        <v>1568</v>
      </c>
      <c r="BD48" s="267">
        <f t="shared" si="30"/>
        <v>1882.3000000000002</v>
      </c>
      <c r="BE48" s="267">
        <f t="shared" si="31"/>
        <v>1831.62</v>
      </c>
      <c r="BF48" s="267">
        <f t="shared" si="32"/>
        <v>1796.2</v>
      </c>
      <c r="BG48" s="269">
        <f>AY48*VLOOKUP($B48,'Major Cities &amp; Towns'!$A$28:$B$345,2,FALSE)</f>
        <v>2116.8000000000002</v>
      </c>
      <c r="BH48" s="269">
        <f>AZ48*VLOOKUP($B48,'Major Cities &amp; Towns'!$A$28:$B$345,2,FALSE)</f>
        <v>2116.8000000000002</v>
      </c>
      <c r="BI48" s="269">
        <f>BA48*VLOOKUP($B48,'Major Cities &amp; Towns'!$A$28:$B$345,2,FALSE)</f>
        <v>2116.8000000000002</v>
      </c>
      <c r="BJ48" s="269">
        <f>BB48*VLOOKUP($B48,'Major Cities &amp; Towns'!$A$28:$B$345,2,FALSE)</f>
        <v>2116.8000000000002</v>
      </c>
      <c r="BK48" s="269">
        <f>BC48*VLOOKUP($B48,'Major Cities &amp; Towns'!$A$28:$B$345,2,FALSE)</f>
        <v>2116.8000000000002</v>
      </c>
      <c r="BL48" s="269">
        <f>BD48*VLOOKUP($B48,'Major Cities &amp; Towns'!$A$28:$B$345,2,FALSE)</f>
        <v>2541.1050000000005</v>
      </c>
      <c r="BM48" s="269">
        <f>BE48*VLOOKUP($B48,'Major Cities &amp; Towns'!$A$28:$B$345,2,FALSE)</f>
        <v>2472.6869999999999</v>
      </c>
      <c r="BN48" s="269">
        <f>BF48*VLOOKUP($B48,'Major Cities &amp; Towns'!$A$28:$B$345,2,FALSE)</f>
        <v>2424.8700000000003</v>
      </c>
      <c r="BO48" s="270">
        <f t="shared" si="33"/>
        <v>1120</v>
      </c>
      <c r="BP48" s="270">
        <f t="shared" si="50"/>
        <v>1120</v>
      </c>
      <c r="BQ48" s="270">
        <f t="shared" si="50"/>
        <v>1120</v>
      </c>
      <c r="BR48" s="270">
        <f t="shared" si="50"/>
        <v>1120</v>
      </c>
      <c r="BS48" s="270">
        <f t="shared" si="49"/>
        <v>2263.1452054794522</v>
      </c>
      <c r="BT48" s="270">
        <f t="shared" si="49"/>
        <v>2572</v>
      </c>
      <c r="BU48" s="270">
        <f t="shared" si="49"/>
        <v>2503</v>
      </c>
      <c r="BV48" s="270">
        <f t="shared" si="49"/>
        <v>2455</v>
      </c>
      <c r="BW48" s="39">
        <f>VLOOKUP($A48,NetAdditions!$A$2:$H$336,6,FALSE)</f>
        <v>827</v>
      </c>
      <c r="BX48" s="39">
        <f>VLOOKUP($A48,NetAdditions!$A$2:$H$336,7,FALSE)</f>
        <v>985</v>
      </c>
      <c r="BY48" s="39">
        <f>IF((VLOOKUP($C48,NetAdditions!$A$2:$H$336,8,FALSE))="",(AVERAGE(VLOOKUP($C48,NetAdditions!$A$2:$H$336,5,FALSE),VLOOKUP($C48,NetAdditions!$A$2:$H$336,6,FALSE),VLOOKUP($C48,NetAdditions!$A$2:$H$336,7,FALSE))),VLOOKUP($C48,NetAdditions!$A$2:$H$336,8,FALSE))</f>
        <v>509</v>
      </c>
      <c r="BZ48" s="39">
        <f t="shared" si="35"/>
        <v>773.66666666666663</v>
      </c>
      <c r="CA48" s="39">
        <f t="shared" si="35"/>
        <v>755.8888888888888</v>
      </c>
      <c r="CB48" s="39">
        <f t="shared" si="35"/>
        <v>679.51851851851836</v>
      </c>
      <c r="CC48" s="39">
        <f t="shared" si="35"/>
        <v>736.35802469135797</v>
      </c>
      <c r="CD48" s="39">
        <f t="shared" si="35"/>
        <v>723.92181069958826</v>
      </c>
      <c r="CE48" s="276">
        <f t="shared" si="5"/>
        <v>3360</v>
      </c>
      <c r="CF48" s="276">
        <f t="shared" si="6"/>
        <v>3360</v>
      </c>
      <c r="CG48" s="276">
        <f t="shared" si="7"/>
        <v>4503.1452054794518</v>
      </c>
      <c r="CH48" s="276">
        <f t="shared" si="8"/>
        <v>5955.1452054794518</v>
      </c>
      <c r="CI48" s="276">
        <f t="shared" si="9"/>
        <v>7338.1452054794518</v>
      </c>
      <c r="CJ48" s="276">
        <f t="shared" si="10"/>
        <v>7530</v>
      </c>
      <c r="CK48" s="276">
        <f t="shared" si="36"/>
        <v>2893.3333333333335</v>
      </c>
      <c r="CL48" s="276">
        <f t="shared" si="37"/>
        <v>2893.3333333333335</v>
      </c>
      <c r="CM48" s="276">
        <f t="shared" si="38"/>
        <v>4127.8831050228309</v>
      </c>
      <c r="CN48" s="276">
        <f t="shared" si="39"/>
        <v>5955.1452054794518</v>
      </c>
      <c r="CO48" s="276">
        <f t="shared" si="39"/>
        <v>7338.1452054794518</v>
      </c>
      <c r="CP48" s="276">
        <f t="shared" si="11"/>
        <v>7530</v>
      </c>
      <c r="CQ48" s="39">
        <f t="shared" si="12"/>
        <v>2321</v>
      </c>
      <c r="CR48" s="39">
        <f t="shared" si="13"/>
        <v>2267.6666666666665</v>
      </c>
      <c r="CS48" s="277">
        <f t="shared" si="14"/>
        <v>2038.5555555555552</v>
      </c>
      <c r="CT48" s="39">
        <f t="shared" si="15"/>
        <v>2209.0740740740739</v>
      </c>
      <c r="CU48" s="39">
        <f t="shared" si="16"/>
        <v>2171.7654320987649</v>
      </c>
      <c r="CV48" s="39">
        <f t="shared" si="17"/>
        <v>2139.7983539094644</v>
      </c>
      <c r="CW48" s="297">
        <f t="shared" si="18"/>
        <v>0.8021889400921659</v>
      </c>
      <c r="CX48" s="279" t="str">
        <f t="shared" si="40"/>
        <v>Buffer and Action Plan</v>
      </c>
      <c r="CY48" s="278">
        <f t="shared" si="19"/>
        <v>0.78375576036866346</v>
      </c>
      <c r="CZ48" s="279" t="str">
        <f t="shared" si="41"/>
        <v>Buffer and Action Plan</v>
      </c>
      <c r="DA48" s="278">
        <f t="shared" si="20"/>
        <v>0.49385011728530526</v>
      </c>
      <c r="DB48" s="292" t="str">
        <f t="shared" si="42"/>
        <v>Presumption</v>
      </c>
      <c r="DC48" s="299">
        <f t="shared" si="43"/>
        <v>0.37095217628639171</v>
      </c>
      <c r="DD48" s="293" t="str">
        <f t="shared" si="44"/>
        <v>Presumption</v>
      </c>
      <c r="DE48" s="299">
        <f t="shared" si="45"/>
        <v>0.29595563610230691</v>
      </c>
      <c r="DF48" s="293" t="str">
        <f t="shared" si="46"/>
        <v>Presumption</v>
      </c>
      <c r="DG48" s="299">
        <f t="shared" si="47"/>
        <v>0.28416976811546674</v>
      </c>
      <c r="DH48" s="293" t="str">
        <f t="shared" si="48"/>
        <v>Presumption</v>
      </c>
    </row>
    <row r="49" spans="1:112" ht="15" thickTop="1" thickBot="1">
      <c r="A49" s="38" t="s">
        <v>207</v>
      </c>
      <c r="B49" s="38" t="s">
        <v>208</v>
      </c>
      <c r="C49" s="38" t="s">
        <v>207</v>
      </c>
      <c r="D49" s="38" t="s">
        <v>154</v>
      </c>
      <c r="E49" s="38" t="str">
        <f>VLOOKUP(C49,PoliticalControl!A:K,11,FALSE)</f>
        <v>CON</v>
      </c>
      <c r="F49" s="38" t="str">
        <f>VLOOKUP(C49,UrbanRuralClassification!A:N,13,FALSE)</f>
        <v>Urban with Significant Rural (rural including hub towns 26-49%)</v>
      </c>
      <c r="G49" s="38" t="str">
        <f>VLOOKUP(C49,UrbanRuralClassification!A:N,14,FALSE)</f>
        <v>Urban with Significant Rural</v>
      </c>
      <c r="H49" s="258">
        <f>IF(ISBLANK((VLOOKUP($A49,'local-plan-data'!$C$1:$AD$566,27,FALSE)))=TRUE,"",VLOOKUP($A49,'local-plan-data'!$C$1:$AD$566,27,FALSE))</f>
        <v>41801</v>
      </c>
      <c r="I49" s="259">
        <f>VLOOKUP($A49,'local-plan-data'!$C$1:$AD$566,28,FALSE)</f>
        <v>240.90909090909091</v>
      </c>
      <c r="J49" s="260">
        <f t="shared" si="21"/>
        <v>240.90909090909091</v>
      </c>
      <c r="K49" s="259">
        <f t="shared" si="22"/>
        <v>240.90909090909091</v>
      </c>
      <c r="L49" s="259">
        <f t="shared" si="22"/>
        <v>240.90909090909091</v>
      </c>
      <c r="M49" s="259" t="str">
        <f t="shared" si="22"/>
        <v>-</v>
      </c>
      <c r="N49" s="259" t="str">
        <f t="shared" si="22"/>
        <v>-</v>
      </c>
      <c r="O49" s="259" t="str">
        <f t="shared" si="22"/>
        <v>-</v>
      </c>
      <c r="P49" s="259" t="str">
        <f t="shared" si="22"/>
        <v>-</v>
      </c>
      <c r="Q49" s="259" t="str">
        <f t="shared" si="22"/>
        <v>-</v>
      </c>
      <c r="R49" s="259" t="str">
        <f t="shared" si="22"/>
        <v>-</v>
      </c>
      <c r="S49" s="259">
        <f t="shared" si="23"/>
        <v>436</v>
      </c>
      <c r="T49" s="259">
        <f t="shared" si="23"/>
        <v>71</v>
      </c>
      <c r="U49" s="259">
        <f t="shared" si="23"/>
        <v>-295</v>
      </c>
      <c r="V49" s="259">
        <f t="shared" si="23"/>
        <v>-660</v>
      </c>
      <c r="W49" s="259">
        <f t="shared" si="23"/>
        <v>-1025</v>
      </c>
      <c r="X49" s="259">
        <f t="shared" si="23"/>
        <v>-1390</v>
      </c>
      <c r="Y49" s="259">
        <f t="shared" si="23"/>
        <v>-1756</v>
      </c>
      <c r="Z49" s="259">
        <f t="shared" si="23"/>
        <v>-2121</v>
      </c>
      <c r="AA49" s="267">
        <f>(VLOOKUP(A49,Hshldprojections2014!$A$2:$AW$319,40, FALSE)-VLOOKUP(A49,Hshldprojections2014!$A$2:$AW$319,30, FALSE))/10</f>
        <v>249.4</v>
      </c>
      <c r="AB49" s="267">
        <f>(VLOOKUP(A49,Hshldprojections2014!$A$2:$AW$319,41, FALSE)-VLOOKUP(A49,Hshldprojections2014!$A$2:$AW$319,31, FALSE))/10</f>
        <v>242.1</v>
      </c>
      <c r="AC49" s="267">
        <f>(VLOOKUP(A49,Hshldprojections2014!$A$2:$AW$319,42, FALSE)-VLOOKUP(A49,Hshldprojections2014!$A$2:$AW$319,32, FALSE))/10</f>
        <v>235.9</v>
      </c>
      <c r="AD49" s="267">
        <f>IF(IndividualLATest!$J$7=2014,(VLOOKUP($A49,Hshldprojections2014!$A$2:$AY$326,43,FALSE)-VLOOKUP($A49,Hshldprojections2014!$A$2:$AY$326,33,FALSE))/10,IF(IndividualLATest!$J$7=2016,(VLOOKUP($A49,Hshldprojections2016!$A$1:$AQ$322,33,FALSE)-VLOOKUP($A49,Hshldprojections2016!$A$1:$AQ$322,23,FALSE))/10,(VLOOKUP($A49,Hshldprojections2018!$A$1:$AQ$327,33,FALSE)-VLOOKUP($A49,Hshldprojections2018!$A$1:$AQ$327,23,FALSE))/10))</f>
        <v>384.7</v>
      </c>
      <c r="AE49" s="267">
        <f>IF(IndividualLATest!$J$7=2014,(VLOOKUP($A49,Hshldprojections2014!$A$2:$AY$326,44,FALSE)-VLOOKUP($A49,Hshldprojections2014!$A$2:$AY$326,34,FALSE))/10,IF(IndividualLATest!$J$7=2016,(VLOOKUP($A49,Hshldprojections2016!$A$1:$AQ$322,34,FALSE)-VLOOKUP($A49,Hshldprojections2016!$A$1:$AQ$322,24,FALSE))/10,(VLOOKUP($A49,Hshldprojections2018!$A$1:$AQ$327,34,FALSE)-VLOOKUP($A49,Hshldprojections2018!$A$1:$AQ$327,24,FALSE))/10))</f>
        <v>373.4</v>
      </c>
      <c r="AF49" s="267">
        <f>IF(IndividualLATest!$J$7=2014,(VLOOKUP($A49,Hshldprojections2014!$A$2:$AY$326,45,FALSE)-VLOOKUP($A49,Hshldprojections2014!$A$2:$AY$326,35,FALSE))/10,IF(IndividualLATest!$J$7=2016,(VLOOKUP($A49,Hshldprojections2016!$A$1:$AQ$322,35,FALSE)-VLOOKUP($A49,Hshldprojections2016!$A$1:$AQ$322,25,FALSE))/10,(VLOOKUP($A49,Hshldprojections2018!$A$1:$AQ$327,35,FALSE)-VLOOKUP($A49,Hshldprojections2018!$A$1:$AQ$327,25,FALSE))/10))</f>
        <v>368.2</v>
      </c>
      <c r="AG49" s="267">
        <f>IF(IndividualLATest!$J$7=2014,(VLOOKUP($A49,Hshldprojections2014!$A$2:$AY$326,46,FALSE)-VLOOKUP($A49,Hshldprojections2014!$A$2:$AY$326,36,FALSE))/10,IF(IndividualLATest!$J$7=2016,(VLOOKUP($A49,Hshldprojections2016!$A$1:$AQ$322,36,FALSE)-VLOOKUP($A49,Hshldprojections2016!$A$1:$AQ$322,26,FALSE))/10,(VLOOKUP($A49,Hshldprojections2018!$A$1:$AQ$327,36,FALSE)-VLOOKUP($A49,Hshldprojections2018!$A$1:$AQ$327,26,FALSE))/10))</f>
        <v>361.6</v>
      </c>
      <c r="AH49" s="267">
        <f>IF(IndividualLATest!$J$7=2014,(VLOOKUP($A49,Hshldprojections2014!$A$2:$AY$326,47,FALSE)-VLOOKUP($A49,Hshldprojections2014!$A$2:$AY$326,37,FALSE))/10,IF(IndividualLATest!$J$7=2016,(VLOOKUP($A49,Hshldprojections2016!$A$1:$AQ$322,37,FALSE)-VLOOKUP($A49,Hshldprojections2016!$A$1:$AQ$322,27,FALSE))/10,(VLOOKUP($A49,Hshldprojections2018!$A$1:$AQ$327,37,FALSE)-VLOOKUP($A49,Hshldprojections2018!$A$1:$AQ$327,27,FALSE))/10))</f>
        <v>356.8</v>
      </c>
      <c r="AI49" s="268">
        <f>IF(ISNUMBER('Sensitivity Tests'!$C$30),'Sensitivity Tests'!$C$30,VLOOKUP($A49,AffordabilityRatio!$A$2:$I$321,5,FALSE))</f>
        <v>6.31</v>
      </c>
      <c r="AJ49" s="268">
        <f>IF(ISNUMBER('Sensitivity Tests'!$C$30),'Sensitivity Tests'!$C$30,VLOOKUP($A49,AffordabilityRatio!$A$2:$I$321,6,FALSE))</f>
        <v>6.35</v>
      </c>
      <c r="AK49" s="268">
        <f>IF(ISNUMBER('Sensitivity Tests'!$C$30),'Sensitivity Tests'!$C$30,VLOOKUP($A49,AffordabilityRatio!$A$2:$I$321,7,FALSE))</f>
        <v>6.73</v>
      </c>
      <c r="AL49" s="268">
        <f>IF(ISNUMBER('Sensitivity Tests'!$C$30),'Sensitivity Tests'!$C$30,IF((VLOOKUP($A49,AffordabilityRatio!$A$2:$I$321,8,FALSE))="",AK49,VLOOKUP($A49,AffordabilityRatio!$A$2:$I$321,8,FALSE)))</f>
        <v>6.89</v>
      </c>
      <c r="AM49" s="268">
        <f>IF(ISNUMBER('Sensitivity Tests'!$C$30),'Sensitivity Tests'!$C$30,IF((VLOOKUP($A49,AffordabilityRatio!$A$2:$I$321,9,FALSE))="",AL49,VLOOKUP($A49,AffordabilityRatio!$A$2:$I$321,9,FALSE)))</f>
        <v>6.67</v>
      </c>
      <c r="AN49" s="268">
        <f>IF(ISNUMBER('Sensitivity Tests'!$C$30),'Sensitivity Tests'!$C$30,IF((VLOOKUP($A49,AffordabilityRatio!$A$2:$I$321,9,FALSE))="",AM49,VLOOKUP($A49,AffordabilityRatio!$A$2:$I$321,9,FALSE)))</f>
        <v>6.67</v>
      </c>
      <c r="AO49" s="268">
        <f>IF(ISNUMBER('Sensitivity Tests'!$C$30),'Sensitivity Tests'!$C$30,IF((VLOOKUP($A49,AffordabilityRatio!$A$2:$I$321,9,FALSE))="",AN49,VLOOKUP($A49,AffordabilityRatio!$A$2:$I$321,9,FALSE)))</f>
        <v>6.67</v>
      </c>
      <c r="AP49" s="268">
        <f>IF(ISNUMBER('Sensitivity Tests'!$C$30),'Sensitivity Tests'!$C$30,IF((VLOOKUP($A49,AffordabilityRatio!$A$2:$I$321,9,FALSE))="",AO49,VLOOKUP($A49,AffordabilityRatio!$A$2:$I$321,9,FALSE)))</f>
        <v>6.67</v>
      </c>
      <c r="AQ49" s="267">
        <f t="shared" si="24"/>
        <v>285</v>
      </c>
      <c r="AR49" s="267">
        <f t="shared" si="24"/>
        <v>278</v>
      </c>
      <c r="AS49" s="267">
        <f t="shared" si="24"/>
        <v>276</v>
      </c>
      <c r="AT49" s="267">
        <f t="shared" si="24"/>
        <v>454</v>
      </c>
      <c r="AU49" s="267">
        <f t="shared" si="24"/>
        <v>436</v>
      </c>
      <c r="AV49" s="267">
        <f t="shared" si="24"/>
        <v>430</v>
      </c>
      <c r="AW49" s="267">
        <f t="shared" si="24"/>
        <v>422</v>
      </c>
      <c r="AX49" s="267">
        <f t="shared" si="24"/>
        <v>416</v>
      </c>
      <c r="AY49" s="267">
        <f t="shared" si="25"/>
        <v>285</v>
      </c>
      <c r="AZ49" s="267">
        <f t="shared" si="26"/>
        <v>278</v>
      </c>
      <c r="BA49" s="267">
        <f t="shared" si="27"/>
        <v>276</v>
      </c>
      <c r="BB49" s="267">
        <f t="shared" si="28"/>
        <v>454</v>
      </c>
      <c r="BC49" s="267">
        <f t="shared" si="29"/>
        <v>436</v>
      </c>
      <c r="BD49" s="267">
        <f t="shared" si="30"/>
        <v>430</v>
      </c>
      <c r="BE49" s="267">
        <f t="shared" si="31"/>
        <v>422</v>
      </c>
      <c r="BF49" s="267">
        <f t="shared" si="32"/>
        <v>416</v>
      </c>
      <c r="BG49" s="269">
        <f>AY49*VLOOKUP($B49,'Major Cities &amp; Towns'!$A$28:$B$345,2,FALSE)</f>
        <v>285</v>
      </c>
      <c r="BH49" s="269">
        <f>AZ49*VLOOKUP($B49,'Major Cities &amp; Towns'!$A$28:$B$345,2,FALSE)</f>
        <v>278</v>
      </c>
      <c r="BI49" s="269">
        <f>BA49*VLOOKUP($B49,'Major Cities &amp; Towns'!$A$28:$B$345,2,FALSE)</f>
        <v>276</v>
      </c>
      <c r="BJ49" s="269">
        <f>BB49*VLOOKUP($B49,'Major Cities &amp; Towns'!$A$28:$B$345,2,FALSE)</f>
        <v>454</v>
      </c>
      <c r="BK49" s="269">
        <f>BC49*VLOOKUP($B49,'Major Cities &amp; Towns'!$A$28:$B$345,2,FALSE)</f>
        <v>436</v>
      </c>
      <c r="BL49" s="269">
        <f>BD49*VLOOKUP($B49,'Major Cities &amp; Towns'!$A$28:$B$345,2,FALSE)</f>
        <v>430</v>
      </c>
      <c r="BM49" s="269">
        <f>BE49*VLOOKUP($B49,'Major Cities &amp; Towns'!$A$28:$B$345,2,FALSE)</f>
        <v>422</v>
      </c>
      <c r="BN49" s="269">
        <f>BF49*VLOOKUP($B49,'Major Cities &amp; Towns'!$A$28:$B$345,2,FALSE)</f>
        <v>416</v>
      </c>
      <c r="BO49" s="270">
        <f t="shared" si="33"/>
        <v>240.90909090909091</v>
      </c>
      <c r="BP49" s="270">
        <f t="shared" si="50"/>
        <v>270.78505603985059</v>
      </c>
      <c r="BQ49" s="270">
        <f t="shared" si="50"/>
        <v>276</v>
      </c>
      <c r="BR49" s="270">
        <f t="shared" si="50"/>
        <v>454</v>
      </c>
      <c r="BS49" s="270">
        <f t="shared" si="49"/>
        <v>436</v>
      </c>
      <c r="BT49" s="270">
        <f t="shared" si="49"/>
        <v>430</v>
      </c>
      <c r="BU49" s="270">
        <f t="shared" si="49"/>
        <v>422</v>
      </c>
      <c r="BV49" s="270">
        <f t="shared" si="49"/>
        <v>416</v>
      </c>
      <c r="BW49" s="39">
        <f>VLOOKUP($A49,NetAdditions!$A$2:$H$336,6,FALSE)</f>
        <v>234</v>
      </c>
      <c r="BX49" s="39">
        <f>VLOOKUP($A49,NetAdditions!$A$2:$H$336,7,FALSE)</f>
        <v>930</v>
      </c>
      <c r="BY49" s="39">
        <f>IF((VLOOKUP($C49,NetAdditions!$A$2:$H$336,8,FALSE))="",(AVERAGE(VLOOKUP($C49,NetAdditions!$A$2:$H$336,5,FALSE),VLOOKUP($C49,NetAdditions!$A$2:$H$336,6,FALSE),VLOOKUP($C49,NetAdditions!$A$2:$H$336,7,FALSE))),VLOOKUP($C49,NetAdditions!$A$2:$H$336,8,FALSE))</f>
        <v>319</v>
      </c>
      <c r="BZ49" s="39">
        <f t="shared" si="35"/>
        <v>494.33333333333331</v>
      </c>
      <c r="CA49" s="39">
        <f t="shared" si="35"/>
        <v>581.11111111111109</v>
      </c>
      <c r="CB49" s="39">
        <f t="shared" si="35"/>
        <v>464.81481481481478</v>
      </c>
      <c r="CC49" s="39">
        <f t="shared" si="35"/>
        <v>513.41975308641975</v>
      </c>
      <c r="CD49" s="39">
        <f t="shared" si="35"/>
        <v>519.7818930041152</v>
      </c>
      <c r="CE49" s="276">
        <f t="shared" si="5"/>
        <v>787.69414694894147</v>
      </c>
      <c r="CF49" s="276">
        <f t="shared" si="6"/>
        <v>1000.7850560398506</v>
      </c>
      <c r="CG49" s="276">
        <f t="shared" si="7"/>
        <v>1166</v>
      </c>
      <c r="CH49" s="276">
        <f t="shared" si="8"/>
        <v>1320</v>
      </c>
      <c r="CI49" s="276">
        <f t="shared" si="9"/>
        <v>1288</v>
      </c>
      <c r="CJ49" s="276">
        <f t="shared" si="10"/>
        <v>1268</v>
      </c>
      <c r="CK49" s="276">
        <f t="shared" si="36"/>
        <v>678.29218209492183</v>
      </c>
      <c r="CL49" s="276">
        <f t="shared" si="37"/>
        <v>861.78713158987136</v>
      </c>
      <c r="CM49" s="276">
        <f t="shared" si="38"/>
        <v>1068.8333333333333</v>
      </c>
      <c r="CN49" s="276">
        <f t="shared" si="39"/>
        <v>1320</v>
      </c>
      <c r="CO49" s="276">
        <f t="shared" si="39"/>
        <v>1288</v>
      </c>
      <c r="CP49" s="276">
        <f t="shared" si="11"/>
        <v>1268</v>
      </c>
      <c r="CQ49" s="39">
        <f t="shared" si="12"/>
        <v>1483</v>
      </c>
      <c r="CR49" s="39">
        <f t="shared" si="13"/>
        <v>1743.3333333333333</v>
      </c>
      <c r="CS49" s="277">
        <f t="shared" si="14"/>
        <v>1394.4444444444443</v>
      </c>
      <c r="CT49" s="39">
        <f t="shared" si="15"/>
        <v>1540.2592592592591</v>
      </c>
      <c r="CU49" s="39">
        <f t="shared" si="16"/>
        <v>1559.3456790123455</v>
      </c>
      <c r="CV49" s="39">
        <f t="shared" si="17"/>
        <v>1498.0164609053497</v>
      </c>
      <c r="CW49" s="297">
        <f t="shared" si="18"/>
        <v>2.1863734230574772</v>
      </c>
      <c r="CX49" s="279" t="str">
        <f t="shared" si="40"/>
        <v>Pass</v>
      </c>
      <c r="CY49" s="278">
        <f t="shared" si="19"/>
        <v>2.0229280171741921</v>
      </c>
      <c r="CZ49" s="279" t="str">
        <f t="shared" si="41"/>
        <v>Pass</v>
      </c>
      <c r="DA49" s="278">
        <f t="shared" si="20"/>
        <v>1.3046416133894694</v>
      </c>
      <c r="DB49" s="292" t="str">
        <f t="shared" si="42"/>
        <v>Pass</v>
      </c>
      <c r="DC49" s="299">
        <f t="shared" si="43"/>
        <v>1.1668630751964084</v>
      </c>
      <c r="DD49" s="293" t="str">
        <f t="shared" si="44"/>
        <v>Pass</v>
      </c>
      <c r="DE49" s="299">
        <f t="shared" si="45"/>
        <v>1.2106721110344298</v>
      </c>
      <c r="DF49" s="293" t="str">
        <f t="shared" si="46"/>
        <v>Pass</v>
      </c>
      <c r="DG49" s="299">
        <f t="shared" si="47"/>
        <v>1.18140099440485</v>
      </c>
      <c r="DH49" s="293" t="str">
        <f t="shared" si="48"/>
        <v>Pass</v>
      </c>
    </row>
    <row r="50" spans="1:112" ht="15" thickTop="1" thickBot="1">
      <c r="A50" s="38" t="s">
        <v>209</v>
      </c>
      <c r="B50" s="38" t="s">
        <v>210</v>
      </c>
      <c r="C50" s="38" t="s">
        <v>209</v>
      </c>
      <c r="D50" s="38" t="s">
        <v>113</v>
      </c>
      <c r="E50" s="38" t="str">
        <f>VLOOKUP(C50,PoliticalControl!A:K,11,FALSE)</f>
        <v>CON</v>
      </c>
      <c r="F50" s="38" t="str">
        <f>VLOOKUP(C50,UrbanRuralClassification!A:N,13,FALSE)</f>
        <v>Urban with City and Town</v>
      </c>
      <c r="G50" s="38" t="str">
        <f>VLOOKUP(C50,UrbanRuralClassification!A:N,14,FALSE)</f>
        <v>Predominantly Urban</v>
      </c>
      <c r="H50" s="258">
        <f>IF(ISBLANK((VLOOKUP($A50,'local-plan-data'!$C$1:$AD$566,27,FALSE)))=TRUE,"",VLOOKUP($A50,'local-plan-data'!$C$1:$AD$566,27,FALSE))</f>
        <v>42929</v>
      </c>
      <c r="I50" s="259">
        <f>VLOOKUP($A50,'local-plan-data'!$C$1:$AD$566,28,FALSE)</f>
        <v>767</v>
      </c>
      <c r="J50" s="260">
        <f t="shared" si="21"/>
        <v>767</v>
      </c>
      <c r="K50" s="259">
        <f t="shared" si="22"/>
        <v>767</v>
      </c>
      <c r="L50" s="259">
        <f t="shared" si="22"/>
        <v>767</v>
      </c>
      <c r="M50" s="259">
        <f t="shared" si="22"/>
        <v>767</v>
      </c>
      <c r="N50" s="259">
        <f t="shared" si="22"/>
        <v>767</v>
      </c>
      <c r="O50" s="259">
        <f t="shared" si="22"/>
        <v>767</v>
      </c>
      <c r="P50" s="259" t="str">
        <f t="shared" si="22"/>
        <v>-</v>
      </c>
      <c r="Q50" s="259" t="str">
        <f t="shared" si="22"/>
        <v>-</v>
      </c>
      <c r="R50" s="259" t="str">
        <f t="shared" si="22"/>
        <v>-</v>
      </c>
      <c r="S50" s="259">
        <f t="shared" si="23"/>
        <v>1564</v>
      </c>
      <c r="T50" s="259">
        <f t="shared" si="23"/>
        <v>1199</v>
      </c>
      <c r="U50" s="259">
        <f t="shared" si="23"/>
        <v>833</v>
      </c>
      <c r="V50" s="259">
        <f t="shared" si="23"/>
        <v>468</v>
      </c>
      <c r="W50" s="259">
        <f t="shared" si="23"/>
        <v>103</v>
      </c>
      <c r="X50" s="259">
        <f t="shared" si="23"/>
        <v>-262</v>
      </c>
      <c r="Y50" s="259">
        <f t="shared" si="23"/>
        <v>-628</v>
      </c>
      <c r="Z50" s="259">
        <f t="shared" si="23"/>
        <v>-993</v>
      </c>
      <c r="AA50" s="267">
        <f>(VLOOKUP(A50,Hshldprojections2014!$A$2:$AW$319,40, FALSE)-VLOOKUP(A50,Hshldprojections2014!$A$2:$AW$319,30, FALSE))/10</f>
        <v>778.8</v>
      </c>
      <c r="AB50" s="267">
        <f>(VLOOKUP(A50,Hshldprojections2014!$A$2:$AW$319,41, FALSE)-VLOOKUP(A50,Hshldprojections2014!$A$2:$AW$319,31, FALSE))/10</f>
        <v>785.1</v>
      </c>
      <c r="AC50" s="267">
        <f>(VLOOKUP(A50,Hshldprojections2014!$A$2:$AW$319,42, FALSE)-VLOOKUP(A50,Hshldprojections2014!$A$2:$AW$319,32, FALSE))/10</f>
        <v>795.3</v>
      </c>
      <c r="AD50" s="267">
        <f>IF(IndividualLATest!$J$7=2014,(VLOOKUP($A50,Hshldprojections2014!$A$2:$AY$326,43,FALSE)-VLOOKUP($A50,Hshldprojections2014!$A$2:$AY$326,33,FALSE))/10,IF(IndividualLATest!$J$7=2016,(VLOOKUP($A50,Hshldprojections2016!$A$1:$AQ$322,33,FALSE)-VLOOKUP($A50,Hshldprojections2016!$A$1:$AQ$322,23,FALSE))/10,(VLOOKUP($A50,Hshldprojections2018!$A$1:$AQ$327,33,FALSE)-VLOOKUP($A50,Hshldprojections2018!$A$1:$AQ$327,23,FALSE))/10))</f>
        <v>515.70000000000005</v>
      </c>
      <c r="AE50" s="267">
        <f>IF(IndividualLATest!$J$7=2014,(VLOOKUP($A50,Hshldprojections2014!$A$2:$AY$326,44,FALSE)-VLOOKUP($A50,Hshldprojections2014!$A$2:$AY$326,34,FALSE))/10,IF(IndividualLATest!$J$7=2016,(VLOOKUP($A50,Hshldprojections2016!$A$1:$AQ$322,34,FALSE)-VLOOKUP($A50,Hshldprojections2016!$A$1:$AQ$322,24,FALSE))/10,(VLOOKUP($A50,Hshldprojections2018!$A$1:$AQ$327,34,FALSE)-VLOOKUP($A50,Hshldprojections2018!$A$1:$AQ$327,24,FALSE))/10))</f>
        <v>524</v>
      </c>
      <c r="AF50" s="267">
        <f>IF(IndividualLATest!$J$7=2014,(VLOOKUP($A50,Hshldprojections2014!$A$2:$AY$326,45,FALSE)-VLOOKUP($A50,Hshldprojections2014!$A$2:$AY$326,35,FALSE))/10,IF(IndividualLATest!$J$7=2016,(VLOOKUP($A50,Hshldprojections2016!$A$1:$AQ$322,35,FALSE)-VLOOKUP($A50,Hshldprojections2016!$A$1:$AQ$322,25,FALSE))/10,(VLOOKUP($A50,Hshldprojections2018!$A$1:$AQ$327,35,FALSE)-VLOOKUP($A50,Hshldprojections2018!$A$1:$AQ$327,25,FALSE))/10))</f>
        <v>526</v>
      </c>
      <c r="AG50" s="267">
        <f>IF(IndividualLATest!$J$7=2014,(VLOOKUP($A50,Hshldprojections2014!$A$2:$AY$326,46,FALSE)-VLOOKUP($A50,Hshldprojections2014!$A$2:$AY$326,36,FALSE))/10,IF(IndividualLATest!$J$7=2016,(VLOOKUP($A50,Hshldprojections2016!$A$1:$AQ$322,36,FALSE)-VLOOKUP($A50,Hshldprojections2016!$A$1:$AQ$322,26,FALSE))/10,(VLOOKUP($A50,Hshldprojections2018!$A$1:$AQ$327,36,FALSE)-VLOOKUP($A50,Hshldprojections2018!$A$1:$AQ$327,26,FALSE))/10))</f>
        <v>522.20000000000005</v>
      </c>
      <c r="AH50" s="267">
        <f>IF(IndividualLATest!$J$7=2014,(VLOOKUP($A50,Hshldprojections2014!$A$2:$AY$326,47,FALSE)-VLOOKUP($A50,Hshldprojections2014!$A$2:$AY$326,37,FALSE))/10,IF(IndividualLATest!$J$7=2016,(VLOOKUP($A50,Hshldprojections2016!$A$1:$AQ$322,37,FALSE)-VLOOKUP($A50,Hshldprojections2016!$A$1:$AQ$322,27,FALSE))/10,(VLOOKUP($A50,Hshldprojections2018!$A$1:$AQ$327,37,FALSE)-VLOOKUP($A50,Hshldprojections2018!$A$1:$AQ$327,27,FALSE))/10))</f>
        <v>518.4</v>
      </c>
      <c r="AI50" s="268">
        <f>IF(ISNUMBER('Sensitivity Tests'!$C$30),'Sensitivity Tests'!$C$30,VLOOKUP($A50,AffordabilityRatio!$A$2:$I$321,5,FALSE))</f>
        <v>11.12</v>
      </c>
      <c r="AJ50" s="268">
        <f>IF(ISNUMBER('Sensitivity Tests'!$C$30),'Sensitivity Tests'!$C$30,VLOOKUP($A50,AffordabilityRatio!$A$2:$I$321,6,FALSE))</f>
        <v>10.96</v>
      </c>
      <c r="AK50" s="268">
        <f>IF(ISNUMBER('Sensitivity Tests'!$C$30),'Sensitivity Tests'!$C$30,VLOOKUP($A50,AffordabilityRatio!$A$2:$I$321,7,FALSE))</f>
        <v>10.64</v>
      </c>
      <c r="AL50" s="268">
        <f>IF(ISNUMBER('Sensitivity Tests'!$C$30),'Sensitivity Tests'!$C$30,IF((VLOOKUP($A50,AffordabilityRatio!$A$2:$I$321,8,FALSE))="",AK50,VLOOKUP($A50,AffordabilityRatio!$A$2:$I$321,8,FALSE)))</f>
        <v>11.2</v>
      </c>
      <c r="AM50" s="268">
        <f>IF(ISNUMBER('Sensitivity Tests'!$C$30),'Sensitivity Tests'!$C$30,IF((VLOOKUP($A50,AffordabilityRatio!$A$2:$I$321,9,FALSE))="",AL50,VLOOKUP($A50,AffordabilityRatio!$A$2:$I$321,9,FALSE)))</f>
        <v>12.86</v>
      </c>
      <c r="AN50" s="268">
        <f>IF(ISNUMBER('Sensitivity Tests'!$C$30),'Sensitivity Tests'!$C$30,IF((VLOOKUP($A50,AffordabilityRatio!$A$2:$I$321,9,FALSE))="",AM50,VLOOKUP($A50,AffordabilityRatio!$A$2:$I$321,9,FALSE)))</f>
        <v>12.86</v>
      </c>
      <c r="AO50" s="268">
        <f>IF(ISNUMBER('Sensitivity Tests'!$C$30),'Sensitivity Tests'!$C$30,IF((VLOOKUP($A50,AffordabilityRatio!$A$2:$I$321,9,FALSE))="",AN50,VLOOKUP($A50,AffordabilityRatio!$A$2:$I$321,9,FALSE)))</f>
        <v>12.86</v>
      </c>
      <c r="AP50" s="268">
        <f>IF(ISNUMBER('Sensitivity Tests'!$C$30),'Sensitivity Tests'!$C$30,IF((VLOOKUP($A50,AffordabilityRatio!$A$2:$I$321,9,FALSE))="",AO50,VLOOKUP($A50,AffordabilityRatio!$A$2:$I$321,9,FALSE)))</f>
        <v>12.86</v>
      </c>
      <c r="AQ50" s="267">
        <f t="shared" si="24"/>
        <v>1125</v>
      </c>
      <c r="AR50" s="267">
        <f t="shared" si="24"/>
        <v>1127</v>
      </c>
      <c r="AS50" s="267">
        <f t="shared" si="24"/>
        <v>1125</v>
      </c>
      <c r="AT50" s="267">
        <f t="shared" si="24"/>
        <v>748</v>
      </c>
      <c r="AU50" s="267">
        <f t="shared" si="24"/>
        <v>814</v>
      </c>
      <c r="AV50" s="267">
        <f t="shared" si="24"/>
        <v>817</v>
      </c>
      <c r="AW50" s="267">
        <f t="shared" si="24"/>
        <v>811</v>
      </c>
      <c r="AX50" s="267">
        <f t="shared" si="24"/>
        <v>805</v>
      </c>
      <c r="AY50" s="267">
        <f t="shared" si="25"/>
        <v>1073.8</v>
      </c>
      <c r="AZ50" s="267">
        <f t="shared" si="26"/>
        <v>1073.8</v>
      </c>
      <c r="BA50" s="267">
        <f t="shared" si="27"/>
        <v>1073.8</v>
      </c>
      <c r="BB50" s="267">
        <f t="shared" si="28"/>
        <v>748</v>
      </c>
      <c r="BC50" s="267">
        <f t="shared" si="29"/>
        <v>814</v>
      </c>
      <c r="BD50" s="267">
        <f t="shared" si="30"/>
        <v>817</v>
      </c>
      <c r="BE50" s="267">
        <f t="shared" si="31"/>
        <v>811</v>
      </c>
      <c r="BF50" s="267">
        <f t="shared" si="32"/>
        <v>805</v>
      </c>
      <c r="BG50" s="269">
        <f>AY50*VLOOKUP($B50,'Major Cities &amp; Towns'!$A$28:$B$345,2,FALSE)</f>
        <v>1073.8</v>
      </c>
      <c r="BH50" s="269">
        <f>AZ50*VLOOKUP($B50,'Major Cities &amp; Towns'!$A$28:$B$345,2,FALSE)</f>
        <v>1073.8</v>
      </c>
      <c r="BI50" s="269">
        <f>BA50*VLOOKUP($B50,'Major Cities &amp; Towns'!$A$28:$B$345,2,FALSE)</f>
        <v>1073.8</v>
      </c>
      <c r="BJ50" s="269">
        <f>BB50*VLOOKUP($B50,'Major Cities &amp; Towns'!$A$28:$B$345,2,FALSE)</f>
        <v>748</v>
      </c>
      <c r="BK50" s="269">
        <f>BC50*VLOOKUP($B50,'Major Cities &amp; Towns'!$A$28:$B$345,2,FALSE)</f>
        <v>814</v>
      </c>
      <c r="BL50" s="269">
        <f>BD50*VLOOKUP($B50,'Major Cities &amp; Towns'!$A$28:$B$345,2,FALSE)</f>
        <v>817</v>
      </c>
      <c r="BM50" s="269">
        <f>BE50*VLOOKUP($B50,'Major Cities &amp; Towns'!$A$28:$B$345,2,FALSE)</f>
        <v>811</v>
      </c>
      <c r="BN50" s="269">
        <f>BF50*VLOOKUP($B50,'Major Cities &amp; Towns'!$A$28:$B$345,2,FALSE)</f>
        <v>805</v>
      </c>
      <c r="BO50" s="270">
        <f t="shared" si="33"/>
        <v>767</v>
      </c>
      <c r="BP50" s="270">
        <f t="shared" si="50"/>
        <v>767</v>
      </c>
      <c r="BQ50" s="270">
        <f t="shared" si="50"/>
        <v>767</v>
      </c>
      <c r="BR50" s="270">
        <f t="shared" si="50"/>
        <v>748</v>
      </c>
      <c r="BS50" s="270">
        <f t="shared" si="49"/>
        <v>800.73698630136983</v>
      </c>
      <c r="BT50" s="270">
        <f t="shared" si="49"/>
        <v>817</v>
      </c>
      <c r="BU50" s="270">
        <f t="shared" si="49"/>
        <v>811</v>
      </c>
      <c r="BV50" s="270">
        <f t="shared" si="49"/>
        <v>805</v>
      </c>
      <c r="BW50" s="39">
        <f>VLOOKUP($A50,NetAdditions!$A$2:$H$336,6,FALSE)</f>
        <v>430</v>
      </c>
      <c r="BX50" s="39">
        <f>VLOOKUP($A50,NetAdditions!$A$2:$H$336,7,FALSE)</f>
        <v>536</v>
      </c>
      <c r="BY50" s="39">
        <f>IF((VLOOKUP($C50,NetAdditions!$A$2:$H$336,8,FALSE))="",(AVERAGE(VLOOKUP($C50,NetAdditions!$A$2:$H$336,5,FALSE),VLOOKUP($C50,NetAdditions!$A$2:$H$336,6,FALSE),VLOOKUP($C50,NetAdditions!$A$2:$H$336,7,FALSE))),VLOOKUP($C50,NetAdditions!$A$2:$H$336,8,FALSE))</f>
        <v>438</v>
      </c>
      <c r="BZ50" s="39">
        <f t="shared" si="35"/>
        <v>468</v>
      </c>
      <c r="CA50" s="39">
        <f t="shared" si="35"/>
        <v>480.66666666666669</v>
      </c>
      <c r="CB50" s="39">
        <f t="shared" si="35"/>
        <v>462.22222222222223</v>
      </c>
      <c r="CC50" s="39">
        <f t="shared" si="35"/>
        <v>470.2962962962963</v>
      </c>
      <c r="CD50" s="39">
        <f t="shared" si="35"/>
        <v>471.06172839506172</v>
      </c>
      <c r="CE50" s="276">
        <f t="shared" si="5"/>
        <v>2301</v>
      </c>
      <c r="CF50" s="276">
        <f t="shared" si="6"/>
        <v>2282</v>
      </c>
      <c r="CG50" s="276">
        <f t="shared" si="7"/>
        <v>2315.7369863013701</v>
      </c>
      <c r="CH50" s="276">
        <f t="shared" si="8"/>
        <v>2365.7369863013701</v>
      </c>
      <c r="CI50" s="276">
        <f t="shared" si="9"/>
        <v>2428.7369863013701</v>
      </c>
      <c r="CJ50" s="276">
        <f t="shared" si="10"/>
        <v>2433</v>
      </c>
      <c r="CK50" s="276">
        <f t="shared" si="36"/>
        <v>1981.4166666666667</v>
      </c>
      <c r="CL50" s="276">
        <f t="shared" si="37"/>
        <v>1965.0555555555557</v>
      </c>
      <c r="CM50" s="276">
        <f t="shared" si="38"/>
        <v>2122.7589041095889</v>
      </c>
      <c r="CN50" s="276">
        <f t="shared" si="39"/>
        <v>2365.7369863013701</v>
      </c>
      <c r="CO50" s="276">
        <f t="shared" si="39"/>
        <v>2428.7369863013701</v>
      </c>
      <c r="CP50" s="276">
        <f t="shared" si="11"/>
        <v>2433</v>
      </c>
      <c r="CQ50" s="39">
        <f t="shared" si="12"/>
        <v>1404</v>
      </c>
      <c r="CR50" s="39">
        <f t="shared" si="13"/>
        <v>1442</v>
      </c>
      <c r="CS50" s="277">
        <f t="shared" si="14"/>
        <v>1386.6666666666667</v>
      </c>
      <c r="CT50" s="39">
        <f t="shared" si="15"/>
        <v>1410.8888888888889</v>
      </c>
      <c r="CU50" s="39">
        <f t="shared" si="16"/>
        <v>1413.1851851851852</v>
      </c>
      <c r="CV50" s="39">
        <f t="shared" si="17"/>
        <v>1403.5802469135801</v>
      </c>
      <c r="CW50" s="297">
        <f t="shared" si="18"/>
        <v>0.70858392564242756</v>
      </c>
      <c r="CX50" s="279" t="str">
        <f t="shared" si="40"/>
        <v>Buffer and Action Plan</v>
      </c>
      <c r="CY50" s="278">
        <f t="shared" si="19"/>
        <v>0.73382149218286163</v>
      </c>
      <c r="CZ50" s="279" t="str">
        <f t="shared" si="41"/>
        <v>Buffer and Action Plan</v>
      </c>
      <c r="DA50" s="278">
        <f t="shared" si="20"/>
        <v>0.65323794613798458</v>
      </c>
      <c r="DB50" s="292" t="str">
        <f t="shared" si="42"/>
        <v>Presumption</v>
      </c>
      <c r="DC50" s="299">
        <f t="shared" si="43"/>
        <v>0.59638450810827226</v>
      </c>
      <c r="DD50" s="293" t="str">
        <f t="shared" si="44"/>
        <v>Presumption</v>
      </c>
      <c r="DE50" s="299">
        <f t="shared" si="45"/>
        <v>0.58186011624802181</v>
      </c>
      <c r="DF50" s="293" t="str">
        <f t="shared" si="46"/>
        <v>Presumption</v>
      </c>
      <c r="DG50" s="299">
        <f t="shared" si="47"/>
        <v>0.57689282651606255</v>
      </c>
      <c r="DH50" s="293" t="str">
        <f t="shared" si="48"/>
        <v>Presumption</v>
      </c>
    </row>
    <row r="51" spans="1:112" ht="15" thickTop="1" thickBot="1">
      <c r="A51" s="38" t="s">
        <v>211</v>
      </c>
      <c r="B51" s="38" t="s">
        <v>212</v>
      </c>
      <c r="C51" s="38" t="s">
        <v>211</v>
      </c>
      <c r="D51" s="38" t="s">
        <v>116</v>
      </c>
      <c r="E51" s="38" t="str">
        <f>VLOOKUP(C51,PoliticalControl!A:K,11,FALSE)</f>
        <v>NOC</v>
      </c>
      <c r="F51" s="38" t="str">
        <f>VLOOKUP(C51,UrbanRuralClassification!A:N,13,FALSE)</f>
        <v>Urban with Significant Rural (rural including hub towns 26-49%)</v>
      </c>
      <c r="G51" s="38" t="str">
        <f>VLOOKUP(C51,UrbanRuralClassification!A:N,14,FALSE)</f>
        <v>Urban with Significant Rural</v>
      </c>
      <c r="H51" s="258">
        <f>IF(ISBLANK((VLOOKUP($A51,'local-plan-data'!$C$1:$AD$566,27,FALSE)))=TRUE,"",VLOOKUP($A51,'local-plan-data'!$C$1:$AD$566,27,FALSE))</f>
        <v>42682</v>
      </c>
      <c r="I51" s="259">
        <f>VLOOKUP($A51,'local-plan-data'!$C$1:$AD$566,28,FALSE)</f>
        <v>565.05882352941171</v>
      </c>
      <c r="J51" s="260">
        <f t="shared" si="21"/>
        <v>565.05882352941171</v>
      </c>
      <c r="K51" s="259">
        <f t="shared" ref="K51:R82" si="51">IF(AND(ISNUMBER($H51),ISNUMBER($J51)),IF(($H51-K$1&gt;0),$J51,IF(DATEDIF($H51,K$1,"y")&lt;5,$J51,"-")),"-")</f>
        <v>565.05882352941171</v>
      </c>
      <c r="L51" s="259">
        <f t="shared" si="51"/>
        <v>565.05882352941171</v>
      </c>
      <c r="M51" s="259">
        <f t="shared" si="51"/>
        <v>565.05882352941171</v>
      </c>
      <c r="N51" s="259">
        <f t="shared" si="51"/>
        <v>565.05882352941171</v>
      </c>
      <c r="O51" s="259" t="str">
        <f t="shared" si="51"/>
        <v>-</v>
      </c>
      <c r="P51" s="259" t="str">
        <f t="shared" si="51"/>
        <v>-</v>
      </c>
      <c r="Q51" s="259" t="str">
        <f t="shared" si="51"/>
        <v>-</v>
      </c>
      <c r="R51" s="259" t="str">
        <f t="shared" si="51"/>
        <v>-</v>
      </c>
      <c r="S51" s="259">
        <f t="shared" ref="S51:Z82" si="52">IFERROR((EDATE($H51,60))-S$1,"-")</f>
        <v>1317</v>
      </c>
      <c r="T51" s="259">
        <f t="shared" si="52"/>
        <v>952</v>
      </c>
      <c r="U51" s="259">
        <f t="shared" si="52"/>
        <v>586</v>
      </c>
      <c r="V51" s="259">
        <f t="shared" si="52"/>
        <v>221</v>
      </c>
      <c r="W51" s="259">
        <f t="shared" si="52"/>
        <v>-144</v>
      </c>
      <c r="X51" s="259">
        <f t="shared" si="52"/>
        <v>-509</v>
      </c>
      <c r="Y51" s="259">
        <f t="shared" si="52"/>
        <v>-875</v>
      </c>
      <c r="Z51" s="259">
        <f t="shared" si="52"/>
        <v>-1240</v>
      </c>
      <c r="AA51" s="267">
        <f>(VLOOKUP(A51,Hshldprojections2014!$A$2:$AW$319,40, FALSE)-VLOOKUP(A51,Hshldprojections2014!$A$2:$AW$319,30, FALSE))/10</f>
        <v>184.9</v>
      </c>
      <c r="AB51" s="267">
        <f>(VLOOKUP(A51,Hshldprojections2014!$A$2:$AW$319,41, FALSE)-VLOOKUP(A51,Hshldprojections2014!$A$2:$AW$319,31, FALSE))/10</f>
        <v>180.9</v>
      </c>
      <c r="AC51" s="267">
        <f>(VLOOKUP(A51,Hshldprojections2014!$A$2:$AW$319,42, FALSE)-VLOOKUP(A51,Hshldprojections2014!$A$2:$AW$319,32, FALSE))/10</f>
        <v>178.7</v>
      </c>
      <c r="AD51" s="267">
        <f>IF(IndividualLATest!$J$7=2014,(VLOOKUP($A51,Hshldprojections2014!$A$2:$AY$326,43,FALSE)-VLOOKUP($A51,Hshldprojections2014!$A$2:$AY$326,33,FALSE))/10,IF(IndividualLATest!$J$7=2016,(VLOOKUP($A51,Hshldprojections2016!$A$1:$AQ$322,33,FALSE)-VLOOKUP($A51,Hshldprojections2016!$A$1:$AQ$322,23,FALSE))/10,(VLOOKUP($A51,Hshldprojections2018!$A$1:$AQ$327,33,FALSE)-VLOOKUP($A51,Hshldprojections2018!$A$1:$AQ$327,23,FALSE))/10))</f>
        <v>122.8</v>
      </c>
      <c r="AE51" s="267">
        <f>IF(IndividualLATest!$J$7=2014,(VLOOKUP($A51,Hshldprojections2014!$A$2:$AY$326,44,FALSE)-VLOOKUP($A51,Hshldprojections2014!$A$2:$AY$326,34,FALSE))/10,IF(IndividualLATest!$J$7=2016,(VLOOKUP($A51,Hshldprojections2016!$A$1:$AQ$322,34,FALSE)-VLOOKUP($A51,Hshldprojections2016!$A$1:$AQ$322,24,FALSE))/10,(VLOOKUP($A51,Hshldprojections2018!$A$1:$AQ$327,34,FALSE)-VLOOKUP($A51,Hshldprojections2018!$A$1:$AQ$327,24,FALSE))/10))</f>
        <v>118.4</v>
      </c>
      <c r="AF51" s="267">
        <f>IF(IndividualLATest!$J$7=2014,(VLOOKUP($A51,Hshldprojections2014!$A$2:$AY$326,45,FALSE)-VLOOKUP($A51,Hshldprojections2014!$A$2:$AY$326,35,FALSE))/10,IF(IndividualLATest!$J$7=2016,(VLOOKUP($A51,Hshldprojections2016!$A$1:$AQ$322,35,FALSE)-VLOOKUP($A51,Hshldprojections2016!$A$1:$AQ$322,25,FALSE))/10,(VLOOKUP($A51,Hshldprojections2018!$A$1:$AQ$327,35,FALSE)-VLOOKUP($A51,Hshldprojections2018!$A$1:$AQ$327,25,FALSE))/10))</f>
        <v>114.8</v>
      </c>
      <c r="AG51" s="267">
        <f>IF(IndividualLATest!$J$7=2014,(VLOOKUP($A51,Hshldprojections2014!$A$2:$AY$326,46,FALSE)-VLOOKUP($A51,Hshldprojections2014!$A$2:$AY$326,36,FALSE))/10,IF(IndividualLATest!$J$7=2016,(VLOOKUP($A51,Hshldprojections2016!$A$1:$AQ$322,36,FALSE)-VLOOKUP($A51,Hshldprojections2016!$A$1:$AQ$322,26,FALSE))/10,(VLOOKUP($A51,Hshldprojections2018!$A$1:$AQ$327,36,FALSE)-VLOOKUP($A51,Hshldprojections2018!$A$1:$AQ$327,26,FALSE))/10))</f>
        <v>110.1</v>
      </c>
      <c r="AH51" s="267">
        <f>IF(IndividualLATest!$J$7=2014,(VLOOKUP($A51,Hshldprojections2014!$A$2:$AY$326,47,FALSE)-VLOOKUP($A51,Hshldprojections2014!$A$2:$AY$326,37,FALSE))/10,IF(IndividualLATest!$J$7=2016,(VLOOKUP($A51,Hshldprojections2016!$A$1:$AQ$322,37,FALSE)-VLOOKUP($A51,Hshldprojections2016!$A$1:$AQ$322,27,FALSE))/10,(VLOOKUP($A51,Hshldprojections2018!$A$1:$AQ$327,37,FALSE)-VLOOKUP($A51,Hshldprojections2018!$A$1:$AQ$327,27,FALSE))/10))</f>
        <v>107.5</v>
      </c>
      <c r="AI51" s="268">
        <f>IF(ISNUMBER('Sensitivity Tests'!$C$30),'Sensitivity Tests'!$C$30,VLOOKUP($A51,AffordabilityRatio!$A$2:$I$321,5,FALSE))</f>
        <v>5.28</v>
      </c>
      <c r="AJ51" s="268">
        <f>IF(ISNUMBER('Sensitivity Tests'!$C$30),'Sensitivity Tests'!$C$30,VLOOKUP($A51,AffordabilityRatio!$A$2:$I$321,6,FALSE))</f>
        <v>5.52</v>
      </c>
      <c r="AK51" s="268">
        <f>IF(ISNUMBER('Sensitivity Tests'!$C$30),'Sensitivity Tests'!$C$30,VLOOKUP($A51,AffordabilityRatio!$A$2:$I$321,7,FALSE))</f>
        <v>5.34</v>
      </c>
      <c r="AL51" s="268">
        <f>IF(ISNUMBER('Sensitivity Tests'!$C$30),'Sensitivity Tests'!$C$30,IF((VLOOKUP($A51,AffordabilityRatio!$A$2:$I$321,8,FALSE))="",AK51,VLOOKUP($A51,AffordabilityRatio!$A$2:$I$321,8,FALSE)))</f>
        <v>4.9800000000000004</v>
      </c>
      <c r="AM51" s="268">
        <f>IF(ISNUMBER('Sensitivity Tests'!$C$30),'Sensitivity Tests'!$C$30,IF((VLOOKUP($A51,AffordabilityRatio!$A$2:$I$321,9,FALSE))="",AL51,VLOOKUP($A51,AffordabilityRatio!$A$2:$I$321,9,FALSE)))</f>
        <v>5.41</v>
      </c>
      <c r="AN51" s="268">
        <f>IF(ISNUMBER('Sensitivity Tests'!$C$30),'Sensitivity Tests'!$C$30,IF((VLOOKUP($A51,AffordabilityRatio!$A$2:$I$321,9,FALSE))="",AM51,VLOOKUP($A51,AffordabilityRatio!$A$2:$I$321,9,FALSE)))</f>
        <v>5.41</v>
      </c>
      <c r="AO51" s="268">
        <f>IF(ISNUMBER('Sensitivity Tests'!$C$30),'Sensitivity Tests'!$C$30,IF((VLOOKUP($A51,AffordabilityRatio!$A$2:$I$321,9,FALSE))="",AN51,VLOOKUP($A51,AffordabilityRatio!$A$2:$I$321,9,FALSE)))</f>
        <v>5.41</v>
      </c>
      <c r="AP51" s="268">
        <f>IF(ISNUMBER('Sensitivity Tests'!$C$30),'Sensitivity Tests'!$C$30,IF((VLOOKUP($A51,AffordabilityRatio!$A$2:$I$321,9,FALSE))="",AO51,VLOOKUP($A51,AffordabilityRatio!$A$2:$I$321,9,FALSE)))</f>
        <v>5.41</v>
      </c>
      <c r="AQ51" s="267">
        <f t="shared" ref="AQ51:AX82" si="53">IF(AA51&lt;0,0,IF(AI51&gt;4,ROUND((1+((AI51-4)/4*0.25))*AA51,0),AA51))</f>
        <v>200</v>
      </c>
      <c r="AR51" s="267">
        <f t="shared" si="53"/>
        <v>198</v>
      </c>
      <c r="AS51" s="267">
        <f t="shared" si="53"/>
        <v>194</v>
      </c>
      <c r="AT51" s="267">
        <f t="shared" si="53"/>
        <v>130</v>
      </c>
      <c r="AU51" s="267">
        <f t="shared" si="53"/>
        <v>129</v>
      </c>
      <c r="AV51" s="267">
        <f t="shared" si="53"/>
        <v>125</v>
      </c>
      <c r="AW51" s="267">
        <f t="shared" si="53"/>
        <v>120</v>
      </c>
      <c r="AX51" s="267">
        <f t="shared" si="53"/>
        <v>117</v>
      </c>
      <c r="AY51" s="267">
        <f t="shared" si="25"/>
        <v>200</v>
      </c>
      <c r="AZ51" s="267">
        <f t="shared" si="26"/>
        <v>198</v>
      </c>
      <c r="BA51" s="267">
        <f t="shared" si="27"/>
        <v>194</v>
      </c>
      <c r="BB51" s="267">
        <f t="shared" si="28"/>
        <v>130</v>
      </c>
      <c r="BC51" s="267">
        <f t="shared" si="29"/>
        <v>129</v>
      </c>
      <c r="BD51" s="267">
        <f t="shared" si="30"/>
        <v>125</v>
      </c>
      <c r="BE51" s="267">
        <f t="shared" si="31"/>
        <v>120</v>
      </c>
      <c r="BF51" s="267">
        <f t="shared" si="32"/>
        <v>117</v>
      </c>
      <c r="BG51" s="269">
        <f>AY51*VLOOKUP($B51,'Major Cities &amp; Towns'!$A$28:$B$345,2,FALSE)</f>
        <v>200</v>
      </c>
      <c r="BH51" s="269">
        <f>AZ51*VLOOKUP($B51,'Major Cities &amp; Towns'!$A$28:$B$345,2,FALSE)</f>
        <v>198</v>
      </c>
      <c r="BI51" s="269">
        <f>BA51*VLOOKUP($B51,'Major Cities &amp; Towns'!$A$28:$B$345,2,FALSE)</f>
        <v>194</v>
      </c>
      <c r="BJ51" s="269">
        <f>BB51*VLOOKUP($B51,'Major Cities &amp; Towns'!$A$28:$B$345,2,FALSE)</f>
        <v>130</v>
      </c>
      <c r="BK51" s="269">
        <f>BC51*VLOOKUP($B51,'Major Cities &amp; Towns'!$A$28:$B$345,2,FALSE)</f>
        <v>129</v>
      </c>
      <c r="BL51" s="269">
        <f>BD51*VLOOKUP($B51,'Major Cities &amp; Towns'!$A$28:$B$345,2,FALSE)</f>
        <v>125</v>
      </c>
      <c r="BM51" s="269">
        <f>BE51*VLOOKUP($B51,'Major Cities &amp; Towns'!$A$28:$B$345,2,FALSE)</f>
        <v>120</v>
      </c>
      <c r="BN51" s="269">
        <f>BF51*VLOOKUP($B51,'Major Cities &amp; Towns'!$A$28:$B$345,2,FALSE)</f>
        <v>117</v>
      </c>
      <c r="BO51" s="270">
        <f t="shared" si="33"/>
        <v>200</v>
      </c>
      <c r="BP51" s="270">
        <f t="shared" si="50"/>
        <v>198</v>
      </c>
      <c r="BQ51" s="270">
        <f t="shared" si="50"/>
        <v>194</v>
      </c>
      <c r="BR51" s="270">
        <f t="shared" si="50"/>
        <v>130</v>
      </c>
      <c r="BS51" s="270">
        <f t="shared" si="49"/>
        <v>129</v>
      </c>
      <c r="BT51" s="270">
        <f t="shared" si="49"/>
        <v>125</v>
      </c>
      <c r="BU51" s="270">
        <f t="shared" si="49"/>
        <v>120</v>
      </c>
      <c r="BV51" s="270">
        <f t="shared" si="49"/>
        <v>117</v>
      </c>
      <c r="BW51" s="39">
        <f>VLOOKUP($A51,NetAdditions!$A$2:$H$336,6,FALSE)</f>
        <v>592</v>
      </c>
      <c r="BX51" s="39">
        <f>VLOOKUP($A51,NetAdditions!$A$2:$H$336,7,FALSE)</f>
        <v>663</v>
      </c>
      <c r="BY51" s="39">
        <f>IF((VLOOKUP($C51,NetAdditions!$A$2:$H$336,8,FALSE))="",(AVERAGE(VLOOKUP($C51,NetAdditions!$A$2:$H$336,5,FALSE),VLOOKUP($C51,NetAdditions!$A$2:$H$336,6,FALSE),VLOOKUP($C51,NetAdditions!$A$2:$H$336,7,FALSE))),VLOOKUP($C51,NetAdditions!$A$2:$H$336,8,FALSE))</f>
        <v>471</v>
      </c>
      <c r="BZ51" s="39">
        <f t="shared" si="35"/>
        <v>575.33333333333337</v>
      </c>
      <c r="CA51" s="39">
        <f t="shared" si="35"/>
        <v>569.77777777777783</v>
      </c>
      <c r="CB51" s="39">
        <f t="shared" si="35"/>
        <v>538.70370370370381</v>
      </c>
      <c r="CC51" s="39">
        <f t="shared" si="35"/>
        <v>561.27160493827171</v>
      </c>
      <c r="CD51" s="39">
        <f t="shared" si="35"/>
        <v>556.58436213991774</v>
      </c>
      <c r="CE51" s="276">
        <f t="shared" si="5"/>
        <v>592</v>
      </c>
      <c r="CF51" s="276">
        <f t="shared" si="6"/>
        <v>522</v>
      </c>
      <c r="CG51" s="276">
        <f t="shared" si="7"/>
        <v>453</v>
      </c>
      <c r="CH51" s="276">
        <f t="shared" si="8"/>
        <v>384</v>
      </c>
      <c r="CI51" s="276">
        <f t="shared" si="9"/>
        <v>374</v>
      </c>
      <c r="CJ51" s="276">
        <f t="shared" si="10"/>
        <v>362</v>
      </c>
      <c r="CK51" s="276">
        <f t="shared" si="36"/>
        <v>509.77777777777783</v>
      </c>
      <c r="CL51" s="276">
        <f t="shared" si="37"/>
        <v>449.5</v>
      </c>
      <c r="CM51" s="276">
        <f t="shared" si="38"/>
        <v>415.25</v>
      </c>
      <c r="CN51" s="276">
        <f t="shared" si="39"/>
        <v>384</v>
      </c>
      <c r="CO51" s="276">
        <f t="shared" si="39"/>
        <v>374</v>
      </c>
      <c r="CP51" s="276">
        <f t="shared" si="11"/>
        <v>362</v>
      </c>
      <c r="CQ51" s="39">
        <f t="shared" si="12"/>
        <v>1726</v>
      </c>
      <c r="CR51" s="39">
        <f t="shared" si="13"/>
        <v>1709.3333333333335</v>
      </c>
      <c r="CS51" s="277">
        <f t="shared" si="14"/>
        <v>1616.1111111111113</v>
      </c>
      <c r="CT51" s="39">
        <f t="shared" si="15"/>
        <v>1683.8148148148152</v>
      </c>
      <c r="CU51" s="39">
        <f t="shared" si="16"/>
        <v>1669.7530864197533</v>
      </c>
      <c r="CV51" s="39">
        <f t="shared" si="17"/>
        <v>1656.5596707818931</v>
      </c>
      <c r="CW51" s="297">
        <f t="shared" si="18"/>
        <v>3.3857890148212726</v>
      </c>
      <c r="CX51" s="279" t="str">
        <f t="shared" si="40"/>
        <v>Pass</v>
      </c>
      <c r="CY51" s="278">
        <f t="shared" si="19"/>
        <v>3.8027437893956253</v>
      </c>
      <c r="CZ51" s="279" t="str">
        <f t="shared" si="41"/>
        <v>Pass</v>
      </c>
      <c r="DA51" s="278">
        <f t="shared" si="20"/>
        <v>3.8918991236872036</v>
      </c>
      <c r="DB51" s="292" t="str">
        <f t="shared" si="42"/>
        <v>Pass</v>
      </c>
      <c r="DC51" s="299">
        <f t="shared" si="43"/>
        <v>4.3849344135802477</v>
      </c>
      <c r="DD51" s="293" t="str">
        <f t="shared" si="44"/>
        <v>Pass</v>
      </c>
      <c r="DE51" s="299">
        <f t="shared" si="45"/>
        <v>4.4645804449726025</v>
      </c>
      <c r="DF51" s="293" t="str">
        <f t="shared" si="46"/>
        <v>Pass</v>
      </c>
      <c r="DG51" s="299">
        <f t="shared" si="47"/>
        <v>4.5761316872427988</v>
      </c>
      <c r="DH51" s="293" t="str">
        <f t="shared" si="48"/>
        <v>Pass</v>
      </c>
    </row>
    <row r="52" spans="1:112" ht="15" thickTop="1" thickBot="1">
      <c r="A52" s="38" t="s">
        <v>213</v>
      </c>
      <c r="B52" s="38" t="s">
        <v>214</v>
      </c>
      <c r="C52" s="38" t="s">
        <v>213</v>
      </c>
      <c r="D52" s="38" t="s">
        <v>128</v>
      </c>
      <c r="E52" s="38" t="str">
        <f>VLOOKUP(C52,PoliticalControl!A:K,11,FALSE)</f>
        <v>CON</v>
      </c>
      <c r="F52" s="38" t="str">
        <f>VLOOKUP(C52,UrbanRuralClassification!A:N,13,FALSE)</f>
        <v>Urban with City and Town</v>
      </c>
      <c r="G52" s="38" t="str">
        <f>VLOOKUP(C52,UrbanRuralClassification!A:N,14,FALSE)</f>
        <v>Predominantly Urban</v>
      </c>
      <c r="H52" s="258" t="str">
        <f>IF(ISBLANK((VLOOKUP($A52,'local-plan-data'!$C$1:$AD$566,27,FALSE)))=TRUE,"",VLOOKUP($A52,'local-plan-data'!$C$1:$AD$566,27,FALSE))</f>
        <v/>
      </c>
      <c r="I52" s="259">
        <f>VLOOKUP($A52,'local-plan-data'!$C$1:$AD$566,28,FALSE)</f>
        <v>357.8</v>
      </c>
      <c r="J52" s="260">
        <f t="shared" si="21"/>
        <v>357.8</v>
      </c>
      <c r="K52" s="259" t="str">
        <f t="shared" si="51"/>
        <v>-</v>
      </c>
      <c r="L52" s="259" t="str">
        <f t="shared" si="51"/>
        <v>-</v>
      </c>
      <c r="M52" s="259" t="str">
        <f t="shared" si="51"/>
        <v>-</v>
      </c>
      <c r="N52" s="259" t="str">
        <f t="shared" si="51"/>
        <v>-</v>
      </c>
      <c r="O52" s="259" t="str">
        <f t="shared" si="51"/>
        <v>-</v>
      </c>
      <c r="P52" s="259" t="str">
        <f t="shared" si="51"/>
        <v>-</v>
      </c>
      <c r="Q52" s="259" t="str">
        <f t="shared" si="51"/>
        <v>-</v>
      </c>
      <c r="R52" s="259" t="str">
        <f t="shared" si="51"/>
        <v>-</v>
      </c>
      <c r="S52" s="259" t="str">
        <f t="shared" si="52"/>
        <v>-</v>
      </c>
      <c r="T52" s="259" t="str">
        <f t="shared" si="52"/>
        <v>-</v>
      </c>
      <c r="U52" s="259" t="str">
        <f t="shared" si="52"/>
        <v>-</v>
      </c>
      <c r="V52" s="259" t="str">
        <f t="shared" si="52"/>
        <v>-</v>
      </c>
      <c r="W52" s="259" t="str">
        <f t="shared" si="52"/>
        <v>-</v>
      </c>
      <c r="X52" s="259" t="str">
        <f t="shared" si="52"/>
        <v>-</v>
      </c>
      <c r="Y52" s="259" t="str">
        <f t="shared" si="52"/>
        <v>-</v>
      </c>
      <c r="Z52" s="259" t="str">
        <f t="shared" si="52"/>
        <v>-</v>
      </c>
      <c r="AA52" s="267">
        <f>(VLOOKUP(A52,Hshldprojections2014!$A$2:$AW$319,40, FALSE)-VLOOKUP(A52,Hshldprojections2014!$A$2:$AW$319,30, FALSE))/10</f>
        <v>252.4</v>
      </c>
      <c r="AB52" s="267">
        <f>(VLOOKUP(A52,Hshldprojections2014!$A$2:$AW$319,41, FALSE)-VLOOKUP(A52,Hshldprojections2014!$A$2:$AW$319,31, FALSE))/10</f>
        <v>252</v>
      </c>
      <c r="AC52" s="267">
        <f>(VLOOKUP(A52,Hshldprojections2014!$A$2:$AW$319,42, FALSE)-VLOOKUP(A52,Hshldprojections2014!$A$2:$AW$319,32, FALSE))/10</f>
        <v>252.7</v>
      </c>
      <c r="AD52" s="267">
        <f>IF(IndividualLATest!$J$7=2014,(VLOOKUP($A52,Hshldprojections2014!$A$2:$AY$326,43,FALSE)-VLOOKUP($A52,Hshldprojections2014!$A$2:$AY$326,33,FALSE))/10,IF(IndividualLATest!$J$7=2016,(VLOOKUP($A52,Hshldprojections2016!$A$1:$AQ$322,33,FALSE)-VLOOKUP($A52,Hshldprojections2016!$A$1:$AQ$322,23,FALSE))/10,(VLOOKUP($A52,Hshldprojections2018!$A$1:$AQ$327,33,FALSE)-VLOOKUP($A52,Hshldprojections2018!$A$1:$AQ$327,23,FALSE))/10))</f>
        <v>146</v>
      </c>
      <c r="AE52" s="267">
        <f>IF(IndividualLATest!$J$7=2014,(VLOOKUP($A52,Hshldprojections2014!$A$2:$AY$326,44,FALSE)-VLOOKUP($A52,Hshldprojections2014!$A$2:$AY$326,34,FALSE))/10,IF(IndividualLATest!$J$7=2016,(VLOOKUP($A52,Hshldprojections2016!$A$1:$AQ$322,34,FALSE)-VLOOKUP($A52,Hshldprojections2016!$A$1:$AQ$322,24,FALSE))/10,(VLOOKUP($A52,Hshldprojections2018!$A$1:$AQ$327,34,FALSE)-VLOOKUP($A52,Hshldprojections2018!$A$1:$AQ$327,24,FALSE))/10))</f>
        <v>141.80000000000001</v>
      </c>
      <c r="AF52" s="267">
        <f>IF(IndividualLATest!$J$7=2014,(VLOOKUP($A52,Hshldprojections2014!$A$2:$AY$326,45,FALSE)-VLOOKUP($A52,Hshldprojections2014!$A$2:$AY$326,35,FALSE))/10,IF(IndividualLATest!$J$7=2016,(VLOOKUP($A52,Hshldprojections2016!$A$1:$AQ$322,35,FALSE)-VLOOKUP($A52,Hshldprojections2016!$A$1:$AQ$322,25,FALSE))/10,(VLOOKUP($A52,Hshldprojections2018!$A$1:$AQ$327,35,FALSE)-VLOOKUP($A52,Hshldprojections2018!$A$1:$AQ$327,25,FALSE))/10))</f>
        <v>139.80000000000001</v>
      </c>
      <c r="AG52" s="267">
        <f>IF(IndividualLATest!$J$7=2014,(VLOOKUP($A52,Hshldprojections2014!$A$2:$AY$326,46,FALSE)-VLOOKUP($A52,Hshldprojections2014!$A$2:$AY$326,36,FALSE))/10,IF(IndividualLATest!$J$7=2016,(VLOOKUP($A52,Hshldprojections2016!$A$1:$AQ$322,36,FALSE)-VLOOKUP($A52,Hshldprojections2016!$A$1:$AQ$322,26,FALSE))/10,(VLOOKUP($A52,Hshldprojections2018!$A$1:$AQ$327,36,FALSE)-VLOOKUP($A52,Hshldprojections2018!$A$1:$AQ$327,26,FALSE))/10))</f>
        <v>139.1</v>
      </c>
      <c r="AH52" s="267">
        <f>IF(IndividualLATest!$J$7=2014,(VLOOKUP($A52,Hshldprojections2014!$A$2:$AY$326,47,FALSE)-VLOOKUP($A52,Hshldprojections2014!$A$2:$AY$326,37,FALSE))/10,IF(IndividualLATest!$J$7=2016,(VLOOKUP($A52,Hshldprojections2016!$A$1:$AQ$322,37,FALSE)-VLOOKUP($A52,Hshldprojections2016!$A$1:$AQ$322,27,FALSE))/10,(VLOOKUP($A52,Hshldprojections2018!$A$1:$AQ$327,37,FALSE)-VLOOKUP($A52,Hshldprojections2018!$A$1:$AQ$327,27,FALSE))/10))</f>
        <v>138.30000000000001</v>
      </c>
      <c r="AI52" s="268">
        <f>IF(ISNUMBER('Sensitivity Tests'!$C$30),'Sensitivity Tests'!$C$30,VLOOKUP($A52,AffordabilityRatio!$A$2:$I$321,5,FALSE))</f>
        <v>11.56</v>
      </c>
      <c r="AJ52" s="268">
        <f>IF(ISNUMBER('Sensitivity Tests'!$C$30),'Sensitivity Tests'!$C$30,VLOOKUP($A52,AffordabilityRatio!$A$2:$I$321,6,FALSE))</f>
        <v>10.66</v>
      </c>
      <c r="AK52" s="268">
        <f>IF(ISNUMBER('Sensitivity Tests'!$C$30),'Sensitivity Tests'!$C$30,VLOOKUP($A52,AffordabilityRatio!$A$2:$I$321,7,FALSE))</f>
        <v>10.77</v>
      </c>
      <c r="AL52" s="268">
        <f>IF(ISNUMBER('Sensitivity Tests'!$C$30),'Sensitivity Tests'!$C$30,IF((VLOOKUP($A52,AffordabilityRatio!$A$2:$I$321,8,FALSE))="",AK52,VLOOKUP($A52,AffordabilityRatio!$A$2:$I$321,8,FALSE)))</f>
        <v>11.1</v>
      </c>
      <c r="AM52" s="268">
        <f>IF(ISNUMBER('Sensitivity Tests'!$C$30),'Sensitivity Tests'!$C$30,IF((VLOOKUP($A52,AffordabilityRatio!$A$2:$I$321,9,FALSE))="",AL52,VLOOKUP($A52,AffordabilityRatio!$A$2:$I$321,9,FALSE)))</f>
        <v>12.37</v>
      </c>
      <c r="AN52" s="268">
        <f>IF(ISNUMBER('Sensitivity Tests'!$C$30),'Sensitivity Tests'!$C$30,IF((VLOOKUP($A52,AffordabilityRatio!$A$2:$I$321,9,FALSE))="",AM52,VLOOKUP($A52,AffordabilityRatio!$A$2:$I$321,9,FALSE)))</f>
        <v>12.37</v>
      </c>
      <c r="AO52" s="268">
        <f>IF(ISNUMBER('Sensitivity Tests'!$C$30),'Sensitivity Tests'!$C$30,IF((VLOOKUP($A52,AffordabilityRatio!$A$2:$I$321,9,FALSE))="",AN52,VLOOKUP($A52,AffordabilityRatio!$A$2:$I$321,9,FALSE)))</f>
        <v>12.37</v>
      </c>
      <c r="AP52" s="268">
        <f>IF(ISNUMBER('Sensitivity Tests'!$C$30),'Sensitivity Tests'!$C$30,IF((VLOOKUP($A52,AffordabilityRatio!$A$2:$I$321,9,FALSE))="",AO52,VLOOKUP($A52,AffordabilityRatio!$A$2:$I$321,9,FALSE)))</f>
        <v>12.37</v>
      </c>
      <c r="AQ52" s="267">
        <f t="shared" si="53"/>
        <v>372</v>
      </c>
      <c r="AR52" s="267">
        <f t="shared" si="53"/>
        <v>357</v>
      </c>
      <c r="AS52" s="267">
        <f t="shared" si="53"/>
        <v>360</v>
      </c>
      <c r="AT52" s="267">
        <f t="shared" si="53"/>
        <v>211</v>
      </c>
      <c r="AU52" s="267">
        <f t="shared" si="53"/>
        <v>216</v>
      </c>
      <c r="AV52" s="267">
        <f t="shared" si="53"/>
        <v>213</v>
      </c>
      <c r="AW52" s="267">
        <f t="shared" si="53"/>
        <v>212</v>
      </c>
      <c r="AX52" s="267">
        <f t="shared" si="53"/>
        <v>211</v>
      </c>
      <c r="AY52" s="267">
        <f t="shared" si="25"/>
        <v>372</v>
      </c>
      <c r="AZ52" s="267">
        <f t="shared" si="26"/>
        <v>357</v>
      </c>
      <c r="BA52" s="267">
        <f t="shared" si="27"/>
        <v>360</v>
      </c>
      <c r="BB52" s="267">
        <f t="shared" si="28"/>
        <v>211</v>
      </c>
      <c r="BC52" s="267">
        <f t="shared" si="29"/>
        <v>216</v>
      </c>
      <c r="BD52" s="267">
        <f t="shared" si="30"/>
        <v>213</v>
      </c>
      <c r="BE52" s="267">
        <f t="shared" si="31"/>
        <v>212</v>
      </c>
      <c r="BF52" s="267">
        <f t="shared" si="32"/>
        <v>211</v>
      </c>
      <c r="BG52" s="269">
        <f>AY52*VLOOKUP($B52,'Major Cities &amp; Towns'!$A$28:$B$345,2,FALSE)</f>
        <v>372</v>
      </c>
      <c r="BH52" s="269">
        <f>AZ52*VLOOKUP($B52,'Major Cities &amp; Towns'!$A$28:$B$345,2,FALSE)</f>
        <v>357</v>
      </c>
      <c r="BI52" s="269">
        <f>BA52*VLOOKUP($B52,'Major Cities &amp; Towns'!$A$28:$B$345,2,FALSE)</f>
        <v>360</v>
      </c>
      <c r="BJ52" s="269">
        <f>BB52*VLOOKUP($B52,'Major Cities &amp; Towns'!$A$28:$B$345,2,FALSE)</f>
        <v>211</v>
      </c>
      <c r="BK52" s="269">
        <f>BC52*VLOOKUP($B52,'Major Cities &amp; Towns'!$A$28:$B$345,2,FALSE)</f>
        <v>216</v>
      </c>
      <c r="BL52" s="269">
        <f>BD52*VLOOKUP($B52,'Major Cities &amp; Towns'!$A$28:$B$345,2,FALSE)</f>
        <v>213</v>
      </c>
      <c r="BM52" s="269">
        <f>BE52*VLOOKUP($B52,'Major Cities &amp; Towns'!$A$28:$B$345,2,FALSE)</f>
        <v>212</v>
      </c>
      <c r="BN52" s="269">
        <f>BF52*VLOOKUP($B52,'Major Cities &amp; Towns'!$A$28:$B$345,2,FALSE)</f>
        <v>211</v>
      </c>
      <c r="BO52" s="270">
        <f t="shared" si="33"/>
        <v>372</v>
      </c>
      <c r="BP52" s="270">
        <f t="shared" si="50"/>
        <v>357</v>
      </c>
      <c r="BQ52" s="270">
        <f t="shared" si="50"/>
        <v>360</v>
      </c>
      <c r="BR52" s="270">
        <f t="shared" si="50"/>
        <v>211</v>
      </c>
      <c r="BS52" s="270">
        <f t="shared" si="49"/>
        <v>216</v>
      </c>
      <c r="BT52" s="270">
        <f t="shared" si="49"/>
        <v>213</v>
      </c>
      <c r="BU52" s="270">
        <f t="shared" si="49"/>
        <v>212</v>
      </c>
      <c r="BV52" s="270">
        <f t="shared" si="49"/>
        <v>211</v>
      </c>
      <c r="BW52" s="39">
        <f>VLOOKUP($A52,NetAdditions!$A$2:$H$336,6,FALSE)</f>
        <v>203</v>
      </c>
      <c r="BX52" s="39">
        <f>VLOOKUP($A52,NetAdditions!$A$2:$H$336,7,FALSE)</f>
        <v>74</v>
      </c>
      <c r="BY52" s="39">
        <f>IF((VLOOKUP($C52,NetAdditions!$A$2:$H$336,8,FALSE))="",(AVERAGE(VLOOKUP($C52,NetAdditions!$A$2:$H$336,5,FALSE),VLOOKUP($C52,NetAdditions!$A$2:$H$336,6,FALSE),VLOOKUP($C52,NetAdditions!$A$2:$H$336,7,FALSE))),VLOOKUP($C52,NetAdditions!$A$2:$H$336,8,FALSE))</f>
        <v>171</v>
      </c>
      <c r="BZ52" s="39">
        <f t="shared" si="35"/>
        <v>149.33333333333334</v>
      </c>
      <c r="CA52" s="39">
        <f t="shared" si="35"/>
        <v>131.44444444444446</v>
      </c>
      <c r="CB52" s="39">
        <f t="shared" si="35"/>
        <v>150.59259259259261</v>
      </c>
      <c r="CC52" s="39">
        <f t="shared" si="35"/>
        <v>143.79012345679016</v>
      </c>
      <c r="CD52" s="39">
        <f t="shared" si="35"/>
        <v>141.94238683127574</v>
      </c>
      <c r="CE52" s="276">
        <f t="shared" si="5"/>
        <v>1089</v>
      </c>
      <c r="CF52" s="276">
        <f t="shared" si="6"/>
        <v>928</v>
      </c>
      <c r="CG52" s="276">
        <f t="shared" si="7"/>
        <v>787</v>
      </c>
      <c r="CH52" s="276">
        <f t="shared" si="8"/>
        <v>640</v>
      </c>
      <c r="CI52" s="276">
        <f t="shared" si="9"/>
        <v>641</v>
      </c>
      <c r="CJ52" s="276">
        <f t="shared" si="10"/>
        <v>636</v>
      </c>
      <c r="CK52" s="276">
        <f t="shared" si="36"/>
        <v>937.75</v>
      </c>
      <c r="CL52" s="276">
        <f t="shared" si="37"/>
        <v>799.1111111111112</v>
      </c>
      <c r="CM52" s="276">
        <f t="shared" si="38"/>
        <v>721.41666666666663</v>
      </c>
      <c r="CN52" s="276">
        <f t="shared" si="39"/>
        <v>640</v>
      </c>
      <c r="CO52" s="276">
        <f t="shared" si="39"/>
        <v>641</v>
      </c>
      <c r="CP52" s="276">
        <f t="shared" si="11"/>
        <v>636</v>
      </c>
      <c r="CQ52" s="39">
        <f t="shared" si="12"/>
        <v>448</v>
      </c>
      <c r="CR52" s="39">
        <f t="shared" si="13"/>
        <v>394.33333333333337</v>
      </c>
      <c r="CS52" s="277">
        <f t="shared" si="14"/>
        <v>451.77777777777783</v>
      </c>
      <c r="CT52" s="39">
        <f t="shared" si="15"/>
        <v>431.37037037037044</v>
      </c>
      <c r="CU52" s="39">
        <f t="shared" si="16"/>
        <v>425.82716049382725</v>
      </c>
      <c r="CV52" s="39">
        <f t="shared" si="17"/>
        <v>436.32510288065851</v>
      </c>
      <c r="CW52" s="297">
        <f t="shared" si="18"/>
        <v>0.47773926952812584</v>
      </c>
      <c r="CX52" s="279" t="str">
        <f t="shared" si="40"/>
        <v>Buffer and Action Plan</v>
      </c>
      <c r="CY52" s="278">
        <f t="shared" si="19"/>
        <v>0.49346496106785315</v>
      </c>
      <c r="CZ52" s="279" t="str">
        <f t="shared" si="41"/>
        <v>Buffer and Action Plan</v>
      </c>
      <c r="DA52" s="278">
        <f t="shared" si="20"/>
        <v>0.62623695660544465</v>
      </c>
      <c r="DB52" s="292" t="str">
        <f t="shared" si="42"/>
        <v>Presumption</v>
      </c>
      <c r="DC52" s="299">
        <f t="shared" si="43"/>
        <v>0.67401620370370385</v>
      </c>
      <c r="DD52" s="293" t="str">
        <f t="shared" si="44"/>
        <v>Presumption</v>
      </c>
      <c r="DE52" s="299">
        <f t="shared" si="45"/>
        <v>0.66431694304809241</v>
      </c>
      <c r="DF52" s="293" t="str">
        <f t="shared" si="46"/>
        <v>Presumption</v>
      </c>
      <c r="DG52" s="299">
        <f t="shared" si="47"/>
        <v>0.68604575924631839</v>
      </c>
      <c r="DH52" s="293" t="str">
        <f t="shared" si="48"/>
        <v>Presumption</v>
      </c>
    </row>
    <row r="53" spans="1:112" ht="15" thickTop="1" thickBot="1">
      <c r="A53" s="38" t="s">
        <v>215</v>
      </c>
      <c r="B53" s="38" t="s">
        <v>216</v>
      </c>
      <c r="C53" s="38" t="s">
        <v>215</v>
      </c>
      <c r="D53" s="38" t="s">
        <v>128</v>
      </c>
      <c r="E53" s="38" t="str">
        <f>VLOOKUP(C53,PoliticalControl!A:K,11,FALSE)</f>
        <v>CON</v>
      </c>
      <c r="F53" s="38" t="str">
        <f>VLOOKUP(C53,UrbanRuralClassification!A:N,13,FALSE)</f>
        <v xml:space="preserve">Largely Rural (rural including hub towns 50-79%) </v>
      </c>
      <c r="G53" s="38" t="str">
        <f>VLOOKUP(C53,UrbanRuralClassification!A:N,14,FALSE)</f>
        <v>Predominantly Rural</v>
      </c>
      <c r="H53" s="258">
        <f>IF(ISBLANK((VLOOKUP($A53,'local-plan-data'!$C$1:$AD$566,27,FALSE)))=TRUE,"",VLOOKUP($A53,'local-plan-data'!$C$1:$AD$566,27,FALSE))</f>
        <v>44399</v>
      </c>
      <c r="I53" s="259">
        <f>VLOOKUP($A53,'local-plan-data'!$C$1:$AD$566,28,FALSE)</f>
        <v>1967.5</v>
      </c>
      <c r="J53" s="260">
        <f t="shared" si="21"/>
        <v>1967.5</v>
      </c>
      <c r="K53" s="259">
        <f t="shared" si="51"/>
        <v>1967.5</v>
      </c>
      <c r="L53" s="259">
        <f t="shared" si="51"/>
        <v>1967.5</v>
      </c>
      <c r="M53" s="259">
        <f t="shared" si="51"/>
        <v>1967.5</v>
      </c>
      <c r="N53" s="259">
        <f t="shared" si="51"/>
        <v>1967.5</v>
      </c>
      <c r="O53" s="259">
        <f t="shared" si="51"/>
        <v>1967.5</v>
      </c>
      <c r="P53" s="259">
        <f t="shared" si="51"/>
        <v>1967.5</v>
      </c>
      <c r="Q53" s="259">
        <f t="shared" si="51"/>
        <v>1967.5</v>
      </c>
      <c r="R53" s="259">
        <f t="shared" si="51"/>
        <v>1967.5</v>
      </c>
      <c r="S53" s="259">
        <f t="shared" si="52"/>
        <v>3034</v>
      </c>
      <c r="T53" s="259">
        <f t="shared" si="52"/>
        <v>2669</v>
      </c>
      <c r="U53" s="259">
        <f t="shared" si="52"/>
        <v>2303</v>
      </c>
      <c r="V53" s="259">
        <f t="shared" si="52"/>
        <v>1938</v>
      </c>
      <c r="W53" s="259">
        <f t="shared" si="52"/>
        <v>1573</v>
      </c>
      <c r="X53" s="259">
        <f t="shared" si="52"/>
        <v>1208</v>
      </c>
      <c r="Y53" s="259">
        <f t="shared" si="52"/>
        <v>842</v>
      </c>
      <c r="Z53" s="259">
        <f t="shared" si="52"/>
        <v>477</v>
      </c>
      <c r="AA53" s="267">
        <f>(VLOOKUP(A53,Hshldprojections2014!$A$2:$AW$319,40, FALSE)-VLOOKUP(A53,Hshldprojections2014!$A$2:$AW$319,30, FALSE))/10</f>
        <v>1766.6</v>
      </c>
      <c r="AB53" s="267">
        <f>(VLOOKUP(A53,Hshldprojections2014!$A$2:$AW$319,41, FALSE)-VLOOKUP(A53,Hshldprojections2014!$A$2:$AW$319,31, FALSE))/10</f>
        <v>1733.9</v>
      </c>
      <c r="AC53" s="267">
        <f>(VLOOKUP(A53,Hshldprojections2014!$A$2:$AW$319,42, FALSE)-VLOOKUP(A53,Hshldprojections2014!$A$2:$AW$319,32, FALSE))/10</f>
        <v>1707.5</v>
      </c>
      <c r="AD53" s="267">
        <f>IF(IndividualLATest!$J$7=2014,(VLOOKUP($A53,Hshldprojections2014!$A$2:$AY$326,43,FALSE)-VLOOKUP($A53,Hshldprojections2014!$A$2:$AY$326,33,FALSE))/10,IF(IndividualLATest!$J$7=2016,(VLOOKUP($A53,Hshldprojections2016!$A$1:$AQ$322,33,FALSE)-VLOOKUP($A53,Hshldprojections2016!$A$1:$AQ$322,23,FALSE))/10,(VLOOKUP($A53,Hshldprojections2018!$A$1:$AQ$327,33,FALSE)-VLOOKUP($A53,Hshldprojections2018!$A$1:$AQ$327,23,FALSE))/10))</f>
        <v>1227.8</v>
      </c>
      <c r="AE53" s="267">
        <f>IF(IndividualLATest!$J$7=2014,(VLOOKUP($A53,Hshldprojections2014!$A$2:$AY$326,44,FALSE)-VLOOKUP($A53,Hshldprojections2014!$A$2:$AY$326,34,FALSE))/10,IF(IndividualLATest!$J$7=2016,(VLOOKUP($A53,Hshldprojections2016!$A$1:$AQ$322,34,FALSE)-VLOOKUP($A53,Hshldprojections2016!$A$1:$AQ$322,24,FALSE))/10,(VLOOKUP($A53,Hshldprojections2018!$A$1:$AQ$327,34,FALSE)-VLOOKUP($A53,Hshldprojections2018!$A$1:$AQ$327,24,FALSE))/10))</f>
        <v>1180.5999999999999</v>
      </c>
      <c r="AF53" s="267">
        <f>IF(IndividualLATest!$J$7=2014,(VLOOKUP($A53,Hshldprojections2014!$A$2:$AY$326,45,FALSE)-VLOOKUP($A53,Hshldprojections2014!$A$2:$AY$326,35,FALSE))/10,IF(IndividualLATest!$J$7=2016,(VLOOKUP($A53,Hshldprojections2016!$A$1:$AQ$322,35,FALSE)-VLOOKUP($A53,Hshldprojections2016!$A$1:$AQ$322,25,FALSE))/10,(VLOOKUP($A53,Hshldprojections2018!$A$1:$AQ$327,35,FALSE)-VLOOKUP($A53,Hshldprojections2018!$A$1:$AQ$327,25,FALSE))/10))</f>
        <v>1138</v>
      </c>
      <c r="AG53" s="267">
        <f>IF(IndividualLATest!$J$7=2014,(VLOOKUP($A53,Hshldprojections2014!$A$2:$AY$326,46,FALSE)-VLOOKUP($A53,Hshldprojections2014!$A$2:$AY$326,36,FALSE))/10,IF(IndividualLATest!$J$7=2016,(VLOOKUP($A53,Hshldprojections2016!$A$1:$AQ$322,36,FALSE)-VLOOKUP($A53,Hshldprojections2016!$A$1:$AQ$322,26,FALSE))/10,(VLOOKUP($A53,Hshldprojections2018!$A$1:$AQ$327,36,FALSE)-VLOOKUP($A53,Hshldprojections2018!$A$1:$AQ$327,26,FALSE))/10))</f>
        <v>1097.7</v>
      </c>
      <c r="AH53" s="267">
        <f>IF(IndividualLATest!$J$7=2014,(VLOOKUP($A53,Hshldprojections2014!$A$2:$AY$326,47,FALSE)-VLOOKUP($A53,Hshldprojections2014!$A$2:$AY$326,37,FALSE))/10,IF(IndividualLATest!$J$7=2016,(VLOOKUP($A53,Hshldprojections2016!$A$1:$AQ$322,37,FALSE)-VLOOKUP($A53,Hshldprojections2016!$A$1:$AQ$322,27,FALSE))/10,(VLOOKUP($A53,Hshldprojections2018!$A$1:$AQ$327,37,FALSE)-VLOOKUP($A53,Hshldprojections2018!$A$1:$AQ$327,27,FALSE))/10))</f>
        <v>1065</v>
      </c>
      <c r="AI53" s="268">
        <f>IF(ISNUMBER('Sensitivity Tests'!$C$30),'Sensitivity Tests'!$C$30,VLOOKUP($A53,AffordabilityRatio!$A$2:$I$321,5,FALSE))</f>
        <v>10.57</v>
      </c>
      <c r="AJ53" s="268">
        <f>IF(ISNUMBER('Sensitivity Tests'!$C$30),'Sensitivity Tests'!$C$30,VLOOKUP($A53,AffordabilityRatio!$A$2:$I$321,6,FALSE))</f>
        <v>10.88</v>
      </c>
      <c r="AK53" s="268">
        <f>IF(ISNUMBER('Sensitivity Tests'!$C$30),'Sensitivity Tests'!$C$30,VLOOKUP($A53,AffordabilityRatio!$A$2:$I$321,7,FALSE))</f>
        <v>10.36</v>
      </c>
      <c r="AL53" s="268">
        <f>IF(ISNUMBER('Sensitivity Tests'!$C$30),'Sensitivity Tests'!$C$30,IF((VLOOKUP($A53,AffordabilityRatio!$A$2:$I$321,8,FALSE))="",AK53,VLOOKUP($A53,AffordabilityRatio!$A$2:$I$321,8,FALSE)))</f>
        <v>10.26</v>
      </c>
      <c r="AM53" s="268">
        <f>IF(ISNUMBER('Sensitivity Tests'!$C$30),'Sensitivity Tests'!$C$30,IF((VLOOKUP($A53,AffordabilityRatio!$A$2:$I$321,9,FALSE))="",AL53,VLOOKUP($A53,AffordabilityRatio!$A$2:$I$321,9,FALSE)))</f>
        <v>10.8</v>
      </c>
      <c r="AN53" s="268">
        <f>IF(ISNUMBER('Sensitivity Tests'!$C$30),'Sensitivity Tests'!$C$30,IF((VLOOKUP($A53,AffordabilityRatio!$A$2:$I$321,9,FALSE))="",AM53,VLOOKUP($A53,AffordabilityRatio!$A$2:$I$321,9,FALSE)))</f>
        <v>10.8</v>
      </c>
      <c r="AO53" s="268">
        <f>IF(ISNUMBER('Sensitivity Tests'!$C$30),'Sensitivity Tests'!$C$30,IF((VLOOKUP($A53,AffordabilityRatio!$A$2:$I$321,9,FALSE))="",AN53,VLOOKUP($A53,AffordabilityRatio!$A$2:$I$321,9,FALSE)))</f>
        <v>10.8</v>
      </c>
      <c r="AP53" s="268">
        <f>IF(ISNUMBER('Sensitivity Tests'!$C$30),'Sensitivity Tests'!$C$30,IF((VLOOKUP($A53,AffordabilityRatio!$A$2:$I$321,9,FALSE))="",AO53,VLOOKUP($A53,AffordabilityRatio!$A$2:$I$321,9,FALSE)))</f>
        <v>10.8</v>
      </c>
      <c r="AQ53" s="267">
        <f t="shared" si="53"/>
        <v>2492</v>
      </c>
      <c r="AR53" s="267">
        <f t="shared" si="53"/>
        <v>2479</v>
      </c>
      <c r="AS53" s="267">
        <f t="shared" si="53"/>
        <v>2386</v>
      </c>
      <c r="AT53" s="267">
        <f t="shared" si="53"/>
        <v>1708</v>
      </c>
      <c r="AU53" s="267">
        <f t="shared" si="53"/>
        <v>1682</v>
      </c>
      <c r="AV53" s="267">
        <f t="shared" si="53"/>
        <v>1622</v>
      </c>
      <c r="AW53" s="267">
        <f t="shared" si="53"/>
        <v>1564</v>
      </c>
      <c r="AX53" s="267">
        <f t="shared" si="53"/>
        <v>1518</v>
      </c>
      <c r="AY53" s="267">
        <f t="shared" si="25"/>
        <v>2492</v>
      </c>
      <c r="AZ53" s="267">
        <f t="shared" si="26"/>
        <v>2479</v>
      </c>
      <c r="BA53" s="267">
        <f t="shared" si="27"/>
        <v>2386</v>
      </c>
      <c r="BB53" s="267">
        <f t="shared" si="28"/>
        <v>1708</v>
      </c>
      <c r="BC53" s="267">
        <f t="shared" si="29"/>
        <v>1682</v>
      </c>
      <c r="BD53" s="267">
        <f t="shared" si="30"/>
        <v>1622</v>
      </c>
      <c r="BE53" s="267">
        <f t="shared" si="31"/>
        <v>1564</v>
      </c>
      <c r="BF53" s="267">
        <f t="shared" si="32"/>
        <v>1518</v>
      </c>
      <c r="BG53" s="269">
        <f>AY53*VLOOKUP($B53,'Major Cities &amp; Towns'!$A$28:$B$345,2,FALSE)</f>
        <v>2492</v>
      </c>
      <c r="BH53" s="269">
        <f>AZ53*VLOOKUP($B53,'Major Cities &amp; Towns'!$A$28:$B$345,2,FALSE)</f>
        <v>2479</v>
      </c>
      <c r="BI53" s="269">
        <f>BA53*VLOOKUP($B53,'Major Cities &amp; Towns'!$A$28:$B$345,2,FALSE)</f>
        <v>2386</v>
      </c>
      <c r="BJ53" s="269">
        <f>BB53*VLOOKUP($B53,'Major Cities &amp; Towns'!$A$28:$B$345,2,FALSE)</f>
        <v>1708</v>
      </c>
      <c r="BK53" s="269">
        <f>BC53*VLOOKUP($B53,'Major Cities &amp; Towns'!$A$28:$B$345,2,FALSE)</f>
        <v>1682</v>
      </c>
      <c r="BL53" s="269">
        <f>BD53*VLOOKUP($B53,'Major Cities &amp; Towns'!$A$28:$B$345,2,FALSE)</f>
        <v>1622</v>
      </c>
      <c r="BM53" s="269">
        <f>BE53*VLOOKUP($B53,'Major Cities &amp; Towns'!$A$28:$B$345,2,FALSE)</f>
        <v>1564</v>
      </c>
      <c r="BN53" s="269">
        <f>BF53*VLOOKUP($B53,'Major Cities &amp; Towns'!$A$28:$B$345,2,FALSE)</f>
        <v>1518</v>
      </c>
      <c r="BO53" s="270">
        <f t="shared" si="33"/>
        <v>1967.5</v>
      </c>
      <c r="BP53" s="270">
        <f t="shared" si="50"/>
        <v>1967.5</v>
      </c>
      <c r="BQ53" s="270">
        <f t="shared" si="50"/>
        <v>1967.5</v>
      </c>
      <c r="BR53" s="270">
        <f t="shared" si="50"/>
        <v>1708</v>
      </c>
      <c r="BS53" s="270">
        <f t="shared" si="49"/>
        <v>1682</v>
      </c>
      <c r="BT53" s="270">
        <f t="shared" si="49"/>
        <v>1622</v>
      </c>
      <c r="BU53" s="270">
        <f t="shared" si="49"/>
        <v>1564</v>
      </c>
      <c r="BV53" s="270">
        <f t="shared" si="49"/>
        <v>1518</v>
      </c>
      <c r="BW53" s="39">
        <f>VLOOKUP($A53,NetAdditions!$A$2:$H$336,6,FALSE)</f>
        <v>2102</v>
      </c>
      <c r="BX53" s="39">
        <f>VLOOKUP($A53,NetAdditions!$A$2:$H$336,7,FALSE)</f>
        <v>2622</v>
      </c>
      <c r="BY53" s="39">
        <f>IF((VLOOKUP($C53,NetAdditions!$A$2:$H$336,8,FALSE))="",(AVERAGE(VLOOKUP($C53,NetAdditions!$A$2:$H$336,5,FALSE),VLOOKUP($C53,NetAdditions!$A$2:$H$336,6,FALSE),VLOOKUP($C53,NetAdditions!$A$2:$H$336,7,FALSE))),VLOOKUP($C53,NetAdditions!$A$2:$H$336,8,FALSE))</f>
        <v>2135</v>
      </c>
      <c r="BZ53" s="39">
        <f t="shared" si="35"/>
        <v>2286.3333333333335</v>
      </c>
      <c r="CA53" s="39">
        <f t="shared" si="35"/>
        <v>2347.7777777777778</v>
      </c>
      <c r="CB53" s="39">
        <f t="shared" si="35"/>
        <v>2256.3703703703704</v>
      </c>
      <c r="CC53" s="39">
        <f t="shared" si="35"/>
        <v>2296.8271604938273</v>
      </c>
      <c r="CD53" s="39">
        <f t="shared" si="35"/>
        <v>2300.3251028806585</v>
      </c>
      <c r="CE53" s="276">
        <f t="shared" si="5"/>
        <v>5902.5</v>
      </c>
      <c r="CF53" s="276">
        <f t="shared" si="6"/>
        <v>5643</v>
      </c>
      <c r="CG53" s="276">
        <f t="shared" si="7"/>
        <v>5357.5</v>
      </c>
      <c r="CH53" s="276">
        <f t="shared" si="8"/>
        <v>5012</v>
      </c>
      <c r="CI53" s="276">
        <f t="shared" si="9"/>
        <v>4868</v>
      </c>
      <c r="CJ53" s="276">
        <f t="shared" si="10"/>
        <v>4704</v>
      </c>
      <c r="CK53" s="276">
        <f t="shared" si="36"/>
        <v>5082.7083333333339</v>
      </c>
      <c r="CL53" s="276">
        <f t="shared" si="37"/>
        <v>4859.25</v>
      </c>
      <c r="CM53" s="276">
        <f t="shared" si="38"/>
        <v>4911.0416666666661</v>
      </c>
      <c r="CN53" s="276">
        <f t="shared" si="39"/>
        <v>5012</v>
      </c>
      <c r="CO53" s="276">
        <f t="shared" si="39"/>
        <v>4868</v>
      </c>
      <c r="CP53" s="276">
        <f t="shared" si="11"/>
        <v>4704</v>
      </c>
      <c r="CQ53" s="39">
        <f t="shared" si="12"/>
        <v>6859</v>
      </c>
      <c r="CR53" s="39">
        <f t="shared" si="13"/>
        <v>7043.3333333333339</v>
      </c>
      <c r="CS53" s="277">
        <f t="shared" si="14"/>
        <v>6769.1111111111113</v>
      </c>
      <c r="CT53" s="39">
        <f t="shared" si="15"/>
        <v>6890.4814814814818</v>
      </c>
      <c r="CU53" s="39">
        <f t="shared" si="16"/>
        <v>6900.9753086419751</v>
      </c>
      <c r="CV53" s="39">
        <f t="shared" si="17"/>
        <v>6853.5226337448566</v>
      </c>
      <c r="CW53" s="297">
        <f t="shared" si="18"/>
        <v>1.349477394761651</v>
      </c>
      <c r="CX53" s="279" t="str">
        <f t="shared" si="40"/>
        <v>Pass</v>
      </c>
      <c r="CY53" s="278">
        <f t="shared" si="19"/>
        <v>1.4494692253605668</v>
      </c>
      <c r="CZ53" s="279" t="str">
        <f t="shared" si="41"/>
        <v>Pass</v>
      </c>
      <c r="DA53" s="278">
        <f t="shared" si="20"/>
        <v>1.3783452820317033</v>
      </c>
      <c r="DB53" s="292" t="str">
        <f t="shared" si="42"/>
        <v>Pass</v>
      </c>
      <c r="DC53" s="299">
        <f t="shared" si="43"/>
        <v>1.3747967840146611</v>
      </c>
      <c r="DD53" s="293" t="str">
        <f t="shared" si="44"/>
        <v>Pass</v>
      </c>
      <c r="DE53" s="299">
        <f t="shared" si="45"/>
        <v>1.4176202359576777</v>
      </c>
      <c r="DF53" s="293" t="str">
        <f t="shared" si="46"/>
        <v>Pass</v>
      </c>
      <c r="DG53" s="299">
        <f t="shared" si="47"/>
        <v>1.456956342207665</v>
      </c>
      <c r="DH53" s="293" t="str">
        <f t="shared" si="48"/>
        <v>Pass</v>
      </c>
    </row>
    <row r="54" spans="1:112" ht="15" thickTop="1" thickBot="1">
      <c r="A54" s="38" t="s">
        <v>217</v>
      </c>
      <c r="B54" s="38" t="s">
        <v>218</v>
      </c>
      <c r="C54" s="38" t="s">
        <v>217</v>
      </c>
      <c r="D54" s="38" t="s">
        <v>119</v>
      </c>
      <c r="E54" s="38" t="str">
        <f>VLOOKUP(C54,PoliticalControl!A:K,11,FALSE)</f>
        <v>CON</v>
      </c>
      <c r="F54" s="38" t="str">
        <f>VLOOKUP(C54,UrbanRuralClassification!A:N,13,FALSE)</f>
        <v>Urban with City and Town</v>
      </c>
      <c r="G54" s="38" t="str">
        <f>VLOOKUP(C54,UrbanRuralClassification!A:N,14,FALSE)</f>
        <v>Predominantly Urban</v>
      </c>
      <c r="H54" s="258">
        <f>IF(ISBLANK((VLOOKUP($A54,'local-plan-data'!$C$1:$AD$566,27,FALSE)))=TRUE,"",VLOOKUP($A54,'local-plan-data'!$C$1:$AD$566,27,FALSE))</f>
        <v>42317</v>
      </c>
      <c r="I54" s="259">
        <f>VLOOKUP($A54,'local-plan-data'!$C$1:$AD$566,28,FALSE)</f>
        <v>820</v>
      </c>
      <c r="J54" s="260">
        <f t="shared" si="21"/>
        <v>820</v>
      </c>
      <c r="K54" s="259">
        <f t="shared" si="51"/>
        <v>820</v>
      </c>
      <c r="L54" s="259">
        <f t="shared" si="51"/>
        <v>820</v>
      </c>
      <c r="M54" s="259">
        <f t="shared" si="51"/>
        <v>820</v>
      </c>
      <c r="N54" s="259" t="str">
        <f t="shared" si="51"/>
        <v>-</v>
      </c>
      <c r="O54" s="259" t="str">
        <f t="shared" si="51"/>
        <v>-</v>
      </c>
      <c r="P54" s="259" t="str">
        <f t="shared" si="51"/>
        <v>-</v>
      </c>
      <c r="Q54" s="259" t="str">
        <f t="shared" si="51"/>
        <v>-</v>
      </c>
      <c r="R54" s="259" t="str">
        <f t="shared" si="51"/>
        <v>-</v>
      </c>
      <c r="S54" s="259">
        <f t="shared" si="52"/>
        <v>953</v>
      </c>
      <c r="T54" s="259">
        <f t="shared" si="52"/>
        <v>588</v>
      </c>
      <c r="U54" s="259">
        <f t="shared" si="52"/>
        <v>222</v>
      </c>
      <c r="V54" s="259">
        <f t="shared" si="52"/>
        <v>-143</v>
      </c>
      <c r="W54" s="259">
        <f t="shared" si="52"/>
        <v>-508</v>
      </c>
      <c r="X54" s="259">
        <f t="shared" si="52"/>
        <v>-873</v>
      </c>
      <c r="Y54" s="259">
        <f t="shared" si="52"/>
        <v>-1239</v>
      </c>
      <c r="Z54" s="259">
        <f t="shared" si="52"/>
        <v>-1604</v>
      </c>
      <c r="AA54" s="267">
        <f>(VLOOKUP(A54,Hshldprojections2014!$A$2:$AW$319,40, FALSE)-VLOOKUP(A54,Hshldprojections2014!$A$2:$AW$319,30, FALSE))/10</f>
        <v>902.2</v>
      </c>
      <c r="AB54" s="267">
        <f>(VLOOKUP(A54,Hshldprojections2014!$A$2:$AW$319,41, FALSE)-VLOOKUP(A54,Hshldprojections2014!$A$2:$AW$319,31, FALSE))/10</f>
        <v>900.3</v>
      </c>
      <c r="AC54" s="267">
        <f>(VLOOKUP(A54,Hshldprojections2014!$A$2:$AW$319,42, FALSE)-VLOOKUP(A54,Hshldprojections2014!$A$2:$AW$319,32, FALSE))/10</f>
        <v>900.8</v>
      </c>
      <c r="AD54" s="267">
        <f>IF(IndividualLATest!$J$7=2014,(VLOOKUP($A54,Hshldprojections2014!$A$2:$AY$326,43,FALSE)-VLOOKUP($A54,Hshldprojections2014!$A$2:$AY$326,33,FALSE))/10,IF(IndividualLATest!$J$7=2016,(VLOOKUP($A54,Hshldprojections2016!$A$1:$AQ$322,33,FALSE)-VLOOKUP($A54,Hshldprojections2016!$A$1:$AQ$322,23,FALSE))/10,(VLOOKUP($A54,Hshldprojections2018!$A$1:$AQ$327,33,FALSE)-VLOOKUP($A54,Hshldprojections2018!$A$1:$AQ$327,23,FALSE))/10))</f>
        <v>919.7</v>
      </c>
      <c r="AE54" s="267">
        <f>IF(IndividualLATest!$J$7=2014,(VLOOKUP($A54,Hshldprojections2014!$A$2:$AY$326,44,FALSE)-VLOOKUP($A54,Hshldprojections2014!$A$2:$AY$326,34,FALSE))/10,IF(IndividualLATest!$J$7=2016,(VLOOKUP($A54,Hshldprojections2016!$A$1:$AQ$322,34,FALSE)-VLOOKUP($A54,Hshldprojections2016!$A$1:$AQ$322,24,FALSE))/10,(VLOOKUP($A54,Hshldprojections2018!$A$1:$AQ$327,34,FALSE)-VLOOKUP($A54,Hshldprojections2018!$A$1:$AQ$327,24,FALSE))/10))</f>
        <v>914.5</v>
      </c>
      <c r="AF54" s="267">
        <f>IF(IndividualLATest!$J$7=2014,(VLOOKUP($A54,Hshldprojections2014!$A$2:$AY$326,45,FALSE)-VLOOKUP($A54,Hshldprojections2014!$A$2:$AY$326,35,FALSE))/10,IF(IndividualLATest!$J$7=2016,(VLOOKUP($A54,Hshldprojections2016!$A$1:$AQ$322,35,FALSE)-VLOOKUP($A54,Hshldprojections2016!$A$1:$AQ$322,25,FALSE))/10,(VLOOKUP($A54,Hshldprojections2018!$A$1:$AQ$327,35,FALSE)-VLOOKUP($A54,Hshldprojections2018!$A$1:$AQ$327,25,FALSE))/10))</f>
        <v>906</v>
      </c>
      <c r="AG54" s="267">
        <f>IF(IndividualLATest!$J$7=2014,(VLOOKUP($A54,Hshldprojections2014!$A$2:$AY$326,46,FALSE)-VLOOKUP($A54,Hshldprojections2014!$A$2:$AY$326,36,FALSE))/10,IF(IndividualLATest!$J$7=2016,(VLOOKUP($A54,Hshldprojections2016!$A$1:$AQ$322,36,FALSE)-VLOOKUP($A54,Hshldprojections2016!$A$1:$AQ$322,26,FALSE))/10,(VLOOKUP($A54,Hshldprojections2018!$A$1:$AQ$327,36,FALSE)-VLOOKUP($A54,Hshldprojections2018!$A$1:$AQ$327,26,FALSE))/10))</f>
        <v>889</v>
      </c>
      <c r="AH54" s="267">
        <f>IF(IndividualLATest!$J$7=2014,(VLOOKUP($A54,Hshldprojections2014!$A$2:$AY$326,47,FALSE)-VLOOKUP($A54,Hshldprojections2014!$A$2:$AY$326,37,FALSE))/10,IF(IndividualLATest!$J$7=2016,(VLOOKUP($A54,Hshldprojections2016!$A$1:$AQ$322,37,FALSE)-VLOOKUP($A54,Hshldprojections2016!$A$1:$AQ$322,27,FALSE))/10,(VLOOKUP($A54,Hshldprojections2018!$A$1:$AQ$327,37,FALSE)-VLOOKUP($A54,Hshldprojections2018!$A$1:$AQ$327,27,FALSE))/10))</f>
        <v>875.7</v>
      </c>
      <c r="AI54" s="268">
        <f>IF(ISNUMBER('Sensitivity Tests'!$C$30),'Sensitivity Tests'!$C$30,VLOOKUP($A54,AffordabilityRatio!$A$2:$I$321,5,FALSE))</f>
        <v>7.3</v>
      </c>
      <c r="AJ54" s="268">
        <f>IF(ISNUMBER('Sensitivity Tests'!$C$30),'Sensitivity Tests'!$C$30,VLOOKUP($A54,AffordabilityRatio!$A$2:$I$321,6,FALSE))</f>
        <v>7.2</v>
      </c>
      <c r="AK54" s="268">
        <f>IF(ISNUMBER('Sensitivity Tests'!$C$30),'Sensitivity Tests'!$C$30,VLOOKUP($A54,AffordabilityRatio!$A$2:$I$321,7,FALSE))</f>
        <v>7.7</v>
      </c>
      <c r="AL54" s="268">
        <f>IF(ISNUMBER('Sensitivity Tests'!$C$30),'Sensitivity Tests'!$C$30,IF((VLOOKUP($A54,AffordabilityRatio!$A$2:$I$321,8,FALSE))="",AK54,VLOOKUP($A54,AffordabilityRatio!$A$2:$I$321,8,FALSE)))</f>
        <v>7.68</v>
      </c>
      <c r="AM54" s="268">
        <f>IF(ISNUMBER('Sensitivity Tests'!$C$30),'Sensitivity Tests'!$C$30,IF((VLOOKUP($A54,AffordabilityRatio!$A$2:$I$321,9,FALSE))="",AL54,VLOOKUP($A54,AffordabilityRatio!$A$2:$I$321,9,FALSE)))</f>
        <v>8.41</v>
      </c>
      <c r="AN54" s="268">
        <f>IF(ISNUMBER('Sensitivity Tests'!$C$30),'Sensitivity Tests'!$C$30,IF((VLOOKUP($A54,AffordabilityRatio!$A$2:$I$321,9,FALSE))="",AM54,VLOOKUP($A54,AffordabilityRatio!$A$2:$I$321,9,FALSE)))</f>
        <v>8.41</v>
      </c>
      <c r="AO54" s="268">
        <f>IF(ISNUMBER('Sensitivity Tests'!$C$30),'Sensitivity Tests'!$C$30,IF((VLOOKUP($A54,AffordabilityRatio!$A$2:$I$321,9,FALSE))="",AN54,VLOOKUP($A54,AffordabilityRatio!$A$2:$I$321,9,FALSE)))</f>
        <v>8.41</v>
      </c>
      <c r="AP54" s="268">
        <f>IF(ISNUMBER('Sensitivity Tests'!$C$30),'Sensitivity Tests'!$C$30,IF((VLOOKUP($A54,AffordabilityRatio!$A$2:$I$321,9,FALSE))="",AO54,VLOOKUP($A54,AffordabilityRatio!$A$2:$I$321,9,FALSE)))</f>
        <v>8.41</v>
      </c>
      <c r="AQ54" s="267">
        <f t="shared" si="53"/>
        <v>1088</v>
      </c>
      <c r="AR54" s="267">
        <f t="shared" si="53"/>
        <v>1080</v>
      </c>
      <c r="AS54" s="267">
        <f t="shared" si="53"/>
        <v>1109</v>
      </c>
      <c r="AT54" s="267">
        <f t="shared" si="53"/>
        <v>1131</v>
      </c>
      <c r="AU54" s="267">
        <f t="shared" si="53"/>
        <v>1167</v>
      </c>
      <c r="AV54" s="267">
        <f t="shared" si="53"/>
        <v>1156</v>
      </c>
      <c r="AW54" s="267">
        <f t="shared" si="53"/>
        <v>1134</v>
      </c>
      <c r="AX54" s="267">
        <f t="shared" si="53"/>
        <v>1117</v>
      </c>
      <c r="AY54" s="267">
        <f t="shared" si="25"/>
        <v>1088</v>
      </c>
      <c r="AZ54" s="267">
        <f t="shared" si="26"/>
        <v>1080</v>
      </c>
      <c r="BA54" s="267">
        <f t="shared" si="27"/>
        <v>1109</v>
      </c>
      <c r="BB54" s="267">
        <f t="shared" si="28"/>
        <v>1131</v>
      </c>
      <c r="BC54" s="267">
        <f t="shared" si="29"/>
        <v>1167</v>
      </c>
      <c r="BD54" s="267">
        <f t="shared" si="30"/>
        <v>1156</v>
      </c>
      <c r="BE54" s="267">
        <f t="shared" si="31"/>
        <v>1134</v>
      </c>
      <c r="BF54" s="267">
        <f t="shared" si="32"/>
        <v>1117</v>
      </c>
      <c r="BG54" s="269">
        <f>AY54*VLOOKUP($B54,'Major Cities &amp; Towns'!$A$28:$B$345,2,FALSE)</f>
        <v>1088</v>
      </c>
      <c r="BH54" s="269">
        <f>AZ54*VLOOKUP($B54,'Major Cities &amp; Towns'!$A$28:$B$345,2,FALSE)</f>
        <v>1080</v>
      </c>
      <c r="BI54" s="269">
        <f>BA54*VLOOKUP($B54,'Major Cities &amp; Towns'!$A$28:$B$345,2,FALSE)</f>
        <v>1109</v>
      </c>
      <c r="BJ54" s="269">
        <f>BB54*VLOOKUP($B54,'Major Cities &amp; Towns'!$A$28:$B$345,2,FALSE)</f>
        <v>1131</v>
      </c>
      <c r="BK54" s="269">
        <f>BC54*VLOOKUP($B54,'Major Cities &amp; Towns'!$A$28:$B$345,2,FALSE)</f>
        <v>1167</v>
      </c>
      <c r="BL54" s="269">
        <f>BD54*VLOOKUP($B54,'Major Cities &amp; Towns'!$A$28:$B$345,2,FALSE)</f>
        <v>1156</v>
      </c>
      <c r="BM54" s="269">
        <f>BE54*VLOOKUP($B54,'Major Cities &amp; Towns'!$A$28:$B$345,2,FALSE)</f>
        <v>1134</v>
      </c>
      <c r="BN54" s="269">
        <f>BF54*VLOOKUP($B54,'Major Cities &amp; Towns'!$A$28:$B$345,2,FALSE)</f>
        <v>1117</v>
      </c>
      <c r="BO54" s="270">
        <f t="shared" si="33"/>
        <v>820</v>
      </c>
      <c r="BP54" s="270">
        <f t="shared" si="50"/>
        <v>820</v>
      </c>
      <c r="BQ54" s="270">
        <f t="shared" si="50"/>
        <v>933.2246575342466</v>
      </c>
      <c r="BR54" s="270">
        <f t="shared" si="50"/>
        <v>1131</v>
      </c>
      <c r="BS54" s="270">
        <f t="shared" si="49"/>
        <v>1167</v>
      </c>
      <c r="BT54" s="270">
        <f t="shared" si="49"/>
        <v>1156</v>
      </c>
      <c r="BU54" s="270">
        <f t="shared" si="49"/>
        <v>1134</v>
      </c>
      <c r="BV54" s="270">
        <f t="shared" si="49"/>
        <v>1117</v>
      </c>
      <c r="BW54" s="39">
        <f>VLOOKUP($A54,NetAdditions!$A$2:$H$336,6,FALSE)</f>
        <v>1032</v>
      </c>
      <c r="BX54" s="39">
        <f>VLOOKUP($A54,NetAdditions!$A$2:$H$336,7,FALSE)</f>
        <v>805</v>
      </c>
      <c r="BY54" s="39">
        <f>IF((VLOOKUP($C54,NetAdditions!$A$2:$H$336,8,FALSE))="",(AVERAGE(VLOOKUP($C54,NetAdditions!$A$2:$H$336,5,FALSE),VLOOKUP($C54,NetAdditions!$A$2:$H$336,6,FALSE),VLOOKUP($C54,NetAdditions!$A$2:$H$336,7,FALSE))),VLOOKUP($C54,NetAdditions!$A$2:$H$336,8,FALSE))</f>
        <v>1080</v>
      </c>
      <c r="BZ54" s="39">
        <f t="shared" si="35"/>
        <v>972.33333333333337</v>
      </c>
      <c r="CA54" s="39">
        <f t="shared" si="35"/>
        <v>952.44444444444446</v>
      </c>
      <c r="CB54" s="39">
        <f t="shared" si="35"/>
        <v>1001.5925925925926</v>
      </c>
      <c r="CC54" s="39">
        <f t="shared" si="35"/>
        <v>975.45679012345681</v>
      </c>
      <c r="CD54" s="39">
        <f t="shared" si="35"/>
        <v>976.49794238683126</v>
      </c>
      <c r="CE54" s="276">
        <f t="shared" si="5"/>
        <v>2573.2246575342465</v>
      </c>
      <c r="CF54" s="276">
        <f t="shared" si="6"/>
        <v>2884.2246575342465</v>
      </c>
      <c r="CG54" s="276">
        <f t="shared" si="7"/>
        <v>3231.2246575342465</v>
      </c>
      <c r="CH54" s="276">
        <f t="shared" si="8"/>
        <v>3454</v>
      </c>
      <c r="CI54" s="276">
        <f t="shared" si="9"/>
        <v>3457</v>
      </c>
      <c r="CJ54" s="276">
        <f t="shared" si="10"/>
        <v>3407</v>
      </c>
      <c r="CK54" s="276">
        <f t="shared" si="36"/>
        <v>2215.8323439878236</v>
      </c>
      <c r="CL54" s="276">
        <f t="shared" si="37"/>
        <v>2483.6378995433793</v>
      </c>
      <c r="CM54" s="276">
        <f t="shared" si="38"/>
        <v>2961.9559360730591</v>
      </c>
      <c r="CN54" s="276">
        <f t="shared" si="39"/>
        <v>3454</v>
      </c>
      <c r="CO54" s="276">
        <f t="shared" si="39"/>
        <v>3457</v>
      </c>
      <c r="CP54" s="276">
        <f t="shared" si="11"/>
        <v>3407</v>
      </c>
      <c r="CQ54" s="39">
        <f t="shared" si="12"/>
        <v>2917</v>
      </c>
      <c r="CR54" s="39">
        <f t="shared" si="13"/>
        <v>2857.3333333333335</v>
      </c>
      <c r="CS54" s="277">
        <f t="shared" si="14"/>
        <v>3004.7777777777778</v>
      </c>
      <c r="CT54" s="39">
        <f t="shared" si="15"/>
        <v>2926.3703703703704</v>
      </c>
      <c r="CU54" s="39">
        <f t="shared" si="16"/>
        <v>2929.4938271604938</v>
      </c>
      <c r="CV54" s="39">
        <f t="shared" si="17"/>
        <v>2953.5473251028807</v>
      </c>
      <c r="CW54" s="297">
        <f t="shared" si="18"/>
        <v>1.3164353376800557</v>
      </c>
      <c r="CX54" s="279" t="str">
        <f t="shared" si="40"/>
        <v>Pass</v>
      </c>
      <c r="CY54" s="278">
        <f t="shared" si="19"/>
        <v>1.1504629293419377</v>
      </c>
      <c r="CZ54" s="279" t="str">
        <f t="shared" si="41"/>
        <v>Pass</v>
      </c>
      <c r="DA54" s="278">
        <f t="shared" si="20"/>
        <v>1.0144572851956373</v>
      </c>
      <c r="DB54" s="292" t="str">
        <f t="shared" si="42"/>
        <v>Pass</v>
      </c>
      <c r="DC54" s="299">
        <f t="shared" si="43"/>
        <v>0.84724098736837594</v>
      </c>
      <c r="DD54" s="293" t="str">
        <f t="shared" si="44"/>
        <v>Buffer and Action Plan</v>
      </c>
      <c r="DE54" s="299">
        <f t="shared" si="45"/>
        <v>0.8474092644375163</v>
      </c>
      <c r="DF54" s="293" t="str">
        <f t="shared" si="46"/>
        <v>Buffer and Action Plan</v>
      </c>
      <c r="DG54" s="299">
        <f t="shared" si="47"/>
        <v>0.86690558412177299</v>
      </c>
      <c r="DH54" s="293" t="str">
        <f t="shared" si="48"/>
        <v>Action Plan</v>
      </c>
    </row>
    <row r="55" spans="1:112" ht="15" thickTop="1" thickBot="1">
      <c r="A55" s="38" t="s">
        <v>219</v>
      </c>
      <c r="B55" s="38" t="s">
        <v>220</v>
      </c>
      <c r="C55" s="38" t="s">
        <v>219</v>
      </c>
      <c r="D55" s="38" t="s">
        <v>128</v>
      </c>
      <c r="E55" s="38" t="str">
        <f>VLOOKUP(C55,PoliticalControl!A:K,11,FALSE)</f>
        <v>LD</v>
      </c>
      <c r="F55" s="38" t="str">
        <f>VLOOKUP(C55,UrbanRuralClassification!A:N,13,FALSE)</f>
        <v>Urban with City and Town</v>
      </c>
      <c r="G55" s="38" t="str">
        <f>VLOOKUP(C55,UrbanRuralClassification!A:N,14,FALSE)</f>
        <v>Predominantly Urban</v>
      </c>
      <c r="H55" s="258">
        <f>IF(ISBLANK((VLOOKUP($A55,'local-plan-data'!$C$1:$AD$566,27,FALSE)))=TRUE,"",VLOOKUP($A55,'local-plan-data'!$C$1:$AD$566,27,FALSE))</f>
        <v>43978</v>
      </c>
      <c r="I55" s="259">
        <f>VLOOKUP($A55,'local-plan-data'!$C$1:$AD$566,28,FALSE)</f>
        <v>805</v>
      </c>
      <c r="J55" s="260">
        <f t="shared" si="21"/>
        <v>805</v>
      </c>
      <c r="K55" s="259">
        <f t="shared" si="51"/>
        <v>805</v>
      </c>
      <c r="L55" s="259">
        <f t="shared" si="51"/>
        <v>805</v>
      </c>
      <c r="M55" s="259">
        <f t="shared" si="51"/>
        <v>805</v>
      </c>
      <c r="N55" s="259">
        <f t="shared" si="51"/>
        <v>805</v>
      </c>
      <c r="O55" s="259">
        <f t="shared" si="51"/>
        <v>805</v>
      </c>
      <c r="P55" s="259">
        <f t="shared" si="51"/>
        <v>805</v>
      </c>
      <c r="Q55" s="259">
        <f t="shared" si="51"/>
        <v>805</v>
      </c>
      <c r="R55" s="259">
        <f t="shared" si="51"/>
        <v>805</v>
      </c>
      <c r="S55" s="259">
        <f t="shared" si="52"/>
        <v>2613</v>
      </c>
      <c r="T55" s="259">
        <f t="shared" si="52"/>
        <v>2248</v>
      </c>
      <c r="U55" s="259">
        <f t="shared" si="52"/>
        <v>1882</v>
      </c>
      <c r="V55" s="259">
        <f t="shared" si="52"/>
        <v>1517</v>
      </c>
      <c r="W55" s="259">
        <f t="shared" si="52"/>
        <v>1152</v>
      </c>
      <c r="X55" s="259">
        <f t="shared" si="52"/>
        <v>787</v>
      </c>
      <c r="Y55" s="259">
        <f t="shared" si="52"/>
        <v>421</v>
      </c>
      <c r="Z55" s="259">
        <f t="shared" si="52"/>
        <v>56</v>
      </c>
      <c r="AA55" s="267">
        <f>(VLOOKUP(A55,Hshldprojections2014!$A$2:$AW$319,40, FALSE)-VLOOKUP(A55,Hshldprojections2014!$A$2:$AW$319,30, FALSE))/10</f>
        <v>667.7</v>
      </c>
      <c r="AB55" s="267">
        <f>(VLOOKUP(A55,Hshldprojections2014!$A$2:$AW$319,41, FALSE)-VLOOKUP(A55,Hshldprojections2014!$A$2:$AW$319,31, FALSE))/10</f>
        <v>655.5</v>
      </c>
      <c r="AC55" s="267">
        <f>(VLOOKUP(A55,Hshldprojections2014!$A$2:$AW$319,42, FALSE)-VLOOKUP(A55,Hshldprojections2014!$A$2:$AW$319,32, FALSE))/10</f>
        <v>649</v>
      </c>
      <c r="AD55" s="267">
        <f>IF(IndividualLATest!$J$7=2014,(VLOOKUP($A55,Hshldprojections2014!$A$2:$AY$326,43,FALSE)-VLOOKUP($A55,Hshldprojections2014!$A$2:$AY$326,33,FALSE))/10,IF(IndividualLATest!$J$7=2016,(VLOOKUP($A55,Hshldprojections2016!$A$1:$AQ$322,33,FALSE)-VLOOKUP($A55,Hshldprojections2016!$A$1:$AQ$322,23,FALSE))/10,(VLOOKUP($A55,Hshldprojections2018!$A$1:$AQ$327,33,FALSE)-VLOOKUP($A55,Hshldprojections2018!$A$1:$AQ$327,23,FALSE))/10))</f>
        <v>635.5</v>
      </c>
      <c r="AE55" s="267">
        <f>IF(IndividualLATest!$J$7=2014,(VLOOKUP($A55,Hshldprojections2014!$A$2:$AY$326,44,FALSE)-VLOOKUP($A55,Hshldprojections2014!$A$2:$AY$326,34,FALSE))/10,IF(IndividualLATest!$J$7=2016,(VLOOKUP($A55,Hshldprojections2016!$A$1:$AQ$322,34,FALSE)-VLOOKUP($A55,Hshldprojections2016!$A$1:$AQ$322,24,FALSE))/10,(VLOOKUP($A55,Hshldprojections2018!$A$1:$AQ$327,34,FALSE)-VLOOKUP($A55,Hshldprojections2018!$A$1:$AQ$327,24,FALSE))/10))</f>
        <v>617.1</v>
      </c>
      <c r="AF55" s="267">
        <f>IF(IndividualLATest!$J$7=2014,(VLOOKUP($A55,Hshldprojections2014!$A$2:$AY$326,45,FALSE)-VLOOKUP($A55,Hshldprojections2014!$A$2:$AY$326,35,FALSE))/10,IF(IndividualLATest!$J$7=2016,(VLOOKUP($A55,Hshldprojections2016!$A$1:$AQ$322,35,FALSE)-VLOOKUP($A55,Hshldprojections2016!$A$1:$AQ$322,25,FALSE))/10,(VLOOKUP($A55,Hshldprojections2018!$A$1:$AQ$327,35,FALSE)-VLOOKUP($A55,Hshldprojections2018!$A$1:$AQ$327,25,FALSE))/10))</f>
        <v>604.70000000000005</v>
      </c>
      <c r="AG55" s="267">
        <f>IF(IndividualLATest!$J$7=2014,(VLOOKUP($A55,Hshldprojections2014!$A$2:$AY$326,46,FALSE)-VLOOKUP($A55,Hshldprojections2014!$A$2:$AY$326,36,FALSE))/10,IF(IndividualLATest!$J$7=2016,(VLOOKUP($A55,Hshldprojections2016!$A$1:$AQ$322,36,FALSE)-VLOOKUP($A55,Hshldprojections2016!$A$1:$AQ$322,26,FALSE))/10,(VLOOKUP($A55,Hshldprojections2018!$A$1:$AQ$327,36,FALSE)-VLOOKUP($A55,Hshldprojections2018!$A$1:$AQ$327,26,FALSE))/10))</f>
        <v>590.9</v>
      </c>
      <c r="AH55" s="267">
        <f>IF(IndividualLATest!$J$7=2014,(VLOOKUP($A55,Hshldprojections2014!$A$2:$AY$326,47,FALSE)-VLOOKUP($A55,Hshldprojections2014!$A$2:$AY$326,37,FALSE))/10,IF(IndividualLATest!$J$7=2016,(VLOOKUP($A55,Hshldprojections2016!$A$1:$AQ$322,37,FALSE)-VLOOKUP($A55,Hshldprojections2016!$A$1:$AQ$322,27,FALSE))/10,(VLOOKUP($A55,Hshldprojections2018!$A$1:$AQ$327,37,FALSE)-VLOOKUP($A55,Hshldprojections2018!$A$1:$AQ$327,27,FALSE))/10))</f>
        <v>580.9</v>
      </c>
      <c r="AI55" s="268">
        <f>IF(ISNUMBER('Sensitivity Tests'!$C$30),'Sensitivity Tests'!$C$30,VLOOKUP($A55,AffordabilityRatio!$A$2:$I$321,5,FALSE))</f>
        <v>11.46</v>
      </c>
      <c r="AJ55" s="268">
        <f>IF(ISNUMBER('Sensitivity Tests'!$C$30),'Sensitivity Tests'!$C$30,VLOOKUP($A55,AffordabilityRatio!$A$2:$I$321,6,FALSE))</f>
        <v>11.99</v>
      </c>
      <c r="AK55" s="268">
        <f>IF(ISNUMBER('Sensitivity Tests'!$C$30),'Sensitivity Tests'!$C$30,VLOOKUP($A55,AffordabilityRatio!$A$2:$I$321,7,FALSE))</f>
        <v>11.52</v>
      </c>
      <c r="AL55" s="268">
        <f>IF(ISNUMBER('Sensitivity Tests'!$C$30),'Sensitivity Tests'!$C$30,IF((VLOOKUP($A55,AffordabilityRatio!$A$2:$I$321,8,FALSE))="",AK55,VLOOKUP($A55,AffordabilityRatio!$A$2:$I$321,8,FALSE)))</f>
        <v>11.02</v>
      </c>
      <c r="AM55" s="268">
        <f>IF(ISNUMBER('Sensitivity Tests'!$C$30),'Sensitivity Tests'!$C$30,IF((VLOOKUP($A55,AffordabilityRatio!$A$2:$I$321,9,FALSE))="",AL55,VLOOKUP($A55,AffordabilityRatio!$A$2:$I$321,9,FALSE)))</f>
        <v>11.78</v>
      </c>
      <c r="AN55" s="268">
        <f>IF(ISNUMBER('Sensitivity Tests'!$C$30),'Sensitivity Tests'!$C$30,IF((VLOOKUP($A55,AffordabilityRatio!$A$2:$I$321,9,FALSE))="",AM55,VLOOKUP($A55,AffordabilityRatio!$A$2:$I$321,9,FALSE)))</f>
        <v>11.78</v>
      </c>
      <c r="AO55" s="268">
        <f>IF(ISNUMBER('Sensitivity Tests'!$C$30),'Sensitivity Tests'!$C$30,IF((VLOOKUP($A55,AffordabilityRatio!$A$2:$I$321,9,FALSE))="",AN55,VLOOKUP($A55,AffordabilityRatio!$A$2:$I$321,9,FALSE)))</f>
        <v>11.78</v>
      </c>
      <c r="AP55" s="268">
        <f>IF(ISNUMBER('Sensitivity Tests'!$C$30),'Sensitivity Tests'!$C$30,IF((VLOOKUP($A55,AffordabilityRatio!$A$2:$I$321,9,FALSE))="",AO55,VLOOKUP($A55,AffordabilityRatio!$A$2:$I$321,9,FALSE)))</f>
        <v>11.78</v>
      </c>
      <c r="AQ55" s="267">
        <f t="shared" si="53"/>
        <v>979</v>
      </c>
      <c r="AR55" s="267">
        <f t="shared" si="53"/>
        <v>983</v>
      </c>
      <c r="AS55" s="267">
        <f t="shared" si="53"/>
        <v>954</v>
      </c>
      <c r="AT55" s="267">
        <f t="shared" si="53"/>
        <v>914</v>
      </c>
      <c r="AU55" s="267">
        <f t="shared" si="53"/>
        <v>917</v>
      </c>
      <c r="AV55" s="267">
        <f t="shared" si="53"/>
        <v>899</v>
      </c>
      <c r="AW55" s="267">
        <f t="shared" si="53"/>
        <v>878</v>
      </c>
      <c r="AX55" s="267">
        <f t="shared" si="53"/>
        <v>863</v>
      </c>
      <c r="AY55" s="267">
        <f t="shared" si="25"/>
        <v>979</v>
      </c>
      <c r="AZ55" s="267">
        <f t="shared" si="26"/>
        <v>983</v>
      </c>
      <c r="BA55" s="267">
        <f t="shared" si="27"/>
        <v>954</v>
      </c>
      <c r="BB55" s="267">
        <f t="shared" si="28"/>
        <v>914</v>
      </c>
      <c r="BC55" s="267">
        <f t="shared" si="29"/>
        <v>917</v>
      </c>
      <c r="BD55" s="267">
        <f t="shared" si="30"/>
        <v>899</v>
      </c>
      <c r="BE55" s="267">
        <f t="shared" si="31"/>
        <v>878</v>
      </c>
      <c r="BF55" s="267">
        <f t="shared" si="32"/>
        <v>863</v>
      </c>
      <c r="BG55" s="269">
        <f>AY55*VLOOKUP($B55,'Major Cities &amp; Towns'!$A$28:$B$345,2,FALSE)</f>
        <v>979</v>
      </c>
      <c r="BH55" s="269">
        <f>AZ55*VLOOKUP($B55,'Major Cities &amp; Towns'!$A$28:$B$345,2,FALSE)</f>
        <v>983</v>
      </c>
      <c r="BI55" s="269">
        <f>BA55*VLOOKUP($B55,'Major Cities &amp; Towns'!$A$28:$B$345,2,FALSE)</f>
        <v>954</v>
      </c>
      <c r="BJ55" s="269">
        <f>BB55*VLOOKUP($B55,'Major Cities &amp; Towns'!$A$28:$B$345,2,FALSE)</f>
        <v>914</v>
      </c>
      <c r="BK55" s="269">
        <f>BC55*VLOOKUP($B55,'Major Cities &amp; Towns'!$A$28:$B$345,2,FALSE)</f>
        <v>917</v>
      </c>
      <c r="BL55" s="269">
        <f>BD55*VLOOKUP($B55,'Major Cities &amp; Towns'!$A$28:$B$345,2,FALSE)</f>
        <v>899</v>
      </c>
      <c r="BM55" s="269">
        <f>BE55*VLOOKUP($B55,'Major Cities &amp; Towns'!$A$28:$B$345,2,FALSE)</f>
        <v>878</v>
      </c>
      <c r="BN55" s="269">
        <f>BF55*VLOOKUP($B55,'Major Cities &amp; Towns'!$A$28:$B$345,2,FALSE)</f>
        <v>863</v>
      </c>
      <c r="BO55" s="270">
        <f t="shared" si="33"/>
        <v>805</v>
      </c>
      <c r="BP55" s="270">
        <f t="shared" si="50"/>
        <v>805</v>
      </c>
      <c r="BQ55" s="270">
        <f t="shared" si="50"/>
        <v>805</v>
      </c>
      <c r="BR55" s="270">
        <f t="shared" si="50"/>
        <v>805</v>
      </c>
      <c r="BS55" s="270">
        <f t="shared" si="49"/>
        <v>805</v>
      </c>
      <c r="BT55" s="270">
        <f t="shared" si="49"/>
        <v>805</v>
      </c>
      <c r="BU55" s="270">
        <f t="shared" si="49"/>
        <v>805</v>
      </c>
      <c r="BV55" s="270">
        <f t="shared" si="49"/>
        <v>854.1013698630137</v>
      </c>
      <c r="BW55" s="39">
        <f>VLOOKUP($A55,NetAdditions!$A$2:$H$336,6,FALSE)</f>
        <v>1256</v>
      </c>
      <c r="BX55" s="39">
        <f>VLOOKUP($A55,NetAdditions!$A$2:$H$336,7,FALSE)</f>
        <v>832</v>
      </c>
      <c r="BY55" s="39">
        <f>IF((VLOOKUP($C55,NetAdditions!$A$2:$H$336,8,FALSE))="",(AVERAGE(VLOOKUP($C55,NetAdditions!$A$2:$H$336,5,FALSE),VLOOKUP($C55,NetAdditions!$A$2:$H$336,6,FALSE),VLOOKUP($C55,NetAdditions!$A$2:$H$336,7,FALSE))),VLOOKUP($C55,NetAdditions!$A$2:$H$336,8,FALSE))</f>
        <v>829</v>
      </c>
      <c r="BZ55" s="39">
        <f t="shared" si="35"/>
        <v>972.33333333333337</v>
      </c>
      <c r="CA55" s="39">
        <f t="shared" si="35"/>
        <v>877.77777777777783</v>
      </c>
      <c r="CB55" s="39">
        <f t="shared" si="35"/>
        <v>893.03703703703707</v>
      </c>
      <c r="CC55" s="39">
        <f t="shared" si="35"/>
        <v>914.38271604938279</v>
      </c>
      <c r="CD55" s="39">
        <f t="shared" si="35"/>
        <v>895.06584362139927</v>
      </c>
      <c r="CE55" s="276">
        <f t="shared" si="5"/>
        <v>2415</v>
      </c>
      <c r="CF55" s="276">
        <f t="shared" si="6"/>
        <v>2415</v>
      </c>
      <c r="CG55" s="276">
        <f t="shared" si="7"/>
        <v>2415</v>
      </c>
      <c r="CH55" s="276">
        <f t="shared" si="8"/>
        <v>2415</v>
      </c>
      <c r="CI55" s="276">
        <f t="shared" si="9"/>
        <v>2415</v>
      </c>
      <c r="CJ55" s="276">
        <f t="shared" si="10"/>
        <v>2464.1013698630136</v>
      </c>
      <c r="CK55" s="276">
        <f t="shared" si="36"/>
        <v>2079.5833333333335</v>
      </c>
      <c r="CL55" s="276">
        <f t="shared" si="37"/>
        <v>2079.5833333333335</v>
      </c>
      <c r="CM55" s="276">
        <f t="shared" si="38"/>
        <v>2213.75</v>
      </c>
      <c r="CN55" s="276">
        <f t="shared" si="39"/>
        <v>2415</v>
      </c>
      <c r="CO55" s="276">
        <f t="shared" si="39"/>
        <v>2415</v>
      </c>
      <c r="CP55" s="276">
        <f t="shared" si="11"/>
        <v>2464.1013698630136</v>
      </c>
      <c r="CQ55" s="39">
        <f t="shared" si="12"/>
        <v>2917</v>
      </c>
      <c r="CR55" s="39">
        <f t="shared" si="13"/>
        <v>2633.3333333333335</v>
      </c>
      <c r="CS55" s="277">
        <f t="shared" si="14"/>
        <v>2679.1111111111113</v>
      </c>
      <c r="CT55" s="39">
        <f t="shared" si="15"/>
        <v>2743.1481481481483</v>
      </c>
      <c r="CU55" s="39">
        <f t="shared" si="16"/>
        <v>2685.1975308641977</v>
      </c>
      <c r="CV55" s="39">
        <f t="shared" si="17"/>
        <v>2702.4855967078192</v>
      </c>
      <c r="CW55" s="297">
        <f t="shared" si="18"/>
        <v>1.4026848326988579</v>
      </c>
      <c r="CX55" s="279" t="str">
        <f t="shared" si="40"/>
        <v>Pass</v>
      </c>
      <c r="CY55" s="278">
        <f t="shared" si="19"/>
        <v>1.2662793027449408</v>
      </c>
      <c r="CZ55" s="279" t="str">
        <f t="shared" si="41"/>
        <v>Pass</v>
      </c>
      <c r="DA55" s="278">
        <f t="shared" si="20"/>
        <v>1.2102139406487233</v>
      </c>
      <c r="DB55" s="292" t="str">
        <f t="shared" si="42"/>
        <v>Pass</v>
      </c>
      <c r="DC55" s="299">
        <f t="shared" si="43"/>
        <v>1.1358791503719041</v>
      </c>
      <c r="DD55" s="293" t="str">
        <f t="shared" si="44"/>
        <v>Pass</v>
      </c>
      <c r="DE55" s="299">
        <f t="shared" si="45"/>
        <v>1.1118830355545333</v>
      </c>
      <c r="DF55" s="293" t="str">
        <f t="shared" si="46"/>
        <v>Pass</v>
      </c>
      <c r="DG55" s="299">
        <f t="shared" si="47"/>
        <v>1.0967428652734599</v>
      </c>
      <c r="DH55" s="293" t="str">
        <f t="shared" si="48"/>
        <v>Pass</v>
      </c>
    </row>
    <row r="56" spans="1:112" ht="15" thickTop="1" thickBot="1">
      <c r="A56" s="38" t="s">
        <v>221</v>
      </c>
      <c r="B56" s="38" t="s">
        <v>222</v>
      </c>
      <c r="C56" s="38" t="s">
        <v>221</v>
      </c>
      <c r="D56" s="38" t="s">
        <v>147</v>
      </c>
      <c r="E56" s="38" t="str">
        <f>VLOOKUP(C56,PoliticalControl!A:K,11,FALSE)</f>
        <v>LD</v>
      </c>
      <c r="F56" s="38" t="str">
        <f>VLOOKUP(C56,UrbanRuralClassification!A:N,13,FALSE)</f>
        <v>Urban with City and Town</v>
      </c>
      <c r="G56" s="38" t="str">
        <f>VLOOKUP(C56,UrbanRuralClassification!A:N,14,FALSE)</f>
        <v>Predominantly Urban</v>
      </c>
      <c r="H56" s="258">
        <f>IF(ISBLANK((VLOOKUP($A56,'local-plan-data'!$C$1:$AD$566,27,FALSE)))=TRUE,"",VLOOKUP($A56,'local-plan-data'!$C$1:$AD$566,27,FALSE))</f>
        <v>43080</v>
      </c>
      <c r="I56" s="259">
        <f>VLOOKUP($A56,'local-plan-data'!$C$1:$AD$566,28,FALSE)</f>
        <v>545.85</v>
      </c>
      <c r="J56" s="260">
        <f t="shared" si="21"/>
        <v>545.85</v>
      </c>
      <c r="K56" s="259">
        <f t="shared" si="51"/>
        <v>545.85</v>
      </c>
      <c r="L56" s="259">
        <f t="shared" si="51"/>
        <v>545.85</v>
      </c>
      <c r="M56" s="259">
        <f t="shared" si="51"/>
        <v>545.85</v>
      </c>
      <c r="N56" s="259">
        <f t="shared" si="51"/>
        <v>545.85</v>
      </c>
      <c r="O56" s="259">
        <f t="shared" si="51"/>
        <v>545.85</v>
      </c>
      <c r="P56" s="259" t="str">
        <f t="shared" si="51"/>
        <v>-</v>
      </c>
      <c r="Q56" s="259" t="str">
        <f t="shared" si="51"/>
        <v>-</v>
      </c>
      <c r="R56" s="259" t="str">
        <f t="shared" si="51"/>
        <v>-</v>
      </c>
      <c r="S56" s="259">
        <f t="shared" si="52"/>
        <v>1715</v>
      </c>
      <c r="T56" s="259">
        <f t="shared" si="52"/>
        <v>1350</v>
      </c>
      <c r="U56" s="259">
        <f t="shared" si="52"/>
        <v>984</v>
      </c>
      <c r="V56" s="259">
        <f t="shared" si="52"/>
        <v>619</v>
      </c>
      <c r="W56" s="259">
        <f t="shared" si="52"/>
        <v>254</v>
      </c>
      <c r="X56" s="259">
        <f t="shared" si="52"/>
        <v>-111</v>
      </c>
      <c r="Y56" s="259">
        <f t="shared" si="52"/>
        <v>-477</v>
      </c>
      <c r="Z56" s="259">
        <f t="shared" si="52"/>
        <v>-842</v>
      </c>
      <c r="AA56" s="267">
        <f>(VLOOKUP(A56,Hshldprojections2014!$A$2:$AW$319,40, FALSE)-VLOOKUP(A56,Hshldprojections2014!$A$2:$AW$319,30, FALSE))/10</f>
        <v>410.8</v>
      </c>
      <c r="AB56" s="267">
        <f>(VLOOKUP(A56,Hshldprojections2014!$A$2:$AW$319,41, FALSE)-VLOOKUP(A56,Hshldprojections2014!$A$2:$AW$319,31, FALSE))/10</f>
        <v>409.3</v>
      </c>
      <c r="AC56" s="267">
        <f>(VLOOKUP(A56,Hshldprojections2014!$A$2:$AW$319,42, FALSE)-VLOOKUP(A56,Hshldprojections2014!$A$2:$AW$319,32, FALSE))/10</f>
        <v>410.3</v>
      </c>
      <c r="AD56" s="267">
        <f>IF(IndividualLATest!$J$7=2014,(VLOOKUP($A56,Hshldprojections2014!$A$2:$AY$326,43,FALSE)-VLOOKUP($A56,Hshldprojections2014!$A$2:$AY$326,33,FALSE))/10,IF(IndividualLATest!$J$7=2016,(VLOOKUP($A56,Hshldprojections2016!$A$1:$AQ$322,33,FALSE)-VLOOKUP($A56,Hshldprojections2016!$A$1:$AQ$322,23,FALSE))/10,(VLOOKUP($A56,Hshldprojections2018!$A$1:$AQ$327,33,FALSE)-VLOOKUP($A56,Hshldprojections2018!$A$1:$AQ$327,23,FALSE))/10))</f>
        <v>236.7</v>
      </c>
      <c r="AE56" s="267">
        <f>IF(IndividualLATest!$J$7=2014,(VLOOKUP($A56,Hshldprojections2014!$A$2:$AY$326,44,FALSE)-VLOOKUP($A56,Hshldprojections2014!$A$2:$AY$326,34,FALSE))/10,IF(IndividualLATest!$J$7=2016,(VLOOKUP($A56,Hshldprojections2016!$A$1:$AQ$322,34,FALSE)-VLOOKUP($A56,Hshldprojections2016!$A$1:$AQ$322,24,FALSE))/10,(VLOOKUP($A56,Hshldprojections2018!$A$1:$AQ$327,34,FALSE)-VLOOKUP($A56,Hshldprojections2018!$A$1:$AQ$327,24,FALSE))/10))</f>
        <v>246.4</v>
      </c>
      <c r="AF56" s="267">
        <f>IF(IndividualLATest!$J$7=2014,(VLOOKUP($A56,Hshldprojections2014!$A$2:$AY$326,45,FALSE)-VLOOKUP($A56,Hshldprojections2014!$A$2:$AY$326,35,FALSE))/10,IF(IndividualLATest!$J$7=2016,(VLOOKUP($A56,Hshldprojections2016!$A$1:$AQ$322,35,FALSE)-VLOOKUP($A56,Hshldprojections2016!$A$1:$AQ$322,25,FALSE))/10,(VLOOKUP($A56,Hshldprojections2018!$A$1:$AQ$327,35,FALSE)-VLOOKUP($A56,Hshldprojections2018!$A$1:$AQ$327,25,FALSE))/10))</f>
        <v>254.3</v>
      </c>
      <c r="AG56" s="267">
        <f>IF(IndividualLATest!$J$7=2014,(VLOOKUP($A56,Hshldprojections2014!$A$2:$AY$326,46,FALSE)-VLOOKUP($A56,Hshldprojections2014!$A$2:$AY$326,36,FALSE))/10,IF(IndividualLATest!$J$7=2016,(VLOOKUP($A56,Hshldprojections2016!$A$1:$AQ$322,36,FALSE)-VLOOKUP($A56,Hshldprojections2016!$A$1:$AQ$322,26,FALSE))/10,(VLOOKUP($A56,Hshldprojections2018!$A$1:$AQ$327,36,FALSE)-VLOOKUP($A56,Hshldprojections2018!$A$1:$AQ$327,26,FALSE))/10))</f>
        <v>261.10000000000002</v>
      </c>
      <c r="AH56" s="267">
        <f>IF(IndividualLATest!$J$7=2014,(VLOOKUP($A56,Hshldprojections2014!$A$2:$AY$326,47,FALSE)-VLOOKUP($A56,Hshldprojections2014!$A$2:$AY$326,37,FALSE))/10,IF(IndividualLATest!$J$7=2016,(VLOOKUP($A56,Hshldprojections2016!$A$1:$AQ$322,37,FALSE)-VLOOKUP($A56,Hshldprojections2016!$A$1:$AQ$322,27,FALSE))/10,(VLOOKUP($A56,Hshldprojections2018!$A$1:$AQ$327,37,FALSE)-VLOOKUP($A56,Hshldprojections2018!$A$1:$AQ$327,27,FALSE))/10))</f>
        <v>267.8</v>
      </c>
      <c r="AI56" s="268">
        <f>IF(ISNUMBER('Sensitivity Tests'!$C$30),'Sensitivity Tests'!$C$30,VLOOKUP($A56,AffordabilityRatio!$A$2:$I$321,5,FALSE))</f>
        <v>8.99</v>
      </c>
      <c r="AJ56" s="268">
        <f>IF(ISNUMBER('Sensitivity Tests'!$C$30),'Sensitivity Tests'!$C$30,VLOOKUP($A56,AffordabilityRatio!$A$2:$I$321,6,FALSE))</f>
        <v>8.9700000000000006</v>
      </c>
      <c r="AK56" s="268">
        <f>IF(ISNUMBER('Sensitivity Tests'!$C$30),'Sensitivity Tests'!$C$30,VLOOKUP($A56,AffordabilityRatio!$A$2:$I$321,7,FALSE))</f>
        <v>8.73</v>
      </c>
      <c r="AL56" s="268">
        <f>IF(ISNUMBER('Sensitivity Tests'!$C$30),'Sensitivity Tests'!$C$30,IF((VLOOKUP($A56,AffordabilityRatio!$A$2:$I$321,8,FALSE))="",AK56,VLOOKUP($A56,AffordabilityRatio!$A$2:$I$321,8,FALSE)))</f>
        <v>8.94</v>
      </c>
      <c r="AM56" s="268">
        <f>IF(ISNUMBER('Sensitivity Tests'!$C$30),'Sensitivity Tests'!$C$30,IF((VLOOKUP($A56,AffordabilityRatio!$A$2:$I$321,9,FALSE))="",AL56,VLOOKUP($A56,AffordabilityRatio!$A$2:$I$321,9,FALSE)))</f>
        <v>10.55</v>
      </c>
      <c r="AN56" s="268">
        <f>IF(ISNUMBER('Sensitivity Tests'!$C$30),'Sensitivity Tests'!$C$30,IF((VLOOKUP($A56,AffordabilityRatio!$A$2:$I$321,9,FALSE))="",AM56,VLOOKUP($A56,AffordabilityRatio!$A$2:$I$321,9,FALSE)))</f>
        <v>10.55</v>
      </c>
      <c r="AO56" s="268">
        <f>IF(ISNUMBER('Sensitivity Tests'!$C$30),'Sensitivity Tests'!$C$30,IF((VLOOKUP($A56,AffordabilityRatio!$A$2:$I$321,9,FALSE))="",AN56,VLOOKUP($A56,AffordabilityRatio!$A$2:$I$321,9,FALSE)))</f>
        <v>10.55</v>
      </c>
      <c r="AP56" s="268">
        <f>IF(ISNUMBER('Sensitivity Tests'!$C$30),'Sensitivity Tests'!$C$30,IF((VLOOKUP($A56,AffordabilityRatio!$A$2:$I$321,9,FALSE))="",AO56,VLOOKUP($A56,AffordabilityRatio!$A$2:$I$321,9,FALSE)))</f>
        <v>10.55</v>
      </c>
      <c r="AQ56" s="267">
        <f t="shared" si="53"/>
        <v>539</v>
      </c>
      <c r="AR56" s="267">
        <f t="shared" si="53"/>
        <v>536</v>
      </c>
      <c r="AS56" s="267">
        <f t="shared" si="53"/>
        <v>532</v>
      </c>
      <c r="AT56" s="267">
        <f t="shared" si="53"/>
        <v>310</v>
      </c>
      <c r="AU56" s="267">
        <f t="shared" si="53"/>
        <v>347</v>
      </c>
      <c r="AV56" s="267">
        <f t="shared" si="53"/>
        <v>358</v>
      </c>
      <c r="AW56" s="267">
        <f t="shared" si="53"/>
        <v>368</v>
      </c>
      <c r="AX56" s="267">
        <f t="shared" si="53"/>
        <v>377</v>
      </c>
      <c r="AY56" s="267">
        <f t="shared" si="25"/>
        <v>539</v>
      </c>
      <c r="AZ56" s="267">
        <f t="shared" si="26"/>
        <v>536</v>
      </c>
      <c r="BA56" s="267">
        <f t="shared" si="27"/>
        <v>532</v>
      </c>
      <c r="BB56" s="267">
        <f t="shared" si="28"/>
        <v>310</v>
      </c>
      <c r="BC56" s="267">
        <f t="shared" si="29"/>
        <v>347</v>
      </c>
      <c r="BD56" s="267">
        <f t="shared" si="30"/>
        <v>358</v>
      </c>
      <c r="BE56" s="267">
        <f t="shared" si="31"/>
        <v>368</v>
      </c>
      <c r="BF56" s="267">
        <f t="shared" si="32"/>
        <v>377</v>
      </c>
      <c r="BG56" s="269">
        <f>AY56*VLOOKUP($B56,'Major Cities &amp; Towns'!$A$28:$B$345,2,FALSE)</f>
        <v>539</v>
      </c>
      <c r="BH56" s="269">
        <f>AZ56*VLOOKUP($B56,'Major Cities &amp; Towns'!$A$28:$B$345,2,FALSE)</f>
        <v>536</v>
      </c>
      <c r="BI56" s="269">
        <f>BA56*VLOOKUP($B56,'Major Cities &amp; Towns'!$A$28:$B$345,2,FALSE)</f>
        <v>532</v>
      </c>
      <c r="BJ56" s="269">
        <f>BB56*VLOOKUP($B56,'Major Cities &amp; Towns'!$A$28:$B$345,2,FALSE)</f>
        <v>310</v>
      </c>
      <c r="BK56" s="269">
        <f>BC56*VLOOKUP($B56,'Major Cities &amp; Towns'!$A$28:$B$345,2,FALSE)</f>
        <v>347</v>
      </c>
      <c r="BL56" s="269">
        <f>BD56*VLOOKUP($B56,'Major Cities &amp; Towns'!$A$28:$B$345,2,FALSE)</f>
        <v>358</v>
      </c>
      <c r="BM56" s="269">
        <f>BE56*VLOOKUP($B56,'Major Cities &amp; Towns'!$A$28:$B$345,2,FALSE)</f>
        <v>368</v>
      </c>
      <c r="BN56" s="269">
        <f>BF56*VLOOKUP($B56,'Major Cities &amp; Towns'!$A$28:$B$345,2,FALSE)</f>
        <v>377</v>
      </c>
      <c r="BO56" s="270">
        <f t="shared" si="33"/>
        <v>539</v>
      </c>
      <c r="BP56" s="270">
        <f t="shared" si="50"/>
        <v>536</v>
      </c>
      <c r="BQ56" s="270">
        <f t="shared" si="50"/>
        <v>532</v>
      </c>
      <c r="BR56" s="270">
        <f t="shared" si="50"/>
        <v>310</v>
      </c>
      <c r="BS56" s="270">
        <f t="shared" si="49"/>
        <v>347</v>
      </c>
      <c r="BT56" s="270">
        <f t="shared" si="49"/>
        <v>358</v>
      </c>
      <c r="BU56" s="270">
        <f t="shared" si="49"/>
        <v>368</v>
      </c>
      <c r="BV56" s="270">
        <f t="shared" si="49"/>
        <v>377</v>
      </c>
      <c r="BW56" s="39">
        <f>VLOOKUP($A56,NetAdditions!$A$2:$H$336,6,FALSE)</f>
        <v>783</v>
      </c>
      <c r="BX56" s="39">
        <f>VLOOKUP($A56,NetAdditions!$A$2:$H$336,7,FALSE)</f>
        <v>457</v>
      </c>
      <c r="BY56" s="39">
        <f>IF((VLOOKUP($C56,NetAdditions!$A$2:$H$336,8,FALSE))="",(AVERAGE(VLOOKUP($C56,NetAdditions!$A$2:$H$336,5,FALSE),VLOOKUP($C56,NetAdditions!$A$2:$H$336,6,FALSE),VLOOKUP($C56,NetAdditions!$A$2:$H$336,7,FALSE))),VLOOKUP($C56,NetAdditions!$A$2:$H$336,8,FALSE))</f>
        <v>384</v>
      </c>
      <c r="BZ56" s="39">
        <f t="shared" si="35"/>
        <v>541.33333333333337</v>
      </c>
      <c r="CA56" s="39">
        <f t="shared" si="35"/>
        <v>460.77777777777783</v>
      </c>
      <c r="CB56" s="39">
        <f t="shared" si="35"/>
        <v>462.03703703703712</v>
      </c>
      <c r="CC56" s="39">
        <f t="shared" si="35"/>
        <v>488.04938271604942</v>
      </c>
      <c r="CD56" s="39">
        <f t="shared" si="35"/>
        <v>470.2880658436215</v>
      </c>
      <c r="CE56" s="276">
        <f t="shared" si="5"/>
        <v>1607</v>
      </c>
      <c r="CF56" s="276">
        <f t="shared" si="6"/>
        <v>1378</v>
      </c>
      <c r="CG56" s="276">
        <f t="shared" si="7"/>
        <v>1189</v>
      </c>
      <c r="CH56" s="276">
        <f t="shared" si="8"/>
        <v>1015</v>
      </c>
      <c r="CI56" s="276">
        <f t="shared" si="9"/>
        <v>1073</v>
      </c>
      <c r="CJ56" s="276">
        <f t="shared" si="10"/>
        <v>1103</v>
      </c>
      <c r="CK56" s="276">
        <f t="shared" si="36"/>
        <v>1383.8055555555557</v>
      </c>
      <c r="CL56" s="276">
        <f t="shared" si="37"/>
        <v>1186.6111111111111</v>
      </c>
      <c r="CM56" s="276">
        <f t="shared" si="38"/>
        <v>1089.9166666666665</v>
      </c>
      <c r="CN56" s="276">
        <f t="shared" si="39"/>
        <v>1015</v>
      </c>
      <c r="CO56" s="276">
        <f t="shared" si="39"/>
        <v>1073</v>
      </c>
      <c r="CP56" s="276">
        <f t="shared" si="11"/>
        <v>1103</v>
      </c>
      <c r="CQ56" s="39">
        <f t="shared" si="12"/>
        <v>1624</v>
      </c>
      <c r="CR56" s="39">
        <f t="shared" si="13"/>
        <v>1382.3333333333335</v>
      </c>
      <c r="CS56" s="277">
        <f t="shared" si="14"/>
        <v>1386.1111111111113</v>
      </c>
      <c r="CT56" s="39">
        <f t="shared" si="15"/>
        <v>1464.1481481481483</v>
      </c>
      <c r="CU56" s="39">
        <f t="shared" si="16"/>
        <v>1410.8641975308644</v>
      </c>
      <c r="CV56" s="39">
        <f t="shared" si="17"/>
        <v>1420.3744855967082</v>
      </c>
      <c r="CW56" s="297">
        <f t="shared" si="18"/>
        <v>1.1735752855450949</v>
      </c>
      <c r="CX56" s="279" t="str">
        <f t="shared" si="40"/>
        <v>Pass</v>
      </c>
      <c r="CY56" s="278">
        <f t="shared" si="19"/>
        <v>1.1649421789409617</v>
      </c>
      <c r="CZ56" s="279" t="str">
        <f t="shared" si="41"/>
        <v>Pass</v>
      </c>
      <c r="DA56" s="278">
        <f t="shared" si="20"/>
        <v>1.2717587990926935</v>
      </c>
      <c r="DB56" s="292" t="str">
        <f t="shared" si="42"/>
        <v>Pass</v>
      </c>
      <c r="DC56" s="299">
        <f t="shared" si="43"/>
        <v>1.4425104907863531</v>
      </c>
      <c r="DD56" s="293" t="str">
        <f t="shared" si="44"/>
        <v>Pass</v>
      </c>
      <c r="DE56" s="299">
        <f t="shared" si="45"/>
        <v>1.3148780964872921</v>
      </c>
      <c r="DF56" s="293" t="str">
        <f t="shared" si="46"/>
        <v>Pass</v>
      </c>
      <c r="DG56" s="299">
        <f t="shared" si="47"/>
        <v>1.2877375209398987</v>
      </c>
      <c r="DH56" s="293" t="str">
        <f t="shared" si="48"/>
        <v>Pass</v>
      </c>
    </row>
    <row r="57" spans="1:112" ht="15" thickTop="1" thickBot="1">
      <c r="A57" s="38" t="s">
        <v>223</v>
      </c>
      <c r="B57" s="38" t="s">
        <v>224</v>
      </c>
      <c r="C57" s="38" t="s">
        <v>223</v>
      </c>
      <c r="D57" s="38" t="s">
        <v>113</v>
      </c>
      <c r="E57" s="38" t="str">
        <f>VLOOKUP(C57,PoliticalControl!A:K,11,FALSE)</f>
        <v>CON</v>
      </c>
      <c r="F57" s="38" t="str">
        <f>VLOOKUP(C57,UrbanRuralClassification!A:N,13,FALSE)</f>
        <v>Urban with Significant Rural (rural including hub towns 26-49%)</v>
      </c>
      <c r="G57" s="38" t="str">
        <f>VLOOKUP(C57,UrbanRuralClassification!A:N,14,FALSE)</f>
        <v>Urban with Significant Rural</v>
      </c>
      <c r="H57" s="258">
        <f>IF(ISBLANK((VLOOKUP($A57,'local-plan-data'!$C$1:$AD$566,27,FALSE)))=TRUE,"",VLOOKUP($A57,'local-plan-data'!$C$1:$AD$566,27,FALSE))</f>
        <v>42205</v>
      </c>
      <c r="I57" s="259">
        <f>VLOOKUP($A57,'local-plan-data'!$C$1:$AD$566,28,FALSE)</f>
        <v>1362</v>
      </c>
      <c r="J57" s="260">
        <f t="shared" si="21"/>
        <v>1362</v>
      </c>
      <c r="K57" s="259">
        <f t="shared" si="51"/>
        <v>1362</v>
      </c>
      <c r="L57" s="259">
        <f t="shared" si="51"/>
        <v>1362</v>
      </c>
      <c r="M57" s="259">
        <f t="shared" si="51"/>
        <v>1362</v>
      </c>
      <c r="N57" s="259" t="str">
        <f t="shared" si="51"/>
        <v>-</v>
      </c>
      <c r="O57" s="259" t="str">
        <f t="shared" si="51"/>
        <v>-</v>
      </c>
      <c r="P57" s="259" t="str">
        <f t="shared" si="51"/>
        <v>-</v>
      </c>
      <c r="Q57" s="259" t="str">
        <f t="shared" si="51"/>
        <v>-</v>
      </c>
      <c r="R57" s="259" t="str">
        <f t="shared" si="51"/>
        <v>-</v>
      </c>
      <c r="S57" s="259">
        <f t="shared" si="52"/>
        <v>841</v>
      </c>
      <c r="T57" s="259">
        <f t="shared" si="52"/>
        <v>476</v>
      </c>
      <c r="U57" s="259">
        <f t="shared" si="52"/>
        <v>110</v>
      </c>
      <c r="V57" s="259">
        <f t="shared" si="52"/>
        <v>-255</v>
      </c>
      <c r="W57" s="259">
        <f t="shared" si="52"/>
        <v>-620</v>
      </c>
      <c r="X57" s="259">
        <f t="shared" si="52"/>
        <v>-985</v>
      </c>
      <c r="Y57" s="259">
        <f t="shared" si="52"/>
        <v>-1351</v>
      </c>
      <c r="Z57" s="259">
        <f t="shared" si="52"/>
        <v>-1716</v>
      </c>
      <c r="AA57" s="267">
        <f>(VLOOKUP(A57,Hshldprojections2014!$A$2:$AW$319,40, FALSE)-VLOOKUP(A57,Hshldprojections2014!$A$2:$AW$319,30, FALSE))/10</f>
        <v>554.79999999999995</v>
      </c>
      <c r="AB57" s="267">
        <f>(VLOOKUP(A57,Hshldprojections2014!$A$2:$AW$319,41, FALSE)-VLOOKUP(A57,Hshldprojections2014!$A$2:$AW$319,31, FALSE))/10</f>
        <v>546.4</v>
      </c>
      <c r="AC57" s="267">
        <f>(VLOOKUP(A57,Hshldprojections2014!$A$2:$AW$319,42, FALSE)-VLOOKUP(A57,Hshldprojections2014!$A$2:$AW$319,32, FALSE))/10</f>
        <v>539.1</v>
      </c>
      <c r="AD57" s="267">
        <f>IF(IndividualLATest!$J$7=2014,(VLOOKUP($A57,Hshldprojections2014!$A$2:$AY$326,43,FALSE)-VLOOKUP($A57,Hshldprojections2014!$A$2:$AY$326,33,FALSE))/10,IF(IndividualLATest!$J$7=2016,(VLOOKUP($A57,Hshldprojections2016!$A$1:$AQ$322,33,FALSE)-VLOOKUP($A57,Hshldprojections2016!$A$1:$AQ$322,23,FALSE))/10,(VLOOKUP($A57,Hshldprojections2018!$A$1:$AQ$327,33,FALSE)-VLOOKUP($A57,Hshldprojections2018!$A$1:$AQ$327,23,FALSE))/10))</f>
        <v>585.5</v>
      </c>
      <c r="AE57" s="267">
        <f>IF(IndividualLATest!$J$7=2014,(VLOOKUP($A57,Hshldprojections2014!$A$2:$AY$326,44,FALSE)-VLOOKUP($A57,Hshldprojections2014!$A$2:$AY$326,34,FALSE))/10,IF(IndividualLATest!$J$7=2016,(VLOOKUP($A57,Hshldprojections2016!$A$1:$AQ$322,34,FALSE)-VLOOKUP($A57,Hshldprojections2016!$A$1:$AQ$322,24,FALSE))/10,(VLOOKUP($A57,Hshldprojections2018!$A$1:$AQ$327,34,FALSE)-VLOOKUP($A57,Hshldprojections2018!$A$1:$AQ$327,24,FALSE))/10))</f>
        <v>565.4</v>
      </c>
      <c r="AF57" s="267">
        <f>IF(IndividualLATest!$J$7=2014,(VLOOKUP($A57,Hshldprojections2014!$A$2:$AY$326,45,FALSE)-VLOOKUP($A57,Hshldprojections2014!$A$2:$AY$326,35,FALSE))/10,IF(IndividualLATest!$J$7=2016,(VLOOKUP($A57,Hshldprojections2016!$A$1:$AQ$322,35,FALSE)-VLOOKUP($A57,Hshldprojections2016!$A$1:$AQ$322,25,FALSE))/10,(VLOOKUP($A57,Hshldprojections2018!$A$1:$AQ$327,35,FALSE)-VLOOKUP($A57,Hshldprojections2018!$A$1:$AQ$327,25,FALSE))/10))</f>
        <v>547.4</v>
      </c>
      <c r="AG57" s="267">
        <f>IF(IndividualLATest!$J$7=2014,(VLOOKUP($A57,Hshldprojections2014!$A$2:$AY$326,46,FALSE)-VLOOKUP($A57,Hshldprojections2014!$A$2:$AY$326,36,FALSE))/10,IF(IndividualLATest!$J$7=2016,(VLOOKUP($A57,Hshldprojections2016!$A$1:$AQ$322,36,FALSE)-VLOOKUP($A57,Hshldprojections2016!$A$1:$AQ$322,26,FALSE))/10,(VLOOKUP($A57,Hshldprojections2018!$A$1:$AQ$327,36,FALSE)-VLOOKUP($A57,Hshldprojections2018!$A$1:$AQ$327,26,FALSE))/10))</f>
        <v>532.9</v>
      </c>
      <c r="AH57" s="267">
        <f>IF(IndividualLATest!$J$7=2014,(VLOOKUP($A57,Hshldprojections2014!$A$2:$AY$326,47,FALSE)-VLOOKUP($A57,Hshldprojections2014!$A$2:$AY$326,37,FALSE))/10,IF(IndividualLATest!$J$7=2016,(VLOOKUP($A57,Hshldprojections2016!$A$1:$AQ$322,37,FALSE)-VLOOKUP($A57,Hshldprojections2016!$A$1:$AQ$322,27,FALSE))/10,(VLOOKUP($A57,Hshldprojections2018!$A$1:$AQ$327,37,FALSE)-VLOOKUP($A57,Hshldprojections2018!$A$1:$AQ$327,27,FALSE))/10))</f>
        <v>520.29999999999995</v>
      </c>
      <c r="AI57" s="268">
        <f>IF(ISNUMBER('Sensitivity Tests'!$C$30),'Sensitivity Tests'!$C$30,VLOOKUP($A57,AffordabilityRatio!$A$2:$I$321,5,FALSE))</f>
        <v>9.82</v>
      </c>
      <c r="AJ57" s="268">
        <f>IF(ISNUMBER('Sensitivity Tests'!$C$30),'Sensitivity Tests'!$C$30,VLOOKUP($A57,AffordabilityRatio!$A$2:$I$321,6,FALSE))</f>
        <v>9.77</v>
      </c>
      <c r="AK57" s="268">
        <f>IF(ISNUMBER('Sensitivity Tests'!$C$30),'Sensitivity Tests'!$C$30,VLOOKUP($A57,AffordabilityRatio!$A$2:$I$321,7,FALSE))</f>
        <v>10.39</v>
      </c>
      <c r="AL57" s="268">
        <f>IF(ISNUMBER('Sensitivity Tests'!$C$30),'Sensitivity Tests'!$C$30,IF((VLOOKUP($A57,AffordabilityRatio!$A$2:$I$321,8,FALSE))="",AK57,VLOOKUP($A57,AffordabilityRatio!$A$2:$I$321,8,FALSE)))</f>
        <v>9.43</v>
      </c>
      <c r="AM57" s="268">
        <f>IF(ISNUMBER('Sensitivity Tests'!$C$30),'Sensitivity Tests'!$C$30,IF((VLOOKUP($A57,AffordabilityRatio!$A$2:$I$321,9,FALSE))="",AL57,VLOOKUP($A57,AffordabilityRatio!$A$2:$I$321,9,FALSE)))</f>
        <v>10.28</v>
      </c>
      <c r="AN57" s="268">
        <f>IF(ISNUMBER('Sensitivity Tests'!$C$30),'Sensitivity Tests'!$C$30,IF((VLOOKUP($A57,AffordabilityRatio!$A$2:$I$321,9,FALSE))="",AM57,VLOOKUP($A57,AffordabilityRatio!$A$2:$I$321,9,FALSE)))</f>
        <v>10.28</v>
      </c>
      <c r="AO57" s="268">
        <f>IF(ISNUMBER('Sensitivity Tests'!$C$30),'Sensitivity Tests'!$C$30,IF((VLOOKUP($A57,AffordabilityRatio!$A$2:$I$321,9,FALSE))="",AN57,VLOOKUP($A57,AffordabilityRatio!$A$2:$I$321,9,FALSE)))</f>
        <v>10.28</v>
      </c>
      <c r="AP57" s="268">
        <f>IF(ISNUMBER('Sensitivity Tests'!$C$30),'Sensitivity Tests'!$C$30,IF((VLOOKUP($A57,AffordabilityRatio!$A$2:$I$321,9,FALSE))="",AO57,VLOOKUP($A57,AffordabilityRatio!$A$2:$I$321,9,FALSE)))</f>
        <v>10.28</v>
      </c>
      <c r="AQ57" s="267">
        <f t="shared" si="53"/>
        <v>757</v>
      </c>
      <c r="AR57" s="267">
        <f t="shared" si="53"/>
        <v>743</v>
      </c>
      <c r="AS57" s="267">
        <f t="shared" si="53"/>
        <v>754</v>
      </c>
      <c r="AT57" s="267">
        <f t="shared" si="53"/>
        <v>784</v>
      </c>
      <c r="AU57" s="267">
        <f t="shared" si="53"/>
        <v>787</v>
      </c>
      <c r="AV57" s="267">
        <f t="shared" si="53"/>
        <v>762</v>
      </c>
      <c r="AW57" s="267">
        <f t="shared" si="53"/>
        <v>742</v>
      </c>
      <c r="AX57" s="267">
        <f t="shared" si="53"/>
        <v>725</v>
      </c>
      <c r="AY57" s="267">
        <f t="shared" si="25"/>
        <v>757</v>
      </c>
      <c r="AZ57" s="267">
        <f t="shared" si="26"/>
        <v>743</v>
      </c>
      <c r="BA57" s="267">
        <f t="shared" si="27"/>
        <v>754</v>
      </c>
      <c r="BB57" s="267">
        <f t="shared" si="28"/>
        <v>784</v>
      </c>
      <c r="BC57" s="267">
        <f t="shared" si="29"/>
        <v>787</v>
      </c>
      <c r="BD57" s="267">
        <f t="shared" si="30"/>
        <v>762</v>
      </c>
      <c r="BE57" s="267">
        <f t="shared" si="31"/>
        <v>742</v>
      </c>
      <c r="BF57" s="267">
        <f t="shared" si="32"/>
        <v>725</v>
      </c>
      <c r="BG57" s="269">
        <f>AY57*VLOOKUP($B57,'Major Cities &amp; Towns'!$A$28:$B$345,2,FALSE)</f>
        <v>757</v>
      </c>
      <c r="BH57" s="269">
        <f>AZ57*VLOOKUP($B57,'Major Cities &amp; Towns'!$A$28:$B$345,2,FALSE)</f>
        <v>743</v>
      </c>
      <c r="BI57" s="269">
        <f>BA57*VLOOKUP($B57,'Major Cities &amp; Towns'!$A$28:$B$345,2,FALSE)</f>
        <v>754</v>
      </c>
      <c r="BJ57" s="269">
        <f>BB57*VLOOKUP($B57,'Major Cities &amp; Towns'!$A$28:$B$345,2,FALSE)</f>
        <v>784</v>
      </c>
      <c r="BK57" s="269">
        <f>BC57*VLOOKUP($B57,'Major Cities &amp; Towns'!$A$28:$B$345,2,FALSE)</f>
        <v>787</v>
      </c>
      <c r="BL57" s="269">
        <f>BD57*VLOOKUP($B57,'Major Cities &amp; Towns'!$A$28:$B$345,2,FALSE)</f>
        <v>762</v>
      </c>
      <c r="BM57" s="269">
        <f>BE57*VLOOKUP($B57,'Major Cities &amp; Towns'!$A$28:$B$345,2,FALSE)</f>
        <v>742</v>
      </c>
      <c r="BN57" s="269">
        <f>BF57*VLOOKUP($B57,'Major Cities &amp; Towns'!$A$28:$B$345,2,FALSE)</f>
        <v>725</v>
      </c>
      <c r="BO57" s="270">
        <f t="shared" si="33"/>
        <v>757</v>
      </c>
      <c r="BP57" s="270">
        <f t="shared" si="50"/>
        <v>743</v>
      </c>
      <c r="BQ57" s="270">
        <f t="shared" si="50"/>
        <v>754</v>
      </c>
      <c r="BR57" s="270">
        <f t="shared" si="50"/>
        <v>784</v>
      </c>
      <c r="BS57" s="270">
        <f t="shared" si="49"/>
        <v>787</v>
      </c>
      <c r="BT57" s="270">
        <f t="shared" si="49"/>
        <v>762</v>
      </c>
      <c r="BU57" s="270">
        <f t="shared" si="49"/>
        <v>742</v>
      </c>
      <c r="BV57" s="270">
        <f t="shared" si="49"/>
        <v>725</v>
      </c>
      <c r="BW57" s="39">
        <f>VLOOKUP($A57,NetAdditions!$A$2:$H$336,6,FALSE)</f>
        <v>1489</v>
      </c>
      <c r="BX57" s="39">
        <f>VLOOKUP($A57,NetAdditions!$A$2:$H$336,7,FALSE)</f>
        <v>1159</v>
      </c>
      <c r="BY57" s="39">
        <f>IF((VLOOKUP($C57,NetAdditions!$A$2:$H$336,8,FALSE))="",(AVERAGE(VLOOKUP($C57,NetAdditions!$A$2:$H$336,5,FALSE),VLOOKUP($C57,NetAdditions!$A$2:$H$336,6,FALSE),VLOOKUP($C57,NetAdditions!$A$2:$H$336,7,FALSE))),VLOOKUP($C57,NetAdditions!$A$2:$H$336,8,FALSE))</f>
        <v>1192</v>
      </c>
      <c r="BZ57" s="39">
        <f t="shared" si="35"/>
        <v>1280</v>
      </c>
      <c r="CA57" s="39">
        <f t="shared" si="35"/>
        <v>1210.3333333333333</v>
      </c>
      <c r="CB57" s="39">
        <f t="shared" si="35"/>
        <v>1227.4444444444443</v>
      </c>
      <c r="CC57" s="39">
        <f t="shared" si="35"/>
        <v>1239.2592592592591</v>
      </c>
      <c r="CD57" s="39">
        <f t="shared" si="35"/>
        <v>1225.6790123456788</v>
      </c>
      <c r="CE57" s="276">
        <f t="shared" si="5"/>
        <v>2254</v>
      </c>
      <c r="CF57" s="276">
        <f t="shared" si="6"/>
        <v>2281</v>
      </c>
      <c r="CG57" s="276">
        <f t="shared" si="7"/>
        <v>2325</v>
      </c>
      <c r="CH57" s="276">
        <f t="shared" si="8"/>
        <v>2333</v>
      </c>
      <c r="CI57" s="276">
        <f t="shared" si="9"/>
        <v>2291</v>
      </c>
      <c r="CJ57" s="276">
        <f t="shared" si="10"/>
        <v>2229</v>
      </c>
      <c r="CK57" s="276">
        <f t="shared" si="36"/>
        <v>1940.9444444444446</v>
      </c>
      <c r="CL57" s="276">
        <f t="shared" si="37"/>
        <v>1964.1944444444446</v>
      </c>
      <c r="CM57" s="276">
        <f t="shared" si="38"/>
        <v>2131.25</v>
      </c>
      <c r="CN57" s="276">
        <f t="shared" si="39"/>
        <v>2333</v>
      </c>
      <c r="CO57" s="276">
        <f t="shared" si="39"/>
        <v>2291</v>
      </c>
      <c r="CP57" s="276">
        <f t="shared" si="11"/>
        <v>2229</v>
      </c>
      <c r="CQ57" s="39">
        <f t="shared" si="12"/>
        <v>3840</v>
      </c>
      <c r="CR57" s="39">
        <f t="shared" si="13"/>
        <v>3631</v>
      </c>
      <c r="CS57" s="277">
        <f t="shared" si="14"/>
        <v>3682.333333333333</v>
      </c>
      <c r="CT57" s="39">
        <f t="shared" si="15"/>
        <v>3717.7777777777774</v>
      </c>
      <c r="CU57" s="39">
        <f t="shared" si="16"/>
        <v>3677.0370370370365</v>
      </c>
      <c r="CV57" s="39">
        <f t="shared" si="17"/>
        <v>3692.382716049382</v>
      </c>
      <c r="CW57" s="297">
        <f t="shared" si="18"/>
        <v>1.978418295789564</v>
      </c>
      <c r="CX57" s="279" t="str">
        <f t="shared" si="40"/>
        <v>Pass</v>
      </c>
      <c r="CY57" s="278">
        <f t="shared" si="19"/>
        <v>1.8485949852215355</v>
      </c>
      <c r="CZ57" s="279" t="str">
        <f t="shared" si="41"/>
        <v>Pass</v>
      </c>
      <c r="DA57" s="278">
        <f t="shared" si="20"/>
        <v>1.7277810361681327</v>
      </c>
      <c r="DB57" s="292" t="str">
        <f t="shared" si="42"/>
        <v>Pass</v>
      </c>
      <c r="DC57" s="299">
        <f t="shared" si="43"/>
        <v>1.5935609849026049</v>
      </c>
      <c r="DD57" s="293" t="str">
        <f t="shared" si="44"/>
        <v>Pass</v>
      </c>
      <c r="DE57" s="299">
        <f t="shared" si="45"/>
        <v>1.6049921593352408</v>
      </c>
      <c r="DF57" s="293" t="str">
        <f t="shared" si="46"/>
        <v>Pass</v>
      </c>
      <c r="DG57" s="299">
        <f t="shared" si="47"/>
        <v>1.6565198367202252</v>
      </c>
      <c r="DH57" s="293" t="str">
        <f t="shared" si="48"/>
        <v>Pass</v>
      </c>
    </row>
    <row r="58" spans="1:112" ht="15" thickTop="1" thickBot="1">
      <c r="A58" s="38" t="s">
        <v>225</v>
      </c>
      <c r="B58" s="38" t="s">
        <v>226</v>
      </c>
      <c r="C58" s="38" t="s">
        <v>225</v>
      </c>
      <c r="D58" s="38" t="s">
        <v>116</v>
      </c>
      <c r="E58" s="38" t="str">
        <f>VLOOKUP(C58,PoliticalControl!A:K,11,FALSE)</f>
        <v>NOC</v>
      </c>
      <c r="F58" s="38" t="str">
        <f>VLOOKUP(C58,UrbanRuralClassification!A:N,13,FALSE)</f>
        <v>Urban with Significant Rural (rural including hub towns 26-49%)</v>
      </c>
      <c r="G58" s="38" t="str">
        <f>VLOOKUP(C58,UrbanRuralClassification!A:N,14,FALSE)</f>
        <v>Urban with Significant Rural</v>
      </c>
      <c r="H58" s="258">
        <f>IF(ISBLANK((VLOOKUP($A58,'local-plan-data'!$C$1:$AD$566,27,FALSE)))=TRUE,"",VLOOKUP($A58,'local-plan-data'!$C$1:$AD$566,27,FALSE))</f>
        <v>42943</v>
      </c>
      <c r="I58" s="259">
        <f>VLOOKUP($A58,'local-plan-data'!$C$1:$AD$566,28,FALSE)</f>
        <v>1800</v>
      </c>
      <c r="J58" s="260">
        <f t="shared" si="21"/>
        <v>1800</v>
      </c>
      <c r="K58" s="259">
        <f t="shared" si="51"/>
        <v>1800</v>
      </c>
      <c r="L58" s="259">
        <f t="shared" si="51"/>
        <v>1800</v>
      </c>
      <c r="M58" s="259">
        <f t="shared" si="51"/>
        <v>1800</v>
      </c>
      <c r="N58" s="259">
        <f t="shared" si="51"/>
        <v>1800</v>
      </c>
      <c r="O58" s="259">
        <f t="shared" si="51"/>
        <v>1800</v>
      </c>
      <c r="P58" s="259" t="str">
        <f t="shared" si="51"/>
        <v>-</v>
      </c>
      <c r="Q58" s="259" t="str">
        <f t="shared" si="51"/>
        <v>-</v>
      </c>
      <c r="R58" s="259" t="str">
        <f t="shared" si="51"/>
        <v>-</v>
      </c>
      <c r="S58" s="259">
        <f t="shared" si="52"/>
        <v>1578</v>
      </c>
      <c r="T58" s="259">
        <f t="shared" si="52"/>
        <v>1213</v>
      </c>
      <c r="U58" s="259">
        <f t="shared" si="52"/>
        <v>847</v>
      </c>
      <c r="V58" s="259">
        <f t="shared" si="52"/>
        <v>482</v>
      </c>
      <c r="W58" s="259">
        <f t="shared" si="52"/>
        <v>117</v>
      </c>
      <c r="X58" s="259">
        <f t="shared" si="52"/>
        <v>-248</v>
      </c>
      <c r="Y58" s="259">
        <f t="shared" si="52"/>
        <v>-614</v>
      </c>
      <c r="Z58" s="259">
        <f t="shared" si="52"/>
        <v>-979</v>
      </c>
      <c r="AA58" s="267">
        <f>(VLOOKUP(A58,Hshldprojections2014!$A$2:$AW$319,40, FALSE)-VLOOKUP(A58,Hshldprojections2014!$A$2:$AW$319,30, FALSE))/10</f>
        <v>899.9</v>
      </c>
      <c r="AB58" s="267">
        <f>(VLOOKUP(A58,Hshldprojections2014!$A$2:$AW$319,41, FALSE)-VLOOKUP(A58,Hshldprojections2014!$A$2:$AW$319,31, FALSE))/10</f>
        <v>879.6</v>
      </c>
      <c r="AC58" s="267">
        <f>(VLOOKUP(A58,Hshldprojections2014!$A$2:$AW$319,42, FALSE)-VLOOKUP(A58,Hshldprojections2014!$A$2:$AW$319,32, FALSE))/10</f>
        <v>856.4</v>
      </c>
      <c r="AD58" s="267">
        <f>IF(IndividualLATest!$J$7=2014,(VLOOKUP($A58,Hshldprojections2014!$A$2:$AY$326,43,FALSE)-VLOOKUP($A58,Hshldprojections2014!$A$2:$AY$326,33,FALSE))/10,IF(IndividualLATest!$J$7=2016,(VLOOKUP($A58,Hshldprojections2016!$A$1:$AQ$322,33,FALSE)-VLOOKUP($A58,Hshldprojections2016!$A$1:$AQ$322,23,FALSE))/10,(VLOOKUP($A58,Hshldprojections2018!$A$1:$AQ$327,33,FALSE)-VLOOKUP($A58,Hshldprojections2018!$A$1:$AQ$327,23,FALSE))/10))</f>
        <v>1125.5</v>
      </c>
      <c r="AE58" s="267">
        <f>IF(IndividualLATest!$J$7=2014,(VLOOKUP($A58,Hshldprojections2014!$A$2:$AY$326,44,FALSE)-VLOOKUP($A58,Hshldprojections2014!$A$2:$AY$326,34,FALSE))/10,IF(IndividualLATest!$J$7=2016,(VLOOKUP($A58,Hshldprojections2016!$A$1:$AQ$322,34,FALSE)-VLOOKUP($A58,Hshldprojections2016!$A$1:$AQ$322,24,FALSE))/10,(VLOOKUP($A58,Hshldprojections2018!$A$1:$AQ$327,34,FALSE)-VLOOKUP($A58,Hshldprojections2018!$A$1:$AQ$327,24,FALSE))/10))</f>
        <v>1093.5</v>
      </c>
      <c r="AF58" s="267">
        <f>IF(IndividualLATest!$J$7=2014,(VLOOKUP($A58,Hshldprojections2014!$A$2:$AY$326,45,FALSE)-VLOOKUP($A58,Hshldprojections2014!$A$2:$AY$326,35,FALSE))/10,IF(IndividualLATest!$J$7=2016,(VLOOKUP($A58,Hshldprojections2016!$A$1:$AQ$322,35,FALSE)-VLOOKUP($A58,Hshldprojections2016!$A$1:$AQ$322,25,FALSE))/10,(VLOOKUP($A58,Hshldprojections2018!$A$1:$AQ$327,35,FALSE)-VLOOKUP($A58,Hshldprojections2018!$A$1:$AQ$327,25,FALSE))/10))</f>
        <v>1067.5</v>
      </c>
      <c r="AG58" s="267">
        <f>IF(IndividualLATest!$J$7=2014,(VLOOKUP($A58,Hshldprojections2014!$A$2:$AY$326,46,FALSE)-VLOOKUP($A58,Hshldprojections2014!$A$2:$AY$326,36,FALSE))/10,IF(IndividualLATest!$J$7=2016,(VLOOKUP($A58,Hshldprojections2016!$A$1:$AQ$322,36,FALSE)-VLOOKUP($A58,Hshldprojections2016!$A$1:$AQ$322,26,FALSE))/10,(VLOOKUP($A58,Hshldprojections2018!$A$1:$AQ$327,36,FALSE)-VLOOKUP($A58,Hshldprojections2018!$A$1:$AQ$327,26,FALSE))/10))</f>
        <v>1041.9000000000001</v>
      </c>
      <c r="AH58" s="267">
        <f>IF(IndividualLATest!$J$7=2014,(VLOOKUP($A58,Hshldprojections2014!$A$2:$AY$326,47,FALSE)-VLOOKUP($A58,Hshldprojections2014!$A$2:$AY$326,37,FALSE))/10,IF(IndividualLATest!$J$7=2016,(VLOOKUP($A58,Hshldprojections2016!$A$1:$AQ$322,37,FALSE)-VLOOKUP($A58,Hshldprojections2016!$A$1:$AQ$322,27,FALSE))/10,(VLOOKUP($A58,Hshldprojections2018!$A$1:$AQ$327,37,FALSE)-VLOOKUP($A58,Hshldprojections2018!$A$1:$AQ$327,27,FALSE))/10))</f>
        <v>1021.3</v>
      </c>
      <c r="AI58" s="268">
        <f>IF(ISNUMBER('Sensitivity Tests'!$C$30),'Sensitivity Tests'!$C$30,VLOOKUP($A58,AffordabilityRatio!$A$2:$I$321,5,FALSE))</f>
        <v>7.65</v>
      </c>
      <c r="AJ58" s="268">
        <f>IF(ISNUMBER('Sensitivity Tests'!$C$30),'Sensitivity Tests'!$C$30,VLOOKUP($A58,AffordabilityRatio!$A$2:$I$321,6,FALSE))</f>
        <v>8.0500000000000007</v>
      </c>
      <c r="AK58" s="268">
        <f>IF(ISNUMBER('Sensitivity Tests'!$C$30),'Sensitivity Tests'!$C$30,VLOOKUP($A58,AffordabilityRatio!$A$2:$I$321,7,FALSE))</f>
        <v>8.0399999999999991</v>
      </c>
      <c r="AL58" s="268">
        <f>IF(ISNUMBER('Sensitivity Tests'!$C$30),'Sensitivity Tests'!$C$30,IF((VLOOKUP($A58,AffordabilityRatio!$A$2:$I$321,8,FALSE))="",AK58,VLOOKUP($A58,AffordabilityRatio!$A$2:$I$321,8,FALSE)))</f>
        <v>7.94</v>
      </c>
      <c r="AM58" s="268">
        <f>IF(ISNUMBER('Sensitivity Tests'!$C$30),'Sensitivity Tests'!$C$30,IF((VLOOKUP($A58,AffordabilityRatio!$A$2:$I$321,9,FALSE))="",AL58,VLOOKUP($A58,AffordabilityRatio!$A$2:$I$321,9,FALSE)))</f>
        <v>8.7899999999999991</v>
      </c>
      <c r="AN58" s="268">
        <f>IF(ISNUMBER('Sensitivity Tests'!$C$30),'Sensitivity Tests'!$C$30,IF((VLOOKUP($A58,AffordabilityRatio!$A$2:$I$321,9,FALSE))="",AM58,VLOOKUP($A58,AffordabilityRatio!$A$2:$I$321,9,FALSE)))</f>
        <v>8.7899999999999991</v>
      </c>
      <c r="AO58" s="268">
        <f>IF(ISNUMBER('Sensitivity Tests'!$C$30),'Sensitivity Tests'!$C$30,IF((VLOOKUP($A58,AffordabilityRatio!$A$2:$I$321,9,FALSE))="",AN58,VLOOKUP($A58,AffordabilityRatio!$A$2:$I$321,9,FALSE)))</f>
        <v>8.7899999999999991</v>
      </c>
      <c r="AP58" s="268">
        <f>IF(ISNUMBER('Sensitivity Tests'!$C$30),'Sensitivity Tests'!$C$30,IF((VLOOKUP($A58,AffordabilityRatio!$A$2:$I$321,9,FALSE))="",AO58,VLOOKUP($A58,AffordabilityRatio!$A$2:$I$321,9,FALSE)))</f>
        <v>8.7899999999999991</v>
      </c>
      <c r="AQ58" s="267">
        <f t="shared" si="53"/>
        <v>1105</v>
      </c>
      <c r="AR58" s="267">
        <f t="shared" si="53"/>
        <v>1102</v>
      </c>
      <c r="AS58" s="267">
        <f t="shared" si="53"/>
        <v>1073</v>
      </c>
      <c r="AT58" s="267">
        <f t="shared" si="53"/>
        <v>1403</v>
      </c>
      <c r="AU58" s="267">
        <f t="shared" si="53"/>
        <v>1421</v>
      </c>
      <c r="AV58" s="267">
        <f t="shared" si="53"/>
        <v>1387</v>
      </c>
      <c r="AW58" s="267">
        <f t="shared" si="53"/>
        <v>1354</v>
      </c>
      <c r="AX58" s="267">
        <f t="shared" si="53"/>
        <v>1327</v>
      </c>
      <c r="AY58" s="267">
        <f t="shared" si="25"/>
        <v>1105</v>
      </c>
      <c r="AZ58" s="267">
        <f t="shared" si="26"/>
        <v>1102</v>
      </c>
      <c r="BA58" s="267">
        <f t="shared" si="27"/>
        <v>1073</v>
      </c>
      <c r="BB58" s="267">
        <f t="shared" si="28"/>
        <v>1403</v>
      </c>
      <c r="BC58" s="267">
        <f t="shared" si="29"/>
        <v>1421</v>
      </c>
      <c r="BD58" s="267">
        <f t="shared" si="30"/>
        <v>1387</v>
      </c>
      <c r="BE58" s="267">
        <f t="shared" si="31"/>
        <v>1354</v>
      </c>
      <c r="BF58" s="267">
        <f t="shared" si="32"/>
        <v>1327</v>
      </c>
      <c r="BG58" s="269">
        <f>AY58*VLOOKUP($B58,'Major Cities &amp; Towns'!$A$28:$B$345,2,FALSE)</f>
        <v>1105</v>
      </c>
      <c r="BH58" s="269">
        <f>AZ58*VLOOKUP($B58,'Major Cities &amp; Towns'!$A$28:$B$345,2,FALSE)</f>
        <v>1102</v>
      </c>
      <c r="BI58" s="269">
        <f>BA58*VLOOKUP($B58,'Major Cities &amp; Towns'!$A$28:$B$345,2,FALSE)</f>
        <v>1073</v>
      </c>
      <c r="BJ58" s="269">
        <f>BB58*VLOOKUP($B58,'Major Cities &amp; Towns'!$A$28:$B$345,2,FALSE)</f>
        <v>1403</v>
      </c>
      <c r="BK58" s="269">
        <f>BC58*VLOOKUP($B58,'Major Cities &amp; Towns'!$A$28:$B$345,2,FALSE)</f>
        <v>1421</v>
      </c>
      <c r="BL58" s="269">
        <f>BD58*VLOOKUP($B58,'Major Cities &amp; Towns'!$A$28:$B$345,2,FALSE)</f>
        <v>1387</v>
      </c>
      <c r="BM58" s="269">
        <f>BE58*VLOOKUP($B58,'Major Cities &amp; Towns'!$A$28:$B$345,2,FALSE)</f>
        <v>1354</v>
      </c>
      <c r="BN58" s="269">
        <f>BF58*VLOOKUP($B58,'Major Cities &amp; Towns'!$A$28:$B$345,2,FALSE)</f>
        <v>1327</v>
      </c>
      <c r="BO58" s="270">
        <f t="shared" si="33"/>
        <v>1105</v>
      </c>
      <c r="BP58" s="270">
        <f t="shared" si="50"/>
        <v>1102</v>
      </c>
      <c r="BQ58" s="270">
        <f t="shared" si="50"/>
        <v>1073</v>
      </c>
      <c r="BR58" s="270">
        <f t="shared" si="50"/>
        <v>1403</v>
      </c>
      <c r="BS58" s="270">
        <f t="shared" si="49"/>
        <v>1421</v>
      </c>
      <c r="BT58" s="270">
        <f t="shared" si="49"/>
        <v>1387</v>
      </c>
      <c r="BU58" s="270">
        <f t="shared" si="49"/>
        <v>1354</v>
      </c>
      <c r="BV58" s="270">
        <f t="shared" si="49"/>
        <v>1327</v>
      </c>
      <c r="BW58" s="39">
        <f>VLOOKUP($A58,NetAdditions!$A$2:$H$336,6,FALSE)</f>
        <v>2935</v>
      </c>
      <c r="BX58" s="39">
        <f>VLOOKUP($A58,NetAdditions!$A$2:$H$336,7,FALSE)</f>
        <v>3131</v>
      </c>
      <c r="BY58" s="39">
        <f>IF((VLOOKUP($C58,NetAdditions!$A$2:$H$336,8,FALSE))="",(AVERAGE(VLOOKUP($C58,NetAdditions!$A$2:$H$336,5,FALSE),VLOOKUP($C58,NetAdditions!$A$2:$H$336,6,FALSE),VLOOKUP($C58,NetAdditions!$A$2:$H$336,7,FALSE))),VLOOKUP($C58,NetAdditions!$A$2:$H$336,8,FALSE))</f>
        <v>2275</v>
      </c>
      <c r="BZ58" s="39">
        <f t="shared" si="35"/>
        <v>2780.3333333333335</v>
      </c>
      <c r="CA58" s="39">
        <f t="shared" si="35"/>
        <v>2728.7777777777778</v>
      </c>
      <c r="CB58" s="39">
        <f t="shared" si="35"/>
        <v>2594.7037037037039</v>
      </c>
      <c r="CC58" s="39">
        <f t="shared" si="35"/>
        <v>2701.271604938272</v>
      </c>
      <c r="CD58" s="39">
        <f t="shared" si="35"/>
        <v>2674.9176954732516</v>
      </c>
      <c r="CE58" s="276">
        <f t="shared" si="5"/>
        <v>3280</v>
      </c>
      <c r="CF58" s="276">
        <f t="shared" si="6"/>
        <v>3578</v>
      </c>
      <c r="CG58" s="276">
        <f t="shared" si="7"/>
        <v>3897</v>
      </c>
      <c r="CH58" s="276">
        <f t="shared" si="8"/>
        <v>4211</v>
      </c>
      <c r="CI58" s="276">
        <f t="shared" si="9"/>
        <v>4162</v>
      </c>
      <c r="CJ58" s="276">
        <f t="shared" si="10"/>
        <v>4068</v>
      </c>
      <c r="CK58" s="276">
        <f t="shared" si="36"/>
        <v>2824.4444444444448</v>
      </c>
      <c r="CL58" s="276">
        <f t="shared" si="37"/>
        <v>3081.0555555555557</v>
      </c>
      <c r="CM58" s="276">
        <f t="shared" si="38"/>
        <v>3572.25</v>
      </c>
      <c r="CN58" s="276">
        <f t="shared" si="39"/>
        <v>4211</v>
      </c>
      <c r="CO58" s="276">
        <f t="shared" si="39"/>
        <v>4162</v>
      </c>
      <c r="CP58" s="276">
        <f t="shared" si="11"/>
        <v>4068</v>
      </c>
      <c r="CQ58" s="39">
        <f t="shared" si="12"/>
        <v>8341</v>
      </c>
      <c r="CR58" s="39">
        <f t="shared" si="13"/>
        <v>8186.3333333333339</v>
      </c>
      <c r="CS58" s="277">
        <f t="shared" si="14"/>
        <v>7784.1111111111113</v>
      </c>
      <c r="CT58" s="39">
        <f t="shared" si="15"/>
        <v>8103.8148148148157</v>
      </c>
      <c r="CU58" s="39">
        <f t="shared" si="16"/>
        <v>8024.7530864197543</v>
      </c>
      <c r="CV58" s="39">
        <f t="shared" si="17"/>
        <v>7970.8930041152271</v>
      </c>
      <c r="CW58" s="297">
        <f t="shared" si="18"/>
        <v>2.9531471282454755</v>
      </c>
      <c r="CX58" s="279" t="str">
        <f t="shared" si="40"/>
        <v>Pass</v>
      </c>
      <c r="CY58" s="278">
        <f t="shared" si="19"/>
        <v>2.6569898483564436</v>
      </c>
      <c r="CZ58" s="279" t="str">
        <f t="shared" si="41"/>
        <v>Pass</v>
      </c>
      <c r="DA58" s="278">
        <f t="shared" si="20"/>
        <v>2.1790499296272969</v>
      </c>
      <c r="DB58" s="292" t="str">
        <f t="shared" si="42"/>
        <v>Pass</v>
      </c>
      <c r="DC58" s="299">
        <f t="shared" si="43"/>
        <v>1.9244395190726231</v>
      </c>
      <c r="DD58" s="293" t="str">
        <f t="shared" si="44"/>
        <v>Pass</v>
      </c>
      <c r="DE58" s="299">
        <f t="shared" si="45"/>
        <v>1.9281002129792779</v>
      </c>
      <c r="DF58" s="293" t="str">
        <f t="shared" si="46"/>
        <v>Pass</v>
      </c>
      <c r="DG58" s="299">
        <f t="shared" si="47"/>
        <v>1.9594132261836841</v>
      </c>
      <c r="DH58" s="293" t="str">
        <f t="shared" si="48"/>
        <v>Pass</v>
      </c>
    </row>
    <row r="59" spans="1:112" ht="15" thickTop="1" thickBot="1">
      <c r="A59" s="38" t="s">
        <v>227</v>
      </c>
      <c r="B59" s="38" t="s">
        <v>228</v>
      </c>
      <c r="C59" s="38" t="s">
        <v>227</v>
      </c>
      <c r="D59" s="38" t="s">
        <v>116</v>
      </c>
      <c r="E59" s="38" t="str">
        <f>VLOOKUP(C59,PoliticalControl!A:K,11,FALSE)</f>
        <v>NOC</v>
      </c>
      <c r="F59" s="38" t="str">
        <f>VLOOKUP(C59,UrbanRuralClassification!A:N,13,FALSE)</f>
        <v>Urban with Significant Rural (rural including hub towns 26-49%)</v>
      </c>
      <c r="G59" s="38" t="str">
        <f>VLOOKUP(C59,UrbanRuralClassification!A:N,14,FALSE)</f>
        <v>Urban with Significant Rural</v>
      </c>
      <c r="H59" s="258">
        <f>IF(ISBLANK((VLOOKUP($A59,'local-plan-data'!$C$1:$AD$566,27,FALSE)))=TRUE,"",VLOOKUP($A59,'local-plan-data'!$C$1:$AD$566,27,FALSE))</f>
        <v>42033</v>
      </c>
      <c r="I59" s="259">
        <f>VLOOKUP($A59,'local-plan-data'!$C$1:$AD$566,28,FALSE)</f>
        <v>1100</v>
      </c>
      <c r="J59" s="260">
        <f t="shared" si="21"/>
        <v>1100</v>
      </c>
      <c r="K59" s="259">
        <f t="shared" si="51"/>
        <v>1100</v>
      </c>
      <c r="L59" s="259">
        <f t="shared" si="51"/>
        <v>1100</v>
      </c>
      <c r="M59" s="259" t="str">
        <f t="shared" si="51"/>
        <v>-</v>
      </c>
      <c r="N59" s="259" t="str">
        <f t="shared" si="51"/>
        <v>-</v>
      </c>
      <c r="O59" s="259" t="str">
        <f t="shared" si="51"/>
        <v>-</v>
      </c>
      <c r="P59" s="259" t="str">
        <f t="shared" si="51"/>
        <v>-</v>
      </c>
      <c r="Q59" s="259" t="str">
        <f t="shared" si="51"/>
        <v>-</v>
      </c>
      <c r="R59" s="259" t="str">
        <f t="shared" si="51"/>
        <v>-</v>
      </c>
      <c r="S59" s="259">
        <f t="shared" si="52"/>
        <v>668</v>
      </c>
      <c r="T59" s="259">
        <f t="shared" si="52"/>
        <v>303</v>
      </c>
      <c r="U59" s="259">
        <f t="shared" si="52"/>
        <v>-63</v>
      </c>
      <c r="V59" s="259">
        <f t="shared" si="52"/>
        <v>-428</v>
      </c>
      <c r="W59" s="259">
        <f t="shared" si="52"/>
        <v>-793</v>
      </c>
      <c r="X59" s="259">
        <f t="shared" si="52"/>
        <v>-1158</v>
      </c>
      <c r="Y59" s="259">
        <f t="shared" si="52"/>
        <v>-1524</v>
      </c>
      <c r="Z59" s="259">
        <f t="shared" si="52"/>
        <v>-1889</v>
      </c>
      <c r="AA59" s="267">
        <f>(VLOOKUP(A59,Hshldprojections2014!$A$2:$AW$319,40, FALSE)-VLOOKUP(A59,Hshldprojections2014!$A$2:$AW$319,30, FALSE))/10</f>
        <v>533.5</v>
      </c>
      <c r="AB59" s="267">
        <f>(VLOOKUP(A59,Hshldprojections2014!$A$2:$AW$319,41, FALSE)-VLOOKUP(A59,Hshldprojections2014!$A$2:$AW$319,31, FALSE))/10</f>
        <v>512.6</v>
      </c>
      <c r="AC59" s="267">
        <f>(VLOOKUP(A59,Hshldprojections2014!$A$2:$AW$319,42, FALSE)-VLOOKUP(A59,Hshldprojections2014!$A$2:$AW$319,32, FALSE))/10</f>
        <v>493.5</v>
      </c>
      <c r="AD59" s="267">
        <f>IF(IndividualLATest!$J$7=2014,(VLOOKUP($A59,Hshldprojections2014!$A$2:$AY$326,43,FALSE)-VLOOKUP($A59,Hshldprojections2014!$A$2:$AY$326,33,FALSE))/10,IF(IndividualLATest!$J$7=2016,(VLOOKUP($A59,Hshldprojections2016!$A$1:$AQ$322,33,FALSE)-VLOOKUP($A59,Hshldprojections2016!$A$1:$AQ$322,23,FALSE))/10,(VLOOKUP($A59,Hshldprojections2018!$A$1:$AQ$327,33,FALSE)-VLOOKUP($A59,Hshldprojections2018!$A$1:$AQ$327,23,FALSE))/10))</f>
        <v>1162.5999999999999</v>
      </c>
      <c r="AE59" s="267">
        <f>IF(IndividualLATest!$J$7=2014,(VLOOKUP($A59,Hshldprojections2014!$A$2:$AY$326,44,FALSE)-VLOOKUP($A59,Hshldprojections2014!$A$2:$AY$326,34,FALSE))/10,IF(IndividualLATest!$J$7=2016,(VLOOKUP($A59,Hshldprojections2016!$A$1:$AQ$322,34,FALSE)-VLOOKUP($A59,Hshldprojections2016!$A$1:$AQ$322,24,FALSE))/10,(VLOOKUP($A59,Hshldprojections2018!$A$1:$AQ$327,34,FALSE)-VLOOKUP($A59,Hshldprojections2018!$A$1:$AQ$327,24,FALSE))/10))</f>
        <v>1143.2</v>
      </c>
      <c r="AF59" s="267">
        <f>IF(IndividualLATest!$J$7=2014,(VLOOKUP($A59,Hshldprojections2014!$A$2:$AY$326,45,FALSE)-VLOOKUP($A59,Hshldprojections2014!$A$2:$AY$326,35,FALSE))/10,IF(IndividualLATest!$J$7=2016,(VLOOKUP($A59,Hshldprojections2016!$A$1:$AQ$322,35,FALSE)-VLOOKUP($A59,Hshldprojections2016!$A$1:$AQ$322,25,FALSE))/10,(VLOOKUP($A59,Hshldprojections2018!$A$1:$AQ$327,35,FALSE)-VLOOKUP($A59,Hshldprojections2018!$A$1:$AQ$327,25,FALSE))/10))</f>
        <v>1122.9000000000001</v>
      </c>
      <c r="AG59" s="267">
        <f>IF(IndividualLATest!$J$7=2014,(VLOOKUP($A59,Hshldprojections2014!$A$2:$AY$326,46,FALSE)-VLOOKUP($A59,Hshldprojections2014!$A$2:$AY$326,36,FALSE))/10,IF(IndividualLATest!$J$7=2016,(VLOOKUP($A59,Hshldprojections2016!$A$1:$AQ$322,36,FALSE)-VLOOKUP($A59,Hshldprojections2016!$A$1:$AQ$322,26,FALSE))/10,(VLOOKUP($A59,Hshldprojections2018!$A$1:$AQ$327,36,FALSE)-VLOOKUP($A59,Hshldprojections2018!$A$1:$AQ$327,26,FALSE))/10))</f>
        <v>1105.0999999999999</v>
      </c>
      <c r="AH59" s="267">
        <f>IF(IndividualLATest!$J$7=2014,(VLOOKUP($A59,Hshldprojections2014!$A$2:$AY$326,47,FALSE)-VLOOKUP($A59,Hshldprojections2014!$A$2:$AY$326,37,FALSE))/10,IF(IndividualLATest!$J$7=2016,(VLOOKUP($A59,Hshldprojections2016!$A$1:$AQ$322,37,FALSE)-VLOOKUP($A59,Hshldprojections2016!$A$1:$AQ$322,27,FALSE))/10,(VLOOKUP($A59,Hshldprojections2018!$A$1:$AQ$327,37,FALSE)-VLOOKUP($A59,Hshldprojections2018!$A$1:$AQ$327,27,FALSE))/10))</f>
        <v>1087.5</v>
      </c>
      <c r="AI59" s="268">
        <f>IF(ISNUMBER('Sensitivity Tests'!$C$30),'Sensitivity Tests'!$C$30,VLOOKUP($A59,AffordabilityRatio!$A$2:$I$321,5,FALSE))</f>
        <v>7.19</v>
      </c>
      <c r="AJ59" s="268">
        <f>IF(ISNUMBER('Sensitivity Tests'!$C$30),'Sensitivity Tests'!$C$30,VLOOKUP($A59,AffordabilityRatio!$A$2:$I$321,6,FALSE))</f>
        <v>6.99</v>
      </c>
      <c r="AK59" s="268">
        <f>IF(ISNUMBER('Sensitivity Tests'!$C$30),'Sensitivity Tests'!$C$30,VLOOKUP($A59,AffordabilityRatio!$A$2:$I$321,7,FALSE))</f>
        <v>6.9</v>
      </c>
      <c r="AL59" s="268">
        <f>IF(ISNUMBER('Sensitivity Tests'!$C$30),'Sensitivity Tests'!$C$30,IF((VLOOKUP($A59,AffordabilityRatio!$A$2:$I$321,8,FALSE))="",AK59,VLOOKUP($A59,AffordabilityRatio!$A$2:$I$321,8,FALSE)))</f>
        <v>7.34</v>
      </c>
      <c r="AM59" s="268">
        <f>IF(ISNUMBER('Sensitivity Tests'!$C$30),'Sensitivity Tests'!$C$30,IF((VLOOKUP($A59,AffordabilityRatio!$A$2:$I$321,9,FALSE))="",AL59,VLOOKUP($A59,AffordabilityRatio!$A$2:$I$321,9,FALSE)))</f>
        <v>7.18</v>
      </c>
      <c r="AN59" s="268">
        <f>IF(ISNUMBER('Sensitivity Tests'!$C$30),'Sensitivity Tests'!$C$30,IF((VLOOKUP($A59,AffordabilityRatio!$A$2:$I$321,9,FALSE))="",AM59,VLOOKUP($A59,AffordabilityRatio!$A$2:$I$321,9,FALSE)))</f>
        <v>7.18</v>
      </c>
      <c r="AO59" s="268">
        <f>IF(ISNUMBER('Sensitivity Tests'!$C$30),'Sensitivity Tests'!$C$30,IF((VLOOKUP($A59,AffordabilityRatio!$A$2:$I$321,9,FALSE))="",AN59,VLOOKUP($A59,AffordabilityRatio!$A$2:$I$321,9,FALSE)))</f>
        <v>7.18</v>
      </c>
      <c r="AP59" s="268">
        <f>IF(ISNUMBER('Sensitivity Tests'!$C$30),'Sensitivity Tests'!$C$30,IF((VLOOKUP($A59,AffordabilityRatio!$A$2:$I$321,9,FALSE))="",AO59,VLOOKUP($A59,AffordabilityRatio!$A$2:$I$321,9,FALSE)))</f>
        <v>7.18</v>
      </c>
      <c r="AQ59" s="267">
        <f t="shared" si="53"/>
        <v>640</v>
      </c>
      <c r="AR59" s="267">
        <f t="shared" si="53"/>
        <v>608</v>
      </c>
      <c r="AS59" s="267">
        <f t="shared" si="53"/>
        <v>583</v>
      </c>
      <c r="AT59" s="267">
        <f t="shared" si="53"/>
        <v>1405</v>
      </c>
      <c r="AU59" s="267">
        <f t="shared" si="53"/>
        <v>1370</v>
      </c>
      <c r="AV59" s="267">
        <f t="shared" si="53"/>
        <v>1346</v>
      </c>
      <c r="AW59" s="267">
        <f t="shared" si="53"/>
        <v>1325</v>
      </c>
      <c r="AX59" s="267">
        <f t="shared" si="53"/>
        <v>1304</v>
      </c>
      <c r="AY59" s="267">
        <f t="shared" si="25"/>
        <v>640</v>
      </c>
      <c r="AZ59" s="267">
        <f t="shared" si="26"/>
        <v>608</v>
      </c>
      <c r="BA59" s="267">
        <f t="shared" si="27"/>
        <v>583</v>
      </c>
      <c r="BB59" s="267">
        <f t="shared" si="28"/>
        <v>1405</v>
      </c>
      <c r="BC59" s="267">
        <f t="shared" si="29"/>
        <v>1370</v>
      </c>
      <c r="BD59" s="267">
        <f t="shared" si="30"/>
        <v>1346</v>
      </c>
      <c r="BE59" s="267">
        <f t="shared" si="31"/>
        <v>1325</v>
      </c>
      <c r="BF59" s="267">
        <f t="shared" si="32"/>
        <v>1304</v>
      </c>
      <c r="BG59" s="269">
        <f>AY59*VLOOKUP($B59,'Major Cities &amp; Towns'!$A$28:$B$345,2,FALSE)</f>
        <v>640</v>
      </c>
      <c r="BH59" s="269">
        <f>AZ59*VLOOKUP($B59,'Major Cities &amp; Towns'!$A$28:$B$345,2,FALSE)</f>
        <v>608</v>
      </c>
      <c r="BI59" s="269">
        <f>BA59*VLOOKUP($B59,'Major Cities &amp; Towns'!$A$28:$B$345,2,FALSE)</f>
        <v>583</v>
      </c>
      <c r="BJ59" s="269">
        <f>BB59*VLOOKUP($B59,'Major Cities &amp; Towns'!$A$28:$B$345,2,FALSE)</f>
        <v>1405</v>
      </c>
      <c r="BK59" s="269">
        <f>BC59*VLOOKUP($B59,'Major Cities &amp; Towns'!$A$28:$B$345,2,FALSE)</f>
        <v>1370</v>
      </c>
      <c r="BL59" s="269">
        <f>BD59*VLOOKUP($B59,'Major Cities &amp; Towns'!$A$28:$B$345,2,FALSE)</f>
        <v>1346</v>
      </c>
      <c r="BM59" s="269">
        <f>BE59*VLOOKUP($B59,'Major Cities &amp; Towns'!$A$28:$B$345,2,FALSE)</f>
        <v>1325</v>
      </c>
      <c r="BN59" s="269">
        <f>BF59*VLOOKUP($B59,'Major Cities &amp; Towns'!$A$28:$B$345,2,FALSE)</f>
        <v>1304</v>
      </c>
      <c r="BO59" s="270">
        <f t="shared" si="33"/>
        <v>640</v>
      </c>
      <c r="BP59" s="270">
        <f t="shared" si="50"/>
        <v>608</v>
      </c>
      <c r="BQ59" s="270">
        <f t="shared" si="50"/>
        <v>583</v>
      </c>
      <c r="BR59" s="270">
        <f t="shared" si="50"/>
        <v>1405</v>
      </c>
      <c r="BS59" s="270">
        <f t="shared" si="49"/>
        <v>1370</v>
      </c>
      <c r="BT59" s="270">
        <f t="shared" si="49"/>
        <v>1346</v>
      </c>
      <c r="BU59" s="270">
        <f t="shared" si="49"/>
        <v>1325</v>
      </c>
      <c r="BV59" s="270">
        <f t="shared" si="49"/>
        <v>1304</v>
      </c>
      <c r="BW59" s="39">
        <f>VLOOKUP($A59,NetAdditions!$A$2:$H$336,6,FALSE)</f>
        <v>2154</v>
      </c>
      <c r="BX59" s="39">
        <f>VLOOKUP($A59,NetAdditions!$A$2:$H$336,7,FALSE)</f>
        <v>1849</v>
      </c>
      <c r="BY59" s="39">
        <f>IF((VLOOKUP($C59,NetAdditions!$A$2:$H$336,8,FALSE))="",(AVERAGE(VLOOKUP($C59,NetAdditions!$A$2:$H$336,5,FALSE),VLOOKUP($C59,NetAdditions!$A$2:$H$336,6,FALSE),VLOOKUP($C59,NetAdditions!$A$2:$H$336,7,FALSE))),VLOOKUP($C59,NetAdditions!$A$2:$H$336,8,FALSE))</f>
        <v>1335</v>
      </c>
      <c r="BZ59" s="39">
        <f t="shared" si="35"/>
        <v>1779.3333333333333</v>
      </c>
      <c r="CA59" s="39">
        <f t="shared" si="35"/>
        <v>1654.4444444444443</v>
      </c>
      <c r="CB59" s="39">
        <f t="shared" si="35"/>
        <v>1589.5925925925924</v>
      </c>
      <c r="CC59" s="39">
        <f t="shared" si="35"/>
        <v>1674.4567901234566</v>
      </c>
      <c r="CD59" s="39">
        <f t="shared" si="35"/>
        <v>1639.497942386831</v>
      </c>
      <c r="CE59" s="276">
        <f t="shared" si="5"/>
        <v>1831</v>
      </c>
      <c r="CF59" s="276">
        <f t="shared" si="6"/>
        <v>2596</v>
      </c>
      <c r="CG59" s="276">
        <f t="shared" si="7"/>
        <v>3358</v>
      </c>
      <c r="CH59" s="276">
        <f t="shared" si="8"/>
        <v>4121</v>
      </c>
      <c r="CI59" s="276">
        <f t="shared" si="9"/>
        <v>4041</v>
      </c>
      <c r="CJ59" s="276">
        <f t="shared" si="10"/>
        <v>3975</v>
      </c>
      <c r="CK59" s="276">
        <f t="shared" si="36"/>
        <v>1576.6944444444446</v>
      </c>
      <c r="CL59" s="276">
        <f t="shared" si="37"/>
        <v>2235.4444444444448</v>
      </c>
      <c r="CM59" s="276">
        <f t="shared" si="38"/>
        <v>3078.1666666666665</v>
      </c>
      <c r="CN59" s="276">
        <f t="shared" si="39"/>
        <v>4121</v>
      </c>
      <c r="CO59" s="276">
        <f t="shared" si="39"/>
        <v>4041</v>
      </c>
      <c r="CP59" s="276">
        <f t="shared" si="11"/>
        <v>3975</v>
      </c>
      <c r="CQ59" s="39">
        <f t="shared" si="12"/>
        <v>5338</v>
      </c>
      <c r="CR59" s="39">
        <f t="shared" si="13"/>
        <v>4963.333333333333</v>
      </c>
      <c r="CS59" s="277">
        <f t="shared" si="14"/>
        <v>4768.7777777777774</v>
      </c>
      <c r="CT59" s="39">
        <f t="shared" si="15"/>
        <v>5023.3703703703695</v>
      </c>
      <c r="CU59" s="39">
        <f t="shared" si="16"/>
        <v>4918.4938271604933</v>
      </c>
      <c r="CV59" s="39">
        <f t="shared" si="17"/>
        <v>4903.5473251028798</v>
      </c>
      <c r="CW59" s="297">
        <f t="shared" si="18"/>
        <v>3.3855640316414437</v>
      </c>
      <c r="CX59" s="279" t="str">
        <f t="shared" si="40"/>
        <v>Pass</v>
      </c>
      <c r="CY59" s="278">
        <f t="shared" si="19"/>
        <v>2.2202892787911921</v>
      </c>
      <c r="CZ59" s="279" t="str">
        <f t="shared" si="41"/>
        <v>Pass</v>
      </c>
      <c r="DA59" s="278">
        <f t="shared" si="20"/>
        <v>1.5492266320140053</v>
      </c>
      <c r="DB59" s="292" t="str">
        <f t="shared" si="42"/>
        <v>Pass</v>
      </c>
      <c r="DC59" s="299">
        <f t="shared" si="43"/>
        <v>1.2189687867921304</v>
      </c>
      <c r="DD59" s="293" t="str">
        <f t="shared" si="44"/>
        <v>Pass</v>
      </c>
      <c r="DE59" s="299">
        <f t="shared" si="45"/>
        <v>1.2171476929375138</v>
      </c>
      <c r="DF59" s="293" t="str">
        <f t="shared" si="46"/>
        <v>Pass</v>
      </c>
      <c r="DG59" s="299">
        <f t="shared" si="47"/>
        <v>1.2335968113466365</v>
      </c>
      <c r="DH59" s="293" t="str">
        <f t="shared" si="48"/>
        <v>Pass</v>
      </c>
    </row>
    <row r="60" spans="1:112" ht="15" thickTop="1" thickBot="1">
      <c r="A60" s="38" t="s">
        <v>229</v>
      </c>
      <c r="B60" s="38" t="s">
        <v>230</v>
      </c>
      <c r="C60" s="38" t="s">
        <v>229</v>
      </c>
      <c r="D60" s="38" t="s">
        <v>119</v>
      </c>
      <c r="E60" s="38" t="str">
        <f>VLOOKUP(C60,PoliticalControl!A:K,11,FALSE)</f>
        <v>LAB</v>
      </c>
      <c r="F60" s="38" t="str">
        <f>VLOOKUP(C60,UrbanRuralClassification!A:N,13,FALSE)</f>
        <v>Urban with City and Town</v>
      </c>
      <c r="G60" s="38" t="str">
        <f>VLOOKUP(C60,UrbanRuralClassification!A:N,14,FALSE)</f>
        <v>Predominantly Urban</v>
      </c>
      <c r="H60" s="258">
        <f>IF(ISBLANK((VLOOKUP($A60,'local-plan-data'!$C$1:$AD$566,27,FALSE)))=TRUE,"",VLOOKUP($A60,'local-plan-data'!$C$1:$AD$566,27,FALSE))</f>
        <v>44027</v>
      </c>
      <c r="I60" s="259">
        <f>VLOOKUP($A60,'local-plan-data'!$C$1:$AD$566,28,FALSE)</f>
        <v>240</v>
      </c>
      <c r="J60" s="260">
        <f t="shared" si="21"/>
        <v>240</v>
      </c>
      <c r="K60" s="259">
        <f t="shared" si="51"/>
        <v>240</v>
      </c>
      <c r="L60" s="259">
        <f t="shared" si="51"/>
        <v>240</v>
      </c>
      <c r="M60" s="259">
        <f t="shared" si="51"/>
        <v>240</v>
      </c>
      <c r="N60" s="259">
        <f t="shared" si="51"/>
        <v>240</v>
      </c>
      <c r="O60" s="259">
        <f t="shared" si="51"/>
        <v>240</v>
      </c>
      <c r="P60" s="259">
        <f t="shared" si="51"/>
        <v>240</v>
      </c>
      <c r="Q60" s="259">
        <f t="shared" si="51"/>
        <v>240</v>
      </c>
      <c r="R60" s="259">
        <f t="shared" si="51"/>
        <v>240</v>
      </c>
      <c r="S60" s="259">
        <f t="shared" si="52"/>
        <v>2662</v>
      </c>
      <c r="T60" s="259">
        <f t="shared" si="52"/>
        <v>2297</v>
      </c>
      <c r="U60" s="259">
        <f t="shared" si="52"/>
        <v>1931</v>
      </c>
      <c r="V60" s="259">
        <f t="shared" si="52"/>
        <v>1566</v>
      </c>
      <c r="W60" s="259">
        <f t="shared" si="52"/>
        <v>1201</v>
      </c>
      <c r="X60" s="259">
        <f t="shared" si="52"/>
        <v>836</v>
      </c>
      <c r="Y60" s="259">
        <f t="shared" si="52"/>
        <v>470</v>
      </c>
      <c r="Z60" s="259">
        <f t="shared" si="52"/>
        <v>105</v>
      </c>
      <c r="AA60" s="267">
        <f>(VLOOKUP(A60,Hshldprojections2014!$A$2:$AW$319,40, FALSE)-VLOOKUP(A60,Hshldprojections2014!$A$2:$AW$319,30, FALSE))/10</f>
        <v>223.7</v>
      </c>
      <c r="AB60" s="267">
        <f>(VLOOKUP(A60,Hshldprojections2014!$A$2:$AW$319,41, FALSE)-VLOOKUP(A60,Hshldprojections2014!$A$2:$AW$319,31, FALSE))/10</f>
        <v>216.1</v>
      </c>
      <c r="AC60" s="267">
        <f>(VLOOKUP(A60,Hshldprojections2014!$A$2:$AW$319,42, FALSE)-VLOOKUP(A60,Hshldprojections2014!$A$2:$AW$319,32, FALSE))/10</f>
        <v>208.8</v>
      </c>
      <c r="AD60" s="267">
        <f>IF(IndividualLATest!$J$7=2014,(VLOOKUP($A60,Hshldprojections2014!$A$2:$AY$326,43,FALSE)-VLOOKUP($A60,Hshldprojections2014!$A$2:$AY$326,33,FALSE))/10,IF(IndividualLATest!$J$7=2016,(VLOOKUP($A60,Hshldprojections2016!$A$1:$AQ$322,33,FALSE)-VLOOKUP($A60,Hshldprojections2016!$A$1:$AQ$322,23,FALSE))/10,(VLOOKUP($A60,Hshldprojections2018!$A$1:$AQ$327,33,FALSE)-VLOOKUP($A60,Hshldprojections2018!$A$1:$AQ$327,23,FALSE))/10))</f>
        <v>180.9</v>
      </c>
      <c r="AE60" s="267">
        <f>IF(IndividualLATest!$J$7=2014,(VLOOKUP($A60,Hshldprojections2014!$A$2:$AY$326,44,FALSE)-VLOOKUP($A60,Hshldprojections2014!$A$2:$AY$326,34,FALSE))/10,IF(IndividualLATest!$J$7=2016,(VLOOKUP($A60,Hshldprojections2016!$A$1:$AQ$322,34,FALSE)-VLOOKUP($A60,Hshldprojections2016!$A$1:$AQ$322,24,FALSE))/10,(VLOOKUP($A60,Hshldprojections2018!$A$1:$AQ$327,34,FALSE)-VLOOKUP($A60,Hshldprojections2018!$A$1:$AQ$327,24,FALSE))/10))</f>
        <v>178.8</v>
      </c>
      <c r="AF60" s="267">
        <f>IF(IndividualLATest!$J$7=2014,(VLOOKUP($A60,Hshldprojections2014!$A$2:$AY$326,45,FALSE)-VLOOKUP($A60,Hshldprojections2014!$A$2:$AY$326,35,FALSE))/10,IF(IndividualLATest!$J$7=2016,(VLOOKUP($A60,Hshldprojections2016!$A$1:$AQ$322,35,FALSE)-VLOOKUP($A60,Hshldprojections2016!$A$1:$AQ$322,25,FALSE))/10,(VLOOKUP($A60,Hshldprojections2018!$A$1:$AQ$327,35,FALSE)-VLOOKUP($A60,Hshldprojections2018!$A$1:$AQ$327,25,FALSE))/10))</f>
        <v>178.9</v>
      </c>
      <c r="AG60" s="267">
        <f>IF(IndividualLATest!$J$7=2014,(VLOOKUP($A60,Hshldprojections2014!$A$2:$AY$326,46,FALSE)-VLOOKUP($A60,Hshldprojections2014!$A$2:$AY$326,36,FALSE))/10,IF(IndividualLATest!$J$7=2016,(VLOOKUP($A60,Hshldprojections2016!$A$1:$AQ$322,36,FALSE)-VLOOKUP($A60,Hshldprojections2016!$A$1:$AQ$322,26,FALSE))/10,(VLOOKUP($A60,Hshldprojections2018!$A$1:$AQ$327,36,FALSE)-VLOOKUP($A60,Hshldprojections2018!$A$1:$AQ$327,26,FALSE))/10))</f>
        <v>175</v>
      </c>
      <c r="AH60" s="267">
        <f>IF(IndividualLATest!$J$7=2014,(VLOOKUP($A60,Hshldprojections2014!$A$2:$AY$326,47,FALSE)-VLOOKUP($A60,Hshldprojections2014!$A$2:$AY$326,37,FALSE))/10,IF(IndividualLATest!$J$7=2016,(VLOOKUP($A60,Hshldprojections2016!$A$1:$AQ$322,37,FALSE)-VLOOKUP($A60,Hshldprojections2016!$A$1:$AQ$322,27,FALSE))/10,(VLOOKUP($A60,Hshldprojections2018!$A$1:$AQ$327,37,FALSE)-VLOOKUP($A60,Hshldprojections2018!$A$1:$AQ$327,27,FALSE))/10))</f>
        <v>173.8</v>
      </c>
      <c r="AI60" s="268">
        <f>IF(ISNUMBER('Sensitivity Tests'!$C$30),'Sensitivity Tests'!$C$30,VLOOKUP($A60,AffordabilityRatio!$A$2:$I$321,5,FALSE))</f>
        <v>5.68</v>
      </c>
      <c r="AJ60" s="268">
        <f>IF(ISNUMBER('Sensitivity Tests'!$C$30),'Sensitivity Tests'!$C$30,VLOOKUP($A60,AffordabilityRatio!$A$2:$I$321,6,FALSE))</f>
        <v>5.75</v>
      </c>
      <c r="AK60" s="268">
        <f>IF(ISNUMBER('Sensitivity Tests'!$C$30),'Sensitivity Tests'!$C$30,VLOOKUP($A60,AffordabilityRatio!$A$2:$I$321,7,FALSE))</f>
        <v>5.65</v>
      </c>
      <c r="AL60" s="268">
        <f>IF(ISNUMBER('Sensitivity Tests'!$C$30),'Sensitivity Tests'!$C$30,IF((VLOOKUP($A60,AffordabilityRatio!$A$2:$I$321,8,FALSE))="",AK60,VLOOKUP($A60,AffordabilityRatio!$A$2:$I$321,8,FALSE)))</f>
        <v>5.92</v>
      </c>
      <c r="AM60" s="268">
        <f>IF(ISNUMBER('Sensitivity Tests'!$C$30),'Sensitivity Tests'!$C$30,IF((VLOOKUP($A60,AffordabilityRatio!$A$2:$I$321,9,FALSE))="",AL60,VLOOKUP($A60,AffordabilityRatio!$A$2:$I$321,9,FALSE)))</f>
        <v>6.45</v>
      </c>
      <c r="AN60" s="268">
        <f>IF(ISNUMBER('Sensitivity Tests'!$C$30),'Sensitivity Tests'!$C$30,IF((VLOOKUP($A60,AffordabilityRatio!$A$2:$I$321,9,FALSE))="",AM60,VLOOKUP($A60,AffordabilityRatio!$A$2:$I$321,9,FALSE)))</f>
        <v>6.45</v>
      </c>
      <c r="AO60" s="268">
        <f>IF(ISNUMBER('Sensitivity Tests'!$C$30),'Sensitivity Tests'!$C$30,IF((VLOOKUP($A60,AffordabilityRatio!$A$2:$I$321,9,FALSE))="",AN60,VLOOKUP($A60,AffordabilityRatio!$A$2:$I$321,9,FALSE)))</f>
        <v>6.45</v>
      </c>
      <c r="AP60" s="268">
        <f>IF(ISNUMBER('Sensitivity Tests'!$C$30),'Sensitivity Tests'!$C$30,IF((VLOOKUP($A60,AffordabilityRatio!$A$2:$I$321,9,FALSE))="",AO60,VLOOKUP($A60,AffordabilityRatio!$A$2:$I$321,9,FALSE)))</f>
        <v>6.45</v>
      </c>
      <c r="AQ60" s="267">
        <f t="shared" si="53"/>
        <v>247</v>
      </c>
      <c r="AR60" s="267">
        <f t="shared" si="53"/>
        <v>240</v>
      </c>
      <c r="AS60" s="267">
        <f t="shared" si="53"/>
        <v>230</v>
      </c>
      <c r="AT60" s="267">
        <f t="shared" si="53"/>
        <v>203</v>
      </c>
      <c r="AU60" s="267">
        <f t="shared" si="53"/>
        <v>206</v>
      </c>
      <c r="AV60" s="267">
        <f t="shared" si="53"/>
        <v>206</v>
      </c>
      <c r="AW60" s="267">
        <f t="shared" si="53"/>
        <v>202</v>
      </c>
      <c r="AX60" s="267">
        <f t="shared" si="53"/>
        <v>200</v>
      </c>
      <c r="AY60" s="267">
        <f t="shared" si="25"/>
        <v>247</v>
      </c>
      <c r="AZ60" s="267">
        <f t="shared" si="26"/>
        <v>240</v>
      </c>
      <c r="BA60" s="267">
        <f t="shared" si="27"/>
        <v>230</v>
      </c>
      <c r="BB60" s="267">
        <f t="shared" si="28"/>
        <v>203</v>
      </c>
      <c r="BC60" s="267">
        <f t="shared" si="29"/>
        <v>206</v>
      </c>
      <c r="BD60" s="267">
        <f t="shared" si="30"/>
        <v>206</v>
      </c>
      <c r="BE60" s="267">
        <f t="shared" si="31"/>
        <v>202</v>
      </c>
      <c r="BF60" s="267">
        <f t="shared" si="32"/>
        <v>200</v>
      </c>
      <c r="BG60" s="269">
        <f>AY60*VLOOKUP($B60,'Major Cities &amp; Towns'!$A$28:$B$345,2,FALSE)</f>
        <v>247</v>
      </c>
      <c r="BH60" s="269">
        <f>AZ60*VLOOKUP($B60,'Major Cities &amp; Towns'!$A$28:$B$345,2,FALSE)</f>
        <v>240</v>
      </c>
      <c r="BI60" s="269">
        <f>BA60*VLOOKUP($B60,'Major Cities &amp; Towns'!$A$28:$B$345,2,FALSE)</f>
        <v>230</v>
      </c>
      <c r="BJ60" s="269">
        <f>BB60*VLOOKUP($B60,'Major Cities &amp; Towns'!$A$28:$B$345,2,FALSE)</f>
        <v>203</v>
      </c>
      <c r="BK60" s="269">
        <f>BC60*VLOOKUP($B60,'Major Cities &amp; Towns'!$A$28:$B$345,2,FALSE)</f>
        <v>206</v>
      </c>
      <c r="BL60" s="269">
        <f>BD60*VLOOKUP($B60,'Major Cities &amp; Towns'!$A$28:$B$345,2,FALSE)</f>
        <v>206</v>
      </c>
      <c r="BM60" s="269">
        <f>BE60*VLOOKUP($B60,'Major Cities &amp; Towns'!$A$28:$B$345,2,FALSE)</f>
        <v>202</v>
      </c>
      <c r="BN60" s="269">
        <f>BF60*VLOOKUP($B60,'Major Cities &amp; Towns'!$A$28:$B$345,2,FALSE)</f>
        <v>200</v>
      </c>
      <c r="BO60" s="270">
        <f t="shared" si="33"/>
        <v>240</v>
      </c>
      <c r="BP60" s="270">
        <f t="shared" si="50"/>
        <v>240</v>
      </c>
      <c r="BQ60" s="270">
        <f t="shared" si="50"/>
        <v>230</v>
      </c>
      <c r="BR60" s="270">
        <f t="shared" si="50"/>
        <v>203</v>
      </c>
      <c r="BS60" s="270">
        <f t="shared" si="49"/>
        <v>206</v>
      </c>
      <c r="BT60" s="270">
        <f t="shared" si="49"/>
        <v>206</v>
      </c>
      <c r="BU60" s="270">
        <f t="shared" si="49"/>
        <v>202</v>
      </c>
      <c r="BV60" s="270">
        <f t="shared" si="49"/>
        <v>200</v>
      </c>
      <c r="BW60" s="39">
        <f>VLOOKUP($A60,NetAdditions!$A$2:$H$336,6,FALSE)</f>
        <v>212</v>
      </c>
      <c r="BX60" s="39">
        <f>VLOOKUP($A60,NetAdditions!$A$2:$H$336,7,FALSE)</f>
        <v>304</v>
      </c>
      <c r="BY60" s="39">
        <f>IF((VLOOKUP($C60,NetAdditions!$A$2:$H$336,8,FALSE))="",(AVERAGE(VLOOKUP($C60,NetAdditions!$A$2:$H$336,5,FALSE),VLOOKUP($C60,NetAdditions!$A$2:$H$336,6,FALSE),VLOOKUP($C60,NetAdditions!$A$2:$H$336,7,FALSE))),VLOOKUP($C60,NetAdditions!$A$2:$H$336,8,FALSE))</f>
        <v>276</v>
      </c>
      <c r="BZ60" s="39">
        <f t="shared" si="35"/>
        <v>264</v>
      </c>
      <c r="CA60" s="39">
        <f t="shared" si="35"/>
        <v>281.33333333333331</v>
      </c>
      <c r="CB60" s="39">
        <f t="shared" si="35"/>
        <v>273.77777777777777</v>
      </c>
      <c r="CC60" s="39">
        <f t="shared" si="35"/>
        <v>273.03703703703701</v>
      </c>
      <c r="CD60" s="39">
        <f t="shared" si="35"/>
        <v>276.04938271604937</v>
      </c>
      <c r="CE60" s="276">
        <f t="shared" si="5"/>
        <v>710</v>
      </c>
      <c r="CF60" s="276">
        <f t="shared" si="6"/>
        <v>673</v>
      </c>
      <c r="CG60" s="276">
        <f t="shared" si="7"/>
        <v>639</v>
      </c>
      <c r="CH60" s="276">
        <f t="shared" si="8"/>
        <v>615</v>
      </c>
      <c r="CI60" s="276">
        <f t="shared" si="9"/>
        <v>614</v>
      </c>
      <c r="CJ60" s="276">
        <f t="shared" si="10"/>
        <v>608</v>
      </c>
      <c r="CK60" s="276">
        <f t="shared" si="36"/>
        <v>611.38888888888891</v>
      </c>
      <c r="CL60" s="276">
        <f t="shared" si="37"/>
        <v>579.52777777777783</v>
      </c>
      <c r="CM60" s="276">
        <f t="shared" si="38"/>
        <v>585.75</v>
      </c>
      <c r="CN60" s="276">
        <f t="shared" si="39"/>
        <v>615</v>
      </c>
      <c r="CO60" s="276">
        <f t="shared" si="39"/>
        <v>614</v>
      </c>
      <c r="CP60" s="276">
        <f t="shared" si="11"/>
        <v>608</v>
      </c>
      <c r="CQ60" s="39">
        <f t="shared" si="12"/>
        <v>792</v>
      </c>
      <c r="CR60" s="39">
        <f t="shared" si="13"/>
        <v>844</v>
      </c>
      <c r="CS60" s="277">
        <f t="shared" si="14"/>
        <v>821.33333333333326</v>
      </c>
      <c r="CT60" s="39">
        <f t="shared" si="15"/>
        <v>819.11111111111109</v>
      </c>
      <c r="CU60" s="39">
        <f t="shared" si="16"/>
        <v>828.14814814814804</v>
      </c>
      <c r="CV60" s="39">
        <f t="shared" si="17"/>
        <v>822.8641975308642</v>
      </c>
      <c r="CW60" s="297">
        <f t="shared" si="18"/>
        <v>1.2954111767378464</v>
      </c>
      <c r="CX60" s="279" t="str">
        <f t="shared" si="40"/>
        <v>Pass</v>
      </c>
      <c r="CY60" s="278">
        <f t="shared" si="19"/>
        <v>1.4563581460000958</v>
      </c>
      <c r="CZ60" s="279" t="str">
        <f t="shared" si="41"/>
        <v>Pass</v>
      </c>
      <c r="DA60" s="278">
        <f t="shared" si="20"/>
        <v>1.4021909233176837</v>
      </c>
      <c r="DB60" s="292" t="str">
        <f t="shared" si="42"/>
        <v>Pass</v>
      </c>
      <c r="DC60" s="299">
        <f t="shared" si="43"/>
        <v>1.331887985546522</v>
      </c>
      <c r="DD60" s="293" t="str">
        <f t="shared" si="44"/>
        <v>Pass</v>
      </c>
      <c r="DE60" s="299">
        <f t="shared" si="45"/>
        <v>1.348775485583303</v>
      </c>
      <c r="DF60" s="293" t="str">
        <f t="shared" si="46"/>
        <v>Pass</v>
      </c>
      <c r="DG60" s="299">
        <f t="shared" si="47"/>
        <v>1.353395061728395</v>
      </c>
      <c r="DH60" s="293" t="str">
        <f t="shared" si="48"/>
        <v>Pass</v>
      </c>
    </row>
    <row r="61" spans="1:112" ht="15" thickTop="1" thickBot="1">
      <c r="A61" s="38" t="s">
        <v>231</v>
      </c>
      <c r="B61" s="38" t="s">
        <v>232</v>
      </c>
      <c r="C61" s="38" t="s">
        <v>231</v>
      </c>
      <c r="D61" s="38" t="s">
        <v>113</v>
      </c>
      <c r="E61" s="38" t="str">
        <f>VLOOKUP(C61,PoliticalControl!A:K,11,FALSE)</f>
        <v>NOC</v>
      </c>
      <c r="F61" s="38" t="str">
        <f>VLOOKUP(C61,UrbanRuralClassification!A:N,13,FALSE)</f>
        <v xml:space="preserve">Largely Rural (rural including hub towns 50-79%) </v>
      </c>
      <c r="G61" s="38" t="str">
        <f>VLOOKUP(C61,UrbanRuralClassification!A:N,14,FALSE)</f>
        <v>Predominantly Rural</v>
      </c>
      <c r="H61" s="258">
        <f>IF(ISBLANK((VLOOKUP($A61,'local-plan-data'!$C$1:$AD$566,27,FALSE)))=TRUE,"",VLOOKUP($A61,'local-plan-data'!$C$1:$AD$566,27,FALSE))</f>
        <v>42199</v>
      </c>
      <c r="I61" s="259">
        <f>VLOOKUP($A61,'local-plan-data'!$C$1:$AD$566,28,FALSE)</f>
        <v>434.58823529411762</v>
      </c>
      <c r="J61" s="260">
        <f t="shared" si="21"/>
        <v>434.58823529411762</v>
      </c>
      <c r="K61" s="259">
        <f t="shared" si="51"/>
        <v>434.58823529411762</v>
      </c>
      <c r="L61" s="259">
        <f t="shared" si="51"/>
        <v>434.58823529411762</v>
      </c>
      <c r="M61" s="259">
        <f t="shared" si="51"/>
        <v>434.58823529411762</v>
      </c>
      <c r="N61" s="259" t="str">
        <f t="shared" si="51"/>
        <v>-</v>
      </c>
      <c r="O61" s="259" t="str">
        <f t="shared" si="51"/>
        <v>-</v>
      </c>
      <c r="P61" s="259" t="str">
        <f t="shared" si="51"/>
        <v>-</v>
      </c>
      <c r="Q61" s="259" t="str">
        <f t="shared" si="51"/>
        <v>-</v>
      </c>
      <c r="R61" s="259" t="str">
        <f t="shared" si="51"/>
        <v>-</v>
      </c>
      <c r="S61" s="259">
        <f t="shared" si="52"/>
        <v>835</v>
      </c>
      <c r="T61" s="259">
        <f t="shared" si="52"/>
        <v>470</v>
      </c>
      <c r="U61" s="259">
        <f t="shared" si="52"/>
        <v>104</v>
      </c>
      <c r="V61" s="259">
        <f t="shared" si="52"/>
        <v>-261</v>
      </c>
      <c r="W61" s="259">
        <f t="shared" si="52"/>
        <v>-626</v>
      </c>
      <c r="X61" s="259">
        <f t="shared" si="52"/>
        <v>-991</v>
      </c>
      <c r="Y61" s="259">
        <f t="shared" si="52"/>
        <v>-1357</v>
      </c>
      <c r="Z61" s="259">
        <f t="shared" si="52"/>
        <v>-1722</v>
      </c>
      <c r="AA61" s="267">
        <f>(VLOOKUP(A61,Hshldprojections2014!$A$2:$AW$319,40, FALSE)-VLOOKUP(A61,Hshldprojections2014!$A$2:$AW$319,30, FALSE))/10</f>
        <v>527</v>
      </c>
      <c r="AB61" s="267">
        <f>(VLOOKUP(A61,Hshldprojections2014!$A$2:$AW$319,41, FALSE)-VLOOKUP(A61,Hshldprojections2014!$A$2:$AW$319,31, FALSE))/10</f>
        <v>532.6</v>
      </c>
      <c r="AC61" s="267">
        <f>(VLOOKUP(A61,Hshldprojections2014!$A$2:$AW$319,42, FALSE)-VLOOKUP(A61,Hshldprojections2014!$A$2:$AW$319,32, FALSE))/10</f>
        <v>537.6</v>
      </c>
      <c r="AD61" s="267">
        <f>IF(IndividualLATest!$J$7=2014,(VLOOKUP($A61,Hshldprojections2014!$A$2:$AY$326,43,FALSE)-VLOOKUP($A61,Hshldprojections2014!$A$2:$AY$326,33,FALSE))/10,IF(IndividualLATest!$J$7=2016,(VLOOKUP($A61,Hshldprojections2016!$A$1:$AQ$322,33,FALSE)-VLOOKUP($A61,Hshldprojections2016!$A$1:$AQ$322,23,FALSE))/10,(VLOOKUP($A61,Hshldprojections2018!$A$1:$AQ$327,33,FALSE)-VLOOKUP($A61,Hshldprojections2018!$A$1:$AQ$327,23,FALSE))/10))</f>
        <v>479.5</v>
      </c>
      <c r="AE61" s="267">
        <f>IF(IndividualLATest!$J$7=2014,(VLOOKUP($A61,Hshldprojections2014!$A$2:$AY$326,44,FALSE)-VLOOKUP($A61,Hshldprojections2014!$A$2:$AY$326,34,FALSE))/10,IF(IndividualLATest!$J$7=2016,(VLOOKUP($A61,Hshldprojections2016!$A$1:$AQ$322,34,FALSE)-VLOOKUP($A61,Hshldprojections2016!$A$1:$AQ$322,24,FALSE))/10,(VLOOKUP($A61,Hshldprojections2018!$A$1:$AQ$327,34,FALSE)-VLOOKUP($A61,Hshldprojections2018!$A$1:$AQ$327,24,FALSE))/10))</f>
        <v>472</v>
      </c>
      <c r="AF61" s="267">
        <f>IF(IndividualLATest!$J$7=2014,(VLOOKUP($A61,Hshldprojections2014!$A$2:$AY$326,45,FALSE)-VLOOKUP($A61,Hshldprojections2014!$A$2:$AY$326,35,FALSE))/10,IF(IndividualLATest!$J$7=2016,(VLOOKUP($A61,Hshldprojections2016!$A$1:$AQ$322,35,FALSE)-VLOOKUP($A61,Hshldprojections2016!$A$1:$AQ$322,25,FALSE))/10,(VLOOKUP($A61,Hshldprojections2018!$A$1:$AQ$327,35,FALSE)-VLOOKUP($A61,Hshldprojections2018!$A$1:$AQ$327,25,FALSE))/10))</f>
        <v>465.1</v>
      </c>
      <c r="AG61" s="267">
        <f>IF(IndividualLATest!$J$7=2014,(VLOOKUP($A61,Hshldprojections2014!$A$2:$AY$326,46,FALSE)-VLOOKUP($A61,Hshldprojections2014!$A$2:$AY$326,36,FALSE))/10,IF(IndividualLATest!$J$7=2016,(VLOOKUP($A61,Hshldprojections2016!$A$1:$AQ$322,36,FALSE)-VLOOKUP($A61,Hshldprojections2016!$A$1:$AQ$322,26,FALSE))/10,(VLOOKUP($A61,Hshldprojections2018!$A$1:$AQ$327,36,FALSE)-VLOOKUP($A61,Hshldprojections2018!$A$1:$AQ$327,26,FALSE))/10))</f>
        <v>458.2</v>
      </c>
      <c r="AH61" s="267">
        <f>IF(IndividualLATest!$J$7=2014,(VLOOKUP($A61,Hshldprojections2014!$A$2:$AY$326,47,FALSE)-VLOOKUP($A61,Hshldprojections2014!$A$2:$AY$326,37,FALSE))/10,IF(IndividualLATest!$J$7=2016,(VLOOKUP($A61,Hshldprojections2016!$A$1:$AQ$322,37,FALSE)-VLOOKUP($A61,Hshldprojections2016!$A$1:$AQ$322,27,FALSE))/10,(VLOOKUP($A61,Hshldprojections2018!$A$1:$AQ$327,37,FALSE)-VLOOKUP($A61,Hshldprojections2018!$A$1:$AQ$327,27,FALSE))/10))</f>
        <v>451.5</v>
      </c>
      <c r="AI61" s="268">
        <f>IF(ISNUMBER('Sensitivity Tests'!$C$30),'Sensitivity Tests'!$C$30,VLOOKUP($A61,AffordabilityRatio!$A$2:$I$321,5,FALSE))</f>
        <v>13.5</v>
      </c>
      <c r="AJ61" s="268">
        <f>IF(ISNUMBER('Sensitivity Tests'!$C$30),'Sensitivity Tests'!$C$30,VLOOKUP($A61,AffordabilityRatio!$A$2:$I$321,6,FALSE))</f>
        <v>12.83</v>
      </c>
      <c r="AK61" s="268">
        <f>IF(ISNUMBER('Sensitivity Tests'!$C$30),'Sensitivity Tests'!$C$30,VLOOKUP($A61,AffordabilityRatio!$A$2:$I$321,7,FALSE))</f>
        <v>13.14</v>
      </c>
      <c r="AL61" s="268">
        <f>IF(ISNUMBER('Sensitivity Tests'!$C$30),'Sensitivity Tests'!$C$30,IF((VLOOKUP($A61,AffordabilityRatio!$A$2:$I$321,8,FALSE))="",AK61,VLOOKUP($A61,AffordabilityRatio!$A$2:$I$321,8,FALSE)))</f>
        <v>14.47</v>
      </c>
      <c r="AM61" s="268">
        <f>IF(ISNUMBER('Sensitivity Tests'!$C$30),'Sensitivity Tests'!$C$30,IF((VLOOKUP($A61,AffordabilityRatio!$A$2:$I$321,9,FALSE))="",AL61,VLOOKUP($A61,AffordabilityRatio!$A$2:$I$321,9,FALSE)))</f>
        <v>14.61</v>
      </c>
      <c r="AN61" s="268">
        <f>IF(ISNUMBER('Sensitivity Tests'!$C$30),'Sensitivity Tests'!$C$30,IF((VLOOKUP($A61,AffordabilityRatio!$A$2:$I$321,9,FALSE))="",AM61,VLOOKUP($A61,AffordabilityRatio!$A$2:$I$321,9,FALSE)))</f>
        <v>14.61</v>
      </c>
      <c r="AO61" s="268">
        <f>IF(ISNUMBER('Sensitivity Tests'!$C$30),'Sensitivity Tests'!$C$30,IF((VLOOKUP($A61,AffordabilityRatio!$A$2:$I$321,9,FALSE))="",AN61,VLOOKUP($A61,AffordabilityRatio!$A$2:$I$321,9,FALSE)))</f>
        <v>14.61</v>
      </c>
      <c r="AP61" s="268">
        <f>IF(ISNUMBER('Sensitivity Tests'!$C$30),'Sensitivity Tests'!$C$30,IF((VLOOKUP($A61,AffordabilityRatio!$A$2:$I$321,9,FALSE))="",AO61,VLOOKUP($A61,AffordabilityRatio!$A$2:$I$321,9,FALSE)))</f>
        <v>14.61</v>
      </c>
      <c r="AQ61" s="267">
        <f t="shared" si="53"/>
        <v>840</v>
      </c>
      <c r="AR61" s="267">
        <f t="shared" si="53"/>
        <v>827</v>
      </c>
      <c r="AS61" s="267">
        <f t="shared" si="53"/>
        <v>845</v>
      </c>
      <c r="AT61" s="267">
        <f t="shared" si="53"/>
        <v>793</v>
      </c>
      <c r="AU61" s="267">
        <f t="shared" si="53"/>
        <v>785</v>
      </c>
      <c r="AV61" s="267">
        <f t="shared" si="53"/>
        <v>774</v>
      </c>
      <c r="AW61" s="267">
        <f t="shared" si="53"/>
        <v>762</v>
      </c>
      <c r="AX61" s="267">
        <f t="shared" si="53"/>
        <v>751</v>
      </c>
      <c r="AY61" s="267">
        <f t="shared" si="25"/>
        <v>608.42352941176466</v>
      </c>
      <c r="AZ61" s="267">
        <f t="shared" si="26"/>
        <v>608.42352941176466</v>
      </c>
      <c r="BA61" s="267">
        <f t="shared" si="27"/>
        <v>608.42352941176466</v>
      </c>
      <c r="BB61" s="267">
        <f t="shared" si="28"/>
        <v>671.3</v>
      </c>
      <c r="BC61" s="267">
        <f t="shared" si="29"/>
        <v>660.8</v>
      </c>
      <c r="BD61" s="267">
        <f t="shared" si="30"/>
        <v>651.1400000000001</v>
      </c>
      <c r="BE61" s="267">
        <f t="shared" si="31"/>
        <v>641.48</v>
      </c>
      <c r="BF61" s="267">
        <f t="shared" si="32"/>
        <v>632.1</v>
      </c>
      <c r="BG61" s="269">
        <f>AY61*VLOOKUP($B61,'Major Cities &amp; Towns'!$A$28:$B$345,2,FALSE)</f>
        <v>608.42352941176466</v>
      </c>
      <c r="BH61" s="269">
        <f>AZ61*VLOOKUP($B61,'Major Cities &amp; Towns'!$A$28:$B$345,2,FALSE)</f>
        <v>608.42352941176466</v>
      </c>
      <c r="BI61" s="269">
        <f>BA61*VLOOKUP($B61,'Major Cities &amp; Towns'!$A$28:$B$345,2,FALSE)</f>
        <v>608.42352941176466</v>
      </c>
      <c r="BJ61" s="269">
        <f>BB61*VLOOKUP($B61,'Major Cities &amp; Towns'!$A$28:$B$345,2,FALSE)</f>
        <v>671.3</v>
      </c>
      <c r="BK61" s="269">
        <f>BC61*VLOOKUP($B61,'Major Cities &amp; Towns'!$A$28:$B$345,2,FALSE)</f>
        <v>660.8</v>
      </c>
      <c r="BL61" s="269">
        <f>BD61*VLOOKUP($B61,'Major Cities &amp; Towns'!$A$28:$B$345,2,FALSE)</f>
        <v>651.1400000000001</v>
      </c>
      <c r="BM61" s="269">
        <f>BE61*VLOOKUP($B61,'Major Cities &amp; Towns'!$A$28:$B$345,2,FALSE)</f>
        <v>641.48</v>
      </c>
      <c r="BN61" s="269">
        <f>BF61*VLOOKUP($B61,'Major Cities &amp; Towns'!$A$28:$B$345,2,FALSE)</f>
        <v>632.1</v>
      </c>
      <c r="BO61" s="270">
        <f t="shared" si="33"/>
        <v>434.58823529411762</v>
      </c>
      <c r="BP61" s="270">
        <f t="shared" si="50"/>
        <v>434.58823529411762</v>
      </c>
      <c r="BQ61" s="270">
        <f t="shared" si="50"/>
        <v>728.06075745366627</v>
      </c>
      <c r="BR61" s="270">
        <f t="shared" si="50"/>
        <v>793</v>
      </c>
      <c r="BS61" s="270">
        <f t="shared" si="49"/>
        <v>785</v>
      </c>
      <c r="BT61" s="270">
        <f t="shared" si="49"/>
        <v>774</v>
      </c>
      <c r="BU61" s="270">
        <f t="shared" si="49"/>
        <v>762</v>
      </c>
      <c r="BV61" s="270">
        <f t="shared" si="49"/>
        <v>751</v>
      </c>
      <c r="BW61" s="39">
        <f>VLOOKUP($A61,NetAdditions!$A$2:$H$336,6,FALSE)</f>
        <v>635</v>
      </c>
      <c r="BX61" s="39">
        <f>VLOOKUP($A61,NetAdditions!$A$2:$H$336,7,FALSE)</f>
        <v>542</v>
      </c>
      <c r="BY61" s="39">
        <f>IF((VLOOKUP($C61,NetAdditions!$A$2:$H$336,8,FALSE))="",(AVERAGE(VLOOKUP($C61,NetAdditions!$A$2:$H$336,5,FALSE),VLOOKUP($C61,NetAdditions!$A$2:$H$336,6,FALSE),VLOOKUP($C61,NetAdditions!$A$2:$H$336,7,FALSE))),VLOOKUP($C61,NetAdditions!$A$2:$H$336,8,FALSE))</f>
        <v>530</v>
      </c>
      <c r="BZ61" s="39">
        <f t="shared" si="35"/>
        <v>569</v>
      </c>
      <c r="CA61" s="39">
        <f t="shared" si="35"/>
        <v>547</v>
      </c>
      <c r="CB61" s="39">
        <f t="shared" si="35"/>
        <v>548.66666666666663</v>
      </c>
      <c r="CC61" s="39">
        <f t="shared" si="35"/>
        <v>554.8888888888888</v>
      </c>
      <c r="CD61" s="39">
        <f t="shared" si="35"/>
        <v>550.18518518518511</v>
      </c>
      <c r="CE61" s="276">
        <f t="shared" si="5"/>
        <v>1597.2372280419015</v>
      </c>
      <c r="CF61" s="276">
        <f t="shared" si="6"/>
        <v>1955.648992747784</v>
      </c>
      <c r="CG61" s="276">
        <f t="shared" si="7"/>
        <v>2306.0607574536662</v>
      </c>
      <c r="CH61" s="276">
        <f t="shared" si="8"/>
        <v>2352</v>
      </c>
      <c r="CI61" s="276">
        <f t="shared" si="9"/>
        <v>2321</v>
      </c>
      <c r="CJ61" s="276">
        <f t="shared" si="10"/>
        <v>2287</v>
      </c>
      <c r="CK61" s="276">
        <f t="shared" si="36"/>
        <v>1375.398724147193</v>
      </c>
      <c r="CL61" s="276">
        <f t="shared" si="37"/>
        <v>1684.0310770883696</v>
      </c>
      <c r="CM61" s="276">
        <f t="shared" si="38"/>
        <v>2113.8890276658603</v>
      </c>
      <c r="CN61" s="276">
        <f t="shared" si="39"/>
        <v>2352</v>
      </c>
      <c r="CO61" s="276">
        <f t="shared" si="39"/>
        <v>2321</v>
      </c>
      <c r="CP61" s="276">
        <f t="shared" si="11"/>
        <v>2287</v>
      </c>
      <c r="CQ61" s="39">
        <f t="shared" si="12"/>
        <v>1707</v>
      </c>
      <c r="CR61" s="39">
        <f t="shared" si="13"/>
        <v>1641</v>
      </c>
      <c r="CS61" s="277">
        <f t="shared" si="14"/>
        <v>1646</v>
      </c>
      <c r="CT61" s="39">
        <f t="shared" si="15"/>
        <v>1664.6666666666665</v>
      </c>
      <c r="CU61" s="39">
        <f t="shared" si="16"/>
        <v>1650.5555555555552</v>
      </c>
      <c r="CV61" s="39">
        <f t="shared" si="17"/>
        <v>1653.7407407407404</v>
      </c>
      <c r="CW61" s="297">
        <f t="shared" si="18"/>
        <v>1.2410946513407697</v>
      </c>
      <c r="CX61" s="279" t="str">
        <f t="shared" si="40"/>
        <v>Pass</v>
      </c>
      <c r="CY61" s="278">
        <f t="shared" si="19"/>
        <v>0.9744475754195886</v>
      </c>
      <c r="CZ61" s="279" t="str">
        <f t="shared" si="41"/>
        <v>Pass</v>
      </c>
      <c r="DA61" s="278">
        <f t="shared" si="20"/>
        <v>0.77865960722521954</v>
      </c>
      <c r="DB61" s="292" t="str">
        <f t="shared" si="42"/>
        <v>Buffer and Action Plan</v>
      </c>
      <c r="DC61" s="299">
        <f t="shared" si="43"/>
        <v>0.707766439909297</v>
      </c>
      <c r="DD61" s="293" t="str">
        <f t="shared" si="44"/>
        <v>Presumption</v>
      </c>
      <c r="DE61" s="299">
        <f t="shared" si="45"/>
        <v>0.71113983436258299</v>
      </c>
      <c r="DF61" s="293" t="str">
        <f t="shared" si="46"/>
        <v>Presumption</v>
      </c>
      <c r="DG61" s="299">
        <f t="shared" si="47"/>
        <v>0.72310482760854411</v>
      </c>
      <c r="DH61" s="293" t="str">
        <f t="shared" si="48"/>
        <v>Presumption</v>
      </c>
    </row>
    <row r="62" spans="1:112" ht="15" thickTop="1" thickBot="1">
      <c r="A62" s="38" t="s">
        <v>233</v>
      </c>
      <c r="B62" s="38" t="s">
        <v>234</v>
      </c>
      <c r="C62" s="38" t="s">
        <v>233</v>
      </c>
      <c r="D62" s="38" t="s">
        <v>116</v>
      </c>
      <c r="E62" s="38" t="str">
        <f>VLOOKUP(C62,PoliticalControl!A:K,11,FALSE)</f>
        <v>LAB</v>
      </c>
      <c r="F62" s="38" t="str">
        <f>VLOOKUP(C62,UrbanRuralClassification!A:N,13,FALSE)</f>
        <v>Urban with Significant Rural (rural including hub towns 26-49%)</v>
      </c>
      <c r="G62" s="38" t="str">
        <f>VLOOKUP(C62,UrbanRuralClassification!A:N,14,FALSE)</f>
        <v>Urban with Significant Rural</v>
      </c>
      <c r="H62" s="258">
        <f>IF(ISBLANK((VLOOKUP($A62,'local-plan-data'!$C$1:$AD$566,27,FALSE)))=TRUE,"",VLOOKUP($A62,'local-plan-data'!$C$1:$AD$566,27,FALSE))</f>
        <v>41108</v>
      </c>
      <c r="I62" s="259">
        <f>VLOOKUP($A62,'local-plan-data'!$C$1:$AD$566,28,FALSE)</f>
        <v>417</v>
      </c>
      <c r="J62" s="260">
        <f t="shared" si="21"/>
        <v>417</v>
      </c>
      <c r="K62" s="259" t="str">
        <f t="shared" si="51"/>
        <v>-</v>
      </c>
      <c r="L62" s="259" t="str">
        <f t="shared" si="51"/>
        <v>-</v>
      </c>
      <c r="M62" s="259" t="str">
        <f t="shared" si="51"/>
        <v>-</v>
      </c>
      <c r="N62" s="259" t="str">
        <f t="shared" si="51"/>
        <v>-</v>
      </c>
      <c r="O62" s="259" t="str">
        <f t="shared" si="51"/>
        <v>-</v>
      </c>
      <c r="P62" s="259" t="str">
        <f t="shared" si="51"/>
        <v>-</v>
      </c>
      <c r="Q62" s="259" t="str">
        <f t="shared" si="51"/>
        <v>-</v>
      </c>
      <c r="R62" s="259" t="str">
        <f t="shared" si="51"/>
        <v>-</v>
      </c>
      <c r="S62" s="259">
        <f t="shared" si="52"/>
        <v>-257</v>
      </c>
      <c r="T62" s="259">
        <f t="shared" si="52"/>
        <v>-622</v>
      </c>
      <c r="U62" s="259">
        <f t="shared" si="52"/>
        <v>-988</v>
      </c>
      <c r="V62" s="259">
        <f t="shared" si="52"/>
        <v>-1353</v>
      </c>
      <c r="W62" s="259">
        <f t="shared" si="52"/>
        <v>-1718</v>
      </c>
      <c r="X62" s="259">
        <f t="shared" si="52"/>
        <v>-2083</v>
      </c>
      <c r="Y62" s="259">
        <f t="shared" si="52"/>
        <v>-2449</v>
      </c>
      <c r="Z62" s="259">
        <f t="shared" si="52"/>
        <v>-2814</v>
      </c>
      <c r="AA62" s="267">
        <f>(VLOOKUP(A62,Hshldprojections2014!$A$2:$AW$319,40, FALSE)-VLOOKUP(A62,Hshldprojections2014!$A$2:$AW$319,30, FALSE))/10</f>
        <v>512.5</v>
      </c>
      <c r="AB62" s="267">
        <f>(VLOOKUP(A62,Hshldprojections2014!$A$2:$AW$319,41, FALSE)-VLOOKUP(A62,Hshldprojections2014!$A$2:$AW$319,31, FALSE))/10</f>
        <v>498.3</v>
      </c>
      <c r="AC62" s="267">
        <f>(VLOOKUP(A62,Hshldprojections2014!$A$2:$AW$319,42, FALSE)-VLOOKUP(A62,Hshldprojections2014!$A$2:$AW$319,32, FALSE))/10</f>
        <v>483.5</v>
      </c>
      <c r="AD62" s="267">
        <f>IF(IndividualLATest!$J$7=2014,(VLOOKUP($A62,Hshldprojections2014!$A$2:$AY$326,43,FALSE)-VLOOKUP($A62,Hshldprojections2014!$A$2:$AY$326,33,FALSE))/10,IF(IndividualLATest!$J$7=2016,(VLOOKUP($A62,Hshldprojections2016!$A$1:$AQ$322,33,FALSE)-VLOOKUP($A62,Hshldprojections2016!$A$1:$AQ$322,23,FALSE))/10,(VLOOKUP($A62,Hshldprojections2018!$A$1:$AQ$327,33,FALSE)-VLOOKUP($A62,Hshldprojections2018!$A$1:$AQ$327,23,FALSE))/10))</f>
        <v>521.9</v>
      </c>
      <c r="AE62" s="267">
        <f>IF(IndividualLATest!$J$7=2014,(VLOOKUP($A62,Hshldprojections2014!$A$2:$AY$326,44,FALSE)-VLOOKUP($A62,Hshldprojections2014!$A$2:$AY$326,34,FALSE))/10,IF(IndividualLATest!$J$7=2016,(VLOOKUP($A62,Hshldprojections2016!$A$1:$AQ$322,34,FALSE)-VLOOKUP($A62,Hshldprojections2016!$A$1:$AQ$322,24,FALSE))/10,(VLOOKUP($A62,Hshldprojections2018!$A$1:$AQ$327,34,FALSE)-VLOOKUP($A62,Hshldprojections2018!$A$1:$AQ$327,24,FALSE))/10))</f>
        <v>504.3</v>
      </c>
      <c r="AF62" s="267">
        <f>IF(IndividualLATest!$J$7=2014,(VLOOKUP($A62,Hshldprojections2014!$A$2:$AY$326,45,FALSE)-VLOOKUP($A62,Hshldprojections2014!$A$2:$AY$326,35,FALSE))/10,IF(IndividualLATest!$J$7=2016,(VLOOKUP($A62,Hshldprojections2016!$A$1:$AQ$322,35,FALSE)-VLOOKUP($A62,Hshldprojections2016!$A$1:$AQ$322,25,FALSE))/10,(VLOOKUP($A62,Hshldprojections2018!$A$1:$AQ$327,35,FALSE)-VLOOKUP($A62,Hshldprojections2018!$A$1:$AQ$327,25,FALSE))/10))</f>
        <v>487.3</v>
      </c>
      <c r="AG62" s="267">
        <f>IF(IndividualLATest!$J$7=2014,(VLOOKUP($A62,Hshldprojections2014!$A$2:$AY$326,46,FALSE)-VLOOKUP($A62,Hshldprojections2014!$A$2:$AY$326,36,FALSE))/10,IF(IndividualLATest!$J$7=2016,(VLOOKUP($A62,Hshldprojections2016!$A$1:$AQ$322,36,FALSE)-VLOOKUP($A62,Hshldprojections2016!$A$1:$AQ$322,26,FALSE))/10,(VLOOKUP($A62,Hshldprojections2018!$A$1:$AQ$327,36,FALSE)-VLOOKUP($A62,Hshldprojections2018!$A$1:$AQ$327,26,FALSE))/10))</f>
        <v>472.7</v>
      </c>
      <c r="AH62" s="267">
        <f>IF(IndividualLATest!$J$7=2014,(VLOOKUP($A62,Hshldprojections2014!$A$2:$AY$326,47,FALSE)-VLOOKUP($A62,Hshldprojections2014!$A$2:$AY$326,37,FALSE))/10,IF(IndividualLATest!$J$7=2016,(VLOOKUP($A62,Hshldprojections2016!$A$1:$AQ$322,37,FALSE)-VLOOKUP($A62,Hshldprojections2016!$A$1:$AQ$322,27,FALSE))/10,(VLOOKUP($A62,Hshldprojections2018!$A$1:$AQ$327,37,FALSE)-VLOOKUP($A62,Hshldprojections2018!$A$1:$AQ$327,27,FALSE))/10))</f>
        <v>461.6</v>
      </c>
      <c r="AI62" s="268">
        <f>IF(ISNUMBER('Sensitivity Tests'!$C$30),'Sensitivity Tests'!$C$30,VLOOKUP($A62,AffordabilityRatio!$A$2:$I$321,5,FALSE))</f>
        <v>6.91</v>
      </c>
      <c r="AJ62" s="268">
        <f>IF(ISNUMBER('Sensitivity Tests'!$C$30),'Sensitivity Tests'!$C$30,VLOOKUP($A62,AffordabilityRatio!$A$2:$I$321,6,FALSE))</f>
        <v>6.61</v>
      </c>
      <c r="AK62" s="268">
        <f>IF(ISNUMBER('Sensitivity Tests'!$C$30),'Sensitivity Tests'!$C$30,VLOOKUP($A62,AffordabilityRatio!$A$2:$I$321,7,FALSE))</f>
        <v>6.83</v>
      </c>
      <c r="AL62" s="268">
        <f>IF(ISNUMBER('Sensitivity Tests'!$C$30),'Sensitivity Tests'!$C$30,IF((VLOOKUP($A62,AffordabilityRatio!$A$2:$I$321,8,FALSE))="",AK62,VLOOKUP($A62,AffordabilityRatio!$A$2:$I$321,8,FALSE)))</f>
        <v>6.4</v>
      </c>
      <c r="AM62" s="268">
        <f>IF(ISNUMBER('Sensitivity Tests'!$C$30),'Sensitivity Tests'!$C$30,IF((VLOOKUP($A62,AffordabilityRatio!$A$2:$I$321,9,FALSE))="",AL62,VLOOKUP($A62,AffordabilityRatio!$A$2:$I$321,9,FALSE)))</f>
        <v>7.02</v>
      </c>
      <c r="AN62" s="268">
        <f>IF(ISNUMBER('Sensitivity Tests'!$C$30),'Sensitivity Tests'!$C$30,IF((VLOOKUP($A62,AffordabilityRatio!$A$2:$I$321,9,FALSE))="",AM62,VLOOKUP($A62,AffordabilityRatio!$A$2:$I$321,9,FALSE)))</f>
        <v>7.02</v>
      </c>
      <c r="AO62" s="268">
        <f>IF(ISNUMBER('Sensitivity Tests'!$C$30),'Sensitivity Tests'!$C$30,IF((VLOOKUP($A62,AffordabilityRatio!$A$2:$I$321,9,FALSE))="",AN62,VLOOKUP($A62,AffordabilityRatio!$A$2:$I$321,9,FALSE)))</f>
        <v>7.02</v>
      </c>
      <c r="AP62" s="268">
        <f>IF(ISNUMBER('Sensitivity Tests'!$C$30),'Sensitivity Tests'!$C$30,IF((VLOOKUP($A62,AffordabilityRatio!$A$2:$I$321,9,FALSE))="",AO62,VLOOKUP($A62,AffordabilityRatio!$A$2:$I$321,9,FALSE)))</f>
        <v>7.02</v>
      </c>
      <c r="AQ62" s="267">
        <f t="shared" si="53"/>
        <v>606</v>
      </c>
      <c r="AR62" s="267">
        <f t="shared" si="53"/>
        <v>580</v>
      </c>
      <c r="AS62" s="267">
        <f t="shared" si="53"/>
        <v>569</v>
      </c>
      <c r="AT62" s="267">
        <f t="shared" si="53"/>
        <v>600</v>
      </c>
      <c r="AU62" s="267">
        <f t="shared" si="53"/>
        <v>599</v>
      </c>
      <c r="AV62" s="267">
        <f t="shared" si="53"/>
        <v>579</v>
      </c>
      <c r="AW62" s="267">
        <f t="shared" si="53"/>
        <v>562</v>
      </c>
      <c r="AX62" s="267">
        <f t="shared" si="53"/>
        <v>549</v>
      </c>
      <c r="AY62" s="267">
        <f t="shared" si="25"/>
        <v>606</v>
      </c>
      <c r="AZ62" s="267">
        <f t="shared" si="26"/>
        <v>580</v>
      </c>
      <c r="BA62" s="267">
        <f t="shared" si="27"/>
        <v>569</v>
      </c>
      <c r="BB62" s="267">
        <f t="shared" si="28"/>
        <v>600</v>
      </c>
      <c r="BC62" s="267">
        <f t="shared" si="29"/>
        <v>599</v>
      </c>
      <c r="BD62" s="267">
        <f t="shared" si="30"/>
        <v>579</v>
      </c>
      <c r="BE62" s="267">
        <f t="shared" si="31"/>
        <v>562</v>
      </c>
      <c r="BF62" s="267">
        <f t="shared" si="32"/>
        <v>549</v>
      </c>
      <c r="BG62" s="269">
        <f>AY62*VLOOKUP($B62,'Major Cities &amp; Towns'!$A$28:$B$345,2,FALSE)</f>
        <v>606</v>
      </c>
      <c r="BH62" s="269">
        <f>AZ62*VLOOKUP($B62,'Major Cities &amp; Towns'!$A$28:$B$345,2,FALSE)</f>
        <v>580</v>
      </c>
      <c r="BI62" s="269">
        <f>BA62*VLOOKUP($B62,'Major Cities &amp; Towns'!$A$28:$B$345,2,FALSE)</f>
        <v>569</v>
      </c>
      <c r="BJ62" s="269">
        <f>BB62*VLOOKUP($B62,'Major Cities &amp; Towns'!$A$28:$B$345,2,FALSE)</f>
        <v>600</v>
      </c>
      <c r="BK62" s="269">
        <f>BC62*VLOOKUP($B62,'Major Cities &amp; Towns'!$A$28:$B$345,2,FALSE)</f>
        <v>599</v>
      </c>
      <c r="BL62" s="269">
        <f>BD62*VLOOKUP($B62,'Major Cities &amp; Towns'!$A$28:$B$345,2,FALSE)</f>
        <v>579</v>
      </c>
      <c r="BM62" s="269">
        <f>BE62*VLOOKUP($B62,'Major Cities &amp; Towns'!$A$28:$B$345,2,FALSE)</f>
        <v>562</v>
      </c>
      <c r="BN62" s="269">
        <f>BF62*VLOOKUP($B62,'Major Cities &amp; Towns'!$A$28:$B$345,2,FALSE)</f>
        <v>549</v>
      </c>
      <c r="BO62" s="270">
        <f t="shared" si="33"/>
        <v>606</v>
      </c>
      <c r="BP62" s="270">
        <f t="shared" si="50"/>
        <v>580</v>
      </c>
      <c r="BQ62" s="270">
        <f t="shared" si="50"/>
        <v>569</v>
      </c>
      <c r="BR62" s="270">
        <f t="shared" si="50"/>
        <v>600</v>
      </c>
      <c r="BS62" s="270">
        <f t="shared" si="49"/>
        <v>599</v>
      </c>
      <c r="BT62" s="270">
        <f t="shared" si="49"/>
        <v>579</v>
      </c>
      <c r="BU62" s="270">
        <f t="shared" si="49"/>
        <v>562</v>
      </c>
      <c r="BV62" s="270">
        <f t="shared" si="49"/>
        <v>549</v>
      </c>
      <c r="BW62" s="39">
        <f>VLOOKUP($A62,NetAdditions!$A$2:$H$336,6,FALSE)</f>
        <v>573</v>
      </c>
      <c r="BX62" s="39">
        <f>VLOOKUP($A62,NetAdditions!$A$2:$H$336,7,FALSE)</f>
        <v>640</v>
      </c>
      <c r="BY62" s="39">
        <f>IF((VLOOKUP($C62,NetAdditions!$A$2:$H$336,8,FALSE))="",(AVERAGE(VLOOKUP($C62,NetAdditions!$A$2:$H$336,5,FALSE),VLOOKUP($C62,NetAdditions!$A$2:$H$336,6,FALSE),VLOOKUP($C62,NetAdditions!$A$2:$H$336,7,FALSE))),VLOOKUP($C62,NetAdditions!$A$2:$H$336,8,FALSE))</f>
        <v>306</v>
      </c>
      <c r="BZ62" s="39">
        <f t="shared" si="35"/>
        <v>506.33333333333331</v>
      </c>
      <c r="CA62" s="39">
        <f t="shared" si="35"/>
        <v>484.11111111111109</v>
      </c>
      <c r="CB62" s="39">
        <f t="shared" si="35"/>
        <v>432.1481481481481</v>
      </c>
      <c r="CC62" s="39">
        <f t="shared" si="35"/>
        <v>474.19753086419746</v>
      </c>
      <c r="CD62" s="39">
        <f t="shared" si="35"/>
        <v>463.48559670781884</v>
      </c>
      <c r="CE62" s="276">
        <f t="shared" si="5"/>
        <v>1755</v>
      </c>
      <c r="CF62" s="276">
        <f t="shared" si="6"/>
        <v>1749</v>
      </c>
      <c r="CG62" s="276">
        <f t="shared" si="7"/>
        <v>1768</v>
      </c>
      <c r="CH62" s="276">
        <f t="shared" si="8"/>
        <v>1778</v>
      </c>
      <c r="CI62" s="276">
        <f t="shared" si="9"/>
        <v>1740</v>
      </c>
      <c r="CJ62" s="276">
        <f t="shared" si="10"/>
        <v>1690</v>
      </c>
      <c r="CK62" s="276">
        <f t="shared" si="36"/>
        <v>1511.25</v>
      </c>
      <c r="CL62" s="276">
        <f t="shared" si="37"/>
        <v>1506.0833333333335</v>
      </c>
      <c r="CM62" s="276">
        <f t="shared" si="38"/>
        <v>1620.6666666666665</v>
      </c>
      <c r="CN62" s="276">
        <f t="shared" si="39"/>
        <v>1778</v>
      </c>
      <c r="CO62" s="276">
        <f t="shared" si="39"/>
        <v>1740</v>
      </c>
      <c r="CP62" s="276">
        <f t="shared" si="11"/>
        <v>1690</v>
      </c>
      <c r="CQ62" s="39">
        <f t="shared" si="12"/>
        <v>1519</v>
      </c>
      <c r="CR62" s="39">
        <f t="shared" si="13"/>
        <v>1452.3333333333333</v>
      </c>
      <c r="CS62" s="277">
        <f t="shared" si="14"/>
        <v>1296.4444444444443</v>
      </c>
      <c r="CT62" s="39">
        <f t="shared" si="15"/>
        <v>1422.5925925925924</v>
      </c>
      <c r="CU62" s="39">
        <f t="shared" si="16"/>
        <v>1390.4567901234566</v>
      </c>
      <c r="CV62" s="39">
        <f t="shared" si="17"/>
        <v>1369.8312757201643</v>
      </c>
      <c r="CW62" s="297">
        <f t="shared" si="18"/>
        <v>1.0051282051282051</v>
      </c>
      <c r="CX62" s="279" t="str">
        <f t="shared" si="40"/>
        <v>Pass</v>
      </c>
      <c r="CY62" s="278">
        <f t="shared" si="19"/>
        <v>0.9643114037514523</v>
      </c>
      <c r="CZ62" s="279" t="str">
        <f t="shared" si="41"/>
        <v>Pass</v>
      </c>
      <c r="DA62" s="278">
        <f t="shared" si="20"/>
        <v>0.79994515288632939</v>
      </c>
      <c r="DB62" s="292" t="str">
        <f t="shared" si="42"/>
        <v>Buffer and Action Plan</v>
      </c>
      <c r="DC62" s="299">
        <f t="shared" si="43"/>
        <v>0.80010831979335906</v>
      </c>
      <c r="DD62" s="293" t="str">
        <f t="shared" si="44"/>
        <v>Buffer and Action Plan</v>
      </c>
      <c r="DE62" s="299">
        <f t="shared" si="45"/>
        <v>0.79911309777210149</v>
      </c>
      <c r="DF62" s="293" t="str">
        <f t="shared" si="46"/>
        <v>Buffer and Action Plan</v>
      </c>
      <c r="DG62" s="299">
        <f t="shared" si="47"/>
        <v>0.81055105072199074</v>
      </c>
      <c r="DH62" s="293" t="str">
        <f t="shared" si="48"/>
        <v>Buffer and Action Plan</v>
      </c>
    </row>
    <row r="63" spans="1:112" customFormat="1" ht="15.5" thickTop="1" thickBot="1">
      <c r="A63" s="3" t="s">
        <v>235</v>
      </c>
      <c r="B63" s="38" t="s">
        <v>236</v>
      </c>
      <c r="C63" s="3" t="s">
        <v>235</v>
      </c>
      <c r="D63" s="3" t="s">
        <v>131</v>
      </c>
      <c r="E63" s="3" t="str">
        <f>VLOOKUP(C63,PoliticalControl!A:K,11,FALSE)</f>
        <v>IND/OTHER</v>
      </c>
      <c r="F63" s="3" t="str">
        <f>VLOOKUP(C63,UrbanRuralClassification!A:N,13,FALSE)</f>
        <v>Urban with Major Conurbation</v>
      </c>
      <c r="G63" s="3" t="str">
        <f>VLOOKUP(C63,UrbanRuralClassification!A:N,14,FALSE)</f>
        <v>Predominantly Urban</v>
      </c>
      <c r="H63" s="262">
        <f>IF(ISBLANK((VLOOKUP($A63,'local-plan-data'!$C$1:$AD$566,27,FALSE)))=TRUE,"",VLOOKUP($A63,'local-plan-data'!$C$1:$AD$566,27,FALSE))</f>
        <v>42019</v>
      </c>
      <c r="I63" s="263">
        <f>VLOOKUP($A63,'local-plan-data'!$C$1:$AD$566,28,FALSE)</f>
        <v>110</v>
      </c>
      <c r="J63" s="264">
        <f t="shared" si="21"/>
        <v>110</v>
      </c>
      <c r="K63" s="259">
        <f t="shared" si="51"/>
        <v>110</v>
      </c>
      <c r="L63" s="259">
        <f t="shared" si="51"/>
        <v>110</v>
      </c>
      <c r="M63" s="259" t="str">
        <f t="shared" si="51"/>
        <v>-</v>
      </c>
      <c r="N63" s="259" t="str">
        <f t="shared" si="51"/>
        <v>-</v>
      </c>
      <c r="O63" s="259" t="str">
        <f t="shared" si="51"/>
        <v>-</v>
      </c>
      <c r="P63" s="259" t="str">
        <f t="shared" si="51"/>
        <v>-</v>
      </c>
      <c r="Q63" s="259" t="str">
        <f t="shared" si="51"/>
        <v>-</v>
      </c>
      <c r="R63" s="259" t="str">
        <f t="shared" si="51"/>
        <v>-</v>
      </c>
      <c r="S63" s="259">
        <f t="shared" si="52"/>
        <v>654</v>
      </c>
      <c r="T63" s="259">
        <f t="shared" si="52"/>
        <v>289</v>
      </c>
      <c r="U63" s="259">
        <f t="shared" si="52"/>
        <v>-77</v>
      </c>
      <c r="V63" s="259">
        <f t="shared" si="52"/>
        <v>-442</v>
      </c>
      <c r="W63" s="259">
        <f t="shared" si="52"/>
        <v>-807</v>
      </c>
      <c r="X63" s="259">
        <f t="shared" si="52"/>
        <v>-1172</v>
      </c>
      <c r="Y63" s="259">
        <f t="shared" si="52"/>
        <v>-1538</v>
      </c>
      <c r="Z63" s="259">
        <f t="shared" si="52"/>
        <v>-1903</v>
      </c>
      <c r="AA63" s="267" t="e">
        <f>(VLOOKUP(A63,Hshldprojections2014!$A$2:$AW$319,40, FALSE)-VLOOKUP(A63,Hshldprojections2014!$A$2:$AW$319,30, FALSE))/10</f>
        <v>#VALUE!</v>
      </c>
      <c r="AB63" s="267" t="e">
        <f>(VLOOKUP(A63,Hshldprojections2014!$A$2:$AW$319,41, FALSE)-VLOOKUP(A63,Hshldprojections2014!$A$2:$AW$319,31, FALSE))/10</f>
        <v>#VALUE!</v>
      </c>
      <c r="AC63" s="267" t="e">
        <f>(VLOOKUP(A63,Hshldprojections2014!$A$2:$AW$319,42, FALSE)-VLOOKUP(A63,Hshldprojections2014!$A$2:$AW$319,32, FALSE))/10</f>
        <v>#VALUE!</v>
      </c>
      <c r="AD63" s="267">
        <f>IF(IndividualLATest!$J$7=2014,(VLOOKUP($A63,Hshldprojections2014!$A$2:$AY$326,43,FALSE)-VLOOKUP($A63,Hshldprojections2014!$A$2:$AY$326,33,FALSE))/10,IF(IndividualLATest!$J$7=2016,(VLOOKUP($A63,Hshldprojections2016!$A$1:$AQ$322,33,FALSE)-VLOOKUP($A63,Hshldprojections2016!$A$1:$AQ$322,23,FALSE))/10,(VLOOKUP($A63,Hshldprojections2018!$A$1:$AQ$327,33,FALSE)-VLOOKUP($A63,Hshldprojections2018!$A$1:$AQ$327,23,FALSE))/10))</f>
        <v>24.4</v>
      </c>
      <c r="AE63" s="267">
        <f>IF(IndividualLATest!$J$7=2014,(VLOOKUP($A63,Hshldprojections2014!$A$2:$AY$326,44,FALSE)-VLOOKUP($A63,Hshldprojections2014!$A$2:$AY$326,34,FALSE))/10,IF(IndividualLATest!$J$7=2016,(VLOOKUP($A63,Hshldprojections2016!$A$1:$AQ$322,34,FALSE)-VLOOKUP($A63,Hshldprojections2016!$A$1:$AQ$322,24,FALSE))/10,(VLOOKUP($A63,Hshldprojections2018!$A$1:$AQ$327,34,FALSE)-VLOOKUP($A63,Hshldprojections2018!$A$1:$AQ$327,24,FALSE))/10))</f>
        <v>25.5</v>
      </c>
      <c r="AF63" s="267">
        <f>IF(IndividualLATest!$J$7=2014,(VLOOKUP($A63,Hshldprojections2014!$A$2:$AY$326,45,FALSE)-VLOOKUP($A63,Hshldprojections2014!$A$2:$AY$326,35,FALSE))/10,IF(IndividualLATest!$J$7=2016,(VLOOKUP($A63,Hshldprojections2016!$A$1:$AQ$322,35,FALSE)-VLOOKUP($A63,Hshldprojections2016!$A$1:$AQ$322,25,FALSE))/10,(VLOOKUP($A63,Hshldprojections2018!$A$1:$AQ$327,35,FALSE)-VLOOKUP($A63,Hshldprojections2018!$A$1:$AQ$327,25,FALSE))/10))</f>
        <v>25.8</v>
      </c>
      <c r="AG63" s="267">
        <f>IF(IndividualLATest!$J$7=2014,(VLOOKUP($A63,Hshldprojections2014!$A$2:$AY$326,46,FALSE)-VLOOKUP($A63,Hshldprojections2014!$A$2:$AY$326,36,FALSE))/10,IF(IndividualLATest!$J$7=2016,(VLOOKUP($A63,Hshldprojections2016!$A$1:$AQ$322,36,FALSE)-VLOOKUP($A63,Hshldprojections2016!$A$1:$AQ$322,26,FALSE))/10,(VLOOKUP($A63,Hshldprojections2018!$A$1:$AQ$327,36,FALSE)-VLOOKUP($A63,Hshldprojections2018!$A$1:$AQ$327,26,FALSE))/10))</f>
        <v>26.7</v>
      </c>
      <c r="AH63" s="267">
        <f>IF(IndividualLATest!$J$7=2014,(VLOOKUP($A63,Hshldprojections2014!$A$2:$AY$326,47,FALSE)-VLOOKUP($A63,Hshldprojections2014!$A$2:$AY$326,37,FALSE))/10,IF(IndividualLATest!$J$7=2016,(VLOOKUP($A63,Hshldprojections2016!$A$1:$AQ$322,37,FALSE)-VLOOKUP($A63,Hshldprojections2016!$A$1:$AQ$322,27,FALSE))/10,(VLOOKUP($A63,Hshldprojections2018!$A$1:$AQ$327,37,FALSE)-VLOOKUP($A63,Hshldprojections2018!$A$1:$AQ$327,27,FALSE))/10))</f>
        <v>27.3</v>
      </c>
      <c r="AI63" s="268">
        <f>IF(ISNUMBER('Sensitivity Tests'!$C$30),'Sensitivity Tests'!$C$30,VLOOKUP($A63,AffordabilityRatio!$A$2:$I$321,5,FALSE))</f>
        <v>15.1</v>
      </c>
      <c r="AJ63" s="268">
        <f>IF(ISNUMBER('Sensitivity Tests'!$C$30),'Sensitivity Tests'!$C$30,VLOOKUP($A63,AffordabilityRatio!$A$2:$I$321,6,FALSE))</f>
        <v>14.51</v>
      </c>
      <c r="AK63" s="268">
        <f>IF(ISNUMBER('Sensitivity Tests'!$C$30),'Sensitivity Tests'!$C$30,VLOOKUP($A63,AffordabilityRatio!$A$2:$I$321,7,FALSE))</f>
        <v>14.94</v>
      </c>
      <c r="AL63" s="268">
        <f>IF(ISNUMBER('Sensitivity Tests'!$C$30),'Sensitivity Tests'!$C$30,IF((VLOOKUP($A63,AffordabilityRatio!$A$2:$I$321,8,FALSE))="",AK63,VLOOKUP($A63,AffordabilityRatio!$A$2:$I$321,8,FALSE)))</f>
        <v>14.36</v>
      </c>
      <c r="AM63" s="268">
        <f>IF(ISNUMBER('Sensitivity Tests'!$C$30),'Sensitivity Tests'!$C$30,IF((VLOOKUP($A63,AffordabilityRatio!$A$2:$I$321,9,FALSE))="",AL63,VLOOKUP($A63,AffordabilityRatio!$A$2:$I$321,9,FALSE)))</f>
        <v>11.48</v>
      </c>
      <c r="AN63" s="268">
        <f>IF(ISNUMBER('Sensitivity Tests'!$C$30),'Sensitivity Tests'!$C$30,IF((VLOOKUP($A63,AffordabilityRatio!$A$2:$I$321,9,FALSE))="",AM63,VLOOKUP($A63,AffordabilityRatio!$A$2:$I$321,9,FALSE)))</f>
        <v>11.48</v>
      </c>
      <c r="AO63" s="268">
        <f>IF(ISNUMBER('Sensitivity Tests'!$C$30),'Sensitivity Tests'!$C$30,IF((VLOOKUP($A63,AffordabilityRatio!$A$2:$I$321,9,FALSE))="",AN63,VLOOKUP($A63,AffordabilityRatio!$A$2:$I$321,9,FALSE)))</f>
        <v>11.48</v>
      </c>
      <c r="AP63" s="268">
        <f>IF(ISNUMBER('Sensitivity Tests'!$C$30),'Sensitivity Tests'!$C$30,IF((VLOOKUP($A63,AffordabilityRatio!$A$2:$I$321,9,FALSE))="",AO63,VLOOKUP($A63,AffordabilityRatio!$A$2:$I$321,9,FALSE)))</f>
        <v>11.48</v>
      </c>
      <c r="AQ63" s="267" t="e">
        <f t="shared" si="53"/>
        <v>#VALUE!</v>
      </c>
      <c r="AR63" s="267" t="e">
        <f t="shared" si="53"/>
        <v>#VALUE!</v>
      </c>
      <c r="AS63" s="267" t="e">
        <f t="shared" si="53"/>
        <v>#VALUE!</v>
      </c>
      <c r="AT63" s="267">
        <f t="shared" si="53"/>
        <v>40</v>
      </c>
      <c r="AU63" s="267">
        <f t="shared" si="53"/>
        <v>37</v>
      </c>
      <c r="AV63" s="267">
        <f t="shared" si="53"/>
        <v>38</v>
      </c>
      <c r="AW63" s="267">
        <f t="shared" si="53"/>
        <v>39</v>
      </c>
      <c r="AX63" s="267">
        <f t="shared" si="53"/>
        <v>40</v>
      </c>
      <c r="AY63" s="267" t="e">
        <f t="shared" si="25"/>
        <v>#VALUE!</v>
      </c>
      <c r="AZ63" s="267" t="e">
        <f t="shared" si="26"/>
        <v>#VALUE!</v>
      </c>
      <c r="BA63" s="267" t="e">
        <f t="shared" si="27"/>
        <v>#VALUE!</v>
      </c>
      <c r="BB63" s="267">
        <f t="shared" si="28"/>
        <v>40</v>
      </c>
      <c r="BC63" s="267">
        <f t="shared" si="29"/>
        <v>37</v>
      </c>
      <c r="BD63" s="267">
        <f t="shared" si="30"/>
        <v>38</v>
      </c>
      <c r="BE63" s="267">
        <f t="shared" si="31"/>
        <v>39</v>
      </c>
      <c r="BF63" s="267">
        <f t="shared" si="32"/>
        <v>40</v>
      </c>
      <c r="BG63" s="269" t="e">
        <f>AY63*VLOOKUP($B63,'Major Cities &amp; Towns'!$A$28:$B$345,2,FALSE)</f>
        <v>#VALUE!</v>
      </c>
      <c r="BH63" s="269" t="e">
        <f>AZ63*VLOOKUP($B63,'Major Cities &amp; Towns'!$A$28:$B$345,2,FALSE)</f>
        <v>#VALUE!</v>
      </c>
      <c r="BI63" s="269" t="e">
        <f>BA63*VLOOKUP($B63,'Major Cities &amp; Towns'!$A$28:$B$345,2,FALSE)</f>
        <v>#VALUE!</v>
      </c>
      <c r="BJ63" s="269">
        <f>BB63*VLOOKUP($B63,'Major Cities &amp; Towns'!$A$28:$B$345,2,FALSE)</f>
        <v>54</v>
      </c>
      <c r="BK63" s="269">
        <f>BC63*VLOOKUP($B63,'Major Cities &amp; Towns'!$A$28:$B$345,2,FALSE)</f>
        <v>49.95</v>
      </c>
      <c r="BL63" s="269">
        <f>BD63*VLOOKUP($B63,'Major Cities &amp; Towns'!$A$28:$B$345,2,FALSE)</f>
        <v>51.300000000000004</v>
      </c>
      <c r="BM63" s="269">
        <f>BE63*VLOOKUP($B63,'Major Cities &amp; Towns'!$A$28:$B$345,2,FALSE)</f>
        <v>52.650000000000006</v>
      </c>
      <c r="BN63" s="269">
        <f>BF63*VLOOKUP($B63,'Major Cities &amp; Towns'!$A$28:$B$345,2,FALSE)</f>
        <v>54</v>
      </c>
      <c r="BO63" s="270" t="e">
        <f t="shared" si="33"/>
        <v>#VALUE!</v>
      </c>
      <c r="BP63" s="270" t="e">
        <f t="shared" si="50"/>
        <v>#VALUE!</v>
      </c>
      <c r="BQ63" s="270" t="e">
        <f t="shared" si="50"/>
        <v>#VALUE!</v>
      </c>
      <c r="BR63" s="270">
        <f t="shared" si="50"/>
        <v>40</v>
      </c>
      <c r="BS63" s="270">
        <f t="shared" si="49"/>
        <v>37</v>
      </c>
      <c r="BT63" s="270">
        <f t="shared" si="49"/>
        <v>38</v>
      </c>
      <c r="BU63" s="270">
        <f t="shared" si="49"/>
        <v>39</v>
      </c>
      <c r="BV63" s="270">
        <f t="shared" si="49"/>
        <v>40</v>
      </c>
      <c r="BW63" s="39">
        <f>VLOOKUP($A63,NetAdditions!$A$2:$H$336,6,FALSE)</f>
        <v>351</v>
      </c>
      <c r="BX63" s="39">
        <f>VLOOKUP($A63,NetAdditions!$A$2:$H$336,7,FALSE)</f>
        <v>297</v>
      </c>
      <c r="BY63" s="39">
        <f>IF((VLOOKUP($C63,NetAdditions!$A$2:$H$336,8,FALSE))="",(AVERAGE(VLOOKUP($C63,NetAdditions!$A$2:$H$336,5,FALSE),VLOOKUP($C63,NetAdditions!$A$2:$H$336,6,FALSE),VLOOKUP($C63,NetAdditions!$A$2:$H$336,7,FALSE))),VLOOKUP($C63,NetAdditions!$A$2:$H$336,8,FALSE))</f>
        <v>206</v>
      </c>
      <c r="BZ63" s="39">
        <f t="shared" si="35"/>
        <v>284.66666666666669</v>
      </c>
      <c r="CA63" s="39">
        <f t="shared" si="35"/>
        <v>262.5555555555556</v>
      </c>
      <c r="CB63" s="39">
        <f t="shared" si="35"/>
        <v>251.0740740740741</v>
      </c>
      <c r="CC63" s="39">
        <f t="shared" si="35"/>
        <v>266.09876543209879</v>
      </c>
      <c r="CD63" s="39">
        <f t="shared" si="35"/>
        <v>259.90946502057614</v>
      </c>
      <c r="CE63" s="276" t="e">
        <f t="shared" si="5"/>
        <v>#VALUE!</v>
      </c>
      <c r="CF63" s="276" t="e">
        <f t="shared" si="6"/>
        <v>#VALUE!</v>
      </c>
      <c r="CG63" s="276" t="e">
        <f t="shared" si="7"/>
        <v>#VALUE!</v>
      </c>
      <c r="CH63" s="276">
        <f t="shared" si="8"/>
        <v>115</v>
      </c>
      <c r="CI63" s="276">
        <f t="shared" si="9"/>
        <v>114</v>
      </c>
      <c r="CJ63" s="276">
        <f t="shared" si="10"/>
        <v>117</v>
      </c>
      <c r="CK63" s="276" t="e">
        <f t="shared" si="36"/>
        <v>#VALUE!</v>
      </c>
      <c r="CL63" s="276" t="e">
        <f t="shared" si="37"/>
        <v>#VALUE!</v>
      </c>
      <c r="CM63" s="276" t="e">
        <f t="shared" si="38"/>
        <v>#VALUE!</v>
      </c>
      <c r="CN63" s="276">
        <f t="shared" si="39"/>
        <v>115</v>
      </c>
      <c r="CO63" s="276">
        <f t="shared" si="39"/>
        <v>114</v>
      </c>
      <c r="CP63" s="276">
        <f t="shared" si="11"/>
        <v>117</v>
      </c>
      <c r="CQ63" s="39">
        <f t="shared" si="12"/>
        <v>854</v>
      </c>
      <c r="CR63" s="39">
        <f t="shared" si="13"/>
        <v>787.66666666666674</v>
      </c>
      <c r="CS63" s="277">
        <f t="shared" si="14"/>
        <v>753.22222222222229</v>
      </c>
      <c r="CT63" s="39">
        <f t="shared" si="15"/>
        <v>798.29629629629642</v>
      </c>
      <c r="CU63" s="39">
        <f t="shared" si="16"/>
        <v>779.72839506172841</v>
      </c>
      <c r="CV63" s="39">
        <f t="shared" si="17"/>
        <v>777.082304526749</v>
      </c>
      <c r="CW63" s="297" t="str">
        <f t="shared" si="18"/>
        <v>-</v>
      </c>
      <c r="CX63" s="279" t="str">
        <f t="shared" si="40"/>
        <v>Pass</v>
      </c>
      <c r="CY63" s="278" t="str">
        <f t="shared" si="19"/>
        <v>-</v>
      </c>
      <c r="CZ63" s="279" t="str">
        <f t="shared" si="41"/>
        <v>Pass</v>
      </c>
      <c r="DA63" s="278" t="str">
        <f t="shared" si="20"/>
        <v>-</v>
      </c>
      <c r="DB63" s="292" t="str">
        <f t="shared" si="42"/>
        <v>Pass</v>
      </c>
      <c r="DC63" s="299">
        <f t="shared" si="43"/>
        <v>6.9417069243156213</v>
      </c>
      <c r="DD63" s="293" t="str">
        <f t="shared" si="44"/>
        <v>Pass</v>
      </c>
      <c r="DE63" s="299">
        <f t="shared" si="45"/>
        <v>6.8397227636993723</v>
      </c>
      <c r="DF63" s="293" t="str">
        <f t="shared" si="46"/>
        <v>Pass</v>
      </c>
      <c r="DG63" s="299">
        <f t="shared" si="47"/>
        <v>6.6417290985192219</v>
      </c>
      <c r="DH63" s="293" t="str">
        <f t="shared" si="48"/>
        <v>Pass</v>
      </c>
    </row>
    <row r="64" spans="1:112" ht="15" thickTop="1" thickBot="1">
      <c r="A64" s="38" t="s">
        <v>237</v>
      </c>
      <c r="B64" s="38" t="s">
        <v>238</v>
      </c>
      <c r="C64" s="38" t="s">
        <v>237</v>
      </c>
      <c r="D64" s="38" t="s">
        <v>128</v>
      </c>
      <c r="E64" s="38" t="str">
        <f>VLOOKUP(C64,PoliticalControl!A:K,11,FALSE)</f>
        <v>NOC</v>
      </c>
      <c r="F64" s="38" t="str">
        <f>VLOOKUP(C64,UrbanRuralClassification!A:N,13,FALSE)</f>
        <v>Urban with Significant Rural (rural including hub towns 26-49%)</v>
      </c>
      <c r="G64" s="38" t="str">
        <f>VLOOKUP(C64,UrbanRuralClassification!A:N,14,FALSE)</f>
        <v>Urban with Significant Rural</v>
      </c>
      <c r="H64" s="258">
        <f>IF(ISBLANK((VLOOKUP($A64,'local-plan-data'!$C$1:$AD$566,27,FALSE)))=TRUE,"",VLOOKUP($A64,'local-plan-data'!$C$1:$AD$566,27,FALSE))</f>
        <v>44228</v>
      </c>
      <c r="I64" s="259">
        <f>VLOOKUP($A64,'local-plan-data'!$C$1:$AD$566,28,FALSE)</f>
        <v>920</v>
      </c>
      <c r="J64" s="260">
        <f t="shared" si="21"/>
        <v>920</v>
      </c>
      <c r="K64" s="259">
        <f t="shared" si="51"/>
        <v>920</v>
      </c>
      <c r="L64" s="259">
        <f t="shared" si="51"/>
        <v>920</v>
      </c>
      <c r="M64" s="259">
        <f t="shared" si="51"/>
        <v>920</v>
      </c>
      <c r="N64" s="259">
        <f t="shared" si="51"/>
        <v>920</v>
      </c>
      <c r="O64" s="259">
        <f t="shared" si="51"/>
        <v>920</v>
      </c>
      <c r="P64" s="259">
        <f t="shared" si="51"/>
        <v>920</v>
      </c>
      <c r="Q64" s="259">
        <f t="shared" si="51"/>
        <v>920</v>
      </c>
      <c r="R64" s="259">
        <f t="shared" si="51"/>
        <v>920</v>
      </c>
      <c r="S64" s="259">
        <f t="shared" si="52"/>
        <v>2863</v>
      </c>
      <c r="T64" s="259">
        <f t="shared" si="52"/>
        <v>2498</v>
      </c>
      <c r="U64" s="259">
        <f t="shared" si="52"/>
        <v>2132</v>
      </c>
      <c r="V64" s="259">
        <f t="shared" si="52"/>
        <v>1767</v>
      </c>
      <c r="W64" s="259">
        <f t="shared" si="52"/>
        <v>1402</v>
      </c>
      <c r="X64" s="259">
        <f t="shared" si="52"/>
        <v>1037</v>
      </c>
      <c r="Y64" s="259">
        <f t="shared" si="52"/>
        <v>671</v>
      </c>
      <c r="Z64" s="259">
        <f t="shared" si="52"/>
        <v>306</v>
      </c>
      <c r="AA64" s="267">
        <f>(VLOOKUP(A64,Hshldprojections2014!$A$2:$AW$319,40, FALSE)-VLOOKUP(A64,Hshldprojections2014!$A$2:$AW$319,30, FALSE))/10</f>
        <v>818.6</v>
      </c>
      <c r="AB64" s="267">
        <f>(VLOOKUP(A64,Hshldprojections2014!$A$2:$AW$319,41, FALSE)-VLOOKUP(A64,Hshldprojections2014!$A$2:$AW$319,31, FALSE))/10</f>
        <v>807.7</v>
      </c>
      <c r="AC64" s="267">
        <f>(VLOOKUP(A64,Hshldprojections2014!$A$2:$AW$319,42, FALSE)-VLOOKUP(A64,Hshldprojections2014!$A$2:$AW$319,32, FALSE))/10</f>
        <v>800.7</v>
      </c>
      <c r="AD64" s="267">
        <f>IF(IndividualLATest!$J$7=2014,(VLOOKUP($A64,Hshldprojections2014!$A$2:$AY$326,43,FALSE)-VLOOKUP($A64,Hshldprojections2014!$A$2:$AY$326,33,FALSE))/10,IF(IndividualLATest!$J$7=2016,(VLOOKUP($A64,Hshldprojections2016!$A$1:$AQ$322,33,FALSE)-VLOOKUP($A64,Hshldprojections2016!$A$1:$AQ$322,23,FALSE))/10,(VLOOKUP($A64,Hshldprojections2018!$A$1:$AQ$327,33,FALSE)-VLOOKUP($A64,Hshldprojections2018!$A$1:$AQ$327,23,FALSE))/10))</f>
        <v>758.9</v>
      </c>
      <c r="AE64" s="267">
        <f>IF(IndividualLATest!$J$7=2014,(VLOOKUP($A64,Hshldprojections2014!$A$2:$AY$326,44,FALSE)-VLOOKUP($A64,Hshldprojections2014!$A$2:$AY$326,34,FALSE))/10,IF(IndividualLATest!$J$7=2016,(VLOOKUP($A64,Hshldprojections2016!$A$1:$AQ$322,34,FALSE)-VLOOKUP($A64,Hshldprojections2016!$A$1:$AQ$322,24,FALSE))/10,(VLOOKUP($A64,Hshldprojections2018!$A$1:$AQ$327,34,FALSE)-VLOOKUP($A64,Hshldprojections2018!$A$1:$AQ$327,24,FALSE))/10))</f>
        <v>746.2</v>
      </c>
      <c r="AF64" s="267">
        <f>IF(IndividualLATest!$J$7=2014,(VLOOKUP($A64,Hshldprojections2014!$A$2:$AY$326,45,FALSE)-VLOOKUP($A64,Hshldprojections2014!$A$2:$AY$326,35,FALSE))/10,IF(IndividualLATest!$J$7=2016,(VLOOKUP($A64,Hshldprojections2016!$A$1:$AQ$322,35,FALSE)-VLOOKUP($A64,Hshldprojections2016!$A$1:$AQ$322,25,FALSE))/10,(VLOOKUP($A64,Hshldprojections2018!$A$1:$AQ$327,35,FALSE)-VLOOKUP($A64,Hshldprojections2018!$A$1:$AQ$327,25,FALSE))/10))</f>
        <v>735.4</v>
      </c>
      <c r="AG64" s="267">
        <f>IF(IndividualLATest!$J$7=2014,(VLOOKUP($A64,Hshldprojections2014!$A$2:$AY$326,46,FALSE)-VLOOKUP($A64,Hshldprojections2014!$A$2:$AY$326,36,FALSE))/10,IF(IndividualLATest!$J$7=2016,(VLOOKUP($A64,Hshldprojections2016!$A$1:$AQ$322,36,FALSE)-VLOOKUP($A64,Hshldprojections2016!$A$1:$AQ$322,26,FALSE))/10,(VLOOKUP($A64,Hshldprojections2018!$A$1:$AQ$327,36,FALSE)-VLOOKUP($A64,Hshldprojections2018!$A$1:$AQ$327,26,FALSE))/10))</f>
        <v>721.7</v>
      </c>
      <c r="AH64" s="267">
        <f>IF(IndividualLATest!$J$7=2014,(VLOOKUP($A64,Hshldprojections2014!$A$2:$AY$326,47,FALSE)-VLOOKUP($A64,Hshldprojections2014!$A$2:$AY$326,37,FALSE))/10,IF(IndividualLATest!$J$7=2016,(VLOOKUP($A64,Hshldprojections2016!$A$1:$AQ$322,37,FALSE)-VLOOKUP($A64,Hshldprojections2016!$A$1:$AQ$322,27,FALSE))/10,(VLOOKUP($A64,Hshldprojections2018!$A$1:$AQ$327,37,FALSE)-VLOOKUP($A64,Hshldprojections2018!$A$1:$AQ$327,27,FALSE))/10))</f>
        <v>711.3</v>
      </c>
      <c r="AI64" s="268">
        <f>IF(ISNUMBER('Sensitivity Tests'!$C$30),'Sensitivity Tests'!$C$30,VLOOKUP($A64,AffordabilityRatio!$A$2:$I$321,5,FALSE))</f>
        <v>8.99</v>
      </c>
      <c r="AJ64" s="268">
        <f>IF(ISNUMBER('Sensitivity Tests'!$C$30),'Sensitivity Tests'!$C$30,VLOOKUP($A64,AffordabilityRatio!$A$2:$I$321,6,FALSE))</f>
        <v>9.58</v>
      </c>
      <c r="AK64" s="268">
        <f>IF(ISNUMBER('Sensitivity Tests'!$C$30),'Sensitivity Tests'!$C$30,VLOOKUP($A64,AffordabilityRatio!$A$2:$I$321,7,FALSE))</f>
        <v>9.5</v>
      </c>
      <c r="AL64" s="268">
        <f>IF(ISNUMBER('Sensitivity Tests'!$C$30),'Sensitivity Tests'!$C$30,IF((VLOOKUP($A64,AffordabilityRatio!$A$2:$I$321,8,FALSE))="",AK64,VLOOKUP($A64,AffordabilityRatio!$A$2:$I$321,8,FALSE)))</f>
        <v>9.58</v>
      </c>
      <c r="AM64" s="268">
        <f>IF(ISNUMBER('Sensitivity Tests'!$C$30),'Sensitivity Tests'!$C$30,IF((VLOOKUP($A64,AffordabilityRatio!$A$2:$I$321,9,FALSE))="",AL64,VLOOKUP($A64,AffordabilityRatio!$A$2:$I$321,9,FALSE)))</f>
        <v>10.38</v>
      </c>
      <c r="AN64" s="268">
        <f>IF(ISNUMBER('Sensitivity Tests'!$C$30),'Sensitivity Tests'!$C$30,IF((VLOOKUP($A64,AffordabilityRatio!$A$2:$I$321,9,FALSE))="",AM64,VLOOKUP($A64,AffordabilityRatio!$A$2:$I$321,9,FALSE)))</f>
        <v>10.38</v>
      </c>
      <c r="AO64" s="268">
        <f>IF(ISNUMBER('Sensitivity Tests'!$C$30),'Sensitivity Tests'!$C$30,IF((VLOOKUP($A64,AffordabilityRatio!$A$2:$I$321,9,FALSE))="",AN64,VLOOKUP($A64,AffordabilityRatio!$A$2:$I$321,9,FALSE)))</f>
        <v>10.38</v>
      </c>
      <c r="AP64" s="268">
        <f>IF(ISNUMBER('Sensitivity Tests'!$C$30),'Sensitivity Tests'!$C$30,IF((VLOOKUP($A64,AffordabilityRatio!$A$2:$I$321,9,FALSE))="",AO64,VLOOKUP($A64,AffordabilityRatio!$A$2:$I$321,9,FALSE)))</f>
        <v>10.38</v>
      </c>
      <c r="AQ64" s="267">
        <f t="shared" si="53"/>
        <v>1074</v>
      </c>
      <c r="AR64" s="267">
        <f t="shared" si="53"/>
        <v>1089</v>
      </c>
      <c r="AS64" s="267">
        <f t="shared" si="53"/>
        <v>1076</v>
      </c>
      <c r="AT64" s="267">
        <f t="shared" si="53"/>
        <v>1024</v>
      </c>
      <c r="AU64" s="267">
        <f t="shared" si="53"/>
        <v>1044</v>
      </c>
      <c r="AV64" s="267">
        <f t="shared" si="53"/>
        <v>1029</v>
      </c>
      <c r="AW64" s="267">
        <f t="shared" si="53"/>
        <v>1009</v>
      </c>
      <c r="AX64" s="267">
        <f t="shared" si="53"/>
        <v>995</v>
      </c>
      <c r="AY64" s="267">
        <f t="shared" si="25"/>
        <v>1074</v>
      </c>
      <c r="AZ64" s="267">
        <f t="shared" si="26"/>
        <v>1089</v>
      </c>
      <c r="BA64" s="267">
        <f t="shared" si="27"/>
        <v>1076</v>
      </c>
      <c r="BB64" s="267">
        <f t="shared" si="28"/>
        <v>1024</v>
      </c>
      <c r="BC64" s="267">
        <f t="shared" si="29"/>
        <v>1044</v>
      </c>
      <c r="BD64" s="267">
        <f t="shared" si="30"/>
        <v>1029</v>
      </c>
      <c r="BE64" s="267">
        <f t="shared" si="31"/>
        <v>1009</v>
      </c>
      <c r="BF64" s="267">
        <f t="shared" si="32"/>
        <v>995</v>
      </c>
      <c r="BG64" s="269">
        <f>AY64*VLOOKUP($B64,'Major Cities &amp; Towns'!$A$28:$B$345,2,FALSE)</f>
        <v>1074</v>
      </c>
      <c r="BH64" s="269">
        <f>AZ64*VLOOKUP($B64,'Major Cities &amp; Towns'!$A$28:$B$345,2,FALSE)</f>
        <v>1089</v>
      </c>
      <c r="BI64" s="269">
        <f>BA64*VLOOKUP($B64,'Major Cities &amp; Towns'!$A$28:$B$345,2,FALSE)</f>
        <v>1076</v>
      </c>
      <c r="BJ64" s="269">
        <f>BB64*VLOOKUP($B64,'Major Cities &amp; Towns'!$A$28:$B$345,2,FALSE)</f>
        <v>1024</v>
      </c>
      <c r="BK64" s="269">
        <f>BC64*VLOOKUP($B64,'Major Cities &amp; Towns'!$A$28:$B$345,2,FALSE)</f>
        <v>1044</v>
      </c>
      <c r="BL64" s="269">
        <f>BD64*VLOOKUP($B64,'Major Cities &amp; Towns'!$A$28:$B$345,2,FALSE)</f>
        <v>1029</v>
      </c>
      <c r="BM64" s="269">
        <f>BE64*VLOOKUP($B64,'Major Cities &amp; Towns'!$A$28:$B$345,2,FALSE)</f>
        <v>1009</v>
      </c>
      <c r="BN64" s="269">
        <f>BF64*VLOOKUP($B64,'Major Cities &amp; Towns'!$A$28:$B$345,2,FALSE)</f>
        <v>995</v>
      </c>
      <c r="BO64" s="270">
        <f t="shared" si="33"/>
        <v>920</v>
      </c>
      <c r="BP64" s="270">
        <f t="shared" si="50"/>
        <v>920</v>
      </c>
      <c r="BQ64" s="270">
        <f t="shared" si="50"/>
        <v>920</v>
      </c>
      <c r="BR64" s="270">
        <f t="shared" si="50"/>
        <v>920</v>
      </c>
      <c r="BS64" s="270">
        <f t="shared" si="49"/>
        <v>920</v>
      </c>
      <c r="BT64" s="270">
        <f t="shared" si="49"/>
        <v>920</v>
      </c>
      <c r="BU64" s="270">
        <f t="shared" si="49"/>
        <v>920</v>
      </c>
      <c r="BV64" s="270">
        <f t="shared" si="49"/>
        <v>932.1232876712329</v>
      </c>
      <c r="BW64" s="39">
        <f>VLOOKUP($A64,NetAdditions!$A$2:$H$336,6,FALSE)</f>
        <v>1175</v>
      </c>
      <c r="BX64" s="39">
        <f>VLOOKUP($A64,NetAdditions!$A$2:$H$336,7,FALSE)</f>
        <v>785</v>
      </c>
      <c r="BY64" s="39">
        <f>IF((VLOOKUP($C64,NetAdditions!$A$2:$H$336,8,FALSE))="",(AVERAGE(VLOOKUP($C64,NetAdditions!$A$2:$H$336,5,FALSE),VLOOKUP($C64,NetAdditions!$A$2:$H$336,6,FALSE),VLOOKUP($C64,NetAdditions!$A$2:$H$336,7,FALSE))),VLOOKUP($C64,NetAdditions!$A$2:$H$336,8,FALSE))</f>
        <v>741</v>
      </c>
      <c r="BZ64" s="39">
        <f t="shared" si="35"/>
        <v>900.33333333333337</v>
      </c>
      <c r="CA64" s="39">
        <f t="shared" si="35"/>
        <v>808.77777777777783</v>
      </c>
      <c r="CB64" s="39">
        <f t="shared" si="35"/>
        <v>816.70370370370381</v>
      </c>
      <c r="CC64" s="39">
        <f t="shared" si="35"/>
        <v>841.93827160493845</v>
      </c>
      <c r="CD64" s="39">
        <f t="shared" si="35"/>
        <v>822.47325102880677</v>
      </c>
      <c r="CE64" s="276">
        <f t="shared" si="5"/>
        <v>2760</v>
      </c>
      <c r="CF64" s="276">
        <f t="shared" si="6"/>
        <v>2760</v>
      </c>
      <c r="CG64" s="276">
        <f t="shared" si="7"/>
        <v>2760</v>
      </c>
      <c r="CH64" s="276">
        <f t="shared" si="8"/>
        <v>2760</v>
      </c>
      <c r="CI64" s="276">
        <f t="shared" si="9"/>
        <v>2760</v>
      </c>
      <c r="CJ64" s="276">
        <f t="shared" si="10"/>
        <v>2772.1232876712329</v>
      </c>
      <c r="CK64" s="276">
        <f t="shared" si="36"/>
        <v>2376.666666666667</v>
      </c>
      <c r="CL64" s="276">
        <f t="shared" si="37"/>
        <v>2376.666666666667</v>
      </c>
      <c r="CM64" s="276">
        <f t="shared" si="38"/>
        <v>2530</v>
      </c>
      <c r="CN64" s="276">
        <f t="shared" si="39"/>
        <v>2760</v>
      </c>
      <c r="CO64" s="276">
        <f t="shared" si="39"/>
        <v>2760</v>
      </c>
      <c r="CP64" s="276">
        <f t="shared" si="11"/>
        <v>2772.1232876712329</v>
      </c>
      <c r="CQ64" s="39">
        <f t="shared" si="12"/>
        <v>2701</v>
      </c>
      <c r="CR64" s="39">
        <f t="shared" si="13"/>
        <v>2426.3333333333335</v>
      </c>
      <c r="CS64" s="277">
        <f t="shared" si="14"/>
        <v>2450.1111111111113</v>
      </c>
      <c r="CT64" s="39">
        <f t="shared" si="15"/>
        <v>2525.8148148148152</v>
      </c>
      <c r="CU64" s="39">
        <f t="shared" si="16"/>
        <v>2467.4197530864203</v>
      </c>
      <c r="CV64" s="39">
        <f t="shared" si="17"/>
        <v>2481.1152263374488</v>
      </c>
      <c r="CW64" s="297">
        <f t="shared" si="18"/>
        <v>1.1364656381486675</v>
      </c>
      <c r="CX64" s="279" t="str">
        <f t="shared" si="40"/>
        <v>Pass</v>
      </c>
      <c r="CY64" s="278">
        <f t="shared" si="19"/>
        <v>1.0208976157082748</v>
      </c>
      <c r="CZ64" s="279" t="str">
        <f t="shared" si="41"/>
        <v>Pass</v>
      </c>
      <c r="DA64" s="278">
        <f t="shared" si="20"/>
        <v>0.96842336407553808</v>
      </c>
      <c r="DB64" s="292" t="str">
        <f t="shared" si="42"/>
        <v>Pass</v>
      </c>
      <c r="DC64" s="299">
        <f t="shared" si="43"/>
        <v>0.91515029522275915</v>
      </c>
      <c r="DD64" s="293" t="str">
        <f t="shared" si="44"/>
        <v>Action Plan</v>
      </c>
      <c r="DE64" s="299">
        <f t="shared" si="45"/>
        <v>0.8939926641617465</v>
      </c>
      <c r="DF64" s="293" t="str">
        <f t="shared" si="46"/>
        <v>Action Plan</v>
      </c>
      <c r="DG64" s="299">
        <f t="shared" si="47"/>
        <v>0.89502340583912121</v>
      </c>
      <c r="DH64" s="293" t="str">
        <f t="shared" si="48"/>
        <v>Action Plan</v>
      </c>
    </row>
    <row r="65" spans="1:112" ht="15" thickTop="1" thickBot="1">
      <c r="A65" s="38" t="s">
        <v>239</v>
      </c>
      <c r="B65" s="38" t="s">
        <v>240</v>
      </c>
      <c r="C65" s="38" t="s">
        <v>239</v>
      </c>
      <c r="D65" s="38" t="s">
        <v>116</v>
      </c>
      <c r="E65" s="38" t="str">
        <f>VLOOKUP(C65,PoliticalControl!A:K,11,FALSE)</f>
        <v>NOC</v>
      </c>
      <c r="F65" s="38" t="str">
        <f>VLOOKUP(C65,UrbanRuralClassification!A:N,13,FALSE)</f>
        <v xml:space="preserve">Mainly Rural (rural including hub towns &gt;=80%) </v>
      </c>
      <c r="G65" s="38" t="str">
        <f>VLOOKUP(C65,UrbanRuralClassification!A:N,14,FALSE)</f>
        <v>Predominantly Rural</v>
      </c>
      <c r="H65" s="258">
        <f>IF(ISBLANK((VLOOKUP($A65,'local-plan-data'!$C$1:$AD$566,27,FALSE)))=TRUE,"",VLOOKUP($A65,'local-plan-data'!$C$1:$AD$566,27,FALSE))</f>
        <v>41613</v>
      </c>
      <c r="I65" s="259">
        <f>VLOOKUP($A65,'local-plan-data'!$C$1:$AD$566,28,FALSE)</f>
        <v>230</v>
      </c>
      <c r="J65" s="260">
        <f t="shared" si="21"/>
        <v>230</v>
      </c>
      <c r="K65" s="259">
        <f t="shared" si="51"/>
        <v>230</v>
      </c>
      <c r="L65" s="259" t="str">
        <f t="shared" si="51"/>
        <v>-</v>
      </c>
      <c r="M65" s="259" t="str">
        <f t="shared" si="51"/>
        <v>-</v>
      </c>
      <c r="N65" s="259" t="str">
        <f t="shared" si="51"/>
        <v>-</v>
      </c>
      <c r="O65" s="259" t="str">
        <f t="shared" si="51"/>
        <v>-</v>
      </c>
      <c r="P65" s="259" t="str">
        <f t="shared" si="51"/>
        <v>-</v>
      </c>
      <c r="Q65" s="259" t="str">
        <f t="shared" si="51"/>
        <v>-</v>
      </c>
      <c r="R65" s="259" t="str">
        <f t="shared" si="51"/>
        <v>-</v>
      </c>
      <c r="S65" s="259">
        <f t="shared" si="52"/>
        <v>248</v>
      </c>
      <c r="T65" s="259">
        <f t="shared" si="52"/>
        <v>-117</v>
      </c>
      <c r="U65" s="259">
        <f t="shared" si="52"/>
        <v>-483</v>
      </c>
      <c r="V65" s="259">
        <f t="shared" si="52"/>
        <v>-848</v>
      </c>
      <c r="W65" s="259">
        <f t="shared" si="52"/>
        <v>-1213</v>
      </c>
      <c r="X65" s="259">
        <f t="shared" si="52"/>
        <v>-1578</v>
      </c>
      <c r="Y65" s="259">
        <f t="shared" si="52"/>
        <v>-1944</v>
      </c>
      <c r="Z65" s="259">
        <f t="shared" si="52"/>
        <v>-2309</v>
      </c>
      <c r="AA65" s="267">
        <f>(VLOOKUP(A65,Hshldprojections2014!$A$2:$AW$319,40, FALSE)-VLOOKUP(A65,Hshldprojections2014!$A$2:$AW$319,30, FALSE))/10</f>
        <v>20.5</v>
      </c>
      <c r="AB65" s="267">
        <f>(VLOOKUP(A65,Hshldprojections2014!$A$2:$AW$319,41, FALSE)-VLOOKUP(A65,Hshldprojections2014!$A$2:$AW$319,31, FALSE))/10</f>
        <v>15.1</v>
      </c>
      <c r="AC65" s="267">
        <f>(VLOOKUP(A65,Hshldprojections2014!$A$2:$AW$319,42, FALSE)-VLOOKUP(A65,Hshldprojections2014!$A$2:$AW$319,32, FALSE))/10</f>
        <v>11.3</v>
      </c>
      <c r="AD65" s="267">
        <f>IF(IndividualLATest!$J$7=2014,(VLOOKUP($A65,Hshldprojections2014!$A$2:$AY$326,43,FALSE)-VLOOKUP($A65,Hshldprojections2014!$A$2:$AY$326,33,FALSE))/10,IF(IndividualLATest!$J$7=2016,(VLOOKUP($A65,Hshldprojections2016!$A$1:$AQ$322,33,FALSE)-VLOOKUP($A65,Hshldprojections2016!$A$1:$AQ$322,23,FALSE))/10,(VLOOKUP($A65,Hshldprojections2018!$A$1:$AQ$327,33,FALSE)-VLOOKUP($A65,Hshldprojections2018!$A$1:$AQ$327,23,FALSE))/10))</f>
        <v>-66.2</v>
      </c>
      <c r="AE65" s="267">
        <f>IF(IndividualLATest!$J$7=2014,(VLOOKUP($A65,Hshldprojections2014!$A$2:$AY$326,44,FALSE)-VLOOKUP($A65,Hshldprojections2014!$A$2:$AY$326,34,FALSE))/10,IF(IndividualLATest!$J$7=2016,(VLOOKUP($A65,Hshldprojections2016!$A$1:$AQ$322,34,FALSE)-VLOOKUP($A65,Hshldprojections2016!$A$1:$AQ$322,24,FALSE))/10,(VLOOKUP($A65,Hshldprojections2018!$A$1:$AQ$327,34,FALSE)-VLOOKUP($A65,Hshldprojections2018!$A$1:$AQ$327,24,FALSE))/10))</f>
        <v>-66.7</v>
      </c>
      <c r="AF65" s="267">
        <f>IF(IndividualLATest!$J$7=2014,(VLOOKUP($A65,Hshldprojections2014!$A$2:$AY$326,45,FALSE)-VLOOKUP($A65,Hshldprojections2014!$A$2:$AY$326,35,FALSE))/10,IF(IndividualLATest!$J$7=2016,(VLOOKUP($A65,Hshldprojections2016!$A$1:$AQ$322,35,FALSE)-VLOOKUP($A65,Hshldprojections2016!$A$1:$AQ$322,25,FALSE))/10,(VLOOKUP($A65,Hshldprojections2018!$A$1:$AQ$327,35,FALSE)-VLOOKUP($A65,Hshldprojections2018!$A$1:$AQ$327,25,FALSE))/10))</f>
        <v>-66.099999999999994</v>
      </c>
      <c r="AG65" s="267">
        <f>IF(IndividualLATest!$J$7=2014,(VLOOKUP($A65,Hshldprojections2014!$A$2:$AY$326,46,FALSE)-VLOOKUP($A65,Hshldprojections2014!$A$2:$AY$326,36,FALSE))/10,IF(IndividualLATest!$J$7=2016,(VLOOKUP($A65,Hshldprojections2016!$A$1:$AQ$322,36,FALSE)-VLOOKUP($A65,Hshldprojections2016!$A$1:$AQ$322,26,FALSE))/10,(VLOOKUP($A65,Hshldprojections2018!$A$1:$AQ$327,36,FALSE)-VLOOKUP($A65,Hshldprojections2018!$A$1:$AQ$327,26,FALSE))/10))</f>
        <v>-66.099999999999994</v>
      </c>
      <c r="AH65" s="267">
        <f>IF(IndividualLATest!$J$7=2014,(VLOOKUP($A65,Hshldprojections2014!$A$2:$AY$326,47,FALSE)-VLOOKUP($A65,Hshldprojections2014!$A$2:$AY$326,37,FALSE))/10,IF(IndividualLATest!$J$7=2016,(VLOOKUP($A65,Hshldprojections2016!$A$1:$AQ$322,37,FALSE)-VLOOKUP($A65,Hshldprojections2016!$A$1:$AQ$322,27,FALSE))/10,(VLOOKUP($A65,Hshldprojections2018!$A$1:$AQ$327,37,FALSE)-VLOOKUP($A65,Hshldprojections2018!$A$1:$AQ$327,27,FALSE))/10))</f>
        <v>-61.9</v>
      </c>
      <c r="AI65" s="268">
        <f>IF(ISNUMBER('Sensitivity Tests'!$C$30),'Sensitivity Tests'!$C$30,VLOOKUP($A65,AffordabilityRatio!$A$2:$I$321,5,FALSE))</f>
        <v>2.72</v>
      </c>
      <c r="AJ65" s="268">
        <f>IF(ISNUMBER('Sensitivity Tests'!$C$30),'Sensitivity Tests'!$C$30,VLOOKUP($A65,AffordabilityRatio!$A$2:$I$321,6,FALSE))</f>
        <v>2.5099999999999998</v>
      </c>
      <c r="AK65" s="268">
        <f>IF(ISNUMBER('Sensitivity Tests'!$C$30),'Sensitivity Tests'!$C$30,VLOOKUP($A65,AffordabilityRatio!$A$2:$I$321,7,FALSE))</f>
        <v>2.78</v>
      </c>
      <c r="AL65" s="268">
        <f>IF(ISNUMBER('Sensitivity Tests'!$C$30),'Sensitivity Tests'!$C$30,IF((VLOOKUP($A65,AffordabilityRatio!$A$2:$I$321,8,FALSE))="",AK65,VLOOKUP($A65,AffordabilityRatio!$A$2:$I$321,8,FALSE)))</f>
        <v>2.6</v>
      </c>
      <c r="AM65" s="268">
        <f>IF(ISNUMBER('Sensitivity Tests'!$C$30),'Sensitivity Tests'!$C$30,IF((VLOOKUP($A65,AffordabilityRatio!$A$2:$I$321,9,FALSE))="",AL65,VLOOKUP($A65,AffordabilityRatio!$A$2:$I$321,9,FALSE)))</f>
        <v>2.71</v>
      </c>
      <c r="AN65" s="268">
        <f>IF(ISNUMBER('Sensitivity Tests'!$C$30),'Sensitivity Tests'!$C$30,IF((VLOOKUP($A65,AffordabilityRatio!$A$2:$I$321,9,FALSE))="",AM65,VLOOKUP($A65,AffordabilityRatio!$A$2:$I$321,9,FALSE)))</f>
        <v>2.71</v>
      </c>
      <c r="AO65" s="268">
        <f>IF(ISNUMBER('Sensitivity Tests'!$C$30),'Sensitivity Tests'!$C$30,IF((VLOOKUP($A65,AffordabilityRatio!$A$2:$I$321,9,FALSE))="",AN65,VLOOKUP($A65,AffordabilityRatio!$A$2:$I$321,9,FALSE)))</f>
        <v>2.71</v>
      </c>
      <c r="AP65" s="268">
        <f>IF(ISNUMBER('Sensitivity Tests'!$C$30),'Sensitivity Tests'!$C$30,IF((VLOOKUP($A65,AffordabilityRatio!$A$2:$I$321,9,FALSE))="",AO65,VLOOKUP($A65,AffordabilityRatio!$A$2:$I$321,9,FALSE)))</f>
        <v>2.71</v>
      </c>
      <c r="AQ65" s="267">
        <f t="shared" si="53"/>
        <v>20.5</v>
      </c>
      <c r="AR65" s="267">
        <f t="shared" si="53"/>
        <v>15.1</v>
      </c>
      <c r="AS65" s="267">
        <f t="shared" si="53"/>
        <v>11.3</v>
      </c>
      <c r="AT65" s="267">
        <f t="shared" si="53"/>
        <v>0</v>
      </c>
      <c r="AU65" s="267">
        <f t="shared" si="53"/>
        <v>0</v>
      </c>
      <c r="AV65" s="267">
        <f t="shared" si="53"/>
        <v>0</v>
      </c>
      <c r="AW65" s="267">
        <f t="shared" si="53"/>
        <v>0</v>
      </c>
      <c r="AX65" s="267">
        <f t="shared" si="53"/>
        <v>0</v>
      </c>
      <c r="AY65" s="267">
        <f t="shared" si="25"/>
        <v>20.5</v>
      </c>
      <c r="AZ65" s="267">
        <f t="shared" si="26"/>
        <v>15.1</v>
      </c>
      <c r="BA65" s="267">
        <f t="shared" si="27"/>
        <v>11.3</v>
      </c>
      <c r="BB65" s="267">
        <f t="shared" si="28"/>
        <v>0</v>
      </c>
      <c r="BC65" s="267">
        <f t="shared" si="29"/>
        <v>0</v>
      </c>
      <c r="BD65" s="267">
        <f t="shared" si="30"/>
        <v>0</v>
      </c>
      <c r="BE65" s="267">
        <f t="shared" si="31"/>
        <v>0</v>
      </c>
      <c r="BF65" s="267">
        <f t="shared" si="32"/>
        <v>0</v>
      </c>
      <c r="BG65" s="269">
        <f>AY65*VLOOKUP($B65,'Major Cities &amp; Towns'!$A$28:$B$345,2,FALSE)</f>
        <v>20.5</v>
      </c>
      <c r="BH65" s="269">
        <f>AZ65*VLOOKUP($B65,'Major Cities &amp; Towns'!$A$28:$B$345,2,FALSE)</f>
        <v>15.1</v>
      </c>
      <c r="BI65" s="269">
        <f>BA65*VLOOKUP($B65,'Major Cities &amp; Towns'!$A$28:$B$345,2,FALSE)</f>
        <v>11.3</v>
      </c>
      <c r="BJ65" s="269">
        <f>BB65*VLOOKUP($B65,'Major Cities &amp; Towns'!$A$28:$B$345,2,FALSE)</f>
        <v>0</v>
      </c>
      <c r="BK65" s="269">
        <f>BC65*VLOOKUP($B65,'Major Cities &amp; Towns'!$A$28:$B$345,2,FALSE)</f>
        <v>0</v>
      </c>
      <c r="BL65" s="269">
        <f>BD65*VLOOKUP($B65,'Major Cities &amp; Towns'!$A$28:$B$345,2,FALSE)</f>
        <v>0</v>
      </c>
      <c r="BM65" s="269">
        <f>BE65*VLOOKUP($B65,'Major Cities &amp; Towns'!$A$28:$B$345,2,FALSE)</f>
        <v>0</v>
      </c>
      <c r="BN65" s="269">
        <f>BF65*VLOOKUP($B65,'Major Cities &amp; Towns'!$A$28:$B$345,2,FALSE)</f>
        <v>0</v>
      </c>
      <c r="BO65" s="270">
        <f t="shared" si="33"/>
        <v>20.5</v>
      </c>
      <c r="BP65" s="270">
        <f t="shared" si="50"/>
        <v>15.1</v>
      </c>
      <c r="BQ65" s="270">
        <f t="shared" si="50"/>
        <v>11.3</v>
      </c>
      <c r="BR65" s="270">
        <f t="shared" si="50"/>
        <v>0</v>
      </c>
      <c r="BS65" s="270">
        <f t="shared" si="49"/>
        <v>0</v>
      </c>
      <c r="BT65" s="270">
        <f t="shared" si="49"/>
        <v>0</v>
      </c>
      <c r="BU65" s="270">
        <f t="shared" si="49"/>
        <v>0</v>
      </c>
      <c r="BV65" s="270">
        <f t="shared" si="49"/>
        <v>0</v>
      </c>
      <c r="BW65" s="39">
        <f>VLOOKUP($A65,NetAdditions!$A$2:$H$336,6,FALSE)</f>
        <v>117</v>
      </c>
      <c r="BX65" s="39">
        <f>VLOOKUP($A65,NetAdditions!$A$2:$H$336,7,FALSE)</f>
        <v>165</v>
      </c>
      <c r="BY65" s="39">
        <f>IF((VLOOKUP($C65,NetAdditions!$A$2:$H$336,8,FALSE))="",(AVERAGE(VLOOKUP($C65,NetAdditions!$A$2:$H$336,5,FALSE),VLOOKUP($C65,NetAdditions!$A$2:$H$336,6,FALSE),VLOOKUP($C65,NetAdditions!$A$2:$H$336,7,FALSE))),VLOOKUP($C65,NetAdditions!$A$2:$H$336,8,FALSE))</f>
        <v>107</v>
      </c>
      <c r="BZ65" s="39">
        <f t="shared" si="35"/>
        <v>129.66666666666666</v>
      </c>
      <c r="CA65" s="39">
        <f t="shared" si="35"/>
        <v>133.88888888888889</v>
      </c>
      <c r="CB65" s="39">
        <f t="shared" si="35"/>
        <v>123.51851851851852</v>
      </c>
      <c r="CC65" s="39">
        <f t="shared" si="35"/>
        <v>129.02469135802468</v>
      </c>
      <c r="CD65" s="39">
        <f t="shared" si="35"/>
        <v>128.81069958847738</v>
      </c>
      <c r="CE65" s="276">
        <f t="shared" si="5"/>
        <v>46.900000000000006</v>
      </c>
      <c r="CF65" s="276">
        <f t="shared" si="6"/>
        <v>26.4</v>
      </c>
      <c r="CG65" s="276">
        <f t="shared" si="7"/>
        <v>11.3</v>
      </c>
      <c r="CH65" s="276">
        <f t="shared" si="8"/>
        <v>0</v>
      </c>
      <c r="CI65" s="276">
        <f t="shared" si="9"/>
        <v>0</v>
      </c>
      <c r="CJ65" s="276">
        <f t="shared" si="10"/>
        <v>0</v>
      </c>
      <c r="CK65" s="276">
        <f t="shared" si="36"/>
        <v>40.38611111111112</v>
      </c>
      <c r="CL65" s="276">
        <f t="shared" si="37"/>
        <v>22.733333333333334</v>
      </c>
      <c r="CM65" s="276">
        <f t="shared" si="38"/>
        <v>10.358333333333334</v>
      </c>
      <c r="CN65" s="276">
        <f t="shared" si="39"/>
        <v>0</v>
      </c>
      <c r="CO65" s="276">
        <f t="shared" si="39"/>
        <v>0</v>
      </c>
      <c r="CP65" s="276">
        <f t="shared" si="11"/>
        <v>0</v>
      </c>
      <c r="CQ65" s="39">
        <f t="shared" si="12"/>
        <v>389</v>
      </c>
      <c r="CR65" s="39">
        <f t="shared" si="13"/>
        <v>401.66666666666663</v>
      </c>
      <c r="CS65" s="277">
        <f t="shared" si="14"/>
        <v>370.55555555555554</v>
      </c>
      <c r="CT65" s="39">
        <f t="shared" si="15"/>
        <v>387.07407407407408</v>
      </c>
      <c r="CU65" s="39">
        <f t="shared" si="16"/>
        <v>386.4320987654321</v>
      </c>
      <c r="CV65" s="39">
        <f t="shared" si="17"/>
        <v>381.35390946502059</v>
      </c>
      <c r="CW65" s="297">
        <f t="shared" si="18"/>
        <v>9.6320242107435146</v>
      </c>
      <c r="CX65" s="279" t="str">
        <f t="shared" si="40"/>
        <v>Pass</v>
      </c>
      <c r="CY65" s="278">
        <f t="shared" si="19"/>
        <v>17.668621700879761</v>
      </c>
      <c r="CZ65" s="279" t="str">
        <f t="shared" si="41"/>
        <v>Pass</v>
      </c>
      <c r="DA65" s="278">
        <f t="shared" si="20"/>
        <v>35.77366586216143</v>
      </c>
      <c r="DB65" s="292" t="str">
        <f t="shared" si="42"/>
        <v>Pass</v>
      </c>
      <c r="DC65" s="299" t="str">
        <f t="shared" si="43"/>
        <v>-</v>
      </c>
      <c r="DD65" s="293" t="str">
        <f t="shared" si="44"/>
        <v>Pass</v>
      </c>
      <c r="DE65" s="299" t="str">
        <f t="shared" si="45"/>
        <v>-</v>
      </c>
      <c r="DF65" s="293" t="str">
        <f t="shared" si="46"/>
        <v>Pass</v>
      </c>
      <c r="DG65" s="299" t="str">
        <f t="shared" si="47"/>
        <v>-</v>
      </c>
      <c r="DH65" s="293" t="str">
        <f t="shared" si="48"/>
        <v>Pass</v>
      </c>
    </row>
    <row r="66" spans="1:112" ht="15" thickTop="1" thickBot="1">
      <c r="A66" s="38" t="s">
        <v>241</v>
      </c>
      <c r="B66" s="38" t="s">
        <v>242</v>
      </c>
      <c r="C66" s="38" t="s">
        <v>241</v>
      </c>
      <c r="D66" s="38" t="s">
        <v>119</v>
      </c>
      <c r="E66" s="38" t="str">
        <f>VLOOKUP(C66,PoliticalControl!A:K,11,FALSE)</f>
        <v>LAB</v>
      </c>
      <c r="F66" s="38" t="str">
        <f>VLOOKUP(C66,UrbanRuralClassification!A:N,13,FALSE)</f>
        <v>Urban with City and Town</v>
      </c>
      <c r="G66" s="38" t="str">
        <f>VLOOKUP(C66,UrbanRuralClassification!A:N,14,FALSE)</f>
        <v>Predominantly Urban</v>
      </c>
      <c r="H66" s="258">
        <f>IF(ISBLANK((VLOOKUP($A66,'local-plan-data'!$C$1:$AD$566,27,FALSE)))=TRUE,"",VLOOKUP($A66,'local-plan-data'!$C$1:$AD$566,27,FALSE))</f>
        <v>42565</v>
      </c>
      <c r="I66" s="259">
        <f>VLOOKUP($A66,'local-plan-data'!$C$1:$AD$566,28,FALSE)</f>
        <v>460</v>
      </c>
      <c r="J66" s="260">
        <f t="shared" si="21"/>
        <v>460</v>
      </c>
      <c r="K66" s="259">
        <f t="shared" si="51"/>
        <v>460</v>
      </c>
      <c r="L66" s="259">
        <f t="shared" si="51"/>
        <v>460</v>
      </c>
      <c r="M66" s="259">
        <f t="shared" si="51"/>
        <v>460</v>
      </c>
      <c r="N66" s="259">
        <f t="shared" si="51"/>
        <v>460</v>
      </c>
      <c r="O66" s="259" t="str">
        <f t="shared" si="51"/>
        <v>-</v>
      </c>
      <c r="P66" s="259" t="str">
        <f t="shared" si="51"/>
        <v>-</v>
      </c>
      <c r="Q66" s="259" t="str">
        <f t="shared" si="51"/>
        <v>-</v>
      </c>
      <c r="R66" s="259" t="str">
        <f t="shared" si="51"/>
        <v>-</v>
      </c>
      <c r="S66" s="259">
        <f t="shared" si="52"/>
        <v>1200</v>
      </c>
      <c r="T66" s="259">
        <f t="shared" si="52"/>
        <v>835</v>
      </c>
      <c r="U66" s="259">
        <f t="shared" si="52"/>
        <v>469</v>
      </c>
      <c r="V66" s="259">
        <f t="shared" si="52"/>
        <v>104</v>
      </c>
      <c r="W66" s="259">
        <f t="shared" si="52"/>
        <v>-261</v>
      </c>
      <c r="X66" s="259">
        <f t="shared" si="52"/>
        <v>-626</v>
      </c>
      <c r="Y66" s="259">
        <f t="shared" si="52"/>
        <v>-992</v>
      </c>
      <c r="Z66" s="259">
        <f t="shared" si="52"/>
        <v>-1357</v>
      </c>
      <c r="AA66" s="267">
        <f>(VLOOKUP(A66,Hshldprojections2014!$A$2:$AW$319,40, FALSE)-VLOOKUP(A66,Hshldprojections2014!$A$2:$AW$319,30, FALSE))/10</f>
        <v>427.3</v>
      </c>
      <c r="AB66" s="267">
        <f>(VLOOKUP(A66,Hshldprojections2014!$A$2:$AW$319,41, FALSE)-VLOOKUP(A66,Hshldprojections2014!$A$2:$AW$319,31, FALSE))/10</f>
        <v>424.6</v>
      </c>
      <c r="AC66" s="267">
        <f>(VLOOKUP(A66,Hshldprojections2014!$A$2:$AW$319,42, FALSE)-VLOOKUP(A66,Hshldprojections2014!$A$2:$AW$319,32, FALSE))/10</f>
        <v>422.3</v>
      </c>
      <c r="AD66" s="267">
        <f>IF(IndividualLATest!$J$7=2014,(VLOOKUP($A66,Hshldprojections2014!$A$2:$AY$326,43,FALSE)-VLOOKUP($A66,Hshldprojections2014!$A$2:$AY$326,33,FALSE))/10,IF(IndividualLATest!$J$7=2016,(VLOOKUP($A66,Hshldprojections2016!$A$1:$AQ$322,33,FALSE)-VLOOKUP($A66,Hshldprojections2016!$A$1:$AQ$322,23,FALSE))/10,(VLOOKUP($A66,Hshldprojections2018!$A$1:$AQ$327,33,FALSE)-VLOOKUP($A66,Hshldprojections2018!$A$1:$AQ$327,23,FALSE))/10))</f>
        <v>482.9</v>
      </c>
      <c r="AE66" s="267">
        <f>IF(IndividualLATest!$J$7=2014,(VLOOKUP($A66,Hshldprojections2014!$A$2:$AY$326,44,FALSE)-VLOOKUP($A66,Hshldprojections2014!$A$2:$AY$326,34,FALSE))/10,IF(IndividualLATest!$J$7=2016,(VLOOKUP($A66,Hshldprojections2016!$A$1:$AQ$322,34,FALSE)-VLOOKUP($A66,Hshldprojections2016!$A$1:$AQ$322,24,FALSE))/10,(VLOOKUP($A66,Hshldprojections2018!$A$1:$AQ$327,34,FALSE)-VLOOKUP($A66,Hshldprojections2018!$A$1:$AQ$327,24,FALSE))/10))</f>
        <v>473.9</v>
      </c>
      <c r="AF66" s="267">
        <f>IF(IndividualLATest!$J$7=2014,(VLOOKUP($A66,Hshldprojections2014!$A$2:$AY$326,45,FALSE)-VLOOKUP($A66,Hshldprojections2014!$A$2:$AY$326,35,FALSE))/10,IF(IndividualLATest!$J$7=2016,(VLOOKUP($A66,Hshldprojections2016!$A$1:$AQ$322,35,FALSE)-VLOOKUP($A66,Hshldprojections2016!$A$1:$AQ$322,25,FALSE))/10,(VLOOKUP($A66,Hshldprojections2018!$A$1:$AQ$327,35,FALSE)-VLOOKUP($A66,Hshldprojections2018!$A$1:$AQ$327,25,FALSE))/10))</f>
        <v>466.1</v>
      </c>
      <c r="AG66" s="267">
        <f>IF(IndividualLATest!$J$7=2014,(VLOOKUP($A66,Hshldprojections2014!$A$2:$AY$326,46,FALSE)-VLOOKUP($A66,Hshldprojections2014!$A$2:$AY$326,36,FALSE))/10,IF(IndividualLATest!$J$7=2016,(VLOOKUP($A66,Hshldprojections2016!$A$1:$AQ$322,36,FALSE)-VLOOKUP($A66,Hshldprojections2016!$A$1:$AQ$322,26,FALSE))/10,(VLOOKUP($A66,Hshldprojections2018!$A$1:$AQ$327,36,FALSE)-VLOOKUP($A66,Hshldprojections2018!$A$1:$AQ$327,26,FALSE))/10))</f>
        <v>458.7</v>
      </c>
      <c r="AH66" s="267">
        <f>IF(IndividualLATest!$J$7=2014,(VLOOKUP($A66,Hshldprojections2014!$A$2:$AY$326,47,FALSE)-VLOOKUP($A66,Hshldprojections2014!$A$2:$AY$326,37,FALSE))/10,IF(IndividualLATest!$J$7=2016,(VLOOKUP($A66,Hshldprojections2016!$A$1:$AQ$322,37,FALSE)-VLOOKUP($A66,Hshldprojections2016!$A$1:$AQ$322,27,FALSE))/10,(VLOOKUP($A66,Hshldprojections2018!$A$1:$AQ$327,37,FALSE)-VLOOKUP($A66,Hshldprojections2018!$A$1:$AQ$327,27,FALSE))/10))</f>
        <v>452.8</v>
      </c>
      <c r="AI66" s="268">
        <f>IF(ISNUMBER('Sensitivity Tests'!$C$30),'Sensitivity Tests'!$C$30,VLOOKUP($A66,AffordabilityRatio!$A$2:$I$321,5,FALSE))</f>
        <v>6.38</v>
      </c>
      <c r="AJ66" s="268">
        <f>IF(ISNUMBER('Sensitivity Tests'!$C$30),'Sensitivity Tests'!$C$30,VLOOKUP($A66,AffordabilityRatio!$A$2:$I$321,6,FALSE))</f>
        <v>6.83</v>
      </c>
      <c r="AK66" s="268">
        <f>IF(ISNUMBER('Sensitivity Tests'!$C$30),'Sensitivity Tests'!$C$30,VLOOKUP($A66,AffordabilityRatio!$A$2:$I$321,7,FALSE))</f>
        <v>7.19</v>
      </c>
      <c r="AL66" s="268">
        <f>IF(ISNUMBER('Sensitivity Tests'!$C$30),'Sensitivity Tests'!$C$30,IF((VLOOKUP($A66,AffordabilityRatio!$A$2:$I$321,8,FALSE))="",AK66,VLOOKUP($A66,AffordabilityRatio!$A$2:$I$321,8,FALSE)))</f>
        <v>6.18</v>
      </c>
      <c r="AM66" s="268">
        <f>IF(ISNUMBER('Sensitivity Tests'!$C$30),'Sensitivity Tests'!$C$30,IF((VLOOKUP($A66,AffordabilityRatio!$A$2:$I$321,9,FALSE))="",AL66,VLOOKUP($A66,AffordabilityRatio!$A$2:$I$321,9,FALSE)))</f>
        <v>6.18</v>
      </c>
      <c r="AN66" s="268">
        <f>IF(ISNUMBER('Sensitivity Tests'!$C$30),'Sensitivity Tests'!$C$30,IF((VLOOKUP($A66,AffordabilityRatio!$A$2:$I$321,9,FALSE))="",AM66,VLOOKUP($A66,AffordabilityRatio!$A$2:$I$321,9,FALSE)))</f>
        <v>6.18</v>
      </c>
      <c r="AO66" s="268">
        <f>IF(ISNUMBER('Sensitivity Tests'!$C$30),'Sensitivity Tests'!$C$30,IF((VLOOKUP($A66,AffordabilityRatio!$A$2:$I$321,9,FALSE))="",AN66,VLOOKUP($A66,AffordabilityRatio!$A$2:$I$321,9,FALSE)))</f>
        <v>6.18</v>
      </c>
      <c r="AP66" s="268">
        <f>IF(ISNUMBER('Sensitivity Tests'!$C$30),'Sensitivity Tests'!$C$30,IF((VLOOKUP($A66,AffordabilityRatio!$A$2:$I$321,9,FALSE))="",AO66,VLOOKUP($A66,AffordabilityRatio!$A$2:$I$321,9,FALSE)))</f>
        <v>6.18</v>
      </c>
      <c r="AQ66" s="267">
        <f t="shared" si="53"/>
        <v>491</v>
      </c>
      <c r="AR66" s="267">
        <f t="shared" si="53"/>
        <v>500</v>
      </c>
      <c r="AS66" s="267">
        <f t="shared" si="53"/>
        <v>506</v>
      </c>
      <c r="AT66" s="267">
        <f t="shared" si="53"/>
        <v>549</v>
      </c>
      <c r="AU66" s="267">
        <f t="shared" si="53"/>
        <v>538</v>
      </c>
      <c r="AV66" s="267">
        <f t="shared" si="53"/>
        <v>530</v>
      </c>
      <c r="AW66" s="267">
        <f t="shared" si="53"/>
        <v>521</v>
      </c>
      <c r="AX66" s="267">
        <f t="shared" si="53"/>
        <v>514</v>
      </c>
      <c r="AY66" s="267">
        <f t="shared" si="25"/>
        <v>491</v>
      </c>
      <c r="AZ66" s="267">
        <f t="shared" si="26"/>
        <v>500</v>
      </c>
      <c r="BA66" s="267">
        <f t="shared" si="27"/>
        <v>506</v>
      </c>
      <c r="BB66" s="267">
        <f t="shared" si="28"/>
        <v>549</v>
      </c>
      <c r="BC66" s="267">
        <f t="shared" si="29"/>
        <v>538</v>
      </c>
      <c r="BD66" s="267">
        <f t="shared" si="30"/>
        <v>530</v>
      </c>
      <c r="BE66" s="267">
        <f t="shared" si="31"/>
        <v>521</v>
      </c>
      <c r="BF66" s="267">
        <f t="shared" si="32"/>
        <v>514</v>
      </c>
      <c r="BG66" s="269">
        <f>AY66*VLOOKUP($B66,'Major Cities &amp; Towns'!$A$28:$B$345,2,FALSE)</f>
        <v>491</v>
      </c>
      <c r="BH66" s="269">
        <f>AZ66*VLOOKUP($B66,'Major Cities &amp; Towns'!$A$28:$B$345,2,FALSE)</f>
        <v>500</v>
      </c>
      <c r="BI66" s="269">
        <f>BA66*VLOOKUP($B66,'Major Cities &amp; Towns'!$A$28:$B$345,2,FALSE)</f>
        <v>506</v>
      </c>
      <c r="BJ66" s="269">
        <f>BB66*VLOOKUP($B66,'Major Cities &amp; Towns'!$A$28:$B$345,2,FALSE)</f>
        <v>549</v>
      </c>
      <c r="BK66" s="269">
        <f>BC66*VLOOKUP($B66,'Major Cities &amp; Towns'!$A$28:$B$345,2,FALSE)</f>
        <v>538</v>
      </c>
      <c r="BL66" s="269">
        <f>BD66*VLOOKUP($B66,'Major Cities &amp; Towns'!$A$28:$B$345,2,FALSE)</f>
        <v>530</v>
      </c>
      <c r="BM66" s="269">
        <f>BE66*VLOOKUP($B66,'Major Cities &amp; Towns'!$A$28:$B$345,2,FALSE)</f>
        <v>521</v>
      </c>
      <c r="BN66" s="269">
        <f>BF66*VLOOKUP($B66,'Major Cities &amp; Towns'!$A$28:$B$345,2,FALSE)</f>
        <v>514</v>
      </c>
      <c r="BO66" s="270">
        <f t="shared" si="33"/>
        <v>460</v>
      </c>
      <c r="BP66" s="270">
        <f t="shared" si="50"/>
        <v>460</v>
      </c>
      <c r="BQ66" s="270">
        <f t="shared" si="50"/>
        <v>460</v>
      </c>
      <c r="BR66" s="270">
        <f t="shared" si="50"/>
        <v>523.64109589041095</v>
      </c>
      <c r="BS66" s="270">
        <f t="shared" si="49"/>
        <v>538</v>
      </c>
      <c r="BT66" s="270">
        <f t="shared" si="49"/>
        <v>530</v>
      </c>
      <c r="BU66" s="270">
        <f t="shared" si="49"/>
        <v>521</v>
      </c>
      <c r="BV66" s="270">
        <f t="shared" si="49"/>
        <v>514</v>
      </c>
      <c r="BW66" s="39">
        <f>VLOOKUP($A66,NetAdditions!$A$2:$H$336,6,FALSE)</f>
        <v>632</v>
      </c>
      <c r="BX66" s="39">
        <f>VLOOKUP($A66,NetAdditions!$A$2:$H$336,7,FALSE)</f>
        <v>371</v>
      </c>
      <c r="BY66" s="39">
        <f>IF((VLOOKUP($C66,NetAdditions!$A$2:$H$336,8,FALSE))="",(AVERAGE(VLOOKUP($C66,NetAdditions!$A$2:$H$336,5,FALSE),VLOOKUP($C66,NetAdditions!$A$2:$H$336,6,FALSE),VLOOKUP($C66,NetAdditions!$A$2:$H$336,7,FALSE))),VLOOKUP($C66,NetAdditions!$A$2:$H$336,8,FALSE))</f>
        <v>533.33333333333337</v>
      </c>
      <c r="BZ66" s="39">
        <f t="shared" si="35"/>
        <v>512.1111111111112</v>
      </c>
      <c r="CA66" s="39">
        <f t="shared" si="35"/>
        <v>472.14814814814821</v>
      </c>
      <c r="CB66" s="39">
        <f t="shared" si="35"/>
        <v>505.86419753086426</v>
      </c>
      <c r="CC66" s="39">
        <f t="shared" si="35"/>
        <v>496.70781893004119</v>
      </c>
      <c r="CD66" s="39">
        <f t="shared" si="35"/>
        <v>491.57338820301788</v>
      </c>
      <c r="CE66" s="276">
        <f t="shared" si="5"/>
        <v>1380</v>
      </c>
      <c r="CF66" s="276">
        <f t="shared" si="6"/>
        <v>1443.641095890411</v>
      </c>
      <c r="CG66" s="276">
        <f t="shared" si="7"/>
        <v>1521.641095890411</v>
      </c>
      <c r="CH66" s="276">
        <f t="shared" si="8"/>
        <v>1591.641095890411</v>
      </c>
      <c r="CI66" s="276">
        <f t="shared" si="9"/>
        <v>1589</v>
      </c>
      <c r="CJ66" s="276">
        <f t="shared" si="10"/>
        <v>1565</v>
      </c>
      <c r="CK66" s="276">
        <f t="shared" si="36"/>
        <v>1188.3333333333335</v>
      </c>
      <c r="CL66" s="276">
        <f t="shared" si="37"/>
        <v>1243.135388127854</v>
      </c>
      <c r="CM66" s="276">
        <f t="shared" si="38"/>
        <v>1394.8376712328766</v>
      </c>
      <c r="CN66" s="276">
        <f t="shared" si="39"/>
        <v>1591.641095890411</v>
      </c>
      <c r="CO66" s="276">
        <f t="shared" si="39"/>
        <v>1589</v>
      </c>
      <c r="CP66" s="276">
        <f t="shared" si="11"/>
        <v>1565</v>
      </c>
      <c r="CQ66" s="39">
        <f t="shared" si="12"/>
        <v>1536.3333333333335</v>
      </c>
      <c r="CR66" s="39">
        <f t="shared" si="13"/>
        <v>1416.4444444444446</v>
      </c>
      <c r="CS66" s="277">
        <f t="shared" si="14"/>
        <v>1517.5925925925928</v>
      </c>
      <c r="CT66" s="39">
        <f t="shared" si="15"/>
        <v>1490.1234567901236</v>
      </c>
      <c r="CU66" s="39">
        <f t="shared" si="16"/>
        <v>1474.7201646090537</v>
      </c>
      <c r="CV66" s="39">
        <f t="shared" si="17"/>
        <v>1494.1454046639233</v>
      </c>
      <c r="CW66" s="297">
        <f t="shared" si="18"/>
        <v>1.2928471248246844</v>
      </c>
      <c r="CX66" s="279" t="str">
        <f t="shared" si="40"/>
        <v>Pass</v>
      </c>
      <c r="CY66" s="278">
        <f t="shared" si="19"/>
        <v>1.1394128571768773</v>
      </c>
      <c r="CZ66" s="279" t="str">
        <f t="shared" si="41"/>
        <v>Pass</v>
      </c>
      <c r="DA66" s="278">
        <f t="shared" si="20"/>
        <v>1.0880066002599535</v>
      </c>
      <c r="DB66" s="292" t="str">
        <f t="shared" si="42"/>
        <v>Pass</v>
      </c>
      <c r="DC66" s="299">
        <f t="shared" si="43"/>
        <v>0.93621825965514205</v>
      </c>
      <c r="DD66" s="293" t="str">
        <f t="shared" si="44"/>
        <v>Action Plan</v>
      </c>
      <c r="DE66" s="299">
        <f t="shared" si="45"/>
        <v>0.92808065740028545</v>
      </c>
      <c r="DF66" s="293" t="str">
        <f t="shared" si="46"/>
        <v>Action Plan</v>
      </c>
      <c r="DG66" s="299">
        <f t="shared" si="47"/>
        <v>0.95472549818781038</v>
      </c>
      <c r="DH66" s="293" t="str">
        <f t="shared" si="48"/>
        <v>Pass</v>
      </c>
    </row>
    <row r="67" spans="1:112" ht="15" thickTop="1" thickBot="1">
      <c r="A67" s="38" t="s">
        <v>243</v>
      </c>
      <c r="B67" s="38" t="s">
        <v>244</v>
      </c>
      <c r="C67" s="38" t="s">
        <v>243</v>
      </c>
      <c r="D67" s="38" t="s">
        <v>147</v>
      </c>
      <c r="E67" s="38" t="str">
        <f>VLOOKUP(C67,PoliticalControl!A:K,11,FALSE)</f>
        <v>CON</v>
      </c>
      <c r="F67" s="38" t="str">
        <f>VLOOKUP(C67,UrbanRuralClassification!A:N,13,FALSE)</f>
        <v xml:space="preserve">Mainly Rural (rural including hub towns &gt;=80%) </v>
      </c>
      <c r="G67" s="38" t="str">
        <f>VLOOKUP(C67,UrbanRuralClassification!A:N,14,FALSE)</f>
        <v>Predominantly Rural</v>
      </c>
      <c r="H67" s="258">
        <f>IF(ISBLANK((VLOOKUP($A67,'local-plan-data'!$C$1:$AD$566,27,FALSE)))=TRUE,"",VLOOKUP($A67,'local-plan-data'!$C$1:$AD$566,27,FALSE))</f>
        <v>42696</v>
      </c>
      <c r="I67" s="259">
        <f>VLOOKUP($A67,'local-plan-data'!$C$1:$AD$566,28,FALSE)</f>
        <v>2625</v>
      </c>
      <c r="J67" s="260">
        <f t="shared" si="21"/>
        <v>2625</v>
      </c>
      <c r="K67" s="259">
        <f t="shared" si="51"/>
        <v>2625</v>
      </c>
      <c r="L67" s="259">
        <f t="shared" si="51"/>
        <v>2625</v>
      </c>
      <c r="M67" s="259">
        <f t="shared" si="51"/>
        <v>2625</v>
      </c>
      <c r="N67" s="259">
        <f t="shared" si="51"/>
        <v>2625</v>
      </c>
      <c r="O67" s="259" t="str">
        <f t="shared" si="51"/>
        <v>-</v>
      </c>
      <c r="P67" s="259" t="str">
        <f t="shared" si="51"/>
        <v>-</v>
      </c>
      <c r="Q67" s="259" t="str">
        <f t="shared" si="51"/>
        <v>-</v>
      </c>
      <c r="R67" s="259" t="str">
        <f t="shared" si="51"/>
        <v>-</v>
      </c>
      <c r="S67" s="259">
        <f t="shared" si="52"/>
        <v>1331</v>
      </c>
      <c r="T67" s="259">
        <f t="shared" si="52"/>
        <v>966</v>
      </c>
      <c r="U67" s="259">
        <f t="shared" si="52"/>
        <v>600</v>
      </c>
      <c r="V67" s="259">
        <f t="shared" si="52"/>
        <v>235</v>
      </c>
      <c r="W67" s="259">
        <f t="shared" si="52"/>
        <v>-130</v>
      </c>
      <c r="X67" s="259">
        <f t="shared" si="52"/>
        <v>-495</v>
      </c>
      <c r="Y67" s="259">
        <f t="shared" si="52"/>
        <v>-861</v>
      </c>
      <c r="Z67" s="259">
        <f t="shared" si="52"/>
        <v>-1226</v>
      </c>
      <c r="AA67" s="267">
        <f>(VLOOKUP(A67,Hshldprojections2014!$A$2:$AW$319,40, FALSE)-VLOOKUP(A67,Hshldprojections2014!$A$2:$AW$319,30, FALSE))/10</f>
        <v>2176.8000000000002</v>
      </c>
      <c r="AB67" s="267">
        <f>(VLOOKUP(A67,Hshldprojections2014!$A$2:$AW$319,41, FALSE)-VLOOKUP(A67,Hshldprojections2014!$A$2:$AW$319,31, FALSE))/10</f>
        <v>2161.5</v>
      </c>
      <c r="AC67" s="267">
        <f>(VLOOKUP(A67,Hshldprojections2014!$A$2:$AW$319,42, FALSE)-VLOOKUP(A67,Hshldprojections2014!$A$2:$AW$319,32, FALSE))/10</f>
        <v>2146.1999999999998</v>
      </c>
      <c r="AD67" s="267">
        <f>IF(IndividualLATest!$J$7=2014,(VLOOKUP($A67,Hshldprojections2014!$A$2:$AY$326,43,FALSE)-VLOOKUP($A67,Hshldprojections2014!$A$2:$AY$326,33,FALSE))/10,IF(IndividualLATest!$J$7=2016,(VLOOKUP($A67,Hshldprojections2016!$A$1:$AQ$322,33,FALSE)-VLOOKUP($A67,Hshldprojections2016!$A$1:$AQ$322,23,FALSE))/10,(VLOOKUP($A67,Hshldprojections2018!$A$1:$AQ$327,33,FALSE)-VLOOKUP($A67,Hshldprojections2018!$A$1:$AQ$327,23,FALSE))/10))</f>
        <v>2732</v>
      </c>
      <c r="AE67" s="267">
        <f>IF(IndividualLATest!$J$7=2014,(VLOOKUP($A67,Hshldprojections2014!$A$2:$AY$326,44,FALSE)-VLOOKUP($A67,Hshldprojections2014!$A$2:$AY$326,34,FALSE))/10,IF(IndividualLATest!$J$7=2016,(VLOOKUP($A67,Hshldprojections2016!$A$1:$AQ$322,34,FALSE)-VLOOKUP($A67,Hshldprojections2016!$A$1:$AQ$322,24,FALSE))/10,(VLOOKUP($A67,Hshldprojections2018!$A$1:$AQ$327,34,FALSE)-VLOOKUP($A67,Hshldprojections2018!$A$1:$AQ$327,24,FALSE))/10))</f>
        <v>2671.5</v>
      </c>
      <c r="AF67" s="267">
        <f>IF(IndividualLATest!$J$7=2014,(VLOOKUP($A67,Hshldprojections2014!$A$2:$AY$326,45,FALSE)-VLOOKUP($A67,Hshldprojections2014!$A$2:$AY$326,35,FALSE))/10,IF(IndividualLATest!$J$7=2016,(VLOOKUP($A67,Hshldprojections2016!$A$1:$AQ$322,35,FALSE)-VLOOKUP($A67,Hshldprojections2016!$A$1:$AQ$322,25,FALSE))/10,(VLOOKUP($A67,Hshldprojections2018!$A$1:$AQ$327,35,FALSE)-VLOOKUP($A67,Hshldprojections2018!$A$1:$AQ$327,25,FALSE))/10))</f>
        <v>2614.6999999999998</v>
      </c>
      <c r="AG67" s="267">
        <f>IF(IndividualLATest!$J$7=2014,(VLOOKUP($A67,Hshldprojections2014!$A$2:$AY$326,46,FALSE)-VLOOKUP($A67,Hshldprojections2014!$A$2:$AY$326,36,FALSE))/10,IF(IndividualLATest!$J$7=2016,(VLOOKUP($A67,Hshldprojections2016!$A$1:$AQ$322,36,FALSE)-VLOOKUP($A67,Hshldprojections2016!$A$1:$AQ$322,26,FALSE))/10,(VLOOKUP($A67,Hshldprojections2018!$A$1:$AQ$327,36,FALSE)-VLOOKUP($A67,Hshldprojections2018!$A$1:$AQ$327,26,FALSE))/10))</f>
        <v>2552.1</v>
      </c>
      <c r="AH67" s="267">
        <f>IF(IndividualLATest!$J$7=2014,(VLOOKUP($A67,Hshldprojections2014!$A$2:$AY$326,47,FALSE)-VLOOKUP($A67,Hshldprojections2014!$A$2:$AY$326,37,FALSE))/10,IF(IndividualLATest!$J$7=2016,(VLOOKUP($A67,Hshldprojections2016!$A$1:$AQ$322,37,FALSE)-VLOOKUP($A67,Hshldprojections2016!$A$1:$AQ$322,27,FALSE))/10,(VLOOKUP($A67,Hshldprojections2018!$A$1:$AQ$327,37,FALSE)-VLOOKUP($A67,Hshldprojections2018!$A$1:$AQ$327,27,FALSE))/10))</f>
        <v>2490.5</v>
      </c>
      <c r="AI67" s="268">
        <f>IF(ISNUMBER('Sensitivity Tests'!$C$30),'Sensitivity Tests'!$C$30,VLOOKUP($A67,AffordabilityRatio!$A$2:$I$321,5,FALSE))</f>
        <v>8.9600000000000009</v>
      </c>
      <c r="AJ67" s="268">
        <f>IF(ISNUMBER('Sensitivity Tests'!$C$30),'Sensitivity Tests'!$C$30,VLOOKUP($A67,AffordabilityRatio!$A$2:$I$321,6,FALSE))</f>
        <v>9.3000000000000007</v>
      </c>
      <c r="AK67" s="268">
        <f>IF(ISNUMBER('Sensitivity Tests'!$C$30),'Sensitivity Tests'!$C$30,VLOOKUP($A67,AffordabilityRatio!$A$2:$I$321,7,FALSE))</f>
        <v>9.0500000000000007</v>
      </c>
      <c r="AL67" s="268">
        <f>IF(ISNUMBER('Sensitivity Tests'!$C$30),'Sensitivity Tests'!$C$30,IF((VLOOKUP($A67,AffordabilityRatio!$A$2:$I$321,8,FALSE))="",AK67,VLOOKUP($A67,AffordabilityRatio!$A$2:$I$321,8,FALSE)))</f>
        <v>9.31</v>
      </c>
      <c r="AM67" s="268">
        <f>IF(ISNUMBER('Sensitivity Tests'!$C$30),'Sensitivity Tests'!$C$30,IF((VLOOKUP($A67,AffordabilityRatio!$A$2:$I$321,9,FALSE))="",AL67,VLOOKUP($A67,AffordabilityRatio!$A$2:$I$321,9,FALSE)))</f>
        <v>10.99</v>
      </c>
      <c r="AN67" s="268">
        <f>IF(ISNUMBER('Sensitivity Tests'!$C$30),'Sensitivity Tests'!$C$30,IF((VLOOKUP($A67,AffordabilityRatio!$A$2:$I$321,9,FALSE))="",AM67,VLOOKUP($A67,AffordabilityRatio!$A$2:$I$321,9,FALSE)))</f>
        <v>10.99</v>
      </c>
      <c r="AO67" s="268">
        <f>IF(ISNUMBER('Sensitivity Tests'!$C$30),'Sensitivity Tests'!$C$30,IF((VLOOKUP($A67,AffordabilityRatio!$A$2:$I$321,9,FALSE))="",AN67,VLOOKUP($A67,AffordabilityRatio!$A$2:$I$321,9,FALSE)))</f>
        <v>10.99</v>
      </c>
      <c r="AP67" s="268">
        <f>IF(ISNUMBER('Sensitivity Tests'!$C$30),'Sensitivity Tests'!$C$30,IF((VLOOKUP($A67,AffordabilityRatio!$A$2:$I$321,9,FALSE))="",AO67,VLOOKUP($A67,AffordabilityRatio!$A$2:$I$321,9,FALSE)))</f>
        <v>10.99</v>
      </c>
      <c r="AQ67" s="267">
        <f t="shared" si="53"/>
        <v>2852</v>
      </c>
      <c r="AR67" s="267">
        <f t="shared" si="53"/>
        <v>2877</v>
      </c>
      <c r="AS67" s="267">
        <f t="shared" si="53"/>
        <v>2824</v>
      </c>
      <c r="AT67" s="267">
        <f t="shared" si="53"/>
        <v>3639</v>
      </c>
      <c r="AU67" s="267">
        <f t="shared" si="53"/>
        <v>3839</v>
      </c>
      <c r="AV67" s="267">
        <f t="shared" si="53"/>
        <v>3757</v>
      </c>
      <c r="AW67" s="267">
        <f t="shared" si="53"/>
        <v>3667</v>
      </c>
      <c r="AX67" s="267">
        <f t="shared" si="53"/>
        <v>3579</v>
      </c>
      <c r="AY67" s="267">
        <f t="shared" si="25"/>
        <v>2852</v>
      </c>
      <c r="AZ67" s="267">
        <f t="shared" si="26"/>
        <v>2877</v>
      </c>
      <c r="BA67" s="267">
        <f t="shared" si="27"/>
        <v>2824</v>
      </c>
      <c r="BB67" s="267">
        <f t="shared" si="28"/>
        <v>3639</v>
      </c>
      <c r="BC67" s="267">
        <f t="shared" si="29"/>
        <v>3740.1000000000004</v>
      </c>
      <c r="BD67" s="267">
        <f t="shared" si="30"/>
        <v>3675</v>
      </c>
      <c r="BE67" s="267">
        <f t="shared" si="31"/>
        <v>3667</v>
      </c>
      <c r="BF67" s="267">
        <f t="shared" si="32"/>
        <v>3579</v>
      </c>
      <c r="BG67" s="269">
        <f>AY67*VLOOKUP($B67,'Major Cities &amp; Towns'!$A$28:$B$345,2,FALSE)</f>
        <v>2852</v>
      </c>
      <c r="BH67" s="269">
        <f>AZ67*VLOOKUP($B67,'Major Cities &amp; Towns'!$A$28:$B$345,2,FALSE)</f>
        <v>2877</v>
      </c>
      <c r="BI67" s="269">
        <f>BA67*VLOOKUP($B67,'Major Cities &amp; Towns'!$A$28:$B$345,2,FALSE)</f>
        <v>2824</v>
      </c>
      <c r="BJ67" s="269">
        <f>BB67*VLOOKUP($B67,'Major Cities &amp; Towns'!$A$28:$B$345,2,FALSE)</f>
        <v>3639</v>
      </c>
      <c r="BK67" s="269">
        <f>BC67*VLOOKUP($B67,'Major Cities &amp; Towns'!$A$28:$B$345,2,FALSE)</f>
        <v>3740.1000000000004</v>
      </c>
      <c r="BL67" s="269">
        <f>BD67*VLOOKUP($B67,'Major Cities &amp; Towns'!$A$28:$B$345,2,FALSE)</f>
        <v>3675</v>
      </c>
      <c r="BM67" s="269">
        <f>BE67*VLOOKUP($B67,'Major Cities &amp; Towns'!$A$28:$B$345,2,FALSE)</f>
        <v>3667</v>
      </c>
      <c r="BN67" s="269">
        <f>BF67*VLOOKUP($B67,'Major Cities &amp; Towns'!$A$28:$B$345,2,FALSE)</f>
        <v>3579</v>
      </c>
      <c r="BO67" s="270">
        <f t="shared" si="33"/>
        <v>2625</v>
      </c>
      <c r="BP67" s="270">
        <f t="shared" si="50"/>
        <v>2625</v>
      </c>
      <c r="BQ67" s="270">
        <f t="shared" si="50"/>
        <v>2625</v>
      </c>
      <c r="BR67" s="270">
        <f t="shared" si="50"/>
        <v>2986.1506849315069</v>
      </c>
      <c r="BS67" s="270">
        <f t="shared" si="49"/>
        <v>3839</v>
      </c>
      <c r="BT67" s="270">
        <f t="shared" si="49"/>
        <v>3757</v>
      </c>
      <c r="BU67" s="270">
        <f t="shared" si="49"/>
        <v>3667</v>
      </c>
      <c r="BV67" s="270">
        <f t="shared" si="49"/>
        <v>3579</v>
      </c>
      <c r="BW67" s="39">
        <f>VLOOKUP($A67,NetAdditions!$A$2:$H$336,6,FALSE)</f>
        <v>3109</v>
      </c>
      <c r="BX67" s="39">
        <f>VLOOKUP($A67,NetAdditions!$A$2:$H$336,7,FALSE)</f>
        <v>3037</v>
      </c>
      <c r="BY67" s="39">
        <f>IF((VLOOKUP($C67,NetAdditions!$A$2:$H$336,8,FALSE))="",(AVERAGE(VLOOKUP($C67,NetAdditions!$A$2:$H$336,5,FALSE),VLOOKUP($C67,NetAdditions!$A$2:$H$336,6,FALSE),VLOOKUP($C67,NetAdditions!$A$2:$H$336,7,FALSE))),VLOOKUP($C67,NetAdditions!$A$2:$H$336,8,FALSE))</f>
        <v>2664</v>
      </c>
      <c r="BZ67" s="39">
        <f t="shared" si="35"/>
        <v>2936.6666666666665</v>
      </c>
      <c r="CA67" s="39">
        <f t="shared" si="35"/>
        <v>2879.2222222222222</v>
      </c>
      <c r="CB67" s="39">
        <f t="shared" si="35"/>
        <v>2826.6296296296296</v>
      </c>
      <c r="CC67" s="39">
        <f t="shared" si="35"/>
        <v>2880.8395061728393</v>
      </c>
      <c r="CD67" s="39">
        <f t="shared" si="35"/>
        <v>2862.2304526748972</v>
      </c>
      <c r="CE67" s="276">
        <f t="shared" si="5"/>
        <v>7875</v>
      </c>
      <c r="CF67" s="276">
        <f t="shared" si="6"/>
        <v>8236.1506849315065</v>
      </c>
      <c r="CG67" s="276">
        <f t="shared" si="7"/>
        <v>9450.1506849315065</v>
      </c>
      <c r="CH67" s="276">
        <f t="shared" si="8"/>
        <v>10582.150684931506</v>
      </c>
      <c r="CI67" s="276">
        <f t="shared" si="9"/>
        <v>11263</v>
      </c>
      <c r="CJ67" s="276">
        <f t="shared" si="10"/>
        <v>11003</v>
      </c>
      <c r="CK67" s="276">
        <f t="shared" si="36"/>
        <v>6781.25</v>
      </c>
      <c r="CL67" s="276">
        <f t="shared" si="37"/>
        <v>7092.2408675799088</v>
      </c>
      <c r="CM67" s="276">
        <f t="shared" si="38"/>
        <v>8662.6381278538811</v>
      </c>
      <c r="CN67" s="276">
        <f t="shared" si="39"/>
        <v>10582.150684931506</v>
      </c>
      <c r="CO67" s="276">
        <f t="shared" si="39"/>
        <v>11263</v>
      </c>
      <c r="CP67" s="276">
        <f t="shared" si="11"/>
        <v>11003</v>
      </c>
      <c r="CQ67" s="39">
        <f t="shared" si="12"/>
        <v>8810</v>
      </c>
      <c r="CR67" s="39">
        <f t="shared" si="13"/>
        <v>8637.6666666666661</v>
      </c>
      <c r="CS67" s="277">
        <f t="shared" si="14"/>
        <v>8479.8888888888887</v>
      </c>
      <c r="CT67" s="39">
        <f t="shared" si="15"/>
        <v>8642.5185185185182</v>
      </c>
      <c r="CU67" s="39">
        <f t="shared" si="16"/>
        <v>8586.691358024691</v>
      </c>
      <c r="CV67" s="39">
        <f t="shared" si="17"/>
        <v>8569.699588477366</v>
      </c>
      <c r="CW67" s="297">
        <f t="shared" si="18"/>
        <v>1.2991705069124424</v>
      </c>
      <c r="CX67" s="279" t="str">
        <f t="shared" si="40"/>
        <v>Pass</v>
      </c>
      <c r="CY67" s="278">
        <f t="shared" si="19"/>
        <v>1.2179037384575044</v>
      </c>
      <c r="CZ67" s="279" t="str">
        <f t="shared" si="41"/>
        <v>Pass</v>
      </c>
      <c r="DA67" s="278">
        <f t="shared" si="20"/>
        <v>0.97890374314755457</v>
      </c>
      <c r="DB67" s="292" t="str">
        <f t="shared" si="42"/>
        <v>Pass</v>
      </c>
      <c r="DC67" s="299">
        <f t="shared" si="43"/>
        <v>0.81670718702059919</v>
      </c>
      <c r="DD67" s="293" t="str">
        <f t="shared" si="44"/>
        <v>Buffer and Action Plan</v>
      </c>
      <c r="DE67" s="299">
        <f t="shared" si="45"/>
        <v>0.76238048104631906</v>
      </c>
      <c r="DF67" s="293" t="str">
        <f t="shared" si="46"/>
        <v>Buffer and Action Plan</v>
      </c>
      <c r="DG67" s="299">
        <f t="shared" si="47"/>
        <v>0.77885118499294426</v>
      </c>
      <c r="DH67" s="293" t="str">
        <f t="shared" si="48"/>
        <v>Buffer and Action Plan</v>
      </c>
    </row>
    <row r="68" spans="1:112" ht="15" thickTop="1" thickBot="1">
      <c r="A68" s="38" t="s">
        <v>245</v>
      </c>
      <c r="B68" s="38" t="s">
        <v>246</v>
      </c>
      <c r="C68" s="38" t="s">
        <v>245</v>
      </c>
      <c r="D68" s="38" t="s">
        <v>147</v>
      </c>
      <c r="E68" s="38" t="str">
        <f>VLOOKUP(C68,PoliticalControl!A:K,11,FALSE)</f>
        <v>LD</v>
      </c>
      <c r="F68" s="38" t="str">
        <f>VLOOKUP(C68,UrbanRuralClassification!A:N,13,FALSE)</f>
        <v xml:space="preserve">Mainly Rural (rural including hub towns &gt;=80%) </v>
      </c>
      <c r="G68" s="38" t="str">
        <f>VLOOKUP(C68,UrbanRuralClassification!A:N,14,FALSE)</f>
        <v>Predominantly Rural</v>
      </c>
      <c r="H68" s="258">
        <f>IF(ISBLANK((VLOOKUP($A68,'local-plan-data'!$C$1:$AD$566,27,FALSE)))=TRUE,"",VLOOKUP($A68,'local-plan-data'!$C$1:$AD$566,27,FALSE))</f>
        <v>43315</v>
      </c>
      <c r="I68" s="259">
        <f>VLOOKUP($A68,'local-plan-data'!$C$1:$AD$566,28,FALSE)</f>
        <v>420</v>
      </c>
      <c r="J68" s="260">
        <f t="shared" si="21"/>
        <v>420</v>
      </c>
      <c r="K68" s="259">
        <f t="shared" si="51"/>
        <v>420</v>
      </c>
      <c r="L68" s="259">
        <f t="shared" si="51"/>
        <v>420</v>
      </c>
      <c r="M68" s="259">
        <f t="shared" si="51"/>
        <v>420</v>
      </c>
      <c r="N68" s="259">
        <f t="shared" si="51"/>
        <v>420</v>
      </c>
      <c r="O68" s="259">
        <f t="shared" si="51"/>
        <v>420</v>
      </c>
      <c r="P68" s="259">
        <f t="shared" si="51"/>
        <v>420</v>
      </c>
      <c r="Q68" s="259" t="str">
        <f t="shared" si="51"/>
        <v>-</v>
      </c>
      <c r="R68" s="259" t="str">
        <f t="shared" si="51"/>
        <v>-</v>
      </c>
      <c r="S68" s="259">
        <f t="shared" si="52"/>
        <v>1950</v>
      </c>
      <c r="T68" s="259">
        <f t="shared" si="52"/>
        <v>1585</v>
      </c>
      <c r="U68" s="259">
        <f t="shared" si="52"/>
        <v>1219</v>
      </c>
      <c r="V68" s="259">
        <f t="shared" si="52"/>
        <v>854</v>
      </c>
      <c r="W68" s="259">
        <f t="shared" si="52"/>
        <v>489</v>
      </c>
      <c r="X68" s="259">
        <f t="shared" si="52"/>
        <v>124</v>
      </c>
      <c r="Y68" s="259">
        <f t="shared" si="52"/>
        <v>-242</v>
      </c>
      <c r="Z68" s="259">
        <f t="shared" si="52"/>
        <v>-607</v>
      </c>
      <c r="AA68" s="267">
        <f>(VLOOKUP(A68,Hshldprojections2014!$A$2:$AW$319,40, FALSE)-VLOOKUP(A68,Hshldprojections2014!$A$2:$AW$319,30, FALSE))/10</f>
        <v>304.8</v>
      </c>
      <c r="AB68" s="267">
        <f>(VLOOKUP(A68,Hshldprojections2014!$A$2:$AW$319,41, FALSE)-VLOOKUP(A68,Hshldprojections2014!$A$2:$AW$319,31, FALSE))/10</f>
        <v>305.60000000000002</v>
      </c>
      <c r="AC68" s="267">
        <f>(VLOOKUP(A68,Hshldprojections2014!$A$2:$AW$319,42, FALSE)-VLOOKUP(A68,Hshldprojections2014!$A$2:$AW$319,32, FALSE))/10</f>
        <v>305.8</v>
      </c>
      <c r="AD68" s="267">
        <f>IF(IndividualLATest!$J$7=2014,(VLOOKUP($A68,Hshldprojections2014!$A$2:$AY$326,43,FALSE)-VLOOKUP($A68,Hshldprojections2014!$A$2:$AY$326,33,FALSE))/10,IF(IndividualLATest!$J$7=2016,(VLOOKUP($A68,Hshldprojections2016!$A$1:$AQ$322,33,FALSE)-VLOOKUP($A68,Hshldprojections2016!$A$1:$AQ$322,23,FALSE))/10,(VLOOKUP($A68,Hshldprojections2018!$A$1:$AQ$327,33,FALSE)-VLOOKUP($A68,Hshldprojections2018!$A$1:$AQ$327,23,FALSE))/10))</f>
        <v>585.9</v>
      </c>
      <c r="AE68" s="267">
        <f>IF(IndividualLATest!$J$7=2014,(VLOOKUP($A68,Hshldprojections2014!$A$2:$AY$326,44,FALSE)-VLOOKUP($A68,Hshldprojections2014!$A$2:$AY$326,34,FALSE))/10,IF(IndividualLATest!$J$7=2016,(VLOOKUP($A68,Hshldprojections2016!$A$1:$AQ$322,34,FALSE)-VLOOKUP($A68,Hshldprojections2016!$A$1:$AQ$322,24,FALSE))/10,(VLOOKUP($A68,Hshldprojections2018!$A$1:$AQ$327,34,FALSE)-VLOOKUP($A68,Hshldprojections2018!$A$1:$AQ$327,24,FALSE))/10))</f>
        <v>573.6</v>
      </c>
      <c r="AF68" s="267">
        <f>IF(IndividualLATest!$J$7=2014,(VLOOKUP($A68,Hshldprojections2014!$A$2:$AY$326,45,FALSE)-VLOOKUP($A68,Hshldprojections2014!$A$2:$AY$326,35,FALSE))/10,IF(IndividualLATest!$J$7=2016,(VLOOKUP($A68,Hshldprojections2016!$A$1:$AQ$322,35,FALSE)-VLOOKUP($A68,Hshldprojections2016!$A$1:$AQ$322,25,FALSE))/10,(VLOOKUP($A68,Hshldprojections2018!$A$1:$AQ$327,35,FALSE)-VLOOKUP($A68,Hshldprojections2018!$A$1:$AQ$327,25,FALSE))/10))</f>
        <v>557.6</v>
      </c>
      <c r="AG68" s="267">
        <f>IF(IndividualLATest!$J$7=2014,(VLOOKUP($A68,Hshldprojections2014!$A$2:$AY$326,46,FALSE)-VLOOKUP($A68,Hshldprojections2014!$A$2:$AY$326,36,FALSE))/10,IF(IndividualLATest!$J$7=2016,(VLOOKUP($A68,Hshldprojections2016!$A$1:$AQ$322,36,FALSE)-VLOOKUP($A68,Hshldprojections2016!$A$1:$AQ$322,26,FALSE))/10,(VLOOKUP($A68,Hshldprojections2018!$A$1:$AQ$327,36,FALSE)-VLOOKUP($A68,Hshldprojections2018!$A$1:$AQ$327,26,FALSE))/10))</f>
        <v>540.6</v>
      </c>
      <c r="AH68" s="267">
        <f>IF(IndividualLATest!$J$7=2014,(VLOOKUP($A68,Hshldprojections2014!$A$2:$AY$326,47,FALSE)-VLOOKUP($A68,Hshldprojections2014!$A$2:$AY$326,37,FALSE))/10,IF(IndividualLATest!$J$7=2016,(VLOOKUP($A68,Hshldprojections2016!$A$1:$AQ$322,37,FALSE)-VLOOKUP($A68,Hshldprojections2016!$A$1:$AQ$322,27,FALSE))/10,(VLOOKUP($A68,Hshldprojections2018!$A$1:$AQ$327,37,FALSE)-VLOOKUP($A68,Hshldprojections2018!$A$1:$AQ$327,27,FALSE))/10))</f>
        <v>525.5</v>
      </c>
      <c r="AI68" s="268">
        <f>IF(ISNUMBER('Sensitivity Tests'!$C$30),'Sensitivity Tests'!$C$30,VLOOKUP($A68,AffordabilityRatio!$A$2:$I$321,5,FALSE))</f>
        <v>14</v>
      </c>
      <c r="AJ68" s="268">
        <f>IF(ISNUMBER('Sensitivity Tests'!$C$30),'Sensitivity Tests'!$C$30,VLOOKUP($A68,AffordabilityRatio!$A$2:$I$321,6,FALSE))</f>
        <v>13.34</v>
      </c>
      <c r="AK68" s="268">
        <f>IF(ISNUMBER('Sensitivity Tests'!$C$30),'Sensitivity Tests'!$C$30,VLOOKUP($A68,AffordabilityRatio!$A$2:$I$321,7,FALSE))</f>
        <v>13.38</v>
      </c>
      <c r="AL68" s="268">
        <f>IF(ISNUMBER('Sensitivity Tests'!$C$30),'Sensitivity Tests'!$C$30,IF((VLOOKUP($A68,AffordabilityRatio!$A$2:$I$321,8,FALSE))="",AK68,VLOOKUP($A68,AffordabilityRatio!$A$2:$I$321,8,FALSE)))</f>
        <v>14.01</v>
      </c>
      <c r="AM68" s="268">
        <f>IF(ISNUMBER('Sensitivity Tests'!$C$30),'Sensitivity Tests'!$C$30,IF((VLOOKUP($A68,AffordabilityRatio!$A$2:$I$321,9,FALSE))="",AL68,VLOOKUP($A68,AffordabilityRatio!$A$2:$I$321,9,FALSE)))</f>
        <v>15.75</v>
      </c>
      <c r="AN68" s="268">
        <f>IF(ISNUMBER('Sensitivity Tests'!$C$30),'Sensitivity Tests'!$C$30,IF((VLOOKUP($A68,AffordabilityRatio!$A$2:$I$321,9,FALSE))="",AM68,VLOOKUP($A68,AffordabilityRatio!$A$2:$I$321,9,FALSE)))</f>
        <v>15.75</v>
      </c>
      <c r="AO68" s="268">
        <f>IF(ISNUMBER('Sensitivity Tests'!$C$30),'Sensitivity Tests'!$C$30,IF((VLOOKUP($A68,AffordabilityRatio!$A$2:$I$321,9,FALSE))="",AN68,VLOOKUP($A68,AffordabilityRatio!$A$2:$I$321,9,FALSE)))</f>
        <v>15.75</v>
      </c>
      <c r="AP68" s="268">
        <f>IF(ISNUMBER('Sensitivity Tests'!$C$30),'Sensitivity Tests'!$C$30,IF((VLOOKUP($A68,AffordabilityRatio!$A$2:$I$321,9,FALSE))="",AO68,VLOOKUP($A68,AffordabilityRatio!$A$2:$I$321,9,FALSE)))</f>
        <v>15.75</v>
      </c>
      <c r="AQ68" s="267">
        <f t="shared" si="53"/>
        <v>495</v>
      </c>
      <c r="AR68" s="267">
        <f t="shared" si="53"/>
        <v>484</v>
      </c>
      <c r="AS68" s="267">
        <f t="shared" si="53"/>
        <v>485</v>
      </c>
      <c r="AT68" s="267">
        <f t="shared" si="53"/>
        <v>952</v>
      </c>
      <c r="AU68" s="267">
        <f t="shared" si="53"/>
        <v>995</v>
      </c>
      <c r="AV68" s="267">
        <f t="shared" si="53"/>
        <v>967</v>
      </c>
      <c r="AW68" s="267">
        <f t="shared" si="53"/>
        <v>938</v>
      </c>
      <c r="AX68" s="267">
        <f t="shared" si="53"/>
        <v>911</v>
      </c>
      <c r="AY68" s="267">
        <f t="shared" si="25"/>
        <v>495</v>
      </c>
      <c r="AZ68" s="267">
        <f t="shared" si="26"/>
        <v>484</v>
      </c>
      <c r="BA68" s="267">
        <f t="shared" si="27"/>
        <v>485</v>
      </c>
      <c r="BB68" s="267">
        <f t="shared" si="28"/>
        <v>588</v>
      </c>
      <c r="BC68" s="267">
        <f t="shared" si="29"/>
        <v>588</v>
      </c>
      <c r="BD68" s="267">
        <f t="shared" si="30"/>
        <v>588</v>
      </c>
      <c r="BE68" s="267">
        <f t="shared" si="31"/>
        <v>756.84</v>
      </c>
      <c r="BF68" s="267">
        <f t="shared" si="32"/>
        <v>735.7</v>
      </c>
      <c r="BG68" s="269">
        <f>AY68*VLOOKUP($B68,'Major Cities &amp; Towns'!$A$28:$B$345,2,FALSE)</f>
        <v>495</v>
      </c>
      <c r="BH68" s="269">
        <f>AZ68*VLOOKUP($B68,'Major Cities &amp; Towns'!$A$28:$B$345,2,FALSE)</f>
        <v>484</v>
      </c>
      <c r="BI68" s="269">
        <f>BA68*VLOOKUP($B68,'Major Cities &amp; Towns'!$A$28:$B$345,2,FALSE)</f>
        <v>485</v>
      </c>
      <c r="BJ68" s="269">
        <f>BB68*VLOOKUP($B68,'Major Cities &amp; Towns'!$A$28:$B$345,2,FALSE)</f>
        <v>588</v>
      </c>
      <c r="BK68" s="269">
        <f>BC68*VLOOKUP($B68,'Major Cities &amp; Towns'!$A$28:$B$345,2,FALSE)</f>
        <v>588</v>
      </c>
      <c r="BL68" s="269">
        <f>BD68*VLOOKUP($B68,'Major Cities &amp; Towns'!$A$28:$B$345,2,FALSE)</f>
        <v>588</v>
      </c>
      <c r="BM68" s="269">
        <f>BE68*VLOOKUP($B68,'Major Cities &amp; Towns'!$A$28:$B$345,2,FALSE)</f>
        <v>756.84</v>
      </c>
      <c r="BN68" s="269">
        <f>BF68*VLOOKUP($B68,'Major Cities &amp; Towns'!$A$28:$B$345,2,FALSE)</f>
        <v>735.7</v>
      </c>
      <c r="BO68" s="270">
        <f t="shared" si="33"/>
        <v>420</v>
      </c>
      <c r="BP68" s="270">
        <f t="shared" si="50"/>
        <v>420</v>
      </c>
      <c r="BQ68" s="270">
        <f t="shared" si="50"/>
        <v>420</v>
      </c>
      <c r="BR68" s="270">
        <f t="shared" si="50"/>
        <v>420</v>
      </c>
      <c r="BS68" s="270">
        <f t="shared" si="49"/>
        <v>420</v>
      </c>
      <c r="BT68" s="270">
        <f t="shared" si="49"/>
        <v>781.16986301369866</v>
      </c>
      <c r="BU68" s="270">
        <f t="shared" si="49"/>
        <v>938</v>
      </c>
      <c r="BV68" s="270">
        <f t="shared" si="49"/>
        <v>911</v>
      </c>
      <c r="BW68" s="39">
        <f>VLOOKUP($A68,NetAdditions!$A$2:$H$336,6,FALSE)</f>
        <v>806</v>
      </c>
      <c r="BX68" s="39">
        <f>VLOOKUP($A68,NetAdditions!$A$2:$H$336,7,FALSE)</f>
        <v>312</v>
      </c>
      <c r="BY68" s="39">
        <f>IF((VLOOKUP($C68,NetAdditions!$A$2:$H$336,8,FALSE))="",(AVERAGE(VLOOKUP($C68,NetAdditions!$A$2:$H$336,5,FALSE),VLOOKUP($C68,NetAdditions!$A$2:$H$336,6,FALSE),VLOOKUP($C68,NetAdditions!$A$2:$H$336,7,FALSE))),VLOOKUP($C68,NetAdditions!$A$2:$H$336,8,FALSE))</f>
        <v>378</v>
      </c>
      <c r="BZ68" s="39">
        <f t="shared" si="35"/>
        <v>498.66666666666669</v>
      </c>
      <c r="CA68" s="39">
        <f t="shared" si="35"/>
        <v>396.22222222222223</v>
      </c>
      <c r="CB68" s="39">
        <f t="shared" si="35"/>
        <v>424.2962962962963</v>
      </c>
      <c r="CC68" s="39">
        <f t="shared" si="35"/>
        <v>439.72839506172841</v>
      </c>
      <c r="CD68" s="39">
        <f t="shared" si="35"/>
        <v>420.08230452674894</v>
      </c>
      <c r="CE68" s="276">
        <f t="shared" si="5"/>
        <v>1260</v>
      </c>
      <c r="CF68" s="276">
        <f t="shared" si="6"/>
        <v>1260</v>
      </c>
      <c r="CG68" s="276">
        <f t="shared" si="7"/>
        <v>1260</v>
      </c>
      <c r="CH68" s="276">
        <f t="shared" si="8"/>
        <v>1621.1698630136987</v>
      </c>
      <c r="CI68" s="276">
        <f t="shared" si="9"/>
        <v>2139.1698630136989</v>
      </c>
      <c r="CJ68" s="276">
        <f t="shared" si="10"/>
        <v>2630.1698630136989</v>
      </c>
      <c r="CK68" s="276">
        <f t="shared" si="36"/>
        <v>1085</v>
      </c>
      <c r="CL68" s="276">
        <f t="shared" si="37"/>
        <v>1085</v>
      </c>
      <c r="CM68" s="276">
        <f t="shared" si="38"/>
        <v>1155</v>
      </c>
      <c r="CN68" s="276">
        <f t="shared" si="39"/>
        <v>1621.1698630136987</v>
      </c>
      <c r="CO68" s="276">
        <f t="shared" si="39"/>
        <v>2139.1698630136989</v>
      </c>
      <c r="CP68" s="276">
        <f t="shared" si="11"/>
        <v>2630.1698630136989</v>
      </c>
      <c r="CQ68" s="39">
        <f t="shared" si="12"/>
        <v>1496</v>
      </c>
      <c r="CR68" s="39">
        <f t="shared" si="13"/>
        <v>1188.6666666666667</v>
      </c>
      <c r="CS68" s="277">
        <f t="shared" si="14"/>
        <v>1272.8888888888889</v>
      </c>
      <c r="CT68" s="39">
        <f t="shared" si="15"/>
        <v>1319.1851851851852</v>
      </c>
      <c r="CU68" s="39">
        <f t="shared" si="16"/>
        <v>1260.2469135802469</v>
      </c>
      <c r="CV68" s="39">
        <f t="shared" si="17"/>
        <v>1284.1069958847736</v>
      </c>
      <c r="CW68" s="297">
        <f t="shared" si="18"/>
        <v>1.3788018433179723</v>
      </c>
      <c r="CX68" s="279" t="str">
        <f t="shared" si="40"/>
        <v>Pass</v>
      </c>
      <c r="CY68" s="278">
        <f t="shared" si="19"/>
        <v>1.0955453149001537</v>
      </c>
      <c r="CZ68" s="279" t="str">
        <f t="shared" si="41"/>
        <v>Pass</v>
      </c>
      <c r="DA68" s="278">
        <f t="shared" si="20"/>
        <v>1.1020683020683022</v>
      </c>
      <c r="DB68" s="292" t="str">
        <f t="shared" si="42"/>
        <v>Pass</v>
      </c>
      <c r="DC68" s="299">
        <f t="shared" si="43"/>
        <v>0.81372422179922932</v>
      </c>
      <c r="DD68" s="293" t="str">
        <f t="shared" si="44"/>
        <v>Buffer and Action Plan</v>
      </c>
      <c r="DE68" s="299">
        <f t="shared" si="45"/>
        <v>0.58912895856002268</v>
      </c>
      <c r="DF68" s="293" t="str">
        <f t="shared" si="46"/>
        <v>Presumption</v>
      </c>
      <c r="DG68" s="299">
        <f t="shared" si="47"/>
        <v>0.48822207795104888</v>
      </c>
      <c r="DH68" s="293" t="str">
        <f t="shared" si="48"/>
        <v>Presumption</v>
      </c>
    </row>
    <row r="69" spans="1:112" ht="15" thickTop="1" thickBot="1">
      <c r="A69" s="38" t="s">
        <v>247</v>
      </c>
      <c r="B69" s="38" t="s">
        <v>248</v>
      </c>
      <c r="C69" s="38" t="s">
        <v>247</v>
      </c>
      <c r="D69" s="38" t="s">
        <v>154</v>
      </c>
      <c r="E69" s="38" t="str">
        <f>VLOOKUP(C69,PoliticalControl!A:K,11,FALSE)</f>
        <v>LAB</v>
      </c>
      <c r="F69" s="38" t="str">
        <f>VLOOKUP(C69,UrbanRuralClassification!A:N,13,FALSE)</f>
        <v>Urban with City and Town</v>
      </c>
      <c r="G69" s="38" t="str">
        <f>VLOOKUP(C69,UrbanRuralClassification!A:N,14,FALSE)</f>
        <v>Predominantly Urban</v>
      </c>
      <c r="H69" s="258">
        <f>IF(ISBLANK((VLOOKUP($A69,'local-plan-data'!$C$1:$AD$566,27,FALSE)))=TRUE,"",VLOOKUP($A69,'local-plan-data'!$C$1:$AD$566,27,FALSE))</f>
        <v>43075</v>
      </c>
      <c r="I69" s="259">
        <f>VLOOKUP($A69,'local-plan-data'!$C$1:$AD$566,28,FALSE)</f>
        <v>1230</v>
      </c>
      <c r="J69" s="260">
        <f t="shared" si="21"/>
        <v>1230</v>
      </c>
      <c r="K69" s="259">
        <f t="shared" si="51"/>
        <v>1230</v>
      </c>
      <c r="L69" s="259">
        <f t="shared" si="51"/>
        <v>1230</v>
      </c>
      <c r="M69" s="259">
        <f t="shared" si="51"/>
        <v>1230</v>
      </c>
      <c r="N69" s="259">
        <f t="shared" si="51"/>
        <v>1230</v>
      </c>
      <c r="O69" s="259">
        <f t="shared" si="51"/>
        <v>1230</v>
      </c>
      <c r="P69" s="259" t="str">
        <f t="shared" si="51"/>
        <v>-</v>
      </c>
      <c r="Q69" s="259" t="str">
        <f t="shared" si="51"/>
        <v>-</v>
      </c>
      <c r="R69" s="259" t="str">
        <f t="shared" si="51"/>
        <v>-</v>
      </c>
      <c r="S69" s="259">
        <f t="shared" si="52"/>
        <v>1710</v>
      </c>
      <c r="T69" s="259">
        <f t="shared" si="52"/>
        <v>1345</v>
      </c>
      <c r="U69" s="259">
        <f t="shared" si="52"/>
        <v>979</v>
      </c>
      <c r="V69" s="259">
        <f t="shared" si="52"/>
        <v>614</v>
      </c>
      <c r="W69" s="259">
        <f t="shared" si="52"/>
        <v>249</v>
      </c>
      <c r="X69" s="259">
        <f t="shared" si="52"/>
        <v>-116</v>
      </c>
      <c r="Y69" s="259">
        <f t="shared" si="52"/>
        <v>-482</v>
      </c>
      <c r="Z69" s="259">
        <f t="shared" si="52"/>
        <v>-847</v>
      </c>
      <c r="AA69" s="267">
        <f>(VLOOKUP(A69,Hshldprojections2014!$A$2:$AW$319,40, FALSE)-VLOOKUP(A69,Hshldprojections2014!$A$2:$AW$319,30, FALSE))/10</f>
        <v>2123.1</v>
      </c>
      <c r="AB69" s="267">
        <f>(VLOOKUP(A69,Hshldprojections2014!$A$2:$AW$319,41, FALSE)-VLOOKUP(A69,Hshldprojections2014!$A$2:$AW$319,31, FALSE))/10</f>
        <v>2108.3000000000002</v>
      </c>
      <c r="AC69" s="267">
        <f>(VLOOKUP(A69,Hshldprojections2014!$A$2:$AW$319,42, FALSE)-VLOOKUP(A69,Hshldprojections2014!$A$2:$AW$319,32, FALSE))/10</f>
        <v>2102.6</v>
      </c>
      <c r="AD69" s="267">
        <f>IF(IndividualLATest!$J$7=2014,(VLOOKUP($A69,Hshldprojections2014!$A$2:$AY$326,43,FALSE)-VLOOKUP($A69,Hshldprojections2014!$A$2:$AY$326,33,FALSE))/10,IF(IndividualLATest!$J$7=2016,(VLOOKUP($A69,Hshldprojections2016!$A$1:$AQ$322,33,FALSE)-VLOOKUP($A69,Hshldprojections2016!$A$1:$AQ$322,23,FALSE))/10,(VLOOKUP($A69,Hshldprojections2018!$A$1:$AQ$327,33,FALSE)-VLOOKUP($A69,Hshldprojections2018!$A$1:$AQ$327,23,FALSE))/10))</f>
        <v>1753.9</v>
      </c>
      <c r="AE69" s="267">
        <f>IF(IndividualLATest!$J$7=2014,(VLOOKUP($A69,Hshldprojections2014!$A$2:$AY$326,44,FALSE)-VLOOKUP($A69,Hshldprojections2014!$A$2:$AY$326,34,FALSE))/10,IF(IndividualLATest!$J$7=2016,(VLOOKUP($A69,Hshldprojections2016!$A$1:$AQ$322,34,FALSE)-VLOOKUP($A69,Hshldprojections2016!$A$1:$AQ$322,24,FALSE))/10,(VLOOKUP($A69,Hshldprojections2018!$A$1:$AQ$327,34,FALSE)-VLOOKUP($A69,Hshldprojections2018!$A$1:$AQ$327,24,FALSE))/10))</f>
        <v>1735.1</v>
      </c>
      <c r="AF69" s="267">
        <f>IF(IndividualLATest!$J$7=2014,(VLOOKUP($A69,Hshldprojections2014!$A$2:$AY$326,45,FALSE)-VLOOKUP($A69,Hshldprojections2014!$A$2:$AY$326,35,FALSE))/10,IF(IndividualLATest!$J$7=2016,(VLOOKUP($A69,Hshldprojections2016!$A$1:$AQ$322,35,FALSE)-VLOOKUP($A69,Hshldprojections2016!$A$1:$AQ$322,25,FALSE))/10,(VLOOKUP($A69,Hshldprojections2018!$A$1:$AQ$327,35,FALSE)-VLOOKUP($A69,Hshldprojections2018!$A$1:$AQ$327,25,FALSE))/10))</f>
        <v>1719.2</v>
      </c>
      <c r="AG69" s="267">
        <f>IF(IndividualLATest!$J$7=2014,(VLOOKUP($A69,Hshldprojections2014!$A$2:$AY$326,46,FALSE)-VLOOKUP($A69,Hshldprojections2014!$A$2:$AY$326,36,FALSE))/10,IF(IndividualLATest!$J$7=2016,(VLOOKUP($A69,Hshldprojections2016!$A$1:$AQ$322,36,FALSE)-VLOOKUP($A69,Hshldprojections2016!$A$1:$AQ$322,26,FALSE))/10,(VLOOKUP($A69,Hshldprojections2018!$A$1:$AQ$327,36,FALSE)-VLOOKUP($A69,Hshldprojections2018!$A$1:$AQ$327,26,FALSE))/10))</f>
        <v>1696.7</v>
      </c>
      <c r="AH69" s="267">
        <f>IF(IndividualLATest!$J$7=2014,(VLOOKUP($A69,Hshldprojections2014!$A$2:$AY$326,47,FALSE)-VLOOKUP($A69,Hshldprojections2014!$A$2:$AY$326,37,FALSE))/10,IF(IndividualLATest!$J$7=2016,(VLOOKUP($A69,Hshldprojections2016!$A$1:$AQ$322,37,FALSE)-VLOOKUP($A69,Hshldprojections2016!$A$1:$AQ$322,27,FALSE))/10,(VLOOKUP($A69,Hshldprojections2018!$A$1:$AQ$327,37,FALSE)-VLOOKUP($A69,Hshldprojections2018!$A$1:$AQ$327,27,FALSE))/10))</f>
        <v>1679.7</v>
      </c>
      <c r="AI69" s="268">
        <f>IF(ISNUMBER('Sensitivity Tests'!$C$30),'Sensitivity Tests'!$C$30,VLOOKUP($A69,AffordabilityRatio!$A$2:$I$321,5,FALSE))</f>
        <v>5.52</v>
      </c>
      <c r="AJ69" s="268">
        <f>IF(ISNUMBER('Sensitivity Tests'!$C$30),'Sensitivity Tests'!$C$30,VLOOKUP($A69,AffordabilityRatio!$A$2:$I$321,6,FALSE))</f>
        <v>5.66</v>
      </c>
      <c r="AK69" s="268">
        <f>IF(ISNUMBER('Sensitivity Tests'!$C$30),'Sensitivity Tests'!$C$30,VLOOKUP($A69,AffordabilityRatio!$A$2:$I$321,7,FALSE))</f>
        <v>6.08</v>
      </c>
      <c r="AL69" s="268">
        <f>IF(ISNUMBER('Sensitivity Tests'!$C$30),'Sensitivity Tests'!$C$30,IF((VLOOKUP($A69,AffordabilityRatio!$A$2:$I$321,8,FALSE))="",AK69,VLOOKUP($A69,AffordabilityRatio!$A$2:$I$321,8,FALSE)))</f>
        <v>5.69</v>
      </c>
      <c r="AM69" s="268">
        <f>IF(ISNUMBER('Sensitivity Tests'!$C$30),'Sensitivity Tests'!$C$30,IF((VLOOKUP($A69,AffordabilityRatio!$A$2:$I$321,9,FALSE))="",AL69,VLOOKUP($A69,AffordabilityRatio!$A$2:$I$321,9,FALSE)))</f>
        <v>5.96</v>
      </c>
      <c r="AN69" s="268">
        <f>IF(ISNUMBER('Sensitivity Tests'!$C$30),'Sensitivity Tests'!$C$30,IF((VLOOKUP($A69,AffordabilityRatio!$A$2:$I$321,9,FALSE))="",AM69,VLOOKUP($A69,AffordabilityRatio!$A$2:$I$321,9,FALSE)))</f>
        <v>5.96</v>
      </c>
      <c r="AO69" s="268">
        <f>IF(ISNUMBER('Sensitivity Tests'!$C$30),'Sensitivity Tests'!$C$30,IF((VLOOKUP($A69,AffordabilityRatio!$A$2:$I$321,9,FALSE))="",AN69,VLOOKUP($A69,AffordabilityRatio!$A$2:$I$321,9,FALSE)))</f>
        <v>5.96</v>
      </c>
      <c r="AP69" s="268">
        <f>IF(ISNUMBER('Sensitivity Tests'!$C$30),'Sensitivity Tests'!$C$30,IF((VLOOKUP($A69,AffordabilityRatio!$A$2:$I$321,9,FALSE))="",AO69,VLOOKUP($A69,AffordabilityRatio!$A$2:$I$321,9,FALSE)))</f>
        <v>5.96</v>
      </c>
      <c r="AQ69" s="267">
        <f t="shared" si="53"/>
        <v>2325</v>
      </c>
      <c r="AR69" s="267">
        <f t="shared" si="53"/>
        <v>2327</v>
      </c>
      <c r="AS69" s="267">
        <f t="shared" si="53"/>
        <v>2376</v>
      </c>
      <c r="AT69" s="267">
        <f t="shared" si="53"/>
        <v>1939</v>
      </c>
      <c r="AU69" s="267">
        <f t="shared" si="53"/>
        <v>1948</v>
      </c>
      <c r="AV69" s="267">
        <f t="shared" si="53"/>
        <v>1930</v>
      </c>
      <c r="AW69" s="267">
        <f t="shared" si="53"/>
        <v>1905</v>
      </c>
      <c r="AX69" s="267">
        <f t="shared" si="53"/>
        <v>1885</v>
      </c>
      <c r="AY69" s="267">
        <f t="shared" si="25"/>
        <v>1722</v>
      </c>
      <c r="AZ69" s="267">
        <f t="shared" si="26"/>
        <v>1722</v>
      </c>
      <c r="BA69" s="267">
        <f t="shared" si="27"/>
        <v>1722</v>
      </c>
      <c r="BB69" s="267">
        <f t="shared" si="28"/>
        <v>1722</v>
      </c>
      <c r="BC69" s="267">
        <f t="shared" si="29"/>
        <v>1722</v>
      </c>
      <c r="BD69" s="267">
        <f t="shared" si="30"/>
        <v>1930</v>
      </c>
      <c r="BE69" s="267">
        <f t="shared" si="31"/>
        <v>1905</v>
      </c>
      <c r="BF69" s="267">
        <f t="shared" si="32"/>
        <v>1885</v>
      </c>
      <c r="BG69" s="269">
        <f>AY69*VLOOKUP($B69,'Major Cities &amp; Towns'!$A$28:$B$345,2,FALSE)</f>
        <v>2324.7000000000003</v>
      </c>
      <c r="BH69" s="269">
        <f>AZ69*VLOOKUP($B69,'Major Cities &amp; Towns'!$A$28:$B$345,2,FALSE)</f>
        <v>2324.7000000000003</v>
      </c>
      <c r="BI69" s="269">
        <f>BA69*VLOOKUP($B69,'Major Cities &amp; Towns'!$A$28:$B$345,2,FALSE)</f>
        <v>2324.7000000000003</v>
      </c>
      <c r="BJ69" s="269">
        <f>BB69*VLOOKUP($B69,'Major Cities &amp; Towns'!$A$28:$B$345,2,FALSE)</f>
        <v>2324.7000000000003</v>
      </c>
      <c r="BK69" s="269">
        <f>BC69*VLOOKUP($B69,'Major Cities &amp; Towns'!$A$28:$B$345,2,FALSE)</f>
        <v>2324.7000000000003</v>
      </c>
      <c r="BL69" s="269">
        <f>BD69*VLOOKUP($B69,'Major Cities &amp; Towns'!$A$28:$B$345,2,FALSE)</f>
        <v>2605.5</v>
      </c>
      <c r="BM69" s="269">
        <f>BE69*VLOOKUP($B69,'Major Cities &amp; Towns'!$A$28:$B$345,2,FALSE)</f>
        <v>2571.75</v>
      </c>
      <c r="BN69" s="269">
        <f>BF69*VLOOKUP($B69,'Major Cities &amp; Towns'!$A$28:$B$345,2,FALSE)</f>
        <v>2544.75</v>
      </c>
      <c r="BO69" s="270">
        <f t="shared" si="33"/>
        <v>1230</v>
      </c>
      <c r="BP69" s="270">
        <f t="shared" si="50"/>
        <v>1230</v>
      </c>
      <c r="BQ69" s="270">
        <f t="shared" si="50"/>
        <v>1230</v>
      </c>
      <c r="BR69" s="270">
        <f t="shared" si="50"/>
        <v>1230</v>
      </c>
      <c r="BS69" s="270">
        <f t="shared" si="49"/>
        <v>1458.186301369863</v>
      </c>
      <c r="BT69" s="270">
        <f t="shared" si="49"/>
        <v>1930</v>
      </c>
      <c r="BU69" s="270">
        <f t="shared" si="49"/>
        <v>1905</v>
      </c>
      <c r="BV69" s="270">
        <f t="shared" si="49"/>
        <v>1885</v>
      </c>
      <c r="BW69" s="39">
        <f>VLOOKUP($A69,NetAdditions!$A$2:$H$336,6,FALSE)</f>
        <v>1499</v>
      </c>
      <c r="BX69" s="39">
        <f>VLOOKUP($A69,NetAdditions!$A$2:$H$336,7,FALSE)</f>
        <v>2241</v>
      </c>
      <c r="BY69" s="39">
        <f>IF((VLOOKUP($C69,NetAdditions!$A$2:$H$336,8,FALSE))="",(AVERAGE(VLOOKUP($C69,NetAdditions!$A$2:$H$336,5,FALSE),VLOOKUP($C69,NetAdditions!$A$2:$H$336,6,FALSE),VLOOKUP($C69,NetAdditions!$A$2:$H$336,7,FALSE))),VLOOKUP($C69,NetAdditions!$A$2:$H$336,8,FALSE))</f>
        <v>589</v>
      </c>
      <c r="BZ69" s="39">
        <f t="shared" ref="BZ69:CD119" si="54">AVERAGE(BW69:BY69)</f>
        <v>1443</v>
      </c>
      <c r="CA69" s="39">
        <f t="shared" si="54"/>
        <v>1424.3333333333333</v>
      </c>
      <c r="CB69" s="39">
        <f t="shared" si="54"/>
        <v>1152.1111111111111</v>
      </c>
      <c r="CC69" s="39">
        <f t="shared" si="54"/>
        <v>1339.8148148148148</v>
      </c>
      <c r="CD69" s="39">
        <f t="shared" si="54"/>
        <v>1305.4197530864196</v>
      </c>
      <c r="CE69" s="276">
        <f t="shared" ref="CE69:CE132" si="55">SUM(BO69:BQ69)</f>
        <v>3690</v>
      </c>
      <c r="CF69" s="276">
        <f t="shared" ref="CF69:CF132" si="56">SUM(BP69:BR69)</f>
        <v>3690</v>
      </c>
      <c r="CG69" s="276">
        <f t="shared" ref="CG69:CG132" si="57">SUM(BQ69:BS69)</f>
        <v>3918.186301369863</v>
      </c>
      <c r="CH69" s="276">
        <f t="shared" ref="CH69:CH132" si="58">SUM(BR69:BT69)</f>
        <v>4618.186301369863</v>
      </c>
      <c r="CI69" s="276">
        <f t="shared" ref="CI69:CI132" si="59">SUM(BS69:BU69)</f>
        <v>5293.186301369863</v>
      </c>
      <c r="CJ69" s="276">
        <f t="shared" ref="CJ69:CJ132" si="60">SUM(BT69:BV69)</f>
        <v>5720</v>
      </c>
      <c r="CK69" s="276">
        <f t="shared" si="36"/>
        <v>3177.5</v>
      </c>
      <c r="CL69" s="276">
        <f t="shared" si="37"/>
        <v>3177.5</v>
      </c>
      <c r="CM69" s="276">
        <f t="shared" si="38"/>
        <v>3591.6707762557076</v>
      </c>
      <c r="CN69" s="276">
        <f t="shared" si="39"/>
        <v>4618.186301369863</v>
      </c>
      <c r="CO69" s="276">
        <f t="shared" si="39"/>
        <v>5293.186301369863</v>
      </c>
      <c r="CP69" s="276">
        <f t="shared" si="39"/>
        <v>5720</v>
      </c>
      <c r="CQ69" s="39">
        <f t="shared" ref="CQ69:CQ132" si="61">SUM(BW69:BY69)</f>
        <v>4329</v>
      </c>
      <c r="CR69" s="39">
        <f t="shared" ref="CR69:CR132" si="62">SUM(BX69:BZ69)</f>
        <v>4273</v>
      </c>
      <c r="CS69" s="277">
        <f t="shared" ref="CS69:CS132" si="63">SUM(BY69:CA69)</f>
        <v>3456.333333333333</v>
      </c>
      <c r="CT69" s="39">
        <f t="shared" ref="CT69:CT132" si="64">SUM(BZ69:CB69)</f>
        <v>4019.4444444444443</v>
      </c>
      <c r="CU69" s="39">
        <f t="shared" ref="CU69:CU132" si="65">SUM(CA69:CC69)</f>
        <v>3916.2592592592591</v>
      </c>
      <c r="CV69" s="39">
        <f t="shared" ref="CV69:CV132" si="66">SUM(CB69:CD69)</f>
        <v>3797.3456790123455</v>
      </c>
      <c r="CW69" s="297">
        <f t="shared" ref="CW69:CW132" si="67">IFERROR(CQ69/CK69,"-")</f>
        <v>1.3623918174665617</v>
      </c>
      <c r="CX69" s="279" t="str">
        <f t="shared" si="40"/>
        <v>Pass</v>
      </c>
      <c r="CY69" s="278">
        <f t="shared" ref="CY69:CY132" si="68">IFERROR(CR69/CL69,"-")</f>
        <v>1.3447678992918961</v>
      </c>
      <c r="CZ69" s="279" t="str">
        <f t="shared" si="41"/>
        <v>Pass</v>
      </c>
      <c r="DA69" s="278">
        <f t="shared" ref="DA69:DA132" si="69">IFERROR(CS69/CM69,"-")</f>
        <v>0.96231908452826986</v>
      </c>
      <c r="DB69" s="292" t="str">
        <f t="shared" si="42"/>
        <v>Pass</v>
      </c>
      <c r="DC69" s="299">
        <f t="shared" si="43"/>
        <v>0.87035129857194848</v>
      </c>
      <c r="DD69" s="293" t="str">
        <f t="shared" si="44"/>
        <v>Action Plan</v>
      </c>
      <c r="DE69" s="299">
        <f t="shared" si="45"/>
        <v>0.73986801829471627</v>
      </c>
      <c r="DF69" s="293" t="str">
        <f t="shared" si="46"/>
        <v>Presumption</v>
      </c>
      <c r="DG69" s="299">
        <f t="shared" si="47"/>
        <v>0.66387162220495555</v>
      </c>
      <c r="DH69" s="293" t="str">
        <f t="shared" si="48"/>
        <v>Presumption</v>
      </c>
    </row>
    <row r="70" spans="1:112" ht="15" thickTop="1" thickBot="1">
      <c r="A70" s="38" t="s">
        <v>249</v>
      </c>
      <c r="B70" s="38" t="s">
        <v>250</v>
      </c>
      <c r="C70" s="38" t="s">
        <v>249</v>
      </c>
      <c r="D70" s="38" t="s">
        <v>136</v>
      </c>
      <c r="E70" s="38" t="str">
        <f>VLOOKUP(C70,PoliticalControl!A:K,11,FALSE)</f>
        <v>NOC</v>
      </c>
      <c r="F70" s="38" t="str">
        <f>VLOOKUP(C70,UrbanRuralClassification!A:N,13,FALSE)</f>
        <v xml:space="preserve">Mainly Rural (rural including hub towns &gt;=80%) </v>
      </c>
      <c r="G70" s="38" t="str">
        <f>VLOOKUP(C70,UrbanRuralClassification!A:N,14,FALSE)</f>
        <v>Predominantly Rural</v>
      </c>
      <c r="H70" s="258">
        <f>IF(ISBLANK((VLOOKUP($A70,'local-plan-data'!$C$1:$AD$566,27,FALSE)))=TRUE,"",VLOOKUP($A70,'local-plan-data'!$C$1:$AD$566,27,FALSE))</f>
        <v>43781</v>
      </c>
      <c r="I70" s="259">
        <f>VLOOKUP($A70,'local-plan-data'!$C$1:$AD$566,28,FALSE)</f>
        <v>230</v>
      </c>
      <c r="J70" s="260">
        <f t="shared" ref="J70:J133" si="70">IFERROR(IF(ISNUMBER(I70),I70,VALUE(LEFT(I70,FIND("-",I70)-1))),"-")</f>
        <v>230</v>
      </c>
      <c r="K70" s="259">
        <f t="shared" si="51"/>
        <v>230</v>
      </c>
      <c r="L70" s="259">
        <f t="shared" si="51"/>
        <v>230</v>
      </c>
      <c r="M70" s="259">
        <f t="shared" si="51"/>
        <v>230</v>
      </c>
      <c r="N70" s="259">
        <f t="shared" si="51"/>
        <v>230</v>
      </c>
      <c r="O70" s="259">
        <f t="shared" si="51"/>
        <v>230</v>
      </c>
      <c r="P70" s="259">
        <f t="shared" si="51"/>
        <v>230</v>
      </c>
      <c r="Q70" s="259">
        <f t="shared" si="51"/>
        <v>230</v>
      </c>
      <c r="R70" s="259" t="str">
        <f t="shared" si="51"/>
        <v>-</v>
      </c>
      <c r="S70" s="259">
        <f t="shared" si="52"/>
        <v>2417</v>
      </c>
      <c r="T70" s="259">
        <f t="shared" si="52"/>
        <v>2052</v>
      </c>
      <c r="U70" s="259">
        <f t="shared" si="52"/>
        <v>1686</v>
      </c>
      <c r="V70" s="259">
        <f t="shared" si="52"/>
        <v>1321</v>
      </c>
      <c r="W70" s="259">
        <f t="shared" si="52"/>
        <v>956</v>
      </c>
      <c r="X70" s="259">
        <f t="shared" si="52"/>
        <v>591</v>
      </c>
      <c r="Y70" s="259">
        <f t="shared" si="52"/>
        <v>225</v>
      </c>
      <c r="Z70" s="259">
        <f t="shared" si="52"/>
        <v>-140</v>
      </c>
      <c r="AA70" s="267">
        <f>(VLOOKUP(A70,Hshldprojections2014!$A$2:$AW$319,40, FALSE)-VLOOKUP(A70,Hshldprojections2014!$A$2:$AW$319,30, FALSE))/10</f>
        <v>122.3</v>
      </c>
      <c r="AB70" s="267">
        <f>(VLOOKUP(A70,Hshldprojections2014!$A$2:$AW$319,41, FALSE)-VLOOKUP(A70,Hshldprojections2014!$A$2:$AW$319,31, FALSE))/10</f>
        <v>122.4</v>
      </c>
      <c r="AC70" s="267">
        <f>(VLOOKUP(A70,Hshldprojections2014!$A$2:$AW$319,42, FALSE)-VLOOKUP(A70,Hshldprojections2014!$A$2:$AW$319,32, FALSE))/10</f>
        <v>122.6</v>
      </c>
      <c r="AD70" s="267">
        <f>IF(IndividualLATest!$J$7=2014,(VLOOKUP($A70,Hshldprojections2014!$A$2:$AY$326,43,FALSE)-VLOOKUP($A70,Hshldprojections2014!$A$2:$AY$326,33,FALSE))/10,IF(IndividualLATest!$J$7=2016,(VLOOKUP($A70,Hshldprojections2016!$A$1:$AQ$322,33,FALSE)-VLOOKUP($A70,Hshldprojections2016!$A$1:$AQ$322,23,FALSE))/10,(VLOOKUP($A70,Hshldprojections2018!$A$1:$AQ$327,33,FALSE)-VLOOKUP($A70,Hshldprojections2018!$A$1:$AQ$327,23,FALSE))/10))</f>
        <v>180.2</v>
      </c>
      <c r="AE70" s="267">
        <f>IF(IndividualLATest!$J$7=2014,(VLOOKUP($A70,Hshldprojections2014!$A$2:$AY$326,44,FALSE)-VLOOKUP($A70,Hshldprojections2014!$A$2:$AY$326,34,FALSE))/10,IF(IndividualLATest!$J$7=2016,(VLOOKUP($A70,Hshldprojections2016!$A$1:$AQ$322,34,FALSE)-VLOOKUP($A70,Hshldprojections2016!$A$1:$AQ$322,24,FALSE))/10,(VLOOKUP($A70,Hshldprojections2018!$A$1:$AQ$327,34,FALSE)-VLOOKUP($A70,Hshldprojections2018!$A$1:$AQ$327,24,FALSE))/10))</f>
        <v>173.2</v>
      </c>
      <c r="AF70" s="267">
        <f>IF(IndividualLATest!$J$7=2014,(VLOOKUP($A70,Hshldprojections2014!$A$2:$AY$326,45,FALSE)-VLOOKUP($A70,Hshldprojections2014!$A$2:$AY$326,35,FALSE))/10,IF(IndividualLATest!$J$7=2016,(VLOOKUP($A70,Hshldprojections2016!$A$1:$AQ$322,35,FALSE)-VLOOKUP($A70,Hshldprojections2016!$A$1:$AQ$322,25,FALSE))/10,(VLOOKUP($A70,Hshldprojections2018!$A$1:$AQ$327,35,FALSE)-VLOOKUP($A70,Hshldprojections2018!$A$1:$AQ$327,25,FALSE))/10))</f>
        <v>166.1</v>
      </c>
      <c r="AG70" s="267">
        <f>IF(IndividualLATest!$J$7=2014,(VLOOKUP($A70,Hshldprojections2014!$A$2:$AY$326,46,FALSE)-VLOOKUP($A70,Hshldprojections2014!$A$2:$AY$326,36,FALSE))/10,IF(IndividualLATest!$J$7=2016,(VLOOKUP($A70,Hshldprojections2016!$A$1:$AQ$322,36,FALSE)-VLOOKUP($A70,Hshldprojections2016!$A$1:$AQ$322,26,FALSE))/10,(VLOOKUP($A70,Hshldprojections2018!$A$1:$AQ$327,36,FALSE)-VLOOKUP($A70,Hshldprojections2018!$A$1:$AQ$327,26,FALSE))/10))</f>
        <v>159.4</v>
      </c>
      <c r="AH70" s="267">
        <f>IF(IndividualLATest!$J$7=2014,(VLOOKUP($A70,Hshldprojections2014!$A$2:$AY$326,47,FALSE)-VLOOKUP($A70,Hshldprojections2014!$A$2:$AY$326,37,FALSE))/10,IF(IndividualLATest!$J$7=2016,(VLOOKUP($A70,Hshldprojections2016!$A$1:$AQ$322,37,FALSE)-VLOOKUP($A70,Hshldprojections2016!$A$1:$AQ$322,27,FALSE))/10,(VLOOKUP($A70,Hshldprojections2018!$A$1:$AQ$327,37,FALSE)-VLOOKUP($A70,Hshldprojections2018!$A$1:$AQ$327,27,FALSE))/10))</f>
        <v>155.1</v>
      </c>
      <c r="AI70" s="268">
        <f>IF(ISNUMBER('Sensitivity Tests'!$C$30),'Sensitivity Tests'!$C$30,VLOOKUP($A70,AffordabilityRatio!$A$2:$I$321,5,FALSE))</f>
        <v>7.92</v>
      </c>
      <c r="AJ70" s="268">
        <f>IF(ISNUMBER('Sensitivity Tests'!$C$30),'Sensitivity Tests'!$C$30,VLOOKUP($A70,AffordabilityRatio!$A$2:$I$321,6,FALSE))</f>
        <v>7.49</v>
      </c>
      <c r="AK70" s="268">
        <f>IF(ISNUMBER('Sensitivity Tests'!$C$30),'Sensitivity Tests'!$C$30,VLOOKUP($A70,AffordabilityRatio!$A$2:$I$321,7,FALSE))</f>
        <v>7.72</v>
      </c>
      <c r="AL70" s="268">
        <f>IF(ISNUMBER('Sensitivity Tests'!$C$30),'Sensitivity Tests'!$C$30,IF((VLOOKUP($A70,AffordabilityRatio!$A$2:$I$321,8,FALSE))="",AK70,VLOOKUP($A70,AffordabilityRatio!$A$2:$I$321,8,FALSE)))</f>
        <v>8.5399999999999991</v>
      </c>
      <c r="AM70" s="268">
        <f>IF(ISNUMBER('Sensitivity Tests'!$C$30),'Sensitivity Tests'!$C$30,IF((VLOOKUP($A70,AffordabilityRatio!$A$2:$I$321,9,FALSE))="",AL70,VLOOKUP($A70,AffordabilityRatio!$A$2:$I$321,9,FALSE)))</f>
        <v>8.19</v>
      </c>
      <c r="AN70" s="268">
        <f>IF(ISNUMBER('Sensitivity Tests'!$C$30),'Sensitivity Tests'!$C$30,IF((VLOOKUP($A70,AffordabilityRatio!$A$2:$I$321,9,FALSE))="",AM70,VLOOKUP($A70,AffordabilityRatio!$A$2:$I$321,9,FALSE)))</f>
        <v>8.19</v>
      </c>
      <c r="AO70" s="268">
        <f>IF(ISNUMBER('Sensitivity Tests'!$C$30),'Sensitivity Tests'!$C$30,IF((VLOOKUP($A70,AffordabilityRatio!$A$2:$I$321,9,FALSE))="",AN70,VLOOKUP($A70,AffordabilityRatio!$A$2:$I$321,9,FALSE)))</f>
        <v>8.19</v>
      </c>
      <c r="AP70" s="268">
        <f>IF(ISNUMBER('Sensitivity Tests'!$C$30),'Sensitivity Tests'!$C$30,IF((VLOOKUP($A70,AffordabilityRatio!$A$2:$I$321,9,FALSE))="",AO70,VLOOKUP($A70,AffordabilityRatio!$A$2:$I$321,9,FALSE)))</f>
        <v>8.19</v>
      </c>
      <c r="AQ70" s="267">
        <f t="shared" si="53"/>
        <v>152</v>
      </c>
      <c r="AR70" s="267">
        <f t="shared" si="53"/>
        <v>149</v>
      </c>
      <c r="AS70" s="267">
        <f t="shared" si="53"/>
        <v>151</v>
      </c>
      <c r="AT70" s="267">
        <f t="shared" si="53"/>
        <v>231</v>
      </c>
      <c r="AU70" s="267">
        <f t="shared" si="53"/>
        <v>219</v>
      </c>
      <c r="AV70" s="267">
        <f t="shared" si="53"/>
        <v>210</v>
      </c>
      <c r="AW70" s="267">
        <f t="shared" si="53"/>
        <v>201</v>
      </c>
      <c r="AX70" s="267">
        <f t="shared" si="53"/>
        <v>196</v>
      </c>
      <c r="AY70" s="267">
        <f t="shared" ref="AY70:AY133" si="71">IF(AA70&lt;0,0,IF(K70="-",MIN((MAX(J70, AA70)+((MAX(J70, AA70))*0.4)),AQ70),MIN(K70+(K70*0.4),AQ70)))</f>
        <v>152</v>
      </c>
      <c r="AZ70" s="267">
        <f t="shared" ref="AZ70:AZ133" si="72">IF(AB70&lt;0,0,IF(L70="-",MIN((MAX(J70, AB70)+((MAX(J70, AB70))*0.4)),AR70),MIN(L70+(L70*0.4),AR70)))</f>
        <v>149</v>
      </c>
      <c r="BA70" s="267">
        <f t="shared" ref="BA70:BA133" si="73">IF(AC70&lt;0,0,IF(M70="-",MIN((MAX(J70, AC70)+((MAX(J70, AC70))*0.4)),AS70),MIN(M70+(M70*0.4),AS70)))</f>
        <v>151</v>
      </c>
      <c r="BB70" s="267">
        <f t="shared" ref="BB70:BB133" si="74">IF(AD70&lt;0,0,IF(N70="-",MIN((MAX(J70, AD70)+((MAX(J70, AD70))*0.4)),AT70),MIN(N70+(N70*0.4),AT70)))</f>
        <v>231</v>
      </c>
      <c r="BC70" s="267">
        <f t="shared" ref="BC70:BC133" si="75">IF(AE70&lt;0,0,IF(O70="-",MIN((MAX(J70, AE70)+((MAX(J70, AE70))*0.4)),AU70),MIN(O70+(O70*0.4),AU70)))</f>
        <v>219</v>
      </c>
      <c r="BD70" s="267">
        <f t="shared" ref="BD70:BD133" si="76">IF(AF70&lt;0,0,IF(P70="-",MIN((MAX(J70, AF70)+((MAX(J70, AF70))*0.4)),AV70),MIN(P70+(P70*0.4),AV70)))</f>
        <v>210</v>
      </c>
      <c r="BE70" s="267">
        <f t="shared" ref="BE70:BE133" si="77">IF(AG70&lt;0,0,IF(Q70="-",MIN((MAX(J70, AG70)+((MAX(J70, AG70))*0.4)),AW70),MIN(Q70+(Q70*0.4),AW70)))</f>
        <v>201</v>
      </c>
      <c r="BF70" s="267">
        <f t="shared" ref="BF70:BF133" si="78">IF(AH70&lt;0,0,IF(R70="-",MIN((MAX(J70, AH70)+((MAX(J70, AH70))*0.4)),AX70),MIN(R70+(R70*0.4),AX70)))</f>
        <v>196</v>
      </c>
      <c r="BG70" s="269">
        <f>AY70*VLOOKUP($B70,'Major Cities &amp; Towns'!$A$28:$B$345,2,FALSE)</f>
        <v>152</v>
      </c>
      <c r="BH70" s="269">
        <f>AZ70*VLOOKUP($B70,'Major Cities &amp; Towns'!$A$28:$B$345,2,FALSE)</f>
        <v>149</v>
      </c>
      <c r="BI70" s="269">
        <f>BA70*VLOOKUP($B70,'Major Cities &amp; Towns'!$A$28:$B$345,2,FALSE)</f>
        <v>151</v>
      </c>
      <c r="BJ70" s="269">
        <f>BB70*VLOOKUP($B70,'Major Cities &amp; Towns'!$A$28:$B$345,2,FALSE)</f>
        <v>231</v>
      </c>
      <c r="BK70" s="269">
        <f>BC70*VLOOKUP($B70,'Major Cities &amp; Towns'!$A$28:$B$345,2,FALSE)</f>
        <v>219</v>
      </c>
      <c r="BL70" s="269">
        <f>BD70*VLOOKUP($B70,'Major Cities &amp; Towns'!$A$28:$B$345,2,FALSE)</f>
        <v>210</v>
      </c>
      <c r="BM70" s="269">
        <f>BE70*VLOOKUP($B70,'Major Cities &amp; Towns'!$A$28:$B$345,2,FALSE)</f>
        <v>201</v>
      </c>
      <c r="BN70" s="269">
        <f>BF70*VLOOKUP($B70,'Major Cities &amp; Towns'!$A$28:$B$345,2,FALSE)</f>
        <v>196</v>
      </c>
      <c r="BO70" s="270">
        <f t="shared" ref="BO70:BO133" si="79">IFERROR(IF(AND(S70&lt;365,S70&gt;0),SUM(((S70/365)*(MIN(K70,BG70)))+(((365-S70)/365)*AQ70)),(MIN(K70,AQ70))),AQ70)</f>
        <v>152</v>
      </c>
      <c r="BP70" s="270">
        <f t="shared" si="50"/>
        <v>149</v>
      </c>
      <c r="BQ70" s="270">
        <f t="shared" si="50"/>
        <v>151</v>
      </c>
      <c r="BR70" s="270">
        <f t="shared" si="50"/>
        <v>230</v>
      </c>
      <c r="BS70" s="270">
        <f t="shared" si="49"/>
        <v>219</v>
      </c>
      <c r="BT70" s="270">
        <f t="shared" si="49"/>
        <v>210</v>
      </c>
      <c r="BU70" s="270">
        <f t="shared" si="49"/>
        <v>201</v>
      </c>
      <c r="BV70" s="270">
        <f t="shared" si="49"/>
        <v>196</v>
      </c>
      <c r="BW70" s="39">
        <f>VLOOKUP($A70,NetAdditions!$A$2:$H$336,6,FALSE)</f>
        <v>250</v>
      </c>
      <c r="BX70" s="39">
        <f>VLOOKUP($A70,NetAdditions!$A$2:$H$336,7,FALSE)</f>
        <v>291</v>
      </c>
      <c r="BY70" s="39">
        <f>IF((VLOOKUP($C70,NetAdditions!$A$2:$H$336,8,FALSE))="",(AVERAGE(VLOOKUP($C70,NetAdditions!$A$2:$H$336,5,FALSE),VLOOKUP($C70,NetAdditions!$A$2:$H$336,6,FALSE),VLOOKUP($C70,NetAdditions!$A$2:$H$336,7,FALSE))),VLOOKUP($C70,NetAdditions!$A$2:$H$336,8,FALSE))</f>
        <v>188</v>
      </c>
      <c r="BZ70" s="39">
        <f t="shared" si="54"/>
        <v>243</v>
      </c>
      <c r="CA70" s="39">
        <f t="shared" si="54"/>
        <v>240.66666666666666</v>
      </c>
      <c r="CB70" s="39">
        <f t="shared" si="54"/>
        <v>223.88888888888889</v>
      </c>
      <c r="CC70" s="39">
        <f t="shared" si="54"/>
        <v>235.85185185185185</v>
      </c>
      <c r="CD70" s="39">
        <f t="shared" si="54"/>
        <v>233.46913580246914</v>
      </c>
      <c r="CE70" s="276">
        <f t="shared" si="55"/>
        <v>452</v>
      </c>
      <c r="CF70" s="276">
        <f t="shared" si="56"/>
        <v>530</v>
      </c>
      <c r="CG70" s="276">
        <f t="shared" si="57"/>
        <v>600</v>
      </c>
      <c r="CH70" s="276">
        <f t="shared" si="58"/>
        <v>659</v>
      </c>
      <c r="CI70" s="276">
        <f t="shared" si="59"/>
        <v>630</v>
      </c>
      <c r="CJ70" s="276">
        <f t="shared" si="60"/>
        <v>607</v>
      </c>
      <c r="CK70" s="276">
        <f t="shared" ref="CK70:CK133" si="80">CE70*((24+7)/36)</f>
        <v>389.22222222222223</v>
      </c>
      <c r="CL70" s="276">
        <f t="shared" ref="CL70:CL133" si="81">CF70*((24+7)/36)</f>
        <v>456.38888888888891</v>
      </c>
      <c r="CM70" s="276">
        <f t="shared" ref="CM70:CM133" si="82">CG70*((24+9)/36)</f>
        <v>550</v>
      </c>
      <c r="CN70" s="276">
        <f t="shared" ref="CN70:CP133" si="83">CH70</f>
        <v>659</v>
      </c>
      <c r="CO70" s="276">
        <f t="shared" si="83"/>
        <v>630</v>
      </c>
      <c r="CP70" s="276">
        <f t="shared" si="83"/>
        <v>607</v>
      </c>
      <c r="CQ70" s="39">
        <f t="shared" si="61"/>
        <v>729</v>
      </c>
      <c r="CR70" s="39">
        <f t="shared" si="62"/>
        <v>722</v>
      </c>
      <c r="CS70" s="277">
        <f t="shared" si="63"/>
        <v>671.66666666666663</v>
      </c>
      <c r="CT70" s="39">
        <f t="shared" si="64"/>
        <v>707.55555555555554</v>
      </c>
      <c r="CU70" s="39">
        <f t="shared" si="65"/>
        <v>700.40740740740739</v>
      </c>
      <c r="CV70" s="39">
        <f t="shared" si="66"/>
        <v>693.20987654320993</v>
      </c>
      <c r="CW70" s="297">
        <f t="shared" si="67"/>
        <v>1.8729660291178989</v>
      </c>
      <c r="CX70" s="279" t="str">
        <f t="shared" ref="CX70:CX133" si="84">IF(CW70&lt;0.25, "Presumption", IF(CW70&lt;0.85, "Buffer and Action Plan", IF(CW70&lt;0.95, "Action Plan", "Pass")))</f>
        <v>Pass</v>
      </c>
      <c r="CY70" s="278">
        <f t="shared" si="68"/>
        <v>1.5819841752891053</v>
      </c>
      <c r="CZ70" s="279" t="str">
        <f t="shared" ref="CZ70:CZ133" si="85">IF(CY70&lt;0.45, "Presumption", IF(CY70&lt;0.85, "Buffer and Action Plan", IF(CY70&lt;0.95, "Action Plan", "Pass")))</f>
        <v>Pass</v>
      </c>
      <c r="DA70" s="278">
        <f t="shared" si="69"/>
        <v>1.2212121212121212</v>
      </c>
      <c r="DB70" s="292" t="str">
        <f t="shared" ref="DB70:DB133" si="86">IF(DA70&lt;0.75, "Presumption", IF(DA70&lt;0.85, "Buffer and Action Plan", IF(DA70&lt;0.95, "Action Plan", "Pass")))</f>
        <v>Pass</v>
      </c>
      <c r="DC70" s="299">
        <f t="shared" ref="DC70:DC133" si="87">IFERROR(CT70/CN70,"-")</f>
        <v>1.0736806609340752</v>
      </c>
      <c r="DD70" s="293" t="str">
        <f t="shared" ref="DD70:DD133" si="88">IF(DC70&lt;0.75, "Presumption", IF(DC70&lt;0.85, "Buffer and Action Plan", IF(DC70&lt;0.95, "Action Plan", "Pass")))</f>
        <v>Pass</v>
      </c>
      <c r="DE70" s="299">
        <f t="shared" ref="DE70:DE133" si="89">IFERROR(CU70/CO70,"-")</f>
        <v>1.1117577895355673</v>
      </c>
      <c r="DF70" s="293" t="str">
        <f t="shared" ref="DF70:DF133" si="90">IF(DE70&lt;0.75, "Presumption", IF(DE70&lt;0.85, "Buffer and Action Plan", IF(DE70&lt;0.95, "Action Plan", "Pass")))</f>
        <v>Pass</v>
      </c>
      <c r="DG70" s="299">
        <f t="shared" ref="DG70:DG133" si="91">IFERROR(CV70/CP70,"-")</f>
        <v>1.1420261557548763</v>
      </c>
      <c r="DH70" s="293" t="str">
        <f t="shared" ref="DH70:DH133" si="92">IF(DG70&lt;0.75, "Presumption", IF(DG70&lt;0.85, "Buffer and Action Plan", IF(DG70&lt;0.95, "Action Plan", "Pass")))</f>
        <v>Pass</v>
      </c>
    </row>
    <row r="71" spans="1:112" ht="15" thickTop="1" thickBot="1">
      <c r="A71" s="38" t="s">
        <v>251</v>
      </c>
      <c r="B71" s="38" t="s">
        <v>252</v>
      </c>
      <c r="C71" s="38" t="s">
        <v>251</v>
      </c>
      <c r="D71" s="38" t="s">
        <v>113</v>
      </c>
      <c r="E71" s="38" t="str">
        <f>VLOOKUP(C71,PoliticalControl!A:K,11,FALSE)</f>
        <v>NOC</v>
      </c>
      <c r="F71" s="38" t="str">
        <f>VLOOKUP(C71,UrbanRuralClassification!A:N,13,FALSE)</f>
        <v>Urban with City and Town</v>
      </c>
      <c r="G71" s="38" t="str">
        <f>VLOOKUP(C71,UrbanRuralClassification!A:N,14,FALSE)</f>
        <v>Predominantly Urban</v>
      </c>
      <c r="H71" s="258">
        <f>IF(ISBLANK((VLOOKUP($A71,'local-plan-data'!$C$1:$AD$566,27,FALSE)))=TRUE,"",VLOOKUP($A71,'local-plan-data'!$C$1:$AD$566,27,FALSE))</f>
        <v>42354</v>
      </c>
      <c r="I71" s="259">
        <f>VLOOKUP($A71,'local-plan-data'!$C$1:$AD$566,28,FALSE)</f>
        <v>340</v>
      </c>
      <c r="J71" s="260">
        <f t="shared" si="70"/>
        <v>340</v>
      </c>
      <c r="K71" s="259">
        <f t="shared" si="51"/>
        <v>340</v>
      </c>
      <c r="L71" s="259">
        <f t="shared" si="51"/>
        <v>340</v>
      </c>
      <c r="M71" s="259">
        <f t="shared" si="51"/>
        <v>340</v>
      </c>
      <c r="N71" s="259" t="str">
        <f t="shared" si="51"/>
        <v>-</v>
      </c>
      <c r="O71" s="259" t="str">
        <f t="shared" si="51"/>
        <v>-</v>
      </c>
      <c r="P71" s="259" t="str">
        <f t="shared" si="51"/>
        <v>-</v>
      </c>
      <c r="Q71" s="259" t="str">
        <f t="shared" si="51"/>
        <v>-</v>
      </c>
      <c r="R71" s="259" t="str">
        <f t="shared" si="51"/>
        <v>-</v>
      </c>
      <c r="S71" s="259">
        <f t="shared" si="52"/>
        <v>990</v>
      </c>
      <c r="T71" s="259">
        <f t="shared" si="52"/>
        <v>625</v>
      </c>
      <c r="U71" s="259">
        <f t="shared" si="52"/>
        <v>259</v>
      </c>
      <c r="V71" s="259">
        <f t="shared" si="52"/>
        <v>-106</v>
      </c>
      <c r="W71" s="259">
        <f t="shared" si="52"/>
        <v>-471</v>
      </c>
      <c r="X71" s="259">
        <f t="shared" si="52"/>
        <v>-836</v>
      </c>
      <c r="Y71" s="259">
        <f t="shared" si="52"/>
        <v>-1202</v>
      </c>
      <c r="Z71" s="259">
        <f t="shared" si="52"/>
        <v>-1567</v>
      </c>
      <c r="AA71" s="267">
        <f>(VLOOKUP(A71,Hshldprojections2014!$A$2:$AW$319,40, FALSE)-VLOOKUP(A71,Hshldprojections2014!$A$2:$AW$319,30, FALSE))/10</f>
        <v>572.20000000000005</v>
      </c>
      <c r="AB71" s="267">
        <f>(VLOOKUP(A71,Hshldprojections2014!$A$2:$AW$319,41, FALSE)-VLOOKUP(A71,Hshldprojections2014!$A$2:$AW$319,31, FALSE))/10</f>
        <v>569.70000000000005</v>
      </c>
      <c r="AC71" s="267">
        <f>(VLOOKUP(A71,Hshldprojections2014!$A$2:$AW$319,42, FALSE)-VLOOKUP(A71,Hshldprojections2014!$A$2:$AW$319,32, FALSE))/10</f>
        <v>570.6</v>
      </c>
      <c r="AD71" s="267">
        <f>IF(IndividualLATest!$J$7=2014,(VLOOKUP($A71,Hshldprojections2014!$A$2:$AY$326,43,FALSE)-VLOOKUP($A71,Hshldprojections2014!$A$2:$AY$326,33,FALSE))/10,IF(IndividualLATest!$J$7=2016,(VLOOKUP($A71,Hshldprojections2016!$A$1:$AQ$322,33,FALSE)-VLOOKUP($A71,Hshldprojections2016!$A$1:$AQ$322,23,FALSE))/10,(VLOOKUP($A71,Hshldprojections2018!$A$1:$AQ$327,33,FALSE)-VLOOKUP($A71,Hshldprojections2018!$A$1:$AQ$327,23,FALSE))/10))</f>
        <v>289</v>
      </c>
      <c r="AE71" s="267">
        <f>IF(IndividualLATest!$J$7=2014,(VLOOKUP($A71,Hshldprojections2014!$A$2:$AY$326,44,FALSE)-VLOOKUP($A71,Hshldprojections2014!$A$2:$AY$326,34,FALSE))/10,IF(IndividualLATest!$J$7=2016,(VLOOKUP($A71,Hshldprojections2016!$A$1:$AQ$322,34,FALSE)-VLOOKUP($A71,Hshldprojections2016!$A$1:$AQ$322,24,FALSE))/10,(VLOOKUP($A71,Hshldprojections2018!$A$1:$AQ$327,34,FALSE)-VLOOKUP($A71,Hshldprojections2018!$A$1:$AQ$327,24,FALSE))/10))</f>
        <v>286</v>
      </c>
      <c r="AF71" s="267">
        <f>IF(IndividualLATest!$J$7=2014,(VLOOKUP($A71,Hshldprojections2014!$A$2:$AY$326,45,FALSE)-VLOOKUP($A71,Hshldprojections2014!$A$2:$AY$326,35,FALSE))/10,IF(IndividualLATest!$J$7=2016,(VLOOKUP($A71,Hshldprojections2016!$A$1:$AQ$322,35,FALSE)-VLOOKUP($A71,Hshldprojections2016!$A$1:$AQ$322,25,FALSE))/10,(VLOOKUP($A71,Hshldprojections2018!$A$1:$AQ$327,35,FALSE)-VLOOKUP($A71,Hshldprojections2018!$A$1:$AQ$327,25,FALSE))/10))</f>
        <v>283.60000000000002</v>
      </c>
      <c r="AG71" s="267">
        <f>IF(IndividualLATest!$J$7=2014,(VLOOKUP($A71,Hshldprojections2014!$A$2:$AY$326,46,FALSE)-VLOOKUP($A71,Hshldprojections2014!$A$2:$AY$326,36,FALSE))/10,IF(IndividualLATest!$J$7=2016,(VLOOKUP($A71,Hshldprojections2016!$A$1:$AQ$322,36,FALSE)-VLOOKUP($A71,Hshldprojections2016!$A$1:$AQ$322,26,FALSE))/10,(VLOOKUP($A71,Hshldprojections2018!$A$1:$AQ$327,36,FALSE)-VLOOKUP($A71,Hshldprojections2018!$A$1:$AQ$327,26,FALSE))/10))</f>
        <v>281</v>
      </c>
      <c r="AH71" s="267">
        <f>IF(IndividualLATest!$J$7=2014,(VLOOKUP($A71,Hshldprojections2014!$A$2:$AY$326,47,FALSE)-VLOOKUP($A71,Hshldprojections2014!$A$2:$AY$326,37,FALSE))/10,IF(IndividualLATest!$J$7=2016,(VLOOKUP($A71,Hshldprojections2016!$A$1:$AQ$322,37,FALSE)-VLOOKUP($A71,Hshldprojections2016!$A$1:$AQ$322,27,FALSE))/10,(VLOOKUP($A71,Hshldprojections2018!$A$1:$AQ$327,37,FALSE)-VLOOKUP($A71,Hshldprojections2018!$A$1:$AQ$327,27,FALSE))/10))</f>
        <v>279.8</v>
      </c>
      <c r="AI71" s="268">
        <f>IF(ISNUMBER('Sensitivity Tests'!$C$30),'Sensitivity Tests'!$C$30,VLOOKUP($A71,AffordabilityRatio!$A$2:$I$321,5,FALSE))</f>
        <v>8.9</v>
      </c>
      <c r="AJ71" s="268">
        <f>IF(ISNUMBER('Sensitivity Tests'!$C$30),'Sensitivity Tests'!$C$30,VLOOKUP($A71,AffordabilityRatio!$A$2:$I$321,6,FALSE))</f>
        <v>9.09</v>
      </c>
      <c r="AK71" s="268">
        <f>IF(ISNUMBER('Sensitivity Tests'!$C$30),'Sensitivity Tests'!$C$30,VLOOKUP($A71,AffordabilityRatio!$A$2:$I$321,7,FALSE))</f>
        <v>9.0500000000000007</v>
      </c>
      <c r="AL71" s="268">
        <f>IF(ISNUMBER('Sensitivity Tests'!$C$30),'Sensitivity Tests'!$C$30,IF((VLOOKUP($A71,AffordabilityRatio!$A$2:$I$321,8,FALSE))="",AK71,VLOOKUP($A71,AffordabilityRatio!$A$2:$I$321,8,FALSE)))</f>
        <v>8.2100000000000009</v>
      </c>
      <c r="AM71" s="268">
        <f>IF(ISNUMBER('Sensitivity Tests'!$C$30),'Sensitivity Tests'!$C$30,IF((VLOOKUP($A71,AffordabilityRatio!$A$2:$I$321,9,FALSE))="",AL71,VLOOKUP($A71,AffordabilityRatio!$A$2:$I$321,9,FALSE)))</f>
        <v>8.99</v>
      </c>
      <c r="AN71" s="268">
        <f>IF(ISNUMBER('Sensitivity Tests'!$C$30),'Sensitivity Tests'!$C$30,IF((VLOOKUP($A71,AffordabilityRatio!$A$2:$I$321,9,FALSE))="",AM71,VLOOKUP($A71,AffordabilityRatio!$A$2:$I$321,9,FALSE)))</f>
        <v>8.99</v>
      </c>
      <c r="AO71" s="268">
        <f>IF(ISNUMBER('Sensitivity Tests'!$C$30),'Sensitivity Tests'!$C$30,IF((VLOOKUP($A71,AffordabilityRatio!$A$2:$I$321,9,FALSE))="",AN71,VLOOKUP($A71,AffordabilityRatio!$A$2:$I$321,9,FALSE)))</f>
        <v>8.99</v>
      </c>
      <c r="AP71" s="268">
        <f>IF(ISNUMBER('Sensitivity Tests'!$C$30),'Sensitivity Tests'!$C$30,IF((VLOOKUP($A71,AffordabilityRatio!$A$2:$I$321,9,FALSE))="",AO71,VLOOKUP($A71,AffordabilityRatio!$A$2:$I$321,9,FALSE)))</f>
        <v>8.99</v>
      </c>
      <c r="AQ71" s="267">
        <f t="shared" si="53"/>
        <v>747</v>
      </c>
      <c r="AR71" s="267">
        <f t="shared" si="53"/>
        <v>751</v>
      </c>
      <c r="AS71" s="267">
        <f t="shared" si="53"/>
        <v>751</v>
      </c>
      <c r="AT71" s="267">
        <f t="shared" si="53"/>
        <v>365</v>
      </c>
      <c r="AU71" s="267">
        <f t="shared" si="53"/>
        <v>375</v>
      </c>
      <c r="AV71" s="267">
        <f t="shared" si="53"/>
        <v>372</v>
      </c>
      <c r="AW71" s="267">
        <f t="shared" si="53"/>
        <v>369</v>
      </c>
      <c r="AX71" s="267">
        <f t="shared" si="53"/>
        <v>367</v>
      </c>
      <c r="AY71" s="267">
        <f t="shared" si="71"/>
        <v>476</v>
      </c>
      <c r="AZ71" s="267">
        <f t="shared" si="72"/>
        <v>476</v>
      </c>
      <c r="BA71" s="267">
        <f t="shared" si="73"/>
        <v>476</v>
      </c>
      <c r="BB71" s="267">
        <f t="shared" si="74"/>
        <v>365</v>
      </c>
      <c r="BC71" s="267">
        <f t="shared" si="75"/>
        <v>375</v>
      </c>
      <c r="BD71" s="267">
        <f t="shared" si="76"/>
        <v>372</v>
      </c>
      <c r="BE71" s="267">
        <f t="shared" si="77"/>
        <v>369</v>
      </c>
      <c r="BF71" s="267">
        <f t="shared" si="78"/>
        <v>367</v>
      </c>
      <c r="BG71" s="269">
        <f>AY71*VLOOKUP($B71,'Major Cities &amp; Towns'!$A$28:$B$345,2,FALSE)</f>
        <v>476</v>
      </c>
      <c r="BH71" s="269">
        <f>AZ71*VLOOKUP($B71,'Major Cities &amp; Towns'!$A$28:$B$345,2,FALSE)</f>
        <v>476</v>
      </c>
      <c r="BI71" s="269">
        <f>BA71*VLOOKUP($B71,'Major Cities &amp; Towns'!$A$28:$B$345,2,FALSE)</f>
        <v>476</v>
      </c>
      <c r="BJ71" s="269">
        <f>BB71*VLOOKUP($B71,'Major Cities &amp; Towns'!$A$28:$B$345,2,FALSE)</f>
        <v>365</v>
      </c>
      <c r="BK71" s="269">
        <f>BC71*VLOOKUP($B71,'Major Cities &amp; Towns'!$A$28:$B$345,2,FALSE)</f>
        <v>375</v>
      </c>
      <c r="BL71" s="269">
        <f>BD71*VLOOKUP($B71,'Major Cities &amp; Towns'!$A$28:$B$345,2,FALSE)</f>
        <v>372</v>
      </c>
      <c r="BM71" s="269">
        <f>BE71*VLOOKUP($B71,'Major Cities &amp; Towns'!$A$28:$B$345,2,FALSE)</f>
        <v>369</v>
      </c>
      <c r="BN71" s="269">
        <f>BF71*VLOOKUP($B71,'Major Cities &amp; Towns'!$A$28:$B$345,2,FALSE)</f>
        <v>367</v>
      </c>
      <c r="BO71" s="270">
        <f t="shared" si="79"/>
        <v>340</v>
      </c>
      <c r="BP71" s="270">
        <f t="shared" si="50"/>
        <v>340</v>
      </c>
      <c r="BQ71" s="270">
        <f t="shared" si="50"/>
        <v>459.35890410958905</v>
      </c>
      <c r="BR71" s="270">
        <f t="shared" si="50"/>
        <v>365</v>
      </c>
      <c r="BS71" s="270">
        <f t="shared" si="49"/>
        <v>375</v>
      </c>
      <c r="BT71" s="270">
        <f t="shared" si="49"/>
        <v>372</v>
      </c>
      <c r="BU71" s="270">
        <f t="shared" si="49"/>
        <v>369</v>
      </c>
      <c r="BV71" s="270">
        <f t="shared" si="49"/>
        <v>367</v>
      </c>
      <c r="BW71" s="39">
        <f>VLOOKUP($A71,NetAdditions!$A$2:$H$336,6,FALSE)</f>
        <v>512</v>
      </c>
      <c r="BX71" s="39">
        <f>VLOOKUP($A71,NetAdditions!$A$2:$H$336,7,FALSE)</f>
        <v>452</v>
      </c>
      <c r="BY71" s="39">
        <f>IF((VLOOKUP($C71,NetAdditions!$A$2:$H$336,8,FALSE))="",(AVERAGE(VLOOKUP($C71,NetAdditions!$A$2:$H$336,5,FALSE),VLOOKUP($C71,NetAdditions!$A$2:$H$336,6,FALSE),VLOOKUP($C71,NetAdditions!$A$2:$H$336,7,FALSE))),VLOOKUP($C71,NetAdditions!$A$2:$H$336,8,FALSE))</f>
        <v>568</v>
      </c>
      <c r="BZ71" s="39">
        <f t="shared" si="54"/>
        <v>510.66666666666669</v>
      </c>
      <c r="CA71" s="39">
        <f t="shared" si="54"/>
        <v>510.22222222222223</v>
      </c>
      <c r="CB71" s="39">
        <f t="shared" si="54"/>
        <v>529.62962962962968</v>
      </c>
      <c r="CC71" s="39">
        <f t="shared" si="54"/>
        <v>516.83950617283961</v>
      </c>
      <c r="CD71" s="39">
        <f t="shared" si="54"/>
        <v>518.89711934156378</v>
      </c>
      <c r="CE71" s="276">
        <f t="shared" si="55"/>
        <v>1139.358904109589</v>
      </c>
      <c r="CF71" s="276">
        <f t="shared" si="56"/>
        <v>1164.358904109589</v>
      </c>
      <c r="CG71" s="276">
        <f t="shared" si="57"/>
        <v>1199.358904109589</v>
      </c>
      <c r="CH71" s="276">
        <f t="shared" si="58"/>
        <v>1112</v>
      </c>
      <c r="CI71" s="276">
        <f t="shared" si="59"/>
        <v>1116</v>
      </c>
      <c r="CJ71" s="276">
        <f t="shared" si="60"/>
        <v>1108</v>
      </c>
      <c r="CK71" s="276">
        <f t="shared" si="80"/>
        <v>981.11461187214616</v>
      </c>
      <c r="CL71" s="276">
        <f t="shared" si="81"/>
        <v>1002.642389649924</v>
      </c>
      <c r="CM71" s="276">
        <f t="shared" si="82"/>
        <v>1099.4123287671232</v>
      </c>
      <c r="CN71" s="276">
        <f t="shared" si="83"/>
        <v>1112</v>
      </c>
      <c r="CO71" s="276">
        <f t="shared" si="83"/>
        <v>1116</v>
      </c>
      <c r="CP71" s="276">
        <f t="shared" si="83"/>
        <v>1108</v>
      </c>
      <c r="CQ71" s="39">
        <f t="shared" si="61"/>
        <v>1532</v>
      </c>
      <c r="CR71" s="39">
        <f t="shared" si="62"/>
        <v>1530.6666666666667</v>
      </c>
      <c r="CS71" s="277">
        <f t="shared" si="63"/>
        <v>1588.8888888888889</v>
      </c>
      <c r="CT71" s="39">
        <f t="shared" si="64"/>
        <v>1550.5185185185187</v>
      </c>
      <c r="CU71" s="39">
        <f t="shared" si="65"/>
        <v>1556.6913580246915</v>
      </c>
      <c r="CV71" s="39">
        <f t="shared" si="66"/>
        <v>1565.3662551440329</v>
      </c>
      <c r="CW71" s="297">
        <f t="shared" si="67"/>
        <v>1.5614893320941003</v>
      </c>
      <c r="CX71" s="279" t="str">
        <f t="shared" si="84"/>
        <v>Pass</v>
      </c>
      <c r="CY71" s="278">
        <f t="shared" si="68"/>
        <v>1.5266327081992854</v>
      </c>
      <c r="CZ71" s="279" t="str">
        <f t="shared" si="85"/>
        <v>Pass</v>
      </c>
      <c r="DA71" s="278">
        <f t="shared" si="69"/>
        <v>1.4452165464350057</v>
      </c>
      <c r="DB71" s="292" t="str">
        <f t="shared" si="86"/>
        <v>Pass</v>
      </c>
      <c r="DC71" s="299">
        <f t="shared" si="87"/>
        <v>1.3943511857180924</v>
      </c>
      <c r="DD71" s="293" t="str">
        <f t="shared" si="88"/>
        <v>Pass</v>
      </c>
      <c r="DE71" s="299">
        <f t="shared" si="89"/>
        <v>1.3948847294128059</v>
      </c>
      <c r="DF71" s="293" t="str">
        <f t="shared" si="90"/>
        <v>Pass</v>
      </c>
      <c r="DG71" s="299">
        <f t="shared" si="91"/>
        <v>1.4127854288303547</v>
      </c>
      <c r="DH71" s="293" t="str">
        <f t="shared" si="92"/>
        <v>Pass</v>
      </c>
    </row>
    <row r="72" spans="1:112" customFormat="1" ht="15.5" thickTop="1" thickBot="1">
      <c r="A72" s="3" t="s">
        <v>253</v>
      </c>
      <c r="B72" s="3" t="s">
        <v>254</v>
      </c>
      <c r="C72" s="3" t="s">
        <v>253</v>
      </c>
      <c r="D72" s="3" t="s">
        <v>131</v>
      </c>
      <c r="E72" s="3" t="str">
        <f>VLOOKUP(C72,PoliticalControl!A:K,11,FALSE)</f>
        <v>LAB</v>
      </c>
      <c r="F72" s="3" t="str">
        <f>VLOOKUP(C72,UrbanRuralClassification!A:N,13,FALSE)</f>
        <v>Urban with Major Conurbation</v>
      </c>
      <c r="G72" s="3" t="str">
        <f>VLOOKUP(C72,UrbanRuralClassification!A:N,14,FALSE)</f>
        <v>Predominantly Urban</v>
      </c>
      <c r="H72" s="262">
        <f>IF(ISBLANK((VLOOKUP($A72,'local-plan-data'!$C$1:$AD$566,27,FALSE)))=TRUE,"",VLOOKUP($A72,'local-plan-data'!$C$1:$AD$566,27,FALSE))</f>
        <v>43158</v>
      </c>
      <c r="I72" s="263">
        <f>VLOOKUP($A72,'local-plan-data'!$C$1:$AD$566,28,FALSE)</f>
        <v>1644.5</v>
      </c>
      <c r="J72" s="264">
        <f t="shared" si="70"/>
        <v>1644.5</v>
      </c>
      <c r="K72" s="259">
        <f t="shared" si="51"/>
        <v>1644.5</v>
      </c>
      <c r="L72" s="259">
        <f t="shared" si="51"/>
        <v>1644.5</v>
      </c>
      <c r="M72" s="259">
        <f t="shared" si="51"/>
        <v>1644.5</v>
      </c>
      <c r="N72" s="259">
        <f t="shared" si="51"/>
        <v>1644.5</v>
      </c>
      <c r="O72" s="259">
        <f t="shared" si="51"/>
        <v>1644.5</v>
      </c>
      <c r="P72" s="259" t="str">
        <f t="shared" si="51"/>
        <v>-</v>
      </c>
      <c r="Q72" s="259" t="str">
        <f t="shared" si="51"/>
        <v>-</v>
      </c>
      <c r="R72" s="259" t="str">
        <f t="shared" si="51"/>
        <v>-</v>
      </c>
      <c r="S72" s="259">
        <f t="shared" si="52"/>
        <v>1793</v>
      </c>
      <c r="T72" s="259">
        <f t="shared" si="52"/>
        <v>1428</v>
      </c>
      <c r="U72" s="259">
        <f t="shared" si="52"/>
        <v>1062</v>
      </c>
      <c r="V72" s="259">
        <f t="shared" si="52"/>
        <v>697</v>
      </c>
      <c r="W72" s="259">
        <f t="shared" si="52"/>
        <v>332</v>
      </c>
      <c r="X72" s="259">
        <f t="shared" si="52"/>
        <v>-33</v>
      </c>
      <c r="Y72" s="259">
        <f t="shared" si="52"/>
        <v>-399</v>
      </c>
      <c r="Z72" s="259">
        <f t="shared" si="52"/>
        <v>-764</v>
      </c>
      <c r="AA72" s="267">
        <f>(VLOOKUP(A72,Hshldprojections2014!$A$2:$AW$319,40, FALSE)-VLOOKUP(A72,Hshldprojections2014!$A$2:$AW$319,30, FALSE))/10</f>
        <v>2485.4</v>
      </c>
      <c r="AB72" s="267">
        <f>(VLOOKUP(A72,Hshldprojections2014!$A$2:$AW$319,41, FALSE)-VLOOKUP(A72,Hshldprojections2014!$A$2:$AW$319,31, FALSE))/10</f>
        <v>2472.6</v>
      </c>
      <c r="AC72" s="267">
        <f>(VLOOKUP(A72,Hshldprojections2014!$A$2:$AW$319,42, FALSE)-VLOOKUP(A72,Hshldprojections2014!$A$2:$AW$319,32, FALSE))/10</f>
        <v>2458.5</v>
      </c>
      <c r="AD72" s="267">
        <f>IF(IndividualLATest!$J$7=2014,(VLOOKUP($A72,Hshldprojections2014!$A$2:$AY$326,43,FALSE)-VLOOKUP($A72,Hshldprojections2014!$A$2:$AY$326,33,FALSE))/10,IF(IndividualLATest!$J$7=2016,(VLOOKUP($A72,Hshldprojections2016!$A$1:$AQ$322,33,FALSE)-VLOOKUP($A72,Hshldprojections2016!$A$1:$AQ$322,23,FALSE))/10,(VLOOKUP($A72,Hshldprojections2018!$A$1:$AQ$327,33,FALSE)-VLOOKUP($A72,Hshldprojections2018!$A$1:$AQ$327,23,FALSE))/10))</f>
        <v>941</v>
      </c>
      <c r="AE72" s="267">
        <f>IF(IndividualLATest!$J$7=2014,(VLOOKUP($A72,Hshldprojections2014!$A$2:$AY$326,44,FALSE)-VLOOKUP($A72,Hshldprojections2014!$A$2:$AY$326,34,FALSE))/10,IF(IndividualLATest!$J$7=2016,(VLOOKUP($A72,Hshldprojections2016!$A$1:$AQ$322,34,FALSE)-VLOOKUP($A72,Hshldprojections2016!$A$1:$AQ$322,24,FALSE))/10,(VLOOKUP($A72,Hshldprojections2018!$A$1:$AQ$327,34,FALSE)-VLOOKUP($A72,Hshldprojections2018!$A$1:$AQ$327,24,FALSE))/10))</f>
        <v>917.7</v>
      </c>
      <c r="AF72" s="267">
        <f>IF(IndividualLATest!$J$7=2014,(VLOOKUP($A72,Hshldprojections2014!$A$2:$AY$326,45,FALSE)-VLOOKUP($A72,Hshldprojections2014!$A$2:$AY$326,35,FALSE))/10,IF(IndividualLATest!$J$7=2016,(VLOOKUP($A72,Hshldprojections2016!$A$1:$AQ$322,35,FALSE)-VLOOKUP($A72,Hshldprojections2016!$A$1:$AQ$322,25,FALSE))/10,(VLOOKUP($A72,Hshldprojections2018!$A$1:$AQ$327,35,FALSE)-VLOOKUP($A72,Hshldprojections2018!$A$1:$AQ$327,25,FALSE))/10))</f>
        <v>905.5</v>
      </c>
      <c r="AG72" s="267">
        <f>IF(IndividualLATest!$J$7=2014,(VLOOKUP($A72,Hshldprojections2014!$A$2:$AY$326,46,FALSE)-VLOOKUP($A72,Hshldprojections2014!$A$2:$AY$326,36,FALSE))/10,IF(IndividualLATest!$J$7=2016,(VLOOKUP($A72,Hshldprojections2016!$A$1:$AQ$322,36,FALSE)-VLOOKUP($A72,Hshldprojections2016!$A$1:$AQ$322,26,FALSE))/10,(VLOOKUP($A72,Hshldprojections2018!$A$1:$AQ$327,36,FALSE)-VLOOKUP($A72,Hshldprojections2018!$A$1:$AQ$327,26,FALSE))/10))</f>
        <v>896.6</v>
      </c>
      <c r="AH72" s="267">
        <f>IF(IndividualLATest!$J$7=2014,(VLOOKUP($A72,Hshldprojections2014!$A$2:$AY$326,47,FALSE)-VLOOKUP($A72,Hshldprojections2014!$A$2:$AY$326,37,FALSE))/10,IF(IndividualLATest!$J$7=2016,(VLOOKUP($A72,Hshldprojections2016!$A$1:$AQ$322,37,FALSE)-VLOOKUP($A72,Hshldprojections2016!$A$1:$AQ$322,27,FALSE))/10,(VLOOKUP($A72,Hshldprojections2018!$A$1:$AQ$327,37,FALSE)-VLOOKUP($A72,Hshldprojections2018!$A$1:$AQ$327,27,FALSE))/10))</f>
        <v>893.4</v>
      </c>
      <c r="AI72" s="268">
        <f>IF(ISNUMBER('Sensitivity Tests'!$C$30),'Sensitivity Tests'!$C$30,VLOOKUP($A72,AffordabilityRatio!$A$2:$I$321,5,FALSE))</f>
        <v>11.21</v>
      </c>
      <c r="AJ72" s="268">
        <f>IF(ISNUMBER('Sensitivity Tests'!$C$30),'Sensitivity Tests'!$C$30,VLOOKUP($A72,AffordabilityRatio!$A$2:$I$321,6,FALSE))</f>
        <v>11.09</v>
      </c>
      <c r="AK72" s="268">
        <f>IF(ISNUMBER('Sensitivity Tests'!$C$30),'Sensitivity Tests'!$C$30,VLOOKUP($A72,AffordabilityRatio!$A$2:$I$321,7,FALSE))</f>
        <v>10.8</v>
      </c>
      <c r="AL72" s="268">
        <f>IF(ISNUMBER('Sensitivity Tests'!$C$30),'Sensitivity Tests'!$C$30,IF((VLOOKUP($A72,AffordabilityRatio!$A$2:$I$321,8,FALSE))="",AK72,VLOOKUP($A72,AffordabilityRatio!$A$2:$I$321,8,FALSE)))</f>
        <v>11.43</v>
      </c>
      <c r="AM72" s="268">
        <f>IF(ISNUMBER('Sensitivity Tests'!$C$30),'Sensitivity Tests'!$C$30,IF((VLOOKUP($A72,AffordabilityRatio!$A$2:$I$321,9,FALSE))="",AL72,VLOOKUP($A72,AffordabilityRatio!$A$2:$I$321,9,FALSE)))</f>
        <v>11.88</v>
      </c>
      <c r="AN72" s="268">
        <f>IF(ISNUMBER('Sensitivity Tests'!$C$30),'Sensitivity Tests'!$C$30,IF((VLOOKUP($A72,AffordabilityRatio!$A$2:$I$321,9,FALSE))="",AM72,VLOOKUP($A72,AffordabilityRatio!$A$2:$I$321,9,FALSE)))</f>
        <v>11.88</v>
      </c>
      <c r="AO72" s="268">
        <f>IF(ISNUMBER('Sensitivity Tests'!$C$30),'Sensitivity Tests'!$C$30,IF((VLOOKUP($A72,AffordabilityRatio!$A$2:$I$321,9,FALSE))="",AN72,VLOOKUP($A72,AffordabilityRatio!$A$2:$I$321,9,FALSE)))</f>
        <v>11.88</v>
      </c>
      <c r="AP72" s="268">
        <f>IF(ISNUMBER('Sensitivity Tests'!$C$30),'Sensitivity Tests'!$C$30,IF((VLOOKUP($A72,AffordabilityRatio!$A$2:$I$321,9,FALSE))="",AO72,VLOOKUP($A72,AffordabilityRatio!$A$2:$I$321,9,FALSE)))</f>
        <v>11.88</v>
      </c>
      <c r="AQ72" s="267">
        <f t="shared" si="53"/>
        <v>3605</v>
      </c>
      <c r="AR72" s="267">
        <f t="shared" si="53"/>
        <v>3568</v>
      </c>
      <c r="AS72" s="267">
        <f t="shared" si="53"/>
        <v>3503</v>
      </c>
      <c r="AT72" s="267">
        <f t="shared" si="53"/>
        <v>1378</v>
      </c>
      <c r="AU72" s="267">
        <f t="shared" si="53"/>
        <v>1370</v>
      </c>
      <c r="AV72" s="267">
        <f t="shared" si="53"/>
        <v>1351</v>
      </c>
      <c r="AW72" s="267">
        <f t="shared" si="53"/>
        <v>1338</v>
      </c>
      <c r="AX72" s="267">
        <f t="shared" si="53"/>
        <v>1333</v>
      </c>
      <c r="AY72" s="267">
        <f t="shared" si="71"/>
        <v>2302.3000000000002</v>
      </c>
      <c r="AZ72" s="267">
        <f t="shared" si="72"/>
        <v>2302.3000000000002</v>
      </c>
      <c r="BA72" s="267">
        <f t="shared" si="73"/>
        <v>2302.3000000000002</v>
      </c>
      <c r="BB72" s="267">
        <f t="shared" si="74"/>
        <v>1378</v>
      </c>
      <c r="BC72" s="267">
        <f t="shared" si="75"/>
        <v>1370</v>
      </c>
      <c r="BD72" s="267">
        <f t="shared" si="76"/>
        <v>1351</v>
      </c>
      <c r="BE72" s="267">
        <f t="shared" si="77"/>
        <v>1338</v>
      </c>
      <c r="BF72" s="267">
        <f t="shared" si="78"/>
        <v>1333</v>
      </c>
      <c r="BG72" s="269">
        <f>AY72*VLOOKUP($B72,'Major Cities &amp; Towns'!$A$28:$B$345,2,FALSE)</f>
        <v>3108.1050000000005</v>
      </c>
      <c r="BH72" s="269">
        <f>AZ72*VLOOKUP($B72,'Major Cities &amp; Towns'!$A$28:$B$345,2,FALSE)</f>
        <v>3108.1050000000005</v>
      </c>
      <c r="BI72" s="269">
        <f>BA72*VLOOKUP($B72,'Major Cities &amp; Towns'!$A$28:$B$345,2,FALSE)</f>
        <v>3108.1050000000005</v>
      </c>
      <c r="BJ72" s="269">
        <f>BB72*VLOOKUP($B72,'Major Cities &amp; Towns'!$A$28:$B$345,2,FALSE)</f>
        <v>1860.3000000000002</v>
      </c>
      <c r="BK72" s="269">
        <f>BC72*VLOOKUP($B72,'Major Cities &amp; Towns'!$A$28:$B$345,2,FALSE)</f>
        <v>1849.5000000000002</v>
      </c>
      <c r="BL72" s="269">
        <f>BD72*VLOOKUP($B72,'Major Cities &amp; Towns'!$A$28:$B$345,2,FALSE)</f>
        <v>1823.8500000000001</v>
      </c>
      <c r="BM72" s="269">
        <f>BE72*VLOOKUP($B72,'Major Cities &amp; Towns'!$A$28:$B$345,2,FALSE)</f>
        <v>1806.3000000000002</v>
      </c>
      <c r="BN72" s="269">
        <f>BF72*VLOOKUP($B72,'Major Cities &amp; Towns'!$A$28:$B$345,2,FALSE)</f>
        <v>1799.5500000000002</v>
      </c>
      <c r="BO72" s="270">
        <f t="shared" si="79"/>
        <v>1644.5</v>
      </c>
      <c r="BP72" s="270">
        <f t="shared" si="50"/>
        <v>1644.5</v>
      </c>
      <c r="BQ72" s="270">
        <f t="shared" si="50"/>
        <v>1644.5</v>
      </c>
      <c r="BR72" s="270">
        <f t="shared" si="50"/>
        <v>1378</v>
      </c>
      <c r="BS72" s="270">
        <f t="shared" si="49"/>
        <v>1619.682191780822</v>
      </c>
      <c r="BT72" s="270">
        <f t="shared" si="49"/>
        <v>1351</v>
      </c>
      <c r="BU72" s="270">
        <f t="shared" si="49"/>
        <v>1338</v>
      </c>
      <c r="BV72" s="270">
        <f t="shared" si="49"/>
        <v>1333</v>
      </c>
      <c r="BW72" s="39">
        <f>VLOOKUP($A72,NetAdditions!$A$2:$H$336,6,FALSE)</f>
        <v>1590</v>
      </c>
      <c r="BX72" s="39">
        <f>VLOOKUP($A72,NetAdditions!$A$2:$H$336,7,FALSE)</f>
        <v>1657</v>
      </c>
      <c r="BY72" s="39">
        <f>IF((VLOOKUP($C72,NetAdditions!$A$2:$H$336,8,FALSE))="",(AVERAGE(VLOOKUP($C72,NetAdditions!$A$2:$H$336,5,FALSE),VLOOKUP($C72,NetAdditions!$A$2:$H$336,6,FALSE),VLOOKUP($C72,NetAdditions!$A$2:$H$336,7,FALSE))),VLOOKUP($C72,NetAdditions!$A$2:$H$336,8,FALSE))</f>
        <v>2029</v>
      </c>
      <c r="BZ72" s="39">
        <f t="shared" si="54"/>
        <v>1758.6666666666667</v>
      </c>
      <c r="CA72" s="39">
        <f t="shared" si="54"/>
        <v>1814.8888888888889</v>
      </c>
      <c r="CB72" s="39">
        <f t="shared" si="54"/>
        <v>1867.5185185185185</v>
      </c>
      <c r="CC72" s="39">
        <f t="shared" si="54"/>
        <v>1813.6913580246912</v>
      </c>
      <c r="CD72" s="39">
        <f t="shared" si="54"/>
        <v>1832.0329218106997</v>
      </c>
      <c r="CE72" s="276">
        <f t="shared" si="55"/>
        <v>4933.5</v>
      </c>
      <c r="CF72" s="276">
        <f t="shared" si="56"/>
        <v>4667</v>
      </c>
      <c r="CG72" s="276">
        <f t="shared" si="57"/>
        <v>4642.182191780822</v>
      </c>
      <c r="CH72" s="276">
        <f t="shared" si="58"/>
        <v>4348.682191780822</v>
      </c>
      <c r="CI72" s="276">
        <f t="shared" si="59"/>
        <v>4308.682191780822</v>
      </c>
      <c r="CJ72" s="276">
        <f t="shared" si="60"/>
        <v>4022</v>
      </c>
      <c r="CK72" s="276">
        <f t="shared" si="80"/>
        <v>4248.291666666667</v>
      </c>
      <c r="CL72" s="276">
        <f t="shared" si="81"/>
        <v>4018.8055555555557</v>
      </c>
      <c r="CM72" s="276">
        <f t="shared" si="82"/>
        <v>4255.3336757990864</v>
      </c>
      <c r="CN72" s="276">
        <f t="shared" si="83"/>
        <v>4348.682191780822</v>
      </c>
      <c r="CO72" s="276">
        <f t="shared" si="83"/>
        <v>4308.682191780822</v>
      </c>
      <c r="CP72" s="276">
        <f t="shared" si="83"/>
        <v>4022</v>
      </c>
      <c r="CQ72" s="39">
        <f t="shared" si="61"/>
        <v>5276</v>
      </c>
      <c r="CR72" s="39">
        <f t="shared" si="62"/>
        <v>5444.666666666667</v>
      </c>
      <c r="CS72" s="277">
        <f t="shared" si="63"/>
        <v>5602.5555555555557</v>
      </c>
      <c r="CT72" s="39">
        <f t="shared" si="64"/>
        <v>5441.0740740740739</v>
      </c>
      <c r="CU72" s="39">
        <f t="shared" si="65"/>
        <v>5496.0987654320988</v>
      </c>
      <c r="CV72" s="39">
        <f t="shared" si="66"/>
        <v>5513.2427983539092</v>
      </c>
      <c r="CW72" s="297">
        <f t="shared" si="67"/>
        <v>1.2419109642111044</v>
      </c>
      <c r="CX72" s="279" t="str">
        <f t="shared" si="84"/>
        <v>Pass</v>
      </c>
      <c r="CY72" s="278">
        <f t="shared" si="68"/>
        <v>1.3547972379853053</v>
      </c>
      <c r="CZ72" s="279" t="str">
        <f t="shared" si="85"/>
        <v>Pass</v>
      </c>
      <c r="DA72" s="278">
        <f t="shared" si="69"/>
        <v>1.3165960609430896</v>
      </c>
      <c r="DB72" s="292" t="str">
        <f t="shared" si="86"/>
        <v>Pass</v>
      </c>
      <c r="DC72" s="299">
        <f t="shared" si="87"/>
        <v>1.2512006704830982</v>
      </c>
      <c r="DD72" s="293" t="str">
        <f t="shared" si="88"/>
        <v>Pass</v>
      </c>
      <c r="DE72" s="299">
        <f t="shared" si="89"/>
        <v>1.2755869476556834</v>
      </c>
      <c r="DF72" s="293" t="str">
        <f t="shared" si="90"/>
        <v>Pass</v>
      </c>
      <c r="DG72" s="299">
        <f t="shared" si="91"/>
        <v>1.3707714565773021</v>
      </c>
      <c r="DH72" s="293" t="str">
        <f t="shared" si="92"/>
        <v>Pass</v>
      </c>
    </row>
    <row r="73" spans="1:112" ht="15" thickTop="1" thickBot="1">
      <c r="A73" s="38" t="s">
        <v>255</v>
      </c>
      <c r="B73" s="38" t="s">
        <v>256</v>
      </c>
      <c r="C73" s="38" t="s">
        <v>255</v>
      </c>
      <c r="D73" s="38" t="s">
        <v>128</v>
      </c>
      <c r="E73" s="38" t="str">
        <f>VLOOKUP(C73,PoliticalControl!A:K,11,FALSE)</f>
        <v>CON</v>
      </c>
      <c r="F73" s="38" t="str">
        <f>VLOOKUP(C73,UrbanRuralClassification!A:N,13,FALSE)</f>
        <v>Urban with Significant Rural (rural including hub towns 26-49%)</v>
      </c>
      <c r="G73" s="38" t="str">
        <f>VLOOKUP(C73,UrbanRuralClassification!A:N,14,FALSE)</f>
        <v>Urban with Significant Rural</v>
      </c>
      <c r="H73" s="258">
        <f>IF(ISBLANK((VLOOKUP($A73,'local-plan-data'!$C$1:$AD$566,27,FALSE)))=TRUE,"",VLOOKUP($A73,'local-plan-data'!$C$1:$AD$566,27,FALSE))</f>
        <v>41542</v>
      </c>
      <c r="I73" s="259">
        <f>VLOOKUP($A73,'local-plan-data'!$C$1:$AD$566,28,FALSE)</f>
        <v>430</v>
      </c>
      <c r="J73" s="260">
        <f t="shared" si="70"/>
        <v>430</v>
      </c>
      <c r="K73" s="259">
        <f t="shared" si="51"/>
        <v>430</v>
      </c>
      <c r="L73" s="259" t="str">
        <f t="shared" si="51"/>
        <v>-</v>
      </c>
      <c r="M73" s="259" t="str">
        <f t="shared" si="51"/>
        <v>-</v>
      </c>
      <c r="N73" s="259" t="str">
        <f t="shared" si="51"/>
        <v>-</v>
      </c>
      <c r="O73" s="259" t="str">
        <f t="shared" si="51"/>
        <v>-</v>
      </c>
      <c r="P73" s="259" t="str">
        <f t="shared" si="51"/>
        <v>-</v>
      </c>
      <c r="Q73" s="259" t="str">
        <f t="shared" si="51"/>
        <v>-</v>
      </c>
      <c r="R73" s="259" t="str">
        <f t="shared" si="51"/>
        <v>-</v>
      </c>
      <c r="S73" s="259">
        <f t="shared" si="52"/>
        <v>177</v>
      </c>
      <c r="T73" s="259">
        <f t="shared" si="52"/>
        <v>-188</v>
      </c>
      <c r="U73" s="259">
        <f t="shared" si="52"/>
        <v>-554</v>
      </c>
      <c r="V73" s="259">
        <f t="shared" si="52"/>
        <v>-919</v>
      </c>
      <c r="W73" s="259">
        <f t="shared" si="52"/>
        <v>-1284</v>
      </c>
      <c r="X73" s="259">
        <f t="shared" si="52"/>
        <v>-1649</v>
      </c>
      <c r="Y73" s="259">
        <f t="shared" si="52"/>
        <v>-2015</v>
      </c>
      <c r="Z73" s="259">
        <f t="shared" si="52"/>
        <v>-2380</v>
      </c>
      <c r="AA73" s="267">
        <f>(VLOOKUP(A73,Hshldprojections2014!$A$2:$AW$319,40, FALSE)-VLOOKUP(A73,Hshldprojections2014!$A$2:$AW$319,30, FALSE))/10</f>
        <v>739.3</v>
      </c>
      <c r="AB73" s="267">
        <f>(VLOOKUP(A73,Hshldprojections2014!$A$2:$AW$319,41, FALSE)-VLOOKUP(A73,Hshldprojections2014!$A$2:$AW$319,31, FALSE))/10</f>
        <v>732.4</v>
      </c>
      <c r="AC73" s="267">
        <f>(VLOOKUP(A73,Hshldprojections2014!$A$2:$AW$319,42, FALSE)-VLOOKUP(A73,Hshldprojections2014!$A$2:$AW$319,32, FALSE))/10</f>
        <v>730.5</v>
      </c>
      <c r="AD73" s="267">
        <f>IF(IndividualLATest!$J$7=2014,(VLOOKUP($A73,Hshldprojections2014!$A$2:$AY$326,43,FALSE)-VLOOKUP($A73,Hshldprojections2014!$A$2:$AY$326,33,FALSE))/10,IF(IndividualLATest!$J$7=2016,(VLOOKUP($A73,Hshldprojections2016!$A$1:$AQ$322,33,FALSE)-VLOOKUP($A73,Hshldprojections2016!$A$1:$AQ$322,23,FALSE))/10,(VLOOKUP($A73,Hshldprojections2018!$A$1:$AQ$327,33,FALSE)-VLOOKUP($A73,Hshldprojections2018!$A$1:$AQ$327,23,FALSE))/10))</f>
        <v>350.4</v>
      </c>
      <c r="AE73" s="267">
        <f>IF(IndividualLATest!$J$7=2014,(VLOOKUP($A73,Hshldprojections2014!$A$2:$AY$326,44,FALSE)-VLOOKUP($A73,Hshldprojections2014!$A$2:$AY$326,34,FALSE))/10,IF(IndividualLATest!$J$7=2016,(VLOOKUP($A73,Hshldprojections2016!$A$1:$AQ$322,34,FALSE)-VLOOKUP($A73,Hshldprojections2016!$A$1:$AQ$322,24,FALSE))/10,(VLOOKUP($A73,Hshldprojections2018!$A$1:$AQ$327,34,FALSE)-VLOOKUP($A73,Hshldprojections2018!$A$1:$AQ$327,24,FALSE))/10))</f>
        <v>343.6</v>
      </c>
      <c r="AF73" s="267">
        <f>IF(IndividualLATest!$J$7=2014,(VLOOKUP($A73,Hshldprojections2014!$A$2:$AY$326,45,FALSE)-VLOOKUP($A73,Hshldprojections2014!$A$2:$AY$326,35,FALSE))/10,IF(IndividualLATest!$J$7=2016,(VLOOKUP($A73,Hshldprojections2016!$A$1:$AQ$322,35,FALSE)-VLOOKUP($A73,Hshldprojections2016!$A$1:$AQ$322,25,FALSE))/10,(VLOOKUP($A73,Hshldprojections2018!$A$1:$AQ$327,35,FALSE)-VLOOKUP($A73,Hshldprojections2018!$A$1:$AQ$327,25,FALSE))/10))</f>
        <v>337.5</v>
      </c>
      <c r="AG73" s="267">
        <f>IF(IndividualLATest!$J$7=2014,(VLOOKUP($A73,Hshldprojections2014!$A$2:$AY$326,46,FALSE)-VLOOKUP($A73,Hshldprojections2014!$A$2:$AY$326,36,FALSE))/10,IF(IndividualLATest!$J$7=2016,(VLOOKUP($A73,Hshldprojections2016!$A$1:$AQ$322,36,FALSE)-VLOOKUP($A73,Hshldprojections2016!$A$1:$AQ$322,26,FALSE))/10,(VLOOKUP($A73,Hshldprojections2018!$A$1:$AQ$327,36,FALSE)-VLOOKUP($A73,Hshldprojections2018!$A$1:$AQ$327,26,FALSE))/10))</f>
        <v>332.4</v>
      </c>
      <c r="AH73" s="267">
        <f>IF(IndividualLATest!$J$7=2014,(VLOOKUP($A73,Hshldprojections2014!$A$2:$AY$326,47,FALSE)-VLOOKUP($A73,Hshldprojections2014!$A$2:$AY$326,37,FALSE))/10,IF(IndividualLATest!$J$7=2016,(VLOOKUP($A73,Hshldprojections2016!$A$1:$AQ$322,37,FALSE)-VLOOKUP($A73,Hshldprojections2016!$A$1:$AQ$322,27,FALSE))/10,(VLOOKUP($A73,Hshldprojections2018!$A$1:$AQ$327,37,FALSE)-VLOOKUP($A73,Hshldprojections2018!$A$1:$AQ$327,27,FALSE))/10))</f>
        <v>328.6</v>
      </c>
      <c r="AI73" s="268">
        <f>IF(ISNUMBER('Sensitivity Tests'!$C$30),'Sensitivity Tests'!$C$30,VLOOKUP($A73,AffordabilityRatio!$A$2:$I$321,5,FALSE))</f>
        <v>12.93</v>
      </c>
      <c r="AJ73" s="268">
        <f>IF(ISNUMBER('Sensitivity Tests'!$C$30),'Sensitivity Tests'!$C$30,VLOOKUP($A73,AffordabilityRatio!$A$2:$I$321,6,FALSE))</f>
        <v>12.28</v>
      </c>
      <c r="AK73" s="268">
        <f>IF(ISNUMBER('Sensitivity Tests'!$C$30),'Sensitivity Tests'!$C$30,VLOOKUP($A73,AffordabilityRatio!$A$2:$I$321,7,FALSE))</f>
        <v>12.1</v>
      </c>
      <c r="AL73" s="268">
        <f>IF(ISNUMBER('Sensitivity Tests'!$C$30),'Sensitivity Tests'!$C$30,IF((VLOOKUP($A73,AffordabilityRatio!$A$2:$I$321,8,FALSE))="",AK73,VLOOKUP($A73,AffordabilityRatio!$A$2:$I$321,8,FALSE)))</f>
        <v>11.87</v>
      </c>
      <c r="AM73" s="268">
        <f>IF(ISNUMBER('Sensitivity Tests'!$C$30),'Sensitivity Tests'!$C$30,IF((VLOOKUP($A73,AffordabilityRatio!$A$2:$I$321,9,FALSE))="",AL73,VLOOKUP($A73,AffordabilityRatio!$A$2:$I$321,9,FALSE)))</f>
        <v>14.04</v>
      </c>
      <c r="AN73" s="268">
        <f>IF(ISNUMBER('Sensitivity Tests'!$C$30),'Sensitivity Tests'!$C$30,IF((VLOOKUP($A73,AffordabilityRatio!$A$2:$I$321,9,FALSE))="",AM73,VLOOKUP($A73,AffordabilityRatio!$A$2:$I$321,9,FALSE)))</f>
        <v>14.04</v>
      </c>
      <c r="AO73" s="268">
        <f>IF(ISNUMBER('Sensitivity Tests'!$C$30),'Sensitivity Tests'!$C$30,IF((VLOOKUP($A73,AffordabilityRatio!$A$2:$I$321,9,FALSE))="",AN73,VLOOKUP($A73,AffordabilityRatio!$A$2:$I$321,9,FALSE)))</f>
        <v>14.04</v>
      </c>
      <c r="AP73" s="268">
        <f>IF(ISNUMBER('Sensitivity Tests'!$C$30),'Sensitivity Tests'!$C$30,IF((VLOOKUP($A73,AffordabilityRatio!$A$2:$I$321,9,FALSE))="",AO73,VLOOKUP($A73,AffordabilityRatio!$A$2:$I$321,9,FALSE)))</f>
        <v>14.04</v>
      </c>
      <c r="AQ73" s="267">
        <f t="shared" si="53"/>
        <v>1152</v>
      </c>
      <c r="AR73" s="267">
        <f t="shared" si="53"/>
        <v>1111</v>
      </c>
      <c r="AS73" s="267">
        <f t="shared" si="53"/>
        <v>1100</v>
      </c>
      <c r="AT73" s="267">
        <f t="shared" si="53"/>
        <v>523</v>
      </c>
      <c r="AU73" s="267">
        <f t="shared" si="53"/>
        <v>559</v>
      </c>
      <c r="AV73" s="267">
        <f t="shared" si="53"/>
        <v>549</v>
      </c>
      <c r="AW73" s="267">
        <f t="shared" si="53"/>
        <v>541</v>
      </c>
      <c r="AX73" s="267">
        <f t="shared" si="53"/>
        <v>535</v>
      </c>
      <c r="AY73" s="267">
        <f t="shared" si="71"/>
        <v>602</v>
      </c>
      <c r="AZ73" s="267">
        <f t="shared" si="72"/>
        <v>1025.3599999999999</v>
      </c>
      <c r="BA73" s="267">
        <f t="shared" si="73"/>
        <v>1022.7</v>
      </c>
      <c r="BB73" s="267">
        <f t="shared" si="74"/>
        <v>523</v>
      </c>
      <c r="BC73" s="267">
        <f t="shared" si="75"/>
        <v>559</v>
      </c>
      <c r="BD73" s="267">
        <f t="shared" si="76"/>
        <v>549</v>
      </c>
      <c r="BE73" s="267">
        <f t="shared" si="77"/>
        <v>541</v>
      </c>
      <c r="BF73" s="267">
        <f t="shared" si="78"/>
        <v>535</v>
      </c>
      <c r="BG73" s="269">
        <f>AY73*VLOOKUP($B73,'Major Cities &amp; Towns'!$A$28:$B$345,2,FALSE)</f>
        <v>602</v>
      </c>
      <c r="BH73" s="269">
        <f>AZ73*VLOOKUP($B73,'Major Cities &amp; Towns'!$A$28:$B$345,2,FALSE)</f>
        <v>1025.3599999999999</v>
      </c>
      <c r="BI73" s="269">
        <f>BA73*VLOOKUP($B73,'Major Cities &amp; Towns'!$A$28:$B$345,2,FALSE)</f>
        <v>1022.7</v>
      </c>
      <c r="BJ73" s="269">
        <f>BB73*VLOOKUP($B73,'Major Cities &amp; Towns'!$A$28:$B$345,2,FALSE)</f>
        <v>523</v>
      </c>
      <c r="BK73" s="269">
        <f>BC73*VLOOKUP($B73,'Major Cities &amp; Towns'!$A$28:$B$345,2,FALSE)</f>
        <v>559</v>
      </c>
      <c r="BL73" s="269">
        <f>BD73*VLOOKUP($B73,'Major Cities &amp; Towns'!$A$28:$B$345,2,FALSE)</f>
        <v>549</v>
      </c>
      <c r="BM73" s="269">
        <f>BE73*VLOOKUP($B73,'Major Cities &amp; Towns'!$A$28:$B$345,2,FALSE)</f>
        <v>541</v>
      </c>
      <c r="BN73" s="269">
        <f>BF73*VLOOKUP($B73,'Major Cities &amp; Towns'!$A$28:$B$345,2,FALSE)</f>
        <v>535</v>
      </c>
      <c r="BO73" s="270">
        <f t="shared" si="79"/>
        <v>801.87945205479457</v>
      </c>
      <c r="BP73" s="270">
        <f t="shared" si="50"/>
        <v>1111</v>
      </c>
      <c r="BQ73" s="270">
        <f t="shared" si="50"/>
        <v>1100</v>
      </c>
      <c r="BR73" s="270">
        <f t="shared" si="50"/>
        <v>523</v>
      </c>
      <c r="BS73" s="270">
        <f t="shared" si="49"/>
        <v>559</v>
      </c>
      <c r="BT73" s="270">
        <f t="shared" si="49"/>
        <v>549</v>
      </c>
      <c r="BU73" s="270">
        <f t="shared" si="49"/>
        <v>541</v>
      </c>
      <c r="BV73" s="270">
        <f t="shared" si="49"/>
        <v>535</v>
      </c>
      <c r="BW73" s="39">
        <f>VLOOKUP($A73,NetAdditions!$A$2:$H$336,6,FALSE)</f>
        <v>557</v>
      </c>
      <c r="BX73" s="39">
        <f>VLOOKUP($A73,NetAdditions!$A$2:$H$336,7,FALSE)</f>
        <v>488</v>
      </c>
      <c r="BY73" s="39">
        <f>IF((VLOOKUP($C73,NetAdditions!$A$2:$H$336,8,FALSE))="",(AVERAGE(VLOOKUP($C73,NetAdditions!$A$2:$H$336,5,FALSE),VLOOKUP($C73,NetAdditions!$A$2:$H$336,6,FALSE),VLOOKUP($C73,NetAdditions!$A$2:$H$336,7,FALSE))),VLOOKUP($C73,NetAdditions!$A$2:$H$336,8,FALSE))</f>
        <v>751</v>
      </c>
      <c r="BZ73" s="39">
        <f t="shared" si="54"/>
        <v>598.66666666666663</v>
      </c>
      <c r="CA73" s="39">
        <f t="shared" si="54"/>
        <v>612.55555555555554</v>
      </c>
      <c r="CB73" s="39">
        <f t="shared" si="54"/>
        <v>654.07407407407402</v>
      </c>
      <c r="CC73" s="39">
        <f t="shared" si="54"/>
        <v>621.76543209876536</v>
      </c>
      <c r="CD73" s="39">
        <f t="shared" si="54"/>
        <v>629.46502057613168</v>
      </c>
      <c r="CE73" s="276">
        <f t="shared" si="55"/>
        <v>3012.8794520547945</v>
      </c>
      <c r="CF73" s="276">
        <f t="shared" si="56"/>
        <v>2734</v>
      </c>
      <c r="CG73" s="276">
        <f t="shared" si="57"/>
        <v>2182</v>
      </c>
      <c r="CH73" s="276">
        <f t="shared" si="58"/>
        <v>1631</v>
      </c>
      <c r="CI73" s="276">
        <f t="shared" si="59"/>
        <v>1649</v>
      </c>
      <c r="CJ73" s="276">
        <f t="shared" si="60"/>
        <v>1625</v>
      </c>
      <c r="CK73" s="276">
        <f t="shared" si="80"/>
        <v>2594.4239726027399</v>
      </c>
      <c r="CL73" s="276">
        <f t="shared" si="81"/>
        <v>2354.2777777777778</v>
      </c>
      <c r="CM73" s="276">
        <f t="shared" si="82"/>
        <v>2000.1666666666665</v>
      </c>
      <c r="CN73" s="276">
        <f t="shared" si="83"/>
        <v>1631</v>
      </c>
      <c r="CO73" s="276">
        <f t="shared" si="83"/>
        <v>1649</v>
      </c>
      <c r="CP73" s="276">
        <f t="shared" si="83"/>
        <v>1625</v>
      </c>
      <c r="CQ73" s="39">
        <f t="shared" si="61"/>
        <v>1796</v>
      </c>
      <c r="CR73" s="39">
        <f t="shared" si="62"/>
        <v>1837.6666666666665</v>
      </c>
      <c r="CS73" s="277">
        <f t="shared" si="63"/>
        <v>1962.2222222222222</v>
      </c>
      <c r="CT73" s="39">
        <f t="shared" si="64"/>
        <v>1865.2962962962961</v>
      </c>
      <c r="CU73" s="39">
        <f t="shared" si="65"/>
        <v>1888.3950617283949</v>
      </c>
      <c r="CV73" s="39">
        <f t="shared" si="66"/>
        <v>1905.3045267489711</v>
      </c>
      <c r="CW73" s="297">
        <f t="shared" si="67"/>
        <v>0.69225385633414549</v>
      </c>
      <c r="CX73" s="279" t="str">
        <f t="shared" si="84"/>
        <v>Buffer and Action Plan</v>
      </c>
      <c r="CY73" s="278">
        <f t="shared" si="68"/>
        <v>0.78056492908889252</v>
      </c>
      <c r="CZ73" s="279" t="str">
        <f t="shared" si="85"/>
        <v>Buffer and Action Plan</v>
      </c>
      <c r="DA73" s="278">
        <f t="shared" si="69"/>
        <v>0.98102935866455576</v>
      </c>
      <c r="DB73" s="292" t="str">
        <f t="shared" si="86"/>
        <v>Pass</v>
      </c>
      <c r="DC73" s="299">
        <f t="shared" si="87"/>
        <v>1.1436519290596543</v>
      </c>
      <c r="DD73" s="293" t="str">
        <f t="shared" si="88"/>
        <v>Pass</v>
      </c>
      <c r="DE73" s="299">
        <f t="shared" si="89"/>
        <v>1.1451759015939327</v>
      </c>
      <c r="DF73" s="293" t="str">
        <f t="shared" si="90"/>
        <v>Pass</v>
      </c>
      <c r="DG73" s="299">
        <f t="shared" si="91"/>
        <v>1.1724950933839822</v>
      </c>
      <c r="DH73" s="293" t="str">
        <f t="shared" si="92"/>
        <v>Pass</v>
      </c>
    </row>
    <row r="74" spans="1:112" ht="15" thickTop="1" thickBot="1">
      <c r="A74" s="38" t="s">
        <v>257</v>
      </c>
      <c r="B74" s="38" t="s">
        <v>258</v>
      </c>
      <c r="C74" s="38" t="s">
        <v>257</v>
      </c>
      <c r="D74" s="38" t="s">
        <v>259</v>
      </c>
      <c r="E74" s="38" t="str">
        <f>VLOOKUP(C74,PoliticalControl!A:K,11,FALSE)</f>
        <v>NOC</v>
      </c>
      <c r="F74" s="38" t="str">
        <f>VLOOKUP(C74,UrbanRuralClassification!A:N,13,FALSE)</f>
        <v>Urban with City and Town</v>
      </c>
      <c r="G74" s="38" t="str">
        <f>VLOOKUP(C74,UrbanRuralClassification!A:N,14,FALSE)</f>
        <v>Predominantly Urban</v>
      </c>
      <c r="H74" s="258">
        <f>IF(ISBLANK((VLOOKUP($A74,'local-plan-data'!$C$1:$AD$566,27,FALSE)))=TRUE,"",VLOOKUP($A74,'local-plan-data'!$C$1:$AD$566,27,FALSE))</f>
        <v>40669</v>
      </c>
      <c r="I74" s="259">
        <f>VLOOKUP($A74,'local-plan-data'!$C$1:$AD$566,28,FALSE)</f>
        <v>394.31818181818181</v>
      </c>
      <c r="J74" s="260">
        <f t="shared" si="70"/>
        <v>394.31818181818181</v>
      </c>
      <c r="K74" s="259" t="str">
        <f t="shared" si="51"/>
        <v>-</v>
      </c>
      <c r="L74" s="259" t="str">
        <f t="shared" si="51"/>
        <v>-</v>
      </c>
      <c r="M74" s="259" t="str">
        <f t="shared" si="51"/>
        <v>-</v>
      </c>
      <c r="N74" s="259" t="str">
        <f t="shared" si="51"/>
        <v>-</v>
      </c>
      <c r="O74" s="259" t="str">
        <f t="shared" si="51"/>
        <v>-</v>
      </c>
      <c r="P74" s="259" t="str">
        <f t="shared" si="51"/>
        <v>-</v>
      </c>
      <c r="Q74" s="259" t="str">
        <f t="shared" si="51"/>
        <v>-</v>
      </c>
      <c r="R74" s="259" t="str">
        <f t="shared" si="51"/>
        <v>-</v>
      </c>
      <c r="S74" s="259">
        <f t="shared" si="52"/>
        <v>-695</v>
      </c>
      <c r="T74" s="259">
        <f t="shared" si="52"/>
        <v>-1060</v>
      </c>
      <c r="U74" s="259">
        <f t="shared" si="52"/>
        <v>-1426</v>
      </c>
      <c r="V74" s="259">
        <f t="shared" si="52"/>
        <v>-1791</v>
      </c>
      <c r="W74" s="259">
        <f t="shared" si="52"/>
        <v>-2156</v>
      </c>
      <c r="X74" s="259">
        <f t="shared" si="52"/>
        <v>-2521</v>
      </c>
      <c r="Y74" s="259">
        <f t="shared" si="52"/>
        <v>-2887</v>
      </c>
      <c r="Z74" s="259">
        <f t="shared" si="52"/>
        <v>-3252</v>
      </c>
      <c r="AA74" s="267">
        <f>(VLOOKUP(A74,Hshldprojections2014!$A$2:$AW$319,40, FALSE)-VLOOKUP(A74,Hshldprojections2014!$A$2:$AW$319,30, FALSE))/10</f>
        <v>163</v>
      </c>
      <c r="AB74" s="267">
        <f>(VLOOKUP(A74,Hshldprojections2014!$A$2:$AW$319,41, FALSE)-VLOOKUP(A74,Hshldprojections2014!$A$2:$AW$319,31, FALSE))/10</f>
        <v>158.5</v>
      </c>
      <c r="AC74" s="267">
        <f>(VLOOKUP(A74,Hshldprojections2014!$A$2:$AW$319,42, FALSE)-VLOOKUP(A74,Hshldprojections2014!$A$2:$AW$319,32, FALSE))/10</f>
        <v>155.69999999999999</v>
      </c>
      <c r="AD74" s="267">
        <f>IF(IndividualLATest!$J$7=2014,(VLOOKUP($A74,Hshldprojections2014!$A$2:$AY$326,43,FALSE)-VLOOKUP($A74,Hshldprojections2014!$A$2:$AY$326,33,FALSE))/10,IF(IndividualLATest!$J$7=2016,(VLOOKUP($A74,Hshldprojections2016!$A$1:$AQ$322,33,FALSE)-VLOOKUP($A74,Hshldprojections2016!$A$1:$AQ$322,23,FALSE))/10,(VLOOKUP($A74,Hshldprojections2018!$A$1:$AQ$327,33,FALSE)-VLOOKUP($A74,Hshldprojections2018!$A$1:$AQ$327,23,FALSE))/10))</f>
        <v>144.80000000000001</v>
      </c>
      <c r="AE74" s="267">
        <f>IF(IndividualLATest!$J$7=2014,(VLOOKUP($A74,Hshldprojections2014!$A$2:$AY$326,44,FALSE)-VLOOKUP($A74,Hshldprojections2014!$A$2:$AY$326,34,FALSE))/10,IF(IndividualLATest!$J$7=2016,(VLOOKUP($A74,Hshldprojections2016!$A$1:$AQ$322,34,FALSE)-VLOOKUP($A74,Hshldprojections2016!$A$1:$AQ$322,24,FALSE))/10,(VLOOKUP($A74,Hshldprojections2018!$A$1:$AQ$327,34,FALSE)-VLOOKUP($A74,Hshldprojections2018!$A$1:$AQ$327,24,FALSE))/10))</f>
        <v>140</v>
      </c>
      <c r="AF74" s="267">
        <f>IF(IndividualLATest!$J$7=2014,(VLOOKUP($A74,Hshldprojections2014!$A$2:$AY$326,45,FALSE)-VLOOKUP($A74,Hshldprojections2014!$A$2:$AY$326,35,FALSE))/10,IF(IndividualLATest!$J$7=2016,(VLOOKUP($A74,Hshldprojections2016!$A$1:$AQ$322,35,FALSE)-VLOOKUP($A74,Hshldprojections2016!$A$1:$AQ$322,25,FALSE))/10,(VLOOKUP($A74,Hshldprojections2018!$A$1:$AQ$327,35,FALSE)-VLOOKUP($A74,Hshldprojections2018!$A$1:$AQ$327,25,FALSE))/10))</f>
        <v>140.80000000000001</v>
      </c>
      <c r="AG74" s="267">
        <f>IF(IndividualLATest!$J$7=2014,(VLOOKUP($A74,Hshldprojections2014!$A$2:$AY$326,46,FALSE)-VLOOKUP($A74,Hshldprojections2014!$A$2:$AY$326,36,FALSE))/10,IF(IndividualLATest!$J$7=2016,(VLOOKUP($A74,Hshldprojections2016!$A$1:$AQ$322,36,FALSE)-VLOOKUP($A74,Hshldprojections2016!$A$1:$AQ$322,26,FALSE))/10,(VLOOKUP($A74,Hshldprojections2018!$A$1:$AQ$327,36,FALSE)-VLOOKUP($A74,Hshldprojections2018!$A$1:$AQ$327,26,FALSE))/10))</f>
        <v>137.1</v>
      </c>
      <c r="AH74" s="267">
        <f>IF(IndividualLATest!$J$7=2014,(VLOOKUP($A74,Hshldprojections2014!$A$2:$AY$326,47,FALSE)-VLOOKUP($A74,Hshldprojections2014!$A$2:$AY$326,37,FALSE))/10,IF(IndividualLATest!$J$7=2016,(VLOOKUP($A74,Hshldprojections2016!$A$1:$AQ$322,37,FALSE)-VLOOKUP($A74,Hshldprojections2016!$A$1:$AQ$322,27,FALSE))/10,(VLOOKUP($A74,Hshldprojections2018!$A$1:$AQ$327,37,FALSE)-VLOOKUP($A74,Hshldprojections2018!$A$1:$AQ$327,27,FALSE))/10))</f>
        <v>136.5</v>
      </c>
      <c r="AI74" s="268">
        <f>IF(ISNUMBER('Sensitivity Tests'!$C$30),'Sensitivity Tests'!$C$30,VLOOKUP($A74,AffordabilityRatio!$A$2:$I$321,5,FALSE))</f>
        <v>5.37</v>
      </c>
      <c r="AJ74" s="268">
        <f>IF(ISNUMBER('Sensitivity Tests'!$C$30),'Sensitivity Tests'!$C$30,VLOOKUP($A74,AffordabilityRatio!$A$2:$I$321,6,FALSE))</f>
        <v>5.34</v>
      </c>
      <c r="AK74" s="268">
        <f>IF(ISNUMBER('Sensitivity Tests'!$C$30),'Sensitivity Tests'!$C$30,VLOOKUP($A74,AffordabilityRatio!$A$2:$I$321,7,FALSE))</f>
        <v>5.0199999999999996</v>
      </c>
      <c r="AL74" s="268">
        <f>IF(ISNUMBER('Sensitivity Tests'!$C$30),'Sensitivity Tests'!$C$30,IF((VLOOKUP($A74,AffordabilityRatio!$A$2:$I$321,8,FALSE))="",AK74,VLOOKUP($A74,AffordabilityRatio!$A$2:$I$321,8,FALSE)))</f>
        <v>5.24</v>
      </c>
      <c r="AM74" s="268">
        <f>IF(ISNUMBER('Sensitivity Tests'!$C$30),'Sensitivity Tests'!$C$30,IF((VLOOKUP($A74,AffordabilityRatio!$A$2:$I$321,9,FALSE))="",AL74,VLOOKUP($A74,AffordabilityRatio!$A$2:$I$321,9,FALSE)))</f>
        <v>5.29</v>
      </c>
      <c r="AN74" s="268">
        <f>IF(ISNUMBER('Sensitivity Tests'!$C$30),'Sensitivity Tests'!$C$30,IF((VLOOKUP($A74,AffordabilityRatio!$A$2:$I$321,9,FALSE))="",AM74,VLOOKUP($A74,AffordabilityRatio!$A$2:$I$321,9,FALSE)))</f>
        <v>5.29</v>
      </c>
      <c r="AO74" s="268">
        <f>IF(ISNUMBER('Sensitivity Tests'!$C$30),'Sensitivity Tests'!$C$30,IF((VLOOKUP($A74,AffordabilityRatio!$A$2:$I$321,9,FALSE))="",AN74,VLOOKUP($A74,AffordabilityRatio!$A$2:$I$321,9,FALSE)))</f>
        <v>5.29</v>
      </c>
      <c r="AP74" s="268">
        <f>IF(ISNUMBER('Sensitivity Tests'!$C$30),'Sensitivity Tests'!$C$30,IF((VLOOKUP($A74,AffordabilityRatio!$A$2:$I$321,9,FALSE))="",AO74,VLOOKUP($A74,AffordabilityRatio!$A$2:$I$321,9,FALSE)))</f>
        <v>5.29</v>
      </c>
      <c r="AQ74" s="267">
        <f t="shared" si="53"/>
        <v>177</v>
      </c>
      <c r="AR74" s="267">
        <f t="shared" si="53"/>
        <v>172</v>
      </c>
      <c r="AS74" s="267">
        <f t="shared" si="53"/>
        <v>166</v>
      </c>
      <c r="AT74" s="267">
        <f t="shared" si="53"/>
        <v>156</v>
      </c>
      <c r="AU74" s="267">
        <f t="shared" si="53"/>
        <v>151</v>
      </c>
      <c r="AV74" s="267">
        <f t="shared" si="53"/>
        <v>152</v>
      </c>
      <c r="AW74" s="267">
        <f t="shared" si="53"/>
        <v>148</v>
      </c>
      <c r="AX74" s="267">
        <f t="shared" si="53"/>
        <v>148</v>
      </c>
      <c r="AY74" s="267">
        <f t="shared" si="71"/>
        <v>177</v>
      </c>
      <c r="AZ74" s="267">
        <f t="shared" si="72"/>
        <v>172</v>
      </c>
      <c r="BA74" s="267">
        <f t="shared" si="73"/>
        <v>166</v>
      </c>
      <c r="BB74" s="267">
        <f t="shared" si="74"/>
        <v>156</v>
      </c>
      <c r="BC74" s="267">
        <f t="shared" si="75"/>
        <v>151</v>
      </c>
      <c r="BD74" s="267">
        <f t="shared" si="76"/>
        <v>152</v>
      </c>
      <c r="BE74" s="267">
        <f t="shared" si="77"/>
        <v>148</v>
      </c>
      <c r="BF74" s="267">
        <f t="shared" si="78"/>
        <v>148</v>
      </c>
      <c r="BG74" s="269">
        <f>AY74*VLOOKUP($B74,'Major Cities &amp; Towns'!$A$28:$B$345,2,FALSE)</f>
        <v>177</v>
      </c>
      <c r="BH74" s="269">
        <f>AZ74*VLOOKUP($B74,'Major Cities &amp; Towns'!$A$28:$B$345,2,FALSE)</f>
        <v>172</v>
      </c>
      <c r="BI74" s="269">
        <f>BA74*VLOOKUP($B74,'Major Cities &amp; Towns'!$A$28:$B$345,2,FALSE)</f>
        <v>166</v>
      </c>
      <c r="BJ74" s="269">
        <f>BB74*VLOOKUP($B74,'Major Cities &amp; Towns'!$A$28:$B$345,2,FALSE)</f>
        <v>156</v>
      </c>
      <c r="BK74" s="269">
        <f>BC74*VLOOKUP($B74,'Major Cities &amp; Towns'!$A$28:$B$345,2,FALSE)</f>
        <v>151</v>
      </c>
      <c r="BL74" s="269">
        <f>BD74*VLOOKUP($B74,'Major Cities &amp; Towns'!$A$28:$B$345,2,FALSE)</f>
        <v>152</v>
      </c>
      <c r="BM74" s="269">
        <f>BE74*VLOOKUP($B74,'Major Cities &amp; Towns'!$A$28:$B$345,2,FALSE)</f>
        <v>148</v>
      </c>
      <c r="BN74" s="269">
        <f>BF74*VLOOKUP($B74,'Major Cities &amp; Towns'!$A$28:$B$345,2,FALSE)</f>
        <v>148</v>
      </c>
      <c r="BO74" s="270">
        <f t="shared" si="79"/>
        <v>177</v>
      </c>
      <c r="BP74" s="270">
        <f t="shared" si="50"/>
        <v>172</v>
      </c>
      <c r="BQ74" s="270">
        <f t="shared" si="50"/>
        <v>166</v>
      </c>
      <c r="BR74" s="270">
        <f t="shared" si="50"/>
        <v>156</v>
      </c>
      <c r="BS74" s="270">
        <f t="shared" si="49"/>
        <v>151</v>
      </c>
      <c r="BT74" s="270">
        <f t="shared" si="49"/>
        <v>152</v>
      </c>
      <c r="BU74" s="270">
        <f t="shared" si="49"/>
        <v>148</v>
      </c>
      <c r="BV74" s="270">
        <f t="shared" si="49"/>
        <v>148</v>
      </c>
      <c r="BW74" s="39">
        <f>VLOOKUP($A74,NetAdditions!$A$2:$H$336,6,FALSE)</f>
        <v>538</v>
      </c>
      <c r="BX74" s="39">
        <f>VLOOKUP($A74,NetAdditions!$A$2:$H$336,7,FALSE)</f>
        <v>533</v>
      </c>
      <c r="BY74" s="39">
        <f>IF((VLOOKUP($C74,NetAdditions!$A$2:$H$336,8,FALSE))="",(AVERAGE(VLOOKUP($C74,NetAdditions!$A$2:$H$336,5,FALSE),VLOOKUP($C74,NetAdditions!$A$2:$H$336,6,FALSE),VLOOKUP($C74,NetAdditions!$A$2:$H$336,7,FALSE))),VLOOKUP($C74,NetAdditions!$A$2:$H$336,8,FALSE))</f>
        <v>542</v>
      </c>
      <c r="BZ74" s="39">
        <f t="shared" si="54"/>
        <v>537.66666666666663</v>
      </c>
      <c r="CA74" s="39">
        <f t="shared" si="54"/>
        <v>537.55555555555554</v>
      </c>
      <c r="CB74" s="39">
        <f t="shared" si="54"/>
        <v>539.07407407407402</v>
      </c>
      <c r="CC74" s="39">
        <f t="shared" si="54"/>
        <v>538.09876543209873</v>
      </c>
      <c r="CD74" s="39">
        <f t="shared" si="54"/>
        <v>538.24279835390951</v>
      </c>
      <c r="CE74" s="276">
        <f t="shared" si="55"/>
        <v>515</v>
      </c>
      <c r="CF74" s="276">
        <f t="shared" si="56"/>
        <v>494</v>
      </c>
      <c r="CG74" s="276">
        <f t="shared" si="57"/>
        <v>473</v>
      </c>
      <c r="CH74" s="276">
        <f t="shared" si="58"/>
        <v>459</v>
      </c>
      <c r="CI74" s="276">
        <f t="shared" si="59"/>
        <v>451</v>
      </c>
      <c r="CJ74" s="276">
        <f t="shared" si="60"/>
        <v>448</v>
      </c>
      <c r="CK74" s="276">
        <f t="shared" si="80"/>
        <v>443.47222222222223</v>
      </c>
      <c r="CL74" s="276">
        <f t="shared" si="81"/>
        <v>425.38888888888891</v>
      </c>
      <c r="CM74" s="276">
        <f t="shared" si="82"/>
        <v>433.58333333333331</v>
      </c>
      <c r="CN74" s="276">
        <f t="shared" si="83"/>
        <v>459</v>
      </c>
      <c r="CO74" s="276">
        <f t="shared" si="83"/>
        <v>451</v>
      </c>
      <c r="CP74" s="276">
        <f t="shared" si="83"/>
        <v>448</v>
      </c>
      <c r="CQ74" s="39">
        <f t="shared" si="61"/>
        <v>1613</v>
      </c>
      <c r="CR74" s="39">
        <f t="shared" si="62"/>
        <v>1612.6666666666665</v>
      </c>
      <c r="CS74" s="277">
        <f t="shared" si="63"/>
        <v>1617.2222222222222</v>
      </c>
      <c r="CT74" s="39">
        <f t="shared" si="64"/>
        <v>1614.2962962962961</v>
      </c>
      <c r="CU74" s="39">
        <f t="shared" si="65"/>
        <v>1614.7283950617284</v>
      </c>
      <c r="CV74" s="39">
        <f t="shared" si="66"/>
        <v>1615.4156378600824</v>
      </c>
      <c r="CW74" s="297">
        <f t="shared" si="67"/>
        <v>3.6372063889758848</v>
      </c>
      <c r="CX74" s="279" t="str">
        <f t="shared" si="84"/>
        <v>Pass</v>
      </c>
      <c r="CY74" s="278">
        <f t="shared" si="68"/>
        <v>3.7910408776283133</v>
      </c>
      <c r="CZ74" s="279" t="str">
        <f t="shared" si="85"/>
        <v>Pass</v>
      </c>
      <c r="DA74" s="278">
        <f t="shared" si="69"/>
        <v>3.7298994170030113</v>
      </c>
      <c r="DB74" s="292" t="str">
        <f t="shared" si="86"/>
        <v>Pass</v>
      </c>
      <c r="DC74" s="299">
        <f t="shared" si="87"/>
        <v>3.5169853949810372</v>
      </c>
      <c r="DD74" s="293" t="str">
        <f t="shared" si="88"/>
        <v>Pass</v>
      </c>
      <c r="DE74" s="299">
        <f t="shared" si="89"/>
        <v>3.5803290356135884</v>
      </c>
      <c r="DF74" s="293" t="str">
        <f t="shared" si="90"/>
        <v>Pass</v>
      </c>
      <c r="DG74" s="299">
        <f t="shared" si="91"/>
        <v>3.6058384773662553</v>
      </c>
      <c r="DH74" s="293" t="str">
        <f t="shared" si="92"/>
        <v>Pass</v>
      </c>
    </row>
    <row r="75" spans="1:112" ht="15" thickTop="1" thickBot="1">
      <c r="A75" s="38" t="s">
        <v>260</v>
      </c>
      <c r="B75" s="38" t="s">
        <v>261</v>
      </c>
      <c r="C75" s="38" t="s">
        <v>260</v>
      </c>
      <c r="D75" s="38" t="s">
        <v>113</v>
      </c>
      <c r="E75" s="38" t="str">
        <f>VLOOKUP(C75,PoliticalControl!A:K,11,FALSE)</f>
        <v>CON</v>
      </c>
      <c r="F75" s="38" t="str">
        <f>VLOOKUP(C75,UrbanRuralClassification!A:N,13,FALSE)</f>
        <v>Urban with Major Conurbation</v>
      </c>
      <c r="G75" s="38" t="str">
        <f>VLOOKUP(C75,UrbanRuralClassification!A:N,14,FALSE)</f>
        <v>Predominantly Urban</v>
      </c>
      <c r="H75" s="258">
        <f>IF(ISBLANK((VLOOKUP($A75,'local-plan-data'!$C$1:$AD$566,27,FALSE)))=TRUE,"",VLOOKUP($A75,'local-plan-data'!$C$1:$AD$566,27,FALSE))</f>
        <v>40812</v>
      </c>
      <c r="I75" s="259">
        <f>VLOOKUP($A75,'local-plan-data'!$C$1:$AD$566,28,FALSE)</f>
        <v>865</v>
      </c>
      <c r="J75" s="260">
        <f t="shared" si="70"/>
        <v>865</v>
      </c>
      <c r="K75" s="259" t="str">
        <f t="shared" si="51"/>
        <v>-</v>
      </c>
      <c r="L75" s="259" t="str">
        <f t="shared" si="51"/>
        <v>-</v>
      </c>
      <c r="M75" s="259" t="str">
        <f t="shared" si="51"/>
        <v>-</v>
      </c>
      <c r="N75" s="259" t="str">
        <f t="shared" si="51"/>
        <v>-</v>
      </c>
      <c r="O75" s="259" t="str">
        <f t="shared" si="51"/>
        <v>-</v>
      </c>
      <c r="P75" s="259" t="str">
        <f t="shared" si="51"/>
        <v>-</v>
      </c>
      <c r="Q75" s="259" t="str">
        <f t="shared" si="51"/>
        <v>-</v>
      </c>
      <c r="R75" s="259" t="str">
        <f t="shared" si="51"/>
        <v>-</v>
      </c>
      <c r="S75" s="259">
        <f t="shared" si="52"/>
        <v>-552</v>
      </c>
      <c r="T75" s="259">
        <f t="shared" si="52"/>
        <v>-917</v>
      </c>
      <c r="U75" s="259">
        <f t="shared" si="52"/>
        <v>-1283</v>
      </c>
      <c r="V75" s="259">
        <f t="shared" si="52"/>
        <v>-1648</v>
      </c>
      <c r="W75" s="259">
        <f t="shared" si="52"/>
        <v>-2013</v>
      </c>
      <c r="X75" s="259">
        <f t="shared" si="52"/>
        <v>-2378</v>
      </c>
      <c r="Y75" s="259">
        <f t="shared" si="52"/>
        <v>-2744</v>
      </c>
      <c r="Z75" s="259">
        <f t="shared" si="52"/>
        <v>-3109</v>
      </c>
      <c r="AA75" s="267">
        <f>(VLOOKUP(A75,Hshldprojections2014!$A$2:$AW$319,40, FALSE)-VLOOKUP(A75,Hshldprojections2014!$A$2:$AW$319,30, FALSE))/10</f>
        <v>595.29999999999995</v>
      </c>
      <c r="AB75" s="267">
        <f>(VLOOKUP(A75,Hshldprojections2014!$A$2:$AW$319,41, FALSE)-VLOOKUP(A75,Hshldprojections2014!$A$2:$AW$319,31, FALSE))/10</f>
        <v>588.4</v>
      </c>
      <c r="AC75" s="267">
        <f>(VLOOKUP(A75,Hshldprojections2014!$A$2:$AW$319,42, FALSE)-VLOOKUP(A75,Hshldprojections2014!$A$2:$AW$319,32, FALSE))/10</f>
        <v>585</v>
      </c>
      <c r="AD75" s="267">
        <f>IF(IndividualLATest!$J$7=2014,(VLOOKUP($A75,Hshldprojections2014!$A$2:$AY$326,43,FALSE)-VLOOKUP($A75,Hshldprojections2014!$A$2:$AY$326,33,FALSE))/10,IF(IndividualLATest!$J$7=2016,(VLOOKUP($A75,Hshldprojections2016!$A$1:$AQ$322,33,FALSE)-VLOOKUP($A75,Hshldprojections2016!$A$1:$AQ$322,23,FALSE))/10,(VLOOKUP($A75,Hshldprojections2018!$A$1:$AQ$327,33,FALSE)-VLOOKUP($A75,Hshldprojections2018!$A$1:$AQ$327,23,FALSE))/10))</f>
        <v>643.9</v>
      </c>
      <c r="AE75" s="267">
        <f>IF(IndividualLATest!$J$7=2014,(VLOOKUP($A75,Hshldprojections2014!$A$2:$AY$326,44,FALSE)-VLOOKUP($A75,Hshldprojections2014!$A$2:$AY$326,34,FALSE))/10,IF(IndividualLATest!$J$7=2016,(VLOOKUP($A75,Hshldprojections2016!$A$1:$AQ$322,34,FALSE)-VLOOKUP($A75,Hshldprojections2016!$A$1:$AQ$322,24,FALSE))/10,(VLOOKUP($A75,Hshldprojections2018!$A$1:$AQ$327,34,FALSE)-VLOOKUP($A75,Hshldprojections2018!$A$1:$AQ$327,24,FALSE))/10))</f>
        <v>629.4</v>
      </c>
      <c r="AF75" s="267">
        <f>IF(IndividualLATest!$J$7=2014,(VLOOKUP($A75,Hshldprojections2014!$A$2:$AY$326,45,FALSE)-VLOOKUP($A75,Hshldprojections2014!$A$2:$AY$326,35,FALSE))/10,IF(IndividualLATest!$J$7=2016,(VLOOKUP($A75,Hshldprojections2016!$A$1:$AQ$322,35,FALSE)-VLOOKUP($A75,Hshldprojections2016!$A$1:$AQ$322,25,FALSE))/10,(VLOOKUP($A75,Hshldprojections2018!$A$1:$AQ$327,35,FALSE)-VLOOKUP($A75,Hshldprojections2018!$A$1:$AQ$327,25,FALSE))/10))</f>
        <v>616.5</v>
      </c>
      <c r="AG75" s="267">
        <f>IF(IndividualLATest!$J$7=2014,(VLOOKUP($A75,Hshldprojections2014!$A$2:$AY$326,46,FALSE)-VLOOKUP($A75,Hshldprojections2014!$A$2:$AY$326,36,FALSE))/10,IF(IndividualLATest!$J$7=2016,(VLOOKUP($A75,Hshldprojections2016!$A$1:$AQ$322,36,FALSE)-VLOOKUP($A75,Hshldprojections2016!$A$1:$AQ$322,26,FALSE))/10,(VLOOKUP($A75,Hshldprojections2018!$A$1:$AQ$327,36,FALSE)-VLOOKUP($A75,Hshldprojections2018!$A$1:$AQ$327,26,FALSE))/10))</f>
        <v>603.4</v>
      </c>
      <c r="AH75" s="267">
        <f>IF(IndividualLATest!$J$7=2014,(VLOOKUP($A75,Hshldprojections2014!$A$2:$AY$326,47,FALSE)-VLOOKUP($A75,Hshldprojections2014!$A$2:$AY$326,37,FALSE))/10,IF(IndividualLATest!$J$7=2016,(VLOOKUP($A75,Hshldprojections2016!$A$1:$AQ$322,37,FALSE)-VLOOKUP($A75,Hshldprojections2016!$A$1:$AQ$322,27,FALSE))/10,(VLOOKUP($A75,Hshldprojections2018!$A$1:$AQ$327,37,FALSE)-VLOOKUP($A75,Hshldprojections2018!$A$1:$AQ$327,27,FALSE))/10))</f>
        <v>593.5</v>
      </c>
      <c r="AI75" s="268">
        <f>IF(ISNUMBER('Sensitivity Tests'!$C$30),'Sensitivity Tests'!$C$30,VLOOKUP($A75,AffordabilityRatio!$A$2:$I$321,5,FALSE))</f>
        <v>9.8800000000000008</v>
      </c>
      <c r="AJ75" s="268">
        <f>IF(ISNUMBER('Sensitivity Tests'!$C$30),'Sensitivity Tests'!$C$30,VLOOKUP($A75,AffordabilityRatio!$A$2:$I$321,6,FALSE))</f>
        <v>9.67</v>
      </c>
      <c r="AK75" s="268">
        <f>IF(ISNUMBER('Sensitivity Tests'!$C$30),'Sensitivity Tests'!$C$30,VLOOKUP($A75,AffordabilityRatio!$A$2:$I$321,7,FALSE))</f>
        <v>9.18</v>
      </c>
      <c r="AL75" s="268">
        <f>IF(ISNUMBER('Sensitivity Tests'!$C$30),'Sensitivity Tests'!$C$30,IF((VLOOKUP($A75,AffordabilityRatio!$A$2:$I$321,8,FALSE))="",AK75,VLOOKUP($A75,AffordabilityRatio!$A$2:$I$321,8,FALSE)))</f>
        <v>8.73</v>
      </c>
      <c r="AM75" s="268">
        <f>IF(ISNUMBER('Sensitivity Tests'!$C$30),'Sensitivity Tests'!$C$30,IF((VLOOKUP($A75,AffordabilityRatio!$A$2:$I$321,9,FALSE))="",AL75,VLOOKUP($A75,AffordabilityRatio!$A$2:$I$321,9,FALSE)))</f>
        <v>8.86</v>
      </c>
      <c r="AN75" s="268">
        <f>IF(ISNUMBER('Sensitivity Tests'!$C$30),'Sensitivity Tests'!$C$30,IF((VLOOKUP($A75,AffordabilityRatio!$A$2:$I$321,9,FALSE))="",AM75,VLOOKUP($A75,AffordabilityRatio!$A$2:$I$321,9,FALSE)))</f>
        <v>8.86</v>
      </c>
      <c r="AO75" s="268">
        <f>IF(ISNUMBER('Sensitivity Tests'!$C$30),'Sensitivity Tests'!$C$30,IF((VLOOKUP($A75,AffordabilityRatio!$A$2:$I$321,9,FALSE))="",AN75,VLOOKUP($A75,AffordabilityRatio!$A$2:$I$321,9,FALSE)))</f>
        <v>8.86</v>
      </c>
      <c r="AP75" s="268">
        <f>IF(ISNUMBER('Sensitivity Tests'!$C$30),'Sensitivity Tests'!$C$30,IF((VLOOKUP($A75,AffordabilityRatio!$A$2:$I$321,9,FALSE))="",AO75,VLOOKUP($A75,AffordabilityRatio!$A$2:$I$321,9,FALSE)))</f>
        <v>8.86</v>
      </c>
      <c r="AQ75" s="267">
        <f t="shared" si="53"/>
        <v>814</v>
      </c>
      <c r="AR75" s="267">
        <f t="shared" si="53"/>
        <v>797</v>
      </c>
      <c r="AS75" s="267">
        <f t="shared" si="53"/>
        <v>774</v>
      </c>
      <c r="AT75" s="267">
        <f t="shared" si="53"/>
        <v>834</v>
      </c>
      <c r="AU75" s="267">
        <f t="shared" si="53"/>
        <v>821</v>
      </c>
      <c r="AV75" s="267">
        <f t="shared" si="53"/>
        <v>804</v>
      </c>
      <c r="AW75" s="267">
        <f t="shared" si="53"/>
        <v>787</v>
      </c>
      <c r="AX75" s="267">
        <f t="shared" si="53"/>
        <v>774</v>
      </c>
      <c r="AY75" s="267">
        <f t="shared" si="71"/>
        <v>814</v>
      </c>
      <c r="AZ75" s="267">
        <f t="shared" si="72"/>
        <v>797</v>
      </c>
      <c r="BA75" s="267">
        <f t="shared" si="73"/>
        <v>774</v>
      </c>
      <c r="BB75" s="267">
        <f t="shared" si="74"/>
        <v>834</v>
      </c>
      <c r="BC75" s="267">
        <f t="shared" si="75"/>
        <v>821</v>
      </c>
      <c r="BD75" s="267">
        <f t="shared" si="76"/>
        <v>804</v>
      </c>
      <c r="BE75" s="267">
        <f t="shared" si="77"/>
        <v>787</v>
      </c>
      <c r="BF75" s="267">
        <f t="shared" si="78"/>
        <v>774</v>
      </c>
      <c r="BG75" s="269">
        <f>AY75*VLOOKUP($B75,'Major Cities &amp; Towns'!$A$28:$B$345,2,FALSE)</f>
        <v>814</v>
      </c>
      <c r="BH75" s="269">
        <f>AZ75*VLOOKUP($B75,'Major Cities &amp; Towns'!$A$28:$B$345,2,FALSE)</f>
        <v>797</v>
      </c>
      <c r="BI75" s="269">
        <f>BA75*VLOOKUP($B75,'Major Cities &amp; Towns'!$A$28:$B$345,2,FALSE)</f>
        <v>774</v>
      </c>
      <c r="BJ75" s="269">
        <f>BB75*VLOOKUP($B75,'Major Cities &amp; Towns'!$A$28:$B$345,2,FALSE)</f>
        <v>834</v>
      </c>
      <c r="BK75" s="269">
        <f>BC75*VLOOKUP($B75,'Major Cities &amp; Towns'!$A$28:$B$345,2,FALSE)</f>
        <v>821</v>
      </c>
      <c r="BL75" s="269">
        <f>BD75*VLOOKUP($B75,'Major Cities &amp; Towns'!$A$28:$B$345,2,FALSE)</f>
        <v>804</v>
      </c>
      <c r="BM75" s="269">
        <f>BE75*VLOOKUP($B75,'Major Cities &amp; Towns'!$A$28:$B$345,2,FALSE)</f>
        <v>787</v>
      </c>
      <c r="BN75" s="269">
        <f>BF75*VLOOKUP($B75,'Major Cities &amp; Towns'!$A$28:$B$345,2,FALSE)</f>
        <v>774</v>
      </c>
      <c r="BO75" s="270">
        <f t="shared" si="79"/>
        <v>814</v>
      </c>
      <c r="BP75" s="270">
        <f t="shared" si="50"/>
        <v>797</v>
      </c>
      <c r="BQ75" s="270">
        <f t="shared" si="50"/>
        <v>774</v>
      </c>
      <c r="BR75" s="270">
        <f t="shared" si="50"/>
        <v>834</v>
      </c>
      <c r="BS75" s="270">
        <f t="shared" si="49"/>
        <v>821</v>
      </c>
      <c r="BT75" s="270">
        <f t="shared" si="49"/>
        <v>804</v>
      </c>
      <c r="BU75" s="270">
        <f t="shared" si="49"/>
        <v>787</v>
      </c>
      <c r="BV75" s="270">
        <f t="shared" si="49"/>
        <v>774</v>
      </c>
      <c r="BW75" s="39">
        <f>VLOOKUP($A75,NetAdditions!$A$2:$H$336,6,FALSE)</f>
        <v>1013</v>
      </c>
      <c r="BX75" s="39">
        <f>VLOOKUP($A75,NetAdditions!$A$2:$H$336,7,FALSE)</f>
        <v>540</v>
      </c>
      <c r="BY75" s="39">
        <f>IF((VLOOKUP($C75,NetAdditions!$A$2:$H$336,8,FALSE))="",(AVERAGE(VLOOKUP($C75,NetAdditions!$A$2:$H$336,5,FALSE),VLOOKUP($C75,NetAdditions!$A$2:$H$336,6,FALSE),VLOOKUP($C75,NetAdditions!$A$2:$H$336,7,FALSE))),VLOOKUP($C75,NetAdditions!$A$2:$H$336,8,FALSE))</f>
        <v>606</v>
      </c>
      <c r="BZ75" s="39">
        <f t="shared" si="54"/>
        <v>719.66666666666663</v>
      </c>
      <c r="CA75" s="39">
        <f t="shared" si="54"/>
        <v>621.8888888888888</v>
      </c>
      <c r="CB75" s="39">
        <f t="shared" si="54"/>
        <v>649.18518518518511</v>
      </c>
      <c r="CC75" s="39">
        <f t="shared" si="54"/>
        <v>663.58024691358014</v>
      </c>
      <c r="CD75" s="39">
        <f t="shared" si="54"/>
        <v>644.88477366255131</v>
      </c>
      <c r="CE75" s="276">
        <f t="shared" si="55"/>
        <v>2385</v>
      </c>
      <c r="CF75" s="276">
        <f t="shared" si="56"/>
        <v>2405</v>
      </c>
      <c r="CG75" s="276">
        <f t="shared" si="57"/>
        <v>2429</v>
      </c>
      <c r="CH75" s="276">
        <f t="shared" si="58"/>
        <v>2459</v>
      </c>
      <c r="CI75" s="276">
        <f t="shared" si="59"/>
        <v>2412</v>
      </c>
      <c r="CJ75" s="276">
        <f t="shared" si="60"/>
        <v>2365</v>
      </c>
      <c r="CK75" s="276">
        <f t="shared" si="80"/>
        <v>2053.75</v>
      </c>
      <c r="CL75" s="276">
        <f t="shared" si="81"/>
        <v>2070.9722222222222</v>
      </c>
      <c r="CM75" s="276">
        <f t="shared" si="82"/>
        <v>2226.583333333333</v>
      </c>
      <c r="CN75" s="276">
        <f t="shared" si="83"/>
        <v>2459</v>
      </c>
      <c r="CO75" s="276">
        <f t="shared" si="83"/>
        <v>2412</v>
      </c>
      <c r="CP75" s="276">
        <f t="shared" si="83"/>
        <v>2365</v>
      </c>
      <c r="CQ75" s="39">
        <f t="shared" si="61"/>
        <v>2159</v>
      </c>
      <c r="CR75" s="39">
        <f t="shared" si="62"/>
        <v>1865.6666666666665</v>
      </c>
      <c r="CS75" s="277">
        <f t="shared" si="63"/>
        <v>1947.5555555555552</v>
      </c>
      <c r="CT75" s="39">
        <f t="shared" si="64"/>
        <v>1990.7407407407404</v>
      </c>
      <c r="CU75" s="39">
        <f t="shared" si="65"/>
        <v>1934.654320987654</v>
      </c>
      <c r="CV75" s="39">
        <f t="shared" si="66"/>
        <v>1957.6502057613166</v>
      </c>
      <c r="CW75" s="297">
        <f t="shared" si="67"/>
        <v>1.0512477175897748</v>
      </c>
      <c r="CX75" s="279" t="str">
        <f t="shared" si="84"/>
        <v>Pass</v>
      </c>
      <c r="CY75" s="278">
        <f t="shared" si="68"/>
        <v>0.9008651331231976</v>
      </c>
      <c r="CZ75" s="279" t="str">
        <f t="shared" si="85"/>
        <v>Action Plan</v>
      </c>
      <c r="DA75" s="278">
        <f t="shared" si="69"/>
        <v>0.87468343376124347</v>
      </c>
      <c r="DB75" s="292" t="str">
        <f t="shared" si="86"/>
        <v>Action Plan</v>
      </c>
      <c r="DC75" s="299">
        <f t="shared" si="87"/>
        <v>0.80957329838989034</v>
      </c>
      <c r="DD75" s="293" t="str">
        <f t="shared" si="88"/>
        <v>Buffer and Action Plan</v>
      </c>
      <c r="DE75" s="299">
        <f t="shared" si="89"/>
        <v>0.80209548963003896</v>
      </c>
      <c r="DF75" s="293" t="str">
        <f t="shared" si="90"/>
        <v>Buffer and Action Plan</v>
      </c>
      <c r="DG75" s="299">
        <f t="shared" si="91"/>
        <v>0.82775907220351652</v>
      </c>
      <c r="DH75" s="293" t="str">
        <f t="shared" si="92"/>
        <v>Buffer and Action Plan</v>
      </c>
    </row>
    <row r="76" spans="1:112" ht="15" thickTop="1" thickBot="1">
      <c r="A76" s="38" t="s">
        <v>262</v>
      </c>
      <c r="B76" s="38" t="s">
        <v>263</v>
      </c>
      <c r="C76" s="38" t="s">
        <v>262</v>
      </c>
      <c r="D76" s="38" t="s">
        <v>119</v>
      </c>
      <c r="E76" s="38" t="e">
        <f>VLOOKUP(C76,PoliticalControl!A:K,11,FALSE)</f>
        <v>#N/A</v>
      </c>
      <c r="F76" s="38" t="str">
        <f>VLOOKUP(C76,UrbanRuralClassification!A:N,13,FALSE)</f>
        <v xml:space="preserve">Mainly Rural (rural including hub towns &gt;=80%) </v>
      </c>
      <c r="G76" s="38" t="str">
        <f>VLOOKUP(C76,UrbanRuralClassification!A:N,14,FALSE)</f>
        <v>Predominantly Rural</v>
      </c>
      <c r="H76" s="258">
        <f>IF(ISBLANK((VLOOKUP($A76,'local-plan-data'!$C$1:$AD$566,27,FALSE)))=TRUE,"",VLOOKUP($A76,'local-plan-data'!$C$1:$AD$566,27,FALSE))</f>
        <v>41988</v>
      </c>
      <c r="I76" s="259">
        <f>VLOOKUP($A76,'local-plan-data'!$C$1:$AD$566,28,FALSE)</f>
        <v>707.22222222222217</v>
      </c>
      <c r="J76" s="260">
        <f t="shared" si="70"/>
        <v>707.22222222222217</v>
      </c>
      <c r="K76" s="259">
        <f t="shared" si="51"/>
        <v>707.22222222222217</v>
      </c>
      <c r="L76" s="259">
        <f t="shared" si="51"/>
        <v>707.22222222222217</v>
      </c>
      <c r="M76" s="259" t="str">
        <f t="shared" si="51"/>
        <v>-</v>
      </c>
      <c r="N76" s="259" t="str">
        <f t="shared" si="51"/>
        <v>-</v>
      </c>
      <c r="O76" s="259" t="str">
        <f t="shared" si="51"/>
        <v>-</v>
      </c>
      <c r="P76" s="259" t="str">
        <f t="shared" si="51"/>
        <v>-</v>
      </c>
      <c r="Q76" s="259" t="str">
        <f t="shared" si="51"/>
        <v>-</v>
      </c>
      <c r="R76" s="259" t="str">
        <f t="shared" si="51"/>
        <v>-</v>
      </c>
      <c r="S76" s="259">
        <f t="shared" si="52"/>
        <v>623</v>
      </c>
      <c r="T76" s="259">
        <f t="shared" si="52"/>
        <v>258</v>
      </c>
      <c r="U76" s="259">
        <f t="shared" si="52"/>
        <v>-108</v>
      </c>
      <c r="V76" s="259">
        <f t="shared" si="52"/>
        <v>-473</v>
      </c>
      <c r="W76" s="259">
        <f t="shared" si="52"/>
        <v>-838</v>
      </c>
      <c r="X76" s="259">
        <f t="shared" si="52"/>
        <v>-1203</v>
      </c>
      <c r="Y76" s="259">
        <f t="shared" si="52"/>
        <v>-1569</v>
      </c>
      <c r="Z76" s="259">
        <f t="shared" si="52"/>
        <v>-1934</v>
      </c>
      <c r="AA76" s="267">
        <f>(VLOOKUP(A76,Hshldprojections2014!$A$2:$AW$319,40, FALSE)-VLOOKUP(A76,Hshldprojections2014!$A$2:$AW$319,30, FALSE))/10</f>
        <v>273.2</v>
      </c>
      <c r="AB76" s="267">
        <f>(VLOOKUP(A76,Hshldprojections2014!$A$2:$AW$319,41, FALSE)-VLOOKUP(A76,Hshldprojections2014!$A$2:$AW$319,31, FALSE))/10</f>
        <v>267.5</v>
      </c>
      <c r="AC76" s="267">
        <f>(VLOOKUP(A76,Hshldprojections2014!$A$2:$AW$319,42, FALSE)-VLOOKUP(A76,Hshldprojections2014!$A$2:$AW$319,32, FALSE))/10</f>
        <v>262.2</v>
      </c>
      <c r="AD76" s="267">
        <f>IF(IndividualLATest!$J$7=2014,(VLOOKUP($A76,Hshldprojections2014!$A$2:$AY$326,43,FALSE)-VLOOKUP($A76,Hshldprojections2014!$A$2:$AY$326,33,FALSE))/10,IF(IndividualLATest!$J$7=2016,(VLOOKUP($A76,Hshldprojections2016!$A$1:$AQ$322,33,FALSE)-VLOOKUP($A76,Hshldprojections2016!$A$1:$AQ$322,23,FALSE))/10,(VLOOKUP($A76,Hshldprojections2018!$A$1:$AQ$327,33,FALSE)-VLOOKUP($A76,Hshldprojections2018!$A$1:$AQ$327,23,FALSE))/10))</f>
        <v>526.29999999999995</v>
      </c>
      <c r="AE76" s="267">
        <f>IF(IndividualLATest!$J$7=2014,(VLOOKUP($A76,Hshldprojections2014!$A$2:$AY$326,44,FALSE)-VLOOKUP($A76,Hshldprojections2014!$A$2:$AY$326,34,FALSE))/10,IF(IndividualLATest!$J$7=2016,(VLOOKUP($A76,Hshldprojections2016!$A$1:$AQ$322,34,FALSE)-VLOOKUP($A76,Hshldprojections2016!$A$1:$AQ$322,24,FALSE))/10,(VLOOKUP($A76,Hshldprojections2018!$A$1:$AQ$327,34,FALSE)-VLOOKUP($A76,Hshldprojections2018!$A$1:$AQ$327,24,FALSE))/10))</f>
        <v>508.8</v>
      </c>
      <c r="AF76" s="267">
        <f>IF(IndividualLATest!$J$7=2014,(VLOOKUP($A76,Hshldprojections2014!$A$2:$AY$326,45,FALSE)-VLOOKUP($A76,Hshldprojections2014!$A$2:$AY$326,35,FALSE))/10,IF(IndividualLATest!$J$7=2016,(VLOOKUP($A76,Hshldprojections2016!$A$1:$AQ$322,35,FALSE)-VLOOKUP($A76,Hshldprojections2016!$A$1:$AQ$322,25,FALSE))/10,(VLOOKUP($A76,Hshldprojections2018!$A$1:$AQ$327,35,FALSE)-VLOOKUP($A76,Hshldprojections2018!$A$1:$AQ$327,25,FALSE))/10))</f>
        <v>492.2</v>
      </c>
      <c r="AG76" s="267">
        <f>IF(IndividualLATest!$J$7=2014,(VLOOKUP($A76,Hshldprojections2014!$A$2:$AY$326,46,FALSE)-VLOOKUP($A76,Hshldprojections2014!$A$2:$AY$326,36,FALSE))/10,IF(IndividualLATest!$J$7=2016,(VLOOKUP($A76,Hshldprojections2016!$A$1:$AQ$322,36,FALSE)-VLOOKUP($A76,Hshldprojections2016!$A$1:$AQ$322,26,FALSE))/10,(VLOOKUP($A76,Hshldprojections2018!$A$1:$AQ$327,36,FALSE)-VLOOKUP($A76,Hshldprojections2018!$A$1:$AQ$327,26,FALSE))/10))</f>
        <v>478.5</v>
      </c>
      <c r="AH76" s="267">
        <f>IF(IndividualLATest!$J$7=2014,(VLOOKUP($A76,Hshldprojections2014!$A$2:$AY$326,47,FALSE)-VLOOKUP($A76,Hshldprojections2014!$A$2:$AY$326,37,FALSE))/10,IF(IndividualLATest!$J$7=2016,(VLOOKUP($A76,Hshldprojections2016!$A$1:$AQ$322,37,FALSE)-VLOOKUP($A76,Hshldprojections2016!$A$1:$AQ$322,27,FALSE))/10,(VLOOKUP($A76,Hshldprojections2018!$A$1:$AQ$327,37,FALSE)-VLOOKUP($A76,Hshldprojections2018!$A$1:$AQ$327,27,FALSE))/10))</f>
        <v>464.7</v>
      </c>
      <c r="AI76" s="268">
        <f>IF(ISNUMBER('Sensitivity Tests'!$C$30),'Sensitivity Tests'!$C$30,VLOOKUP($A76,AffordabilityRatio!$A$2:$I$321,5,FALSE))</f>
        <v>10.220000000000001</v>
      </c>
      <c r="AJ76" s="268">
        <f>IF(ISNUMBER('Sensitivity Tests'!$C$30),'Sensitivity Tests'!$C$30,VLOOKUP($A76,AffordabilityRatio!$A$2:$I$321,6,FALSE))</f>
        <v>10.210000000000001</v>
      </c>
      <c r="AK76" s="268">
        <f>IF(ISNUMBER('Sensitivity Tests'!$C$30),'Sensitivity Tests'!$C$30,VLOOKUP($A76,AffordabilityRatio!$A$2:$I$321,7,FALSE))</f>
        <v>9.2799999999999994</v>
      </c>
      <c r="AL76" s="268">
        <f>IF(ISNUMBER('Sensitivity Tests'!$C$30),'Sensitivity Tests'!$C$30,IF((VLOOKUP($A76,AffordabilityRatio!$A$2:$I$321,8,FALSE))="",AK76,VLOOKUP($A76,AffordabilityRatio!$A$2:$I$321,8,FALSE)))</f>
        <v>9.2100000000000009</v>
      </c>
      <c r="AM76" s="268">
        <f>IF(ISNUMBER('Sensitivity Tests'!$C$30),'Sensitivity Tests'!$C$30,IF((VLOOKUP($A76,AffordabilityRatio!$A$2:$I$321,9,FALSE))="",AL76,VLOOKUP($A76,AffordabilityRatio!$A$2:$I$321,9,FALSE)))</f>
        <v>9.2100000000000009</v>
      </c>
      <c r="AN76" s="268">
        <f>IF(ISNUMBER('Sensitivity Tests'!$C$30),'Sensitivity Tests'!$C$30,IF((VLOOKUP($A76,AffordabilityRatio!$A$2:$I$321,9,FALSE))="",AM76,VLOOKUP($A76,AffordabilityRatio!$A$2:$I$321,9,FALSE)))</f>
        <v>9.2100000000000009</v>
      </c>
      <c r="AO76" s="268">
        <f>IF(ISNUMBER('Sensitivity Tests'!$C$30),'Sensitivity Tests'!$C$30,IF((VLOOKUP($A76,AffordabilityRatio!$A$2:$I$321,9,FALSE))="",AN76,VLOOKUP($A76,AffordabilityRatio!$A$2:$I$321,9,FALSE)))</f>
        <v>9.2100000000000009</v>
      </c>
      <c r="AP76" s="268">
        <f>IF(ISNUMBER('Sensitivity Tests'!$C$30),'Sensitivity Tests'!$C$30,IF((VLOOKUP($A76,AffordabilityRatio!$A$2:$I$321,9,FALSE))="",AO76,VLOOKUP($A76,AffordabilityRatio!$A$2:$I$321,9,FALSE)))</f>
        <v>9.2100000000000009</v>
      </c>
      <c r="AQ76" s="267">
        <f t="shared" si="53"/>
        <v>379</v>
      </c>
      <c r="AR76" s="267">
        <f t="shared" si="53"/>
        <v>371</v>
      </c>
      <c r="AS76" s="267">
        <f t="shared" si="53"/>
        <v>349</v>
      </c>
      <c r="AT76" s="267">
        <f t="shared" si="53"/>
        <v>698</v>
      </c>
      <c r="AU76" s="267">
        <f t="shared" si="53"/>
        <v>674</v>
      </c>
      <c r="AV76" s="267">
        <f t="shared" si="53"/>
        <v>652</v>
      </c>
      <c r="AW76" s="267">
        <f t="shared" si="53"/>
        <v>634</v>
      </c>
      <c r="AX76" s="267">
        <f t="shared" si="53"/>
        <v>616</v>
      </c>
      <c r="AY76" s="267">
        <f t="shared" si="71"/>
        <v>379</v>
      </c>
      <c r="AZ76" s="267">
        <f t="shared" si="72"/>
        <v>371</v>
      </c>
      <c r="BA76" s="267">
        <f t="shared" si="73"/>
        <v>349</v>
      </c>
      <c r="BB76" s="267">
        <f t="shared" si="74"/>
        <v>698</v>
      </c>
      <c r="BC76" s="267">
        <f t="shared" si="75"/>
        <v>674</v>
      </c>
      <c r="BD76" s="267">
        <f t="shared" si="76"/>
        <v>652</v>
      </c>
      <c r="BE76" s="267">
        <f t="shared" si="77"/>
        <v>634</v>
      </c>
      <c r="BF76" s="267">
        <f t="shared" si="78"/>
        <v>616</v>
      </c>
      <c r="BG76" s="269">
        <f>AY76*VLOOKUP($B76,'Major Cities &amp; Towns'!$A$28:$B$345,2,FALSE)</f>
        <v>379</v>
      </c>
      <c r="BH76" s="269">
        <f>AZ76*VLOOKUP($B76,'Major Cities &amp; Towns'!$A$28:$B$345,2,FALSE)</f>
        <v>371</v>
      </c>
      <c r="BI76" s="269">
        <f>BA76*VLOOKUP($B76,'Major Cities &amp; Towns'!$A$28:$B$345,2,FALSE)</f>
        <v>349</v>
      </c>
      <c r="BJ76" s="269">
        <f>BB76*VLOOKUP($B76,'Major Cities &amp; Towns'!$A$28:$B$345,2,FALSE)</f>
        <v>698</v>
      </c>
      <c r="BK76" s="269">
        <f>BC76*VLOOKUP($B76,'Major Cities &amp; Towns'!$A$28:$B$345,2,FALSE)</f>
        <v>674</v>
      </c>
      <c r="BL76" s="269">
        <f>BD76*VLOOKUP($B76,'Major Cities &amp; Towns'!$A$28:$B$345,2,FALSE)</f>
        <v>652</v>
      </c>
      <c r="BM76" s="269">
        <f>BE76*VLOOKUP($B76,'Major Cities &amp; Towns'!$A$28:$B$345,2,FALSE)</f>
        <v>634</v>
      </c>
      <c r="BN76" s="269">
        <f>BF76*VLOOKUP($B76,'Major Cities &amp; Towns'!$A$28:$B$345,2,FALSE)</f>
        <v>616</v>
      </c>
      <c r="BO76" s="270">
        <f t="shared" si="79"/>
        <v>379</v>
      </c>
      <c r="BP76" s="270">
        <f t="shared" si="50"/>
        <v>371</v>
      </c>
      <c r="BQ76" s="270">
        <f t="shared" si="50"/>
        <v>349</v>
      </c>
      <c r="BR76" s="270">
        <f t="shared" si="50"/>
        <v>698</v>
      </c>
      <c r="BS76" s="270">
        <f t="shared" si="49"/>
        <v>674</v>
      </c>
      <c r="BT76" s="270">
        <f t="shared" si="49"/>
        <v>652</v>
      </c>
      <c r="BU76" s="270">
        <f t="shared" si="49"/>
        <v>634</v>
      </c>
      <c r="BV76" s="270">
        <f t="shared" si="49"/>
        <v>616</v>
      </c>
      <c r="BW76" s="39">
        <f>VLOOKUP($A76,NetAdditions!$A$2:$H$336,6,FALSE)</f>
        <v>796</v>
      </c>
      <c r="BX76" s="39">
        <f>VLOOKUP($A76,NetAdditions!$A$2:$H$336,7,FALSE)</f>
        <v>549</v>
      </c>
      <c r="BY76" s="39">
        <f>IF((VLOOKUP($C76,NetAdditions!$A$2:$H$336,8,FALSE))="",(AVERAGE(VLOOKUP($C76,NetAdditions!$A$2:$H$336,5,FALSE),VLOOKUP($C76,NetAdditions!$A$2:$H$336,6,FALSE),VLOOKUP($C76,NetAdditions!$A$2:$H$336,7,FALSE))),VLOOKUP($C76,NetAdditions!$A$2:$H$336,8,FALSE))</f>
        <v>733</v>
      </c>
      <c r="BZ76" s="39">
        <f t="shared" si="54"/>
        <v>692.66666666666663</v>
      </c>
      <c r="CA76" s="39">
        <f t="shared" si="54"/>
        <v>658.22222222222217</v>
      </c>
      <c r="CB76" s="39">
        <f t="shared" si="54"/>
        <v>694.62962962962956</v>
      </c>
      <c r="CC76" s="39">
        <f t="shared" si="54"/>
        <v>681.83950617283938</v>
      </c>
      <c r="CD76" s="39">
        <f t="shared" si="54"/>
        <v>678.23045267489704</v>
      </c>
      <c r="CE76" s="276">
        <f t="shared" si="55"/>
        <v>1099</v>
      </c>
      <c r="CF76" s="276">
        <f t="shared" si="56"/>
        <v>1418</v>
      </c>
      <c r="CG76" s="276">
        <f t="shared" si="57"/>
        <v>1721</v>
      </c>
      <c r="CH76" s="276">
        <f t="shared" si="58"/>
        <v>2024</v>
      </c>
      <c r="CI76" s="276">
        <f t="shared" si="59"/>
        <v>1960</v>
      </c>
      <c r="CJ76" s="276">
        <f t="shared" si="60"/>
        <v>1902</v>
      </c>
      <c r="CK76" s="276">
        <f t="shared" si="80"/>
        <v>946.3611111111112</v>
      </c>
      <c r="CL76" s="276">
        <f t="shared" si="81"/>
        <v>1221.0555555555557</v>
      </c>
      <c r="CM76" s="276">
        <f t="shared" si="82"/>
        <v>1577.5833333333333</v>
      </c>
      <c r="CN76" s="276">
        <f t="shared" si="83"/>
        <v>2024</v>
      </c>
      <c r="CO76" s="276">
        <f t="shared" si="83"/>
        <v>1960</v>
      </c>
      <c r="CP76" s="276">
        <f t="shared" si="83"/>
        <v>1902</v>
      </c>
      <c r="CQ76" s="39">
        <f t="shared" si="61"/>
        <v>2078</v>
      </c>
      <c r="CR76" s="39">
        <f t="shared" si="62"/>
        <v>1974.6666666666665</v>
      </c>
      <c r="CS76" s="277">
        <f t="shared" si="63"/>
        <v>2083.8888888888887</v>
      </c>
      <c r="CT76" s="39">
        <f t="shared" si="64"/>
        <v>2045.5185185185182</v>
      </c>
      <c r="CU76" s="39">
        <f t="shared" si="65"/>
        <v>2034.691358024691</v>
      </c>
      <c r="CV76" s="39">
        <f t="shared" si="66"/>
        <v>2054.699588477366</v>
      </c>
      <c r="CW76" s="297">
        <f t="shared" si="67"/>
        <v>2.1957791540696818</v>
      </c>
      <c r="CX76" s="279" t="str">
        <f t="shared" si="84"/>
        <v>Pass</v>
      </c>
      <c r="CY76" s="278">
        <f t="shared" si="68"/>
        <v>1.6171800354884205</v>
      </c>
      <c r="CZ76" s="279" t="str">
        <f t="shared" si="85"/>
        <v>Pass</v>
      </c>
      <c r="DA76" s="278">
        <f t="shared" si="69"/>
        <v>1.3209374394731745</v>
      </c>
      <c r="DB76" s="292" t="str">
        <f t="shared" si="86"/>
        <v>Pass</v>
      </c>
      <c r="DC76" s="299">
        <f t="shared" si="87"/>
        <v>1.0106316791099399</v>
      </c>
      <c r="DD76" s="293" t="str">
        <f t="shared" si="88"/>
        <v>Pass</v>
      </c>
      <c r="DE76" s="299">
        <f t="shared" si="89"/>
        <v>1.0381078357268831</v>
      </c>
      <c r="DF76" s="293" t="str">
        <f t="shared" si="90"/>
        <v>Pass</v>
      </c>
      <c r="DG76" s="299">
        <f t="shared" si="91"/>
        <v>1.0802836953088149</v>
      </c>
      <c r="DH76" s="293" t="str">
        <f t="shared" si="92"/>
        <v>Pass</v>
      </c>
    </row>
    <row r="77" spans="1:112" ht="15" thickTop="1" thickBot="1">
      <c r="A77" s="38" t="s">
        <v>264</v>
      </c>
      <c r="B77" s="38" t="s">
        <v>265</v>
      </c>
      <c r="C77" s="38" t="s">
        <v>264</v>
      </c>
      <c r="D77" s="38" t="s">
        <v>119</v>
      </c>
      <c r="E77" s="38" t="str">
        <f>VLOOKUP(C77,PoliticalControl!A:K,11,FALSE)</f>
        <v>NOC</v>
      </c>
      <c r="F77" s="38" t="str">
        <f>VLOOKUP(C77,UrbanRuralClassification!A:N,13,FALSE)</f>
        <v>Urban with City and Town</v>
      </c>
      <c r="G77" s="38" t="str">
        <f>VLOOKUP(C77,UrbanRuralClassification!A:N,14,FALSE)</f>
        <v>Predominantly Urban</v>
      </c>
      <c r="H77" s="258">
        <f>IF(ISBLANK((VLOOKUP($A77,'local-plan-data'!$C$1:$AD$566,27,FALSE)))=TRUE,"",VLOOKUP($A77,'local-plan-data'!$C$1:$AD$566,27,FALSE))</f>
        <v>42760</v>
      </c>
      <c r="I77" s="259">
        <f>VLOOKUP($A77,'local-plan-data'!$C$1:$AD$566,28,FALSE)</f>
        <v>647.05882352941171</v>
      </c>
      <c r="J77" s="260">
        <f t="shared" si="70"/>
        <v>647.05882352941171</v>
      </c>
      <c r="K77" s="259">
        <f t="shared" si="51"/>
        <v>647.05882352941171</v>
      </c>
      <c r="L77" s="259">
        <f t="shared" si="51"/>
        <v>647.05882352941171</v>
      </c>
      <c r="M77" s="259">
        <f t="shared" si="51"/>
        <v>647.05882352941171</v>
      </c>
      <c r="N77" s="259">
        <f t="shared" si="51"/>
        <v>647.05882352941171</v>
      </c>
      <c r="O77" s="259" t="str">
        <f t="shared" si="51"/>
        <v>-</v>
      </c>
      <c r="P77" s="259" t="str">
        <f t="shared" si="51"/>
        <v>-</v>
      </c>
      <c r="Q77" s="259" t="str">
        <f t="shared" si="51"/>
        <v>-</v>
      </c>
      <c r="R77" s="259" t="str">
        <f t="shared" si="51"/>
        <v>-</v>
      </c>
      <c r="S77" s="259">
        <f t="shared" si="52"/>
        <v>1395</v>
      </c>
      <c r="T77" s="259">
        <f t="shared" si="52"/>
        <v>1030</v>
      </c>
      <c r="U77" s="259">
        <f t="shared" si="52"/>
        <v>664</v>
      </c>
      <c r="V77" s="259">
        <f t="shared" si="52"/>
        <v>299</v>
      </c>
      <c r="W77" s="259">
        <f t="shared" si="52"/>
        <v>-66</v>
      </c>
      <c r="X77" s="259">
        <f t="shared" si="52"/>
        <v>-431</v>
      </c>
      <c r="Y77" s="259">
        <f t="shared" si="52"/>
        <v>-797</v>
      </c>
      <c r="Z77" s="259">
        <f t="shared" si="52"/>
        <v>-1162</v>
      </c>
      <c r="AA77" s="267">
        <f>(VLOOKUP(A77,Hshldprojections2014!$A$2:$AW$319,40, FALSE)-VLOOKUP(A77,Hshldprojections2014!$A$2:$AW$319,30, FALSE))/10</f>
        <v>867.1</v>
      </c>
      <c r="AB77" s="267">
        <f>(VLOOKUP(A77,Hshldprojections2014!$A$2:$AW$319,41, FALSE)-VLOOKUP(A77,Hshldprojections2014!$A$2:$AW$319,31, FALSE))/10</f>
        <v>868.6</v>
      </c>
      <c r="AC77" s="267">
        <f>(VLOOKUP(A77,Hshldprojections2014!$A$2:$AW$319,42, FALSE)-VLOOKUP(A77,Hshldprojections2014!$A$2:$AW$319,32, FALSE))/10</f>
        <v>869</v>
      </c>
      <c r="AD77" s="267">
        <f>IF(IndividualLATest!$J$7=2014,(VLOOKUP($A77,Hshldprojections2014!$A$2:$AY$326,43,FALSE)-VLOOKUP($A77,Hshldprojections2014!$A$2:$AY$326,33,FALSE))/10,IF(IndividualLATest!$J$7=2016,(VLOOKUP($A77,Hshldprojections2016!$A$1:$AQ$322,33,FALSE)-VLOOKUP($A77,Hshldprojections2016!$A$1:$AQ$322,23,FALSE))/10,(VLOOKUP($A77,Hshldprojections2018!$A$1:$AQ$327,33,FALSE)-VLOOKUP($A77,Hshldprojections2018!$A$1:$AQ$327,23,FALSE))/10))</f>
        <v>457.6</v>
      </c>
      <c r="AE77" s="267">
        <f>IF(IndividualLATest!$J$7=2014,(VLOOKUP($A77,Hshldprojections2014!$A$2:$AY$326,44,FALSE)-VLOOKUP($A77,Hshldprojections2014!$A$2:$AY$326,34,FALSE))/10,IF(IndividualLATest!$J$7=2016,(VLOOKUP($A77,Hshldprojections2016!$A$1:$AQ$322,34,FALSE)-VLOOKUP($A77,Hshldprojections2016!$A$1:$AQ$322,24,FALSE))/10,(VLOOKUP($A77,Hshldprojections2018!$A$1:$AQ$327,34,FALSE)-VLOOKUP($A77,Hshldprojections2018!$A$1:$AQ$327,24,FALSE))/10))</f>
        <v>475.1</v>
      </c>
      <c r="AF77" s="267">
        <f>IF(IndividualLATest!$J$7=2014,(VLOOKUP($A77,Hshldprojections2014!$A$2:$AY$326,45,FALSE)-VLOOKUP($A77,Hshldprojections2014!$A$2:$AY$326,35,FALSE))/10,IF(IndividualLATest!$J$7=2016,(VLOOKUP($A77,Hshldprojections2016!$A$1:$AQ$322,35,FALSE)-VLOOKUP($A77,Hshldprojections2016!$A$1:$AQ$322,25,FALSE))/10,(VLOOKUP($A77,Hshldprojections2018!$A$1:$AQ$327,35,FALSE)-VLOOKUP($A77,Hshldprojections2018!$A$1:$AQ$327,25,FALSE))/10))</f>
        <v>491.1</v>
      </c>
      <c r="AG77" s="267">
        <f>IF(IndividualLATest!$J$7=2014,(VLOOKUP($A77,Hshldprojections2014!$A$2:$AY$326,46,FALSE)-VLOOKUP($A77,Hshldprojections2014!$A$2:$AY$326,36,FALSE))/10,IF(IndividualLATest!$J$7=2016,(VLOOKUP($A77,Hshldprojections2016!$A$1:$AQ$322,36,FALSE)-VLOOKUP($A77,Hshldprojections2016!$A$1:$AQ$322,26,FALSE))/10,(VLOOKUP($A77,Hshldprojections2018!$A$1:$AQ$327,36,FALSE)-VLOOKUP($A77,Hshldprojections2018!$A$1:$AQ$327,26,FALSE))/10))</f>
        <v>500.9</v>
      </c>
      <c r="AH77" s="267">
        <f>IF(IndividualLATest!$J$7=2014,(VLOOKUP($A77,Hshldprojections2014!$A$2:$AY$326,47,FALSE)-VLOOKUP($A77,Hshldprojections2014!$A$2:$AY$326,37,FALSE))/10,IF(IndividualLATest!$J$7=2016,(VLOOKUP($A77,Hshldprojections2016!$A$1:$AQ$322,37,FALSE)-VLOOKUP($A77,Hshldprojections2016!$A$1:$AQ$322,27,FALSE))/10,(VLOOKUP($A77,Hshldprojections2018!$A$1:$AQ$327,37,FALSE)-VLOOKUP($A77,Hshldprojections2018!$A$1:$AQ$327,27,FALSE))/10))</f>
        <v>512.79999999999995</v>
      </c>
      <c r="AI77" s="268">
        <f>IF(ISNUMBER('Sensitivity Tests'!$C$30),'Sensitivity Tests'!$C$30,VLOOKUP($A77,AffordabilityRatio!$A$2:$I$321,5,FALSE))</f>
        <v>4.5</v>
      </c>
      <c r="AJ77" s="268">
        <f>IF(ISNUMBER('Sensitivity Tests'!$C$30),'Sensitivity Tests'!$C$30,VLOOKUP($A77,AffordabilityRatio!$A$2:$I$321,6,FALSE))</f>
        <v>4.28</v>
      </c>
      <c r="AK77" s="268">
        <f>IF(ISNUMBER('Sensitivity Tests'!$C$30),'Sensitivity Tests'!$C$30,VLOOKUP($A77,AffordabilityRatio!$A$2:$I$321,7,FALSE))</f>
        <v>4.22</v>
      </c>
      <c r="AL77" s="268">
        <f>IF(ISNUMBER('Sensitivity Tests'!$C$30),'Sensitivity Tests'!$C$30,IF((VLOOKUP($A77,AffordabilityRatio!$A$2:$I$321,8,FALSE))="",AK77,VLOOKUP($A77,AffordabilityRatio!$A$2:$I$321,8,FALSE)))</f>
        <v>4.2</v>
      </c>
      <c r="AM77" s="268">
        <f>IF(ISNUMBER('Sensitivity Tests'!$C$30),'Sensitivity Tests'!$C$30,IF((VLOOKUP($A77,AffordabilityRatio!$A$2:$I$321,9,FALSE))="",AL77,VLOOKUP($A77,AffordabilityRatio!$A$2:$I$321,9,FALSE)))</f>
        <v>5.08</v>
      </c>
      <c r="AN77" s="268">
        <f>IF(ISNUMBER('Sensitivity Tests'!$C$30),'Sensitivity Tests'!$C$30,IF((VLOOKUP($A77,AffordabilityRatio!$A$2:$I$321,9,FALSE))="",AM77,VLOOKUP($A77,AffordabilityRatio!$A$2:$I$321,9,FALSE)))</f>
        <v>5.08</v>
      </c>
      <c r="AO77" s="268">
        <f>IF(ISNUMBER('Sensitivity Tests'!$C$30),'Sensitivity Tests'!$C$30,IF((VLOOKUP($A77,AffordabilityRatio!$A$2:$I$321,9,FALSE))="",AN77,VLOOKUP($A77,AffordabilityRatio!$A$2:$I$321,9,FALSE)))</f>
        <v>5.08</v>
      </c>
      <c r="AP77" s="268">
        <f>IF(ISNUMBER('Sensitivity Tests'!$C$30),'Sensitivity Tests'!$C$30,IF((VLOOKUP($A77,AffordabilityRatio!$A$2:$I$321,9,FALSE))="",AO77,VLOOKUP($A77,AffordabilityRatio!$A$2:$I$321,9,FALSE)))</f>
        <v>5.08</v>
      </c>
      <c r="AQ77" s="267">
        <f t="shared" si="53"/>
        <v>894</v>
      </c>
      <c r="AR77" s="267">
        <f t="shared" si="53"/>
        <v>884</v>
      </c>
      <c r="AS77" s="267">
        <f t="shared" si="53"/>
        <v>881</v>
      </c>
      <c r="AT77" s="267">
        <f t="shared" si="53"/>
        <v>463</v>
      </c>
      <c r="AU77" s="267">
        <f t="shared" si="53"/>
        <v>507</v>
      </c>
      <c r="AV77" s="267">
        <f t="shared" si="53"/>
        <v>524</v>
      </c>
      <c r="AW77" s="267">
        <f t="shared" si="53"/>
        <v>535</v>
      </c>
      <c r="AX77" s="267">
        <f t="shared" si="53"/>
        <v>547</v>
      </c>
      <c r="AY77" s="267">
        <f t="shared" si="71"/>
        <v>894</v>
      </c>
      <c r="AZ77" s="267">
        <f t="shared" si="72"/>
        <v>884</v>
      </c>
      <c r="BA77" s="267">
        <f t="shared" si="73"/>
        <v>881</v>
      </c>
      <c r="BB77" s="267">
        <f t="shared" si="74"/>
        <v>463</v>
      </c>
      <c r="BC77" s="267">
        <f t="shared" si="75"/>
        <v>507</v>
      </c>
      <c r="BD77" s="267">
        <f t="shared" si="76"/>
        <v>524</v>
      </c>
      <c r="BE77" s="267">
        <f t="shared" si="77"/>
        <v>535</v>
      </c>
      <c r="BF77" s="267">
        <f t="shared" si="78"/>
        <v>547</v>
      </c>
      <c r="BG77" s="269">
        <f>AY77*VLOOKUP($B77,'Major Cities &amp; Towns'!$A$28:$B$345,2,FALSE)</f>
        <v>1206.9000000000001</v>
      </c>
      <c r="BH77" s="269">
        <f>AZ77*VLOOKUP($B77,'Major Cities &amp; Towns'!$A$28:$B$345,2,FALSE)</f>
        <v>1193.4000000000001</v>
      </c>
      <c r="BI77" s="269">
        <f>BA77*VLOOKUP($B77,'Major Cities &amp; Towns'!$A$28:$B$345,2,FALSE)</f>
        <v>1189.3500000000001</v>
      </c>
      <c r="BJ77" s="269">
        <f>BB77*VLOOKUP($B77,'Major Cities &amp; Towns'!$A$28:$B$345,2,FALSE)</f>
        <v>625.05000000000007</v>
      </c>
      <c r="BK77" s="269">
        <f>BC77*VLOOKUP($B77,'Major Cities &amp; Towns'!$A$28:$B$345,2,FALSE)</f>
        <v>684.45</v>
      </c>
      <c r="BL77" s="269">
        <f>BD77*VLOOKUP($B77,'Major Cities &amp; Towns'!$A$28:$B$345,2,FALSE)</f>
        <v>707.40000000000009</v>
      </c>
      <c r="BM77" s="269">
        <f>BE77*VLOOKUP($B77,'Major Cities &amp; Towns'!$A$28:$B$345,2,FALSE)</f>
        <v>722.25</v>
      </c>
      <c r="BN77" s="269">
        <f>BF77*VLOOKUP($B77,'Major Cities &amp; Towns'!$A$28:$B$345,2,FALSE)</f>
        <v>738.45</v>
      </c>
      <c r="BO77" s="270">
        <f t="shared" si="79"/>
        <v>647.05882352941171</v>
      </c>
      <c r="BP77" s="270">
        <f t="shared" si="50"/>
        <v>647.05882352941171</v>
      </c>
      <c r="BQ77" s="270">
        <f t="shared" si="50"/>
        <v>647.05882352941171</v>
      </c>
      <c r="BR77" s="270">
        <f t="shared" si="50"/>
        <v>595.74780821917807</v>
      </c>
      <c r="BS77" s="270">
        <f t="shared" si="49"/>
        <v>507</v>
      </c>
      <c r="BT77" s="270">
        <f t="shared" si="49"/>
        <v>524</v>
      </c>
      <c r="BU77" s="270">
        <f t="shared" si="49"/>
        <v>535</v>
      </c>
      <c r="BV77" s="270">
        <f t="shared" si="49"/>
        <v>547</v>
      </c>
      <c r="BW77" s="39">
        <f>VLOOKUP($A77,NetAdditions!$A$2:$H$336,6,FALSE)</f>
        <v>609</v>
      </c>
      <c r="BX77" s="39">
        <f>VLOOKUP($A77,NetAdditions!$A$2:$H$336,7,FALSE)</f>
        <v>540</v>
      </c>
      <c r="BY77" s="39">
        <f>IF((VLOOKUP($C77,NetAdditions!$A$2:$H$336,8,FALSE))="",(AVERAGE(VLOOKUP($C77,NetAdditions!$A$2:$H$336,5,FALSE),VLOOKUP($C77,NetAdditions!$A$2:$H$336,6,FALSE),VLOOKUP($C77,NetAdditions!$A$2:$H$336,7,FALSE))),VLOOKUP($C77,NetAdditions!$A$2:$H$336,8,FALSE))</f>
        <v>539</v>
      </c>
      <c r="BZ77" s="39">
        <f t="shared" si="54"/>
        <v>562.66666666666663</v>
      </c>
      <c r="CA77" s="39">
        <f t="shared" si="54"/>
        <v>547.22222222222217</v>
      </c>
      <c r="CB77" s="39">
        <f t="shared" si="54"/>
        <v>549.62962962962956</v>
      </c>
      <c r="CC77" s="39">
        <f t="shared" si="54"/>
        <v>553.17283950617275</v>
      </c>
      <c r="CD77" s="39">
        <f t="shared" si="54"/>
        <v>550.00823045267487</v>
      </c>
      <c r="CE77" s="276">
        <f t="shared" si="55"/>
        <v>1941.1764705882351</v>
      </c>
      <c r="CF77" s="276">
        <f t="shared" si="56"/>
        <v>1889.8654552780015</v>
      </c>
      <c r="CG77" s="276">
        <f t="shared" si="57"/>
        <v>1749.8066317485898</v>
      </c>
      <c r="CH77" s="276">
        <f t="shared" si="58"/>
        <v>1626.7478082191781</v>
      </c>
      <c r="CI77" s="276">
        <f t="shared" si="59"/>
        <v>1566</v>
      </c>
      <c r="CJ77" s="276">
        <f t="shared" si="60"/>
        <v>1606</v>
      </c>
      <c r="CK77" s="276">
        <f t="shared" si="80"/>
        <v>1671.5686274509803</v>
      </c>
      <c r="CL77" s="276">
        <f t="shared" si="81"/>
        <v>1627.3841420449457</v>
      </c>
      <c r="CM77" s="276">
        <f t="shared" si="82"/>
        <v>1603.9894124362072</v>
      </c>
      <c r="CN77" s="276">
        <f t="shared" si="83"/>
        <v>1626.7478082191781</v>
      </c>
      <c r="CO77" s="276">
        <f t="shared" si="83"/>
        <v>1566</v>
      </c>
      <c r="CP77" s="276">
        <f t="shared" si="83"/>
        <v>1606</v>
      </c>
      <c r="CQ77" s="39">
        <f t="shared" si="61"/>
        <v>1688</v>
      </c>
      <c r="CR77" s="39">
        <f t="shared" si="62"/>
        <v>1641.6666666666665</v>
      </c>
      <c r="CS77" s="277">
        <f t="shared" si="63"/>
        <v>1648.8888888888887</v>
      </c>
      <c r="CT77" s="39">
        <f t="shared" si="64"/>
        <v>1659.5185185185182</v>
      </c>
      <c r="CU77" s="39">
        <f t="shared" si="65"/>
        <v>1650.0246913580245</v>
      </c>
      <c r="CV77" s="39">
        <f t="shared" si="66"/>
        <v>1652.8106995884773</v>
      </c>
      <c r="CW77" s="297">
        <f t="shared" si="67"/>
        <v>1.0098299120234604</v>
      </c>
      <c r="CX77" s="279" t="str">
        <f t="shared" si="84"/>
        <v>Pass</v>
      </c>
      <c r="CY77" s="278">
        <f t="shared" si="68"/>
        <v>1.0087763695446692</v>
      </c>
      <c r="CZ77" s="279" t="str">
        <f t="shared" si="85"/>
        <v>Pass</v>
      </c>
      <c r="DA77" s="278">
        <f t="shared" si="69"/>
        <v>1.0279923770721693</v>
      </c>
      <c r="DB77" s="292" t="str">
        <f t="shared" si="86"/>
        <v>Pass</v>
      </c>
      <c r="DC77" s="299">
        <f t="shared" si="87"/>
        <v>1.0201449235915767</v>
      </c>
      <c r="DD77" s="293" t="str">
        <f t="shared" si="88"/>
        <v>Pass</v>
      </c>
      <c r="DE77" s="299">
        <f t="shared" si="89"/>
        <v>1.0536556138940132</v>
      </c>
      <c r="DF77" s="293" t="str">
        <f t="shared" si="90"/>
        <v>Pass</v>
      </c>
      <c r="DG77" s="299">
        <f t="shared" si="91"/>
        <v>1.0291473845507331</v>
      </c>
      <c r="DH77" s="293" t="str">
        <f t="shared" si="92"/>
        <v>Pass</v>
      </c>
    </row>
    <row r="78" spans="1:112" ht="15" thickTop="1" thickBot="1">
      <c r="A78" s="38" t="s">
        <v>266</v>
      </c>
      <c r="B78" s="38" t="s">
        <v>267</v>
      </c>
      <c r="C78" s="38" t="s">
        <v>266</v>
      </c>
      <c r="D78" s="38" t="s">
        <v>119</v>
      </c>
      <c r="E78" s="38" t="str">
        <f>VLOOKUP(C78,PoliticalControl!A:K,11,FALSE)</f>
        <v>CON</v>
      </c>
      <c r="F78" s="38" t="str">
        <f>VLOOKUP(C78,UrbanRuralClassification!A:N,13,FALSE)</f>
        <v xml:space="preserve">Mainly Rural (rural including hub towns &gt;=80%) </v>
      </c>
      <c r="G78" s="38" t="str">
        <f>VLOOKUP(C78,UrbanRuralClassification!A:N,14,FALSE)</f>
        <v>Predominantly Rural</v>
      </c>
      <c r="H78" s="258">
        <f>IF(ISBLANK((VLOOKUP($A78,'local-plan-data'!$C$1:$AD$566,27,FALSE)))=TRUE,"",VLOOKUP($A78,'local-plan-data'!$C$1:$AD$566,27,FALSE))</f>
        <v>43076</v>
      </c>
      <c r="I78" s="259">
        <f>VLOOKUP($A78,'local-plan-data'!$C$1:$AD$566,28,FALSE)</f>
        <v>268</v>
      </c>
      <c r="J78" s="260">
        <f t="shared" si="70"/>
        <v>268</v>
      </c>
      <c r="K78" s="259">
        <f t="shared" si="51"/>
        <v>268</v>
      </c>
      <c r="L78" s="259">
        <f t="shared" si="51"/>
        <v>268</v>
      </c>
      <c r="M78" s="259">
        <f t="shared" si="51"/>
        <v>268</v>
      </c>
      <c r="N78" s="259">
        <f t="shared" si="51"/>
        <v>268</v>
      </c>
      <c r="O78" s="259">
        <f t="shared" si="51"/>
        <v>268</v>
      </c>
      <c r="P78" s="259" t="str">
        <f t="shared" si="51"/>
        <v>-</v>
      </c>
      <c r="Q78" s="259" t="str">
        <f t="shared" si="51"/>
        <v>-</v>
      </c>
      <c r="R78" s="259" t="str">
        <f t="shared" si="51"/>
        <v>-</v>
      </c>
      <c r="S78" s="259">
        <f t="shared" si="52"/>
        <v>1711</v>
      </c>
      <c r="T78" s="259">
        <f t="shared" si="52"/>
        <v>1346</v>
      </c>
      <c r="U78" s="259">
        <f t="shared" si="52"/>
        <v>980</v>
      </c>
      <c r="V78" s="259">
        <f t="shared" si="52"/>
        <v>615</v>
      </c>
      <c r="W78" s="259">
        <f t="shared" si="52"/>
        <v>250</v>
      </c>
      <c r="X78" s="259">
        <f t="shared" si="52"/>
        <v>-115</v>
      </c>
      <c r="Y78" s="259">
        <f t="shared" si="52"/>
        <v>-481</v>
      </c>
      <c r="Z78" s="259">
        <f t="shared" si="52"/>
        <v>-846</v>
      </c>
      <c r="AA78" s="267">
        <f>(VLOOKUP(A78,Hshldprojections2014!$A$2:$AW$319,40, FALSE)-VLOOKUP(A78,Hshldprojections2014!$A$2:$AW$319,30, FALSE))/10</f>
        <v>174.5</v>
      </c>
      <c r="AB78" s="267">
        <f>(VLOOKUP(A78,Hshldprojections2014!$A$2:$AW$319,41, FALSE)-VLOOKUP(A78,Hshldprojections2014!$A$2:$AW$319,31, FALSE))/10</f>
        <v>172.9</v>
      </c>
      <c r="AC78" s="267">
        <f>(VLOOKUP(A78,Hshldprojections2014!$A$2:$AW$319,42, FALSE)-VLOOKUP(A78,Hshldprojections2014!$A$2:$AW$319,32, FALSE))/10</f>
        <v>170</v>
      </c>
      <c r="AD78" s="267">
        <f>IF(IndividualLATest!$J$7=2014,(VLOOKUP($A78,Hshldprojections2014!$A$2:$AY$326,43,FALSE)-VLOOKUP($A78,Hshldprojections2014!$A$2:$AY$326,33,FALSE))/10,IF(IndividualLATest!$J$7=2016,(VLOOKUP($A78,Hshldprojections2016!$A$1:$AQ$322,33,FALSE)-VLOOKUP($A78,Hshldprojections2016!$A$1:$AQ$322,23,FALSE))/10,(VLOOKUP($A78,Hshldprojections2018!$A$1:$AQ$327,33,FALSE)-VLOOKUP($A78,Hshldprojections2018!$A$1:$AQ$327,23,FALSE))/10))</f>
        <v>194.3</v>
      </c>
      <c r="AE78" s="267">
        <f>IF(IndividualLATest!$J$7=2014,(VLOOKUP($A78,Hshldprojections2014!$A$2:$AY$326,44,FALSE)-VLOOKUP($A78,Hshldprojections2014!$A$2:$AY$326,34,FALSE))/10,IF(IndividualLATest!$J$7=2016,(VLOOKUP($A78,Hshldprojections2016!$A$1:$AQ$322,34,FALSE)-VLOOKUP($A78,Hshldprojections2016!$A$1:$AQ$322,24,FALSE))/10,(VLOOKUP($A78,Hshldprojections2018!$A$1:$AQ$327,34,FALSE)-VLOOKUP($A78,Hshldprojections2018!$A$1:$AQ$327,24,FALSE))/10))</f>
        <v>183.7</v>
      </c>
      <c r="AF78" s="267">
        <f>IF(IndividualLATest!$J$7=2014,(VLOOKUP($A78,Hshldprojections2014!$A$2:$AY$326,45,FALSE)-VLOOKUP($A78,Hshldprojections2014!$A$2:$AY$326,35,FALSE))/10,IF(IndividualLATest!$J$7=2016,(VLOOKUP($A78,Hshldprojections2016!$A$1:$AQ$322,35,FALSE)-VLOOKUP($A78,Hshldprojections2016!$A$1:$AQ$322,25,FALSE))/10,(VLOOKUP($A78,Hshldprojections2018!$A$1:$AQ$327,35,FALSE)-VLOOKUP($A78,Hshldprojections2018!$A$1:$AQ$327,25,FALSE))/10))</f>
        <v>174.5</v>
      </c>
      <c r="AG78" s="267">
        <f>IF(IndividualLATest!$J$7=2014,(VLOOKUP($A78,Hshldprojections2014!$A$2:$AY$326,46,FALSE)-VLOOKUP($A78,Hshldprojections2014!$A$2:$AY$326,36,FALSE))/10,IF(IndividualLATest!$J$7=2016,(VLOOKUP($A78,Hshldprojections2016!$A$1:$AQ$322,36,FALSE)-VLOOKUP($A78,Hshldprojections2016!$A$1:$AQ$322,26,FALSE))/10,(VLOOKUP($A78,Hshldprojections2018!$A$1:$AQ$327,36,FALSE)-VLOOKUP($A78,Hshldprojections2018!$A$1:$AQ$327,26,FALSE))/10))</f>
        <v>166.4</v>
      </c>
      <c r="AH78" s="267">
        <f>IF(IndividualLATest!$J$7=2014,(VLOOKUP($A78,Hshldprojections2014!$A$2:$AY$326,47,FALSE)-VLOOKUP($A78,Hshldprojections2014!$A$2:$AY$326,37,FALSE))/10,IF(IndividualLATest!$J$7=2016,(VLOOKUP($A78,Hshldprojections2016!$A$1:$AQ$322,37,FALSE)-VLOOKUP($A78,Hshldprojections2016!$A$1:$AQ$322,27,FALSE))/10,(VLOOKUP($A78,Hshldprojections2018!$A$1:$AQ$327,37,FALSE)-VLOOKUP($A78,Hshldprojections2018!$A$1:$AQ$327,27,FALSE))/10))</f>
        <v>162.80000000000001</v>
      </c>
      <c r="AI78" s="268">
        <f>IF(ISNUMBER('Sensitivity Tests'!$C$30),'Sensitivity Tests'!$C$30,VLOOKUP($A78,AffordabilityRatio!$A$2:$I$321,5,FALSE))</f>
        <v>9.35</v>
      </c>
      <c r="AJ78" s="268">
        <f>IF(ISNUMBER('Sensitivity Tests'!$C$30),'Sensitivity Tests'!$C$30,VLOOKUP($A78,AffordabilityRatio!$A$2:$I$321,6,FALSE))</f>
        <v>9.2100000000000009</v>
      </c>
      <c r="AK78" s="268">
        <f>IF(ISNUMBER('Sensitivity Tests'!$C$30),'Sensitivity Tests'!$C$30,VLOOKUP($A78,AffordabilityRatio!$A$2:$I$321,7,FALSE))</f>
        <v>9.73</v>
      </c>
      <c r="AL78" s="268">
        <f>IF(ISNUMBER('Sensitivity Tests'!$C$30),'Sensitivity Tests'!$C$30,IF((VLOOKUP($A78,AffordabilityRatio!$A$2:$I$321,8,FALSE))="",AK78,VLOOKUP($A78,AffordabilityRatio!$A$2:$I$321,8,FALSE)))</f>
        <v>10.220000000000001</v>
      </c>
      <c r="AM78" s="268">
        <f>IF(ISNUMBER('Sensitivity Tests'!$C$30),'Sensitivity Tests'!$C$30,IF((VLOOKUP($A78,AffordabilityRatio!$A$2:$I$321,9,FALSE))="",AL78,VLOOKUP($A78,AffordabilityRatio!$A$2:$I$321,9,FALSE)))</f>
        <v>10.210000000000001</v>
      </c>
      <c r="AN78" s="268">
        <f>IF(ISNUMBER('Sensitivity Tests'!$C$30),'Sensitivity Tests'!$C$30,IF((VLOOKUP($A78,AffordabilityRatio!$A$2:$I$321,9,FALSE))="",AM78,VLOOKUP($A78,AffordabilityRatio!$A$2:$I$321,9,FALSE)))</f>
        <v>10.210000000000001</v>
      </c>
      <c r="AO78" s="268">
        <f>IF(ISNUMBER('Sensitivity Tests'!$C$30),'Sensitivity Tests'!$C$30,IF((VLOOKUP($A78,AffordabilityRatio!$A$2:$I$321,9,FALSE))="",AN78,VLOOKUP($A78,AffordabilityRatio!$A$2:$I$321,9,FALSE)))</f>
        <v>10.210000000000001</v>
      </c>
      <c r="AP78" s="268">
        <f>IF(ISNUMBER('Sensitivity Tests'!$C$30),'Sensitivity Tests'!$C$30,IF((VLOOKUP($A78,AffordabilityRatio!$A$2:$I$321,9,FALSE))="",AO78,VLOOKUP($A78,AffordabilityRatio!$A$2:$I$321,9,FALSE)))</f>
        <v>10.210000000000001</v>
      </c>
      <c r="AQ78" s="267">
        <f t="shared" si="53"/>
        <v>233</v>
      </c>
      <c r="AR78" s="267">
        <f t="shared" si="53"/>
        <v>229</v>
      </c>
      <c r="AS78" s="267">
        <f t="shared" si="53"/>
        <v>231</v>
      </c>
      <c r="AT78" s="267">
        <f t="shared" si="53"/>
        <v>270</v>
      </c>
      <c r="AU78" s="267">
        <f t="shared" si="53"/>
        <v>255</v>
      </c>
      <c r="AV78" s="267">
        <f t="shared" si="53"/>
        <v>242</v>
      </c>
      <c r="AW78" s="267">
        <f t="shared" si="53"/>
        <v>231</v>
      </c>
      <c r="AX78" s="267">
        <f t="shared" si="53"/>
        <v>226</v>
      </c>
      <c r="AY78" s="267">
        <f t="shared" si="71"/>
        <v>233</v>
      </c>
      <c r="AZ78" s="267">
        <f t="shared" si="72"/>
        <v>229</v>
      </c>
      <c r="BA78" s="267">
        <f t="shared" si="73"/>
        <v>231</v>
      </c>
      <c r="BB78" s="267">
        <f t="shared" si="74"/>
        <v>270</v>
      </c>
      <c r="BC78" s="267">
        <f t="shared" si="75"/>
        <v>255</v>
      </c>
      <c r="BD78" s="267">
        <f t="shared" si="76"/>
        <v>242</v>
      </c>
      <c r="BE78" s="267">
        <f t="shared" si="77"/>
        <v>231</v>
      </c>
      <c r="BF78" s="267">
        <f t="shared" si="78"/>
        <v>226</v>
      </c>
      <c r="BG78" s="269">
        <f>AY78*VLOOKUP($B78,'Major Cities &amp; Towns'!$A$28:$B$345,2,FALSE)</f>
        <v>233</v>
      </c>
      <c r="BH78" s="269">
        <f>AZ78*VLOOKUP($B78,'Major Cities &amp; Towns'!$A$28:$B$345,2,FALSE)</f>
        <v>229</v>
      </c>
      <c r="BI78" s="269">
        <f>BA78*VLOOKUP($B78,'Major Cities &amp; Towns'!$A$28:$B$345,2,FALSE)</f>
        <v>231</v>
      </c>
      <c r="BJ78" s="269">
        <f>BB78*VLOOKUP($B78,'Major Cities &amp; Towns'!$A$28:$B$345,2,FALSE)</f>
        <v>270</v>
      </c>
      <c r="BK78" s="269">
        <f>BC78*VLOOKUP($B78,'Major Cities &amp; Towns'!$A$28:$B$345,2,FALSE)</f>
        <v>255</v>
      </c>
      <c r="BL78" s="269">
        <f>BD78*VLOOKUP($B78,'Major Cities &amp; Towns'!$A$28:$B$345,2,FALSE)</f>
        <v>242</v>
      </c>
      <c r="BM78" s="269">
        <f>BE78*VLOOKUP($B78,'Major Cities &amp; Towns'!$A$28:$B$345,2,FALSE)</f>
        <v>231</v>
      </c>
      <c r="BN78" s="269">
        <f>BF78*VLOOKUP($B78,'Major Cities &amp; Towns'!$A$28:$B$345,2,FALSE)</f>
        <v>226</v>
      </c>
      <c r="BO78" s="270">
        <f t="shared" si="79"/>
        <v>233</v>
      </c>
      <c r="BP78" s="270">
        <f t="shared" si="50"/>
        <v>229</v>
      </c>
      <c r="BQ78" s="270">
        <f t="shared" si="50"/>
        <v>231</v>
      </c>
      <c r="BR78" s="270">
        <f t="shared" si="50"/>
        <v>268</v>
      </c>
      <c r="BS78" s="270">
        <f t="shared" si="49"/>
        <v>254.99999999999997</v>
      </c>
      <c r="BT78" s="270">
        <f t="shared" si="49"/>
        <v>242</v>
      </c>
      <c r="BU78" s="270">
        <f t="shared" si="49"/>
        <v>231</v>
      </c>
      <c r="BV78" s="270">
        <f t="shared" si="49"/>
        <v>226</v>
      </c>
      <c r="BW78" s="39">
        <f>VLOOKUP($A78,NetAdditions!$A$2:$H$336,6,FALSE)</f>
        <v>411</v>
      </c>
      <c r="BX78" s="39">
        <f>VLOOKUP($A78,NetAdditions!$A$2:$H$336,7,FALSE)</f>
        <v>435</v>
      </c>
      <c r="BY78" s="39">
        <f>IF((VLOOKUP($C78,NetAdditions!$A$2:$H$336,8,FALSE))="",(AVERAGE(VLOOKUP($C78,NetAdditions!$A$2:$H$336,5,FALSE),VLOOKUP($C78,NetAdditions!$A$2:$H$336,6,FALSE),VLOOKUP($C78,NetAdditions!$A$2:$H$336,7,FALSE))),VLOOKUP($C78,NetAdditions!$A$2:$H$336,8,FALSE))</f>
        <v>423</v>
      </c>
      <c r="BZ78" s="39">
        <f t="shared" si="54"/>
        <v>423</v>
      </c>
      <c r="CA78" s="39">
        <f t="shared" si="54"/>
        <v>427</v>
      </c>
      <c r="CB78" s="39">
        <f t="shared" si="54"/>
        <v>424.33333333333331</v>
      </c>
      <c r="CC78" s="39">
        <f t="shared" si="54"/>
        <v>424.77777777777777</v>
      </c>
      <c r="CD78" s="39">
        <f t="shared" si="54"/>
        <v>425.37037037037038</v>
      </c>
      <c r="CE78" s="276">
        <f t="shared" si="55"/>
        <v>693</v>
      </c>
      <c r="CF78" s="276">
        <f t="shared" si="56"/>
        <v>728</v>
      </c>
      <c r="CG78" s="276">
        <f t="shared" si="57"/>
        <v>754</v>
      </c>
      <c r="CH78" s="276">
        <f t="shared" si="58"/>
        <v>765</v>
      </c>
      <c r="CI78" s="276">
        <f t="shared" si="59"/>
        <v>728</v>
      </c>
      <c r="CJ78" s="276">
        <f t="shared" si="60"/>
        <v>699</v>
      </c>
      <c r="CK78" s="276">
        <f t="shared" si="80"/>
        <v>596.75</v>
      </c>
      <c r="CL78" s="276">
        <f t="shared" si="81"/>
        <v>626.88888888888891</v>
      </c>
      <c r="CM78" s="276">
        <f t="shared" si="82"/>
        <v>691.16666666666663</v>
      </c>
      <c r="CN78" s="276">
        <f t="shared" si="83"/>
        <v>765</v>
      </c>
      <c r="CO78" s="276">
        <f t="shared" si="83"/>
        <v>728</v>
      </c>
      <c r="CP78" s="276">
        <f t="shared" si="83"/>
        <v>699</v>
      </c>
      <c r="CQ78" s="39">
        <f t="shared" si="61"/>
        <v>1269</v>
      </c>
      <c r="CR78" s="39">
        <f t="shared" si="62"/>
        <v>1281</v>
      </c>
      <c r="CS78" s="277">
        <f t="shared" si="63"/>
        <v>1273</v>
      </c>
      <c r="CT78" s="39">
        <f t="shared" si="64"/>
        <v>1274.3333333333333</v>
      </c>
      <c r="CU78" s="39">
        <f t="shared" si="65"/>
        <v>1276.1111111111111</v>
      </c>
      <c r="CV78" s="39">
        <f t="shared" si="66"/>
        <v>1274.4814814814815</v>
      </c>
      <c r="CW78" s="297">
        <f t="shared" si="67"/>
        <v>2.126518642647675</v>
      </c>
      <c r="CX78" s="279" t="str">
        <f t="shared" si="84"/>
        <v>Pass</v>
      </c>
      <c r="CY78" s="278">
        <f t="shared" si="68"/>
        <v>2.0434243176178661</v>
      </c>
      <c r="CZ78" s="279" t="str">
        <f t="shared" si="85"/>
        <v>Pass</v>
      </c>
      <c r="DA78" s="278">
        <f t="shared" si="69"/>
        <v>1.8418133590547385</v>
      </c>
      <c r="DB78" s="292" t="str">
        <f t="shared" si="86"/>
        <v>Pass</v>
      </c>
      <c r="DC78" s="299">
        <f t="shared" si="87"/>
        <v>1.6657952069716775</v>
      </c>
      <c r="DD78" s="293" t="str">
        <f t="shared" si="88"/>
        <v>Pass</v>
      </c>
      <c r="DE78" s="299">
        <f t="shared" si="89"/>
        <v>1.7528998778998779</v>
      </c>
      <c r="DF78" s="293" t="str">
        <f t="shared" si="90"/>
        <v>Pass</v>
      </c>
      <c r="DG78" s="299">
        <f t="shared" si="91"/>
        <v>1.8232925343082711</v>
      </c>
      <c r="DH78" s="293" t="str">
        <f t="shared" si="92"/>
        <v>Pass</v>
      </c>
    </row>
    <row r="79" spans="1:112" ht="15" thickTop="1" thickBot="1">
      <c r="A79" s="38" t="s">
        <v>268</v>
      </c>
      <c r="B79" s="38" t="s">
        <v>269</v>
      </c>
      <c r="C79" s="38" t="s">
        <v>268</v>
      </c>
      <c r="D79" s="38" t="s">
        <v>136</v>
      </c>
      <c r="E79" s="38" t="str">
        <f>VLOOKUP(C79,PoliticalControl!A:K,11,FALSE)</f>
        <v>LAB</v>
      </c>
      <c r="F79" s="38" t="str">
        <f>VLOOKUP(C79,UrbanRuralClassification!A:N,13,FALSE)</f>
        <v>Urban with Minor Conurbation</v>
      </c>
      <c r="G79" s="38" t="str">
        <f>VLOOKUP(C79,UrbanRuralClassification!A:N,14,FALSE)</f>
        <v>Predominantly Urban</v>
      </c>
      <c r="H79" s="258">
        <f>IF(ISBLANK((VLOOKUP($A79,'local-plan-data'!$C$1:$AD$566,27,FALSE)))=TRUE,"",VLOOKUP($A79,'local-plan-data'!$C$1:$AD$566,27,FALSE))</f>
        <v>44462</v>
      </c>
      <c r="I79" s="259">
        <f>VLOOKUP($A79,'local-plan-data'!$C$1:$AD$566,28,FALSE)</f>
        <v>920</v>
      </c>
      <c r="J79" s="260">
        <f t="shared" si="70"/>
        <v>920</v>
      </c>
      <c r="K79" s="259">
        <f t="shared" si="51"/>
        <v>920</v>
      </c>
      <c r="L79" s="259">
        <f t="shared" si="51"/>
        <v>920</v>
      </c>
      <c r="M79" s="259">
        <f t="shared" si="51"/>
        <v>920</v>
      </c>
      <c r="N79" s="259">
        <f t="shared" si="51"/>
        <v>920</v>
      </c>
      <c r="O79" s="259">
        <f t="shared" si="51"/>
        <v>920</v>
      </c>
      <c r="P79" s="259">
        <f t="shared" si="51"/>
        <v>920</v>
      </c>
      <c r="Q79" s="259">
        <f t="shared" si="51"/>
        <v>920</v>
      </c>
      <c r="R79" s="259">
        <f t="shared" si="51"/>
        <v>920</v>
      </c>
      <c r="S79" s="259">
        <f t="shared" si="52"/>
        <v>3097</v>
      </c>
      <c r="T79" s="259">
        <f t="shared" si="52"/>
        <v>2732</v>
      </c>
      <c r="U79" s="259">
        <f t="shared" si="52"/>
        <v>2366</v>
      </c>
      <c r="V79" s="259">
        <f t="shared" si="52"/>
        <v>2001</v>
      </c>
      <c r="W79" s="259">
        <f t="shared" si="52"/>
        <v>1636</v>
      </c>
      <c r="X79" s="259">
        <f t="shared" si="52"/>
        <v>1271</v>
      </c>
      <c r="Y79" s="259">
        <f t="shared" si="52"/>
        <v>905</v>
      </c>
      <c r="Z79" s="259">
        <f t="shared" si="52"/>
        <v>540</v>
      </c>
      <c r="AA79" s="267">
        <f>(VLOOKUP(A79,Hshldprojections2014!$A$2:$AW$319,40, FALSE)-VLOOKUP(A79,Hshldprojections2014!$A$2:$AW$319,30, FALSE))/10</f>
        <v>531.9</v>
      </c>
      <c r="AB79" s="267">
        <f>(VLOOKUP(A79,Hshldprojections2014!$A$2:$AW$319,41, FALSE)-VLOOKUP(A79,Hshldprojections2014!$A$2:$AW$319,31, FALSE))/10</f>
        <v>523.6</v>
      </c>
      <c r="AC79" s="267">
        <f>(VLOOKUP(A79,Hshldprojections2014!$A$2:$AW$319,42, FALSE)-VLOOKUP(A79,Hshldprojections2014!$A$2:$AW$319,32, FALSE))/10</f>
        <v>517.20000000000005</v>
      </c>
      <c r="AD79" s="267">
        <f>IF(IndividualLATest!$J$7=2014,(VLOOKUP($A79,Hshldprojections2014!$A$2:$AY$326,43,FALSE)-VLOOKUP($A79,Hshldprojections2014!$A$2:$AY$326,33,FALSE))/10,IF(IndividualLATest!$J$7=2016,(VLOOKUP($A79,Hshldprojections2016!$A$1:$AQ$322,33,FALSE)-VLOOKUP($A79,Hshldprojections2016!$A$1:$AQ$322,23,FALSE))/10,(VLOOKUP($A79,Hshldprojections2018!$A$1:$AQ$327,33,FALSE)-VLOOKUP($A79,Hshldprojections2018!$A$1:$AQ$327,23,FALSE))/10))</f>
        <v>876.6</v>
      </c>
      <c r="AE79" s="267">
        <f>IF(IndividualLATest!$J$7=2014,(VLOOKUP($A79,Hshldprojections2014!$A$2:$AY$326,44,FALSE)-VLOOKUP($A79,Hshldprojections2014!$A$2:$AY$326,34,FALSE))/10,IF(IndividualLATest!$J$7=2016,(VLOOKUP($A79,Hshldprojections2016!$A$1:$AQ$322,34,FALSE)-VLOOKUP($A79,Hshldprojections2016!$A$1:$AQ$322,24,FALSE))/10,(VLOOKUP($A79,Hshldprojections2018!$A$1:$AQ$327,34,FALSE)-VLOOKUP($A79,Hshldprojections2018!$A$1:$AQ$327,24,FALSE))/10))</f>
        <v>863</v>
      </c>
      <c r="AF79" s="267">
        <f>IF(IndividualLATest!$J$7=2014,(VLOOKUP($A79,Hshldprojections2014!$A$2:$AY$326,45,FALSE)-VLOOKUP($A79,Hshldprojections2014!$A$2:$AY$326,35,FALSE))/10,IF(IndividualLATest!$J$7=2016,(VLOOKUP($A79,Hshldprojections2016!$A$1:$AQ$322,35,FALSE)-VLOOKUP($A79,Hshldprojections2016!$A$1:$AQ$322,25,FALSE))/10,(VLOOKUP($A79,Hshldprojections2018!$A$1:$AQ$327,35,FALSE)-VLOOKUP($A79,Hshldprojections2018!$A$1:$AQ$327,25,FALSE))/10))</f>
        <v>858.1</v>
      </c>
      <c r="AG79" s="267">
        <f>IF(IndividualLATest!$J$7=2014,(VLOOKUP($A79,Hshldprojections2014!$A$2:$AY$326,46,FALSE)-VLOOKUP($A79,Hshldprojections2014!$A$2:$AY$326,36,FALSE))/10,IF(IndividualLATest!$J$7=2016,(VLOOKUP($A79,Hshldprojections2016!$A$1:$AQ$322,36,FALSE)-VLOOKUP($A79,Hshldprojections2016!$A$1:$AQ$322,26,FALSE))/10,(VLOOKUP($A79,Hshldprojections2018!$A$1:$AQ$327,36,FALSE)-VLOOKUP($A79,Hshldprojections2018!$A$1:$AQ$327,26,FALSE))/10))</f>
        <v>851.3</v>
      </c>
      <c r="AH79" s="267">
        <f>IF(IndividualLATest!$J$7=2014,(VLOOKUP($A79,Hshldprojections2014!$A$2:$AY$326,47,FALSE)-VLOOKUP($A79,Hshldprojections2014!$A$2:$AY$326,37,FALSE))/10,IF(IndividualLATest!$J$7=2016,(VLOOKUP($A79,Hshldprojections2016!$A$1:$AQ$322,37,FALSE)-VLOOKUP($A79,Hshldprojections2016!$A$1:$AQ$322,27,FALSE))/10,(VLOOKUP($A79,Hshldprojections2018!$A$1:$AQ$327,37,FALSE)-VLOOKUP($A79,Hshldprojections2018!$A$1:$AQ$327,27,FALSE))/10))</f>
        <v>844.7</v>
      </c>
      <c r="AI79" s="268">
        <f>IF(ISNUMBER('Sensitivity Tests'!$C$30),'Sensitivity Tests'!$C$30,VLOOKUP($A79,AffordabilityRatio!$A$2:$I$321,5,FALSE))</f>
        <v>5.19</v>
      </c>
      <c r="AJ79" s="268">
        <f>IF(ISNUMBER('Sensitivity Tests'!$C$30),'Sensitivity Tests'!$C$30,VLOOKUP($A79,AffordabilityRatio!$A$2:$I$321,6,FALSE))</f>
        <v>4.79</v>
      </c>
      <c r="AK79" s="268">
        <f>IF(ISNUMBER('Sensitivity Tests'!$C$30),'Sensitivity Tests'!$C$30,VLOOKUP($A79,AffordabilityRatio!$A$2:$I$321,7,FALSE))</f>
        <v>4.95</v>
      </c>
      <c r="AL79" s="268">
        <f>IF(ISNUMBER('Sensitivity Tests'!$C$30),'Sensitivity Tests'!$C$30,IF((VLOOKUP($A79,AffordabilityRatio!$A$2:$I$321,8,FALSE))="",AK79,VLOOKUP($A79,AffordabilityRatio!$A$2:$I$321,8,FALSE)))</f>
        <v>4.96</v>
      </c>
      <c r="AM79" s="268">
        <f>IF(ISNUMBER('Sensitivity Tests'!$C$30),'Sensitivity Tests'!$C$30,IF((VLOOKUP($A79,AffordabilityRatio!$A$2:$I$321,9,FALSE))="",AL79,VLOOKUP($A79,AffordabilityRatio!$A$2:$I$321,9,FALSE)))</f>
        <v>5.56</v>
      </c>
      <c r="AN79" s="268">
        <f>IF(ISNUMBER('Sensitivity Tests'!$C$30),'Sensitivity Tests'!$C$30,IF((VLOOKUP($A79,AffordabilityRatio!$A$2:$I$321,9,FALSE))="",AM79,VLOOKUP($A79,AffordabilityRatio!$A$2:$I$321,9,FALSE)))</f>
        <v>5.56</v>
      </c>
      <c r="AO79" s="268">
        <f>IF(ISNUMBER('Sensitivity Tests'!$C$30),'Sensitivity Tests'!$C$30,IF((VLOOKUP($A79,AffordabilityRatio!$A$2:$I$321,9,FALSE))="",AN79,VLOOKUP($A79,AffordabilityRatio!$A$2:$I$321,9,FALSE)))</f>
        <v>5.56</v>
      </c>
      <c r="AP79" s="268">
        <f>IF(ISNUMBER('Sensitivity Tests'!$C$30),'Sensitivity Tests'!$C$30,IF((VLOOKUP($A79,AffordabilityRatio!$A$2:$I$321,9,FALSE))="",AO79,VLOOKUP($A79,AffordabilityRatio!$A$2:$I$321,9,FALSE)))</f>
        <v>5.56</v>
      </c>
      <c r="AQ79" s="267">
        <f t="shared" si="53"/>
        <v>571</v>
      </c>
      <c r="AR79" s="267">
        <f t="shared" si="53"/>
        <v>549</v>
      </c>
      <c r="AS79" s="267">
        <f t="shared" si="53"/>
        <v>548</v>
      </c>
      <c r="AT79" s="267">
        <f t="shared" si="53"/>
        <v>929</v>
      </c>
      <c r="AU79" s="267">
        <f t="shared" si="53"/>
        <v>947</v>
      </c>
      <c r="AV79" s="267">
        <f t="shared" si="53"/>
        <v>942</v>
      </c>
      <c r="AW79" s="267">
        <f t="shared" si="53"/>
        <v>934</v>
      </c>
      <c r="AX79" s="267">
        <f t="shared" si="53"/>
        <v>927</v>
      </c>
      <c r="AY79" s="267">
        <f t="shared" si="71"/>
        <v>571</v>
      </c>
      <c r="AZ79" s="267">
        <f t="shared" si="72"/>
        <v>549</v>
      </c>
      <c r="BA79" s="267">
        <f t="shared" si="73"/>
        <v>548</v>
      </c>
      <c r="BB79" s="267">
        <f t="shared" si="74"/>
        <v>929</v>
      </c>
      <c r="BC79" s="267">
        <f t="shared" si="75"/>
        <v>947</v>
      </c>
      <c r="BD79" s="267">
        <f t="shared" si="76"/>
        <v>942</v>
      </c>
      <c r="BE79" s="267">
        <f t="shared" si="77"/>
        <v>934</v>
      </c>
      <c r="BF79" s="267">
        <f t="shared" si="78"/>
        <v>927</v>
      </c>
      <c r="BG79" s="269">
        <f>AY79*VLOOKUP($B79,'Major Cities &amp; Towns'!$A$28:$B$345,2,FALSE)</f>
        <v>571</v>
      </c>
      <c r="BH79" s="269">
        <f>AZ79*VLOOKUP($B79,'Major Cities &amp; Towns'!$A$28:$B$345,2,FALSE)</f>
        <v>549</v>
      </c>
      <c r="BI79" s="269">
        <f>BA79*VLOOKUP($B79,'Major Cities &amp; Towns'!$A$28:$B$345,2,FALSE)</f>
        <v>548</v>
      </c>
      <c r="BJ79" s="269">
        <f>BB79*VLOOKUP($B79,'Major Cities &amp; Towns'!$A$28:$B$345,2,FALSE)</f>
        <v>929</v>
      </c>
      <c r="BK79" s="269">
        <f>BC79*VLOOKUP($B79,'Major Cities &amp; Towns'!$A$28:$B$345,2,FALSE)</f>
        <v>947</v>
      </c>
      <c r="BL79" s="269">
        <f>BD79*VLOOKUP($B79,'Major Cities &amp; Towns'!$A$28:$B$345,2,FALSE)</f>
        <v>942</v>
      </c>
      <c r="BM79" s="269">
        <f>BE79*VLOOKUP($B79,'Major Cities &amp; Towns'!$A$28:$B$345,2,FALSE)</f>
        <v>934</v>
      </c>
      <c r="BN79" s="269">
        <f>BF79*VLOOKUP($B79,'Major Cities &amp; Towns'!$A$28:$B$345,2,FALSE)</f>
        <v>927</v>
      </c>
      <c r="BO79" s="270">
        <f t="shared" si="79"/>
        <v>571</v>
      </c>
      <c r="BP79" s="270">
        <f t="shared" si="50"/>
        <v>549</v>
      </c>
      <c r="BQ79" s="270">
        <f t="shared" si="50"/>
        <v>548</v>
      </c>
      <c r="BR79" s="270">
        <f t="shared" si="50"/>
        <v>920</v>
      </c>
      <c r="BS79" s="270">
        <f t="shared" si="49"/>
        <v>920</v>
      </c>
      <c r="BT79" s="270">
        <f t="shared" si="49"/>
        <v>920</v>
      </c>
      <c r="BU79" s="270">
        <f t="shared" si="49"/>
        <v>920</v>
      </c>
      <c r="BV79" s="270">
        <f t="shared" si="49"/>
        <v>920</v>
      </c>
      <c r="BW79" s="39">
        <f>VLOOKUP($A79,NetAdditions!$A$2:$H$336,6,FALSE)</f>
        <v>1327</v>
      </c>
      <c r="BX79" s="39">
        <f>VLOOKUP($A79,NetAdditions!$A$2:$H$336,7,FALSE)</f>
        <v>1213</v>
      </c>
      <c r="BY79" s="39">
        <f>IF((VLOOKUP($C79,NetAdditions!$A$2:$H$336,8,FALSE))="",(AVERAGE(VLOOKUP($C79,NetAdditions!$A$2:$H$336,5,FALSE),VLOOKUP($C79,NetAdditions!$A$2:$H$336,6,FALSE),VLOOKUP($C79,NetAdditions!$A$2:$H$336,7,FALSE))),VLOOKUP($C79,NetAdditions!$A$2:$H$336,8,FALSE))</f>
        <v>761</v>
      </c>
      <c r="BZ79" s="39">
        <f t="shared" si="54"/>
        <v>1100.3333333333333</v>
      </c>
      <c r="CA79" s="39">
        <f t="shared" si="54"/>
        <v>1024.7777777777776</v>
      </c>
      <c r="CB79" s="39">
        <f t="shared" si="54"/>
        <v>962.03703703703695</v>
      </c>
      <c r="CC79" s="39">
        <f t="shared" si="54"/>
        <v>1029.0493827160492</v>
      </c>
      <c r="CD79" s="39">
        <f t="shared" si="54"/>
        <v>1005.2880658436212</v>
      </c>
      <c r="CE79" s="276">
        <f t="shared" si="55"/>
        <v>1668</v>
      </c>
      <c r="CF79" s="276">
        <f t="shared" si="56"/>
        <v>2017</v>
      </c>
      <c r="CG79" s="276">
        <f t="shared" si="57"/>
        <v>2388</v>
      </c>
      <c r="CH79" s="276">
        <f t="shared" si="58"/>
        <v>2760</v>
      </c>
      <c r="CI79" s="276">
        <f t="shared" si="59"/>
        <v>2760</v>
      </c>
      <c r="CJ79" s="276">
        <f t="shared" si="60"/>
        <v>2760</v>
      </c>
      <c r="CK79" s="276">
        <f t="shared" si="80"/>
        <v>1436.3333333333335</v>
      </c>
      <c r="CL79" s="276">
        <f t="shared" si="81"/>
        <v>1736.8611111111113</v>
      </c>
      <c r="CM79" s="276">
        <f t="shared" si="82"/>
        <v>2189</v>
      </c>
      <c r="CN79" s="276">
        <f t="shared" si="83"/>
        <v>2760</v>
      </c>
      <c r="CO79" s="276">
        <f t="shared" si="83"/>
        <v>2760</v>
      </c>
      <c r="CP79" s="276">
        <f t="shared" si="83"/>
        <v>2760</v>
      </c>
      <c r="CQ79" s="39">
        <f t="shared" si="61"/>
        <v>3301</v>
      </c>
      <c r="CR79" s="39">
        <f t="shared" si="62"/>
        <v>3074.333333333333</v>
      </c>
      <c r="CS79" s="277">
        <f t="shared" si="63"/>
        <v>2886.1111111111109</v>
      </c>
      <c r="CT79" s="39">
        <f t="shared" si="64"/>
        <v>3087.1481481481478</v>
      </c>
      <c r="CU79" s="39">
        <f t="shared" si="65"/>
        <v>3015.8641975308637</v>
      </c>
      <c r="CV79" s="39">
        <f t="shared" si="66"/>
        <v>2996.3744855967075</v>
      </c>
      <c r="CW79" s="297">
        <f t="shared" si="67"/>
        <v>2.29821304246925</v>
      </c>
      <c r="CX79" s="279" t="str">
        <f t="shared" si="84"/>
        <v>Pass</v>
      </c>
      <c r="CY79" s="278">
        <f t="shared" si="68"/>
        <v>1.7700513378220606</v>
      </c>
      <c r="CZ79" s="279" t="str">
        <f t="shared" si="85"/>
        <v>Pass</v>
      </c>
      <c r="DA79" s="278">
        <f t="shared" si="69"/>
        <v>1.3184609918278258</v>
      </c>
      <c r="DB79" s="292" t="str">
        <f t="shared" si="86"/>
        <v>Pass</v>
      </c>
      <c r="DC79" s="299">
        <f t="shared" si="87"/>
        <v>1.1185319377348362</v>
      </c>
      <c r="DD79" s="293" t="str">
        <f t="shared" si="88"/>
        <v>Pass</v>
      </c>
      <c r="DE79" s="299">
        <f t="shared" si="89"/>
        <v>1.0927044193952404</v>
      </c>
      <c r="DF79" s="293" t="str">
        <f t="shared" si="90"/>
        <v>Pass</v>
      </c>
      <c r="DG79" s="299">
        <f t="shared" si="91"/>
        <v>1.0856429295640244</v>
      </c>
      <c r="DH79" s="293" t="str">
        <f t="shared" si="92"/>
        <v>Pass</v>
      </c>
    </row>
    <row r="80" spans="1:112" ht="15" thickTop="1" thickBot="1">
      <c r="A80" s="38" t="s">
        <v>270</v>
      </c>
      <c r="B80" s="38" t="s">
        <v>271</v>
      </c>
      <c r="C80" s="38" t="s">
        <v>270</v>
      </c>
      <c r="D80" s="38" t="s">
        <v>147</v>
      </c>
      <c r="E80" s="38" t="str">
        <f>VLOOKUP(C80,PoliticalControl!A:K,11,FALSE)</f>
        <v>CON</v>
      </c>
      <c r="F80" s="38" t="str">
        <f>VLOOKUP(C80,UrbanRuralClassification!A:N,13,FALSE)</f>
        <v xml:space="preserve">Largely Rural (rural including hub towns 50-79%) </v>
      </c>
      <c r="G80" s="38" t="str">
        <f>VLOOKUP(C80,UrbanRuralClassification!A:N,14,FALSE)</f>
        <v>Predominantly Rural</v>
      </c>
      <c r="H80" s="258" t="str">
        <f>IF(ISBLANK((VLOOKUP($A80,'local-plan-data'!$C$1:$AD$566,27,FALSE)))=TRUE,"",VLOOKUP($A80,'local-plan-data'!$C$1:$AD$566,27,FALSE))</f>
        <v/>
      </c>
      <c r="I80" s="259">
        <f>VLOOKUP($A80,'local-plan-data'!$C$1:$AD$566,28,FALSE)</f>
        <v>1793</v>
      </c>
      <c r="J80" s="260">
        <f t="shared" si="70"/>
        <v>1793</v>
      </c>
      <c r="K80" s="259" t="str">
        <f t="shared" si="51"/>
        <v>-</v>
      </c>
      <c r="L80" s="259" t="str">
        <f t="shared" si="51"/>
        <v>-</v>
      </c>
      <c r="M80" s="259" t="str">
        <f t="shared" si="51"/>
        <v>-</v>
      </c>
      <c r="N80" s="259" t="str">
        <f t="shared" si="51"/>
        <v>-</v>
      </c>
      <c r="O80" s="259" t="str">
        <f t="shared" si="51"/>
        <v>-</v>
      </c>
      <c r="P80" s="259" t="str">
        <f t="shared" si="51"/>
        <v>-</v>
      </c>
      <c r="Q80" s="259" t="str">
        <f t="shared" si="51"/>
        <v>-</v>
      </c>
      <c r="R80" s="259" t="str">
        <f t="shared" si="51"/>
        <v>-</v>
      </c>
      <c r="S80" s="259" t="str">
        <f t="shared" si="52"/>
        <v>-</v>
      </c>
      <c r="T80" s="259" t="str">
        <f t="shared" si="52"/>
        <v>-</v>
      </c>
      <c r="U80" s="259" t="str">
        <f t="shared" si="52"/>
        <v>-</v>
      </c>
      <c r="V80" s="259" t="str">
        <f t="shared" si="52"/>
        <v>-</v>
      </c>
      <c r="W80" s="259" t="str">
        <f t="shared" si="52"/>
        <v>-</v>
      </c>
      <c r="X80" s="259" t="str">
        <f t="shared" si="52"/>
        <v>-</v>
      </c>
      <c r="Y80" s="259" t="str">
        <f t="shared" si="52"/>
        <v>-</v>
      </c>
      <c r="Z80" s="259" t="str">
        <f t="shared" si="52"/>
        <v>-</v>
      </c>
      <c r="AA80" s="267">
        <f>(VLOOKUP(A80,Hshldprojections2014!$A$2:$AW$319,40, FALSE)-VLOOKUP(A80,Hshldprojections2014!$A$2:$AW$319,30, FALSE))/10</f>
        <v>1285.9000000000001</v>
      </c>
      <c r="AB80" s="267">
        <f>(VLOOKUP(A80,Hshldprojections2014!$A$2:$AW$319,41, FALSE)-VLOOKUP(A80,Hshldprojections2014!$A$2:$AW$319,31, FALSE))/10</f>
        <v>1294.5</v>
      </c>
      <c r="AC80" s="267">
        <f>(VLOOKUP(A80,Hshldprojections2014!$A$2:$AW$319,42, FALSE)-VLOOKUP(A80,Hshldprojections2014!$A$2:$AW$319,32, FALSE))/10</f>
        <v>1300.3</v>
      </c>
      <c r="AD80" s="267">
        <f>IF(IndividualLATest!$J$7=2014,(VLOOKUP($A80,Hshldprojections2014!$A$2:$AY$326,43,FALSE)-VLOOKUP($A80,Hshldprojections2014!$A$2:$AY$326,33,FALSE))/10,IF(IndividualLATest!$J$7=2016,(VLOOKUP($A80,Hshldprojections2016!$A$1:$AQ$322,33,FALSE)-VLOOKUP($A80,Hshldprojections2016!$A$1:$AQ$322,23,FALSE))/10,(VLOOKUP($A80,Hshldprojections2018!$A$1:$AQ$327,33,FALSE)-VLOOKUP($A80,Hshldprojections2018!$A$1:$AQ$327,23,FALSE))/10))</f>
        <v>1321.1</v>
      </c>
      <c r="AE80" s="267">
        <f>IF(IndividualLATest!$J$7=2014,(VLOOKUP($A80,Hshldprojections2014!$A$2:$AY$326,44,FALSE)-VLOOKUP($A80,Hshldprojections2014!$A$2:$AY$326,34,FALSE))/10,IF(IndividualLATest!$J$7=2016,(VLOOKUP($A80,Hshldprojections2016!$A$1:$AQ$322,34,FALSE)-VLOOKUP($A80,Hshldprojections2016!$A$1:$AQ$322,24,FALSE))/10,(VLOOKUP($A80,Hshldprojections2018!$A$1:$AQ$327,34,FALSE)-VLOOKUP($A80,Hshldprojections2018!$A$1:$AQ$327,24,FALSE))/10))</f>
        <v>1284.4000000000001</v>
      </c>
      <c r="AF80" s="267">
        <f>IF(IndividualLATest!$J$7=2014,(VLOOKUP($A80,Hshldprojections2014!$A$2:$AY$326,45,FALSE)-VLOOKUP($A80,Hshldprojections2014!$A$2:$AY$326,35,FALSE))/10,IF(IndividualLATest!$J$7=2016,(VLOOKUP($A80,Hshldprojections2016!$A$1:$AQ$322,35,FALSE)-VLOOKUP($A80,Hshldprojections2016!$A$1:$AQ$322,25,FALSE))/10,(VLOOKUP($A80,Hshldprojections2018!$A$1:$AQ$327,35,FALSE)-VLOOKUP($A80,Hshldprojections2018!$A$1:$AQ$327,25,FALSE))/10))</f>
        <v>1247.0999999999999</v>
      </c>
      <c r="AG80" s="267">
        <f>IF(IndividualLATest!$J$7=2014,(VLOOKUP($A80,Hshldprojections2014!$A$2:$AY$326,46,FALSE)-VLOOKUP($A80,Hshldprojections2014!$A$2:$AY$326,36,FALSE))/10,IF(IndividualLATest!$J$7=2016,(VLOOKUP($A80,Hshldprojections2016!$A$1:$AQ$322,36,FALSE)-VLOOKUP($A80,Hshldprojections2016!$A$1:$AQ$322,26,FALSE))/10,(VLOOKUP($A80,Hshldprojections2018!$A$1:$AQ$327,36,FALSE)-VLOOKUP($A80,Hshldprojections2018!$A$1:$AQ$327,26,FALSE))/10))</f>
        <v>1212.4000000000001</v>
      </c>
      <c r="AH80" s="267">
        <f>IF(IndividualLATest!$J$7=2014,(VLOOKUP($A80,Hshldprojections2014!$A$2:$AY$326,47,FALSE)-VLOOKUP($A80,Hshldprojections2014!$A$2:$AY$326,37,FALSE))/10,IF(IndividualLATest!$J$7=2016,(VLOOKUP($A80,Hshldprojections2016!$A$1:$AQ$322,37,FALSE)-VLOOKUP($A80,Hshldprojections2016!$A$1:$AQ$322,27,FALSE))/10,(VLOOKUP($A80,Hshldprojections2018!$A$1:$AQ$327,37,FALSE)-VLOOKUP($A80,Hshldprojections2018!$A$1:$AQ$327,27,FALSE))/10))</f>
        <v>1174</v>
      </c>
      <c r="AI80" s="268">
        <f>IF(ISNUMBER('Sensitivity Tests'!$C$30),'Sensitivity Tests'!$C$30,VLOOKUP($A80,AffordabilityRatio!$A$2:$I$321,5,FALSE))</f>
        <v>10.97</v>
      </c>
      <c r="AJ80" s="268">
        <f>IF(ISNUMBER('Sensitivity Tests'!$C$30),'Sensitivity Tests'!$C$30,VLOOKUP($A80,AffordabilityRatio!$A$2:$I$321,6,FALSE))</f>
        <v>10.49</v>
      </c>
      <c r="AK80" s="268">
        <f>IF(ISNUMBER('Sensitivity Tests'!$C$30),'Sensitivity Tests'!$C$30,VLOOKUP($A80,AffordabilityRatio!$A$2:$I$321,7,FALSE))</f>
        <v>10</v>
      </c>
      <c r="AL80" s="268">
        <f>IF(ISNUMBER('Sensitivity Tests'!$C$30),'Sensitivity Tests'!$C$30,IF((VLOOKUP($A80,AffordabilityRatio!$A$2:$I$321,8,FALSE))="",AK80,VLOOKUP($A80,AffordabilityRatio!$A$2:$I$321,8,FALSE)))</f>
        <v>10.1</v>
      </c>
      <c r="AM80" s="268">
        <f>IF(ISNUMBER('Sensitivity Tests'!$C$30),'Sensitivity Tests'!$C$30,IF((VLOOKUP($A80,AffordabilityRatio!$A$2:$I$321,9,FALSE))="",AL80,VLOOKUP($A80,AffordabilityRatio!$A$2:$I$321,9,FALSE)))</f>
        <v>12.22</v>
      </c>
      <c r="AN80" s="268">
        <f>IF(ISNUMBER('Sensitivity Tests'!$C$30),'Sensitivity Tests'!$C$30,IF((VLOOKUP($A80,AffordabilityRatio!$A$2:$I$321,9,FALSE))="",AM80,VLOOKUP($A80,AffordabilityRatio!$A$2:$I$321,9,FALSE)))</f>
        <v>12.22</v>
      </c>
      <c r="AO80" s="268">
        <f>IF(ISNUMBER('Sensitivity Tests'!$C$30),'Sensitivity Tests'!$C$30,IF((VLOOKUP($A80,AffordabilityRatio!$A$2:$I$321,9,FALSE))="",AN80,VLOOKUP($A80,AffordabilityRatio!$A$2:$I$321,9,FALSE)))</f>
        <v>12.22</v>
      </c>
      <c r="AP80" s="268">
        <f>IF(ISNUMBER('Sensitivity Tests'!$C$30),'Sensitivity Tests'!$C$30,IF((VLOOKUP($A80,AffordabilityRatio!$A$2:$I$321,9,FALSE))="",AO80,VLOOKUP($A80,AffordabilityRatio!$A$2:$I$321,9,FALSE)))</f>
        <v>12.22</v>
      </c>
      <c r="AQ80" s="267">
        <f t="shared" si="53"/>
        <v>1846</v>
      </c>
      <c r="AR80" s="267">
        <f t="shared" si="53"/>
        <v>1820</v>
      </c>
      <c r="AS80" s="267">
        <f t="shared" si="53"/>
        <v>1788</v>
      </c>
      <c r="AT80" s="267">
        <f t="shared" si="53"/>
        <v>1825</v>
      </c>
      <c r="AU80" s="267">
        <f t="shared" si="53"/>
        <v>1944</v>
      </c>
      <c r="AV80" s="267">
        <f t="shared" si="53"/>
        <v>1888</v>
      </c>
      <c r="AW80" s="267">
        <f t="shared" si="53"/>
        <v>1835</v>
      </c>
      <c r="AX80" s="267">
        <f t="shared" si="53"/>
        <v>1777</v>
      </c>
      <c r="AY80" s="267">
        <f t="shared" si="71"/>
        <v>1846</v>
      </c>
      <c r="AZ80" s="267">
        <f t="shared" si="72"/>
        <v>1820</v>
      </c>
      <c r="BA80" s="267">
        <f t="shared" si="73"/>
        <v>1788</v>
      </c>
      <c r="BB80" s="267">
        <f t="shared" si="74"/>
        <v>1825</v>
      </c>
      <c r="BC80" s="267">
        <f t="shared" si="75"/>
        <v>1944</v>
      </c>
      <c r="BD80" s="267">
        <f t="shared" si="76"/>
        <v>1888</v>
      </c>
      <c r="BE80" s="267">
        <f t="shared" si="77"/>
        <v>1835</v>
      </c>
      <c r="BF80" s="267">
        <f t="shared" si="78"/>
        <v>1777</v>
      </c>
      <c r="BG80" s="269">
        <f>AY80*VLOOKUP($B80,'Major Cities &amp; Towns'!$A$28:$B$345,2,FALSE)</f>
        <v>1846</v>
      </c>
      <c r="BH80" s="269">
        <f>AZ80*VLOOKUP($B80,'Major Cities &amp; Towns'!$A$28:$B$345,2,FALSE)</f>
        <v>1820</v>
      </c>
      <c r="BI80" s="269">
        <f>BA80*VLOOKUP($B80,'Major Cities &amp; Towns'!$A$28:$B$345,2,FALSE)</f>
        <v>1788</v>
      </c>
      <c r="BJ80" s="269">
        <f>BB80*VLOOKUP($B80,'Major Cities &amp; Towns'!$A$28:$B$345,2,FALSE)</f>
        <v>1825</v>
      </c>
      <c r="BK80" s="269">
        <f>BC80*VLOOKUP($B80,'Major Cities &amp; Towns'!$A$28:$B$345,2,FALSE)</f>
        <v>1944</v>
      </c>
      <c r="BL80" s="269">
        <f>BD80*VLOOKUP($B80,'Major Cities &amp; Towns'!$A$28:$B$345,2,FALSE)</f>
        <v>1888</v>
      </c>
      <c r="BM80" s="269">
        <f>BE80*VLOOKUP($B80,'Major Cities &amp; Towns'!$A$28:$B$345,2,FALSE)</f>
        <v>1835</v>
      </c>
      <c r="BN80" s="269">
        <f>BF80*VLOOKUP($B80,'Major Cities &amp; Towns'!$A$28:$B$345,2,FALSE)</f>
        <v>1777</v>
      </c>
      <c r="BO80" s="270">
        <f t="shared" si="79"/>
        <v>1846</v>
      </c>
      <c r="BP80" s="270">
        <f t="shared" si="50"/>
        <v>1820</v>
      </c>
      <c r="BQ80" s="270">
        <f t="shared" si="50"/>
        <v>1788</v>
      </c>
      <c r="BR80" s="270">
        <f t="shared" si="50"/>
        <v>1825</v>
      </c>
      <c r="BS80" s="270">
        <f t="shared" si="49"/>
        <v>1944</v>
      </c>
      <c r="BT80" s="270">
        <f t="shared" si="49"/>
        <v>1888</v>
      </c>
      <c r="BU80" s="270">
        <f t="shared" si="49"/>
        <v>1835</v>
      </c>
      <c r="BV80" s="270">
        <f t="shared" si="49"/>
        <v>1777</v>
      </c>
      <c r="BW80" s="39" t="str">
        <f>VLOOKUP($A80,NetAdditions!$A$2:$H$336,6,FALSE)</f>
        <v>Not Applicable</v>
      </c>
      <c r="BX80" s="39">
        <f>VLOOKUP($A80,NetAdditions!$A$2:$H$336,7,FALSE)</f>
        <v>1420</v>
      </c>
      <c r="BY80" s="39">
        <f>IF((VLOOKUP($C80,NetAdditions!$A$2:$H$336,8,FALSE))="",(AVERAGE(VLOOKUP($C80,NetAdditions!$A$2:$H$336,5,FALSE),VLOOKUP($C80,NetAdditions!$A$2:$H$336,6,FALSE),VLOOKUP($C80,NetAdditions!$A$2:$H$336,7,FALSE))),VLOOKUP($C80,NetAdditions!$A$2:$H$336,8,FALSE))</f>
        <v>1376</v>
      </c>
      <c r="BZ80" s="39">
        <f t="shared" si="54"/>
        <v>1398</v>
      </c>
      <c r="CA80" s="39">
        <f t="shared" si="54"/>
        <v>1398</v>
      </c>
      <c r="CB80" s="39">
        <f t="shared" si="54"/>
        <v>1390.6666666666667</v>
      </c>
      <c r="CC80" s="39">
        <f t="shared" si="54"/>
        <v>1395.5555555555557</v>
      </c>
      <c r="CD80" s="39">
        <f t="shared" si="54"/>
        <v>1394.7407407407409</v>
      </c>
      <c r="CE80" s="276">
        <f t="shared" si="55"/>
        <v>5454</v>
      </c>
      <c r="CF80" s="276">
        <f t="shared" si="56"/>
        <v>5433</v>
      </c>
      <c r="CG80" s="276">
        <f t="shared" si="57"/>
        <v>5557</v>
      </c>
      <c r="CH80" s="276">
        <f t="shared" si="58"/>
        <v>5657</v>
      </c>
      <c r="CI80" s="276">
        <f t="shared" si="59"/>
        <v>5667</v>
      </c>
      <c r="CJ80" s="276">
        <f t="shared" si="60"/>
        <v>5500</v>
      </c>
      <c r="CK80" s="276">
        <f t="shared" si="80"/>
        <v>4696.5</v>
      </c>
      <c r="CL80" s="276">
        <f t="shared" si="81"/>
        <v>4678.416666666667</v>
      </c>
      <c r="CM80" s="276">
        <f t="shared" si="82"/>
        <v>5093.9166666666661</v>
      </c>
      <c r="CN80" s="276">
        <f t="shared" si="83"/>
        <v>5657</v>
      </c>
      <c r="CO80" s="276">
        <f t="shared" si="83"/>
        <v>5667</v>
      </c>
      <c r="CP80" s="276">
        <f t="shared" si="83"/>
        <v>5500</v>
      </c>
      <c r="CQ80" s="39">
        <f t="shared" si="61"/>
        <v>2796</v>
      </c>
      <c r="CR80" s="39">
        <f t="shared" si="62"/>
        <v>4194</v>
      </c>
      <c r="CS80" s="277">
        <f t="shared" si="63"/>
        <v>4172</v>
      </c>
      <c r="CT80" s="39">
        <f t="shared" si="64"/>
        <v>4186.666666666667</v>
      </c>
      <c r="CU80" s="39">
        <f t="shared" si="65"/>
        <v>4184.2222222222226</v>
      </c>
      <c r="CV80" s="39">
        <f t="shared" si="66"/>
        <v>4180.9629629629635</v>
      </c>
      <c r="CW80" s="297">
        <f t="shared" si="67"/>
        <v>0.59533695305014367</v>
      </c>
      <c r="CX80" s="279" t="str">
        <f t="shared" si="84"/>
        <v>Buffer and Action Plan</v>
      </c>
      <c r="CY80" s="278">
        <f t="shared" si="68"/>
        <v>0.89645713471437982</v>
      </c>
      <c r="CZ80" s="279" t="str">
        <f t="shared" si="85"/>
        <v>Action Plan</v>
      </c>
      <c r="DA80" s="278">
        <f t="shared" si="69"/>
        <v>0.81901614671094614</v>
      </c>
      <c r="DB80" s="292" t="str">
        <f t="shared" si="86"/>
        <v>Buffer and Action Plan</v>
      </c>
      <c r="DC80" s="299">
        <f t="shared" si="87"/>
        <v>0.7400860291084792</v>
      </c>
      <c r="DD80" s="293" t="str">
        <f t="shared" si="88"/>
        <v>Presumption</v>
      </c>
      <c r="DE80" s="299">
        <f t="shared" si="89"/>
        <v>0.73834872458482836</v>
      </c>
      <c r="DF80" s="293" t="str">
        <f t="shared" si="90"/>
        <v>Presumption</v>
      </c>
      <c r="DG80" s="299">
        <f t="shared" si="91"/>
        <v>0.76017508417508428</v>
      </c>
      <c r="DH80" s="293" t="str">
        <f t="shared" si="92"/>
        <v>Buffer and Action Plan</v>
      </c>
    </row>
    <row r="81" spans="1:112" s="47" customFormat="1" ht="15" thickTop="1" thickBot="1">
      <c r="A81" s="46" t="s">
        <v>272</v>
      </c>
      <c r="B81" s="46" t="s">
        <v>273</v>
      </c>
      <c r="C81" s="46" t="s">
        <v>272</v>
      </c>
      <c r="D81" s="46" t="s">
        <v>113</v>
      </c>
      <c r="E81" s="46" t="str">
        <f>VLOOKUP(C81,PoliticalControl!A:K,11,FALSE)</f>
        <v>CON</v>
      </c>
      <c r="F81" s="46" t="str">
        <f>VLOOKUP(C81,UrbanRuralClassification!A:N,13,FALSE)</f>
        <v>Urban with Significant Rural (rural including hub towns 26-49%)</v>
      </c>
      <c r="G81" s="46" t="str">
        <f>VLOOKUP(C81,UrbanRuralClassification!A:N,14,FALSE)</f>
        <v>Urban with Significant Rural</v>
      </c>
      <c r="H81" s="258">
        <f>IF(ISBLANK((VLOOKUP($A81,'local-plan-data'!$C$1:$AD$566,27,FALSE)))=TRUE,"",VLOOKUP($A81,'local-plan-data'!$C$1:$AD$566,27,FALSE))</f>
        <v>40233</v>
      </c>
      <c r="I81" s="259">
        <f>VLOOKUP($A81,'local-plan-data'!$C$1:$AD$566,28,FALSE)</f>
        <v>505</v>
      </c>
      <c r="J81" s="260">
        <f t="shared" si="70"/>
        <v>505</v>
      </c>
      <c r="K81" s="259" t="str">
        <f t="shared" si="51"/>
        <v>-</v>
      </c>
      <c r="L81" s="259" t="str">
        <f t="shared" si="51"/>
        <v>-</v>
      </c>
      <c r="M81" s="259" t="str">
        <f t="shared" si="51"/>
        <v>-</v>
      </c>
      <c r="N81" s="259" t="str">
        <f t="shared" si="51"/>
        <v>-</v>
      </c>
      <c r="O81" s="259" t="str">
        <f t="shared" si="51"/>
        <v>-</v>
      </c>
      <c r="P81" s="259" t="str">
        <f t="shared" si="51"/>
        <v>-</v>
      </c>
      <c r="Q81" s="259" t="str">
        <f t="shared" si="51"/>
        <v>-</v>
      </c>
      <c r="R81" s="259" t="str">
        <f t="shared" si="51"/>
        <v>-</v>
      </c>
      <c r="S81" s="259">
        <f t="shared" si="52"/>
        <v>-1132</v>
      </c>
      <c r="T81" s="259">
        <f t="shared" si="52"/>
        <v>-1497</v>
      </c>
      <c r="U81" s="259">
        <f t="shared" si="52"/>
        <v>-1863</v>
      </c>
      <c r="V81" s="259">
        <f t="shared" si="52"/>
        <v>-2228</v>
      </c>
      <c r="W81" s="259">
        <f t="shared" si="52"/>
        <v>-2593</v>
      </c>
      <c r="X81" s="259">
        <f t="shared" si="52"/>
        <v>-2958</v>
      </c>
      <c r="Y81" s="259">
        <f t="shared" si="52"/>
        <v>-3324</v>
      </c>
      <c r="Z81" s="259">
        <f t="shared" si="52"/>
        <v>-3689</v>
      </c>
      <c r="AA81" s="267">
        <f>(VLOOKUP(A81,Hshldprojections2014!$A$2:$AW$319,40, FALSE)-VLOOKUP(A81,Hshldprojections2014!$A$2:$AW$319,30, FALSE))/10</f>
        <v>479.1</v>
      </c>
      <c r="AB81" s="267">
        <f>(VLOOKUP(A81,Hshldprojections2014!$A$2:$AW$319,41, FALSE)-VLOOKUP(A81,Hshldprojections2014!$A$2:$AW$319,31, FALSE))/10</f>
        <v>475.2</v>
      </c>
      <c r="AC81" s="267">
        <f>(VLOOKUP(A81,Hshldprojections2014!$A$2:$AW$319,42, FALSE)-VLOOKUP(A81,Hshldprojections2014!$A$2:$AW$319,32, FALSE))/10</f>
        <v>471.3</v>
      </c>
      <c r="AD81" s="267">
        <f>IF(IndividualLATest!$J$7=2014,(VLOOKUP($A81,Hshldprojections2014!$A$2:$AY$326,43,FALSE)-VLOOKUP($A81,Hshldprojections2014!$A$2:$AY$326,33,FALSE))/10,IF(IndividualLATest!$J$7=2016,(VLOOKUP($A81,Hshldprojections2016!$A$1:$AQ$322,33,FALSE)-VLOOKUP($A81,Hshldprojections2016!$A$1:$AQ$322,23,FALSE))/10,(VLOOKUP($A81,Hshldprojections2018!$A$1:$AQ$327,33,FALSE)-VLOOKUP($A81,Hshldprojections2018!$A$1:$AQ$327,23,FALSE))/10))</f>
        <v>665.5</v>
      </c>
      <c r="AE81" s="267">
        <f>IF(IndividualLATest!$J$7=2014,(VLOOKUP($A81,Hshldprojections2014!$A$2:$AY$326,44,FALSE)-VLOOKUP($A81,Hshldprojections2014!$A$2:$AY$326,34,FALSE))/10,IF(IndividualLATest!$J$7=2016,(VLOOKUP($A81,Hshldprojections2016!$A$1:$AQ$322,34,FALSE)-VLOOKUP($A81,Hshldprojections2016!$A$1:$AQ$322,24,FALSE))/10,(VLOOKUP($A81,Hshldprojections2018!$A$1:$AQ$327,34,FALSE)-VLOOKUP($A81,Hshldprojections2018!$A$1:$AQ$327,24,FALSE))/10))</f>
        <v>653.1</v>
      </c>
      <c r="AF81" s="267">
        <f>IF(IndividualLATest!$J$7=2014,(VLOOKUP($A81,Hshldprojections2014!$A$2:$AY$326,45,FALSE)-VLOOKUP($A81,Hshldprojections2014!$A$2:$AY$326,35,FALSE))/10,IF(IndividualLATest!$J$7=2016,(VLOOKUP($A81,Hshldprojections2016!$A$1:$AQ$322,35,FALSE)-VLOOKUP($A81,Hshldprojections2016!$A$1:$AQ$322,25,FALSE))/10,(VLOOKUP($A81,Hshldprojections2018!$A$1:$AQ$327,35,FALSE)-VLOOKUP($A81,Hshldprojections2018!$A$1:$AQ$327,25,FALSE))/10))</f>
        <v>639.20000000000005</v>
      </c>
      <c r="AG81" s="267">
        <f>IF(IndividualLATest!$J$7=2014,(VLOOKUP($A81,Hshldprojections2014!$A$2:$AY$326,46,FALSE)-VLOOKUP($A81,Hshldprojections2014!$A$2:$AY$326,36,FALSE))/10,IF(IndividualLATest!$J$7=2016,(VLOOKUP($A81,Hshldprojections2016!$A$1:$AQ$322,36,FALSE)-VLOOKUP($A81,Hshldprojections2016!$A$1:$AQ$322,26,FALSE))/10,(VLOOKUP($A81,Hshldprojections2018!$A$1:$AQ$327,36,FALSE)-VLOOKUP($A81,Hshldprojections2018!$A$1:$AQ$327,26,FALSE))/10))</f>
        <v>627</v>
      </c>
      <c r="AH81" s="267">
        <f>IF(IndividualLATest!$J$7=2014,(VLOOKUP($A81,Hshldprojections2014!$A$2:$AY$326,47,FALSE)-VLOOKUP($A81,Hshldprojections2014!$A$2:$AY$326,37,FALSE))/10,IF(IndividualLATest!$J$7=2016,(VLOOKUP($A81,Hshldprojections2016!$A$1:$AQ$322,37,FALSE)-VLOOKUP($A81,Hshldprojections2016!$A$1:$AQ$322,27,FALSE))/10,(VLOOKUP($A81,Hshldprojections2018!$A$1:$AQ$327,37,FALSE)-VLOOKUP($A81,Hshldprojections2018!$A$1:$AQ$327,27,FALSE))/10))</f>
        <v>617.9</v>
      </c>
      <c r="AI81" s="268">
        <f>IF(ISNUMBER('Sensitivity Tests'!$C$30),'Sensitivity Tests'!$C$30,VLOOKUP($A81,AffordabilityRatio!$A$2:$I$321,5,FALSE))</f>
        <v>8.3000000000000007</v>
      </c>
      <c r="AJ81" s="268">
        <f>IF(ISNUMBER('Sensitivity Tests'!$C$30),'Sensitivity Tests'!$C$30,VLOOKUP($A81,AffordabilityRatio!$A$2:$I$321,6,FALSE))</f>
        <v>9.3699999999999992</v>
      </c>
      <c r="AK81" s="268">
        <f>IF(ISNUMBER('Sensitivity Tests'!$C$30),'Sensitivity Tests'!$C$30,VLOOKUP($A81,AffordabilityRatio!$A$2:$I$321,7,FALSE))</f>
        <v>8.2100000000000009</v>
      </c>
      <c r="AL81" s="268">
        <f>IF(ISNUMBER('Sensitivity Tests'!$C$30),'Sensitivity Tests'!$C$30,IF((VLOOKUP($A81,AffordabilityRatio!$A$2:$I$321,8,FALSE))="",AK81,VLOOKUP($A81,AffordabilityRatio!$A$2:$I$321,8,FALSE)))</f>
        <v>7.12</v>
      </c>
      <c r="AM81" s="268">
        <f>IF(ISNUMBER('Sensitivity Tests'!$C$30),'Sensitivity Tests'!$C$30,IF((VLOOKUP($A81,AffordabilityRatio!$A$2:$I$321,9,FALSE))="",AL81,VLOOKUP($A81,AffordabilityRatio!$A$2:$I$321,9,FALSE)))</f>
        <v>9.25</v>
      </c>
      <c r="AN81" s="268">
        <f>IF(ISNUMBER('Sensitivity Tests'!$C$30),'Sensitivity Tests'!$C$30,IF((VLOOKUP($A81,AffordabilityRatio!$A$2:$I$321,9,FALSE))="",AM81,VLOOKUP($A81,AffordabilityRatio!$A$2:$I$321,9,FALSE)))</f>
        <v>9.25</v>
      </c>
      <c r="AO81" s="268">
        <f>IF(ISNUMBER('Sensitivity Tests'!$C$30),'Sensitivity Tests'!$C$30,IF((VLOOKUP($A81,AffordabilityRatio!$A$2:$I$321,9,FALSE))="",AN81,VLOOKUP($A81,AffordabilityRatio!$A$2:$I$321,9,FALSE)))</f>
        <v>9.25</v>
      </c>
      <c r="AP81" s="268">
        <f>IF(ISNUMBER('Sensitivity Tests'!$C$30),'Sensitivity Tests'!$C$30,IF((VLOOKUP($A81,AffordabilityRatio!$A$2:$I$321,9,FALSE))="",AO81,VLOOKUP($A81,AffordabilityRatio!$A$2:$I$321,9,FALSE)))</f>
        <v>9.25</v>
      </c>
      <c r="AQ81" s="267">
        <f t="shared" si="53"/>
        <v>608</v>
      </c>
      <c r="AR81" s="267">
        <f t="shared" si="53"/>
        <v>635</v>
      </c>
      <c r="AS81" s="267">
        <f t="shared" si="53"/>
        <v>595</v>
      </c>
      <c r="AT81" s="267">
        <f t="shared" si="53"/>
        <v>795</v>
      </c>
      <c r="AU81" s="267">
        <f t="shared" si="53"/>
        <v>867</v>
      </c>
      <c r="AV81" s="267">
        <f t="shared" si="53"/>
        <v>849</v>
      </c>
      <c r="AW81" s="267">
        <f t="shared" si="53"/>
        <v>833</v>
      </c>
      <c r="AX81" s="267">
        <f t="shared" si="53"/>
        <v>821</v>
      </c>
      <c r="AY81" s="267">
        <f t="shared" si="71"/>
        <v>608</v>
      </c>
      <c r="AZ81" s="267">
        <f t="shared" si="72"/>
        <v>635</v>
      </c>
      <c r="BA81" s="267">
        <f t="shared" si="73"/>
        <v>595</v>
      </c>
      <c r="BB81" s="267">
        <f t="shared" si="74"/>
        <v>795</v>
      </c>
      <c r="BC81" s="267">
        <f t="shared" si="75"/>
        <v>867</v>
      </c>
      <c r="BD81" s="267">
        <f t="shared" si="76"/>
        <v>849</v>
      </c>
      <c r="BE81" s="267">
        <f t="shared" si="77"/>
        <v>833</v>
      </c>
      <c r="BF81" s="267">
        <f t="shared" si="78"/>
        <v>821</v>
      </c>
      <c r="BG81" s="269">
        <f>AY81*VLOOKUP($B81,'Major Cities &amp; Towns'!$A$28:$B$345,2,FALSE)</f>
        <v>608</v>
      </c>
      <c r="BH81" s="269">
        <f>AZ81*VLOOKUP($B81,'Major Cities &amp; Towns'!$A$28:$B$345,2,FALSE)</f>
        <v>635</v>
      </c>
      <c r="BI81" s="269">
        <f>BA81*VLOOKUP($B81,'Major Cities &amp; Towns'!$A$28:$B$345,2,FALSE)</f>
        <v>595</v>
      </c>
      <c r="BJ81" s="269">
        <f>BB81*VLOOKUP($B81,'Major Cities &amp; Towns'!$A$28:$B$345,2,FALSE)</f>
        <v>795</v>
      </c>
      <c r="BK81" s="269">
        <f>BC81*VLOOKUP($B81,'Major Cities &amp; Towns'!$A$28:$B$345,2,FALSE)</f>
        <v>867</v>
      </c>
      <c r="BL81" s="269">
        <f>BD81*VLOOKUP($B81,'Major Cities &amp; Towns'!$A$28:$B$345,2,FALSE)</f>
        <v>849</v>
      </c>
      <c r="BM81" s="269">
        <f>BE81*VLOOKUP($B81,'Major Cities &amp; Towns'!$A$28:$B$345,2,FALSE)</f>
        <v>833</v>
      </c>
      <c r="BN81" s="269">
        <f>BF81*VLOOKUP($B81,'Major Cities &amp; Towns'!$A$28:$B$345,2,FALSE)</f>
        <v>821</v>
      </c>
      <c r="BO81" s="270">
        <f t="shared" si="79"/>
        <v>608</v>
      </c>
      <c r="BP81" s="270">
        <f t="shared" si="50"/>
        <v>635</v>
      </c>
      <c r="BQ81" s="270">
        <f t="shared" si="50"/>
        <v>595</v>
      </c>
      <c r="BR81" s="270">
        <f t="shared" si="50"/>
        <v>795</v>
      </c>
      <c r="BS81" s="270">
        <f t="shared" si="49"/>
        <v>867</v>
      </c>
      <c r="BT81" s="270">
        <f t="shared" si="49"/>
        <v>849</v>
      </c>
      <c r="BU81" s="270">
        <f t="shared" si="49"/>
        <v>833</v>
      </c>
      <c r="BV81" s="270">
        <f t="shared" si="49"/>
        <v>821</v>
      </c>
      <c r="BW81" s="39">
        <f>VLOOKUP($A81,NetAdditions!$A$2:$H$336,6,FALSE)</f>
        <v>446</v>
      </c>
      <c r="BX81" s="39">
        <f>VLOOKUP($A81,NetAdditions!$A$2:$H$336,7,FALSE)</f>
        <v>442</v>
      </c>
      <c r="BY81" s="39">
        <f>IF((VLOOKUP($C81,NetAdditions!$A$2:$H$336,8,FALSE))="",(AVERAGE(VLOOKUP($C81,NetAdditions!$A$2:$H$336,5,FALSE),VLOOKUP($C81,NetAdditions!$A$2:$H$336,6,FALSE),VLOOKUP($C81,NetAdditions!$A$2:$H$336,7,FALSE))),VLOOKUP($C81,NetAdditions!$A$2:$H$336,8,FALSE))</f>
        <v>483</v>
      </c>
      <c r="BZ81" s="39">
        <f t="shared" si="54"/>
        <v>457</v>
      </c>
      <c r="CA81" s="39">
        <f t="shared" si="54"/>
        <v>460.66666666666669</v>
      </c>
      <c r="CB81" s="39">
        <f t="shared" si="54"/>
        <v>466.88888888888891</v>
      </c>
      <c r="CC81" s="39">
        <f t="shared" si="54"/>
        <v>461.51851851851853</v>
      </c>
      <c r="CD81" s="39">
        <f t="shared" si="54"/>
        <v>463.02469135802471</v>
      </c>
      <c r="CE81" s="276">
        <f t="shared" si="55"/>
        <v>1838</v>
      </c>
      <c r="CF81" s="276">
        <f t="shared" si="56"/>
        <v>2025</v>
      </c>
      <c r="CG81" s="276">
        <f t="shared" si="57"/>
        <v>2257</v>
      </c>
      <c r="CH81" s="276">
        <f t="shared" si="58"/>
        <v>2511</v>
      </c>
      <c r="CI81" s="276">
        <f t="shared" si="59"/>
        <v>2549</v>
      </c>
      <c r="CJ81" s="276">
        <f t="shared" si="60"/>
        <v>2503</v>
      </c>
      <c r="CK81" s="276">
        <f t="shared" si="80"/>
        <v>1582.7222222222224</v>
      </c>
      <c r="CL81" s="276">
        <f t="shared" si="81"/>
        <v>1743.75</v>
      </c>
      <c r="CM81" s="276">
        <f t="shared" si="82"/>
        <v>2068.9166666666665</v>
      </c>
      <c r="CN81" s="276">
        <f t="shared" si="83"/>
        <v>2511</v>
      </c>
      <c r="CO81" s="276">
        <f t="shared" si="83"/>
        <v>2549</v>
      </c>
      <c r="CP81" s="276">
        <f t="shared" si="83"/>
        <v>2503</v>
      </c>
      <c r="CQ81" s="39">
        <f t="shared" si="61"/>
        <v>1371</v>
      </c>
      <c r="CR81" s="39">
        <f t="shared" si="62"/>
        <v>1382</v>
      </c>
      <c r="CS81" s="277">
        <f t="shared" si="63"/>
        <v>1400.6666666666667</v>
      </c>
      <c r="CT81" s="39">
        <f t="shared" si="64"/>
        <v>1384.5555555555557</v>
      </c>
      <c r="CU81" s="39">
        <f t="shared" si="65"/>
        <v>1389.0740740740741</v>
      </c>
      <c r="CV81" s="39">
        <f t="shared" si="66"/>
        <v>1391.4320987654321</v>
      </c>
      <c r="CW81" s="297">
        <f t="shared" si="67"/>
        <v>0.86622907086945833</v>
      </c>
      <c r="CX81" s="279" t="str">
        <f t="shared" si="84"/>
        <v>Action Plan</v>
      </c>
      <c r="CY81" s="278">
        <f t="shared" si="68"/>
        <v>0.79254480286738349</v>
      </c>
      <c r="CZ81" s="279" t="str">
        <f t="shared" si="85"/>
        <v>Buffer and Action Plan</v>
      </c>
      <c r="DA81" s="278">
        <f t="shared" si="69"/>
        <v>0.67700487372618534</v>
      </c>
      <c r="DB81" s="292" t="str">
        <f t="shared" si="86"/>
        <v>Presumption</v>
      </c>
      <c r="DC81" s="299">
        <f t="shared" si="87"/>
        <v>0.5513960794725431</v>
      </c>
      <c r="DD81" s="293" t="str">
        <f t="shared" si="88"/>
        <v>Presumption</v>
      </c>
      <c r="DE81" s="299">
        <f t="shared" si="89"/>
        <v>0.54494863635703183</v>
      </c>
      <c r="DF81" s="293" t="str">
        <f t="shared" si="90"/>
        <v>Presumption</v>
      </c>
      <c r="DG81" s="299">
        <f t="shared" si="91"/>
        <v>0.5559057526030492</v>
      </c>
      <c r="DH81" s="293" t="str">
        <f t="shared" si="92"/>
        <v>Presumption</v>
      </c>
    </row>
    <row r="82" spans="1:112" ht="15" thickTop="1" thickBot="1">
      <c r="A82" s="38" t="s">
        <v>274</v>
      </c>
      <c r="B82" s="38" t="s">
        <v>275</v>
      </c>
      <c r="C82" s="38" t="s">
        <v>274</v>
      </c>
      <c r="D82" s="38" t="s">
        <v>154</v>
      </c>
      <c r="E82" s="38" t="str">
        <f>VLOOKUP(C82,PoliticalControl!A:K,11,FALSE)</f>
        <v>CON</v>
      </c>
      <c r="F82" s="38" t="str">
        <f>VLOOKUP(C82,UrbanRuralClassification!A:N,13,FALSE)</f>
        <v>Urban with Major Conurbation</v>
      </c>
      <c r="G82" s="38" t="str">
        <f>VLOOKUP(C82,UrbanRuralClassification!A:N,14,FALSE)</f>
        <v>Predominantly Urban</v>
      </c>
      <c r="H82" s="258">
        <f>IF(ISBLANK((VLOOKUP($A82,'local-plan-data'!$C$1:$AD$566,27,FALSE)))=TRUE,"",VLOOKUP($A82,'local-plan-data'!$C$1:$AD$566,27,FALSE))</f>
        <v>40577</v>
      </c>
      <c r="I82" s="259">
        <f>VLOOKUP($A82,'local-plan-data'!$C$1:$AD$566,28,FALSE)</f>
        <v>806.35</v>
      </c>
      <c r="J82" s="260">
        <f t="shared" si="70"/>
        <v>806.35</v>
      </c>
      <c r="K82" s="259" t="str">
        <f t="shared" si="51"/>
        <v>-</v>
      </c>
      <c r="L82" s="259" t="str">
        <f t="shared" si="51"/>
        <v>-</v>
      </c>
      <c r="M82" s="259" t="str">
        <f t="shared" si="51"/>
        <v>-</v>
      </c>
      <c r="N82" s="259" t="str">
        <f t="shared" si="51"/>
        <v>-</v>
      </c>
      <c r="O82" s="259" t="str">
        <f t="shared" si="51"/>
        <v>-</v>
      </c>
      <c r="P82" s="259" t="str">
        <f t="shared" si="51"/>
        <v>-</v>
      </c>
      <c r="Q82" s="259" t="str">
        <f t="shared" si="51"/>
        <v>-</v>
      </c>
      <c r="R82" s="259" t="str">
        <f t="shared" ref="L82:R119" si="93">IF(AND(ISNUMBER($H82),ISNUMBER($J82)),IF(($H82-R$1&gt;0),$J82,IF(DATEDIF($H82,R$1,"y")&lt;5,$J82,"-")),"-")</f>
        <v>-</v>
      </c>
      <c r="S82" s="259">
        <f t="shared" si="52"/>
        <v>-788</v>
      </c>
      <c r="T82" s="259">
        <f t="shared" si="52"/>
        <v>-1153</v>
      </c>
      <c r="U82" s="259">
        <f t="shared" si="52"/>
        <v>-1519</v>
      </c>
      <c r="V82" s="259">
        <f t="shared" si="52"/>
        <v>-1884</v>
      </c>
      <c r="W82" s="259">
        <f t="shared" si="52"/>
        <v>-2249</v>
      </c>
      <c r="X82" s="259">
        <f t="shared" si="52"/>
        <v>-2614</v>
      </c>
      <c r="Y82" s="259">
        <f t="shared" si="52"/>
        <v>-2980</v>
      </c>
      <c r="Z82" s="259">
        <f t="shared" ref="T82:Z119" si="94">IFERROR((EDATE($H82,60))-Z$1,"-")</f>
        <v>-3345</v>
      </c>
      <c r="AA82" s="267">
        <f>(VLOOKUP(A82,Hshldprojections2014!$A$2:$AW$319,40, FALSE)-VLOOKUP(A82,Hshldprojections2014!$A$2:$AW$319,30, FALSE))/10</f>
        <v>549.29999999999995</v>
      </c>
      <c r="AB82" s="267">
        <f>(VLOOKUP(A82,Hshldprojections2014!$A$2:$AW$319,41, FALSE)-VLOOKUP(A82,Hshldprojections2014!$A$2:$AW$319,31, FALSE))/10</f>
        <v>550.6</v>
      </c>
      <c r="AC82" s="267">
        <f>(VLOOKUP(A82,Hshldprojections2014!$A$2:$AW$319,42, FALSE)-VLOOKUP(A82,Hshldprojections2014!$A$2:$AW$319,32, FALSE))/10</f>
        <v>553.70000000000005</v>
      </c>
      <c r="AD82" s="267">
        <f>IF(IndividualLATest!$J$7=2014,(VLOOKUP($A82,Hshldprojections2014!$A$2:$AY$326,43,FALSE)-VLOOKUP($A82,Hshldprojections2014!$A$2:$AY$326,33,FALSE))/10,IF(IndividualLATest!$J$7=2016,(VLOOKUP($A82,Hshldprojections2016!$A$1:$AQ$322,33,FALSE)-VLOOKUP($A82,Hshldprojections2016!$A$1:$AQ$322,23,FALSE))/10,(VLOOKUP($A82,Hshldprojections2018!$A$1:$AQ$327,33,FALSE)-VLOOKUP($A82,Hshldprojections2018!$A$1:$AQ$327,23,FALSE))/10))</f>
        <v>658.7</v>
      </c>
      <c r="AE82" s="267">
        <f>IF(IndividualLATest!$J$7=2014,(VLOOKUP($A82,Hshldprojections2014!$A$2:$AY$326,44,FALSE)-VLOOKUP($A82,Hshldprojections2014!$A$2:$AY$326,34,FALSE))/10,IF(IndividualLATest!$J$7=2016,(VLOOKUP($A82,Hshldprojections2016!$A$1:$AQ$322,34,FALSE)-VLOOKUP($A82,Hshldprojections2016!$A$1:$AQ$322,24,FALSE))/10,(VLOOKUP($A82,Hshldprojections2018!$A$1:$AQ$327,34,FALSE)-VLOOKUP($A82,Hshldprojections2018!$A$1:$AQ$327,24,FALSE))/10))</f>
        <v>651</v>
      </c>
      <c r="AF82" s="267">
        <f>IF(IndividualLATest!$J$7=2014,(VLOOKUP($A82,Hshldprojections2014!$A$2:$AY$326,45,FALSE)-VLOOKUP($A82,Hshldprojections2014!$A$2:$AY$326,35,FALSE))/10,IF(IndividualLATest!$J$7=2016,(VLOOKUP($A82,Hshldprojections2016!$A$1:$AQ$322,35,FALSE)-VLOOKUP($A82,Hshldprojections2016!$A$1:$AQ$322,25,FALSE))/10,(VLOOKUP($A82,Hshldprojections2018!$A$1:$AQ$327,35,FALSE)-VLOOKUP($A82,Hshldprojections2018!$A$1:$AQ$327,25,FALSE))/10))</f>
        <v>652.5</v>
      </c>
      <c r="AG82" s="267">
        <f>IF(IndividualLATest!$J$7=2014,(VLOOKUP($A82,Hshldprojections2014!$A$2:$AY$326,46,FALSE)-VLOOKUP($A82,Hshldprojections2014!$A$2:$AY$326,36,FALSE))/10,IF(IndividualLATest!$J$7=2016,(VLOOKUP($A82,Hshldprojections2016!$A$1:$AQ$322,36,FALSE)-VLOOKUP($A82,Hshldprojections2016!$A$1:$AQ$322,26,FALSE))/10,(VLOOKUP($A82,Hshldprojections2018!$A$1:$AQ$327,36,FALSE)-VLOOKUP($A82,Hshldprojections2018!$A$1:$AQ$327,26,FALSE))/10))</f>
        <v>652.6</v>
      </c>
      <c r="AH82" s="267">
        <f>IF(IndividualLATest!$J$7=2014,(VLOOKUP($A82,Hshldprojections2014!$A$2:$AY$326,47,FALSE)-VLOOKUP($A82,Hshldprojections2014!$A$2:$AY$326,37,FALSE))/10,IF(IndividualLATest!$J$7=2016,(VLOOKUP($A82,Hshldprojections2016!$A$1:$AQ$322,37,FALSE)-VLOOKUP($A82,Hshldprojections2016!$A$1:$AQ$322,27,FALSE))/10,(VLOOKUP($A82,Hshldprojections2018!$A$1:$AQ$327,37,FALSE)-VLOOKUP($A82,Hshldprojections2018!$A$1:$AQ$327,27,FALSE))/10))</f>
        <v>659.6</v>
      </c>
      <c r="AI82" s="268">
        <f>IF(ISNUMBER('Sensitivity Tests'!$C$30),'Sensitivity Tests'!$C$30,VLOOKUP($A82,AffordabilityRatio!$A$2:$I$321,5,FALSE))</f>
        <v>6.08</v>
      </c>
      <c r="AJ82" s="268">
        <f>IF(ISNUMBER('Sensitivity Tests'!$C$30),'Sensitivity Tests'!$C$30,VLOOKUP($A82,AffordabilityRatio!$A$2:$I$321,6,FALSE))</f>
        <v>6.21</v>
      </c>
      <c r="AK82" s="268">
        <f>IF(ISNUMBER('Sensitivity Tests'!$C$30),'Sensitivity Tests'!$C$30,VLOOKUP($A82,AffordabilityRatio!$A$2:$I$321,7,FALSE))</f>
        <v>6.35</v>
      </c>
      <c r="AL82" s="268">
        <f>IF(ISNUMBER('Sensitivity Tests'!$C$30),'Sensitivity Tests'!$C$30,IF((VLOOKUP($A82,AffordabilityRatio!$A$2:$I$321,8,FALSE))="",AK82,VLOOKUP($A82,AffordabilityRatio!$A$2:$I$321,8,FALSE)))</f>
        <v>6.19</v>
      </c>
      <c r="AM82" s="268">
        <f>IF(ISNUMBER('Sensitivity Tests'!$C$30),'Sensitivity Tests'!$C$30,IF((VLOOKUP($A82,AffordabilityRatio!$A$2:$I$321,9,FALSE))="",AL82,VLOOKUP($A82,AffordabilityRatio!$A$2:$I$321,9,FALSE)))</f>
        <v>6.6</v>
      </c>
      <c r="AN82" s="268">
        <f>IF(ISNUMBER('Sensitivity Tests'!$C$30),'Sensitivity Tests'!$C$30,IF((VLOOKUP($A82,AffordabilityRatio!$A$2:$I$321,9,FALSE))="",AM82,VLOOKUP($A82,AffordabilityRatio!$A$2:$I$321,9,FALSE)))</f>
        <v>6.6</v>
      </c>
      <c r="AO82" s="268">
        <f>IF(ISNUMBER('Sensitivity Tests'!$C$30),'Sensitivity Tests'!$C$30,IF((VLOOKUP($A82,AffordabilityRatio!$A$2:$I$321,9,FALSE))="",AN82,VLOOKUP($A82,AffordabilityRatio!$A$2:$I$321,9,FALSE)))</f>
        <v>6.6</v>
      </c>
      <c r="AP82" s="268">
        <f>IF(ISNUMBER('Sensitivity Tests'!$C$30),'Sensitivity Tests'!$C$30,IF((VLOOKUP($A82,AffordabilityRatio!$A$2:$I$321,9,FALSE))="",AO82,VLOOKUP($A82,AffordabilityRatio!$A$2:$I$321,9,FALSE)))</f>
        <v>6.6</v>
      </c>
      <c r="AQ82" s="267">
        <f t="shared" si="53"/>
        <v>621</v>
      </c>
      <c r="AR82" s="267">
        <f t="shared" si="53"/>
        <v>627</v>
      </c>
      <c r="AS82" s="267">
        <f t="shared" si="53"/>
        <v>635</v>
      </c>
      <c r="AT82" s="267">
        <f t="shared" si="53"/>
        <v>749</v>
      </c>
      <c r="AU82" s="267">
        <f t="shared" si="53"/>
        <v>757</v>
      </c>
      <c r="AV82" s="267">
        <f t="shared" si="53"/>
        <v>759</v>
      </c>
      <c r="AW82" s="267">
        <f t="shared" si="53"/>
        <v>759</v>
      </c>
      <c r="AX82" s="267">
        <f t="shared" ref="AX82:AX145" si="95">IF(AH82&lt;0,0,IF(AP82&gt;4,ROUND((1+((AP82-4)/4*0.25))*AH82,0),AH82))</f>
        <v>767</v>
      </c>
      <c r="AY82" s="267">
        <f t="shared" si="71"/>
        <v>621</v>
      </c>
      <c r="AZ82" s="267">
        <f t="shared" si="72"/>
        <v>627</v>
      </c>
      <c r="BA82" s="267">
        <f t="shared" si="73"/>
        <v>635</v>
      </c>
      <c r="BB82" s="267">
        <f t="shared" si="74"/>
        <v>749</v>
      </c>
      <c r="BC82" s="267">
        <f t="shared" si="75"/>
        <v>757</v>
      </c>
      <c r="BD82" s="267">
        <f t="shared" si="76"/>
        <v>759</v>
      </c>
      <c r="BE82" s="267">
        <f t="shared" si="77"/>
        <v>759</v>
      </c>
      <c r="BF82" s="267">
        <f t="shared" si="78"/>
        <v>767</v>
      </c>
      <c r="BG82" s="269">
        <f>AY82*VLOOKUP($B82,'Major Cities &amp; Towns'!$A$28:$B$345,2,FALSE)</f>
        <v>621</v>
      </c>
      <c r="BH82" s="269">
        <f>AZ82*VLOOKUP($B82,'Major Cities &amp; Towns'!$A$28:$B$345,2,FALSE)</f>
        <v>627</v>
      </c>
      <c r="BI82" s="269">
        <f>BA82*VLOOKUP($B82,'Major Cities &amp; Towns'!$A$28:$B$345,2,FALSE)</f>
        <v>635</v>
      </c>
      <c r="BJ82" s="269">
        <f>BB82*VLOOKUP($B82,'Major Cities &amp; Towns'!$A$28:$B$345,2,FALSE)</f>
        <v>749</v>
      </c>
      <c r="BK82" s="269">
        <f>BC82*VLOOKUP($B82,'Major Cities &amp; Towns'!$A$28:$B$345,2,FALSE)</f>
        <v>757</v>
      </c>
      <c r="BL82" s="269">
        <f>BD82*VLOOKUP($B82,'Major Cities &amp; Towns'!$A$28:$B$345,2,FALSE)</f>
        <v>759</v>
      </c>
      <c r="BM82" s="269">
        <f>BE82*VLOOKUP($B82,'Major Cities &amp; Towns'!$A$28:$B$345,2,FALSE)</f>
        <v>759</v>
      </c>
      <c r="BN82" s="269">
        <f>BF82*VLOOKUP($B82,'Major Cities &amp; Towns'!$A$28:$B$345,2,FALSE)</f>
        <v>767</v>
      </c>
      <c r="BO82" s="270">
        <f t="shared" si="79"/>
        <v>621</v>
      </c>
      <c r="BP82" s="270">
        <f t="shared" si="50"/>
        <v>627</v>
      </c>
      <c r="BQ82" s="270">
        <f t="shared" si="50"/>
        <v>635</v>
      </c>
      <c r="BR82" s="270">
        <f t="shared" si="50"/>
        <v>749</v>
      </c>
      <c r="BS82" s="270">
        <f t="shared" si="49"/>
        <v>757</v>
      </c>
      <c r="BT82" s="270">
        <f t="shared" si="49"/>
        <v>759</v>
      </c>
      <c r="BU82" s="270">
        <f t="shared" si="49"/>
        <v>759</v>
      </c>
      <c r="BV82" s="270">
        <f t="shared" si="49"/>
        <v>767</v>
      </c>
      <c r="BW82" s="39">
        <f>VLOOKUP($A82,NetAdditions!$A$2:$H$336,6,FALSE)</f>
        <v>753</v>
      </c>
      <c r="BX82" s="39">
        <f>VLOOKUP($A82,NetAdditions!$A$2:$H$336,7,FALSE)</f>
        <v>720</v>
      </c>
      <c r="BY82" s="39">
        <f>IF((VLOOKUP($C82,NetAdditions!$A$2:$H$336,8,FALSE))="",(AVERAGE(VLOOKUP($C82,NetAdditions!$A$2:$H$336,5,FALSE),VLOOKUP($C82,NetAdditions!$A$2:$H$336,6,FALSE),VLOOKUP($C82,NetAdditions!$A$2:$H$336,7,FALSE))),VLOOKUP($C82,NetAdditions!$A$2:$H$336,8,FALSE))</f>
        <v>591</v>
      </c>
      <c r="BZ82" s="39">
        <f t="shared" si="54"/>
        <v>688</v>
      </c>
      <c r="CA82" s="39">
        <f t="shared" si="54"/>
        <v>666.33333333333337</v>
      </c>
      <c r="CB82" s="39">
        <f t="shared" si="54"/>
        <v>648.44444444444446</v>
      </c>
      <c r="CC82" s="39">
        <f t="shared" si="54"/>
        <v>667.59259259259261</v>
      </c>
      <c r="CD82" s="39">
        <f t="shared" si="54"/>
        <v>660.79012345679018</v>
      </c>
      <c r="CE82" s="276">
        <f t="shared" si="55"/>
        <v>1883</v>
      </c>
      <c r="CF82" s="276">
        <f t="shared" si="56"/>
        <v>2011</v>
      </c>
      <c r="CG82" s="276">
        <f t="shared" si="57"/>
        <v>2141</v>
      </c>
      <c r="CH82" s="276">
        <f t="shared" si="58"/>
        <v>2265</v>
      </c>
      <c r="CI82" s="276">
        <f t="shared" si="59"/>
        <v>2275</v>
      </c>
      <c r="CJ82" s="276">
        <f t="shared" si="60"/>
        <v>2285</v>
      </c>
      <c r="CK82" s="276">
        <f t="shared" si="80"/>
        <v>1621.4722222222224</v>
      </c>
      <c r="CL82" s="276">
        <f t="shared" si="81"/>
        <v>1731.6944444444446</v>
      </c>
      <c r="CM82" s="276">
        <f t="shared" si="82"/>
        <v>1962.5833333333333</v>
      </c>
      <c r="CN82" s="276">
        <f t="shared" si="83"/>
        <v>2265</v>
      </c>
      <c r="CO82" s="276">
        <f t="shared" si="83"/>
        <v>2275</v>
      </c>
      <c r="CP82" s="276">
        <f t="shared" si="83"/>
        <v>2285</v>
      </c>
      <c r="CQ82" s="39">
        <f t="shared" si="61"/>
        <v>2064</v>
      </c>
      <c r="CR82" s="39">
        <f t="shared" si="62"/>
        <v>1999</v>
      </c>
      <c r="CS82" s="277">
        <f t="shared" si="63"/>
        <v>1945.3333333333335</v>
      </c>
      <c r="CT82" s="39">
        <f t="shared" si="64"/>
        <v>2002.7777777777778</v>
      </c>
      <c r="CU82" s="39">
        <f t="shared" si="65"/>
        <v>1982.3703703703704</v>
      </c>
      <c r="CV82" s="39">
        <f t="shared" si="66"/>
        <v>1976.8271604938273</v>
      </c>
      <c r="CW82" s="297">
        <f t="shared" si="67"/>
        <v>1.2729172733969472</v>
      </c>
      <c r="CX82" s="279" t="str">
        <f t="shared" si="84"/>
        <v>Pass</v>
      </c>
      <c r="CY82" s="278">
        <f t="shared" si="68"/>
        <v>1.1543606936045299</v>
      </c>
      <c r="CZ82" s="279" t="str">
        <f t="shared" si="85"/>
        <v>Pass</v>
      </c>
      <c r="DA82" s="278">
        <f t="shared" si="69"/>
        <v>0.99121056430724819</v>
      </c>
      <c r="DB82" s="292" t="str">
        <f t="shared" si="86"/>
        <v>Pass</v>
      </c>
      <c r="DC82" s="299">
        <f t="shared" si="87"/>
        <v>0.88422859946038757</v>
      </c>
      <c r="DD82" s="293" t="str">
        <f t="shared" si="88"/>
        <v>Action Plan</v>
      </c>
      <c r="DE82" s="299">
        <f t="shared" si="89"/>
        <v>0.87137159137159137</v>
      </c>
      <c r="DF82" s="293" t="str">
        <f t="shared" si="90"/>
        <v>Action Plan</v>
      </c>
      <c r="DG82" s="299">
        <f t="shared" si="91"/>
        <v>0.86513223653996818</v>
      </c>
      <c r="DH82" s="293" t="str">
        <f t="shared" si="92"/>
        <v>Action Plan</v>
      </c>
    </row>
    <row r="83" spans="1:112" ht="15" thickTop="1" thickBot="1">
      <c r="A83" s="38" t="s">
        <v>276</v>
      </c>
      <c r="B83" s="38" t="s">
        <v>277</v>
      </c>
      <c r="C83" s="38" t="s">
        <v>276</v>
      </c>
      <c r="D83" s="38" t="s">
        <v>259</v>
      </c>
      <c r="E83" s="38" t="str">
        <f>VLOOKUP(C83,PoliticalControl!A:K,11,FALSE)</f>
        <v>NOC</v>
      </c>
      <c r="F83" s="38" t="str">
        <f>VLOOKUP(C83,UrbanRuralClassification!A:N,13,FALSE)</f>
        <v xml:space="preserve">Largely Rural (rural including hub towns 50-79%) </v>
      </c>
      <c r="G83" s="38" t="str">
        <f>VLOOKUP(C83,UrbanRuralClassification!A:N,14,FALSE)</f>
        <v>Predominantly Rural</v>
      </c>
      <c r="H83" s="258">
        <f>IF(ISBLANK((VLOOKUP($A83,'local-plan-data'!$C$1:$AD$566,27,FALSE)))=TRUE,"",VLOOKUP($A83,'local-plan-data'!$C$1:$AD$566,27,FALSE))</f>
        <v>44125</v>
      </c>
      <c r="I83" s="259">
        <f>VLOOKUP($A83,'local-plan-data'!$C$1:$AD$566,28,FALSE)</f>
        <v>1308</v>
      </c>
      <c r="J83" s="260">
        <f t="shared" si="70"/>
        <v>1308</v>
      </c>
      <c r="K83" s="259">
        <f t="shared" ref="K83:K146" si="96">IF(AND(ISNUMBER($H83),ISNUMBER($J83)),IF(($H83-K$1&gt;0),$J83,IF(DATEDIF($H83,K$1,"y")&lt;5,$J83,"-")),"-")</f>
        <v>1308</v>
      </c>
      <c r="L83" s="259">
        <f t="shared" si="93"/>
        <v>1308</v>
      </c>
      <c r="M83" s="259">
        <f t="shared" si="93"/>
        <v>1308</v>
      </c>
      <c r="N83" s="259">
        <f t="shared" si="93"/>
        <v>1308</v>
      </c>
      <c r="O83" s="259">
        <f t="shared" si="93"/>
        <v>1308</v>
      </c>
      <c r="P83" s="259">
        <f t="shared" si="93"/>
        <v>1308</v>
      </c>
      <c r="Q83" s="259">
        <f t="shared" si="93"/>
        <v>1308</v>
      </c>
      <c r="R83" s="259">
        <f t="shared" si="93"/>
        <v>1308</v>
      </c>
      <c r="S83" s="259">
        <f t="shared" ref="S83:S146" si="97">IFERROR((EDATE($H83,60))-S$1,"-")</f>
        <v>2760</v>
      </c>
      <c r="T83" s="259">
        <f t="shared" si="94"/>
        <v>2395</v>
      </c>
      <c r="U83" s="259">
        <f t="shared" si="94"/>
        <v>2029</v>
      </c>
      <c r="V83" s="259">
        <f t="shared" si="94"/>
        <v>1664</v>
      </c>
      <c r="W83" s="259">
        <f t="shared" si="94"/>
        <v>1299</v>
      </c>
      <c r="X83" s="259">
        <f t="shared" si="94"/>
        <v>934</v>
      </c>
      <c r="Y83" s="259">
        <f t="shared" si="94"/>
        <v>568</v>
      </c>
      <c r="Z83" s="259">
        <f t="shared" si="94"/>
        <v>203</v>
      </c>
      <c r="AA83" s="267">
        <f>(VLOOKUP(A83,Hshldprojections2014!$A$2:$AW$319,40, FALSE)-VLOOKUP(A83,Hshldprojections2014!$A$2:$AW$319,30, FALSE))/10</f>
        <v>1278.5999999999999</v>
      </c>
      <c r="AB83" s="267">
        <f>(VLOOKUP(A83,Hshldprojections2014!$A$2:$AW$319,41, FALSE)-VLOOKUP(A83,Hshldprojections2014!$A$2:$AW$319,31, FALSE))/10</f>
        <v>1251.2</v>
      </c>
      <c r="AC83" s="267">
        <f>(VLOOKUP(A83,Hshldprojections2014!$A$2:$AW$319,42, FALSE)-VLOOKUP(A83,Hshldprojections2014!$A$2:$AW$319,32, FALSE))/10</f>
        <v>1224.3</v>
      </c>
      <c r="AD83" s="267">
        <f>IF(IndividualLATest!$J$7=2014,(VLOOKUP($A83,Hshldprojections2014!$A$2:$AY$326,43,FALSE)-VLOOKUP($A83,Hshldprojections2014!$A$2:$AY$326,33,FALSE))/10,IF(IndividualLATest!$J$7=2016,(VLOOKUP($A83,Hshldprojections2016!$A$1:$AQ$322,33,FALSE)-VLOOKUP($A83,Hshldprojections2016!$A$1:$AQ$322,23,FALSE))/10,(VLOOKUP($A83,Hshldprojections2018!$A$1:$AQ$327,33,FALSE)-VLOOKUP($A83,Hshldprojections2018!$A$1:$AQ$327,23,FALSE))/10))</f>
        <v>1120.3</v>
      </c>
      <c r="AE83" s="267">
        <f>IF(IndividualLATest!$J$7=2014,(VLOOKUP($A83,Hshldprojections2014!$A$2:$AY$326,44,FALSE)-VLOOKUP($A83,Hshldprojections2014!$A$2:$AY$326,34,FALSE))/10,IF(IndividualLATest!$J$7=2016,(VLOOKUP($A83,Hshldprojections2016!$A$1:$AQ$322,34,FALSE)-VLOOKUP($A83,Hshldprojections2016!$A$1:$AQ$322,24,FALSE))/10,(VLOOKUP($A83,Hshldprojections2018!$A$1:$AQ$327,34,FALSE)-VLOOKUP($A83,Hshldprojections2018!$A$1:$AQ$327,24,FALSE))/10))</f>
        <v>1108.0999999999999</v>
      </c>
      <c r="AF83" s="267">
        <f>IF(IndividualLATest!$J$7=2014,(VLOOKUP($A83,Hshldprojections2014!$A$2:$AY$326,45,FALSE)-VLOOKUP($A83,Hshldprojections2014!$A$2:$AY$326,35,FALSE))/10,IF(IndividualLATest!$J$7=2016,(VLOOKUP($A83,Hshldprojections2016!$A$1:$AQ$322,35,FALSE)-VLOOKUP($A83,Hshldprojections2016!$A$1:$AQ$322,25,FALSE))/10,(VLOOKUP($A83,Hshldprojections2018!$A$1:$AQ$327,35,FALSE)-VLOOKUP($A83,Hshldprojections2018!$A$1:$AQ$327,25,FALSE))/10))</f>
        <v>1099.5</v>
      </c>
      <c r="AG83" s="267">
        <f>IF(IndividualLATest!$J$7=2014,(VLOOKUP($A83,Hshldprojections2014!$A$2:$AY$326,46,FALSE)-VLOOKUP($A83,Hshldprojections2014!$A$2:$AY$326,36,FALSE))/10,IF(IndividualLATest!$J$7=2016,(VLOOKUP($A83,Hshldprojections2016!$A$1:$AQ$322,36,FALSE)-VLOOKUP($A83,Hshldprojections2016!$A$1:$AQ$322,26,FALSE))/10,(VLOOKUP($A83,Hshldprojections2018!$A$1:$AQ$327,36,FALSE)-VLOOKUP($A83,Hshldprojections2018!$A$1:$AQ$327,26,FALSE))/10))</f>
        <v>1085.5</v>
      </c>
      <c r="AH83" s="267">
        <f>IF(IndividualLATest!$J$7=2014,(VLOOKUP($A83,Hshldprojections2014!$A$2:$AY$326,47,FALSE)-VLOOKUP($A83,Hshldprojections2014!$A$2:$AY$326,37,FALSE))/10,IF(IndividualLATest!$J$7=2016,(VLOOKUP($A83,Hshldprojections2016!$A$1:$AQ$322,37,FALSE)-VLOOKUP($A83,Hshldprojections2016!$A$1:$AQ$322,27,FALSE))/10,(VLOOKUP($A83,Hshldprojections2018!$A$1:$AQ$327,37,FALSE)-VLOOKUP($A83,Hshldprojections2018!$A$1:$AQ$327,27,FALSE))/10))</f>
        <v>1067.4000000000001</v>
      </c>
      <c r="AI83" s="268">
        <f>IF(ISNUMBER('Sensitivity Tests'!$C$30),'Sensitivity Tests'!$C$30,VLOOKUP($A83,AffordabilityRatio!$A$2:$I$321,5,FALSE))</f>
        <v>4.55</v>
      </c>
      <c r="AJ83" s="268">
        <f>IF(ISNUMBER('Sensitivity Tests'!$C$30),'Sensitivity Tests'!$C$30,VLOOKUP($A83,AffordabilityRatio!$A$2:$I$321,6,FALSE))</f>
        <v>4.53</v>
      </c>
      <c r="AK83" s="268">
        <f>IF(ISNUMBER('Sensitivity Tests'!$C$30),'Sensitivity Tests'!$C$30,VLOOKUP($A83,AffordabilityRatio!$A$2:$I$321,7,FALSE))</f>
        <v>4.57</v>
      </c>
      <c r="AL83" s="268">
        <f>IF(ISNUMBER('Sensitivity Tests'!$C$30),'Sensitivity Tests'!$C$30,IF((VLOOKUP($A83,AffordabilityRatio!$A$2:$I$321,8,FALSE))="",AK83,VLOOKUP($A83,AffordabilityRatio!$A$2:$I$321,8,FALSE)))</f>
        <v>4.51</v>
      </c>
      <c r="AM83" s="268">
        <f>IF(ISNUMBER('Sensitivity Tests'!$C$30),'Sensitivity Tests'!$C$30,IF((VLOOKUP($A83,AffordabilityRatio!$A$2:$I$321,9,FALSE))="",AL83,VLOOKUP($A83,AffordabilityRatio!$A$2:$I$321,9,FALSE)))</f>
        <v>4.74</v>
      </c>
      <c r="AN83" s="268">
        <f>IF(ISNUMBER('Sensitivity Tests'!$C$30),'Sensitivity Tests'!$C$30,IF((VLOOKUP($A83,AffordabilityRatio!$A$2:$I$321,9,FALSE))="",AM83,VLOOKUP($A83,AffordabilityRatio!$A$2:$I$321,9,FALSE)))</f>
        <v>4.74</v>
      </c>
      <c r="AO83" s="268">
        <f>IF(ISNUMBER('Sensitivity Tests'!$C$30),'Sensitivity Tests'!$C$30,IF((VLOOKUP($A83,AffordabilityRatio!$A$2:$I$321,9,FALSE))="",AN83,VLOOKUP($A83,AffordabilityRatio!$A$2:$I$321,9,FALSE)))</f>
        <v>4.74</v>
      </c>
      <c r="AP83" s="268">
        <f>IF(ISNUMBER('Sensitivity Tests'!$C$30),'Sensitivity Tests'!$C$30,IF((VLOOKUP($A83,AffordabilityRatio!$A$2:$I$321,9,FALSE))="",AO83,VLOOKUP($A83,AffordabilityRatio!$A$2:$I$321,9,FALSE)))</f>
        <v>4.74</v>
      </c>
      <c r="AQ83" s="267">
        <f t="shared" ref="AQ83:AW119" si="98">IF(AA83&lt;0,0,IF(AI83&gt;4,ROUND((1+((AI83-4)/4*0.25))*AA83,0),AA83))</f>
        <v>1323</v>
      </c>
      <c r="AR83" s="267">
        <f t="shared" si="98"/>
        <v>1293</v>
      </c>
      <c r="AS83" s="267">
        <f t="shared" si="98"/>
        <v>1268</v>
      </c>
      <c r="AT83" s="267">
        <f t="shared" si="98"/>
        <v>1156</v>
      </c>
      <c r="AU83" s="267">
        <f t="shared" si="98"/>
        <v>1159</v>
      </c>
      <c r="AV83" s="267">
        <f t="shared" si="98"/>
        <v>1150</v>
      </c>
      <c r="AW83" s="267">
        <f t="shared" si="98"/>
        <v>1136</v>
      </c>
      <c r="AX83" s="267">
        <f t="shared" si="95"/>
        <v>1117</v>
      </c>
      <c r="AY83" s="267">
        <f t="shared" si="71"/>
        <v>1323</v>
      </c>
      <c r="AZ83" s="267">
        <f t="shared" si="72"/>
        <v>1293</v>
      </c>
      <c r="BA83" s="267">
        <f t="shared" si="73"/>
        <v>1268</v>
      </c>
      <c r="BB83" s="267">
        <f t="shared" si="74"/>
        <v>1156</v>
      </c>
      <c r="BC83" s="267">
        <f t="shared" si="75"/>
        <v>1159</v>
      </c>
      <c r="BD83" s="267">
        <f t="shared" si="76"/>
        <v>1150</v>
      </c>
      <c r="BE83" s="267">
        <f t="shared" si="77"/>
        <v>1136</v>
      </c>
      <c r="BF83" s="267">
        <f t="shared" si="78"/>
        <v>1117</v>
      </c>
      <c r="BG83" s="269">
        <f>AY83*VLOOKUP($B83,'Major Cities &amp; Towns'!$A$28:$B$345,2,FALSE)</f>
        <v>1323</v>
      </c>
      <c r="BH83" s="269">
        <f>AZ83*VLOOKUP($B83,'Major Cities &amp; Towns'!$A$28:$B$345,2,FALSE)</f>
        <v>1293</v>
      </c>
      <c r="BI83" s="269">
        <f>BA83*VLOOKUP($B83,'Major Cities &amp; Towns'!$A$28:$B$345,2,FALSE)</f>
        <v>1268</v>
      </c>
      <c r="BJ83" s="269">
        <f>BB83*VLOOKUP($B83,'Major Cities &amp; Towns'!$A$28:$B$345,2,FALSE)</f>
        <v>1156</v>
      </c>
      <c r="BK83" s="269">
        <f>BC83*VLOOKUP($B83,'Major Cities &amp; Towns'!$A$28:$B$345,2,FALSE)</f>
        <v>1159</v>
      </c>
      <c r="BL83" s="269">
        <f>BD83*VLOOKUP($B83,'Major Cities &amp; Towns'!$A$28:$B$345,2,FALSE)</f>
        <v>1150</v>
      </c>
      <c r="BM83" s="269">
        <f>BE83*VLOOKUP($B83,'Major Cities &amp; Towns'!$A$28:$B$345,2,FALSE)</f>
        <v>1136</v>
      </c>
      <c r="BN83" s="269">
        <f>BF83*VLOOKUP($B83,'Major Cities &amp; Towns'!$A$28:$B$345,2,FALSE)</f>
        <v>1117</v>
      </c>
      <c r="BO83" s="270">
        <f t="shared" si="79"/>
        <v>1308</v>
      </c>
      <c r="BP83" s="270">
        <f t="shared" si="50"/>
        <v>1293</v>
      </c>
      <c r="BQ83" s="270">
        <f t="shared" si="50"/>
        <v>1268</v>
      </c>
      <c r="BR83" s="270">
        <f t="shared" si="50"/>
        <v>1156</v>
      </c>
      <c r="BS83" s="270">
        <f t="shared" si="49"/>
        <v>1159</v>
      </c>
      <c r="BT83" s="270">
        <f t="shared" si="49"/>
        <v>1150</v>
      </c>
      <c r="BU83" s="270">
        <f t="shared" si="49"/>
        <v>1136</v>
      </c>
      <c r="BV83" s="270">
        <f t="shared" si="49"/>
        <v>1117</v>
      </c>
      <c r="BW83" s="39">
        <f>VLOOKUP($A83,NetAdditions!$A$2:$H$336,6,FALSE)</f>
        <v>1463</v>
      </c>
      <c r="BX83" s="39">
        <f>VLOOKUP($A83,NetAdditions!$A$2:$H$336,7,FALSE)</f>
        <v>1628</v>
      </c>
      <c r="BY83" s="39">
        <f>IF((VLOOKUP($C83,NetAdditions!$A$2:$H$336,8,FALSE))="",(AVERAGE(VLOOKUP($C83,NetAdditions!$A$2:$H$336,5,FALSE),VLOOKUP($C83,NetAdditions!$A$2:$H$336,6,FALSE),VLOOKUP($C83,NetAdditions!$A$2:$H$336,7,FALSE))),VLOOKUP($C83,NetAdditions!$A$2:$H$336,8,FALSE))</f>
        <v>1343</v>
      </c>
      <c r="BZ83" s="39">
        <f t="shared" si="54"/>
        <v>1478</v>
      </c>
      <c r="CA83" s="39">
        <f t="shared" si="54"/>
        <v>1483</v>
      </c>
      <c r="CB83" s="39">
        <f t="shared" si="54"/>
        <v>1434.6666666666667</v>
      </c>
      <c r="CC83" s="39">
        <f t="shared" si="54"/>
        <v>1465.2222222222224</v>
      </c>
      <c r="CD83" s="39">
        <f t="shared" si="54"/>
        <v>1460.9629629629633</v>
      </c>
      <c r="CE83" s="276">
        <f t="shared" si="55"/>
        <v>3869</v>
      </c>
      <c r="CF83" s="276">
        <f t="shared" si="56"/>
        <v>3717</v>
      </c>
      <c r="CG83" s="276">
        <f t="shared" si="57"/>
        <v>3583</v>
      </c>
      <c r="CH83" s="276">
        <f t="shared" si="58"/>
        <v>3465</v>
      </c>
      <c r="CI83" s="276">
        <f t="shared" si="59"/>
        <v>3445</v>
      </c>
      <c r="CJ83" s="276">
        <f t="shared" si="60"/>
        <v>3403</v>
      </c>
      <c r="CK83" s="276">
        <f t="shared" si="80"/>
        <v>3331.6388888888891</v>
      </c>
      <c r="CL83" s="276">
        <f t="shared" si="81"/>
        <v>3200.75</v>
      </c>
      <c r="CM83" s="276">
        <f t="shared" si="82"/>
        <v>3284.4166666666665</v>
      </c>
      <c r="CN83" s="276">
        <f t="shared" si="83"/>
        <v>3465</v>
      </c>
      <c r="CO83" s="276">
        <f t="shared" si="83"/>
        <v>3445</v>
      </c>
      <c r="CP83" s="276">
        <f t="shared" si="83"/>
        <v>3403</v>
      </c>
      <c r="CQ83" s="39">
        <f t="shared" si="61"/>
        <v>4434</v>
      </c>
      <c r="CR83" s="39">
        <f t="shared" si="62"/>
        <v>4449</v>
      </c>
      <c r="CS83" s="277">
        <f t="shared" si="63"/>
        <v>4304</v>
      </c>
      <c r="CT83" s="39">
        <f t="shared" si="64"/>
        <v>4395.666666666667</v>
      </c>
      <c r="CU83" s="39">
        <f t="shared" si="65"/>
        <v>4382.8888888888896</v>
      </c>
      <c r="CV83" s="39">
        <f t="shared" si="66"/>
        <v>4360.8518518518522</v>
      </c>
      <c r="CW83" s="297">
        <f t="shared" si="67"/>
        <v>1.3308765289021918</v>
      </c>
      <c r="CX83" s="279" t="str">
        <f t="shared" si="84"/>
        <v>Pass</v>
      </c>
      <c r="CY83" s="278">
        <f t="shared" si="68"/>
        <v>1.3899867218620636</v>
      </c>
      <c r="CZ83" s="279" t="str">
        <f t="shared" si="85"/>
        <v>Pass</v>
      </c>
      <c r="DA83" s="278">
        <f t="shared" si="69"/>
        <v>1.3104305685941187</v>
      </c>
      <c r="DB83" s="292" t="str">
        <f t="shared" si="86"/>
        <v>Pass</v>
      </c>
      <c r="DC83" s="299">
        <f t="shared" si="87"/>
        <v>1.2685906685906687</v>
      </c>
      <c r="DD83" s="293" t="str">
        <f t="shared" si="88"/>
        <v>Pass</v>
      </c>
      <c r="DE83" s="299">
        <f t="shared" si="89"/>
        <v>1.2722464118690535</v>
      </c>
      <c r="DF83" s="293" t="str">
        <f t="shared" si="90"/>
        <v>Pass</v>
      </c>
      <c r="DG83" s="299">
        <f t="shared" si="91"/>
        <v>1.2814727745671033</v>
      </c>
      <c r="DH83" s="293" t="str">
        <f t="shared" si="92"/>
        <v>Pass</v>
      </c>
    </row>
    <row r="84" spans="1:112" customFormat="1" ht="15.5" thickTop="1" thickBot="1">
      <c r="A84" s="3" t="s">
        <v>278</v>
      </c>
      <c r="B84" s="3" t="s">
        <v>279</v>
      </c>
      <c r="C84" s="3" t="s">
        <v>278</v>
      </c>
      <c r="D84" s="3" t="s">
        <v>131</v>
      </c>
      <c r="E84" s="3" t="str">
        <f>VLOOKUP(C84,PoliticalControl!A:K,11,FALSE)</f>
        <v>LAB</v>
      </c>
      <c r="F84" s="3" t="str">
        <f>VLOOKUP(C84,UrbanRuralClassification!A:N,13,FALSE)</f>
        <v>Urban with Major Conurbation</v>
      </c>
      <c r="G84" s="3" t="str">
        <f>VLOOKUP(C84,UrbanRuralClassification!A:N,14,FALSE)</f>
        <v>Predominantly Urban</v>
      </c>
      <c r="H84" s="262">
        <f>IF(ISBLANK((VLOOKUP($A84,'local-plan-data'!$C$1:$AD$566,27,FALSE)))=TRUE,"",VLOOKUP($A84,'local-plan-data'!$C$1:$AD$566,27,FALSE))</f>
        <v>41002</v>
      </c>
      <c r="I84" s="263">
        <f>VLOOKUP($A84,'local-plan-data'!$C$1:$AD$566,28,FALSE)</f>
        <v>933.33333333333337</v>
      </c>
      <c r="J84" s="264">
        <f t="shared" si="70"/>
        <v>933.33333333333337</v>
      </c>
      <c r="K84" s="259" t="str">
        <f t="shared" si="96"/>
        <v>-</v>
      </c>
      <c r="L84" s="259" t="str">
        <f t="shared" si="93"/>
        <v>-</v>
      </c>
      <c r="M84" s="259" t="str">
        <f t="shared" si="93"/>
        <v>-</v>
      </c>
      <c r="N84" s="259" t="str">
        <f t="shared" si="93"/>
        <v>-</v>
      </c>
      <c r="O84" s="259" t="str">
        <f t="shared" si="93"/>
        <v>-</v>
      </c>
      <c r="P84" s="259" t="str">
        <f t="shared" si="93"/>
        <v>-</v>
      </c>
      <c r="Q84" s="259" t="str">
        <f t="shared" si="93"/>
        <v>-</v>
      </c>
      <c r="R84" s="259" t="str">
        <f t="shared" si="93"/>
        <v>-</v>
      </c>
      <c r="S84" s="259">
        <f t="shared" si="97"/>
        <v>-363</v>
      </c>
      <c r="T84" s="259">
        <f t="shared" si="94"/>
        <v>-728</v>
      </c>
      <c r="U84" s="259">
        <f t="shared" si="94"/>
        <v>-1094</v>
      </c>
      <c r="V84" s="259">
        <f t="shared" si="94"/>
        <v>-1459</v>
      </c>
      <c r="W84" s="259">
        <f t="shared" si="94"/>
        <v>-1824</v>
      </c>
      <c r="X84" s="259">
        <f t="shared" si="94"/>
        <v>-2189</v>
      </c>
      <c r="Y84" s="259">
        <f t="shared" si="94"/>
        <v>-2555</v>
      </c>
      <c r="Z84" s="259">
        <f t="shared" si="94"/>
        <v>-2920</v>
      </c>
      <c r="AA84" s="267">
        <f>(VLOOKUP(A84,Hshldprojections2014!$A$2:$AW$319,40, FALSE)-VLOOKUP(A84,Hshldprojections2014!$A$2:$AW$319,30, FALSE))/10</f>
        <v>1712.8</v>
      </c>
      <c r="AB84" s="267">
        <f>(VLOOKUP(A84,Hshldprojections2014!$A$2:$AW$319,41, FALSE)-VLOOKUP(A84,Hshldprojections2014!$A$2:$AW$319,31, FALSE))/10</f>
        <v>1699.5</v>
      </c>
      <c r="AC84" s="267">
        <f>(VLOOKUP(A84,Hshldprojections2014!$A$2:$AW$319,42, FALSE)-VLOOKUP(A84,Hshldprojections2014!$A$2:$AW$319,32, FALSE))/10</f>
        <v>1686.8</v>
      </c>
      <c r="AD84" s="267">
        <f>IF(IndividualLATest!$J$7=2014,(VLOOKUP($A84,Hshldprojections2014!$A$2:$AY$326,43,FALSE)-VLOOKUP($A84,Hshldprojections2014!$A$2:$AY$326,33,FALSE))/10,IF(IndividualLATest!$J$7=2016,(VLOOKUP($A84,Hshldprojections2016!$A$1:$AQ$322,33,FALSE)-VLOOKUP($A84,Hshldprojections2016!$A$1:$AQ$322,23,FALSE))/10,(VLOOKUP($A84,Hshldprojections2018!$A$1:$AQ$327,33,FALSE)-VLOOKUP($A84,Hshldprojections2018!$A$1:$AQ$327,23,FALSE))/10))</f>
        <v>357</v>
      </c>
      <c r="AE84" s="267">
        <f>IF(IndividualLATest!$J$7=2014,(VLOOKUP($A84,Hshldprojections2014!$A$2:$AY$326,44,FALSE)-VLOOKUP($A84,Hshldprojections2014!$A$2:$AY$326,34,FALSE))/10,IF(IndividualLATest!$J$7=2016,(VLOOKUP($A84,Hshldprojections2016!$A$1:$AQ$322,34,FALSE)-VLOOKUP($A84,Hshldprojections2016!$A$1:$AQ$322,24,FALSE))/10,(VLOOKUP($A84,Hshldprojections2018!$A$1:$AQ$327,34,FALSE)-VLOOKUP($A84,Hshldprojections2018!$A$1:$AQ$327,24,FALSE))/10))</f>
        <v>357.3</v>
      </c>
      <c r="AF84" s="267">
        <f>IF(IndividualLATest!$J$7=2014,(VLOOKUP($A84,Hshldprojections2014!$A$2:$AY$326,45,FALSE)-VLOOKUP($A84,Hshldprojections2014!$A$2:$AY$326,35,FALSE))/10,IF(IndividualLATest!$J$7=2016,(VLOOKUP($A84,Hshldprojections2016!$A$1:$AQ$322,35,FALSE)-VLOOKUP($A84,Hshldprojections2016!$A$1:$AQ$322,25,FALSE))/10,(VLOOKUP($A84,Hshldprojections2018!$A$1:$AQ$327,35,FALSE)-VLOOKUP($A84,Hshldprojections2018!$A$1:$AQ$327,25,FALSE))/10))</f>
        <v>361.1</v>
      </c>
      <c r="AG84" s="267">
        <f>IF(IndividualLATest!$J$7=2014,(VLOOKUP($A84,Hshldprojections2014!$A$2:$AY$326,46,FALSE)-VLOOKUP($A84,Hshldprojections2014!$A$2:$AY$326,36,FALSE))/10,IF(IndividualLATest!$J$7=2016,(VLOOKUP($A84,Hshldprojections2016!$A$1:$AQ$322,36,FALSE)-VLOOKUP($A84,Hshldprojections2016!$A$1:$AQ$322,26,FALSE))/10,(VLOOKUP($A84,Hshldprojections2018!$A$1:$AQ$327,36,FALSE)-VLOOKUP($A84,Hshldprojections2018!$A$1:$AQ$327,26,FALSE))/10))</f>
        <v>362.3</v>
      </c>
      <c r="AH84" s="267">
        <f>IF(IndividualLATest!$J$7=2014,(VLOOKUP($A84,Hshldprojections2014!$A$2:$AY$326,47,FALSE)-VLOOKUP($A84,Hshldprojections2014!$A$2:$AY$326,37,FALSE))/10,IF(IndividualLATest!$J$7=2016,(VLOOKUP($A84,Hshldprojections2016!$A$1:$AQ$322,37,FALSE)-VLOOKUP($A84,Hshldprojections2016!$A$1:$AQ$322,27,FALSE))/10,(VLOOKUP($A84,Hshldprojections2018!$A$1:$AQ$327,37,FALSE)-VLOOKUP($A84,Hshldprojections2018!$A$1:$AQ$327,27,FALSE))/10))</f>
        <v>369.9</v>
      </c>
      <c r="AI84" s="268">
        <f>IF(ISNUMBER('Sensitivity Tests'!$C$30),'Sensitivity Tests'!$C$30,VLOOKUP($A84,AffordabilityRatio!$A$2:$I$321,5,FALSE))</f>
        <v>16.190000000000001</v>
      </c>
      <c r="AJ84" s="268">
        <f>IF(ISNUMBER('Sensitivity Tests'!$C$30),'Sensitivity Tests'!$C$30,VLOOKUP($A84,AffordabilityRatio!$A$2:$I$321,6,FALSE))</f>
        <v>15.62</v>
      </c>
      <c r="AK84" s="268">
        <f>IF(ISNUMBER('Sensitivity Tests'!$C$30),'Sensitivity Tests'!$C$30,VLOOKUP($A84,AffordabilityRatio!$A$2:$I$321,7,FALSE))</f>
        <v>15.15</v>
      </c>
      <c r="AL84" s="268">
        <f>IF(ISNUMBER('Sensitivity Tests'!$C$30),'Sensitivity Tests'!$C$30,IF((VLOOKUP($A84,AffordabilityRatio!$A$2:$I$321,8,FALSE))="",AK84,VLOOKUP($A84,AffordabilityRatio!$A$2:$I$321,8,FALSE)))</f>
        <v>14.84</v>
      </c>
      <c r="AM84" s="268">
        <f>IF(ISNUMBER('Sensitivity Tests'!$C$30),'Sensitivity Tests'!$C$30,IF((VLOOKUP($A84,AffordabilityRatio!$A$2:$I$321,9,FALSE))="",AL84,VLOOKUP($A84,AffordabilityRatio!$A$2:$I$321,9,FALSE)))</f>
        <v>16.350000000000001</v>
      </c>
      <c r="AN84" s="268">
        <f>IF(ISNUMBER('Sensitivity Tests'!$C$30),'Sensitivity Tests'!$C$30,IF((VLOOKUP($A84,AffordabilityRatio!$A$2:$I$321,9,FALSE))="",AM84,VLOOKUP($A84,AffordabilityRatio!$A$2:$I$321,9,FALSE)))</f>
        <v>16.350000000000001</v>
      </c>
      <c r="AO84" s="268">
        <f>IF(ISNUMBER('Sensitivity Tests'!$C$30),'Sensitivity Tests'!$C$30,IF((VLOOKUP($A84,AffordabilityRatio!$A$2:$I$321,9,FALSE))="",AN84,VLOOKUP($A84,AffordabilityRatio!$A$2:$I$321,9,FALSE)))</f>
        <v>16.350000000000001</v>
      </c>
      <c r="AP84" s="268">
        <f>IF(ISNUMBER('Sensitivity Tests'!$C$30),'Sensitivity Tests'!$C$30,IF((VLOOKUP($A84,AffordabilityRatio!$A$2:$I$321,9,FALSE))="",AO84,VLOOKUP($A84,AffordabilityRatio!$A$2:$I$321,9,FALSE)))</f>
        <v>16.350000000000001</v>
      </c>
      <c r="AQ84" s="267">
        <f t="shared" si="98"/>
        <v>3018</v>
      </c>
      <c r="AR84" s="267">
        <f t="shared" si="98"/>
        <v>2934</v>
      </c>
      <c r="AS84" s="267">
        <f t="shared" si="98"/>
        <v>2862</v>
      </c>
      <c r="AT84" s="267">
        <f t="shared" si="98"/>
        <v>599</v>
      </c>
      <c r="AU84" s="267">
        <f t="shared" si="98"/>
        <v>633</v>
      </c>
      <c r="AV84" s="267">
        <f t="shared" si="98"/>
        <v>640</v>
      </c>
      <c r="AW84" s="267">
        <f t="shared" si="98"/>
        <v>642</v>
      </c>
      <c r="AX84" s="267">
        <f t="shared" si="95"/>
        <v>655</v>
      </c>
      <c r="AY84" s="267">
        <f t="shared" si="71"/>
        <v>2397.92</v>
      </c>
      <c r="AZ84" s="267">
        <f t="shared" si="72"/>
        <v>2379.3000000000002</v>
      </c>
      <c r="BA84" s="267">
        <f t="shared" si="73"/>
        <v>2361.52</v>
      </c>
      <c r="BB84" s="267">
        <f t="shared" si="74"/>
        <v>599</v>
      </c>
      <c r="BC84" s="267">
        <f t="shared" si="75"/>
        <v>633</v>
      </c>
      <c r="BD84" s="267">
        <f t="shared" si="76"/>
        <v>640</v>
      </c>
      <c r="BE84" s="267">
        <f t="shared" si="77"/>
        <v>642</v>
      </c>
      <c r="BF84" s="267">
        <f t="shared" si="78"/>
        <v>655</v>
      </c>
      <c r="BG84" s="269">
        <f>AY84*VLOOKUP($B84,'Major Cities &amp; Towns'!$A$28:$B$345,2,FALSE)</f>
        <v>3237.1920000000005</v>
      </c>
      <c r="BH84" s="269">
        <f>AZ84*VLOOKUP($B84,'Major Cities &amp; Towns'!$A$28:$B$345,2,FALSE)</f>
        <v>3212.0550000000003</v>
      </c>
      <c r="BI84" s="269">
        <f>BA84*VLOOKUP($B84,'Major Cities &amp; Towns'!$A$28:$B$345,2,FALSE)</f>
        <v>3188.0520000000001</v>
      </c>
      <c r="BJ84" s="269">
        <f>BB84*VLOOKUP($B84,'Major Cities &amp; Towns'!$A$28:$B$345,2,FALSE)</f>
        <v>808.65000000000009</v>
      </c>
      <c r="BK84" s="269">
        <f>BC84*VLOOKUP($B84,'Major Cities &amp; Towns'!$A$28:$B$345,2,FALSE)</f>
        <v>854.55000000000007</v>
      </c>
      <c r="BL84" s="269">
        <f>BD84*VLOOKUP($B84,'Major Cities &amp; Towns'!$A$28:$B$345,2,FALSE)</f>
        <v>864</v>
      </c>
      <c r="BM84" s="269">
        <f>BE84*VLOOKUP($B84,'Major Cities &amp; Towns'!$A$28:$B$345,2,FALSE)</f>
        <v>866.7</v>
      </c>
      <c r="BN84" s="269">
        <f>BF84*VLOOKUP($B84,'Major Cities &amp; Towns'!$A$28:$B$345,2,FALSE)</f>
        <v>884.25000000000011</v>
      </c>
      <c r="BO84" s="270">
        <f t="shared" si="79"/>
        <v>3018</v>
      </c>
      <c r="BP84" s="270">
        <f t="shared" si="50"/>
        <v>2934</v>
      </c>
      <c r="BQ84" s="270">
        <f t="shared" si="50"/>
        <v>2862</v>
      </c>
      <c r="BR84" s="270">
        <f t="shared" si="50"/>
        <v>599</v>
      </c>
      <c r="BS84" s="270">
        <f t="shared" si="49"/>
        <v>633</v>
      </c>
      <c r="BT84" s="270">
        <f t="shared" si="49"/>
        <v>640</v>
      </c>
      <c r="BU84" s="270">
        <f t="shared" si="49"/>
        <v>642</v>
      </c>
      <c r="BV84" s="270">
        <f t="shared" si="49"/>
        <v>655</v>
      </c>
      <c r="BW84" s="39">
        <f>VLOOKUP($A84,NetAdditions!$A$2:$H$336,6,FALSE)</f>
        <v>1754</v>
      </c>
      <c r="BX84" s="39">
        <f>VLOOKUP($A84,NetAdditions!$A$2:$H$336,7,FALSE)</f>
        <v>1808</v>
      </c>
      <c r="BY84" s="39">
        <f>IF((VLOOKUP($C84,NetAdditions!$A$2:$H$336,8,FALSE))="",(AVERAGE(VLOOKUP($C84,NetAdditions!$A$2:$H$336,5,FALSE),VLOOKUP($C84,NetAdditions!$A$2:$H$336,6,FALSE),VLOOKUP($C84,NetAdditions!$A$2:$H$336,7,FALSE))),VLOOKUP($C84,NetAdditions!$A$2:$H$336,8,FALSE))</f>
        <v>1681</v>
      </c>
      <c r="BZ84" s="39">
        <f t="shared" si="54"/>
        <v>1747.6666666666667</v>
      </c>
      <c r="CA84" s="39">
        <f t="shared" si="54"/>
        <v>1745.5555555555557</v>
      </c>
      <c r="CB84" s="39">
        <f t="shared" si="54"/>
        <v>1724.7407407407409</v>
      </c>
      <c r="CC84" s="39">
        <f t="shared" si="54"/>
        <v>1739.3209876543212</v>
      </c>
      <c r="CD84" s="39">
        <f t="shared" si="54"/>
        <v>1736.5390946502059</v>
      </c>
      <c r="CE84" s="276">
        <f t="shared" si="55"/>
        <v>8814</v>
      </c>
      <c r="CF84" s="276">
        <f t="shared" si="56"/>
        <v>6395</v>
      </c>
      <c r="CG84" s="276">
        <f t="shared" si="57"/>
        <v>4094</v>
      </c>
      <c r="CH84" s="276">
        <f t="shared" si="58"/>
        <v>1872</v>
      </c>
      <c r="CI84" s="276">
        <f t="shared" si="59"/>
        <v>1915</v>
      </c>
      <c r="CJ84" s="276">
        <f t="shared" si="60"/>
        <v>1937</v>
      </c>
      <c r="CK84" s="276">
        <f t="shared" si="80"/>
        <v>7589.8333333333339</v>
      </c>
      <c r="CL84" s="276">
        <f t="shared" si="81"/>
        <v>5506.8055555555557</v>
      </c>
      <c r="CM84" s="276">
        <f t="shared" si="82"/>
        <v>3752.833333333333</v>
      </c>
      <c r="CN84" s="276">
        <f t="shared" si="83"/>
        <v>1872</v>
      </c>
      <c r="CO84" s="276">
        <f t="shared" si="83"/>
        <v>1915</v>
      </c>
      <c r="CP84" s="276">
        <f t="shared" si="83"/>
        <v>1937</v>
      </c>
      <c r="CQ84" s="39">
        <f t="shared" si="61"/>
        <v>5243</v>
      </c>
      <c r="CR84" s="39">
        <f t="shared" si="62"/>
        <v>5236.666666666667</v>
      </c>
      <c r="CS84" s="277">
        <f t="shared" si="63"/>
        <v>5174.2222222222226</v>
      </c>
      <c r="CT84" s="39">
        <f t="shared" si="64"/>
        <v>5217.9629629629635</v>
      </c>
      <c r="CU84" s="39">
        <f t="shared" si="65"/>
        <v>5209.617283950618</v>
      </c>
      <c r="CV84" s="39">
        <f t="shared" si="66"/>
        <v>5200.600823045268</v>
      </c>
      <c r="CW84" s="297">
        <f t="shared" si="67"/>
        <v>0.69079250752102583</v>
      </c>
      <c r="CX84" s="279" t="str">
        <f t="shared" si="84"/>
        <v>Buffer and Action Plan</v>
      </c>
      <c r="CY84" s="278">
        <f t="shared" si="68"/>
        <v>0.95094453832379133</v>
      </c>
      <c r="CZ84" s="279" t="str">
        <f t="shared" si="85"/>
        <v>Pass</v>
      </c>
      <c r="DA84" s="278">
        <f t="shared" si="69"/>
        <v>1.378750869713254</v>
      </c>
      <c r="DB84" s="292" t="str">
        <f t="shared" si="86"/>
        <v>Pass</v>
      </c>
      <c r="DC84" s="299">
        <f t="shared" si="87"/>
        <v>2.7873733776511558</v>
      </c>
      <c r="DD84" s="293" t="str">
        <f t="shared" si="88"/>
        <v>Pass</v>
      </c>
      <c r="DE84" s="299">
        <f t="shared" si="89"/>
        <v>2.7204267801308708</v>
      </c>
      <c r="DF84" s="293" t="str">
        <f t="shared" si="90"/>
        <v>Pass</v>
      </c>
      <c r="DG84" s="299">
        <f t="shared" si="91"/>
        <v>2.6848739406532101</v>
      </c>
      <c r="DH84" s="293" t="str">
        <f t="shared" si="92"/>
        <v>Pass</v>
      </c>
    </row>
    <row r="85" spans="1:112" ht="15" thickTop="1" thickBot="1">
      <c r="A85" s="38" t="s">
        <v>280</v>
      </c>
      <c r="B85" s="38" t="s">
        <v>281</v>
      </c>
      <c r="C85" s="38" t="s">
        <v>280</v>
      </c>
      <c r="D85" s="38" t="s">
        <v>128</v>
      </c>
      <c r="E85" s="38" t="str">
        <f>VLOOKUP(C85,PoliticalControl!A:K,11,FALSE)</f>
        <v>CON</v>
      </c>
      <c r="F85" s="38" t="str">
        <f>VLOOKUP(C85,UrbanRuralClassification!A:N,13,FALSE)</f>
        <v xml:space="preserve">Mainly Rural (rural including hub towns &gt;=80%) </v>
      </c>
      <c r="G85" s="38" t="str">
        <f>VLOOKUP(C85,UrbanRuralClassification!A:N,14,FALSE)</f>
        <v>Predominantly Rural</v>
      </c>
      <c r="H85" s="258" t="str">
        <f>IF(ISBLANK((VLOOKUP($A85,'local-plan-data'!$C$1:$AD$566,27,FALSE)))=TRUE,"",VLOOKUP($A85,'local-plan-data'!$C$1:$AD$566,27,FALSE))</f>
        <v/>
      </c>
      <c r="I85" s="259" t="str">
        <f>VLOOKUP($A85,'local-plan-data'!$C$1:$AD$566,28,FALSE)</f>
        <v/>
      </c>
      <c r="J85" s="260" t="str">
        <f t="shared" si="70"/>
        <v>-</v>
      </c>
      <c r="K85" s="259" t="str">
        <f t="shared" si="96"/>
        <v>-</v>
      </c>
      <c r="L85" s="259" t="str">
        <f t="shared" si="93"/>
        <v>-</v>
      </c>
      <c r="M85" s="259" t="str">
        <f t="shared" si="93"/>
        <v>-</v>
      </c>
      <c r="N85" s="259" t="str">
        <f t="shared" si="93"/>
        <v>-</v>
      </c>
      <c r="O85" s="259" t="str">
        <f t="shared" si="93"/>
        <v>-</v>
      </c>
      <c r="P85" s="259" t="str">
        <f t="shared" si="93"/>
        <v>-</v>
      </c>
      <c r="Q85" s="259" t="str">
        <f t="shared" si="93"/>
        <v>-</v>
      </c>
      <c r="R85" s="259" t="str">
        <f t="shared" si="93"/>
        <v>-</v>
      </c>
      <c r="S85" s="259" t="str">
        <f t="shared" si="97"/>
        <v>-</v>
      </c>
      <c r="T85" s="259" t="str">
        <f t="shared" si="94"/>
        <v>-</v>
      </c>
      <c r="U85" s="259" t="str">
        <f t="shared" si="94"/>
        <v>-</v>
      </c>
      <c r="V85" s="259" t="str">
        <f t="shared" si="94"/>
        <v>-</v>
      </c>
      <c r="W85" s="259" t="str">
        <f t="shared" si="94"/>
        <v>-</v>
      </c>
      <c r="X85" s="259" t="str">
        <f t="shared" si="94"/>
        <v>-</v>
      </c>
      <c r="Y85" s="259" t="str">
        <f t="shared" si="94"/>
        <v>-</v>
      </c>
      <c r="Z85" s="259" t="str">
        <f t="shared" si="94"/>
        <v>-</v>
      </c>
      <c r="AA85" s="267">
        <f>(VLOOKUP(A85,Hshldprojections2014!$A$2:$AW$319,40, FALSE)-VLOOKUP(A85,Hshldprojections2014!$A$2:$AW$319,30, FALSE))/10</f>
        <v>436.6</v>
      </c>
      <c r="AB85" s="267">
        <f>(VLOOKUP(A85,Hshldprojections2014!$A$2:$AW$319,41, FALSE)-VLOOKUP(A85,Hshldprojections2014!$A$2:$AW$319,31, FALSE))/10</f>
        <v>432.8</v>
      </c>
      <c r="AC85" s="267">
        <f>(VLOOKUP(A85,Hshldprojections2014!$A$2:$AW$319,42, FALSE)-VLOOKUP(A85,Hshldprojections2014!$A$2:$AW$319,32, FALSE))/10</f>
        <v>429.3</v>
      </c>
      <c r="AD85" s="267">
        <f>IF(IndividualLATest!$J$7=2014,(VLOOKUP($A85,Hshldprojections2014!$A$2:$AY$326,43,FALSE)-VLOOKUP($A85,Hshldprojections2014!$A$2:$AY$326,33,FALSE))/10,IF(IndividualLATest!$J$7=2016,(VLOOKUP($A85,Hshldprojections2016!$A$1:$AQ$322,33,FALSE)-VLOOKUP($A85,Hshldprojections2016!$A$1:$AQ$322,23,FALSE))/10,(VLOOKUP($A85,Hshldprojections2018!$A$1:$AQ$327,33,FALSE)-VLOOKUP($A85,Hshldprojections2018!$A$1:$AQ$327,23,FALSE))/10))</f>
        <v>252.5</v>
      </c>
      <c r="AE85" s="267">
        <f>IF(IndividualLATest!$J$7=2014,(VLOOKUP($A85,Hshldprojections2014!$A$2:$AY$326,44,FALSE)-VLOOKUP($A85,Hshldprojections2014!$A$2:$AY$326,34,FALSE))/10,IF(IndividualLATest!$J$7=2016,(VLOOKUP($A85,Hshldprojections2016!$A$1:$AQ$322,34,FALSE)-VLOOKUP($A85,Hshldprojections2016!$A$1:$AQ$322,24,FALSE))/10,(VLOOKUP($A85,Hshldprojections2018!$A$1:$AQ$327,34,FALSE)-VLOOKUP($A85,Hshldprojections2018!$A$1:$AQ$327,24,FALSE))/10))</f>
        <v>245.5</v>
      </c>
      <c r="AF85" s="267">
        <f>IF(IndividualLATest!$J$7=2014,(VLOOKUP($A85,Hshldprojections2014!$A$2:$AY$326,45,FALSE)-VLOOKUP($A85,Hshldprojections2014!$A$2:$AY$326,35,FALSE))/10,IF(IndividualLATest!$J$7=2016,(VLOOKUP($A85,Hshldprojections2016!$A$1:$AQ$322,35,FALSE)-VLOOKUP($A85,Hshldprojections2016!$A$1:$AQ$322,25,FALSE))/10,(VLOOKUP($A85,Hshldprojections2018!$A$1:$AQ$327,35,FALSE)-VLOOKUP($A85,Hshldprojections2018!$A$1:$AQ$327,25,FALSE))/10))</f>
        <v>239.6</v>
      </c>
      <c r="AG85" s="267">
        <f>IF(IndividualLATest!$J$7=2014,(VLOOKUP($A85,Hshldprojections2014!$A$2:$AY$326,46,FALSE)-VLOOKUP($A85,Hshldprojections2014!$A$2:$AY$326,36,FALSE))/10,IF(IndividualLATest!$J$7=2016,(VLOOKUP($A85,Hshldprojections2016!$A$1:$AQ$322,36,FALSE)-VLOOKUP($A85,Hshldprojections2016!$A$1:$AQ$322,26,FALSE))/10,(VLOOKUP($A85,Hshldprojections2018!$A$1:$AQ$327,36,FALSE)-VLOOKUP($A85,Hshldprojections2018!$A$1:$AQ$327,26,FALSE))/10))</f>
        <v>232.5</v>
      </c>
      <c r="AH85" s="267">
        <f>IF(IndividualLATest!$J$7=2014,(VLOOKUP($A85,Hshldprojections2014!$A$2:$AY$326,47,FALSE)-VLOOKUP($A85,Hshldprojections2014!$A$2:$AY$326,37,FALSE))/10,IF(IndividualLATest!$J$7=2016,(VLOOKUP($A85,Hshldprojections2016!$A$1:$AQ$322,37,FALSE)-VLOOKUP($A85,Hshldprojections2016!$A$1:$AQ$322,27,FALSE))/10,(VLOOKUP($A85,Hshldprojections2018!$A$1:$AQ$327,37,FALSE)-VLOOKUP($A85,Hshldprojections2018!$A$1:$AQ$327,27,FALSE))/10))</f>
        <v>227.5</v>
      </c>
      <c r="AI85" s="268">
        <f>IF(ISNUMBER('Sensitivity Tests'!$C$30),'Sensitivity Tests'!$C$30,VLOOKUP($A85,AffordabilityRatio!$A$2:$I$321,5,FALSE))</f>
        <v>9.82</v>
      </c>
      <c r="AJ85" s="268">
        <f>IF(ISNUMBER('Sensitivity Tests'!$C$30),'Sensitivity Tests'!$C$30,VLOOKUP($A85,AffordabilityRatio!$A$2:$I$321,6,FALSE))</f>
        <v>10.66</v>
      </c>
      <c r="AK85" s="268">
        <f>IF(ISNUMBER('Sensitivity Tests'!$C$30),'Sensitivity Tests'!$C$30,VLOOKUP($A85,AffordabilityRatio!$A$2:$I$321,7,FALSE))</f>
        <v>10.32</v>
      </c>
      <c r="AL85" s="268">
        <f>IF(ISNUMBER('Sensitivity Tests'!$C$30),'Sensitivity Tests'!$C$30,IF((VLOOKUP($A85,AffordabilityRatio!$A$2:$I$321,8,FALSE))="",AK85,VLOOKUP($A85,AffordabilityRatio!$A$2:$I$321,8,FALSE)))</f>
        <v>11.25</v>
      </c>
      <c r="AM85" s="268">
        <f>IF(ISNUMBER('Sensitivity Tests'!$C$30),'Sensitivity Tests'!$C$30,IF((VLOOKUP($A85,AffordabilityRatio!$A$2:$I$321,9,FALSE))="",AL85,VLOOKUP($A85,AffordabilityRatio!$A$2:$I$321,9,FALSE)))</f>
        <v>10.66</v>
      </c>
      <c r="AN85" s="268">
        <f>IF(ISNUMBER('Sensitivity Tests'!$C$30),'Sensitivity Tests'!$C$30,IF((VLOOKUP($A85,AffordabilityRatio!$A$2:$I$321,9,FALSE))="",AM85,VLOOKUP($A85,AffordabilityRatio!$A$2:$I$321,9,FALSE)))</f>
        <v>10.66</v>
      </c>
      <c r="AO85" s="268">
        <f>IF(ISNUMBER('Sensitivity Tests'!$C$30),'Sensitivity Tests'!$C$30,IF((VLOOKUP($A85,AffordabilityRatio!$A$2:$I$321,9,FALSE))="",AN85,VLOOKUP($A85,AffordabilityRatio!$A$2:$I$321,9,FALSE)))</f>
        <v>10.66</v>
      </c>
      <c r="AP85" s="268">
        <f>IF(ISNUMBER('Sensitivity Tests'!$C$30),'Sensitivity Tests'!$C$30,IF((VLOOKUP($A85,AffordabilityRatio!$A$2:$I$321,9,FALSE))="",AO85,VLOOKUP($A85,AffordabilityRatio!$A$2:$I$321,9,FALSE)))</f>
        <v>10.66</v>
      </c>
      <c r="AQ85" s="267">
        <f t="shared" si="98"/>
        <v>595</v>
      </c>
      <c r="AR85" s="267">
        <f t="shared" si="98"/>
        <v>613</v>
      </c>
      <c r="AS85" s="267">
        <f t="shared" si="98"/>
        <v>599</v>
      </c>
      <c r="AT85" s="267">
        <f t="shared" si="98"/>
        <v>367</v>
      </c>
      <c r="AU85" s="267">
        <f t="shared" si="98"/>
        <v>348</v>
      </c>
      <c r="AV85" s="267">
        <f t="shared" si="98"/>
        <v>339</v>
      </c>
      <c r="AW85" s="267">
        <f t="shared" si="98"/>
        <v>329</v>
      </c>
      <c r="AX85" s="267">
        <f t="shared" si="95"/>
        <v>322</v>
      </c>
      <c r="AY85" s="267">
        <f t="shared" si="71"/>
        <v>595</v>
      </c>
      <c r="AZ85" s="267">
        <f t="shared" si="72"/>
        <v>605.92000000000007</v>
      </c>
      <c r="BA85" s="267">
        <f t="shared" si="73"/>
        <v>599</v>
      </c>
      <c r="BB85" s="267">
        <f t="shared" si="74"/>
        <v>353.5</v>
      </c>
      <c r="BC85" s="267">
        <f t="shared" si="75"/>
        <v>343.7</v>
      </c>
      <c r="BD85" s="267">
        <f t="shared" si="76"/>
        <v>335.44</v>
      </c>
      <c r="BE85" s="267">
        <f t="shared" si="77"/>
        <v>325.5</v>
      </c>
      <c r="BF85" s="267">
        <f t="shared" si="78"/>
        <v>318.5</v>
      </c>
      <c r="BG85" s="269">
        <f>AY85*VLOOKUP($B85,'Major Cities &amp; Towns'!$A$28:$B$345,2,FALSE)</f>
        <v>595</v>
      </c>
      <c r="BH85" s="269">
        <f>AZ85*VLOOKUP($B85,'Major Cities &amp; Towns'!$A$28:$B$345,2,FALSE)</f>
        <v>605.92000000000007</v>
      </c>
      <c r="BI85" s="269">
        <f>BA85*VLOOKUP($B85,'Major Cities &amp; Towns'!$A$28:$B$345,2,FALSE)</f>
        <v>599</v>
      </c>
      <c r="BJ85" s="269">
        <f>BB85*VLOOKUP($B85,'Major Cities &amp; Towns'!$A$28:$B$345,2,FALSE)</f>
        <v>353.5</v>
      </c>
      <c r="BK85" s="269">
        <f>BC85*VLOOKUP($B85,'Major Cities &amp; Towns'!$A$28:$B$345,2,FALSE)</f>
        <v>343.7</v>
      </c>
      <c r="BL85" s="269">
        <f>BD85*VLOOKUP($B85,'Major Cities &amp; Towns'!$A$28:$B$345,2,FALSE)</f>
        <v>335.44</v>
      </c>
      <c r="BM85" s="269">
        <f>BE85*VLOOKUP($B85,'Major Cities &amp; Towns'!$A$28:$B$345,2,FALSE)</f>
        <v>325.5</v>
      </c>
      <c r="BN85" s="269">
        <f>BF85*VLOOKUP($B85,'Major Cities &amp; Towns'!$A$28:$B$345,2,FALSE)</f>
        <v>318.5</v>
      </c>
      <c r="BO85" s="270">
        <f t="shared" si="79"/>
        <v>595</v>
      </c>
      <c r="BP85" s="270">
        <f t="shared" si="50"/>
        <v>613</v>
      </c>
      <c r="BQ85" s="270">
        <f t="shared" si="50"/>
        <v>599</v>
      </c>
      <c r="BR85" s="270">
        <f t="shared" si="50"/>
        <v>367</v>
      </c>
      <c r="BS85" s="270">
        <f t="shared" si="49"/>
        <v>348</v>
      </c>
      <c r="BT85" s="270">
        <f t="shared" si="49"/>
        <v>339</v>
      </c>
      <c r="BU85" s="270">
        <f t="shared" si="49"/>
        <v>329</v>
      </c>
      <c r="BV85" s="270">
        <f t="shared" si="49"/>
        <v>322</v>
      </c>
      <c r="BW85" s="39">
        <f>VLOOKUP($A85,NetAdditions!$A$2:$H$336,6,FALSE)</f>
        <v>373</v>
      </c>
      <c r="BX85" s="39">
        <f>VLOOKUP($A85,NetAdditions!$A$2:$H$336,7,FALSE)</f>
        <v>470</v>
      </c>
      <c r="BY85" s="39">
        <f>IF((VLOOKUP($C85,NetAdditions!$A$2:$H$336,8,FALSE))="",(AVERAGE(VLOOKUP($C85,NetAdditions!$A$2:$H$336,5,FALSE),VLOOKUP($C85,NetAdditions!$A$2:$H$336,6,FALSE),VLOOKUP($C85,NetAdditions!$A$2:$H$336,7,FALSE))),VLOOKUP($C85,NetAdditions!$A$2:$H$336,8,FALSE))</f>
        <v>405</v>
      </c>
      <c r="BZ85" s="39">
        <f t="shared" si="54"/>
        <v>416</v>
      </c>
      <c r="CA85" s="39">
        <f t="shared" si="54"/>
        <v>430.33333333333331</v>
      </c>
      <c r="CB85" s="39">
        <f t="shared" si="54"/>
        <v>417.11111111111109</v>
      </c>
      <c r="CC85" s="39">
        <f t="shared" si="54"/>
        <v>421.1481481481481</v>
      </c>
      <c r="CD85" s="39">
        <f t="shared" si="54"/>
        <v>422.86419753086415</v>
      </c>
      <c r="CE85" s="276">
        <f t="shared" si="55"/>
        <v>1807</v>
      </c>
      <c r="CF85" s="276">
        <f t="shared" si="56"/>
        <v>1579</v>
      </c>
      <c r="CG85" s="276">
        <f t="shared" si="57"/>
        <v>1314</v>
      </c>
      <c r="CH85" s="276">
        <f t="shared" si="58"/>
        <v>1054</v>
      </c>
      <c r="CI85" s="276">
        <f t="shared" si="59"/>
        <v>1016</v>
      </c>
      <c r="CJ85" s="276">
        <f t="shared" si="60"/>
        <v>990</v>
      </c>
      <c r="CK85" s="276">
        <f t="shared" si="80"/>
        <v>1556.0277777777778</v>
      </c>
      <c r="CL85" s="276">
        <f t="shared" si="81"/>
        <v>1359.6944444444446</v>
      </c>
      <c r="CM85" s="276">
        <f t="shared" si="82"/>
        <v>1204.5</v>
      </c>
      <c r="CN85" s="276">
        <f t="shared" si="83"/>
        <v>1054</v>
      </c>
      <c r="CO85" s="276">
        <f t="shared" si="83"/>
        <v>1016</v>
      </c>
      <c r="CP85" s="276">
        <f t="shared" si="83"/>
        <v>990</v>
      </c>
      <c r="CQ85" s="39">
        <f t="shared" si="61"/>
        <v>1248</v>
      </c>
      <c r="CR85" s="39">
        <f t="shared" si="62"/>
        <v>1291</v>
      </c>
      <c r="CS85" s="277">
        <f t="shared" si="63"/>
        <v>1251.3333333333333</v>
      </c>
      <c r="CT85" s="39">
        <f t="shared" si="64"/>
        <v>1263.4444444444443</v>
      </c>
      <c r="CU85" s="39">
        <f t="shared" si="65"/>
        <v>1268.5925925925924</v>
      </c>
      <c r="CV85" s="39">
        <f t="shared" si="66"/>
        <v>1261.1234567901233</v>
      </c>
      <c r="CW85" s="297">
        <f t="shared" si="67"/>
        <v>0.8020422371779995</v>
      </c>
      <c r="CX85" s="279" t="str">
        <f t="shared" si="84"/>
        <v>Buffer and Action Plan</v>
      </c>
      <c r="CY85" s="278">
        <f t="shared" si="68"/>
        <v>0.94947802815174964</v>
      </c>
      <c r="CZ85" s="279" t="str">
        <f t="shared" si="85"/>
        <v>Action Plan</v>
      </c>
      <c r="DA85" s="278">
        <f t="shared" si="69"/>
        <v>1.0388819703888197</v>
      </c>
      <c r="DB85" s="292" t="str">
        <f t="shared" si="86"/>
        <v>Pass</v>
      </c>
      <c r="DC85" s="299">
        <f t="shared" si="87"/>
        <v>1.1987138941598143</v>
      </c>
      <c r="DD85" s="293" t="str">
        <f t="shared" si="88"/>
        <v>Pass</v>
      </c>
      <c r="DE85" s="299">
        <f t="shared" si="89"/>
        <v>1.248614756488772</v>
      </c>
      <c r="DF85" s="293" t="str">
        <f t="shared" si="90"/>
        <v>Pass</v>
      </c>
      <c r="DG85" s="299">
        <f t="shared" si="91"/>
        <v>1.2738620775657812</v>
      </c>
      <c r="DH85" s="293" t="str">
        <f t="shared" si="92"/>
        <v>Pass</v>
      </c>
    </row>
    <row r="86" spans="1:112" ht="15" thickTop="1" thickBot="1">
      <c r="A86" s="38" t="s">
        <v>282</v>
      </c>
      <c r="B86" s="38" t="s">
        <v>283</v>
      </c>
      <c r="C86" s="38" t="s">
        <v>282</v>
      </c>
      <c r="D86" s="38" t="s">
        <v>147</v>
      </c>
      <c r="E86" s="38" t="str">
        <f>VLOOKUP(C86,PoliticalControl!A:K,11,FALSE)</f>
        <v>NOC</v>
      </c>
      <c r="F86" s="38" t="str">
        <f>VLOOKUP(C86,UrbanRuralClassification!A:N,13,FALSE)</f>
        <v xml:space="preserve">Largely Rural (rural including hub towns 50-79%) </v>
      </c>
      <c r="G86" s="38" t="str">
        <f>VLOOKUP(C86,UrbanRuralClassification!A:N,14,FALSE)</f>
        <v>Predominantly Rural</v>
      </c>
      <c r="H86" s="258">
        <f>IF(ISBLANK((VLOOKUP($A86,'local-plan-data'!$C$1:$AD$566,27,FALSE)))=TRUE,"",VLOOKUP($A86,'local-plan-data'!$C$1:$AD$566,27,FALSE))</f>
        <v>42397</v>
      </c>
      <c r="I86" s="259">
        <f>VLOOKUP($A86,'local-plan-data'!$C$1:$AD$566,28,FALSE)</f>
        <v>950</v>
      </c>
      <c r="J86" s="260">
        <f t="shared" si="70"/>
        <v>950</v>
      </c>
      <c r="K86" s="259">
        <f t="shared" si="96"/>
        <v>950</v>
      </c>
      <c r="L86" s="259">
        <f t="shared" si="93"/>
        <v>950</v>
      </c>
      <c r="M86" s="259">
        <f t="shared" si="93"/>
        <v>950</v>
      </c>
      <c r="N86" s="259" t="str">
        <f t="shared" si="93"/>
        <v>-</v>
      </c>
      <c r="O86" s="259" t="str">
        <f t="shared" si="93"/>
        <v>-</v>
      </c>
      <c r="P86" s="259" t="str">
        <f t="shared" si="93"/>
        <v>-</v>
      </c>
      <c r="Q86" s="259" t="str">
        <f t="shared" si="93"/>
        <v>-</v>
      </c>
      <c r="R86" s="259" t="str">
        <f t="shared" si="93"/>
        <v>-</v>
      </c>
      <c r="S86" s="259">
        <f t="shared" si="97"/>
        <v>1033</v>
      </c>
      <c r="T86" s="259">
        <f t="shared" si="94"/>
        <v>668</v>
      </c>
      <c r="U86" s="259">
        <f t="shared" si="94"/>
        <v>302</v>
      </c>
      <c r="V86" s="259">
        <f t="shared" si="94"/>
        <v>-63</v>
      </c>
      <c r="W86" s="259">
        <f t="shared" si="94"/>
        <v>-428</v>
      </c>
      <c r="X86" s="259">
        <f t="shared" si="94"/>
        <v>-793</v>
      </c>
      <c r="Y86" s="259">
        <f t="shared" si="94"/>
        <v>-1159</v>
      </c>
      <c r="Z86" s="259">
        <f t="shared" si="94"/>
        <v>-1524</v>
      </c>
      <c r="AA86" s="267">
        <f>(VLOOKUP(A86,Hshldprojections2014!$A$2:$AW$319,40, FALSE)-VLOOKUP(A86,Hshldprojections2014!$A$2:$AW$319,30, FALSE))/10</f>
        <v>648.4</v>
      </c>
      <c r="AB86" s="267">
        <f>(VLOOKUP(A86,Hshldprojections2014!$A$2:$AW$319,41, FALSE)-VLOOKUP(A86,Hshldprojections2014!$A$2:$AW$319,31, FALSE))/10</f>
        <v>655.8</v>
      </c>
      <c r="AC86" s="267">
        <f>(VLOOKUP(A86,Hshldprojections2014!$A$2:$AW$319,42, FALSE)-VLOOKUP(A86,Hshldprojections2014!$A$2:$AW$319,32, FALSE))/10</f>
        <v>661</v>
      </c>
      <c r="AD86" s="267">
        <f>IF(IndividualLATest!$J$7=2014,(VLOOKUP($A86,Hshldprojections2014!$A$2:$AY$326,43,FALSE)-VLOOKUP($A86,Hshldprojections2014!$A$2:$AY$326,33,FALSE))/10,IF(IndividualLATest!$J$7=2016,(VLOOKUP($A86,Hshldprojections2016!$A$1:$AQ$322,33,FALSE)-VLOOKUP($A86,Hshldprojections2016!$A$1:$AQ$322,23,FALSE))/10,(VLOOKUP($A86,Hshldprojections2018!$A$1:$AQ$327,33,FALSE)-VLOOKUP($A86,Hshldprojections2018!$A$1:$AQ$327,23,FALSE))/10))</f>
        <v>1003.8</v>
      </c>
      <c r="AE86" s="267">
        <f>IF(IndividualLATest!$J$7=2014,(VLOOKUP($A86,Hshldprojections2014!$A$2:$AY$326,44,FALSE)-VLOOKUP($A86,Hshldprojections2014!$A$2:$AY$326,34,FALSE))/10,IF(IndividualLATest!$J$7=2016,(VLOOKUP($A86,Hshldprojections2016!$A$1:$AQ$322,34,FALSE)-VLOOKUP($A86,Hshldprojections2016!$A$1:$AQ$322,24,FALSE))/10,(VLOOKUP($A86,Hshldprojections2018!$A$1:$AQ$327,34,FALSE)-VLOOKUP($A86,Hshldprojections2018!$A$1:$AQ$327,24,FALSE))/10))</f>
        <v>985.5</v>
      </c>
      <c r="AF86" s="267">
        <f>IF(IndividualLATest!$J$7=2014,(VLOOKUP($A86,Hshldprojections2014!$A$2:$AY$326,45,FALSE)-VLOOKUP($A86,Hshldprojections2014!$A$2:$AY$326,35,FALSE))/10,IF(IndividualLATest!$J$7=2016,(VLOOKUP($A86,Hshldprojections2016!$A$1:$AQ$322,35,FALSE)-VLOOKUP($A86,Hshldprojections2016!$A$1:$AQ$322,25,FALSE))/10,(VLOOKUP($A86,Hshldprojections2018!$A$1:$AQ$327,35,FALSE)-VLOOKUP($A86,Hshldprojections2018!$A$1:$AQ$327,25,FALSE))/10))</f>
        <v>966.5</v>
      </c>
      <c r="AG86" s="267">
        <f>IF(IndividualLATest!$J$7=2014,(VLOOKUP($A86,Hshldprojections2014!$A$2:$AY$326,46,FALSE)-VLOOKUP($A86,Hshldprojections2014!$A$2:$AY$326,36,FALSE))/10,IF(IndividualLATest!$J$7=2016,(VLOOKUP($A86,Hshldprojections2016!$A$1:$AQ$322,36,FALSE)-VLOOKUP($A86,Hshldprojections2016!$A$1:$AQ$322,26,FALSE))/10,(VLOOKUP($A86,Hshldprojections2018!$A$1:$AQ$327,36,FALSE)-VLOOKUP($A86,Hshldprojections2018!$A$1:$AQ$327,26,FALSE))/10))</f>
        <v>949.5</v>
      </c>
      <c r="AH86" s="267">
        <f>IF(IndividualLATest!$J$7=2014,(VLOOKUP($A86,Hshldprojections2014!$A$2:$AY$326,47,FALSE)-VLOOKUP($A86,Hshldprojections2014!$A$2:$AY$326,37,FALSE))/10,IF(IndividualLATest!$J$7=2016,(VLOOKUP($A86,Hshldprojections2016!$A$1:$AQ$322,37,FALSE)-VLOOKUP($A86,Hshldprojections2016!$A$1:$AQ$322,27,FALSE))/10,(VLOOKUP($A86,Hshldprojections2018!$A$1:$AQ$327,37,FALSE)-VLOOKUP($A86,Hshldprojections2018!$A$1:$AQ$327,27,FALSE))/10))</f>
        <v>930.4</v>
      </c>
      <c r="AI86" s="268">
        <f>IF(ISNUMBER('Sensitivity Tests'!$C$30),'Sensitivity Tests'!$C$30,VLOOKUP($A86,AffordabilityRatio!$A$2:$I$321,5,FALSE))</f>
        <v>9.84</v>
      </c>
      <c r="AJ86" s="268">
        <f>IF(ISNUMBER('Sensitivity Tests'!$C$30),'Sensitivity Tests'!$C$30,VLOOKUP($A86,AffordabilityRatio!$A$2:$I$321,6,FALSE))</f>
        <v>9.93</v>
      </c>
      <c r="AK86" s="268">
        <f>IF(ISNUMBER('Sensitivity Tests'!$C$30),'Sensitivity Tests'!$C$30,VLOOKUP($A86,AffordabilityRatio!$A$2:$I$321,7,FALSE))</f>
        <v>10.56</v>
      </c>
      <c r="AL86" s="268">
        <f>IF(ISNUMBER('Sensitivity Tests'!$C$30),'Sensitivity Tests'!$C$30,IF((VLOOKUP($A86,AffordabilityRatio!$A$2:$I$321,8,FALSE))="",AK86,VLOOKUP($A86,AffordabilityRatio!$A$2:$I$321,8,FALSE)))</f>
        <v>10.08</v>
      </c>
      <c r="AM86" s="268">
        <f>IF(ISNUMBER('Sensitivity Tests'!$C$30),'Sensitivity Tests'!$C$30,IF((VLOOKUP($A86,AffordabilityRatio!$A$2:$I$321,9,FALSE))="",AL86,VLOOKUP($A86,AffordabilityRatio!$A$2:$I$321,9,FALSE)))</f>
        <v>10.88</v>
      </c>
      <c r="AN86" s="268">
        <f>IF(ISNUMBER('Sensitivity Tests'!$C$30),'Sensitivity Tests'!$C$30,IF((VLOOKUP($A86,AffordabilityRatio!$A$2:$I$321,9,FALSE))="",AM86,VLOOKUP($A86,AffordabilityRatio!$A$2:$I$321,9,FALSE)))</f>
        <v>10.88</v>
      </c>
      <c r="AO86" s="268">
        <f>IF(ISNUMBER('Sensitivity Tests'!$C$30),'Sensitivity Tests'!$C$30,IF((VLOOKUP($A86,AffordabilityRatio!$A$2:$I$321,9,FALSE))="",AN86,VLOOKUP($A86,AffordabilityRatio!$A$2:$I$321,9,FALSE)))</f>
        <v>10.88</v>
      </c>
      <c r="AP86" s="268">
        <f>IF(ISNUMBER('Sensitivity Tests'!$C$30),'Sensitivity Tests'!$C$30,IF((VLOOKUP($A86,AffordabilityRatio!$A$2:$I$321,9,FALSE))="",AO86,VLOOKUP($A86,AffordabilityRatio!$A$2:$I$321,9,FALSE)))</f>
        <v>10.88</v>
      </c>
      <c r="AQ86" s="267">
        <f t="shared" si="98"/>
        <v>885</v>
      </c>
      <c r="AR86" s="267">
        <f t="shared" si="98"/>
        <v>899</v>
      </c>
      <c r="AS86" s="267">
        <f t="shared" si="98"/>
        <v>932</v>
      </c>
      <c r="AT86" s="267">
        <f t="shared" si="98"/>
        <v>1385</v>
      </c>
      <c r="AU86" s="267">
        <f t="shared" si="98"/>
        <v>1409</v>
      </c>
      <c r="AV86" s="267">
        <f t="shared" si="98"/>
        <v>1382</v>
      </c>
      <c r="AW86" s="267">
        <f t="shared" si="98"/>
        <v>1358</v>
      </c>
      <c r="AX86" s="267">
        <f t="shared" si="95"/>
        <v>1330</v>
      </c>
      <c r="AY86" s="267">
        <f t="shared" si="71"/>
        <v>885</v>
      </c>
      <c r="AZ86" s="267">
        <f t="shared" si="72"/>
        <v>899</v>
      </c>
      <c r="BA86" s="267">
        <f t="shared" si="73"/>
        <v>932</v>
      </c>
      <c r="BB86" s="267">
        <f t="shared" si="74"/>
        <v>1385</v>
      </c>
      <c r="BC86" s="267">
        <f t="shared" si="75"/>
        <v>1379.7</v>
      </c>
      <c r="BD86" s="267">
        <f t="shared" si="76"/>
        <v>1353.1</v>
      </c>
      <c r="BE86" s="267">
        <f t="shared" si="77"/>
        <v>1330</v>
      </c>
      <c r="BF86" s="267">
        <f t="shared" si="78"/>
        <v>1330</v>
      </c>
      <c r="BG86" s="269">
        <f>AY86*VLOOKUP($B86,'Major Cities &amp; Towns'!$A$28:$B$345,2,FALSE)</f>
        <v>885</v>
      </c>
      <c r="BH86" s="269">
        <f>AZ86*VLOOKUP($B86,'Major Cities &amp; Towns'!$A$28:$B$345,2,FALSE)</f>
        <v>899</v>
      </c>
      <c r="BI86" s="269">
        <f>BA86*VLOOKUP($B86,'Major Cities &amp; Towns'!$A$28:$B$345,2,FALSE)</f>
        <v>932</v>
      </c>
      <c r="BJ86" s="269">
        <f>BB86*VLOOKUP($B86,'Major Cities &amp; Towns'!$A$28:$B$345,2,FALSE)</f>
        <v>1385</v>
      </c>
      <c r="BK86" s="269">
        <f>BC86*VLOOKUP($B86,'Major Cities &amp; Towns'!$A$28:$B$345,2,FALSE)</f>
        <v>1379.7</v>
      </c>
      <c r="BL86" s="269">
        <f>BD86*VLOOKUP($B86,'Major Cities &amp; Towns'!$A$28:$B$345,2,FALSE)</f>
        <v>1353.1</v>
      </c>
      <c r="BM86" s="269">
        <f>BE86*VLOOKUP($B86,'Major Cities &amp; Towns'!$A$28:$B$345,2,FALSE)</f>
        <v>1330</v>
      </c>
      <c r="BN86" s="269">
        <f>BF86*VLOOKUP($B86,'Major Cities &amp; Towns'!$A$28:$B$345,2,FALSE)</f>
        <v>1330</v>
      </c>
      <c r="BO86" s="270">
        <f t="shared" si="79"/>
        <v>885</v>
      </c>
      <c r="BP86" s="270">
        <f t="shared" si="50"/>
        <v>899</v>
      </c>
      <c r="BQ86" s="270">
        <f t="shared" si="50"/>
        <v>932.00000000000011</v>
      </c>
      <c r="BR86" s="270">
        <f t="shared" si="50"/>
        <v>1385</v>
      </c>
      <c r="BS86" s="270">
        <f t="shared" si="49"/>
        <v>1409</v>
      </c>
      <c r="BT86" s="270">
        <f t="shared" si="49"/>
        <v>1382</v>
      </c>
      <c r="BU86" s="270">
        <f t="shared" si="49"/>
        <v>1358</v>
      </c>
      <c r="BV86" s="270">
        <f t="shared" si="49"/>
        <v>1330</v>
      </c>
      <c r="BW86" s="39">
        <f>VLOOKUP($A86,NetAdditions!$A$2:$H$336,6,FALSE)</f>
        <v>929</v>
      </c>
      <c r="BX86" s="39">
        <f>VLOOKUP($A86,NetAdditions!$A$2:$H$336,7,FALSE)</f>
        <v>1065</v>
      </c>
      <c r="BY86" s="39">
        <f>IF((VLOOKUP($C86,NetAdditions!$A$2:$H$336,8,FALSE))="",(AVERAGE(VLOOKUP($C86,NetAdditions!$A$2:$H$336,5,FALSE),VLOOKUP($C86,NetAdditions!$A$2:$H$336,6,FALSE),VLOOKUP($C86,NetAdditions!$A$2:$H$336,7,FALSE))),VLOOKUP($C86,NetAdditions!$A$2:$H$336,8,FALSE))</f>
        <v>872</v>
      </c>
      <c r="BZ86" s="39">
        <f t="shared" si="54"/>
        <v>955.33333333333337</v>
      </c>
      <c r="CA86" s="39">
        <f t="shared" si="54"/>
        <v>964.1111111111112</v>
      </c>
      <c r="CB86" s="39">
        <f t="shared" si="54"/>
        <v>930.48148148148164</v>
      </c>
      <c r="CC86" s="39">
        <f t="shared" si="54"/>
        <v>949.9753086419754</v>
      </c>
      <c r="CD86" s="39">
        <f t="shared" si="54"/>
        <v>948.18930041152271</v>
      </c>
      <c r="CE86" s="276">
        <f t="shared" si="55"/>
        <v>2716</v>
      </c>
      <c r="CF86" s="276">
        <f t="shared" si="56"/>
        <v>3216</v>
      </c>
      <c r="CG86" s="276">
        <f t="shared" si="57"/>
        <v>3726</v>
      </c>
      <c r="CH86" s="276">
        <f t="shared" si="58"/>
        <v>4176</v>
      </c>
      <c r="CI86" s="276">
        <f t="shared" si="59"/>
        <v>4149</v>
      </c>
      <c r="CJ86" s="276">
        <f t="shared" si="60"/>
        <v>4070</v>
      </c>
      <c r="CK86" s="276">
        <f t="shared" si="80"/>
        <v>2338.7777777777778</v>
      </c>
      <c r="CL86" s="276">
        <f t="shared" si="81"/>
        <v>2769.3333333333335</v>
      </c>
      <c r="CM86" s="276">
        <f t="shared" si="82"/>
        <v>3415.5</v>
      </c>
      <c r="CN86" s="276">
        <f t="shared" si="83"/>
        <v>4176</v>
      </c>
      <c r="CO86" s="276">
        <f t="shared" si="83"/>
        <v>4149</v>
      </c>
      <c r="CP86" s="276">
        <f t="shared" si="83"/>
        <v>4070</v>
      </c>
      <c r="CQ86" s="39">
        <f t="shared" si="61"/>
        <v>2866</v>
      </c>
      <c r="CR86" s="39">
        <f t="shared" si="62"/>
        <v>2892.3333333333335</v>
      </c>
      <c r="CS86" s="277">
        <f t="shared" si="63"/>
        <v>2791.4444444444448</v>
      </c>
      <c r="CT86" s="39">
        <f t="shared" si="64"/>
        <v>2849.9259259259261</v>
      </c>
      <c r="CU86" s="39">
        <f t="shared" si="65"/>
        <v>2844.5679012345681</v>
      </c>
      <c r="CV86" s="39">
        <f t="shared" si="66"/>
        <v>2828.6460905349795</v>
      </c>
      <c r="CW86" s="297">
        <f t="shared" si="67"/>
        <v>1.2254263860515939</v>
      </c>
      <c r="CX86" s="279" t="str">
        <f t="shared" si="84"/>
        <v>Pass</v>
      </c>
      <c r="CY86" s="278">
        <f t="shared" si="68"/>
        <v>1.0444150216658643</v>
      </c>
      <c r="CZ86" s="279" t="str">
        <f t="shared" si="85"/>
        <v>Pass</v>
      </c>
      <c r="DA86" s="278">
        <f t="shared" si="69"/>
        <v>0.8172872037606338</v>
      </c>
      <c r="DB86" s="292" t="str">
        <f t="shared" si="86"/>
        <v>Buffer and Action Plan</v>
      </c>
      <c r="DC86" s="299">
        <f t="shared" si="87"/>
        <v>0.68245352632325817</v>
      </c>
      <c r="DD86" s="293" t="str">
        <f t="shared" si="88"/>
        <v>Presumption</v>
      </c>
      <c r="DE86" s="299">
        <f t="shared" si="89"/>
        <v>0.68560325409365341</v>
      </c>
      <c r="DF86" s="293" t="str">
        <f t="shared" si="90"/>
        <v>Presumption</v>
      </c>
      <c r="DG86" s="299">
        <f t="shared" si="91"/>
        <v>0.69499903944348396</v>
      </c>
      <c r="DH86" s="293" t="str">
        <f t="shared" si="92"/>
        <v>Presumption</v>
      </c>
    </row>
    <row r="87" spans="1:112" ht="15" thickTop="1" thickBot="1">
      <c r="A87" s="38" t="s">
        <v>284</v>
      </c>
      <c r="B87" s="38" t="s">
        <v>285</v>
      </c>
      <c r="C87" s="38" t="s">
        <v>284</v>
      </c>
      <c r="D87" s="38" t="s">
        <v>113</v>
      </c>
      <c r="E87" s="38" t="str">
        <f>VLOOKUP(C87,PoliticalControl!A:K,11,FALSE)</f>
        <v>CON</v>
      </c>
      <c r="F87" s="38" t="str">
        <f>VLOOKUP(C87,UrbanRuralClassification!A:N,13,FALSE)</f>
        <v xml:space="preserve">Mainly Rural (rural including hub towns &gt;=80%) </v>
      </c>
      <c r="G87" s="38" t="str">
        <f>VLOOKUP(C87,UrbanRuralClassification!A:N,14,FALSE)</f>
        <v>Predominantly Rural</v>
      </c>
      <c r="H87" s="258">
        <f>IF(ISBLANK((VLOOKUP($A87,'local-plan-data'!$C$1:$AD$566,27,FALSE)))=TRUE,"",VLOOKUP($A87,'local-plan-data'!$C$1:$AD$566,27,FALSE))</f>
        <v>41767</v>
      </c>
      <c r="I87" s="259">
        <f>VLOOKUP($A87,'local-plan-data'!$C$1:$AD$566,28,FALSE)</f>
        <v>591.76470588235293</v>
      </c>
      <c r="J87" s="260">
        <f t="shared" si="70"/>
        <v>591.76470588235293</v>
      </c>
      <c r="K87" s="259">
        <f t="shared" si="96"/>
        <v>591.76470588235293</v>
      </c>
      <c r="L87" s="259">
        <f t="shared" si="93"/>
        <v>591.76470588235293</v>
      </c>
      <c r="M87" s="259" t="str">
        <f t="shared" si="93"/>
        <v>-</v>
      </c>
      <c r="N87" s="259" t="str">
        <f t="shared" si="93"/>
        <v>-</v>
      </c>
      <c r="O87" s="259" t="str">
        <f t="shared" si="93"/>
        <v>-</v>
      </c>
      <c r="P87" s="259" t="str">
        <f t="shared" si="93"/>
        <v>-</v>
      </c>
      <c r="Q87" s="259" t="str">
        <f t="shared" si="93"/>
        <v>-</v>
      </c>
      <c r="R87" s="259" t="str">
        <f t="shared" si="93"/>
        <v>-</v>
      </c>
      <c r="S87" s="259">
        <f t="shared" si="97"/>
        <v>402</v>
      </c>
      <c r="T87" s="259">
        <f t="shared" si="94"/>
        <v>37</v>
      </c>
      <c r="U87" s="259">
        <f t="shared" si="94"/>
        <v>-329</v>
      </c>
      <c r="V87" s="259">
        <f t="shared" si="94"/>
        <v>-694</v>
      </c>
      <c r="W87" s="259">
        <f t="shared" si="94"/>
        <v>-1059</v>
      </c>
      <c r="X87" s="259">
        <f t="shared" si="94"/>
        <v>-1424</v>
      </c>
      <c r="Y87" s="259">
        <f t="shared" si="94"/>
        <v>-1790</v>
      </c>
      <c r="Z87" s="259">
        <f t="shared" si="94"/>
        <v>-2155</v>
      </c>
      <c r="AA87" s="267">
        <f>(VLOOKUP(A87,Hshldprojections2014!$A$2:$AW$319,40, FALSE)-VLOOKUP(A87,Hshldprojections2014!$A$2:$AW$319,30, FALSE))/10</f>
        <v>400.1</v>
      </c>
      <c r="AB87" s="267">
        <f>(VLOOKUP(A87,Hshldprojections2014!$A$2:$AW$319,41, FALSE)-VLOOKUP(A87,Hshldprojections2014!$A$2:$AW$319,31, FALSE))/10</f>
        <v>396.6</v>
      </c>
      <c r="AC87" s="267">
        <f>(VLOOKUP(A87,Hshldprojections2014!$A$2:$AW$319,42, FALSE)-VLOOKUP(A87,Hshldprojections2014!$A$2:$AW$319,32, FALSE))/10</f>
        <v>392.3</v>
      </c>
      <c r="AD87" s="267">
        <f>IF(IndividualLATest!$J$7=2014,(VLOOKUP($A87,Hshldprojections2014!$A$2:$AY$326,43,FALSE)-VLOOKUP($A87,Hshldprojections2014!$A$2:$AY$326,33,FALSE))/10,IF(IndividualLATest!$J$7=2016,(VLOOKUP($A87,Hshldprojections2016!$A$1:$AQ$322,33,FALSE)-VLOOKUP($A87,Hshldprojections2016!$A$1:$AQ$322,23,FALSE))/10,(VLOOKUP($A87,Hshldprojections2018!$A$1:$AQ$327,33,FALSE)-VLOOKUP($A87,Hshldprojections2018!$A$1:$AQ$327,23,FALSE))/10))</f>
        <v>388.6</v>
      </c>
      <c r="AE87" s="267">
        <f>IF(IndividualLATest!$J$7=2014,(VLOOKUP($A87,Hshldprojections2014!$A$2:$AY$326,44,FALSE)-VLOOKUP($A87,Hshldprojections2014!$A$2:$AY$326,34,FALSE))/10,IF(IndividualLATest!$J$7=2016,(VLOOKUP($A87,Hshldprojections2016!$A$1:$AQ$322,34,FALSE)-VLOOKUP($A87,Hshldprojections2016!$A$1:$AQ$322,24,FALSE))/10,(VLOOKUP($A87,Hshldprojections2018!$A$1:$AQ$327,34,FALSE)-VLOOKUP($A87,Hshldprojections2018!$A$1:$AQ$327,24,FALSE))/10))</f>
        <v>371.1</v>
      </c>
      <c r="AF87" s="267">
        <f>IF(IndividualLATest!$J$7=2014,(VLOOKUP($A87,Hshldprojections2014!$A$2:$AY$326,45,FALSE)-VLOOKUP($A87,Hshldprojections2014!$A$2:$AY$326,35,FALSE))/10,IF(IndividualLATest!$J$7=2016,(VLOOKUP($A87,Hshldprojections2016!$A$1:$AQ$322,35,FALSE)-VLOOKUP($A87,Hshldprojections2016!$A$1:$AQ$322,25,FALSE))/10,(VLOOKUP($A87,Hshldprojections2018!$A$1:$AQ$327,35,FALSE)-VLOOKUP($A87,Hshldprojections2018!$A$1:$AQ$327,25,FALSE))/10))</f>
        <v>357.7</v>
      </c>
      <c r="AG87" s="267">
        <f>IF(IndividualLATest!$J$7=2014,(VLOOKUP($A87,Hshldprojections2014!$A$2:$AY$326,46,FALSE)-VLOOKUP($A87,Hshldprojections2014!$A$2:$AY$326,36,FALSE))/10,IF(IndividualLATest!$J$7=2016,(VLOOKUP($A87,Hshldprojections2016!$A$1:$AQ$322,36,FALSE)-VLOOKUP($A87,Hshldprojections2016!$A$1:$AQ$322,26,FALSE))/10,(VLOOKUP($A87,Hshldprojections2018!$A$1:$AQ$327,36,FALSE)-VLOOKUP($A87,Hshldprojections2018!$A$1:$AQ$327,26,FALSE))/10))</f>
        <v>343.4</v>
      </c>
      <c r="AH87" s="267">
        <f>IF(IndividualLATest!$J$7=2014,(VLOOKUP($A87,Hshldprojections2014!$A$2:$AY$326,47,FALSE)-VLOOKUP($A87,Hshldprojections2014!$A$2:$AY$326,37,FALSE))/10,IF(IndividualLATest!$J$7=2016,(VLOOKUP($A87,Hshldprojections2016!$A$1:$AQ$322,37,FALSE)-VLOOKUP($A87,Hshldprojections2016!$A$1:$AQ$322,27,FALSE))/10,(VLOOKUP($A87,Hshldprojections2018!$A$1:$AQ$327,37,FALSE)-VLOOKUP($A87,Hshldprojections2018!$A$1:$AQ$327,27,FALSE))/10))</f>
        <v>330.1</v>
      </c>
      <c r="AI87" s="268">
        <f>IF(ISNUMBER('Sensitivity Tests'!$C$30),'Sensitivity Tests'!$C$30,VLOOKUP($A87,AffordabilityRatio!$A$2:$I$321,5,FALSE))</f>
        <v>12.22</v>
      </c>
      <c r="AJ87" s="268">
        <f>IF(ISNUMBER('Sensitivity Tests'!$C$30),'Sensitivity Tests'!$C$30,VLOOKUP($A87,AffordabilityRatio!$A$2:$I$321,6,FALSE))</f>
        <v>12.59</v>
      </c>
      <c r="AK87" s="268">
        <f>IF(ISNUMBER('Sensitivity Tests'!$C$30),'Sensitivity Tests'!$C$30,VLOOKUP($A87,AffordabilityRatio!$A$2:$I$321,7,FALSE))</f>
        <v>13.42</v>
      </c>
      <c r="AL87" s="268">
        <f>IF(ISNUMBER('Sensitivity Tests'!$C$30),'Sensitivity Tests'!$C$30,IF((VLOOKUP($A87,AffordabilityRatio!$A$2:$I$321,8,FALSE))="",AK87,VLOOKUP($A87,AffordabilityRatio!$A$2:$I$321,8,FALSE)))</f>
        <v>12.31</v>
      </c>
      <c r="AM87" s="268">
        <f>IF(ISNUMBER('Sensitivity Tests'!$C$30),'Sensitivity Tests'!$C$30,IF((VLOOKUP($A87,AffordabilityRatio!$A$2:$I$321,9,FALSE))="",AL87,VLOOKUP($A87,AffordabilityRatio!$A$2:$I$321,9,FALSE)))</f>
        <v>14.51</v>
      </c>
      <c r="AN87" s="268">
        <f>IF(ISNUMBER('Sensitivity Tests'!$C$30),'Sensitivity Tests'!$C$30,IF((VLOOKUP($A87,AffordabilityRatio!$A$2:$I$321,9,FALSE))="",AM87,VLOOKUP($A87,AffordabilityRatio!$A$2:$I$321,9,FALSE)))</f>
        <v>14.51</v>
      </c>
      <c r="AO87" s="268">
        <f>IF(ISNUMBER('Sensitivity Tests'!$C$30),'Sensitivity Tests'!$C$30,IF((VLOOKUP($A87,AffordabilityRatio!$A$2:$I$321,9,FALSE))="",AN87,VLOOKUP($A87,AffordabilityRatio!$A$2:$I$321,9,FALSE)))</f>
        <v>14.51</v>
      </c>
      <c r="AP87" s="268">
        <f>IF(ISNUMBER('Sensitivity Tests'!$C$30),'Sensitivity Tests'!$C$30,IF((VLOOKUP($A87,AffordabilityRatio!$A$2:$I$321,9,FALSE))="",AO87,VLOOKUP($A87,AffordabilityRatio!$A$2:$I$321,9,FALSE)))</f>
        <v>14.51</v>
      </c>
      <c r="AQ87" s="267">
        <f t="shared" si="98"/>
        <v>606</v>
      </c>
      <c r="AR87" s="267">
        <f t="shared" si="98"/>
        <v>610</v>
      </c>
      <c r="AS87" s="267">
        <f t="shared" si="98"/>
        <v>623</v>
      </c>
      <c r="AT87" s="267">
        <f t="shared" si="98"/>
        <v>590</v>
      </c>
      <c r="AU87" s="267">
        <f t="shared" si="98"/>
        <v>615</v>
      </c>
      <c r="AV87" s="267">
        <f t="shared" si="98"/>
        <v>593</v>
      </c>
      <c r="AW87" s="267">
        <f t="shared" si="98"/>
        <v>569</v>
      </c>
      <c r="AX87" s="267">
        <f t="shared" si="95"/>
        <v>547</v>
      </c>
      <c r="AY87" s="267">
        <f t="shared" si="71"/>
        <v>606</v>
      </c>
      <c r="AZ87" s="267">
        <f t="shared" si="72"/>
        <v>610</v>
      </c>
      <c r="BA87" s="267">
        <f t="shared" si="73"/>
        <v>623</v>
      </c>
      <c r="BB87" s="267">
        <f t="shared" si="74"/>
        <v>590</v>
      </c>
      <c r="BC87" s="267">
        <f t="shared" si="75"/>
        <v>615</v>
      </c>
      <c r="BD87" s="267">
        <f t="shared" si="76"/>
        <v>593</v>
      </c>
      <c r="BE87" s="267">
        <f t="shared" si="77"/>
        <v>569</v>
      </c>
      <c r="BF87" s="267">
        <f t="shared" si="78"/>
        <v>547</v>
      </c>
      <c r="BG87" s="269">
        <f>AY87*VLOOKUP($B87,'Major Cities &amp; Towns'!$A$28:$B$345,2,FALSE)</f>
        <v>606</v>
      </c>
      <c r="BH87" s="269">
        <f>AZ87*VLOOKUP($B87,'Major Cities &amp; Towns'!$A$28:$B$345,2,FALSE)</f>
        <v>610</v>
      </c>
      <c r="BI87" s="269">
        <f>BA87*VLOOKUP($B87,'Major Cities &amp; Towns'!$A$28:$B$345,2,FALSE)</f>
        <v>623</v>
      </c>
      <c r="BJ87" s="269">
        <f>BB87*VLOOKUP($B87,'Major Cities &amp; Towns'!$A$28:$B$345,2,FALSE)</f>
        <v>590</v>
      </c>
      <c r="BK87" s="269">
        <f>BC87*VLOOKUP($B87,'Major Cities &amp; Towns'!$A$28:$B$345,2,FALSE)</f>
        <v>615</v>
      </c>
      <c r="BL87" s="269">
        <f>BD87*VLOOKUP($B87,'Major Cities &amp; Towns'!$A$28:$B$345,2,FALSE)</f>
        <v>593</v>
      </c>
      <c r="BM87" s="269">
        <f>BE87*VLOOKUP($B87,'Major Cities &amp; Towns'!$A$28:$B$345,2,FALSE)</f>
        <v>569</v>
      </c>
      <c r="BN87" s="269">
        <f>BF87*VLOOKUP($B87,'Major Cities &amp; Towns'!$A$28:$B$345,2,FALSE)</f>
        <v>547</v>
      </c>
      <c r="BO87" s="270">
        <f t="shared" si="79"/>
        <v>591.76470588235293</v>
      </c>
      <c r="BP87" s="270">
        <f t="shared" si="50"/>
        <v>608.15149073327962</v>
      </c>
      <c r="BQ87" s="270">
        <f t="shared" si="50"/>
        <v>623</v>
      </c>
      <c r="BR87" s="270">
        <f t="shared" si="50"/>
        <v>590</v>
      </c>
      <c r="BS87" s="270">
        <f t="shared" si="49"/>
        <v>615</v>
      </c>
      <c r="BT87" s="270">
        <f t="shared" si="49"/>
        <v>593</v>
      </c>
      <c r="BU87" s="270">
        <f t="shared" si="49"/>
        <v>569</v>
      </c>
      <c r="BV87" s="270">
        <f t="shared" si="49"/>
        <v>547</v>
      </c>
      <c r="BW87" s="39">
        <f>VLOOKUP($A87,NetAdditions!$A$2:$H$336,6,FALSE)</f>
        <v>1112</v>
      </c>
      <c r="BX87" s="39">
        <f>VLOOKUP($A87,NetAdditions!$A$2:$H$336,7,FALSE)</f>
        <v>804</v>
      </c>
      <c r="BY87" s="39">
        <f>IF((VLOOKUP($C87,NetAdditions!$A$2:$H$336,8,FALSE))="",(AVERAGE(VLOOKUP($C87,NetAdditions!$A$2:$H$336,5,FALSE),VLOOKUP($C87,NetAdditions!$A$2:$H$336,6,FALSE),VLOOKUP($C87,NetAdditions!$A$2:$H$336,7,FALSE))),VLOOKUP($C87,NetAdditions!$A$2:$H$336,8,FALSE))</f>
        <v>419</v>
      </c>
      <c r="BZ87" s="39">
        <f t="shared" si="54"/>
        <v>778.33333333333337</v>
      </c>
      <c r="CA87" s="39">
        <f t="shared" si="54"/>
        <v>667.1111111111112</v>
      </c>
      <c r="CB87" s="39">
        <f t="shared" si="54"/>
        <v>621.48148148148164</v>
      </c>
      <c r="CC87" s="39">
        <f t="shared" si="54"/>
        <v>688.9753086419754</v>
      </c>
      <c r="CD87" s="39">
        <f t="shared" si="54"/>
        <v>659.18930041152271</v>
      </c>
      <c r="CE87" s="276">
        <f t="shared" si="55"/>
        <v>1822.9161966156325</v>
      </c>
      <c r="CF87" s="276">
        <f t="shared" si="56"/>
        <v>1821.1514907332796</v>
      </c>
      <c r="CG87" s="276">
        <f t="shared" si="57"/>
        <v>1828</v>
      </c>
      <c r="CH87" s="276">
        <f t="shared" si="58"/>
        <v>1798</v>
      </c>
      <c r="CI87" s="276">
        <f t="shared" si="59"/>
        <v>1777</v>
      </c>
      <c r="CJ87" s="276">
        <f t="shared" si="60"/>
        <v>1709</v>
      </c>
      <c r="CK87" s="276">
        <f t="shared" si="80"/>
        <v>1569.7333915301281</v>
      </c>
      <c r="CL87" s="276">
        <f t="shared" si="81"/>
        <v>1568.2137836869908</v>
      </c>
      <c r="CM87" s="276">
        <f t="shared" si="82"/>
        <v>1675.6666666666665</v>
      </c>
      <c r="CN87" s="276">
        <f t="shared" si="83"/>
        <v>1798</v>
      </c>
      <c r="CO87" s="276">
        <f t="shared" si="83"/>
        <v>1777</v>
      </c>
      <c r="CP87" s="276">
        <f t="shared" si="83"/>
        <v>1709</v>
      </c>
      <c r="CQ87" s="39">
        <f t="shared" si="61"/>
        <v>2335</v>
      </c>
      <c r="CR87" s="39">
        <f t="shared" si="62"/>
        <v>2001.3333333333335</v>
      </c>
      <c r="CS87" s="277">
        <f t="shared" si="63"/>
        <v>1864.4444444444448</v>
      </c>
      <c r="CT87" s="39">
        <f t="shared" si="64"/>
        <v>2066.9259259259261</v>
      </c>
      <c r="CU87" s="39">
        <f t="shared" si="65"/>
        <v>1977.5679012345681</v>
      </c>
      <c r="CV87" s="39">
        <f t="shared" si="66"/>
        <v>1969.6460905349797</v>
      </c>
      <c r="CW87" s="297">
        <f t="shared" si="67"/>
        <v>1.4875137476204883</v>
      </c>
      <c r="CX87" s="279" t="str">
        <f t="shared" si="84"/>
        <v>Pass</v>
      </c>
      <c r="CY87" s="278">
        <f t="shared" si="68"/>
        <v>1.2761865468546294</v>
      </c>
      <c r="CZ87" s="279" t="str">
        <f t="shared" si="85"/>
        <v>Pass</v>
      </c>
      <c r="DA87" s="278">
        <f t="shared" si="69"/>
        <v>1.1126583117830386</v>
      </c>
      <c r="DB87" s="292" t="str">
        <f t="shared" si="86"/>
        <v>Pass</v>
      </c>
      <c r="DC87" s="299">
        <f t="shared" si="87"/>
        <v>1.1495694804927286</v>
      </c>
      <c r="DD87" s="293" t="str">
        <f t="shared" si="88"/>
        <v>Pass</v>
      </c>
      <c r="DE87" s="299">
        <f t="shared" si="89"/>
        <v>1.1128688245551874</v>
      </c>
      <c r="DF87" s="293" t="str">
        <f t="shared" si="90"/>
        <v>Pass</v>
      </c>
      <c r="DG87" s="299">
        <f t="shared" si="91"/>
        <v>1.1525138037068343</v>
      </c>
      <c r="DH87" s="293" t="str">
        <f t="shared" si="92"/>
        <v>Pass</v>
      </c>
    </row>
    <row r="88" spans="1:112" ht="15" thickTop="1" thickBot="1">
      <c r="A88" s="38" t="s">
        <v>286</v>
      </c>
      <c r="B88" s="38" t="s">
        <v>287</v>
      </c>
      <c r="C88" s="38" t="s">
        <v>286</v>
      </c>
      <c r="D88" s="38" t="s">
        <v>128</v>
      </c>
      <c r="E88" s="38" t="str">
        <f>VLOOKUP(C88,PoliticalControl!A:K,11,FALSE)</f>
        <v>CON</v>
      </c>
      <c r="F88" s="38" t="str">
        <f>VLOOKUP(C88,UrbanRuralClassification!A:N,13,FALSE)</f>
        <v>Urban with Significant Rural (rural including hub towns 26-49%)</v>
      </c>
      <c r="G88" s="38" t="str">
        <f>VLOOKUP(C88,UrbanRuralClassification!A:N,14,FALSE)</f>
        <v>Urban with Significant Rural</v>
      </c>
      <c r="H88" s="258">
        <f>IF(ISBLANK((VLOOKUP($A88,'local-plan-data'!$C$1:$AD$566,27,FALSE)))=TRUE,"",VLOOKUP($A88,'local-plan-data'!$C$1:$AD$566,27,FALSE))</f>
        <v>43396</v>
      </c>
      <c r="I88" s="259">
        <f>VLOOKUP($A88,'local-plan-data'!$C$1:$AD$566,28,FALSE)</f>
        <v>839</v>
      </c>
      <c r="J88" s="260">
        <f t="shared" si="70"/>
        <v>839</v>
      </c>
      <c r="K88" s="259">
        <f t="shared" si="96"/>
        <v>839</v>
      </c>
      <c r="L88" s="259">
        <f t="shared" si="93"/>
        <v>839</v>
      </c>
      <c r="M88" s="259">
        <f t="shared" si="93"/>
        <v>839</v>
      </c>
      <c r="N88" s="259">
        <f t="shared" si="93"/>
        <v>839</v>
      </c>
      <c r="O88" s="259">
        <f t="shared" si="93"/>
        <v>839</v>
      </c>
      <c r="P88" s="259">
        <f t="shared" si="93"/>
        <v>839</v>
      </c>
      <c r="Q88" s="259" t="str">
        <f t="shared" si="93"/>
        <v>-</v>
      </c>
      <c r="R88" s="259" t="str">
        <f t="shared" si="93"/>
        <v>-</v>
      </c>
      <c r="S88" s="259">
        <f t="shared" si="97"/>
        <v>2031</v>
      </c>
      <c r="T88" s="259">
        <f t="shared" si="94"/>
        <v>1666</v>
      </c>
      <c r="U88" s="259">
        <f t="shared" si="94"/>
        <v>1300</v>
      </c>
      <c r="V88" s="259">
        <f t="shared" si="94"/>
        <v>935</v>
      </c>
      <c r="W88" s="259">
        <f t="shared" si="94"/>
        <v>570</v>
      </c>
      <c r="X88" s="259">
        <f t="shared" si="94"/>
        <v>205</v>
      </c>
      <c r="Y88" s="259">
        <f t="shared" si="94"/>
        <v>-161</v>
      </c>
      <c r="Z88" s="259">
        <f t="shared" si="94"/>
        <v>-526</v>
      </c>
      <c r="AA88" s="267">
        <f>(VLOOKUP(A88,Hshldprojections2014!$A$2:$AW$319,40, FALSE)-VLOOKUP(A88,Hshldprojections2014!$A$2:$AW$319,30, FALSE))/10</f>
        <v>770.3</v>
      </c>
      <c r="AB88" s="267">
        <f>(VLOOKUP(A88,Hshldprojections2014!$A$2:$AW$319,41, FALSE)-VLOOKUP(A88,Hshldprojections2014!$A$2:$AW$319,31, FALSE))/10</f>
        <v>755.9</v>
      </c>
      <c r="AC88" s="267">
        <f>(VLOOKUP(A88,Hshldprojections2014!$A$2:$AW$319,42, FALSE)-VLOOKUP(A88,Hshldprojections2014!$A$2:$AW$319,32, FALSE))/10</f>
        <v>747.5</v>
      </c>
      <c r="AD88" s="267">
        <f>IF(IndividualLATest!$J$7=2014,(VLOOKUP($A88,Hshldprojections2014!$A$2:$AY$326,43,FALSE)-VLOOKUP($A88,Hshldprojections2014!$A$2:$AY$326,33,FALSE))/10,IF(IndividualLATest!$J$7=2016,(VLOOKUP($A88,Hshldprojections2016!$A$1:$AQ$322,33,FALSE)-VLOOKUP($A88,Hshldprojections2016!$A$1:$AQ$322,23,FALSE))/10,(VLOOKUP($A88,Hshldprojections2018!$A$1:$AQ$327,33,FALSE)-VLOOKUP($A88,Hshldprojections2018!$A$1:$AQ$327,23,FALSE))/10))</f>
        <v>455.8</v>
      </c>
      <c r="AE88" s="267">
        <f>IF(IndividualLATest!$J$7=2014,(VLOOKUP($A88,Hshldprojections2014!$A$2:$AY$326,44,FALSE)-VLOOKUP($A88,Hshldprojections2014!$A$2:$AY$326,34,FALSE))/10,IF(IndividualLATest!$J$7=2016,(VLOOKUP($A88,Hshldprojections2016!$A$1:$AQ$322,34,FALSE)-VLOOKUP($A88,Hshldprojections2016!$A$1:$AQ$322,24,FALSE))/10,(VLOOKUP($A88,Hshldprojections2018!$A$1:$AQ$327,34,FALSE)-VLOOKUP($A88,Hshldprojections2018!$A$1:$AQ$327,24,FALSE))/10))</f>
        <v>442.3</v>
      </c>
      <c r="AF88" s="267">
        <f>IF(IndividualLATest!$J$7=2014,(VLOOKUP($A88,Hshldprojections2014!$A$2:$AY$326,45,FALSE)-VLOOKUP($A88,Hshldprojections2014!$A$2:$AY$326,35,FALSE))/10,IF(IndividualLATest!$J$7=2016,(VLOOKUP($A88,Hshldprojections2016!$A$1:$AQ$322,35,FALSE)-VLOOKUP($A88,Hshldprojections2016!$A$1:$AQ$322,25,FALSE))/10,(VLOOKUP($A88,Hshldprojections2018!$A$1:$AQ$327,35,FALSE)-VLOOKUP($A88,Hshldprojections2018!$A$1:$AQ$327,25,FALSE))/10))</f>
        <v>430.1</v>
      </c>
      <c r="AG88" s="267">
        <f>IF(IndividualLATest!$J$7=2014,(VLOOKUP($A88,Hshldprojections2014!$A$2:$AY$326,46,FALSE)-VLOOKUP($A88,Hshldprojections2014!$A$2:$AY$326,36,FALSE))/10,IF(IndividualLATest!$J$7=2016,(VLOOKUP($A88,Hshldprojections2016!$A$1:$AQ$322,36,FALSE)-VLOOKUP($A88,Hshldprojections2016!$A$1:$AQ$322,26,FALSE))/10,(VLOOKUP($A88,Hshldprojections2018!$A$1:$AQ$327,36,FALSE)-VLOOKUP($A88,Hshldprojections2018!$A$1:$AQ$327,26,FALSE))/10))</f>
        <v>419.9</v>
      </c>
      <c r="AH88" s="267">
        <f>IF(IndividualLATest!$J$7=2014,(VLOOKUP($A88,Hshldprojections2014!$A$2:$AY$326,47,FALSE)-VLOOKUP($A88,Hshldprojections2014!$A$2:$AY$326,37,FALSE))/10,IF(IndividualLATest!$J$7=2016,(VLOOKUP($A88,Hshldprojections2016!$A$1:$AQ$322,37,FALSE)-VLOOKUP($A88,Hshldprojections2016!$A$1:$AQ$322,27,FALSE))/10,(VLOOKUP($A88,Hshldprojections2018!$A$1:$AQ$327,37,FALSE)-VLOOKUP($A88,Hshldprojections2018!$A$1:$AQ$327,27,FALSE))/10))</f>
        <v>414.1</v>
      </c>
      <c r="AI88" s="268">
        <f>IF(ISNUMBER('Sensitivity Tests'!$C$30),'Sensitivity Tests'!$C$30,VLOOKUP($A88,AffordabilityRatio!$A$2:$I$321,5,FALSE))</f>
        <v>12.99</v>
      </c>
      <c r="AJ88" s="268">
        <f>IF(ISNUMBER('Sensitivity Tests'!$C$30),'Sensitivity Tests'!$C$30,VLOOKUP($A88,AffordabilityRatio!$A$2:$I$321,6,FALSE))</f>
        <v>12.4</v>
      </c>
      <c r="AK88" s="268">
        <f>IF(ISNUMBER('Sensitivity Tests'!$C$30),'Sensitivity Tests'!$C$30,VLOOKUP($A88,AffordabilityRatio!$A$2:$I$321,7,FALSE))</f>
        <v>12.49</v>
      </c>
      <c r="AL88" s="268">
        <f>IF(ISNUMBER('Sensitivity Tests'!$C$30),'Sensitivity Tests'!$C$30,IF((VLOOKUP($A88,AffordabilityRatio!$A$2:$I$321,8,FALSE))="",AK88,VLOOKUP($A88,AffordabilityRatio!$A$2:$I$321,8,FALSE)))</f>
        <v>12.67</v>
      </c>
      <c r="AM88" s="268">
        <f>IF(ISNUMBER('Sensitivity Tests'!$C$30),'Sensitivity Tests'!$C$30,IF((VLOOKUP($A88,AffordabilityRatio!$A$2:$I$321,9,FALSE))="",AL88,VLOOKUP($A88,AffordabilityRatio!$A$2:$I$321,9,FALSE)))</f>
        <v>12.62</v>
      </c>
      <c r="AN88" s="268">
        <f>IF(ISNUMBER('Sensitivity Tests'!$C$30),'Sensitivity Tests'!$C$30,IF((VLOOKUP($A88,AffordabilityRatio!$A$2:$I$321,9,FALSE))="",AM88,VLOOKUP($A88,AffordabilityRatio!$A$2:$I$321,9,FALSE)))</f>
        <v>12.62</v>
      </c>
      <c r="AO88" s="268">
        <f>IF(ISNUMBER('Sensitivity Tests'!$C$30),'Sensitivity Tests'!$C$30,IF((VLOOKUP($A88,AffordabilityRatio!$A$2:$I$321,9,FALSE))="",AN88,VLOOKUP($A88,AffordabilityRatio!$A$2:$I$321,9,FALSE)))</f>
        <v>12.62</v>
      </c>
      <c r="AP88" s="268">
        <f>IF(ISNUMBER('Sensitivity Tests'!$C$30),'Sensitivity Tests'!$C$30,IF((VLOOKUP($A88,AffordabilityRatio!$A$2:$I$321,9,FALSE))="",AO88,VLOOKUP($A88,AffordabilityRatio!$A$2:$I$321,9,FALSE)))</f>
        <v>12.62</v>
      </c>
      <c r="AQ88" s="267">
        <f t="shared" si="98"/>
        <v>1203</v>
      </c>
      <c r="AR88" s="267">
        <f t="shared" si="98"/>
        <v>1153</v>
      </c>
      <c r="AS88" s="267">
        <f t="shared" si="98"/>
        <v>1144</v>
      </c>
      <c r="AT88" s="267">
        <f t="shared" si="98"/>
        <v>703</v>
      </c>
      <c r="AU88" s="267">
        <f t="shared" si="98"/>
        <v>681</v>
      </c>
      <c r="AV88" s="267">
        <f t="shared" si="98"/>
        <v>662</v>
      </c>
      <c r="AW88" s="267">
        <f t="shared" si="98"/>
        <v>646</v>
      </c>
      <c r="AX88" s="267">
        <f t="shared" si="95"/>
        <v>637</v>
      </c>
      <c r="AY88" s="267">
        <f t="shared" si="71"/>
        <v>1174.5999999999999</v>
      </c>
      <c r="AZ88" s="267">
        <f t="shared" si="72"/>
        <v>1153</v>
      </c>
      <c r="BA88" s="267">
        <f t="shared" si="73"/>
        <v>1144</v>
      </c>
      <c r="BB88" s="267">
        <f t="shared" si="74"/>
        <v>703</v>
      </c>
      <c r="BC88" s="267">
        <f t="shared" si="75"/>
        <v>681</v>
      </c>
      <c r="BD88" s="267">
        <f t="shared" si="76"/>
        <v>662</v>
      </c>
      <c r="BE88" s="267">
        <f t="shared" si="77"/>
        <v>646</v>
      </c>
      <c r="BF88" s="267">
        <f t="shared" si="78"/>
        <v>637</v>
      </c>
      <c r="BG88" s="269">
        <f>AY88*VLOOKUP($B88,'Major Cities &amp; Towns'!$A$28:$B$345,2,FALSE)</f>
        <v>1174.5999999999999</v>
      </c>
      <c r="BH88" s="269">
        <f>AZ88*VLOOKUP($B88,'Major Cities &amp; Towns'!$A$28:$B$345,2,FALSE)</f>
        <v>1153</v>
      </c>
      <c r="BI88" s="269">
        <f>BA88*VLOOKUP($B88,'Major Cities &amp; Towns'!$A$28:$B$345,2,FALSE)</f>
        <v>1144</v>
      </c>
      <c r="BJ88" s="269">
        <f>BB88*VLOOKUP($B88,'Major Cities &amp; Towns'!$A$28:$B$345,2,FALSE)</f>
        <v>703</v>
      </c>
      <c r="BK88" s="269">
        <f>BC88*VLOOKUP($B88,'Major Cities &amp; Towns'!$A$28:$B$345,2,FALSE)</f>
        <v>681</v>
      </c>
      <c r="BL88" s="269">
        <f>BD88*VLOOKUP($B88,'Major Cities &amp; Towns'!$A$28:$B$345,2,FALSE)</f>
        <v>662</v>
      </c>
      <c r="BM88" s="269">
        <f>BE88*VLOOKUP($B88,'Major Cities &amp; Towns'!$A$28:$B$345,2,FALSE)</f>
        <v>646</v>
      </c>
      <c r="BN88" s="269">
        <f>BF88*VLOOKUP($B88,'Major Cities &amp; Towns'!$A$28:$B$345,2,FALSE)</f>
        <v>637</v>
      </c>
      <c r="BO88" s="270">
        <f t="shared" si="79"/>
        <v>839</v>
      </c>
      <c r="BP88" s="270">
        <f t="shared" si="50"/>
        <v>839</v>
      </c>
      <c r="BQ88" s="270">
        <f t="shared" si="50"/>
        <v>839</v>
      </c>
      <c r="BR88" s="270">
        <f t="shared" si="50"/>
        <v>703</v>
      </c>
      <c r="BS88" s="270">
        <f t="shared" si="49"/>
        <v>681</v>
      </c>
      <c r="BT88" s="270">
        <f t="shared" si="49"/>
        <v>662</v>
      </c>
      <c r="BU88" s="270">
        <f t="shared" si="49"/>
        <v>646</v>
      </c>
      <c r="BV88" s="270">
        <f t="shared" si="49"/>
        <v>637</v>
      </c>
      <c r="BW88" s="39">
        <f>VLOOKUP($A88,NetAdditions!$A$2:$H$336,6,FALSE)</f>
        <v>917</v>
      </c>
      <c r="BX88" s="39">
        <f>VLOOKUP($A88,NetAdditions!$A$2:$H$336,7,FALSE)</f>
        <v>955</v>
      </c>
      <c r="BY88" s="39">
        <f>IF((VLOOKUP($C88,NetAdditions!$A$2:$H$336,8,FALSE))="",(AVERAGE(VLOOKUP($C88,NetAdditions!$A$2:$H$336,5,FALSE),VLOOKUP($C88,NetAdditions!$A$2:$H$336,6,FALSE),VLOOKUP($C88,NetAdditions!$A$2:$H$336,7,FALSE))),VLOOKUP($C88,NetAdditions!$A$2:$H$336,8,FALSE))</f>
        <v>805</v>
      </c>
      <c r="BZ88" s="39">
        <f t="shared" si="54"/>
        <v>892.33333333333337</v>
      </c>
      <c r="CA88" s="39">
        <f t="shared" si="54"/>
        <v>884.1111111111112</v>
      </c>
      <c r="CB88" s="39">
        <f t="shared" si="54"/>
        <v>860.48148148148164</v>
      </c>
      <c r="CC88" s="39">
        <f t="shared" si="54"/>
        <v>878.9753086419754</v>
      </c>
      <c r="CD88" s="39">
        <f t="shared" si="54"/>
        <v>874.52263374485608</v>
      </c>
      <c r="CE88" s="276">
        <f t="shared" si="55"/>
        <v>2517</v>
      </c>
      <c r="CF88" s="276">
        <f t="shared" si="56"/>
        <v>2381</v>
      </c>
      <c r="CG88" s="276">
        <f t="shared" si="57"/>
        <v>2223</v>
      </c>
      <c r="CH88" s="276">
        <f t="shared" si="58"/>
        <v>2046</v>
      </c>
      <c r="CI88" s="276">
        <f t="shared" si="59"/>
        <v>1989</v>
      </c>
      <c r="CJ88" s="276">
        <f t="shared" si="60"/>
        <v>1945</v>
      </c>
      <c r="CK88" s="276">
        <f t="shared" si="80"/>
        <v>2167.416666666667</v>
      </c>
      <c r="CL88" s="276">
        <f t="shared" si="81"/>
        <v>2050.3055555555557</v>
      </c>
      <c r="CM88" s="276">
        <f t="shared" si="82"/>
        <v>2037.75</v>
      </c>
      <c r="CN88" s="276">
        <f t="shared" si="83"/>
        <v>2046</v>
      </c>
      <c r="CO88" s="276">
        <f t="shared" si="83"/>
        <v>1989</v>
      </c>
      <c r="CP88" s="276">
        <f t="shared" si="83"/>
        <v>1945</v>
      </c>
      <c r="CQ88" s="39">
        <f t="shared" si="61"/>
        <v>2677</v>
      </c>
      <c r="CR88" s="39">
        <f t="shared" si="62"/>
        <v>2652.3333333333335</v>
      </c>
      <c r="CS88" s="277">
        <f t="shared" si="63"/>
        <v>2581.4444444444448</v>
      </c>
      <c r="CT88" s="39">
        <f t="shared" si="64"/>
        <v>2636.9259259259261</v>
      </c>
      <c r="CU88" s="39">
        <f t="shared" si="65"/>
        <v>2623.5679012345681</v>
      </c>
      <c r="CV88" s="39">
        <f t="shared" si="66"/>
        <v>2613.979423868313</v>
      </c>
      <c r="CW88" s="297">
        <f t="shared" si="67"/>
        <v>1.2351109231419892</v>
      </c>
      <c r="CX88" s="279" t="str">
        <f t="shared" si="84"/>
        <v>Pass</v>
      </c>
      <c r="CY88" s="278">
        <f t="shared" si="68"/>
        <v>1.2936283209819675</v>
      </c>
      <c r="CZ88" s="279" t="str">
        <f t="shared" si="85"/>
        <v>Pass</v>
      </c>
      <c r="DA88" s="278">
        <f t="shared" si="69"/>
        <v>1.2668111615480038</v>
      </c>
      <c r="DB88" s="292" t="str">
        <f t="shared" si="86"/>
        <v>Pass</v>
      </c>
      <c r="DC88" s="299">
        <f t="shared" si="87"/>
        <v>1.2888201006480577</v>
      </c>
      <c r="DD88" s="293" t="str">
        <f t="shared" si="88"/>
        <v>Pass</v>
      </c>
      <c r="DE88" s="299">
        <f t="shared" si="89"/>
        <v>1.3190386632652429</v>
      </c>
      <c r="DF88" s="293" t="str">
        <f t="shared" si="90"/>
        <v>Pass</v>
      </c>
      <c r="DG88" s="299">
        <f t="shared" si="91"/>
        <v>1.3439482899065878</v>
      </c>
      <c r="DH88" s="293" t="str">
        <f t="shared" si="92"/>
        <v>Pass</v>
      </c>
    </row>
    <row r="89" spans="1:112" ht="15" thickTop="1" thickBot="1">
      <c r="A89" s="38" t="s">
        <v>288</v>
      </c>
      <c r="B89" s="38" t="s">
        <v>289</v>
      </c>
      <c r="C89" s="38" t="s">
        <v>288</v>
      </c>
      <c r="D89" s="38" t="s">
        <v>119</v>
      </c>
      <c r="E89" s="38" t="str">
        <f>VLOOKUP(C89,PoliticalControl!A:K,11,FALSE)</f>
        <v>CON</v>
      </c>
      <c r="F89" s="38" t="str">
        <f>VLOOKUP(C89,UrbanRuralClassification!A:N,13,FALSE)</f>
        <v xml:space="preserve">Mainly Rural (rural including hub towns &gt;=80%) </v>
      </c>
      <c r="G89" s="38" t="str">
        <f>VLOOKUP(C89,UrbanRuralClassification!A:N,14,FALSE)</f>
        <v>Predominantly Rural</v>
      </c>
      <c r="H89" s="258">
        <f>IF(ISBLANK((VLOOKUP($A89,'local-plan-data'!$C$1:$AD$566,27,FALSE)))=TRUE,"",VLOOKUP($A89,'local-plan-data'!$C$1:$AD$566,27,FALSE))</f>
        <v>43299</v>
      </c>
      <c r="I89" s="259">
        <f>VLOOKUP($A89,'local-plan-data'!$C$1:$AD$566,28,FALSE)</f>
        <v>558.5</v>
      </c>
      <c r="J89" s="260">
        <f t="shared" si="70"/>
        <v>558.5</v>
      </c>
      <c r="K89" s="259">
        <f t="shared" si="96"/>
        <v>558.5</v>
      </c>
      <c r="L89" s="259">
        <f t="shared" si="93"/>
        <v>558.5</v>
      </c>
      <c r="M89" s="259">
        <f t="shared" si="93"/>
        <v>558.5</v>
      </c>
      <c r="N89" s="259">
        <f t="shared" si="93"/>
        <v>558.5</v>
      </c>
      <c r="O89" s="259">
        <f t="shared" si="93"/>
        <v>558.5</v>
      </c>
      <c r="P89" s="259">
        <f t="shared" si="93"/>
        <v>558.5</v>
      </c>
      <c r="Q89" s="259" t="str">
        <f t="shared" si="93"/>
        <v>-</v>
      </c>
      <c r="R89" s="259" t="str">
        <f t="shared" si="93"/>
        <v>-</v>
      </c>
      <c r="S89" s="259">
        <f t="shared" si="97"/>
        <v>1934</v>
      </c>
      <c r="T89" s="259">
        <f t="shared" si="94"/>
        <v>1569</v>
      </c>
      <c r="U89" s="259">
        <f t="shared" si="94"/>
        <v>1203</v>
      </c>
      <c r="V89" s="259">
        <f t="shared" si="94"/>
        <v>838</v>
      </c>
      <c r="W89" s="259">
        <f t="shared" si="94"/>
        <v>473</v>
      </c>
      <c r="X89" s="259">
        <f t="shared" si="94"/>
        <v>108</v>
      </c>
      <c r="Y89" s="259">
        <f t="shared" si="94"/>
        <v>-258</v>
      </c>
      <c r="Z89" s="259">
        <f t="shared" si="94"/>
        <v>-623</v>
      </c>
      <c r="AA89" s="267">
        <f>(VLOOKUP(A89,Hshldprojections2014!$A$2:$AW$319,40, FALSE)-VLOOKUP(A89,Hshldprojections2014!$A$2:$AW$319,30, FALSE))/10</f>
        <v>357.7</v>
      </c>
      <c r="AB89" s="267">
        <f>(VLOOKUP(A89,Hshldprojections2014!$A$2:$AW$319,41, FALSE)-VLOOKUP(A89,Hshldprojections2014!$A$2:$AW$319,31, FALSE))/10</f>
        <v>359.6</v>
      </c>
      <c r="AC89" s="267">
        <f>(VLOOKUP(A89,Hshldprojections2014!$A$2:$AW$319,42, FALSE)-VLOOKUP(A89,Hshldprojections2014!$A$2:$AW$319,32, FALSE))/10</f>
        <v>364</v>
      </c>
      <c r="AD89" s="267">
        <f>IF(IndividualLATest!$J$7=2014,(VLOOKUP($A89,Hshldprojections2014!$A$2:$AY$326,43,FALSE)-VLOOKUP($A89,Hshldprojections2014!$A$2:$AY$326,33,FALSE))/10,IF(IndividualLATest!$J$7=2016,(VLOOKUP($A89,Hshldprojections2016!$A$1:$AQ$322,33,FALSE)-VLOOKUP($A89,Hshldprojections2016!$A$1:$AQ$322,23,FALSE))/10,(VLOOKUP($A89,Hshldprojections2018!$A$1:$AQ$327,33,FALSE)-VLOOKUP($A89,Hshldprojections2018!$A$1:$AQ$327,23,FALSE))/10))</f>
        <v>621.29999999999995</v>
      </c>
      <c r="AE89" s="267">
        <f>IF(IndividualLATest!$J$7=2014,(VLOOKUP($A89,Hshldprojections2014!$A$2:$AY$326,44,FALSE)-VLOOKUP($A89,Hshldprojections2014!$A$2:$AY$326,34,FALSE))/10,IF(IndividualLATest!$J$7=2016,(VLOOKUP($A89,Hshldprojections2016!$A$1:$AQ$322,34,FALSE)-VLOOKUP($A89,Hshldprojections2016!$A$1:$AQ$322,24,FALSE))/10,(VLOOKUP($A89,Hshldprojections2018!$A$1:$AQ$327,34,FALSE)-VLOOKUP($A89,Hshldprojections2018!$A$1:$AQ$327,24,FALSE))/10))</f>
        <v>608.6</v>
      </c>
      <c r="AF89" s="267">
        <f>IF(IndividualLATest!$J$7=2014,(VLOOKUP($A89,Hshldprojections2014!$A$2:$AY$326,45,FALSE)-VLOOKUP($A89,Hshldprojections2014!$A$2:$AY$326,35,FALSE))/10,IF(IndividualLATest!$J$7=2016,(VLOOKUP($A89,Hshldprojections2016!$A$1:$AQ$322,35,FALSE)-VLOOKUP($A89,Hshldprojections2016!$A$1:$AQ$322,25,FALSE))/10,(VLOOKUP($A89,Hshldprojections2018!$A$1:$AQ$327,35,FALSE)-VLOOKUP($A89,Hshldprojections2018!$A$1:$AQ$327,25,FALSE))/10))</f>
        <v>598.4</v>
      </c>
      <c r="AG89" s="267">
        <f>IF(IndividualLATest!$J$7=2014,(VLOOKUP($A89,Hshldprojections2014!$A$2:$AY$326,46,FALSE)-VLOOKUP($A89,Hshldprojections2014!$A$2:$AY$326,36,FALSE))/10,IF(IndividualLATest!$J$7=2016,(VLOOKUP($A89,Hshldprojections2016!$A$1:$AQ$322,36,FALSE)-VLOOKUP($A89,Hshldprojections2016!$A$1:$AQ$322,26,FALSE))/10,(VLOOKUP($A89,Hshldprojections2018!$A$1:$AQ$327,36,FALSE)-VLOOKUP($A89,Hshldprojections2018!$A$1:$AQ$327,26,FALSE))/10))</f>
        <v>587.70000000000005</v>
      </c>
      <c r="AH89" s="267">
        <f>IF(IndividualLATest!$J$7=2014,(VLOOKUP($A89,Hshldprojections2014!$A$2:$AY$326,47,FALSE)-VLOOKUP($A89,Hshldprojections2014!$A$2:$AY$326,37,FALSE))/10,IF(IndividualLATest!$J$7=2016,(VLOOKUP($A89,Hshldprojections2016!$A$1:$AQ$322,37,FALSE)-VLOOKUP($A89,Hshldprojections2016!$A$1:$AQ$322,27,FALSE))/10,(VLOOKUP($A89,Hshldprojections2018!$A$1:$AQ$327,37,FALSE)-VLOOKUP($A89,Hshldprojections2018!$A$1:$AQ$327,27,FALSE))/10))</f>
        <v>582.5</v>
      </c>
      <c r="AI89" s="268">
        <f>IF(ISNUMBER('Sensitivity Tests'!$C$30),'Sensitivity Tests'!$C$30,VLOOKUP($A89,AffordabilityRatio!$A$2:$I$321,5,FALSE))</f>
        <v>6.46</v>
      </c>
      <c r="AJ89" s="268">
        <f>IF(ISNUMBER('Sensitivity Tests'!$C$30),'Sensitivity Tests'!$C$30,VLOOKUP($A89,AffordabilityRatio!$A$2:$I$321,6,FALSE))</f>
        <v>6.48</v>
      </c>
      <c r="AK89" s="268">
        <f>IF(ISNUMBER('Sensitivity Tests'!$C$30),'Sensitivity Tests'!$C$30,VLOOKUP($A89,AffordabilityRatio!$A$2:$I$321,7,FALSE))</f>
        <v>6.64</v>
      </c>
      <c r="AL89" s="268">
        <f>IF(ISNUMBER('Sensitivity Tests'!$C$30),'Sensitivity Tests'!$C$30,IF((VLOOKUP($A89,AffordabilityRatio!$A$2:$I$321,8,FALSE))="",AK89,VLOOKUP($A89,AffordabilityRatio!$A$2:$I$321,8,FALSE)))</f>
        <v>6.64</v>
      </c>
      <c r="AM89" s="268">
        <f>IF(ISNUMBER('Sensitivity Tests'!$C$30),'Sensitivity Tests'!$C$30,IF((VLOOKUP($A89,AffordabilityRatio!$A$2:$I$321,9,FALSE))="",AL89,VLOOKUP($A89,AffordabilityRatio!$A$2:$I$321,9,FALSE)))</f>
        <v>7.53</v>
      </c>
      <c r="AN89" s="268">
        <f>IF(ISNUMBER('Sensitivity Tests'!$C$30),'Sensitivity Tests'!$C$30,IF((VLOOKUP($A89,AffordabilityRatio!$A$2:$I$321,9,FALSE))="",AM89,VLOOKUP($A89,AffordabilityRatio!$A$2:$I$321,9,FALSE)))</f>
        <v>7.53</v>
      </c>
      <c r="AO89" s="268">
        <f>IF(ISNUMBER('Sensitivity Tests'!$C$30),'Sensitivity Tests'!$C$30,IF((VLOOKUP($A89,AffordabilityRatio!$A$2:$I$321,9,FALSE))="",AN89,VLOOKUP($A89,AffordabilityRatio!$A$2:$I$321,9,FALSE)))</f>
        <v>7.53</v>
      </c>
      <c r="AP89" s="268">
        <f>IF(ISNUMBER('Sensitivity Tests'!$C$30),'Sensitivity Tests'!$C$30,IF((VLOOKUP($A89,AffordabilityRatio!$A$2:$I$321,9,FALSE))="",AO89,VLOOKUP($A89,AffordabilityRatio!$A$2:$I$321,9,FALSE)))</f>
        <v>7.53</v>
      </c>
      <c r="AQ89" s="267">
        <f t="shared" si="98"/>
        <v>413</v>
      </c>
      <c r="AR89" s="267">
        <f t="shared" si="98"/>
        <v>415</v>
      </c>
      <c r="AS89" s="267">
        <f t="shared" si="98"/>
        <v>424</v>
      </c>
      <c r="AT89" s="267">
        <f t="shared" si="98"/>
        <v>724</v>
      </c>
      <c r="AU89" s="267">
        <f t="shared" si="98"/>
        <v>743</v>
      </c>
      <c r="AV89" s="267">
        <f t="shared" si="98"/>
        <v>730</v>
      </c>
      <c r="AW89" s="267">
        <f t="shared" si="98"/>
        <v>717</v>
      </c>
      <c r="AX89" s="267">
        <f t="shared" si="95"/>
        <v>711</v>
      </c>
      <c r="AY89" s="267">
        <f t="shared" si="71"/>
        <v>413</v>
      </c>
      <c r="AZ89" s="267">
        <f t="shared" si="72"/>
        <v>415</v>
      </c>
      <c r="BA89" s="267">
        <f t="shared" si="73"/>
        <v>424</v>
      </c>
      <c r="BB89" s="267">
        <f t="shared" si="74"/>
        <v>724</v>
      </c>
      <c r="BC89" s="267">
        <f t="shared" si="75"/>
        <v>743</v>
      </c>
      <c r="BD89" s="267">
        <f t="shared" si="76"/>
        <v>730</v>
      </c>
      <c r="BE89" s="267">
        <f t="shared" si="77"/>
        <v>717</v>
      </c>
      <c r="BF89" s="267">
        <f t="shared" si="78"/>
        <v>711</v>
      </c>
      <c r="BG89" s="269">
        <f>AY89*VLOOKUP($B89,'Major Cities &amp; Towns'!$A$28:$B$345,2,FALSE)</f>
        <v>413</v>
      </c>
      <c r="BH89" s="269">
        <f>AZ89*VLOOKUP($B89,'Major Cities &amp; Towns'!$A$28:$B$345,2,FALSE)</f>
        <v>415</v>
      </c>
      <c r="BI89" s="269">
        <f>BA89*VLOOKUP($B89,'Major Cities &amp; Towns'!$A$28:$B$345,2,FALSE)</f>
        <v>424</v>
      </c>
      <c r="BJ89" s="269">
        <f>BB89*VLOOKUP($B89,'Major Cities &amp; Towns'!$A$28:$B$345,2,FALSE)</f>
        <v>724</v>
      </c>
      <c r="BK89" s="269">
        <f>BC89*VLOOKUP($B89,'Major Cities &amp; Towns'!$A$28:$B$345,2,FALSE)</f>
        <v>743</v>
      </c>
      <c r="BL89" s="269">
        <f>BD89*VLOOKUP($B89,'Major Cities &amp; Towns'!$A$28:$B$345,2,FALSE)</f>
        <v>730</v>
      </c>
      <c r="BM89" s="269">
        <f>BE89*VLOOKUP($B89,'Major Cities &amp; Towns'!$A$28:$B$345,2,FALSE)</f>
        <v>717</v>
      </c>
      <c r="BN89" s="269">
        <f>BF89*VLOOKUP($B89,'Major Cities &amp; Towns'!$A$28:$B$345,2,FALSE)</f>
        <v>711</v>
      </c>
      <c r="BO89" s="270">
        <f t="shared" si="79"/>
        <v>413</v>
      </c>
      <c r="BP89" s="270">
        <f t="shared" si="50"/>
        <v>415</v>
      </c>
      <c r="BQ89" s="270">
        <f t="shared" si="50"/>
        <v>424</v>
      </c>
      <c r="BR89" s="270">
        <f t="shared" si="50"/>
        <v>558.5</v>
      </c>
      <c r="BS89" s="270">
        <f t="shared" si="49"/>
        <v>558.5</v>
      </c>
      <c r="BT89" s="270">
        <f t="shared" si="49"/>
        <v>679.25479452054799</v>
      </c>
      <c r="BU89" s="270">
        <f t="shared" si="49"/>
        <v>717</v>
      </c>
      <c r="BV89" s="270">
        <f t="shared" si="49"/>
        <v>711</v>
      </c>
      <c r="BW89" s="39">
        <f>VLOOKUP($A89,NetAdditions!$A$2:$H$336,6,FALSE)</f>
        <v>481</v>
      </c>
      <c r="BX89" s="39">
        <f>VLOOKUP($A89,NetAdditions!$A$2:$H$336,7,FALSE)</f>
        <v>532</v>
      </c>
      <c r="BY89" s="39">
        <f>IF((VLOOKUP($C89,NetAdditions!$A$2:$H$336,8,FALSE))="",(AVERAGE(VLOOKUP($C89,NetAdditions!$A$2:$H$336,5,FALSE),VLOOKUP($C89,NetAdditions!$A$2:$H$336,6,FALSE),VLOOKUP($C89,NetAdditions!$A$2:$H$336,7,FALSE))),VLOOKUP($C89,NetAdditions!$A$2:$H$336,8,FALSE))</f>
        <v>454</v>
      </c>
      <c r="BZ89" s="39">
        <f t="shared" si="54"/>
        <v>489</v>
      </c>
      <c r="CA89" s="39">
        <f t="shared" si="54"/>
        <v>491.66666666666669</v>
      </c>
      <c r="CB89" s="39">
        <f t="shared" si="54"/>
        <v>478.22222222222223</v>
      </c>
      <c r="CC89" s="39">
        <f t="shared" si="54"/>
        <v>486.2962962962963</v>
      </c>
      <c r="CD89" s="39">
        <f t="shared" si="54"/>
        <v>485.39506172839509</v>
      </c>
      <c r="CE89" s="276">
        <f t="shared" si="55"/>
        <v>1252</v>
      </c>
      <c r="CF89" s="276">
        <f t="shared" si="56"/>
        <v>1397.5</v>
      </c>
      <c r="CG89" s="276">
        <f t="shared" si="57"/>
        <v>1541</v>
      </c>
      <c r="CH89" s="276">
        <f t="shared" si="58"/>
        <v>1796.2547945205479</v>
      </c>
      <c r="CI89" s="276">
        <f t="shared" si="59"/>
        <v>1954.7547945205479</v>
      </c>
      <c r="CJ89" s="276">
        <f t="shared" si="60"/>
        <v>2107.2547945205479</v>
      </c>
      <c r="CK89" s="276">
        <f t="shared" si="80"/>
        <v>1078.1111111111111</v>
      </c>
      <c r="CL89" s="276">
        <f t="shared" si="81"/>
        <v>1203.4027777777778</v>
      </c>
      <c r="CM89" s="276">
        <f t="shared" si="82"/>
        <v>1412.5833333333333</v>
      </c>
      <c r="CN89" s="276">
        <f t="shared" si="83"/>
        <v>1796.2547945205479</v>
      </c>
      <c r="CO89" s="276">
        <f t="shared" si="83"/>
        <v>1954.7547945205479</v>
      </c>
      <c r="CP89" s="276">
        <f t="shared" si="83"/>
        <v>2107.2547945205479</v>
      </c>
      <c r="CQ89" s="39">
        <f t="shared" si="61"/>
        <v>1467</v>
      </c>
      <c r="CR89" s="39">
        <f t="shared" si="62"/>
        <v>1475</v>
      </c>
      <c r="CS89" s="277">
        <f t="shared" si="63"/>
        <v>1434.6666666666667</v>
      </c>
      <c r="CT89" s="39">
        <f t="shared" si="64"/>
        <v>1458.8888888888889</v>
      </c>
      <c r="CU89" s="39">
        <f t="shared" si="65"/>
        <v>1456.1851851851852</v>
      </c>
      <c r="CV89" s="39">
        <f t="shared" si="66"/>
        <v>1449.9135802469136</v>
      </c>
      <c r="CW89" s="297">
        <f t="shared" si="67"/>
        <v>1.3607131814902609</v>
      </c>
      <c r="CX89" s="279" t="str">
        <f t="shared" si="84"/>
        <v>Pass</v>
      </c>
      <c r="CY89" s="278">
        <f t="shared" si="68"/>
        <v>1.2256910381441515</v>
      </c>
      <c r="CZ89" s="279" t="str">
        <f t="shared" si="85"/>
        <v>Pass</v>
      </c>
      <c r="DA89" s="278">
        <f t="shared" si="69"/>
        <v>1.0156332959707393</v>
      </c>
      <c r="DB89" s="292" t="str">
        <f t="shared" si="86"/>
        <v>Pass</v>
      </c>
      <c r="DC89" s="299">
        <f t="shared" si="87"/>
        <v>0.81218371321218497</v>
      </c>
      <c r="DD89" s="293" t="str">
        <f t="shared" si="88"/>
        <v>Buffer and Action Plan</v>
      </c>
      <c r="DE89" s="299">
        <f t="shared" si="89"/>
        <v>0.74494519172792251</v>
      </c>
      <c r="DF89" s="293" t="str">
        <f t="shared" si="90"/>
        <v>Presumption</v>
      </c>
      <c r="DG89" s="299">
        <f t="shared" si="91"/>
        <v>0.68805802887106704</v>
      </c>
      <c r="DH89" s="293" t="str">
        <f t="shared" si="92"/>
        <v>Presumption</v>
      </c>
    </row>
    <row r="90" spans="1:112" ht="15" thickTop="1" thickBot="1">
      <c r="A90" s="38" t="s">
        <v>290</v>
      </c>
      <c r="B90" s="38" t="s">
        <v>291</v>
      </c>
      <c r="C90" s="38" t="s">
        <v>290</v>
      </c>
      <c r="D90" s="38" t="s">
        <v>119</v>
      </c>
      <c r="E90" s="38" t="str">
        <f>VLOOKUP(C90,PoliticalControl!A:K,11,FALSE)</f>
        <v>CON</v>
      </c>
      <c r="F90" s="38" t="str">
        <f>VLOOKUP(C90,UrbanRuralClassification!A:N,13,FALSE)</f>
        <v xml:space="preserve">Largely Rural (rural including hub towns 50-79%) </v>
      </c>
      <c r="G90" s="38" t="str">
        <f>VLOOKUP(C90,UrbanRuralClassification!A:N,14,FALSE)</f>
        <v>Predominantly Rural</v>
      </c>
      <c r="H90" s="258">
        <f>IF(ISBLANK((VLOOKUP($A90,'local-plan-data'!$C$1:$AD$566,27,FALSE)))=TRUE,"",VLOOKUP($A90,'local-plan-data'!$C$1:$AD$566,27,FALSE))</f>
        <v>42565</v>
      </c>
      <c r="I90" s="259">
        <f>VLOOKUP($A90,'local-plan-data'!$C$1:$AD$566,28,FALSE)</f>
        <v>420</v>
      </c>
      <c r="J90" s="260">
        <f t="shared" si="70"/>
        <v>420</v>
      </c>
      <c r="K90" s="259">
        <f t="shared" si="96"/>
        <v>420</v>
      </c>
      <c r="L90" s="259">
        <f t="shared" si="93"/>
        <v>420</v>
      </c>
      <c r="M90" s="259">
        <f t="shared" si="93"/>
        <v>420</v>
      </c>
      <c r="N90" s="259">
        <f t="shared" si="93"/>
        <v>420</v>
      </c>
      <c r="O90" s="259" t="str">
        <f t="shared" si="93"/>
        <v>-</v>
      </c>
      <c r="P90" s="259" t="str">
        <f t="shared" si="93"/>
        <v>-</v>
      </c>
      <c r="Q90" s="259" t="str">
        <f t="shared" si="93"/>
        <v>-</v>
      </c>
      <c r="R90" s="259" t="str">
        <f t="shared" si="93"/>
        <v>-</v>
      </c>
      <c r="S90" s="259">
        <f t="shared" si="97"/>
        <v>1200</v>
      </c>
      <c r="T90" s="259">
        <f t="shared" si="94"/>
        <v>835</v>
      </c>
      <c r="U90" s="259">
        <f t="shared" si="94"/>
        <v>469</v>
      </c>
      <c r="V90" s="259">
        <f t="shared" si="94"/>
        <v>104</v>
      </c>
      <c r="W90" s="259">
        <f t="shared" si="94"/>
        <v>-261</v>
      </c>
      <c r="X90" s="259">
        <f t="shared" si="94"/>
        <v>-626</v>
      </c>
      <c r="Y90" s="259">
        <f t="shared" si="94"/>
        <v>-992</v>
      </c>
      <c r="Z90" s="259">
        <f t="shared" si="94"/>
        <v>-1357</v>
      </c>
      <c r="AA90" s="267">
        <f>(VLOOKUP(A90,Hshldprojections2014!$A$2:$AW$319,40, FALSE)-VLOOKUP(A90,Hshldprojections2014!$A$2:$AW$319,30, FALSE))/10</f>
        <v>371</v>
      </c>
      <c r="AB90" s="267">
        <f>(VLOOKUP(A90,Hshldprojections2014!$A$2:$AW$319,41, FALSE)-VLOOKUP(A90,Hshldprojections2014!$A$2:$AW$319,31, FALSE))/10</f>
        <v>370</v>
      </c>
      <c r="AC90" s="267">
        <f>(VLOOKUP(A90,Hshldprojections2014!$A$2:$AW$319,42, FALSE)-VLOOKUP(A90,Hshldprojections2014!$A$2:$AW$319,32, FALSE))/10</f>
        <v>367.2</v>
      </c>
      <c r="AD90" s="267">
        <f>IF(IndividualLATest!$J$7=2014,(VLOOKUP($A90,Hshldprojections2014!$A$2:$AY$326,43,FALSE)-VLOOKUP($A90,Hshldprojections2014!$A$2:$AY$326,33,FALSE))/10,IF(IndividualLATest!$J$7=2016,(VLOOKUP($A90,Hshldprojections2016!$A$1:$AQ$322,33,FALSE)-VLOOKUP($A90,Hshldprojections2016!$A$1:$AQ$322,23,FALSE))/10,(VLOOKUP($A90,Hshldprojections2018!$A$1:$AQ$327,33,FALSE)-VLOOKUP($A90,Hshldprojections2018!$A$1:$AQ$327,23,FALSE))/10))</f>
        <v>510.3</v>
      </c>
      <c r="AE90" s="267">
        <f>IF(IndividualLATest!$J$7=2014,(VLOOKUP($A90,Hshldprojections2014!$A$2:$AY$326,44,FALSE)-VLOOKUP($A90,Hshldprojections2014!$A$2:$AY$326,34,FALSE))/10,IF(IndividualLATest!$J$7=2016,(VLOOKUP($A90,Hshldprojections2016!$A$1:$AQ$322,34,FALSE)-VLOOKUP($A90,Hshldprojections2016!$A$1:$AQ$322,24,FALSE))/10,(VLOOKUP($A90,Hshldprojections2018!$A$1:$AQ$327,34,FALSE)-VLOOKUP($A90,Hshldprojections2018!$A$1:$AQ$327,24,FALSE))/10))</f>
        <v>494.1</v>
      </c>
      <c r="AF90" s="267">
        <f>IF(IndividualLATest!$J$7=2014,(VLOOKUP($A90,Hshldprojections2014!$A$2:$AY$326,45,FALSE)-VLOOKUP($A90,Hshldprojections2014!$A$2:$AY$326,35,FALSE))/10,IF(IndividualLATest!$J$7=2016,(VLOOKUP($A90,Hshldprojections2016!$A$1:$AQ$322,35,FALSE)-VLOOKUP($A90,Hshldprojections2016!$A$1:$AQ$322,25,FALSE))/10,(VLOOKUP($A90,Hshldprojections2018!$A$1:$AQ$327,35,FALSE)-VLOOKUP($A90,Hshldprojections2018!$A$1:$AQ$327,25,FALSE))/10))</f>
        <v>477.7</v>
      </c>
      <c r="AG90" s="267">
        <f>IF(IndividualLATest!$J$7=2014,(VLOOKUP($A90,Hshldprojections2014!$A$2:$AY$326,46,FALSE)-VLOOKUP($A90,Hshldprojections2014!$A$2:$AY$326,36,FALSE))/10,IF(IndividualLATest!$J$7=2016,(VLOOKUP($A90,Hshldprojections2016!$A$1:$AQ$322,36,FALSE)-VLOOKUP($A90,Hshldprojections2016!$A$1:$AQ$322,26,FALSE))/10,(VLOOKUP($A90,Hshldprojections2018!$A$1:$AQ$327,36,FALSE)-VLOOKUP($A90,Hshldprojections2018!$A$1:$AQ$327,26,FALSE))/10))</f>
        <v>463</v>
      </c>
      <c r="AH90" s="267">
        <f>IF(IndividualLATest!$J$7=2014,(VLOOKUP($A90,Hshldprojections2014!$A$2:$AY$326,47,FALSE)-VLOOKUP($A90,Hshldprojections2014!$A$2:$AY$326,37,FALSE))/10,IF(IndividualLATest!$J$7=2016,(VLOOKUP($A90,Hshldprojections2016!$A$1:$AQ$322,37,FALSE)-VLOOKUP($A90,Hshldprojections2016!$A$1:$AQ$322,27,FALSE))/10,(VLOOKUP($A90,Hshldprojections2018!$A$1:$AQ$327,37,FALSE)-VLOOKUP($A90,Hshldprojections2018!$A$1:$AQ$327,27,FALSE))/10))</f>
        <v>451.5</v>
      </c>
      <c r="AI90" s="268">
        <f>IF(ISNUMBER('Sensitivity Tests'!$C$30),'Sensitivity Tests'!$C$30,VLOOKUP($A90,AffordabilityRatio!$A$2:$I$321,5,FALSE))</f>
        <v>8.2899999999999991</v>
      </c>
      <c r="AJ90" s="268">
        <f>IF(ISNUMBER('Sensitivity Tests'!$C$30),'Sensitivity Tests'!$C$30,VLOOKUP($A90,AffordabilityRatio!$A$2:$I$321,6,FALSE))</f>
        <v>8.59</v>
      </c>
      <c r="AK90" s="268">
        <f>IF(ISNUMBER('Sensitivity Tests'!$C$30),'Sensitivity Tests'!$C$30,VLOOKUP($A90,AffordabilityRatio!$A$2:$I$321,7,FALSE))</f>
        <v>8</v>
      </c>
      <c r="AL90" s="268">
        <f>IF(ISNUMBER('Sensitivity Tests'!$C$30),'Sensitivity Tests'!$C$30,IF((VLOOKUP($A90,AffordabilityRatio!$A$2:$I$321,8,FALSE))="",AK90,VLOOKUP($A90,AffordabilityRatio!$A$2:$I$321,8,FALSE)))</f>
        <v>7.66</v>
      </c>
      <c r="AM90" s="268">
        <f>IF(ISNUMBER('Sensitivity Tests'!$C$30),'Sensitivity Tests'!$C$30,IF((VLOOKUP($A90,AffordabilityRatio!$A$2:$I$321,9,FALSE))="",AL90,VLOOKUP($A90,AffordabilityRatio!$A$2:$I$321,9,FALSE)))</f>
        <v>7.66</v>
      </c>
      <c r="AN90" s="268">
        <f>IF(ISNUMBER('Sensitivity Tests'!$C$30),'Sensitivity Tests'!$C$30,IF((VLOOKUP($A90,AffordabilityRatio!$A$2:$I$321,9,FALSE))="",AM90,VLOOKUP($A90,AffordabilityRatio!$A$2:$I$321,9,FALSE)))</f>
        <v>7.66</v>
      </c>
      <c r="AO90" s="268">
        <f>IF(ISNUMBER('Sensitivity Tests'!$C$30),'Sensitivity Tests'!$C$30,IF((VLOOKUP($A90,AffordabilityRatio!$A$2:$I$321,9,FALSE))="",AN90,VLOOKUP($A90,AffordabilityRatio!$A$2:$I$321,9,FALSE)))</f>
        <v>7.66</v>
      </c>
      <c r="AP90" s="268">
        <f>IF(ISNUMBER('Sensitivity Tests'!$C$30),'Sensitivity Tests'!$C$30,IF((VLOOKUP($A90,AffordabilityRatio!$A$2:$I$321,9,FALSE))="",AO90,VLOOKUP($A90,AffordabilityRatio!$A$2:$I$321,9,FALSE)))</f>
        <v>7.66</v>
      </c>
      <c r="AQ90" s="267">
        <f t="shared" si="98"/>
        <v>470</v>
      </c>
      <c r="AR90" s="267">
        <f t="shared" si="98"/>
        <v>476</v>
      </c>
      <c r="AS90" s="267">
        <f t="shared" si="98"/>
        <v>459</v>
      </c>
      <c r="AT90" s="267">
        <f t="shared" si="98"/>
        <v>627</v>
      </c>
      <c r="AU90" s="267">
        <f t="shared" si="98"/>
        <v>607</v>
      </c>
      <c r="AV90" s="267">
        <f t="shared" si="98"/>
        <v>587</v>
      </c>
      <c r="AW90" s="267">
        <f t="shared" si="98"/>
        <v>569</v>
      </c>
      <c r="AX90" s="267">
        <f t="shared" si="95"/>
        <v>555</v>
      </c>
      <c r="AY90" s="267">
        <f t="shared" si="71"/>
        <v>470</v>
      </c>
      <c r="AZ90" s="267">
        <f t="shared" si="72"/>
        <v>476</v>
      </c>
      <c r="BA90" s="267">
        <f t="shared" si="73"/>
        <v>459</v>
      </c>
      <c r="BB90" s="267">
        <f t="shared" si="74"/>
        <v>588</v>
      </c>
      <c r="BC90" s="267">
        <f t="shared" si="75"/>
        <v>607</v>
      </c>
      <c r="BD90" s="267">
        <f t="shared" si="76"/>
        <v>587</v>
      </c>
      <c r="BE90" s="267">
        <f t="shared" si="77"/>
        <v>569</v>
      </c>
      <c r="BF90" s="267">
        <f t="shared" si="78"/>
        <v>555</v>
      </c>
      <c r="BG90" s="269">
        <f>AY90*VLOOKUP($B90,'Major Cities &amp; Towns'!$A$28:$B$345,2,FALSE)</f>
        <v>470</v>
      </c>
      <c r="BH90" s="269">
        <f>AZ90*VLOOKUP($B90,'Major Cities &amp; Towns'!$A$28:$B$345,2,FALSE)</f>
        <v>476</v>
      </c>
      <c r="BI90" s="269">
        <f>BA90*VLOOKUP($B90,'Major Cities &amp; Towns'!$A$28:$B$345,2,FALSE)</f>
        <v>459</v>
      </c>
      <c r="BJ90" s="269">
        <f>BB90*VLOOKUP($B90,'Major Cities &amp; Towns'!$A$28:$B$345,2,FALSE)</f>
        <v>588</v>
      </c>
      <c r="BK90" s="269">
        <f>BC90*VLOOKUP($B90,'Major Cities &amp; Towns'!$A$28:$B$345,2,FALSE)</f>
        <v>607</v>
      </c>
      <c r="BL90" s="269">
        <f>BD90*VLOOKUP($B90,'Major Cities &amp; Towns'!$A$28:$B$345,2,FALSE)</f>
        <v>587</v>
      </c>
      <c r="BM90" s="269">
        <f>BE90*VLOOKUP($B90,'Major Cities &amp; Towns'!$A$28:$B$345,2,FALSE)</f>
        <v>569</v>
      </c>
      <c r="BN90" s="269">
        <f>BF90*VLOOKUP($B90,'Major Cities &amp; Towns'!$A$28:$B$345,2,FALSE)</f>
        <v>555</v>
      </c>
      <c r="BO90" s="270">
        <f t="shared" si="79"/>
        <v>420</v>
      </c>
      <c r="BP90" s="270">
        <f t="shared" si="50"/>
        <v>420</v>
      </c>
      <c r="BQ90" s="270">
        <f t="shared" si="50"/>
        <v>420</v>
      </c>
      <c r="BR90" s="270">
        <f t="shared" si="50"/>
        <v>568.01917808219173</v>
      </c>
      <c r="BS90" s="270">
        <f t="shared" si="49"/>
        <v>607</v>
      </c>
      <c r="BT90" s="270">
        <f t="shared" si="49"/>
        <v>587</v>
      </c>
      <c r="BU90" s="270">
        <f t="shared" si="49"/>
        <v>569</v>
      </c>
      <c r="BV90" s="270">
        <f t="shared" si="49"/>
        <v>555</v>
      </c>
      <c r="BW90" s="39">
        <f>VLOOKUP($A90,NetAdditions!$A$2:$H$336,6,FALSE)</f>
        <v>473</v>
      </c>
      <c r="BX90" s="39">
        <f>VLOOKUP($A90,NetAdditions!$A$2:$H$336,7,FALSE)</f>
        <v>223</v>
      </c>
      <c r="BY90" s="39">
        <f>IF((VLOOKUP($C90,NetAdditions!$A$2:$H$336,8,FALSE))="",(AVERAGE(VLOOKUP($C90,NetAdditions!$A$2:$H$336,5,FALSE),VLOOKUP($C90,NetAdditions!$A$2:$H$336,6,FALSE),VLOOKUP($C90,NetAdditions!$A$2:$H$336,7,FALSE))),VLOOKUP($C90,NetAdditions!$A$2:$H$336,8,FALSE))</f>
        <v>382.66666666666669</v>
      </c>
      <c r="BZ90" s="39">
        <f t="shared" si="54"/>
        <v>359.5555555555556</v>
      </c>
      <c r="CA90" s="39">
        <f t="shared" si="54"/>
        <v>321.74074074074082</v>
      </c>
      <c r="CB90" s="39">
        <f t="shared" si="54"/>
        <v>354.65432098765433</v>
      </c>
      <c r="CC90" s="39">
        <f t="shared" si="54"/>
        <v>345.31687242798358</v>
      </c>
      <c r="CD90" s="39">
        <f t="shared" si="54"/>
        <v>340.57064471879289</v>
      </c>
      <c r="CE90" s="276">
        <f t="shared" si="55"/>
        <v>1260</v>
      </c>
      <c r="CF90" s="276">
        <f t="shared" si="56"/>
        <v>1408.0191780821917</v>
      </c>
      <c r="CG90" s="276">
        <f t="shared" si="57"/>
        <v>1595.0191780821917</v>
      </c>
      <c r="CH90" s="276">
        <f t="shared" si="58"/>
        <v>1762.0191780821917</v>
      </c>
      <c r="CI90" s="276">
        <f t="shared" si="59"/>
        <v>1763</v>
      </c>
      <c r="CJ90" s="276">
        <f t="shared" si="60"/>
        <v>1711</v>
      </c>
      <c r="CK90" s="276">
        <f t="shared" si="80"/>
        <v>1085</v>
      </c>
      <c r="CL90" s="276">
        <f t="shared" si="81"/>
        <v>1212.4609589041097</v>
      </c>
      <c r="CM90" s="276">
        <f t="shared" si="82"/>
        <v>1462.100913242009</v>
      </c>
      <c r="CN90" s="276">
        <f t="shared" si="83"/>
        <v>1762.0191780821917</v>
      </c>
      <c r="CO90" s="276">
        <f t="shared" si="83"/>
        <v>1763</v>
      </c>
      <c r="CP90" s="276">
        <f t="shared" si="83"/>
        <v>1711</v>
      </c>
      <c r="CQ90" s="39">
        <f t="shared" si="61"/>
        <v>1078.6666666666667</v>
      </c>
      <c r="CR90" s="39">
        <f t="shared" si="62"/>
        <v>965.2222222222224</v>
      </c>
      <c r="CS90" s="277">
        <f t="shared" si="63"/>
        <v>1063.962962962963</v>
      </c>
      <c r="CT90" s="39">
        <f t="shared" si="64"/>
        <v>1035.9506172839508</v>
      </c>
      <c r="CU90" s="39">
        <f t="shared" si="65"/>
        <v>1021.7119341563787</v>
      </c>
      <c r="CV90" s="39">
        <f t="shared" si="66"/>
        <v>1040.5418381344307</v>
      </c>
      <c r="CW90" s="297">
        <f t="shared" si="67"/>
        <v>0.99416282642089104</v>
      </c>
      <c r="CX90" s="279" t="str">
        <f t="shared" si="84"/>
        <v>Pass</v>
      </c>
      <c r="CY90" s="278">
        <f t="shared" si="68"/>
        <v>0.79608519774083653</v>
      </c>
      <c r="CZ90" s="279" t="str">
        <f t="shared" si="85"/>
        <v>Buffer and Action Plan</v>
      </c>
      <c r="DA90" s="278">
        <f t="shared" si="69"/>
        <v>0.72769461623806153</v>
      </c>
      <c r="DB90" s="292" t="str">
        <f t="shared" si="86"/>
        <v>Presumption</v>
      </c>
      <c r="DC90" s="299">
        <f t="shared" si="87"/>
        <v>0.58793379219146469</v>
      </c>
      <c r="DD90" s="293" t="str">
        <f t="shared" si="88"/>
        <v>Presumption</v>
      </c>
      <c r="DE90" s="299">
        <f t="shared" si="89"/>
        <v>0.57953030865364641</v>
      </c>
      <c r="DF90" s="293" t="str">
        <f t="shared" si="90"/>
        <v>Presumption</v>
      </c>
      <c r="DG90" s="299">
        <f t="shared" si="91"/>
        <v>0.60814835659522537</v>
      </c>
      <c r="DH90" s="293" t="str">
        <f t="shared" si="92"/>
        <v>Presumption</v>
      </c>
    </row>
    <row r="91" spans="1:112" ht="15" thickTop="1" thickBot="1">
      <c r="A91" s="38" t="s">
        <v>292</v>
      </c>
      <c r="B91" s="38" t="s">
        <v>293</v>
      </c>
      <c r="C91" s="38" t="s">
        <v>292</v>
      </c>
      <c r="D91" s="38" t="s">
        <v>136</v>
      </c>
      <c r="E91" s="38" t="str">
        <f>VLOOKUP(C91,PoliticalControl!A:K,11,FALSE)</f>
        <v>CON</v>
      </c>
      <c r="F91" s="38" t="str">
        <f>VLOOKUP(C91,UrbanRuralClassification!A:N,13,FALSE)</f>
        <v xml:space="preserve">Largely Rural (rural including hub towns 50-79%) </v>
      </c>
      <c r="G91" s="38" t="str">
        <f>VLOOKUP(C91,UrbanRuralClassification!A:N,14,FALSE)</f>
        <v>Predominantly Rural</v>
      </c>
      <c r="H91" s="258">
        <f>IF(ISBLANK((VLOOKUP($A91,'local-plan-data'!$C$1:$AD$566,27,FALSE)))=TRUE,"",VLOOKUP($A91,'local-plan-data'!$C$1:$AD$566,27,FALSE))</f>
        <v>42466</v>
      </c>
      <c r="I91" s="259">
        <f>VLOOKUP($A91,'local-plan-data'!$C$1:$AD$566,28,FALSE)</f>
        <v>1400</v>
      </c>
      <c r="J91" s="260">
        <f t="shared" si="70"/>
        <v>1400</v>
      </c>
      <c r="K91" s="259">
        <f t="shared" si="96"/>
        <v>1400</v>
      </c>
      <c r="L91" s="259">
        <f t="shared" si="93"/>
        <v>1400</v>
      </c>
      <c r="M91" s="259">
        <f t="shared" si="93"/>
        <v>1400</v>
      </c>
      <c r="N91" s="259">
        <f t="shared" si="93"/>
        <v>1400</v>
      </c>
      <c r="O91" s="259" t="str">
        <f t="shared" si="93"/>
        <v>-</v>
      </c>
      <c r="P91" s="259" t="str">
        <f t="shared" si="93"/>
        <v>-</v>
      </c>
      <c r="Q91" s="259" t="str">
        <f t="shared" si="93"/>
        <v>-</v>
      </c>
      <c r="R91" s="259" t="str">
        <f t="shared" si="93"/>
        <v>-</v>
      </c>
      <c r="S91" s="259">
        <f t="shared" si="97"/>
        <v>1101</v>
      </c>
      <c r="T91" s="259">
        <f t="shared" si="94"/>
        <v>736</v>
      </c>
      <c r="U91" s="259">
        <f t="shared" si="94"/>
        <v>370</v>
      </c>
      <c r="V91" s="259">
        <f t="shared" si="94"/>
        <v>5</v>
      </c>
      <c r="W91" s="259">
        <f t="shared" si="94"/>
        <v>-360</v>
      </c>
      <c r="X91" s="259">
        <f t="shared" si="94"/>
        <v>-725</v>
      </c>
      <c r="Y91" s="259">
        <f t="shared" si="94"/>
        <v>-1091</v>
      </c>
      <c r="Z91" s="259">
        <f t="shared" si="94"/>
        <v>-1456</v>
      </c>
      <c r="AA91" s="267">
        <f>(VLOOKUP(A91,Hshldprojections2014!$A$2:$AW$319,40, FALSE)-VLOOKUP(A91,Hshldprojections2014!$A$2:$AW$319,30, FALSE))/10</f>
        <v>823</v>
      </c>
      <c r="AB91" s="267">
        <f>(VLOOKUP(A91,Hshldprojections2014!$A$2:$AW$319,41, FALSE)-VLOOKUP(A91,Hshldprojections2014!$A$2:$AW$319,31, FALSE))/10</f>
        <v>803</v>
      </c>
      <c r="AC91" s="267">
        <f>(VLOOKUP(A91,Hshldprojections2014!$A$2:$AW$319,42, FALSE)-VLOOKUP(A91,Hshldprojections2014!$A$2:$AW$319,32, FALSE))/10</f>
        <v>785.7</v>
      </c>
      <c r="AD91" s="267">
        <f>IF(IndividualLATest!$J$7=2014,(VLOOKUP($A91,Hshldprojections2014!$A$2:$AY$326,43,FALSE)-VLOOKUP($A91,Hshldprojections2014!$A$2:$AY$326,33,FALSE))/10,IF(IndividualLATest!$J$7=2016,(VLOOKUP($A91,Hshldprojections2016!$A$1:$AQ$322,33,FALSE)-VLOOKUP($A91,Hshldprojections2016!$A$1:$AQ$322,23,FALSE))/10,(VLOOKUP($A91,Hshldprojections2018!$A$1:$AQ$327,33,FALSE)-VLOOKUP($A91,Hshldprojections2018!$A$1:$AQ$327,23,FALSE))/10))</f>
        <v>886.8</v>
      </c>
      <c r="AE91" s="267">
        <f>IF(IndividualLATest!$J$7=2014,(VLOOKUP($A91,Hshldprojections2014!$A$2:$AY$326,44,FALSE)-VLOOKUP($A91,Hshldprojections2014!$A$2:$AY$326,34,FALSE))/10,IF(IndividualLATest!$J$7=2016,(VLOOKUP($A91,Hshldprojections2016!$A$1:$AQ$322,34,FALSE)-VLOOKUP($A91,Hshldprojections2016!$A$1:$AQ$322,24,FALSE))/10,(VLOOKUP($A91,Hshldprojections2018!$A$1:$AQ$327,34,FALSE)-VLOOKUP($A91,Hshldprojections2018!$A$1:$AQ$327,24,FALSE))/10))</f>
        <v>851.2</v>
      </c>
      <c r="AF91" s="267">
        <f>IF(IndividualLATest!$J$7=2014,(VLOOKUP($A91,Hshldprojections2014!$A$2:$AY$326,45,FALSE)-VLOOKUP($A91,Hshldprojections2014!$A$2:$AY$326,35,FALSE))/10,IF(IndividualLATest!$J$7=2016,(VLOOKUP($A91,Hshldprojections2016!$A$1:$AQ$322,35,FALSE)-VLOOKUP($A91,Hshldprojections2016!$A$1:$AQ$322,25,FALSE))/10,(VLOOKUP($A91,Hshldprojections2018!$A$1:$AQ$327,35,FALSE)-VLOOKUP($A91,Hshldprojections2018!$A$1:$AQ$327,25,FALSE))/10))</f>
        <v>820.7</v>
      </c>
      <c r="AG91" s="267">
        <f>IF(IndividualLATest!$J$7=2014,(VLOOKUP($A91,Hshldprojections2014!$A$2:$AY$326,46,FALSE)-VLOOKUP($A91,Hshldprojections2014!$A$2:$AY$326,36,FALSE))/10,IF(IndividualLATest!$J$7=2016,(VLOOKUP($A91,Hshldprojections2016!$A$1:$AQ$322,36,FALSE)-VLOOKUP($A91,Hshldprojections2016!$A$1:$AQ$322,26,FALSE))/10,(VLOOKUP($A91,Hshldprojections2018!$A$1:$AQ$327,36,FALSE)-VLOOKUP($A91,Hshldprojections2018!$A$1:$AQ$327,26,FALSE))/10))</f>
        <v>790.3</v>
      </c>
      <c r="AH91" s="267">
        <f>IF(IndividualLATest!$J$7=2014,(VLOOKUP($A91,Hshldprojections2014!$A$2:$AY$326,47,FALSE)-VLOOKUP($A91,Hshldprojections2014!$A$2:$AY$326,37,FALSE))/10,IF(IndividualLATest!$J$7=2016,(VLOOKUP($A91,Hshldprojections2016!$A$1:$AQ$322,37,FALSE)-VLOOKUP($A91,Hshldprojections2016!$A$1:$AQ$322,27,FALSE))/10,(VLOOKUP($A91,Hshldprojections2018!$A$1:$AQ$327,37,FALSE)-VLOOKUP($A91,Hshldprojections2018!$A$1:$AQ$327,27,FALSE))/10))</f>
        <v>765.7</v>
      </c>
      <c r="AI91" s="268">
        <f>IF(ISNUMBER('Sensitivity Tests'!$C$30),'Sensitivity Tests'!$C$30,VLOOKUP($A91,AffordabilityRatio!$A$2:$I$321,5,FALSE))</f>
        <v>6.61</v>
      </c>
      <c r="AJ91" s="268">
        <f>IF(ISNUMBER('Sensitivity Tests'!$C$30),'Sensitivity Tests'!$C$30,VLOOKUP($A91,AffordabilityRatio!$A$2:$I$321,6,FALSE))</f>
        <v>6.65</v>
      </c>
      <c r="AK91" s="268">
        <f>IF(ISNUMBER('Sensitivity Tests'!$C$30),'Sensitivity Tests'!$C$30,VLOOKUP($A91,AffordabilityRatio!$A$2:$I$321,7,FALSE))</f>
        <v>6.51</v>
      </c>
      <c r="AL91" s="268">
        <f>IF(ISNUMBER('Sensitivity Tests'!$C$30),'Sensitivity Tests'!$C$30,IF((VLOOKUP($A91,AffordabilityRatio!$A$2:$I$321,8,FALSE))="",AK91,VLOOKUP($A91,AffordabilityRatio!$A$2:$I$321,8,FALSE)))</f>
        <v>6.46</v>
      </c>
      <c r="AM91" s="268">
        <f>IF(ISNUMBER('Sensitivity Tests'!$C$30),'Sensitivity Tests'!$C$30,IF((VLOOKUP($A91,AffordabilityRatio!$A$2:$I$321,9,FALSE))="",AL91,VLOOKUP($A91,AffordabilityRatio!$A$2:$I$321,9,FALSE)))</f>
        <v>7.24</v>
      </c>
      <c r="AN91" s="268">
        <f>IF(ISNUMBER('Sensitivity Tests'!$C$30),'Sensitivity Tests'!$C$30,IF((VLOOKUP($A91,AffordabilityRatio!$A$2:$I$321,9,FALSE))="",AM91,VLOOKUP($A91,AffordabilityRatio!$A$2:$I$321,9,FALSE)))</f>
        <v>7.24</v>
      </c>
      <c r="AO91" s="268">
        <f>IF(ISNUMBER('Sensitivity Tests'!$C$30),'Sensitivity Tests'!$C$30,IF((VLOOKUP($A91,AffordabilityRatio!$A$2:$I$321,9,FALSE))="",AN91,VLOOKUP($A91,AffordabilityRatio!$A$2:$I$321,9,FALSE)))</f>
        <v>7.24</v>
      </c>
      <c r="AP91" s="268">
        <f>IF(ISNUMBER('Sensitivity Tests'!$C$30),'Sensitivity Tests'!$C$30,IF((VLOOKUP($A91,AffordabilityRatio!$A$2:$I$321,9,FALSE))="",AO91,VLOOKUP($A91,AffordabilityRatio!$A$2:$I$321,9,FALSE)))</f>
        <v>7.24</v>
      </c>
      <c r="AQ91" s="267">
        <f t="shared" si="98"/>
        <v>957</v>
      </c>
      <c r="AR91" s="267">
        <f t="shared" si="98"/>
        <v>936</v>
      </c>
      <c r="AS91" s="267">
        <f t="shared" si="98"/>
        <v>909</v>
      </c>
      <c r="AT91" s="267">
        <f t="shared" si="98"/>
        <v>1023</v>
      </c>
      <c r="AU91" s="267">
        <f t="shared" si="98"/>
        <v>1024</v>
      </c>
      <c r="AV91" s="267">
        <f t="shared" si="98"/>
        <v>987</v>
      </c>
      <c r="AW91" s="267">
        <f t="shared" si="98"/>
        <v>950</v>
      </c>
      <c r="AX91" s="267">
        <f t="shared" si="95"/>
        <v>921</v>
      </c>
      <c r="AY91" s="267">
        <f t="shared" si="71"/>
        <v>957</v>
      </c>
      <c r="AZ91" s="267">
        <f t="shared" si="72"/>
        <v>936</v>
      </c>
      <c r="BA91" s="267">
        <f t="shared" si="73"/>
        <v>909</v>
      </c>
      <c r="BB91" s="267">
        <f t="shared" si="74"/>
        <v>1023</v>
      </c>
      <c r="BC91" s="267">
        <f t="shared" si="75"/>
        <v>1024</v>
      </c>
      <c r="BD91" s="267">
        <f t="shared" si="76"/>
        <v>987</v>
      </c>
      <c r="BE91" s="267">
        <f t="shared" si="77"/>
        <v>950</v>
      </c>
      <c r="BF91" s="267">
        <f t="shared" si="78"/>
        <v>921</v>
      </c>
      <c r="BG91" s="269">
        <f>AY91*VLOOKUP($B91,'Major Cities &amp; Towns'!$A$28:$B$345,2,FALSE)</f>
        <v>957</v>
      </c>
      <c r="BH91" s="269">
        <f>AZ91*VLOOKUP($B91,'Major Cities &amp; Towns'!$A$28:$B$345,2,FALSE)</f>
        <v>936</v>
      </c>
      <c r="BI91" s="269">
        <f>BA91*VLOOKUP($B91,'Major Cities &amp; Towns'!$A$28:$B$345,2,FALSE)</f>
        <v>909</v>
      </c>
      <c r="BJ91" s="269">
        <f>BB91*VLOOKUP($B91,'Major Cities &amp; Towns'!$A$28:$B$345,2,FALSE)</f>
        <v>1023</v>
      </c>
      <c r="BK91" s="269">
        <f>BC91*VLOOKUP($B91,'Major Cities &amp; Towns'!$A$28:$B$345,2,FALSE)</f>
        <v>1024</v>
      </c>
      <c r="BL91" s="269">
        <f>BD91*VLOOKUP($B91,'Major Cities &amp; Towns'!$A$28:$B$345,2,FALSE)</f>
        <v>987</v>
      </c>
      <c r="BM91" s="269">
        <f>BE91*VLOOKUP($B91,'Major Cities &amp; Towns'!$A$28:$B$345,2,FALSE)</f>
        <v>950</v>
      </c>
      <c r="BN91" s="269">
        <f>BF91*VLOOKUP($B91,'Major Cities &amp; Towns'!$A$28:$B$345,2,FALSE)</f>
        <v>921</v>
      </c>
      <c r="BO91" s="270">
        <f t="shared" si="79"/>
        <v>957</v>
      </c>
      <c r="BP91" s="270">
        <f t="shared" si="50"/>
        <v>936</v>
      </c>
      <c r="BQ91" s="270">
        <f t="shared" si="50"/>
        <v>909</v>
      </c>
      <c r="BR91" s="270">
        <f t="shared" si="50"/>
        <v>1023</v>
      </c>
      <c r="BS91" s="270">
        <f t="shared" si="49"/>
        <v>1024</v>
      </c>
      <c r="BT91" s="270">
        <f t="shared" si="49"/>
        <v>987</v>
      </c>
      <c r="BU91" s="270">
        <f t="shared" si="49"/>
        <v>950</v>
      </c>
      <c r="BV91" s="270">
        <f t="shared" si="49"/>
        <v>921</v>
      </c>
      <c r="BW91" s="39">
        <f>VLOOKUP($A91,NetAdditions!$A$2:$H$336,6,FALSE)</f>
        <v>1432</v>
      </c>
      <c r="BX91" s="39">
        <f>VLOOKUP($A91,NetAdditions!$A$2:$H$336,7,FALSE)</f>
        <v>1241</v>
      </c>
      <c r="BY91" s="39">
        <f>IF((VLOOKUP($C91,NetAdditions!$A$2:$H$336,8,FALSE))="",(AVERAGE(VLOOKUP($C91,NetAdditions!$A$2:$H$336,5,FALSE),VLOOKUP($C91,NetAdditions!$A$2:$H$336,6,FALSE),VLOOKUP($C91,NetAdditions!$A$2:$H$336,7,FALSE))),VLOOKUP($C91,NetAdditions!$A$2:$H$336,8,FALSE))</f>
        <v>1447</v>
      </c>
      <c r="BZ91" s="39">
        <f t="shared" si="54"/>
        <v>1373.3333333333333</v>
      </c>
      <c r="CA91" s="39">
        <f t="shared" si="54"/>
        <v>1353.7777777777776</v>
      </c>
      <c r="CB91" s="39">
        <f t="shared" si="54"/>
        <v>1391.3703703703702</v>
      </c>
      <c r="CC91" s="39">
        <f t="shared" si="54"/>
        <v>1372.827160493827</v>
      </c>
      <c r="CD91" s="39">
        <f t="shared" si="54"/>
        <v>1372.6584362139918</v>
      </c>
      <c r="CE91" s="276">
        <f t="shared" si="55"/>
        <v>2802</v>
      </c>
      <c r="CF91" s="276">
        <f t="shared" si="56"/>
        <v>2868</v>
      </c>
      <c r="CG91" s="276">
        <f t="shared" si="57"/>
        <v>2956</v>
      </c>
      <c r="CH91" s="276">
        <f t="shared" si="58"/>
        <v>3034</v>
      </c>
      <c r="CI91" s="276">
        <f t="shared" si="59"/>
        <v>2961</v>
      </c>
      <c r="CJ91" s="276">
        <f t="shared" si="60"/>
        <v>2858</v>
      </c>
      <c r="CK91" s="276">
        <f t="shared" si="80"/>
        <v>2412.8333333333335</v>
      </c>
      <c r="CL91" s="276">
        <f t="shared" si="81"/>
        <v>2469.666666666667</v>
      </c>
      <c r="CM91" s="276">
        <f t="shared" si="82"/>
        <v>2709.6666666666665</v>
      </c>
      <c r="CN91" s="276">
        <f t="shared" si="83"/>
        <v>3034</v>
      </c>
      <c r="CO91" s="276">
        <f t="shared" si="83"/>
        <v>2961</v>
      </c>
      <c r="CP91" s="276">
        <f t="shared" si="83"/>
        <v>2858</v>
      </c>
      <c r="CQ91" s="39">
        <f t="shared" si="61"/>
        <v>4120</v>
      </c>
      <c r="CR91" s="39">
        <f t="shared" si="62"/>
        <v>4061.333333333333</v>
      </c>
      <c r="CS91" s="277">
        <f t="shared" si="63"/>
        <v>4174.1111111111104</v>
      </c>
      <c r="CT91" s="39">
        <f t="shared" si="64"/>
        <v>4118.4814814814808</v>
      </c>
      <c r="CU91" s="39">
        <f t="shared" si="65"/>
        <v>4117.9753086419751</v>
      </c>
      <c r="CV91" s="39">
        <f t="shared" si="66"/>
        <v>4136.8559670781888</v>
      </c>
      <c r="CW91" s="297">
        <f t="shared" si="67"/>
        <v>1.7075360917317122</v>
      </c>
      <c r="CX91" s="279" t="str">
        <f t="shared" si="84"/>
        <v>Pass</v>
      </c>
      <c r="CY91" s="278">
        <f t="shared" si="68"/>
        <v>1.6444864354163851</v>
      </c>
      <c r="CZ91" s="279" t="str">
        <f t="shared" si="85"/>
        <v>Pass</v>
      </c>
      <c r="DA91" s="278">
        <f t="shared" si="69"/>
        <v>1.5404518801000531</v>
      </c>
      <c r="DB91" s="292" t="str">
        <f t="shared" si="86"/>
        <v>Pass</v>
      </c>
      <c r="DC91" s="299">
        <f t="shared" si="87"/>
        <v>1.3574428086623207</v>
      </c>
      <c r="DD91" s="293" t="str">
        <f t="shared" si="88"/>
        <v>Pass</v>
      </c>
      <c r="DE91" s="299">
        <f t="shared" si="89"/>
        <v>1.390738030611947</v>
      </c>
      <c r="DF91" s="293" t="str">
        <f t="shared" si="90"/>
        <v>Pass</v>
      </c>
      <c r="DG91" s="299">
        <f t="shared" si="91"/>
        <v>1.4474653488727043</v>
      </c>
      <c r="DH91" s="293" t="str">
        <f t="shared" si="92"/>
        <v>Pass</v>
      </c>
    </row>
    <row r="92" spans="1:112" ht="15" thickTop="1" thickBot="1">
      <c r="A92" s="38" t="s">
        <v>294</v>
      </c>
      <c r="B92" s="38" t="s">
        <v>295</v>
      </c>
      <c r="C92" s="38" t="s">
        <v>294</v>
      </c>
      <c r="D92" s="38" t="s">
        <v>154</v>
      </c>
      <c r="E92" s="38" t="str">
        <f>VLOOKUP(C92,PoliticalControl!A:K,11,FALSE)</f>
        <v>CON</v>
      </c>
      <c r="F92" s="38" t="str">
        <f>VLOOKUP(C92,UrbanRuralClassification!A:N,13,FALSE)</f>
        <v>Urban with Significant Rural (rural including hub towns 26-49%)</v>
      </c>
      <c r="G92" s="38" t="str">
        <f>VLOOKUP(C92,UrbanRuralClassification!A:N,14,FALSE)</f>
        <v>Urban with Significant Rural</v>
      </c>
      <c r="H92" s="258">
        <f>IF(ISBLANK((VLOOKUP($A92,'local-plan-data'!$C$1:$AD$566,27,FALSE)))=TRUE,"",VLOOKUP($A92,'local-plan-data'!$C$1:$AD$566,27,FALSE))</f>
        <v>42292</v>
      </c>
      <c r="I92" s="259">
        <f>VLOOKUP($A92,'local-plan-data'!$C$1:$AD$566,28,FALSE)</f>
        <v>613.0526315789474</v>
      </c>
      <c r="J92" s="260">
        <f t="shared" si="70"/>
        <v>613.0526315789474</v>
      </c>
      <c r="K92" s="259">
        <f t="shared" si="96"/>
        <v>613.0526315789474</v>
      </c>
      <c r="L92" s="259">
        <f t="shared" si="93"/>
        <v>613.0526315789474</v>
      </c>
      <c r="M92" s="259">
        <f t="shared" si="93"/>
        <v>613.0526315789474</v>
      </c>
      <c r="N92" s="259" t="str">
        <f t="shared" si="93"/>
        <v>-</v>
      </c>
      <c r="O92" s="259" t="str">
        <f t="shared" si="93"/>
        <v>-</v>
      </c>
      <c r="P92" s="259" t="str">
        <f t="shared" si="93"/>
        <v>-</v>
      </c>
      <c r="Q92" s="259" t="str">
        <f t="shared" si="93"/>
        <v>-</v>
      </c>
      <c r="R92" s="259" t="str">
        <f t="shared" si="93"/>
        <v>-</v>
      </c>
      <c r="S92" s="259">
        <f t="shared" si="97"/>
        <v>928</v>
      </c>
      <c r="T92" s="259">
        <f t="shared" si="94"/>
        <v>563</v>
      </c>
      <c r="U92" s="259">
        <f t="shared" si="94"/>
        <v>197</v>
      </c>
      <c r="V92" s="259">
        <f t="shared" si="94"/>
        <v>-168</v>
      </c>
      <c r="W92" s="259">
        <f t="shared" si="94"/>
        <v>-533</v>
      </c>
      <c r="X92" s="259">
        <f t="shared" si="94"/>
        <v>-898</v>
      </c>
      <c r="Y92" s="259">
        <f t="shared" si="94"/>
        <v>-1264</v>
      </c>
      <c r="Z92" s="259">
        <f t="shared" si="94"/>
        <v>-1629</v>
      </c>
      <c r="AA92" s="267">
        <f>(VLOOKUP(A92,Hshldprojections2014!$A$2:$AW$319,40, FALSE)-VLOOKUP(A92,Hshldprojections2014!$A$2:$AW$319,30, FALSE))/10</f>
        <v>376.4</v>
      </c>
      <c r="AB92" s="267">
        <f>(VLOOKUP(A92,Hshldprojections2014!$A$2:$AW$319,41, FALSE)-VLOOKUP(A92,Hshldprojections2014!$A$2:$AW$319,31, FALSE))/10</f>
        <v>374.1</v>
      </c>
      <c r="AC92" s="267">
        <f>(VLOOKUP(A92,Hshldprojections2014!$A$2:$AW$319,42, FALSE)-VLOOKUP(A92,Hshldprojections2014!$A$2:$AW$319,32, FALSE))/10</f>
        <v>370</v>
      </c>
      <c r="AD92" s="267">
        <f>IF(IndividualLATest!$J$7=2014,(VLOOKUP($A92,Hshldprojections2014!$A$2:$AY$326,43,FALSE)-VLOOKUP($A92,Hshldprojections2014!$A$2:$AY$326,33,FALSE))/10,IF(IndividualLATest!$J$7=2016,(VLOOKUP($A92,Hshldprojections2016!$A$1:$AQ$322,33,FALSE)-VLOOKUP($A92,Hshldprojections2016!$A$1:$AQ$322,23,FALSE))/10,(VLOOKUP($A92,Hshldprojections2018!$A$1:$AQ$327,33,FALSE)-VLOOKUP($A92,Hshldprojections2018!$A$1:$AQ$327,23,FALSE))/10))</f>
        <v>423.1</v>
      </c>
      <c r="AE92" s="267">
        <f>IF(IndividualLATest!$J$7=2014,(VLOOKUP($A92,Hshldprojections2014!$A$2:$AY$326,44,FALSE)-VLOOKUP($A92,Hshldprojections2014!$A$2:$AY$326,34,FALSE))/10,IF(IndividualLATest!$J$7=2016,(VLOOKUP($A92,Hshldprojections2016!$A$1:$AQ$322,34,FALSE)-VLOOKUP($A92,Hshldprojections2016!$A$1:$AQ$322,24,FALSE))/10,(VLOOKUP($A92,Hshldprojections2018!$A$1:$AQ$327,34,FALSE)-VLOOKUP($A92,Hshldprojections2018!$A$1:$AQ$327,24,FALSE))/10))</f>
        <v>415.3</v>
      </c>
      <c r="AF92" s="267">
        <f>IF(IndividualLATest!$J$7=2014,(VLOOKUP($A92,Hshldprojections2014!$A$2:$AY$326,45,FALSE)-VLOOKUP($A92,Hshldprojections2014!$A$2:$AY$326,35,FALSE))/10,IF(IndividualLATest!$J$7=2016,(VLOOKUP($A92,Hshldprojections2016!$A$1:$AQ$322,35,FALSE)-VLOOKUP($A92,Hshldprojections2016!$A$1:$AQ$322,25,FALSE))/10,(VLOOKUP($A92,Hshldprojections2018!$A$1:$AQ$327,35,FALSE)-VLOOKUP($A92,Hshldprojections2018!$A$1:$AQ$327,25,FALSE))/10))</f>
        <v>409</v>
      </c>
      <c r="AG92" s="267">
        <f>IF(IndividualLATest!$J$7=2014,(VLOOKUP($A92,Hshldprojections2014!$A$2:$AY$326,46,FALSE)-VLOOKUP($A92,Hshldprojections2014!$A$2:$AY$326,36,FALSE))/10,IF(IndividualLATest!$J$7=2016,(VLOOKUP($A92,Hshldprojections2016!$A$1:$AQ$322,36,FALSE)-VLOOKUP($A92,Hshldprojections2016!$A$1:$AQ$322,26,FALSE))/10,(VLOOKUP($A92,Hshldprojections2018!$A$1:$AQ$327,36,FALSE)-VLOOKUP($A92,Hshldprojections2018!$A$1:$AQ$327,26,FALSE))/10))</f>
        <v>406.4</v>
      </c>
      <c r="AH92" s="267">
        <f>IF(IndividualLATest!$J$7=2014,(VLOOKUP($A92,Hshldprojections2014!$A$2:$AY$326,47,FALSE)-VLOOKUP($A92,Hshldprojections2014!$A$2:$AY$326,37,FALSE))/10,IF(IndividualLATest!$J$7=2016,(VLOOKUP($A92,Hshldprojections2016!$A$1:$AQ$322,37,FALSE)-VLOOKUP($A92,Hshldprojections2016!$A$1:$AQ$322,27,FALSE))/10,(VLOOKUP($A92,Hshldprojections2018!$A$1:$AQ$327,37,FALSE)-VLOOKUP($A92,Hshldprojections2018!$A$1:$AQ$327,27,FALSE))/10))</f>
        <v>403.6</v>
      </c>
      <c r="AI92" s="268">
        <f>IF(ISNUMBER('Sensitivity Tests'!$C$30),'Sensitivity Tests'!$C$30,VLOOKUP($A92,AffordabilityRatio!$A$2:$I$321,5,FALSE))</f>
        <v>6.4</v>
      </c>
      <c r="AJ92" s="268">
        <f>IF(ISNUMBER('Sensitivity Tests'!$C$30),'Sensitivity Tests'!$C$30,VLOOKUP($A92,AffordabilityRatio!$A$2:$I$321,6,FALSE))</f>
        <v>6.63</v>
      </c>
      <c r="AK92" s="268">
        <f>IF(ISNUMBER('Sensitivity Tests'!$C$30),'Sensitivity Tests'!$C$30,VLOOKUP($A92,AffordabilityRatio!$A$2:$I$321,7,FALSE))</f>
        <v>6.59</v>
      </c>
      <c r="AL92" s="268">
        <f>IF(ISNUMBER('Sensitivity Tests'!$C$30),'Sensitivity Tests'!$C$30,IF((VLOOKUP($A92,AffordabilityRatio!$A$2:$I$321,8,FALSE))="",AK92,VLOOKUP($A92,AffordabilityRatio!$A$2:$I$321,8,FALSE)))</f>
        <v>6.81</v>
      </c>
      <c r="AM92" s="268">
        <f>IF(ISNUMBER('Sensitivity Tests'!$C$30),'Sensitivity Tests'!$C$30,IF((VLOOKUP($A92,AffordabilityRatio!$A$2:$I$321,9,FALSE))="",AL92,VLOOKUP($A92,AffordabilityRatio!$A$2:$I$321,9,FALSE)))</f>
        <v>7.46</v>
      </c>
      <c r="AN92" s="268">
        <f>IF(ISNUMBER('Sensitivity Tests'!$C$30),'Sensitivity Tests'!$C$30,IF((VLOOKUP($A92,AffordabilityRatio!$A$2:$I$321,9,FALSE))="",AM92,VLOOKUP($A92,AffordabilityRatio!$A$2:$I$321,9,FALSE)))</f>
        <v>7.46</v>
      </c>
      <c r="AO92" s="268">
        <f>IF(ISNUMBER('Sensitivity Tests'!$C$30),'Sensitivity Tests'!$C$30,IF((VLOOKUP($A92,AffordabilityRatio!$A$2:$I$321,9,FALSE))="",AN92,VLOOKUP($A92,AffordabilityRatio!$A$2:$I$321,9,FALSE)))</f>
        <v>7.46</v>
      </c>
      <c r="AP92" s="268">
        <f>IF(ISNUMBER('Sensitivity Tests'!$C$30),'Sensitivity Tests'!$C$30,IF((VLOOKUP($A92,AffordabilityRatio!$A$2:$I$321,9,FALSE))="",AO92,VLOOKUP($A92,AffordabilityRatio!$A$2:$I$321,9,FALSE)))</f>
        <v>7.46</v>
      </c>
      <c r="AQ92" s="267">
        <f t="shared" si="98"/>
        <v>433</v>
      </c>
      <c r="AR92" s="267">
        <f t="shared" si="98"/>
        <v>436</v>
      </c>
      <c r="AS92" s="267">
        <f t="shared" si="98"/>
        <v>430</v>
      </c>
      <c r="AT92" s="267">
        <f t="shared" si="98"/>
        <v>497</v>
      </c>
      <c r="AU92" s="267">
        <f t="shared" si="98"/>
        <v>505</v>
      </c>
      <c r="AV92" s="267">
        <f t="shared" si="98"/>
        <v>497</v>
      </c>
      <c r="AW92" s="267">
        <f t="shared" si="98"/>
        <v>494</v>
      </c>
      <c r="AX92" s="267">
        <f t="shared" si="95"/>
        <v>491</v>
      </c>
      <c r="AY92" s="267">
        <f t="shared" si="71"/>
        <v>433</v>
      </c>
      <c r="AZ92" s="267">
        <f t="shared" si="72"/>
        <v>436</v>
      </c>
      <c r="BA92" s="267">
        <f t="shared" si="73"/>
        <v>430</v>
      </c>
      <c r="BB92" s="267">
        <f t="shared" si="74"/>
        <v>497</v>
      </c>
      <c r="BC92" s="267">
        <f t="shared" si="75"/>
        <v>505</v>
      </c>
      <c r="BD92" s="267">
        <f t="shared" si="76"/>
        <v>497</v>
      </c>
      <c r="BE92" s="267">
        <f t="shared" si="77"/>
        <v>494</v>
      </c>
      <c r="BF92" s="267">
        <f t="shared" si="78"/>
        <v>491</v>
      </c>
      <c r="BG92" s="269">
        <f>AY92*VLOOKUP($B92,'Major Cities &amp; Towns'!$A$28:$B$345,2,FALSE)</f>
        <v>433</v>
      </c>
      <c r="BH92" s="269">
        <f>AZ92*VLOOKUP($B92,'Major Cities &amp; Towns'!$A$28:$B$345,2,FALSE)</f>
        <v>436</v>
      </c>
      <c r="BI92" s="269">
        <f>BA92*VLOOKUP($B92,'Major Cities &amp; Towns'!$A$28:$B$345,2,FALSE)</f>
        <v>430</v>
      </c>
      <c r="BJ92" s="269">
        <f>BB92*VLOOKUP($B92,'Major Cities &amp; Towns'!$A$28:$B$345,2,FALSE)</f>
        <v>497</v>
      </c>
      <c r="BK92" s="269">
        <f>BC92*VLOOKUP($B92,'Major Cities &amp; Towns'!$A$28:$B$345,2,FALSE)</f>
        <v>505</v>
      </c>
      <c r="BL92" s="269">
        <f>BD92*VLOOKUP($B92,'Major Cities &amp; Towns'!$A$28:$B$345,2,FALSE)</f>
        <v>497</v>
      </c>
      <c r="BM92" s="269">
        <f>BE92*VLOOKUP($B92,'Major Cities &amp; Towns'!$A$28:$B$345,2,FALSE)</f>
        <v>494</v>
      </c>
      <c r="BN92" s="269">
        <f>BF92*VLOOKUP($B92,'Major Cities &amp; Towns'!$A$28:$B$345,2,FALSE)</f>
        <v>491</v>
      </c>
      <c r="BO92" s="270">
        <f t="shared" si="79"/>
        <v>433</v>
      </c>
      <c r="BP92" s="270">
        <f t="shared" si="50"/>
        <v>436</v>
      </c>
      <c r="BQ92" s="270">
        <f t="shared" si="50"/>
        <v>430</v>
      </c>
      <c r="BR92" s="270">
        <f t="shared" si="50"/>
        <v>497</v>
      </c>
      <c r="BS92" s="270">
        <f t="shared" si="49"/>
        <v>505</v>
      </c>
      <c r="BT92" s="270">
        <f t="shared" si="49"/>
        <v>497</v>
      </c>
      <c r="BU92" s="270">
        <f t="shared" si="49"/>
        <v>494</v>
      </c>
      <c r="BV92" s="270">
        <f t="shared" si="49"/>
        <v>491</v>
      </c>
      <c r="BW92" s="39">
        <f>VLOOKUP($A92,NetAdditions!$A$2:$H$336,6,FALSE)</f>
        <v>763</v>
      </c>
      <c r="BX92" s="39">
        <f>VLOOKUP($A92,NetAdditions!$A$2:$H$336,7,FALSE)</f>
        <v>743</v>
      </c>
      <c r="BY92" s="39">
        <f>IF((VLOOKUP($C92,NetAdditions!$A$2:$H$336,8,FALSE))="",(AVERAGE(VLOOKUP($C92,NetAdditions!$A$2:$H$336,5,FALSE),VLOOKUP($C92,NetAdditions!$A$2:$H$336,6,FALSE),VLOOKUP($C92,NetAdditions!$A$2:$H$336,7,FALSE))),VLOOKUP($C92,NetAdditions!$A$2:$H$336,8,FALSE))</f>
        <v>689</v>
      </c>
      <c r="BZ92" s="39">
        <f t="shared" si="54"/>
        <v>731.66666666666663</v>
      </c>
      <c r="CA92" s="39">
        <f t="shared" si="54"/>
        <v>721.22222222222217</v>
      </c>
      <c r="CB92" s="39">
        <f t="shared" si="54"/>
        <v>713.96296296296293</v>
      </c>
      <c r="CC92" s="39">
        <f t="shared" si="54"/>
        <v>722.28395061728395</v>
      </c>
      <c r="CD92" s="39">
        <f t="shared" si="54"/>
        <v>719.15637860082313</v>
      </c>
      <c r="CE92" s="276">
        <f t="shared" si="55"/>
        <v>1299</v>
      </c>
      <c r="CF92" s="276">
        <f t="shared" si="56"/>
        <v>1363</v>
      </c>
      <c r="CG92" s="276">
        <f t="shared" si="57"/>
        <v>1432</v>
      </c>
      <c r="CH92" s="276">
        <f t="shared" si="58"/>
        <v>1499</v>
      </c>
      <c r="CI92" s="276">
        <f t="shared" si="59"/>
        <v>1496</v>
      </c>
      <c r="CJ92" s="276">
        <f t="shared" si="60"/>
        <v>1482</v>
      </c>
      <c r="CK92" s="276">
        <f t="shared" si="80"/>
        <v>1118.5833333333335</v>
      </c>
      <c r="CL92" s="276">
        <f t="shared" si="81"/>
        <v>1173.6944444444446</v>
      </c>
      <c r="CM92" s="276">
        <f t="shared" si="82"/>
        <v>1312.6666666666665</v>
      </c>
      <c r="CN92" s="276">
        <f t="shared" si="83"/>
        <v>1499</v>
      </c>
      <c r="CO92" s="276">
        <f t="shared" si="83"/>
        <v>1496</v>
      </c>
      <c r="CP92" s="276">
        <f t="shared" si="83"/>
        <v>1482</v>
      </c>
      <c r="CQ92" s="39">
        <f t="shared" si="61"/>
        <v>2195</v>
      </c>
      <c r="CR92" s="39">
        <f t="shared" si="62"/>
        <v>2163.6666666666665</v>
      </c>
      <c r="CS92" s="277">
        <f t="shared" si="63"/>
        <v>2141.8888888888887</v>
      </c>
      <c r="CT92" s="39">
        <f t="shared" si="64"/>
        <v>2166.8518518518517</v>
      </c>
      <c r="CU92" s="39">
        <f t="shared" si="65"/>
        <v>2157.4691358024693</v>
      </c>
      <c r="CV92" s="39">
        <f t="shared" si="66"/>
        <v>2155.4032921810699</v>
      </c>
      <c r="CW92" s="297">
        <f t="shared" si="67"/>
        <v>1.9623035089026295</v>
      </c>
      <c r="CX92" s="279" t="str">
        <f t="shared" si="84"/>
        <v>Pass</v>
      </c>
      <c r="CY92" s="278">
        <f t="shared" si="68"/>
        <v>1.8434667360897448</v>
      </c>
      <c r="CZ92" s="279" t="str">
        <f t="shared" si="85"/>
        <v>Pass</v>
      </c>
      <c r="DA92" s="278">
        <f t="shared" si="69"/>
        <v>1.6317081428813274</v>
      </c>
      <c r="DB92" s="292" t="str">
        <f t="shared" si="86"/>
        <v>Pass</v>
      </c>
      <c r="DC92" s="299">
        <f t="shared" si="87"/>
        <v>1.4455315889605416</v>
      </c>
      <c r="DD92" s="293" t="str">
        <f t="shared" si="88"/>
        <v>Pass</v>
      </c>
      <c r="DE92" s="299">
        <f t="shared" si="89"/>
        <v>1.4421585132369448</v>
      </c>
      <c r="DF92" s="293" t="str">
        <f t="shared" si="90"/>
        <v>Pass</v>
      </c>
      <c r="DG92" s="299">
        <f t="shared" si="91"/>
        <v>1.4543881863569972</v>
      </c>
      <c r="DH92" s="293" t="str">
        <f t="shared" si="92"/>
        <v>Pass</v>
      </c>
    </row>
    <row r="93" spans="1:112" ht="15" thickTop="1" thickBot="1">
      <c r="A93" s="38" t="s">
        <v>296</v>
      </c>
      <c r="B93" s="38" t="s">
        <v>297</v>
      </c>
      <c r="C93" s="38" t="s">
        <v>296</v>
      </c>
      <c r="D93" s="38" t="s">
        <v>128</v>
      </c>
      <c r="E93" s="38" t="str">
        <f>VLOOKUP(C93,PoliticalControl!A:K,11,FALSE)</f>
        <v>CON</v>
      </c>
      <c r="F93" s="38" t="str">
        <f>VLOOKUP(C93,UrbanRuralClassification!A:N,13,FALSE)</f>
        <v xml:space="preserve">Largely Rural (rural including hub towns 50-79%) </v>
      </c>
      <c r="G93" s="38" t="str">
        <f>VLOOKUP(C93,UrbanRuralClassification!A:N,14,FALSE)</f>
        <v>Predominantly Rural</v>
      </c>
      <c r="H93" s="258" t="e">
        <f>IF(ISBLANK((VLOOKUP($A93,'local-plan-data'!$C$1:$AD$566,27,FALSE)))=TRUE,"",VLOOKUP($A93,'local-plan-data'!$C$1:$AD$566,27,FALSE))</f>
        <v>#N/A</v>
      </c>
      <c r="I93" s="259" t="e">
        <f>VLOOKUP($A93,'local-plan-data'!$C$1:$AD$566,28,FALSE)</f>
        <v>#N/A</v>
      </c>
      <c r="J93" s="260" t="str">
        <f t="shared" si="70"/>
        <v>-</v>
      </c>
      <c r="K93" s="259" t="str">
        <f t="shared" si="96"/>
        <v>-</v>
      </c>
      <c r="L93" s="259" t="str">
        <f t="shared" si="93"/>
        <v>-</v>
      </c>
      <c r="M93" s="259" t="str">
        <f t="shared" si="93"/>
        <v>-</v>
      </c>
      <c r="N93" s="259" t="str">
        <f t="shared" si="93"/>
        <v>-</v>
      </c>
      <c r="O93" s="259" t="str">
        <f t="shared" si="93"/>
        <v>-</v>
      </c>
      <c r="P93" s="259" t="str">
        <f t="shared" si="93"/>
        <v>-</v>
      </c>
      <c r="Q93" s="259" t="str">
        <f t="shared" si="93"/>
        <v>-</v>
      </c>
      <c r="R93" s="259" t="str">
        <f t="shared" si="93"/>
        <v>-</v>
      </c>
      <c r="S93" s="259" t="str">
        <f t="shared" si="97"/>
        <v>-</v>
      </c>
      <c r="T93" s="259" t="str">
        <f t="shared" si="94"/>
        <v>-</v>
      </c>
      <c r="U93" s="259" t="str">
        <f t="shared" si="94"/>
        <v>-</v>
      </c>
      <c r="V93" s="259" t="str">
        <f t="shared" si="94"/>
        <v>-</v>
      </c>
      <c r="W93" s="259" t="str">
        <f t="shared" si="94"/>
        <v>-</v>
      </c>
      <c r="X93" s="259" t="str">
        <f t="shared" si="94"/>
        <v>-</v>
      </c>
      <c r="Y93" s="259" t="str">
        <f t="shared" si="94"/>
        <v>-</v>
      </c>
      <c r="Z93" s="259" t="str">
        <f t="shared" si="94"/>
        <v>-</v>
      </c>
      <c r="AA93" s="267">
        <f>(VLOOKUP(A93,Hshldprojections2014!$A$2:$AW$319,40, FALSE)-VLOOKUP(A93,Hshldprojections2014!$A$2:$AW$319,30, FALSE))/10</f>
        <v>694.3</v>
      </c>
      <c r="AB93" s="267">
        <f>(VLOOKUP(A93,Hshldprojections2014!$A$2:$AW$319,41, FALSE)-VLOOKUP(A93,Hshldprojections2014!$A$2:$AW$319,31, FALSE))/10</f>
        <v>695.4</v>
      </c>
      <c r="AC93" s="267">
        <f>(VLOOKUP(A93,Hshldprojections2014!$A$2:$AW$319,42, FALSE)-VLOOKUP(A93,Hshldprojections2014!$A$2:$AW$319,32, FALSE))/10</f>
        <v>697.7</v>
      </c>
      <c r="AD93" s="267">
        <f>IF(IndividualLATest!$J$7=2014,(VLOOKUP($A93,Hshldprojections2014!$A$2:$AY$326,43,FALSE)-VLOOKUP($A93,Hshldprojections2014!$A$2:$AY$326,33,FALSE))/10,IF(IndividualLATest!$J$7=2016,(VLOOKUP($A93,Hshldprojections2016!$A$1:$AQ$322,33,FALSE)-VLOOKUP($A93,Hshldprojections2016!$A$1:$AQ$322,23,FALSE))/10,(VLOOKUP($A93,Hshldprojections2018!$A$1:$AQ$327,33,FALSE)-VLOOKUP($A93,Hshldprojections2018!$A$1:$AQ$327,23,FALSE))/10))</f>
        <v>1019.8</v>
      </c>
      <c r="AE93" s="267">
        <f>IF(IndividualLATest!$J$7=2014,(VLOOKUP($A93,Hshldprojections2014!$A$2:$AY$326,44,FALSE)-VLOOKUP($A93,Hshldprojections2014!$A$2:$AY$326,34,FALSE))/10,IF(IndividualLATest!$J$7=2016,(VLOOKUP($A93,Hshldprojections2016!$A$1:$AQ$322,34,FALSE)-VLOOKUP($A93,Hshldprojections2016!$A$1:$AQ$322,24,FALSE))/10,(VLOOKUP($A93,Hshldprojections2018!$A$1:$AQ$327,34,FALSE)-VLOOKUP($A93,Hshldprojections2018!$A$1:$AQ$327,24,FALSE))/10))</f>
        <v>996.8</v>
      </c>
      <c r="AF93" s="267">
        <f>IF(IndividualLATest!$J$7=2014,(VLOOKUP($A93,Hshldprojections2014!$A$2:$AY$326,45,FALSE)-VLOOKUP($A93,Hshldprojections2014!$A$2:$AY$326,35,FALSE))/10,IF(IndividualLATest!$J$7=2016,(VLOOKUP($A93,Hshldprojections2016!$A$1:$AQ$322,35,FALSE)-VLOOKUP($A93,Hshldprojections2016!$A$1:$AQ$322,25,FALSE))/10,(VLOOKUP($A93,Hshldprojections2018!$A$1:$AQ$327,35,FALSE)-VLOOKUP($A93,Hshldprojections2018!$A$1:$AQ$327,25,FALSE))/10))</f>
        <v>977.5</v>
      </c>
      <c r="AG93" s="267">
        <f>IF(IndividualLATest!$J$7=2014,(VLOOKUP($A93,Hshldprojections2014!$A$2:$AY$326,46,FALSE)-VLOOKUP($A93,Hshldprojections2014!$A$2:$AY$326,36,FALSE))/10,IF(IndividualLATest!$J$7=2016,(VLOOKUP($A93,Hshldprojections2016!$A$1:$AQ$322,36,FALSE)-VLOOKUP($A93,Hshldprojections2016!$A$1:$AQ$322,26,FALSE))/10,(VLOOKUP($A93,Hshldprojections2018!$A$1:$AQ$327,36,FALSE)-VLOOKUP($A93,Hshldprojections2018!$A$1:$AQ$327,26,FALSE))/10))</f>
        <v>956.6</v>
      </c>
      <c r="AH93" s="267">
        <f>IF(IndividualLATest!$J$7=2014,(VLOOKUP($A93,Hshldprojections2014!$A$2:$AY$326,47,FALSE)-VLOOKUP($A93,Hshldprojections2014!$A$2:$AY$326,37,FALSE))/10,IF(IndividualLATest!$J$7=2016,(VLOOKUP($A93,Hshldprojections2016!$A$1:$AQ$322,37,FALSE)-VLOOKUP($A93,Hshldprojections2016!$A$1:$AQ$322,27,FALSE))/10,(VLOOKUP($A93,Hshldprojections2018!$A$1:$AQ$327,37,FALSE)-VLOOKUP($A93,Hshldprojections2018!$A$1:$AQ$327,27,FALSE))/10))</f>
        <v>940.2</v>
      </c>
      <c r="AI93" s="268">
        <f>IF(ISNUMBER('Sensitivity Tests'!$C$30),'Sensitivity Tests'!$C$30,VLOOKUP($A93,AffordabilityRatio!$A$2:$I$321,5,FALSE))</f>
        <v>8.26</v>
      </c>
      <c r="AJ93" s="268">
        <f>IF(ISNUMBER('Sensitivity Tests'!$C$30),'Sensitivity Tests'!$C$30,VLOOKUP($A93,AffordabilityRatio!$A$2:$I$321,6,FALSE))</f>
        <v>8.6999999999999993</v>
      </c>
      <c r="AK93" s="268">
        <f>IF(ISNUMBER('Sensitivity Tests'!$C$30),'Sensitivity Tests'!$C$30,VLOOKUP($A93,AffordabilityRatio!$A$2:$I$321,7,FALSE))</f>
        <v>7.86</v>
      </c>
      <c r="AL93" s="268">
        <f>IF(ISNUMBER('Sensitivity Tests'!$C$30),'Sensitivity Tests'!$C$30,IF((VLOOKUP($A93,AffordabilityRatio!$A$2:$I$321,8,FALSE))="",AK93,VLOOKUP($A93,AffordabilityRatio!$A$2:$I$321,8,FALSE)))</f>
        <v>8.27</v>
      </c>
      <c r="AM93" s="268">
        <f>IF(ISNUMBER('Sensitivity Tests'!$C$30),'Sensitivity Tests'!$C$30,IF((VLOOKUP($A93,AffordabilityRatio!$A$2:$I$321,9,FALSE))="",AL93,VLOOKUP($A93,AffordabilityRatio!$A$2:$I$321,9,FALSE)))</f>
        <v>9.74</v>
      </c>
      <c r="AN93" s="268">
        <f>IF(ISNUMBER('Sensitivity Tests'!$C$30),'Sensitivity Tests'!$C$30,IF((VLOOKUP($A93,AffordabilityRatio!$A$2:$I$321,9,FALSE))="",AM93,VLOOKUP($A93,AffordabilityRatio!$A$2:$I$321,9,FALSE)))</f>
        <v>9.74</v>
      </c>
      <c r="AO93" s="268">
        <f>IF(ISNUMBER('Sensitivity Tests'!$C$30),'Sensitivity Tests'!$C$30,IF((VLOOKUP($A93,AffordabilityRatio!$A$2:$I$321,9,FALSE))="",AN93,VLOOKUP($A93,AffordabilityRatio!$A$2:$I$321,9,FALSE)))</f>
        <v>9.74</v>
      </c>
      <c r="AP93" s="268">
        <f>IF(ISNUMBER('Sensitivity Tests'!$C$30),'Sensitivity Tests'!$C$30,IF((VLOOKUP($A93,AffordabilityRatio!$A$2:$I$321,9,FALSE))="",AO93,VLOOKUP($A93,AffordabilityRatio!$A$2:$I$321,9,FALSE)))</f>
        <v>9.74</v>
      </c>
      <c r="AQ93" s="267">
        <f t="shared" si="98"/>
        <v>879</v>
      </c>
      <c r="AR93" s="267">
        <f t="shared" si="98"/>
        <v>900</v>
      </c>
      <c r="AS93" s="267">
        <f t="shared" si="98"/>
        <v>866</v>
      </c>
      <c r="AT93" s="267">
        <f t="shared" si="98"/>
        <v>1292</v>
      </c>
      <c r="AU93" s="267">
        <f t="shared" si="98"/>
        <v>1354</v>
      </c>
      <c r="AV93" s="267">
        <f t="shared" si="98"/>
        <v>1328</v>
      </c>
      <c r="AW93" s="267">
        <f t="shared" si="98"/>
        <v>1300</v>
      </c>
      <c r="AX93" s="267">
        <f t="shared" si="95"/>
        <v>1277</v>
      </c>
      <c r="AY93" s="267">
        <f t="shared" si="71"/>
        <v>879</v>
      </c>
      <c r="AZ93" s="267">
        <f t="shared" si="72"/>
        <v>900</v>
      </c>
      <c r="BA93" s="267">
        <f t="shared" si="73"/>
        <v>866</v>
      </c>
      <c r="BB93" s="267">
        <f t="shared" si="74"/>
        <v>1292</v>
      </c>
      <c r="BC93" s="267">
        <f t="shared" si="75"/>
        <v>1354</v>
      </c>
      <c r="BD93" s="267">
        <f t="shared" si="76"/>
        <v>1328</v>
      </c>
      <c r="BE93" s="267">
        <f t="shared" si="77"/>
        <v>1300</v>
      </c>
      <c r="BF93" s="267">
        <f t="shared" si="78"/>
        <v>1277</v>
      </c>
      <c r="BG93" s="269">
        <f>AY93*VLOOKUP($B93,'Major Cities &amp; Towns'!$A$28:$B$345,2,FALSE)</f>
        <v>879</v>
      </c>
      <c r="BH93" s="269">
        <f>AZ93*VLOOKUP($B93,'Major Cities &amp; Towns'!$A$28:$B$345,2,FALSE)</f>
        <v>900</v>
      </c>
      <c r="BI93" s="269">
        <f>BA93*VLOOKUP($B93,'Major Cities &amp; Towns'!$A$28:$B$345,2,FALSE)</f>
        <v>866</v>
      </c>
      <c r="BJ93" s="269">
        <f>BB93*VLOOKUP($B93,'Major Cities &amp; Towns'!$A$28:$B$345,2,FALSE)</f>
        <v>1292</v>
      </c>
      <c r="BK93" s="269">
        <f>BC93*VLOOKUP($B93,'Major Cities &amp; Towns'!$A$28:$B$345,2,FALSE)</f>
        <v>1354</v>
      </c>
      <c r="BL93" s="269">
        <f>BD93*VLOOKUP($B93,'Major Cities &amp; Towns'!$A$28:$B$345,2,FALSE)</f>
        <v>1328</v>
      </c>
      <c r="BM93" s="269">
        <f>BE93*VLOOKUP($B93,'Major Cities &amp; Towns'!$A$28:$B$345,2,FALSE)</f>
        <v>1300</v>
      </c>
      <c r="BN93" s="269">
        <f>BF93*VLOOKUP($B93,'Major Cities &amp; Towns'!$A$28:$B$345,2,FALSE)</f>
        <v>1277</v>
      </c>
      <c r="BO93" s="270">
        <f t="shared" si="79"/>
        <v>879</v>
      </c>
      <c r="BP93" s="270">
        <f t="shared" si="50"/>
        <v>900</v>
      </c>
      <c r="BQ93" s="270">
        <f t="shared" si="50"/>
        <v>866</v>
      </c>
      <c r="BR93" s="270">
        <f t="shared" si="50"/>
        <v>1292</v>
      </c>
      <c r="BS93" s="270">
        <f t="shared" si="49"/>
        <v>1354</v>
      </c>
      <c r="BT93" s="270">
        <f t="shared" si="49"/>
        <v>1328</v>
      </c>
      <c r="BU93" s="270">
        <f t="shared" si="49"/>
        <v>1300</v>
      </c>
      <c r="BV93" s="270">
        <f t="shared" si="49"/>
        <v>1277</v>
      </c>
      <c r="BW93" s="39" t="str">
        <f>VLOOKUP($A93,NetAdditions!$A$2:$H$336,6,FALSE)</f>
        <v>Not Applicable</v>
      </c>
      <c r="BX93" s="39">
        <f>VLOOKUP($A93,NetAdditions!$A$2:$H$336,7,FALSE)</f>
        <v>819</v>
      </c>
      <c r="BY93" s="39">
        <f>IF((VLOOKUP($C93,NetAdditions!$A$2:$H$336,8,FALSE))="",(AVERAGE(VLOOKUP($C93,NetAdditions!$A$2:$H$336,5,FALSE),VLOOKUP($C93,NetAdditions!$A$2:$H$336,6,FALSE),VLOOKUP($C93,NetAdditions!$A$2:$H$336,7,FALSE))),VLOOKUP($C93,NetAdditions!$A$2:$H$336,8,FALSE))</f>
        <v>712</v>
      </c>
      <c r="BZ93" s="39">
        <f t="shared" si="54"/>
        <v>765.5</v>
      </c>
      <c r="CA93" s="39">
        <f t="shared" si="54"/>
        <v>765.5</v>
      </c>
      <c r="CB93" s="39">
        <f t="shared" si="54"/>
        <v>747.66666666666663</v>
      </c>
      <c r="CC93" s="39">
        <f t="shared" si="54"/>
        <v>759.55555555555554</v>
      </c>
      <c r="CD93" s="39">
        <f t="shared" si="54"/>
        <v>757.57407407407402</v>
      </c>
      <c r="CE93" s="276">
        <f t="shared" si="55"/>
        <v>2645</v>
      </c>
      <c r="CF93" s="276">
        <f t="shared" si="56"/>
        <v>3058</v>
      </c>
      <c r="CG93" s="276">
        <f t="shared" si="57"/>
        <v>3512</v>
      </c>
      <c r="CH93" s="276">
        <f t="shared" si="58"/>
        <v>3974</v>
      </c>
      <c r="CI93" s="276">
        <f t="shared" si="59"/>
        <v>3982</v>
      </c>
      <c r="CJ93" s="276">
        <f t="shared" si="60"/>
        <v>3905</v>
      </c>
      <c r="CK93" s="276">
        <f t="shared" si="80"/>
        <v>2277.6388888888891</v>
      </c>
      <c r="CL93" s="276">
        <f t="shared" si="81"/>
        <v>2633.2777777777778</v>
      </c>
      <c r="CM93" s="276">
        <f t="shared" si="82"/>
        <v>3219.333333333333</v>
      </c>
      <c r="CN93" s="276">
        <f t="shared" si="83"/>
        <v>3974</v>
      </c>
      <c r="CO93" s="276">
        <f t="shared" si="83"/>
        <v>3982</v>
      </c>
      <c r="CP93" s="276">
        <f t="shared" si="83"/>
        <v>3905</v>
      </c>
      <c r="CQ93" s="39">
        <f t="shared" si="61"/>
        <v>1531</v>
      </c>
      <c r="CR93" s="39">
        <f t="shared" si="62"/>
        <v>2296.5</v>
      </c>
      <c r="CS93" s="277">
        <f t="shared" si="63"/>
        <v>2243</v>
      </c>
      <c r="CT93" s="39">
        <f t="shared" si="64"/>
        <v>2278.6666666666665</v>
      </c>
      <c r="CU93" s="39">
        <f t="shared" si="65"/>
        <v>2272.7222222222222</v>
      </c>
      <c r="CV93" s="39">
        <f t="shared" si="66"/>
        <v>2264.7962962962961</v>
      </c>
      <c r="CW93" s="297">
        <f t="shared" si="67"/>
        <v>0.67218732849563989</v>
      </c>
      <c r="CX93" s="279" t="str">
        <f t="shared" si="84"/>
        <v>Buffer and Action Plan</v>
      </c>
      <c r="CY93" s="278">
        <f t="shared" si="68"/>
        <v>0.87210700647692985</v>
      </c>
      <c r="CZ93" s="279" t="str">
        <f t="shared" si="85"/>
        <v>Action Plan</v>
      </c>
      <c r="DA93" s="278">
        <f t="shared" si="69"/>
        <v>0.69672810105611938</v>
      </c>
      <c r="DB93" s="292" t="str">
        <f t="shared" si="86"/>
        <v>Presumption</v>
      </c>
      <c r="DC93" s="299">
        <f t="shared" si="87"/>
        <v>0.57339372588491855</v>
      </c>
      <c r="DD93" s="293" t="str">
        <f t="shared" si="88"/>
        <v>Presumption</v>
      </c>
      <c r="DE93" s="299">
        <f t="shared" si="89"/>
        <v>0.57074892572130143</v>
      </c>
      <c r="DF93" s="293" t="str">
        <f t="shared" si="90"/>
        <v>Presumption</v>
      </c>
      <c r="DG93" s="299">
        <f t="shared" si="91"/>
        <v>0.57997344335372503</v>
      </c>
      <c r="DH93" s="293" t="str">
        <f t="shared" si="92"/>
        <v>Presumption</v>
      </c>
    </row>
    <row r="94" spans="1:112" ht="15" thickTop="1" thickBot="1">
      <c r="A94" s="38" t="s">
        <v>298</v>
      </c>
      <c r="B94" s="38" t="s">
        <v>299</v>
      </c>
      <c r="C94" s="38" t="s">
        <v>298</v>
      </c>
      <c r="D94" s="38" t="s">
        <v>113</v>
      </c>
      <c r="E94" s="38" t="str">
        <f>VLOOKUP(C94,PoliticalControl!A:K,11,FALSE)</f>
        <v>LD</v>
      </c>
      <c r="F94" s="38" t="str">
        <f>VLOOKUP(C94,UrbanRuralClassification!A:N,13,FALSE)</f>
        <v>Urban with City and Town</v>
      </c>
      <c r="G94" s="38" t="str">
        <f>VLOOKUP(C94,UrbanRuralClassification!A:N,14,FALSE)</f>
        <v>Predominantly Urban</v>
      </c>
      <c r="H94" s="258">
        <f>IF(ISBLANK((VLOOKUP($A94,'local-plan-data'!$C$1:$AD$566,27,FALSE)))=TRUE,"",VLOOKUP($A94,'local-plan-data'!$C$1:$AD$566,27,FALSE))</f>
        <v>41325</v>
      </c>
      <c r="I94" s="259">
        <f>VLOOKUP($A94,'local-plan-data'!$C$1:$AD$566,28,FALSE)</f>
        <v>239.14285714285714</v>
      </c>
      <c r="J94" s="260">
        <f t="shared" si="70"/>
        <v>239.14285714285714</v>
      </c>
      <c r="K94" s="259" t="str">
        <f t="shared" si="96"/>
        <v>-</v>
      </c>
      <c r="L94" s="259" t="str">
        <f t="shared" si="93"/>
        <v>-</v>
      </c>
      <c r="M94" s="259" t="str">
        <f t="shared" si="93"/>
        <v>-</v>
      </c>
      <c r="N94" s="259" t="str">
        <f t="shared" si="93"/>
        <v>-</v>
      </c>
      <c r="O94" s="259" t="str">
        <f t="shared" si="93"/>
        <v>-</v>
      </c>
      <c r="P94" s="259" t="str">
        <f t="shared" si="93"/>
        <v>-</v>
      </c>
      <c r="Q94" s="259" t="str">
        <f t="shared" si="93"/>
        <v>-</v>
      </c>
      <c r="R94" s="259" t="str">
        <f t="shared" si="93"/>
        <v>-</v>
      </c>
      <c r="S94" s="259">
        <f t="shared" si="97"/>
        <v>-40</v>
      </c>
      <c r="T94" s="259">
        <f t="shared" si="94"/>
        <v>-405</v>
      </c>
      <c r="U94" s="259">
        <f t="shared" si="94"/>
        <v>-771</v>
      </c>
      <c r="V94" s="259">
        <f t="shared" si="94"/>
        <v>-1136</v>
      </c>
      <c r="W94" s="259">
        <f t="shared" si="94"/>
        <v>-1501</v>
      </c>
      <c r="X94" s="259">
        <f t="shared" si="94"/>
        <v>-1866</v>
      </c>
      <c r="Y94" s="259">
        <f t="shared" si="94"/>
        <v>-2232</v>
      </c>
      <c r="Z94" s="259">
        <f t="shared" si="94"/>
        <v>-2597</v>
      </c>
      <c r="AA94" s="267">
        <f>(VLOOKUP(A94,Hshldprojections2014!$A$2:$AW$319,40, FALSE)-VLOOKUP(A94,Hshldprojections2014!$A$2:$AW$319,30, FALSE))/10</f>
        <v>518.70000000000005</v>
      </c>
      <c r="AB94" s="267">
        <f>(VLOOKUP(A94,Hshldprojections2014!$A$2:$AW$319,41, FALSE)-VLOOKUP(A94,Hshldprojections2014!$A$2:$AW$319,31, FALSE))/10</f>
        <v>526.9</v>
      </c>
      <c r="AC94" s="267">
        <f>(VLOOKUP(A94,Hshldprojections2014!$A$2:$AW$319,42, FALSE)-VLOOKUP(A94,Hshldprojections2014!$A$2:$AW$319,32, FALSE))/10</f>
        <v>535.79999999999995</v>
      </c>
      <c r="AD94" s="267">
        <f>IF(IndividualLATest!$J$7=2014,(VLOOKUP($A94,Hshldprojections2014!$A$2:$AY$326,43,FALSE)-VLOOKUP($A94,Hshldprojections2014!$A$2:$AY$326,33,FALSE))/10,IF(IndividualLATest!$J$7=2016,(VLOOKUP($A94,Hshldprojections2016!$A$1:$AQ$322,33,FALSE)-VLOOKUP($A94,Hshldprojections2016!$A$1:$AQ$322,23,FALSE))/10,(VLOOKUP($A94,Hshldprojections2018!$A$1:$AQ$327,33,FALSE)-VLOOKUP($A94,Hshldprojections2018!$A$1:$AQ$327,23,FALSE))/10))</f>
        <v>298.10000000000002</v>
      </c>
      <c r="AE94" s="267">
        <f>IF(IndividualLATest!$J$7=2014,(VLOOKUP($A94,Hshldprojections2014!$A$2:$AY$326,44,FALSE)-VLOOKUP($A94,Hshldprojections2014!$A$2:$AY$326,34,FALSE))/10,IF(IndividualLATest!$J$7=2016,(VLOOKUP($A94,Hshldprojections2016!$A$1:$AQ$322,34,FALSE)-VLOOKUP($A94,Hshldprojections2016!$A$1:$AQ$322,24,FALSE))/10,(VLOOKUP($A94,Hshldprojections2018!$A$1:$AQ$327,34,FALSE)-VLOOKUP($A94,Hshldprojections2018!$A$1:$AQ$327,24,FALSE))/10))</f>
        <v>298.7</v>
      </c>
      <c r="AF94" s="267">
        <f>IF(IndividualLATest!$J$7=2014,(VLOOKUP($A94,Hshldprojections2014!$A$2:$AY$326,45,FALSE)-VLOOKUP($A94,Hshldprojections2014!$A$2:$AY$326,35,FALSE))/10,IF(IndividualLATest!$J$7=2016,(VLOOKUP($A94,Hshldprojections2016!$A$1:$AQ$322,35,FALSE)-VLOOKUP($A94,Hshldprojections2016!$A$1:$AQ$322,25,FALSE))/10,(VLOOKUP($A94,Hshldprojections2018!$A$1:$AQ$327,35,FALSE)-VLOOKUP($A94,Hshldprojections2018!$A$1:$AQ$327,25,FALSE))/10))</f>
        <v>300.60000000000002</v>
      </c>
      <c r="AG94" s="267">
        <f>IF(IndividualLATest!$J$7=2014,(VLOOKUP($A94,Hshldprojections2014!$A$2:$AY$326,46,FALSE)-VLOOKUP($A94,Hshldprojections2014!$A$2:$AY$326,36,FALSE))/10,IF(IndividualLATest!$J$7=2016,(VLOOKUP($A94,Hshldprojections2016!$A$1:$AQ$322,36,FALSE)-VLOOKUP($A94,Hshldprojections2016!$A$1:$AQ$322,26,FALSE))/10,(VLOOKUP($A94,Hshldprojections2018!$A$1:$AQ$327,36,FALSE)-VLOOKUP($A94,Hshldprojections2018!$A$1:$AQ$327,26,FALSE))/10))</f>
        <v>299.89999999999998</v>
      </c>
      <c r="AH94" s="267">
        <f>IF(IndividualLATest!$J$7=2014,(VLOOKUP($A94,Hshldprojections2014!$A$2:$AY$326,47,FALSE)-VLOOKUP($A94,Hshldprojections2014!$A$2:$AY$326,37,FALSE))/10,IF(IndividualLATest!$J$7=2016,(VLOOKUP($A94,Hshldprojections2016!$A$1:$AQ$322,37,FALSE)-VLOOKUP($A94,Hshldprojections2016!$A$1:$AQ$322,27,FALSE))/10,(VLOOKUP($A94,Hshldprojections2018!$A$1:$AQ$327,37,FALSE)-VLOOKUP($A94,Hshldprojections2018!$A$1:$AQ$327,27,FALSE))/10))</f>
        <v>300.60000000000002</v>
      </c>
      <c r="AI94" s="268">
        <f>IF(ISNUMBER('Sensitivity Tests'!$C$30),'Sensitivity Tests'!$C$30,VLOOKUP($A94,AffordabilityRatio!$A$2:$I$321,5,FALSE))</f>
        <v>8.7799999999999994</v>
      </c>
      <c r="AJ94" s="268">
        <f>IF(ISNUMBER('Sensitivity Tests'!$C$30),'Sensitivity Tests'!$C$30,VLOOKUP($A94,AffordabilityRatio!$A$2:$I$321,6,FALSE))</f>
        <v>8.23</v>
      </c>
      <c r="AK94" s="268">
        <f>IF(ISNUMBER('Sensitivity Tests'!$C$30),'Sensitivity Tests'!$C$30,VLOOKUP($A94,AffordabilityRatio!$A$2:$I$321,7,FALSE))</f>
        <v>8.08</v>
      </c>
      <c r="AL94" s="268">
        <f>IF(ISNUMBER('Sensitivity Tests'!$C$30),'Sensitivity Tests'!$C$30,IF((VLOOKUP($A94,AffordabilityRatio!$A$2:$I$321,8,FALSE))="",AK94,VLOOKUP($A94,AffordabilityRatio!$A$2:$I$321,8,FALSE)))</f>
        <v>9.01</v>
      </c>
      <c r="AM94" s="268">
        <f>IF(ISNUMBER('Sensitivity Tests'!$C$30),'Sensitivity Tests'!$C$30,IF((VLOOKUP($A94,AffordabilityRatio!$A$2:$I$321,9,FALSE))="",AL94,VLOOKUP($A94,AffordabilityRatio!$A$2:$I$321,9,FALSE)))</f>
        <v>9.42</v>
      </c>
      <c r="AN94" s="268">
        <f>IF(ISNUMBER('Sensitivity Tests'!$C$30),'Sensitivity Tests'!$C$30,IF((VLOOKUP($A94,AffordabilityRatio!$A$2:$I$321,9,FALSE))="",AM94,VLOOKUP($A94,AffordabilityRatio!$A$2:$I$321,9,FALSE)))</f>
        <v>9.42</v>
      </c>
      <c r="AO94" s="268">
        <f>IF(ISNUMBER('Sensitivity Tests'!$C$30),'Sensitivity Tests'!$C$30,IF((VLOOKUP($A94,AffordabilityRatio!$A$2:$I$321,9,FALSE))="",AN94,VLOOKUP($A94,AffordabilityRatio!$A$2:$I$321,9,FALSE)))</f>
        <v>9.42</v>
      </c>
      <c r="AP94" s="268">
        <f>IF(ISNUMBER('Sensitivity Tests'!$C$30),'Sensitivity Tests'!$C$30,IF((VLOOKUP($A94,AffordabilityRatio!$A$2:$I$321,9,FALSE))="",AO94,VLOOKUP($A94,AffordabilityRatio!$A$2:$I$321,9,FALSE)))</f>
        <v>9.42</v>
      </c>
      <c r="AQ94" s="267">
        <f t="shared" si="98"/>
        <v>674</v>
      </c>
      <c r="AR94" s="267">
        <f t="shared" si="98"/>
        <v>666</v>
      </c>
      <c r="AS94" s="267">
        <f t="shared" si="98"/>
        <v>672</v>
      </c>
      <c r="AT94" s="267">
        <f t="shared" si="98"/>
        <v>391</v>
      </c>
      <c r="AU94" s="267">
        <f t="shared" si="98"/>
        <v>400</v>
      </c>
      <c r="AV94" s="267">
        <f t="shared" si="98"/>
        <v>402</v>
      </c>
      <c r="AW94" s="267">
        <f t="shared" si="98"/>
        <v>401</v>
      </c>
      <c r="AX94" s="267">
        <f t="shared" si="95"/>
        <v>402</v>
      </c>
      <c r="AY94" s="267">
        <f t="shared" si="71"/>
        <v>674</v>
      </c>
      <c r="AZ94" s="267">
        <f t="shared" si="72"/>
        <v>666</v>
      </c>
      <c r="BA94" s="267">
        <f t="shared" si="73"/>
        <v>672</v>
      </c>
      <c r="BB94" s="267">
        <f t="shared" si="74"/>
        <v>391</v>
      </c>
      <c r="BC94" s="267">
        <f t="shared" si="75"/>
        <v>400</v>
      </c>
      <c r="BD94" s="267">
        <f t="shared" si="76"/>
        <v>402</v>
      </c>
      <c r="BE94" s="267">
        <f t="shared" si="77"/>
        <v>401</v>
      </c>
      <c r="BF94" s="267">
        <f t="shared" si="78"/>
        <v>402</v>
      </c>
      <c r="BG94" s="269">
        <f>AY94*VLOOKUP($B94,'Major Cities &amp; Towns'!$A$28:$B$345,2,FALSE)</f>
        <v>674</v>
      </c>
      <c r="BH94" s="269">
        <f>AZ94*VLOOKUP($B94,'Major Cities &amp; Towns'!$A$28:$B$345,2,FALSE)</f>
        <v>666</v>
      </c>
      <c r="BI94" s="269">
        <f>BA94*VLOOKUP($B94,'Major Cities &amp; Towns'!$A$28:$B$345,2,FALSE)</f>
        <v>672</v>
      </c>
      <c r="BJ94" s="269">
        <f>BB94*VLOOKUP($B94,'Major Cities &amp; Towns'!$A$28:$B$345,2,FALSE)</f>
        <v>391</v>
      </c>
      <c r="BK94" s="269">
        <f>BC94*VLOOKUP($B94,'Major Cities &amp; Towns'!$A$28:$B$345,2,FALSE)</f>
        <v>400</v>
      </c>
      <c r="BL94" s="269">
        <f>BD94*VLOOKUP($B94,'Major Cities &amp; Towns'!$A$28:$B$345,2,FALSE)</f>
        <v>402</v>
      </c>
      <c r="BM94" s="269">
        <f>BE94*VLOOKUP($B94,'Major Cities &amp; Towns'!$A$28:$B$345,2,FALSE)</f>
        <v>401</v>
      </c>
      <c r="BN94" s="269">
        <f>BF94*VLOOKUP($B94,'Major Cities &amp; Towns'!$A$28:$B$345,2,FALSE)</f>
        <v>402</v>
      </c>
      <c r="BO94" s="270">
        <f t="shared" si="79"/>
        <v>674</v>
      </c>
      <c r="BP94" s="270">
        <f t="shared" si="50"/>
        <v>666</v>
      </c>
      <c r="BQ94" s="270">
        <f t="shared" si="50"/>
        <v>672</v>
      </c>
      <c r="BR94" s="270">
        <f t="shared" si="50"/>
        <v>391</v>
      </c>
      <c r="BS94" s="270">
        <f t="shared" si="49"/>
        <v>400</v>
      </c>
      <c r="BT94" s="270">
        <f t="shared" si="49"/>
        <v>402</v>
      </c>
      <c r="BU94" s="270">
        <f t="shared" si="49"/>
        <v>401</v>
      </c>
      <c r="BV94" s="270">
        <f t="shared" si="49"/>
        <v>402</v>
      </c>
      <c r="BW94" s="39">
        <f>VLOOKUP($A94,NetAdditions!$A$2:$H$336,6,FALSE)</f>
        <v>130</v>
      </c>
      <c r="BX94" s="39">
        <f>VLOOKUP($A94,NetAdditions!$A$2:$H$336,7,FALSE)</f>
        <v>200</v>
      </c>
      <c r="BY94" s="39">
        <f>IF((VLOOKUP($C94,NetAdditions!$A$2:$H$336,8,FALSE))="",(AVERAGE(VLOOKUP($C94,NetAdditions!$A$2:$H$336,5,FALSE),VLOOKUP($C94,NetAdditions!$A$2:$H$336,6,FALSE),VLOOKUP($C94,NetAdditions!$A$2:$H$336,7,FALSE))),VLOOKUP($C94,NetAdditions!$A$2:$H$336,8,FALSE))</f>
        <v>230</v>
      </c>
      <c r="BZ94" s="39">
        <f t="shared" si="54"/>
        <v>186.66666666666666</v>
      </c>
      <c r="CA94" s="39">
        <f t="shared" si="54"/>
        <v>205.55555555555554</v>
      </c>
      <c r="CB94" s="39">
        <f t="shared" si="54"/>
        <v>207.40740740740739</v>
      </c>
      <c r="CC94" s="39">
        <f t="shared" si="54"/>
        <v>199.87654320987653</v>
      </c>
      <c r="CD94" s="39">
        <f t="shared" si="54"/>
        <v>204.27983539094649</v>
      </c>
      <c r="CE94" s="276">
        <f t="shared" si="55"/>
        <v>2012</v>
      </c>
      <c r="CF94" s="276">
        <f t="shared" si="56"/>
        <v>1729</v>
      </c>
      <c r="CG94" s="276">
        <f t="shared" si="57"/>
        <v>1463</v>
      </c>
      <c r="CH94" s="276">
        <f t="shared" si="58"/>
        <v>1193</v>
      </c>
      <c r="CI94" s="276">
        <f t="shared" si="59"/>
        <v>1203</v>
      </c>
      <c r="CJ94" s="276">
        <f t="shared" si="60"/>
        <v>1205</v>
      </c>
      <c r="CK94" s="276">
        <f t="shared" si="80"/>
        <v>1732.5555555555557</v>
      </c>
      <c r="CL94" s="276">
        <f t="shared" si="81"/>
        <v>1488.8611111111111</v>
      </c>
      <c r="CM94" s="276">
        <f t="shared" si="82"/>
        <v>1341.0833333333333</v>
      </c>
      <c r="CN94" s="276">
        <f t="shared" si="83"/>
        <v>1193</v>
      </c>
      <c r="CO94" s="276">
        <f t="shared" si="83"/>
        <v>1203</v>
      </c>
      <c r="CP94" s="276">
        <f t="shared" si="83"/>
        <v>1205</v>
      </c>
      <c r="CQ94" s="39">
        <f t="shared" si="61"/>
        <v>560</v>
      </c>
      <c r="CR94" s="39">
        <f t="shared" si="62"/>
        <v>616.66666666666663</v>
      </c>
      <c r="CS94" s="277">
        <f t="shared" si="63"/>
        <v>622.22222222222217</v>
      </c>
      <c r="CT94" s="39">
        <f t="shared" si="64"/>
        <v>599.62962962962956</v>
      </c>
      <c r="CU94" s="39">
        <f t="shared" si="65"/>
        <v>612.83950617283949</v>
      </c>
      <c r="CV94" s="39">
        <f t="shared" si="66"/>
        <v>611.56378600823041</v>
      </c>
      <c r="CW94" s="297">
        <f t="shared" si="67"/>
        <v>0.32322195857115371</v>
      </c>
      <c r="CX94" s="279" t="str">
        <f t="shared" si="84"/>
        <v>Buffer and Action Plan</v>
      </c>
      <c r="CY94" s="278">
        <f t="shared" si="68"/>
        <v>0.41418683184387767</v>
      </c>
      <c r="CZ94" s="279" t="str">
        <f t="shared" si="85"/>
        <v>Presumption</v>
      </c>
      <c r="DA94" s="278">
        <f t="shared" si="69"/>
        <v>0.46396984196027258</v>
      </c>
      <c r="DB94" s="292" t="str">
        <f t="shared" si="86"/>
        <v>Presumption</v>
      </c>
      <c r="DC94" s="299">
        <f t="shared" si="87"/>
        <v>0.50262332743472726</v>
      </c>
      <c r="DD94" s="293" t="str">
        <f t="shared" si="88"/>
        <v>Presumption</v>
      </c>
      <c r="DE94" s="299">
        <f t="shared" si="89"/>
        <v>0.50942602341881915</v>
      </c>
      <c r="DF94" s="293" t="str">
        <f t="shared" si="90"/>
        <v>Presumption</v>
      </c>
      <c r="DG94" s="299">
        <f t="shared" si="91"/>
        <v>0.50752181411471409</v>
      </c>
      <c r="DH94" s="293" t="str">
        <f t="shared" si="92"/>
        <v>Presumption</v>
      </c>
    </row>
    <row r="95" spans="1:112" ht="15" thickTop="1" thickBot="1">
      <c r="A95" s="38" t="s">
        <v>300</v>
      </c>
      <c r="B95" s="38" t="s">
        <v>301</v>
      </c>
      <c r="C95" s="38" t="s">
        <v>300</v>
      </c>
      <c r="D95" s="38" t="s">
        <v>113</v>
      </c>
      <c r="E95" s="38" t="str">
        <f>VLOOKUP(C95,PoliticalControl!A:K,11,FALSE)</f>
        <v>LD</v>
      </c>
      <c r="F95" s="38" t="str">
        <f>VLOOKUP(C95,UrbanRuralClassification!A:N,13,FALSE)</f>
        <v>Urban with City and Town</v>
      </c>
      <c r="G95" s="38" t="str">
        <f>VLOOKUP(C95,UrbanRuralClassification!A:N,14,FALSE)</f>
        <v>Predominantly Urban</v>
      </c>
      <c r="H95" s="258" t="str">
        <f>IF(ISBLANK((VLOOKUP($A95,'local-plan-data'!$C$1:$AD$566,27,FALSE)))=TRUE,"",VLOOKUP($A95,'local-plan-data'!$C$1:$AD$566,27,FALSE))</f>
        <v/>
      </c>
      <c r="I95" s="259">
        <f>VLOOKUP($A95,'local-plan-data'!$C$1:$AD$566,28,FALSE)</f>
        <v>729</v>
      </c>
      <c r="J95" s="260">
        <f t="shared" si="70"/>
        <v>729</v>
      </c>
      <c r="K95" s="259" t="str">
        <f t="shared" si="96"/>
        <v>-</v>
      </c>
      <c r="L95" s="259" t="str">
        <f t="shared" si="93"/>
        <v>-</v>
      </c>
      <c r="M95" s="259" t="str">
        <f t="shared" si="93"/>
        <v>-</v>
      </c>
      <c r="N95" s="259" t="str">
        <f t="shared" si="93"/>
        <v>-</v>
      </c>
      <c r="O95" s="259" t="str">
        <f t="shared" si="93"/>
        <v>-</v>
      </c>
      <c r="P95" s="259" t="str">
        <f t="shared" si="93"/>
        <v>-</v>
      </c>
      <c r="Q95" s="259" t="str">
        <f t="shared" si="93"/>
        <v>-</v>
      </c>
      <c r="R95" s="259" t="str">
        <f t="shared" si="93"/>
        <v>-</v>
      </c>
      <c r="S95" s="259" t="str">
        <f t="shared" si="97"/>
        <v>-</v>
      </c>
      <c r="T95" s="259" t="str">
        <f t="shared" si="94"/>
        <v>-</v>
      </c>
      <c r="U95" s="259" t="str">
        <f t="shared" si="94"/>
        <v>-</v>
      </c>
      <c r="V95" s="259" t="str">
        <f t="shared" si="94"/>
        <v>-</v>
      </c>
      <c r="W95" s="259" t="str">
        <f t="shared" si="94"/>
        <v>-</v>
      </c>
      <c r="X95" s="259" t="str">
        <f t="shared" si="94"/>
        <v>-</v>
      </c>
      <c r="Y95" s="259" t="str">
        <f t="shared" si="94"/>
        <v>-</v>
      </c>
      <c r="Z95" s="259" t="str">
        <f t="shared" si="94"/>
        <v>-</v>
      </c>
      <c r="AA95" s="267">
        <f>(VLOOKUP(A95,Hshldprojections2014!$A$2:$AW$319,40, FALSE)-VLOOKUP(A95,Hshldprojections2014!$A$2:$AW$319,30, FALSE))/10</f>
        <v>522.20000000000005</v>
      </c>
      <c r="AB95" s="267">
        <f>(VLOOKUP(A95,Hshldprojections2014!$A$2:$AW$319,41, FALSE)-VLOOKUP(A95,Hshldprojections2014!$A$2:$AW$319,31, FALSE))/10</f>
        <v>513.9</v>
      </c>
      <c r="AC95" s="267">
        <f>(VLOOKUP(A95,Hshldprojections2014!$A$2:$AW$319,42, FALSE)-VLOOKUP(A95,Hshldprojections2014!$A$2:$AW$319,32, FALSE))/10</f>
        <v>506.4</v>
      </c>
      <c r="AD95" s="267">
        <f>IF(IndividualLATest!$J$7=2014,(VLOOKUP($A95,Hshldprojections2014!$A$2:$AY$326,43,FALSE)-VLOOKUP($A95,Hshldprojections2014!$A$2:$AY$326,33,FALSE))/10,IF(IndividualLATest!$J$7=2016,(VLOOKUP($A95,Hshldprojections2016!$A$1:$AQ$322,33,FALSE)-VLOOKUP($A95,Hshldprojections2016!$A$1:$AQ$322,23,FALSE))/10,(VLOOKUP($A95,Hshldprojections2018!$A$1:$AQ$327,33,FALSE)-VLOOKUP($A95,Hshldprojections2018!$A$1:$AQ$327,23,FALSE))/10))</f>
        <v>450.9</v>
      </c>
      <c r="AE95" s="267">
        <f>IF(IndividualLATest!$J$7=2014,(VLOOKUP($A95,Hshldprojections2014!$A$2:$AY$326,44,FALSE)-VLOOKUP($A95,Hshldprojections2014!$A$2:$AY$326,34,FALSE))/10,IF(IndividualLATest!$J$7=2016,(VLOOKUP($A95,Hshldprojections2016!$A$1:$AQ$322,34,FALSE)-VLOOKUP($A95,Hshldprojections2016!$A$1:$AQ$322,24,FALSE))/10,(VLOOKUP($A95,Hshldprojections2018!$A$1:$AQ$327,34,FALSE)-VLOOKUP($A95,Hshldprojections2018!$A$1:$AQ$327,24,FALSE))/10))</f>
        <v>436.8</v>
      </c>
      <c r="AF95" s="267">
        <f>IF(IndividualLATest!$J$7=2014,(VLOOKUP($A95,Hshldprojections2014!$A$2:$AY$326,45,FALSE)-VLOOKUP($A95,Hshldprojections2014!$A$2:$AY$326,35,FALSE))/10,IF(IndividualLATest!$J$7=2016,(VLOOKUP($A95,Hshldprojections2016!$A$1:$AQ$322,35,FALSE)-VLOOKUP($A95,Hshldprojections2016!$A$1:$AQ$322,25,FALSE))/10,(VLOOKUP($A95,Hshldprojections2018!$A$1:$AQ$327,35,FALSE)-VLOOKUP($A95,Hshldprojections2018!$A$1:$AQ$327,25,FALSE))/10))</f>
        <v>424.4</v>
      </c>
      <c r="AG95" s="267">
        <f>IF(IndividualLATest!$J$7=2014,(VLOOKUP($A95,Hshldprojections2014!$A$2:$AY$326,46,FALSE)-VLOOKUP($A95,Hshldprojections2014!$A$2:$AY$326,36,FALSE))/10,IF(IndividualLATest!$J$7=2016,(VLOOKUP($A95,Hshldprojections2016!$A$1:$AQ$322,36,FALSE)-VLOOKUP($A95,Hshldprojections2016!$A$1:$AQ$322,26,FALSE))/10,(VLOOKUP($A95,Hshldprojections2018!$A$1:$AQ$327,36,FALSE)-VLOOKUP($A95,Hshldprojections2018!$A$1:$AQ$327,26,FALSE))/10))</f>
        <v>412.6</v>
      </c>
      <c r="AH95" s="267">
        <f>IF(IndividualLATest!$J$7=2014,(VLOOKUP($A95,Hshldprojections2014!$A$2:$AY$326,47,FALSE)-VLOOKUP($A95,Hshldprojections2014!$A$2:$AY$326,37,FALSE))/10,IF(IndividualLATest!$J$7=2016,(VLOOKUP($A95,Hshldprojections2016!$A$1:$AQ$322,37,FALSE)-VLOOKUP($A95,Hshldprojections2016!$A$1:$AQ$322,27,FALSE))/10,(VLOOKUP($A95,Hshldprojections2018!$A$1:$AQ$327,37,FALSE)-VLOOKUP($A95,Hshldprojections2018!$A$1:$AQ$327,27,FALSE))/10))</f>
        <v>404.4</v>
      </c>
      <c r="AI95" s="268">
        <f>IF(ISNUMBER('Sensitivity Tests'!$C$30),'Sensitivity Tests'!$C$30,VLOOKUP($A95,AffordabilityRatio!$A$2:$I$321,5,FALSE))</f>
        <v>9.6199999999999992</v>
      </c>
      <c r="AJ95" s="268">
        <f>IF(ISNUMBER('Sensitivity Tests'!$C$30),'Sensitivity Tests'!$C$30,VLOOKUP($A95,AffordabilityRatio!$A$2:$I$321,6,FALSE))</f>
        <v>10.44</v>
      </c>
      <c r="AK95" s="268">
        <f>IF(ISNUMBER('Sensitivity Tests'!$C$30),'Sensitivity Tests'!$C$30,VLOOKUP($A95,AffordabilityRatio!$A$2:$I$321,7,FALSE))</f>
        <v>9.93</v>
      </c>
      <c r="AL95" s="268">
        <f>IF(ISNUMBER('Sensitivity Tests'!$C$30),'Sensitivity Tests'!$C$30,IF((VLOOKUP($A95,AffordabilityRatio!$A$2:$I$321,8,FALSE))="",AK95,VLOOKUP($A95,AffordabilityRatio!$A$2:$I$321,8,FALSE)))</f>
        <v>9.65</v>
      </c>
      <c r="AM95" s="268">
        <f>IF(ISNUMBER('Sensitivity Tests'!$C$30),'Sensitivity Tests'!$C$30,IF((VLOOKUP($A95,AffordabilityRatio!$A$2:$I$321,9,FALSE))="",AL95,VLOOKUP($A95,AffordabilityRatio!$A$2:$I$321,9,FALSE)))</f>
        <v>9.75</v>
      </c>
      <c r="AN95" s="268">
        <f>IF(ISNUMBER('Sensitivity Tests'!$C$30),'Sensitivity Tests'!$C$30,IF((VLOOKUP($A95,AffordabilityRatio!$A$2:$I$321,9,FALSE))="",AM95,VLOOKUP($A95,AffordabilityRatio!$A$2:$I$321,9,FALSE)))</f>
        <v>9.75</v>
      </c>
      <c r="AO95" s="268">
        <f>IF(ISNUMBER('Sensitivity Tests'!$C$30),'Sensitivity Tests'!$C$30,IF((VLOOKUP($A95,AffordabilityRatio!$A$2:$I$321,9,FALSE))="",AN95,VLOOKUP($A95,AffordabilityRatio!$A$2:$I$321,9,FALSE)))</f>
        <v>9.75</v>
      </c>
      <c r="AP95" s="268">
        <f>IF(ISNUMBER('Sensitivity Tests'!$C$30),'Sensitivity Tests'!$C$30,IF((VLOOKUP($A95,AffordabilityRatio!$A$2:$I$321,9,FALSE))="",AO95,VLOOKUP($A95,AffordabilityRatio!$A$2:$I$321,9,FALSE)))</f>
        <v>9.75</v>
      </c>
      <c r="AQ95" s="267">
        <f t="shared" si="98"/>
        <v>706</v>
      </c>
      <c r="AR95" s="267">
        <f t="shared" si="98"/>
        <v>721</v>
      </c>
      <c r="AS95" s="267">
        <f t="shared" si="98"/>
        <v>694</v>
      </c>
      <c r="AT95" s="267">
        <f t="shared" si="98"/>
        <v>610</v>
      </c>
      <c r="AU95" s="267">
        <f t="shared" si="98"/>
        <v>594</v>
      </c>
      <c r="AV95" s="267">
        <f t="shared" si="98"/>
        <v>577</v>
      </c>
      <c r="AW95" s="267">
        <f t="shared" si="98"/>
        <v>561</v>
      </c>
      <c r="AX95" s="267">
        <f t="shared" si="95"/>
        <v>550</v>
      </c>
      <c r="AY95" s="267">
        <f t="shared" si="71"/>
        <v>706</v>
      </c>
      <c r="AZ95" s="267">
        <f t="shared" si="72"/>
        <v>721</v>
      </c>
      <c r="BA95" s="267">
        <f t="shared" si="73"/>
        <v>694</v>
      </c>
      <c r="BB95" s="267">
        <f t="shared" si="74"/>
        <v>610</v>
      </c>
      <c r="BC95" s="267">
        <f t="shared" si="75"/>
        <v>594</v>
      </c>
      <c r="BD95" s="267">
        <f t="shared" si="76"/>
        <v>577</v>
      </c>
      <c r="BE95" s="267">
        <f t="shared" si="77"/>
        <v>561</v>
      </c>
      <c r="BF95" s="267">
        <f t="shared" si="78"/>
        <v>550</v>
      </c>
      <c r="BG95" s="269">
        <f>AY95*VLOOKUP($B95,'Major Cities &amp; Towns'!$A$28:$B$345,2,FALSE)</f>
        <v>706</v>
      </c>
      <c r="BH95" s="269">
        <f>AZ95*VLOOKUP($B95,'Major Cities &amp; Towns'!$A$28:$B$345,2,FALSE)</f>
        <v>721</v>
      </c>
      <c r="BI95" s="269">
        <f>BA95*VLOOKUP($B95,'Major Cities &amp; Towns'!$A$28:$B$345,2,FALSE)</f>
        <v>694</v>
      </c>
      <c r="BJ95" s="269">
        <f>BB95*VLOOKUP($B95,'Major Cities &amp; Towns'!$A$28:$B$345,2,FALSE)</f>
        <v>610</v>
      </c>
      <c r="BK95" s="269">
        <f>BC95*VLOOKUP($B95,'Major Cities &amp; Towns'!$A$28:$B$345,2,FALSE)</f>
        <v>594</v>
      </c>
      <c r="BL95" s="269">
        <f>BD95*VLOOKUP($B95,'Major Cities &amp; Towns'!$A$28:$B$345,2,FALSE)</f>
        <v>577</v>
      </c>
      <c r="BM95" s="269">
        <f>BE95*VLOOKUP($B95,'Major Cities &amp; Towns'!$A$28:$B$345,2,FALSE)</f>
        <v>561</v>
      </c>
      <c r="BN95" s="269">
        <f>BF95*VLOOKUP($B95,'Major Cities &amp; Towns'!$A$28:$B$345,2,FALSE)</f>
        <v>550</v>
      </c>
      <c r="BO95" s="270">
        <f t="shared" si="79"/>
        <v>706</v>
      </c>
      <c r="BP95" s="270">
        <f t="shared" si="50"/>
        <v>721</v>
      </c>
      <c r="BQ95" s="270">
        <f t="shared" si="50"/>
        <v>694</v>
      </c>
      <c r="BR95" s="270">
        <f t="shared" si="50"/>
        <v>610</v>
      </c>
      <c r="BS95" s="270">
        <f t="shared" si="49"/>
        <v>594</v>
      </c>
      <c r="BT95" s="270">
        <f t="shared" si="49"/>
        <v>577</v>
      </c>
      <c r="BU95" s="270">
        <f t="shared" si="49"/>
        <v>561</v>
      </c>
      <c r="BV95" s="270">
        <f t="shared" si="49"/>
        <v>550</v>
      </c>
      <c r="BW95" s="39">
        <f>VLOOKUP($A95,NetAdditions!$A$2:$H$336,6,FALSE)</f>
        <v>1162</v>
      </c>
      <c r="BX95" s="39">
        <f>VLOOKUP($A95,NetAdditions!$A$2:$H$336,7,FALSE)</f>
        <v>1223</v>
      </c>
      <c r="BY95" s="39">
        <f>IF((VLOOKUP($C95,NetAdditions!$A$2:$H$336,8,FALSE))="",(AVERAGE(VLOOKUP($C95,NetAdditions!$A$2:$H$336,5,FALSE),VLOOKUP($C95,NetAdditions!$A$2:$H$336,6,FALSE),VLOOKUP($C95,NetAdditions!$A$2:$H$336,7,FALSE))),VLOOKUP($C95,NetAdditions!$A$2:$H$336,8,FALSE))</f>
        <v>846</v>
      </c>
      <c r="BZ95" s="39">
        <f t="shared" si="54"/>
        <v>1077</v>
      </c>
      <c r="CA95" s="39">
        <f t="shared" si="54"/>
        <v>1048.6666666666667</v>
      </c>
      <c r="CB95" s="39">
        <f t="shared" si="54"/>
        <v>990.55555555555566</v>
      </c>
      <c r="CC95" s="39">
        <f t="shared" si="54"/>
        <v>1038.7407407407409</v>
      </c>
      <c r="CD95" s="39">
        <f t="shared" si="54"/>
        <v>1025.9876543209878</v>
      </c>
      <c r="CE95" s="276">
        <f t="shared" si="55"/>
        <v>2121</v>
      </c>
      <c r="CF95" s="276">
        <f t="shared" si="56"/>
        <v>2025</v>
      </c>
      <c r="CG95" s="276">
        <f t="shared" si="57"/>
        <v>1898</v>
      </c>
      <c r="CH95" s="276">
        <f t="shared" si="58"/>
        <v>1781</v>
      </c>
      <c r="CI95" s="276">
        <f t="shared" si="59"/>
        <v>1732</v>
      </c>
      <c r="CJ95" s="276">
        <f t="shared" si="60"/>
        <v>1688</v>
      </c>
      <c r="CK95" s="276">
        <f t="shared" si="80"/>
        <v>1826.4166666666667</v>
      </c>
      <c r="CL95" s="276">
        <f t="shared" si="81"/>
        <v>1743.75</v>
      </c>
      <c r="CM95" s="276">
        <f t="shared" si="82"/>
        <v>1739.8333333333333</v>
      </c>
      <c r="CN95" s="276">
        <f t="shared" si="83"/>
        <v>1781</v>
      </c>
      <c r="CO95" s="276">
        <f t="shared" si="83"/>
        <v>1732</v>
      </c>
      <c r="CP95" s="276">
        <f t="shared" si="83"/>
        <v>1688</v>
      </c>
      <c r="CQ95" s="39">
        <f t="shared" si="61"/>
        <v>3231</v>
      </c>
      <c r="CR95" s="39">
        <f t="shared" si="62"/>
        <v>3146</v>
      </c>
      <c r="CS95" s="277">
        <f t="shared" si="63"/>
        <v>2971.666666666667</v>
      </c>
      <c r="CT95" s="39">
        <f t="shared" si="64"/>
        <v>3116.2222222222226</v>
      </c>
      <c r="CU95" s="39">
        <f t="shared" si="65"/>
        <v>3077.9629629629635</v>
      </c>
      <c r="CV95" s="39">
        <f t="shared" si="66"/>
        <v>3055.2839506172841</v>
      </c>
      <c r="CW95" s="297">
        <f t="shared" si="67"/>
        <v>1.7690377332664142</v>
      </c>
      <c r="CX95" s="279" t="str">
        <f t="shared" si="84"/>
        <v>Pass</v>
      </c>
      <c r="CY95" s="278">
        <f t="shared" si="68"/>
        <v>1.8041577060931899</v>
      </c>
      <c r="CZ95" s="279" t="str">
        <f t="shared" si="85"/>
        <v>Pass</v>
      </c>
      <c r="DA95" s="278">
        <f t="shared" si="69"/>
        <v>1.7080180093878727</v>
      </c>
      <c r="DB95" s="292" t="str">
        <f t="shared" si="86"/>
        <v>Pass</v>
      </c>
      <c r="DC95" s="299">
        <f t="shared" si="87"/>
        <v>1.7497036621124216</v>
      </c>
      <c r="DD95" s="293" t="str">
        <f t="shared" si="88"/>
        <v>Pass</v>
      </c>
      <c r="DE95" s="299">
        <f t="shared" si="89"/>
        <v>1.7771148746899328</v>
      </c>
      <c r="DF95" s="293" t="str">
        <f t="shared" si="90"/>
        <v>Pass</v>
      </c>
      <c r="DG95" s="299">
        <f t="shared" si="91"/>
        <v>1.8100023404130829</v>
      </c>
      <c r="DH95" s="293" t="str">
        <f t="shared" si="92"/>
        <v>Pass</v>
      </c>
    </row>
    <row r="96" spans="1:112" ht="15" thickTop="1" thickBot="1">
      <c r="A96" s="38" t="s">
        <v>302</v>
      </c>
      <c r="B96" s="38" t="s">
        <v>303</v>
      </c>
      <c r="C96" s="38" t="s">
        <v>302</v>
      </c>
      <c r="D96" s="38" t="s">
        <v>116</v>
      </c>
      <c r="E96" s="38" t="str">
        <f>VLOOKUP(C96,PoliticalControl!A:K,11,FALSE)</f>
        <v>NOC</v>
      </c>
      <c r="F96" s="38" t="str">
        <f>VLOOKUP(C96,UrbanRuralClassification!A:N,13,FALSE)</f>
        <v xml:space="preserve">Mainly Rural (rural including hub towns &gt;=80%) </v>
      </c>
      <c r="G96" s="38" t="str">
        <f>VLOOKUP(C96,UrbanRuralClassification!A:N,14,FALSE)</f>
        <v>Predominantly Rural</v>
      </c>
      <c r="H96" s="258">
        <f>IF(ISBLANK((VLOOKUP($A96,'local-plan-data'!$C$1:$AD$566,27,FALSE)))=TRUE,"",VLOOKUP($A96,'local-plan-data'!$C$1:$AD$566,27,FALSE))</f>
        <v>43384</v>
      </c>
      <c r="I96" s="259">
        <f>VLOOKUP($A96,'local-plan-data'!$C$1:$AD$566,28,FALSE)</f>
        <v>242</v>
      </c>
      <c r="J96" s="260">
        <f t="shared" si="70"/>
        <v>242</v>
      </c>
      <c r="K96" s="259">
        <f t="shared" si="96"/>
        <v>242</v>
      </c>
      <c r="L96" s="259">
        <f t="shared" si="93"/>
        <v>242</v>
      </c>
      <c r="M96" s="259">
        <f t="shared" si="93"/>
        <v>242</v>
      </c>
      <c r="N96" s="259">
        <f t="shared" si="93"/>
        <v>242</v>
      </c>
      <c r="O96" s="259">
        <f t="shared" si="93"/>
        <v>242</v>
      </c>
      <c r="P96" s="259">
        <f t="shared" si="93"/>
        <v>242</v>
      </c>
      <c r="Q96" s="259" t="str">
        <f t="shared" si="93"/>
        <v>-</v>
      </c>
      <c r="R96" s="259" t="str">
        <f t="shared" si="93"/>
        <v>-</v>
      </c>
      <c r="S96" s="259">
        <f t="shared" si="97"/>
        <v>2019</v>
      </c>
      <c r="T96" s="259">
        <f t="shared" si="94"/>
        <v>1654</v>
      </c>
      <c r="U96" s="259">
        <f t="shared" si="94"/>
        <v>1288</v>
      </c>
      <c r="V96" s="259">
        <f t="shared" si="94"/>
        <v>923</v>
      </c>
      <c r="W96" s="259">
        <f t="shared" si="94"/>
        <v>558</v>
      </c>
      <c r="X96" s="259">
        <f t="shared" si="94"/>
        <v>193</v>
      </c>
      <c r="Y96" s="259">
        <f t="shared" si="94"/>
        <v>-173</v>
      </c>
      <c r="Z96" s="259">
        <f t="shared" si="94"/>
        <v>-538</v>
      </c>
      <c r="AA96" s="267">
        <f>(VLOOKUP(A96,Hshldprojections2014!$A$2:$AW$319,40, FALSE)-VLOOKUP(A96,Hshldprojections2014!$A$2:$AW$319,30, FALSE))/10</f>
        <v>81.7</v>
      </c>
      <c r="AB96" s="267">
        <f>(VLOOKUP(A96,Hshldprojections2014!$A$2:$AW$319,41, FALSE)-VLOOKUP(A96,Hshldprojections2014!$A$2:$AW$319,31, FALSE))/10</f>
        <v>78.5</v>
      </c>
      <c r="AC96" s="267">
        <f>(VLOOKUP(A96,Hshldprojections2014!$A$2:$AW$319,42, FALSE)-VLOOKUP(A96,Hshldprojections2014!$A$2:$AW$319,32, FALSE))/10</f>
        <v>76.2</v>
      </c>
      <c r="AD96" s="267">
        <f>IF(IndividualLATest!$J$7=2014,(VLOOKUP($A96,Hshldprojections2014!$A$2:$AY$326,43,FALSE)-VLOOKUP($A96,Hshldprojections2014!$A$2:$AY$326,33,FALSE))/10,IF(IndividualLATest!$J$7=2016,(VLOOKUP($A96,Hshldprojections2016!$A$1:$AQ$322,33,FALSE)-VLOOKUP($A96,Hshldprojections2016!$A$1:$AQ$322,23,FALSE))/10,(VLOOKUP($A96,Hshldprojections2018!$A$1:$AQ$327,33,FALSE)-VLOOKUP($A96,Hshldprojections2018!$A$1:$AQ$327,23,FALSE))/10))</f>
        <v>126.2</v>
      </c>
      <c r="AE96" s="267">
        <f>IF(IndividualLATest!$J$7=2014,(VLOOKUP($A96,Hshldprojections2014!$A$2:$AY$326,44,FALSE)-VLOOKUP($A96,Hshldprojections2014!$A$2:$AY$326,34,FALSE))/10,IF(IndividualLATest!$J$7=2016,(VLOOKUP($A96,Hshldprojections2016!$A$1:$AQ$322,34,FALSE)-VLOOKUP($A96,Hshldprojections2016!$A$1:$AQ$322,24,FALSE))/10,(VLOOKUP($A96,Hshldprojections2018!$A$1:$AQ$327,34,FALSE)-VLOOKUP($A96,Hshldprojections2018!$A$1:$AQ$327,24,FALSE))/10))</f>
        <v>120.2</v>
      </c>
      <c r="AF96" s="267">
        <f>IF(IndividualLATest!$J$7=2014,(VLOOKUP($A96,Hshldprojections2014!$A$2:$AY$326,45,FALSE)-VLOOKUP($A96,Hshldprojections2014!$A$2:$AY$326,35,FALSE))/10,IF(IndividualLATest!$J$7=2016,(VLOOKUP($A96,Hshldprojections2016!$A$1:$AQ$322,35,FALSE)-VLOOKUP($A96,Hshldprojections2016!$A$1:$AQ$322,25,FALSE))/10,(VLOOKUP($A96,Hshldprojections2018!$A$1:$AQ$327,35,FALSE)-VLOOKUP($A96,Hshldprojections2018!$A$1:$AQ$327,25,FALSE))/10))</f>
        <v>116.1</v>
      </c>
      <c r="AG96" s="267">
        <f>IF(IndividualLATest!$J$7=2014,(VLOOKUP($A96,Hshldprojections2014!$A$2:$AY$326,46,FALSE)-VLOOKUP($A96,Hshldprojections2014!$A$2:$AY$326,36,FALSE))/10,IF(IndividualLATest!$J$7=2016,(VLOOKUP($A96,Hshldprojections2016!$A$1:$AQ$322,36,FALSE)-VLOOKUP($A96,Hshldprojections2016!$A$1:$AQ$322,26,FALSE))/10,(VLOOKUP($A96,Hshldprojections2018!$A$1:$AQ$327,36,FALSE)-VLOOKUP($A96,Hshldprojections2018!$A$1:$AQ$327,26,FALSE))/10))</f>
        <v>110.2</v>
      </c>
      <c r="AH96" s="267">
        <f>IF(IndividualLATest!$J$7=2014,(VLOOKUP($A96,Hshldprojections2014!$A$2:$AY$326,47,FALSE)-VLOOKUP($A96,Hshldprojections2014!$A$2:$AY$326,37,FALSE))/10,IF(IndividualLATest!$J$7=2016,(VLOOKUP($A96,Hshldprojections2016!$A$1:$AQ$322,37,FALSE)-VLOOKUP($A96,Hshldprojections2016!$A$1:$AQ$322,27,FALSE))/10,(VLOOKUP($A96,Hshldprojections2018!$A$1:$AQ$327,37,FALSE)-VLOOKUP($A96,Hshldprojections2018!$A$1:$AQ$327,27,FALSE))/10))</f>
        <v>106.3</v>
      </c>
      <c r="AI96" s="268">
        <f>IF(ISNUMBER('Sensitivity Tests'!$C$30),'Sensitivity Tests'!$C$30,VLOOKUP($A96,AffordabilityRatio!$A$2:$I$321,5,FALSE))</f>
        <v>7.49</v>
      </c>
      <c r="AJ96" s="268">
        <f>IF(ISNUMBER('Sensitivity Tests'!$C$30),'Sensitivity Tests'!$C$30,VLOOKUP($A96,AffordabilityRatio!$A$2:$I$321,6,FALSE))</f>
        <v>8.58</v>
      </c>
      <c r="AK96" s="268">
        <f>IF(ISNUMBER('Sensitivity Tests'!$C$30),'Sensitivity Tests'!$C$30,VLOOKUP($A96,AffordabilityRatio!$A$2:$I$321,7,FALSE))</f>
        <v>7.51</v>
      </c>
      <c r="AL96" s="268">
        <f>IF(ISNUMBER('Sensitivity Tests'!$C$30),'Sensitivity Tests'!$C$30,IF((VLOOKUP($A96,AffordabilityRatio!$A$2:$I$321,8,FALSE))="",AK96,VLOOKUP($A96,AffordabilityRatio!$A$2:$I$321,8,FALSE)))</f>
        <v>7.38</v>
      </c>
      <c r="AM96" s="268">
        <f>IF(ISNUMBER('Sensitivity Tests'!$C$30),'Sensitivity Tests'!$C$30,IF((VLOOKUP($A96,AffordabilityRatio!$A$2:$I$321,9,FALSE))="",AL96,VLOOKUP($A96,AffordabilityRatio!$A$2:$I$321,9,FALSE)))</f>
        <v>8.39</v>
      </c>
      <c r="AN96" s="268">
        <f>IF(ISNUMBER('Sensitivity Tests'!$C$30),'Sensitivity Tests'!$C$30,IF((VLOOKUP($A96,AffordabilityRatio!$A$2:$I$321,9,FALSE))="",AM96,VLOOKUP($A96,AffordabilityRatio!$A$2:$I$321,9,FALSE)))</f>
        <v>8.39</v>
      </c>
      <c r="AO96" s="268">
        <f>IF(ISNUMBER('Sensitivity Tests'!$C$30),'Sensitivity Tests'!$C$30,IF((VLOOKUP($A96,AffordabilityRatio!$A$2:$I$321,9,FALSE))="",AN96,VLOOKUP($A96,AffordabilityRatio!$A$2:$I$321,9,FALSE)))</f>
        <v>8.39</v>
      </c>
      <c r="AP96" s="268">
        <f>IF(ISNUMBER('Sensitivity Tests'!$C$30),'Sensitivity Tests'!$C$30,IF((VLOOKUP($A96,AffordabilityRatio!$A$2:$I$321,9,FALSE))="",AO96,VLOOKUP($A96,AffordabilityRatio!$A$2:$I$321,9,FALSE)))</f>
        <v>8.39</v>
      </c>
      <c r="AQ96" s="267">
        <f t="shared" si="98"/>
        <v>100</v>
      </c>
      <c r="AR96" s="267">
        <f t="shared" si="98"/>
        <v>101</v>
      </c>
      <c r="AS96" s="267">
        <f t="shared" si="98"/>
        <v>93</v>
      </c>
      <c r="AT96" s="267">
        <f t="shared" si="98"/>
        <v>153</v>
      </c>
      <c r="AU96" s="267">
        <f t="shared" si="98"/>
        <v>153</v>
      </c>
      <c r="AV96" s="267">
        <f t="shared" si="98"/>
        <v>148</v>
      </c>
      <c r="AW96" s="267">
        <f t="shared" si="98"/>
        <v>140</v>
      </c>
      <c r="AX96" s="267">
        <f t="shared" si="95"/>
        <v>135</v>
      </c>
      <c r="AY96" s="267">
        <f t="shared" si="71"/>
        <v>100</v>
      </c>
      <c r="AZ96" s="267">
        <f t="shared" si="72"/>
        <v>101</v>
      </c>
      <c r="BA96" s="267">
        <f t="shared" si="73"/>
        <v>93</v>
      </c>
      <c r="BB96" s="267">
        <f t="shared" si="74"/>
        <v>153</v>
      </c>
      <c r="BC96" s="267">
        <f t="shared" si="75"/>
        <v>153</v>
      </c>
      <c r="BD96" s="267">
        <f t="shared" si="76"/>
        <v>148</v>
      </c>
      <c r="BE96" s="267">
        <f t="shared" si="77"/>
        <v>140</v>
      </c>
      <c r="BF96" s="267">
        <f t="shared" si="78"/>
        <v>135</v>
      </c>
      <c r="BG96" s="269">
        <f>AY96*VLOOKUP($B96,'Major Cities &amp; Towns'!$A$28:$B$345,2,FALSE)</f>
        <v>100</v>
      </c>
      <c r="BH96" s="269">
        <f>AZ96*VLOOKUP($B96,'Major Cities &amp; Towns'!$A$28:$B$345,2,FALSE)</f>
        <v>101</v>
      </c>
      <c r="BI96" s="269">
        <f>BA96*VLOOKUP($B96,'Major Cities &amp; Towns'!$A$28:$B$345,2,FALSE)</f>
        <v>93</v>
      </c>
      <c r="BJ96" s="269">
        <f>BB96*VLOOKUP($B96,'Major Cities &amp; Towns'!$A$28:$B$345,2,FALSE)</f>
        <v>153</v>
      </c>
      <c r="BK96" s="269">
        <f>BC96*VLOOKUP($B96,'Major Cities &amp; Towns'!$A$28:$B$345,2,FALSE)</f>
        <v>153</v>
      </c>
      <c r="BL96" s="269">
        <f>BD96*VLOOKUP($B96,'Major Cities &amp; Towns'!$A$28:$B$345,2,FALSE)</f>
        <v>148</v>
      </c>
      <c r="BM96" s="269">
        <f>BE96*VLOOKUP($B96,'Major Cities &amp; Towns'!$A$28:$B$345,2,FALSE)</f>
        <v>140</v>
      </c>
      <c r="BN96" s="269">
        <f>BF96*VLOOKUP($B96,'Major Cities &amp; Towns'!$A$28:$B$345,2,FALSE)</f>
        <v>135</v>
      </c>
      <c r="BO96" s="270">
        <f t="shared" si="79"/>
        <v>100</v>
      </c>
      <c r="BP96" s="270">
        <f t="shared" si="50"/>
        <v>101</v>
      </c>
      <c r="BQ96" s="270">
        <f t="shared" si="50"/>
        <v>93</v>
      </c>
      <c r="BR96" s="270">
        <f t="shared" si="50"/>
        <v>153</v>
      </c>
      <c r="BS96" s="270">
        <f t="shared" si="49"/>
        <v>153</v>
      </c>
      <c r="BT96" s="270">
        <f t="shared" si="49"/>
        <v>148</v>
      </c>
      <c r="BU96" s="270">
        <f t="shared" si="49"/>
        <v>140</v>
      </c>
      <c r="BV96" s="270">
        <f t="shared" si="49"/>
        <v>135</v>
      </c>
      <c r="BW96" s="39">
        <f>VLOOKUP($A96,NetAdditions!$A$2:$H$336,6,FALSE)</f>
        <v>308</v>
      </c>
      <c r="BX96" s="39">
        <f>VLOOKUP($A96,NetAdditions!$A$2:$H$336,7,FALSE)</f>
        <v>364</v>
      </c>
      <c r="BY96" s="39">
        <f>IF((VLOOKUP($C96,NetAdditions!$A$2:$H$336,8,FALSE))="",(AVERAGE(VLOOKUP($C96,NetAdditions!$A$2:$H$336,5,FALSE),VLOOKUP($C96,NetAdditions!$A$2:$H$336,6,FALSE),VLOOKUP($C96,NetAdditions!$A$2:$H$336,7,FALSE))),VLOOKUP($C96,NetAdditions!$A$2:$H$336,8,FALSE))</f>
        <v>265</v>
      </c>
      <c r="BZ96" s="39">
        <f t="shared" si="54"/>
        <v>312.33333333333331</v>
      </c>
      <c r="CA96" s="39">
        <f t="shared" si="54"/>
        <v>313.77777777777777</v>
      </c>
      <c r="CB96" s="39">
        <f t="shared" si="54"/>
        <v>297.03703703703701</v>
      </c>
      <c r="CC96" s="39">
        <f t="shared" si="54"/>
        <v>307.71604938271599</v>
      </c>
      <c r="CD96" s="39">
        <f t="shared" si="54"/>
        <v>306.17695473251024</v>
      </c>
      <c r="CE96" s="276">
        <f t="shared" si="55"/>
        <v>294</v>
      </c>
      <c r="CF96" s="276">
        <f t="shared" si="56"/>
        <v>347</v>
      </c>
      <c r="CG96" s="276">
        <f t="shared" si="57"/>
        <v>399</v>
      </c>
      <c r="CH96" s="276">
        <f t="shared" si="58"/>
        <v>454</v>
      </c>
      <c r="CI96" s="276">
        <f t="shared" si="59"/>
        <v>441</v>
      </c>
      <c r="CJ96" s="276">
        <f t="shared" si="60"/>
        <v>423</v>
      </c>
      <c r="CK96" s="276">
        <f t="shared" si="80"/>
        <v>253.16666666666669</v>
      </c>
      <c r="CL96" s="276">
        <f t="shared" si="81"/>
        <v>298.8055555555556</v>
      </c>
      <c r="CM96" s="276">
        <f t="shared" si="82"/>
        <v>365.75</v>
      </c>
      <c r="CN96" s="276">
        <f t="shared" si="83"/>
        <v>454</v>
      </c>
      <c r="CO96" s="276">
        <f t="shared" si="83"/>
        <v>441</v>
      </c>
      <c r="CP96" s="276">
        <f t="shared" si="83"/>
        <v>423</v>
      </c>
      <c r="CQ96" s="39">
        <f t="shared" si="61"/>
        <v>937</v>
      </c>
      <c r="CR96" s="39">
        <f t="shared" si="62"/>
        <v>941.33333333333326</v>
      </c>
      <c r="CS96" s="277">
        <f t="shared" si="63"/>
        <v>891.11111111111109</v>
      </c>
      <c r="CT96" s="39">
        <f t="shared" si="64"/>
        <v>923.14814814814804</v>
      </c>
      <c r="CU96" s="39">
        <f t="shared" si="65"/>
        <v>918.53086419753072</v>
      </c>
      <c r="CV96" s="39">
        <f t="shared" si="66"/>
        <v>910.93004115226324</v>
      </c>
      <c r="CW96" s="297">
        <f t="shared" si="67"/>
        <v>3.7011191573403552</v>
      </c>
      <c r="CX96" s="279" t="str">
        <f t="shared" si="84"/>
        <v>Pass</v>
      </c>
      <c r="CY96" s="278">
        <f t="shared" si="68"/>
        <v>3.1503207213907216</v>
      </c>
      <c r="CZ96" s="279" t="str">
        <f t="shared" si="85"/>
        <v>Pass</v>
      </c>
      <c r="DA96" s="278">
        <f t="shared" si="69"/>
        <v>2.4363940153413837</v>
      </c>
      <c r="DB96" s="292" t="str">
        <f t="shared" si="86"/>
        <v>Pass</v>
      </c>
      <c r="DC96" s="299">
        <f t="shared" si="87"/>
        <v>2.0333659650840263</v>
      </c>
      <c r="DD96" s="293" t="str">
        <f t="shared" si="88"/>
        <v>Pass</v>
      </c>
      <c r="DE96" s="299">
        <f t="shared" si="89"/>
        <v>2.0828364267517703</v>
      </c>
      <c r="DF96" s="293" t="str">
        <f t="shared" si="90"/>
        <v>Pass</v>
      </c>
      <c r="DG96" s="299">
        <f t="shared" si="91"/>
        <v>2.1534989152535773</v>
      </c>
      <c r="DH96" s="293" t="str">
        <f t="shared" si="92"/>
        <v>Pass</v>
      </c>
    </row>
    <row r="97" spans="1:112" ht="15" thickTop="1" thickBot="1">
      <c r="A97" s="38" t="s">
        <v>304</v>
      </c>
      <c r="B97" s="38" t="s">
        <v>305</v>
      </c>
      <c r="C97" s="38" t="s">
        <v>304</v>
      </c>
      <c r="D97" s="38" t="s">
        <v>113</v>
      </c>
      <c r="E97" s="38" t="str">
        <f>VLOOKUP(C97,PoliticalControl!A:K,11,FALSE)</f>
        <v>NOC</v>
      </c>
      <c r="F97" s="38" t="str">
        <f>VLOOKUP(C97,UrbanRuralClassification!A:N,13,FALSE)</f>
        <v>Urban with Major Conurbation</v>
      </c>
      <c r="G97" s="38" t="str">
        <f>VLOOKUP(C97,UrbanRuralClassification!A:N,14,FALSE)</f>
        <v>Predominantly Urban</v>
      </c>
      <c r="H97" s="258">
        <f>IF(ISBLANK((VLOOKUP($A97,'local-plan-data'!$C$1:$AD$566,27,FALSE)))=TRUE,"",VLOOKUP($A97,'local-plan-data'!$C$1:$AD$566,27,FALSE))</f>
        <v>40744</v>
      </c>
      <c r="I97" s="259">
        <f>VLOOKUP($A97,'local-plan-data'!$C$1:$AD$566,28,FALSE)</f>
        <v>225</v>
      </c>
      <c r="J97" s="260">
        <f t="shared" si="70"/>
        <v>225</v>
      </c>
      <c r="K97" s="259" t="str">
        <f t="shared" si="96"/>
        <v>-</v>
      </c>
      <c r="L97" s="259" t="str">
        <f t="shared" si="93"/>
        <v>-</v>
      </c>
      <c r="M97" s="259" t="str">
        <f t="shared" si="93"/>
        <v>-</v>
      </c>
      <c r="N97" s="259" t="str">
        <f t="shared" si="93"/>
        <v>-</v>
      </c>
      <c r="O97" s="259" t="str">
        <f t="shared" si="93"/>
        <v>-</v>
      </c>
      <c r="P97" s="259" t="str">
        <f t="shared" si="93"/>
        <v>-</v>
      </c>
      <c r="Q97" s="259" t="str">
        <f t="shared" si="93"/>
        <v>-</v>
      </c>
      <c r="R97" s="259" t="str">
        <f t="shared" si="93"/>
        <v>-</v>
      </c>
      <c r="S97" s="259">
        <f t="shared" si="97"/>
        <v>-620</v>
      </c>
      <c r="T97" s="259">
        <f t="shared" si="94"/>
        <v>-985</v>
      </c>
      <c r="U97" s="259">
        <f t="shared" si="94"/>
        <v>-1351</v>
      </c>
      <c r="V97" s="259">
        <f t="shared" si="94"/>
        <v>-1716</v>
      </c>
      <c r="W97" s="259">
        <f t="shared" si="94"/>
        <v>-2081</v>
      </c>
      <c r="X97" s="259">
        <f t="shared" si="94"/>
        <v>-2446</v>
      </c>
      <c r="Y97" s="259">
        <f t="shared" si="94"/>
        <v>-2812</v>
      </c>
      <c r="Z97" s="259">
        <f t="shared" si="94"/>
        <v>-3177</v>
      </c>
      <c r="AA97" s="267">
        <f>(VLOOKUP(A97,Hshldprojections2014!$A$2:$AW$319,40, FALSE)-VLOOKUP(A97,Hshldprojections2014!$A$2:$AW$319,30, FALSE))/10</f>
        <v>445.1</v>
      </c>
      <c r="AB97" s="267">
        <f>(VLOOKUP(A97,Hshldprojections2014!$A$2:$AW$319,41, FALSE)-VLOOKUP(A97,Hshldprojections2014!$A$2:$AW$319,31, FALSE))/10</f>
        <v>447.1</v>
      </c>
      <c r="AC97" s="267">
        <f>(VLOOKUP(A97,Hshldprojections2014!$A$2:$AW$319,42, FALSE)-VLOOKUP(A97,Hshldprojections2014!$A$2:$AW$319,32, FALSE))/10</f>
        <v>451.9</v>
      </c>
      <c r="AD97" s="267">
        <f>IF(IndividualLATest!$J$7=2014,(VLOOKUP($A97,Hshldprojections2014!$A$2:$AY$326,43,FALSE)-VLOOKUP($A97,Hshldprojections2014!$A$2:$AY$326,33,FALSE))/10,IF(IndividualLATest!$J$7=2016,(VLOOKUP($A97,Hshldprojections2016!$A$1:$AQ$322,33,FALSE)-VLOOKUP($A97,Hshldprojections2016!$A$1:$AQ$322,23,FALSE))/10,(VLOOKUP($A97,Hshldprojections2018!$A$1:$AQ$327,33,FALSE)-VLOOKUP($A97,Hshldprojections2018!$A$1:$AQ$327,23,FALSE))/10))</f>
        <v>252.1</v>
      </c>
      <c r="AE97" s="267">
        <f>IF(IndividualLATest!$J$7=2014,(VLOOKUP($A97,Hshldprojections2014!$A$2:$AY$326,44,FALSE)-VLOOKUP($A97,Hshldprojections2014!$A$2:$AY$326,34,FALSE))/10,IF(IndividualLATest!$J$7=2016,(VLOOKUP($A97,Hshldprojections2016!$A$1:$AQ$322,34,FALSE)-VLOOKUP($A97,Hshldprojections2016!$A$1:$AQ$322,24,FALSE))/10,(VLOOKUP($A97,Hshldprojections2018!$A$1:$AQ$327,34,FALSE)-VLOOKUP($A97,Hshldprojections2018!$A$1:$AQ$327,24,FALSE))/10))</f>
        <v>240.3</v>
      </c>
      <c r="AF97" s="267">
        <f>IF(IndividualLATest!$J$7=2014,(VLOOKUP($A97,Hshldprojections2014!$A$2:$AY$326,45,FALSE)-VLOOKUP($A97,Hshldprojections2014!$A$2:$AY$326,35,FALSE))/10,IF(IndividualLATest!$J$7=2016,(VLOOKUP($A97,Hshldprojections2016!$A$1:$AQ$322,35,FALSE)-VLOOKUP($A97,Hshldprojections2016!$A$1:$AQ$322,25,FALSE))/10,(VLOOKUP($A97,Hshldprojections2018!$A$1:$AQ$327,35,FALSE)-VLOOKUP($A97,Hshldprojections2018!$A$1:$AQ$327,25,FALSE))/10))</f>
        <v>230</v>
      </c>
      <c r="AG97" s="267">
        <f>IF(IndividualLATest!$J$7=2014,(VLOOKUP($A97,Hshldprojections2014!$A$2:$AY$326,46,FALSE)-VLOOKUP($A97,Hshldprojections2014!$A$2:$AY$326,36,FALSE))/10,IF(IndividualLATest!$J$7=2016,(VLOOKUP($A97,Hshldprojections2016!$A$1:$AQ$322,36,FALSE)-VLOOKUP($A97,Hshldprojections2016!$A$1:$AQ$322,26,FALSE))/10,(VLOOKUP($A97,Hshldprojections2018!$A$1:$AQ$327,36,FALSE)-VLOOKUP($A97,Hshldprojections2018!$A$1:$AQ$327,26,FALSE))/10))</f>
        <v>221.5</v>
      </c>
      <c r="AH97" s="267">
        <f>IF(IndividualLATest!$J$7=2014,(VLOOKUP($A97,Hshldprojections2014!$A$2:$AY$326,47,FALSE)-VLOOKUP($A97,Hshldprojections2014!$A$2:$AY$326,37,FALSE))/10,IF(IndividualLATest!$J$7=2016,(VLOOKUP($A97,Hshldprojections2016!$A$1:$AQ$322,37,FALSE)-VLOOKUP($A97,Hshldprojections2016!$A$1:$AQ$322,27,FALSE))/10,(VLOOKUP($A97,Hshldprojections2018!$A$1:$AQ$327,37,FALSE)-VLOOKUP($A97,Hshldprojections2018!$A$1:$AQ$327,27,FALSE))/10))</f>
        <v>216.6</v>
      </c>
      <c r="AI97" s="268">
        <f>IF(ISNUMBER('Sensitivity Tests'!$C$30),'Sensitivity Tests'!$C$30,VLOOKUP($A97,AffordabilityRatio!$A$2:$I$321,5,FALSE))</f>
        <v>16.53</v>
      </c>
      <c r="AJ97" s="268">
        <f>IF(ISNUMBER('Sensitivity Tests'!$C$30),'Sensitivity Tests'!$C$30,VLOOKUP($A97,AffordabilityRatio!$A$2:$I$321,6,FALSE))</f>
        <v>15.83</v>
      </c>
      <c r="AK97" s="268">
        <f>IF(ISNUMBER('Sensitivity Tests'!$C$30),'Sensitivity Tests'!$C$30,VLOOKUP($A97,AffordabilityRatio!$A$2:$I$321,7,FALSE))</f>
        <v>15.81</v>
      </c>
      <c r="AL97" s="268">
        <f>IF(ISNUMBER('Sensitivity Tests'!$C$30),'Sensitivity Tests'!$C$30,IF((VLOOKUP($A97,AffordabilityRatio!$A$2:$I$321,8,FALSE))="",AK97,VLOOKUP($A97,AffordabilityRatio!$A$2:$I$321,8,FALSE)))</f>
        <v>16.32</v>
      </c>
      <c r="AM97" s="268">
        <f>IF(ISNUMBER('Sensitivity Tests'!$C$30),'Sensitivity Tests'!$C$30,IF((VLOOKUP($A97,AffordabilityRatio!$A$2:$I$321,9,FALSE))="",AL97,VLOOKUP($A97,AffordabilityRatio!$A$2:$I$321,9,FALSE)))</f>
        <v>17.78</v>
      </c>
      <c r="AN97" s="268">
        <f>IF(ISNUMBER('Sensitivity Tests'!$C$30),'Sensitivity Tests'!$C$30,IF((VLOOKUP($A97,AffordabilityRatio!$A$2:$I$321,9,FALSE))="",AM97,VLOOKUP($A97,AffordabilityRatio!$A$2:$I$321,9,FALSE)))</f>
        <v>17.78</v>
      </c>
      <c r="AO97" s="268">
        <f>IF(ISNUMBER('Sensitivity Tests'!$C$30),'Sensitivity Tests'!$C$30,IF((VLOOKUP($A97,AffordabilityRatio!$A$2:$I$321,9,FALSE))="",AN97,VLOOKUP($A97,AffordabilityRatio!$A$2:$I$321,9,FALSE)))</f>
        <v>17.78</v>
      </c>
      <c r="AP97" s="268">
        <f>IF(ISNUMBER('Sensitivity Tests'!$C$30),'Sensitivity Tests'!$C$30,IF((VLOOKUP($A97,AffordabilityRatio!$A$2:$I$321,9,FALSE))="",AO97,VLOOKUP($A97,AffordabilityRatio!$A$2:$I$321,9,FALSE)))</f>
        <v>17.78</v>
      </c>
      <c r="AQ97" s="267">
        <f t="shared" si="98"/>
        <v>794</v>
      </c>
      <c r="AR97" s="267">
        <f t="shared" si="98"/>
        <v>778</v>
      </c>
      <c r="AS97" s="267">
        <f t="shared" si="98"/>
        <v>785</v>
      </c>
      <c r="AT97" s="267">
        <f t="shared" si="98"/>
        <v>446</v>
      </c>
      <c r="AU97" s="267">
        <f t="shared" si="98"/>
        <v>447</v>
      </c>
      <c r="AV97" s="267">
        <f t="shared" si="98"/>
        <v>428</v>
      </c>
      <c r="AW97" s="267">
        <f t="shared" si="98"/>
        <v>412</v>
      </c>
      <c r="AX97" s="267">
        <f t="shared" si="95"/>
        <v>403</v>
      </c>
      <c r="AY97" s="267">
        <f t="shared" si="71"/>
        <v>623.1400000000001</v>
      </c>
      <c r="AZ97" s="267">
        <f t="shared" si="72"/>
        <v>625.94000000000005</v>
      </c>
      <c r="BA97" s="267">
        <f t="shared" si="73"/>
        <v>632.66</v>
      </c>
      <c r="BB97" s="267">
        <f t="shared" si="74"/>
        <v>352.94</v>
      </c>
      <c r="BC97" s="267">
        <f t="shared" si="75"/>
        <v>336.42</v>
      </c>
      <c r="BD97" s="267">
        <f t="shared" si="76"/>
        <v>322</v>
      </c>
      <c r="BE97" s="267">
        <f t="shared" si="77"/>
        <v>315</v>
      </c>
      <c r="BF97" s="267">
        <f t="shared" si="78"/>
        <v>315</v>
      </c>
      <c r="BG97" s="269">
        <f>AY97*VLOOKUP($B97,'Major Cities &amp; Towns'!$A$28:$B$345,2,FALSE)</f>
        <v>623.1400000000001</v>
      </c>
      <c r="BH97" s="269">
        <f>AZ97*VLOOKUP($B97,'Major Cities &amp; Towns'!$A$28:$B$345,2,FALSE)</f>
        <v>625.94000000000005</v>
      </c>
      <c r="BI97" s="269">
        <f>BA97*VLOOKUP($B97,'Major Cities &amp; Towns'!$A$28:$B$345,2,FALSE)</f>
        <v>632.66</v>
      </c>
      <c r="BJ97" s="269">
        <f>BB97*VLOOKUP($B97,'Major Cities &amp; Towns'!$A$28:$B$345,2,FALSE)</f>
        <v>352.94</v>
      </c>
      <c r="BK97" s="269">
        <f>BC97*VLOOKUP($B97,'Major Cities &amp; Towns'!$A$28:$B$345,2,FALSE)</f>
        <v>336.42</v>
      </c>
      <c r="BL97" s="269">
        <f>BD97*VLOOKUP($B97,'Major Cities &amp; Towns'!$A$28:$B$345,2,FALSE)</f>
        <v>322</v>
      </c>
      <c r="BM97" s="269">
        <f>BE97*VLOOKUP($B97,'Major Cities &amp; Towns'!$A$28:$B$345,2,FALSE)</f>
        <v>315</v>
      </c>
      <c r="BN97" s="269">
        <f>BF97*VLOOKUP($B97,'Major Cities &amp; Towns'!$A$28:$B$345,2,FALSE)</f>
        <v>315</v>
      </c>
      <c r="BO97" s="270">
        <f t="shared" si="79"/>
        <v>794</v>
      </c>
      <c r="BP97" s="270">
        <f t="shared" si="50"/>
        <v>778</v>
      </c>
      <c r="BQ97" s="270">
        <f t="shared" si="50"/>
        <v>785</v>
      </c>
      <c r="BR97" s="270">
        <f t="shared" si="50"/>
        <v>446</v>
      </c>
      <c r="BS97" s="270">
        <f t="shared" si="49"/>
        <v>447</v>
      </c>
      <c r="BT97" s="270">
        <f t="shared" si="49"/>
        <v>428</v>
      </c>
      <c r="BU97" s="270">
        <f t="shared" si="49"/>
        <v>412</v>
      </c>
      <c r="BV97" s="270">
        <f t="shared" si="49"/>
        <v>403</v>
      </c>
      <c r="BW97" s="39">
        <f>VLOOKUP($A97,NetAdditions!$A$2:$H$336,6,FALSE)</f>
        <v>427</v>
      </c>
      <c r="BX97" s="39">
        <f>VLOOKUP($A97,NetAdditions!$A$2:$H$336,7,FALSE)</f>
        <v>396</v>
      </c>
      <c r="BY97" s="39">
        <f>IF((VLOOKUP($C97,NetAdditions!$A$2:$H$336,8,FALSE))="",(AVERAGE(VLOOKUP($C97,NetAdditions!$A$2:$H$336,5,FALSE),VLOOKUP($C97,NetAdditions!$A$2:$H$336,6,FALSE),VLOOKUP($C97,NetAdditions!$A$2:$H$336,7,FALSE))),VLOOKUP($C97,NetAdditions!$A$2:$H$336,8,FALSE))</f>
        <v>310</v>
      </c>
      <c r="BZ97" s="39">
        <f t="shared" si="54"/>
        <v>377.66666666666669</v>
      </c>
      <c r="CA97" s="39">
        <f t="shared" si="54"/>
        <v>361.22222222222223</v>
      </c>
      <c r="CB97" s="39">
        <f t="shared" si="54"/>
        <v>349.62962962962962</v>
      </c>
      <c r="CC97" s="39">
        <f t="shared" si="54"/>
        <v>362.83950617283949</v>
      </c>
      <c r="CD97" s="39">
        <f t="shared" si="54"/>
        <v>357.89711934156384</v>
      </c>
      <c r="CE97" s="276">
        <f t="shared" si="55"/>
        <v>2357</v>
      </c>
      <c r="CF97" s="276">
        <f t="shared" si="56"/>
        <v>2009</v>
      </c>
      <c r="CG97" s="276">
        <f t="shared" si="57"/>
        <v>1678</v>
      </c>
      <c r="CH97" s="276">
        <f t="shared" si="58"/>
        <v>1321</v>
      </c>
      <c r="CI97" s="276">
        <f t="shared" si="59"/>
        <v>1287</v>
      </c>
      <c r="CJ97" s="276">
        <f t="shared" si="60"/>
        <v>1243</v>
      </c>
      <c r="CK97" s="276">
        <f t="shared" si="80"/>
        <v>2029.6388888888889</v>
      </c>
      <c r="CL97" s="276">
        <f t="shared" si="81"/>
        <v>1729.9722222222224</v>
      </c>
      <c r="CM97" s="276">
        <f t="shared" si="82"/>
        <v>1538.1666666666665</v>
      </c>
      <c r="CN97" s="276">
        <f t="shared" si="83"/>
        <v>1321</v>
      </c>
      <c r="CO97" s="276">
        <f t="shared" si="83"/>
        <v>1287</v>
      </c>
      <c r="CP97" s="276">
        <f t="shared" si="83"/>
        <v>1243</v>
      </c>
      <c r="CQ97" s="39">
        <f t="shared" si="61"/>
        <v>1133</v>
      </c>
      <c r="CR97" s="39">
        <f t="shared" si="62"/>
        <v>1083.6666666666667</v>
      </c>
      <c r="CS97" s="277">
        <f t="shared" si="63"/>
        <v>1048.8888888888889</v>
      </c>
      <c r="CT97" s="39">
        <f t="shared" si="64"/>
        <v>1088.5185185185185</v>
      </c>
      <c r="CU97" s="39">
        <f t="shared" si="65"/>
        <v>1073.6913580246915</v>
      </c>
      <c r="CV97" s="39">
        <f t="shared" si="66"/>
        <v>1070.3662551440329</v>
      </c>
      <c r="CW97" s="297">
        <f t="shared" si="67"/>
        <v>0.55822738034954222</v>
      </c>
      <c r="CX97" s="279" t="str">
        <f t="shared" si="84"/>
        <v>Buffer and Action Plan</v>
      </c>
      <c r="CY97" s="278">
        <f t="shared" si="68"/>
        <v>0.6264069750638257</v>
      </c>
      <c r="CZ97" s="279" t="str">
        <f t="shared" si="85"/>
        <v>Buffer and Action Plan</v>
      </c>
      <c r="DA97" s="278">
        <f t="shared" si="69"/>
        <v>0.68190847690251755</v>
      </c>
      <c r="DB97" s="292" t="str">
        <f t="shared" si="86"/>
        <v>Presumption</v>
      </c>
      <c r="DC97" s="299">
        <f t="shared" si="87"/>
        <v>0.82401099055149019</v>
      </c>
      <c r="DD97" s="293" t="str">
        <f t="shared" si="88"/>
        <v>Buffer and Action Plan</v>
      </c>
      <c r="DE97" s="299">
        <f t="shared" si="89"/>
        <v>0.83425901944420466</v>
      </c>
      <c r="DF97" s="293" t="str">
        <f t="shared" si="90"/>
        <v>Buffer and Action Plan</v>
      </c>
      <c r="DG97" s="299">
        <f t="shared" si="91"/>
        <v>0.86111524951249629</v>
      </c>
      <c r="DH97" s="293" t="str">
        <f t="shared" si="92"/>
        <v>Action Plan</v>
      </c>
    </row>
    <row r="98" spans="1:112" customFormat="1" ht="15.5" thickTop="1" thickBot="1">
      <c r="A98" s="3" t="s">
        <v>306</v>
      </c>
      <c r="B98" s="3" t="s">
        <v>307</v>
      </c>
      <c r="C98" s="3" t="s">
        <v>306</v>
      </c>
      <c r="D98" s="3" t="s">
        <v>131</v>
      </c>
      <c r="E98" s="3" t="str">
        <f>VLOOKUP(C98,PoliticalControl!A:K,11,FALSE)</f>
        <v>LAB</v>
      </c>
      <c r="F98" s="3" t="str">
        <f>VLOOKUP(C98,UrbanRuralClassification!A:N,13,FALSE)</f>
        <v>Urban with Major Conurbation</v>
      </c>
      <c r="G98" s="3" t="str">
        <f>VLOOKUP(C98,UrbanRuralClassification!A:N,14,FALSE)</f>
        <v>Predominantly Urban</v>
      </c>
      <c r="H98" s="262">
        <f>IF(ISBLANK((VLOOKUP($A98,'local-plan-data'!$C$1:$AD$566,27,FALSE)))=TRUE,"",VLOOKUP($A98,'local-plan-data'!$C$1:$AD$566,27,FALSE))</f>
        <v>40492</v>
      </c>
      <c r="I98" s="263">
        <f>VLOOKUP($A98,'local-plan-data'!$C$1:$AD$566,28,FALSE)</f>
        <v>733.33333333333337</v>
      </c>
      <c r="J98" s="264">
        <f t="shared" si="70"/>
        <v>733.33333333333337</v>
      </c>
      <c r="K98" s="259" t="str">
        <f t="shared" si="96"/>
        <v>-</v>
      </c>
      <c r="L98" s="259" t="str">
        <f t="shared" si="93"/>
        <v>-</v>
      </c>
      <c r="M98" s="259" t="str">
        <f t="shared" si="93"/>
        <v>-</v>
      </c>
      <c r="N98" s="259" t="str">
        <f t="shared" si="93"/>
        <v>-</v>
      </c>
      <c r="O98" s="259" t="str">
        <f t="shared" si="93"/>
        <v>-</v>
      </c>
      <c r="P98" s="259" t="str">
        <f t="shared" si="93"/>
        <v>-</v>
      </c>
      <c r="Q98" s="259" t="str">
        <f t="shared" si="93"/>
        <v>-</v>
      </c>
      <c r="R98" s="259" t="str">
        <f t="shared" si="93"/>
        <v>-</v>
      </c>
      <c r="S98" s="259">
        <f t="shared" si="97"/>
        <v>-873</v>
      </c>
      <c r="T98" s="259">
        <f t="shared" si="94"/>
        <v>-1238</v>
      </c>
      <c r="U98" s="259">
        <f t="shared" si="94"/>
        <v>-1604</v>
      </c>
      <c r="V98" s="259">
        <f t="shared" si="94"/>
        <v>-1969</v>
      </c>
      <c r="W98" s="259">
        <f t="shared" si="94"/>
        <v>-2334</v>
      </c>
      <c r="X98" s="259">
        <f t="shared" si="94"/>
        <v>-2699</v>
      </c>
      <c r="Y98" s="259">
        <f t="shared" si="94"/>
        <v>-3065</v>
      </c>
      <c r="Z98" s="259">
        <f t="shared" si="94"/>
        <v>-3430</v>
      </c>
      <c r="AA98" s="267">
        <f>(VLOOKUP(A98,Hshldprojections2014!$A$2:$AW$319,40, FALSE)-VLOOKUP(A98,Hshldprojections2014!$A$2:$AW$319,30, FALSE))/10</f>
        <v>2351.1</v>
      </c>
      <c r="AB98" s="267">
        <f>(VLOOKUP(A98,Hshldprojections2014!$A$2:$AW$319,41, FALSE)-VLOOKUP(A98,Hshldprojections2014!$A$2:$AW$319,31, FALSE))/10</f>
        <v>2341</v>
      </c>
      <c r="AC98" s="267">
        <f>(VLOOKUP(A98,Hshldprojections2014!$A$2:$AW$319,42, FALSE)-VLOOKUP(A98,Hshldprojections2014!$A$2:$AW$319,32, FALSE))/10</f>
        <v>2326.6999999999998</v>
      </c>
      <c r="AD98" s="267">
        <f>IF(IndividualLATest!$J$7=2014,(VLOOKUP($A98,Hshldprojections2014!$A$2:$AY$326,43,FALSE)-VLOOKUP($A98,Hshldprojections2014!$A$2:$AY$326,33,FALSE))/10,IF(IndividualLATest!$J$7=2016,(VLOOKUP($A98,Hshldprojections2016!$A$1:$AQ$322,33,FALSE)-VLOOKUP($A98,Hshldprojections2016!$A$1:$AQ$322,23,FALSE))/10,(VLOOKUP($A98,Hshldprojections2018!$A$1:$AQ$327,33,FALSE)-VLOOKUP($A98,Hshldprojections2018!$A$1:$AQ$327,23,FALSE))/10))</f>
        <v>683.4</v>
      </c>
      <c r="AE98" s="267">
        <f>IF(IndividualLATest!$J$7=2014,(VLOOKUP($A98,Hshldprojections2014!$A$2:$AY$326,44,FALSE)-VLOOKUP($A98,Hshldprojections2014!$A$2:$AY$326,34,FALSE))/10,IF(IndividualLATest!$J$7=2016,(VLOOKUP($A98,Hshldprojections2016!$A$1:$AQ$322,34,FALSE)-VLOOKUP($A98,Hshldprojections2016!$A$1:$AQ$322,24,FALSE))/10,(VLOOKUP($A98,Hshldprojections2018!$A$1:$AQ$327,34,FALSE)-VLOOKUP($A98,Hshldprojections2018!$A$1:$AQ$327,24,FALSE))/10))</f>
        <v>666</v>
      </c>
      <c r="AF98" s="267">
        <f>IF(IndividualLATest!$J$7=2014,(VLOOKUP($A98,Hshldprojections2014!$A$2:$AY$326,45,FALSE)-VLOOKUP($A98,Hshldprojections2014!$A$2:$AY$326,35,FALSE))/10,IF(IndividualLATest!$J$7=2016,(VLOOKUP($A98,Hshldprojections2016!$A$1:$AQ$322,35,FALSE)-VLOOKUP($A98,Hshldprojections2016!$A$1:$AQ$322,25,FALSE))/10,(VLOOKUP($A98,Hshldprojections2018!$A$1:$AQ$327,35,FALSE)-VLOOKUP($A98,Hshldprojections2018!$A$1:$AQ$327,25,FALSE))/10))</f>
        <v>658.3</v>
      </c>
      <c r="AG98" s="267">
        <f>IF(IndividualLATest!$J$7=2014,(VLOOKUP($A98,Hshldprojections2014!$A$2:$AY$326,46,FALSE)-VLOOKUP($A98,Hshldprojections2014!$A$2:$AY$326,36,FALSE))/10,IF(IndividualLATest!$J$7=2016,(VLOOKUP($A98,Hshldprojections2016!$A$1:$AQ$322,36,FALSE)-VLOOKUP($A98,Hshldprojections2016!$A$1:$AQ$322,26,FALSE))/10,(VLOOKUP($A98,Hshldprojections2018!$A$1:$AQ$327,36,FALSE)-VLOOKUP($A98,Hshldprojections2018!$A$1:$AQ$327,26,FALSE))/10))</f>
        <v>653.79999999999995</v>
      </c>
      <c r="AH98" s="267">
        <f>IF(IndividualLATest!$J$7=2014,(VLOOKUP($A98,Hshldprojections2014!$A$2:$AY$326,47,FALSE)-VLOOKUP($A98,Hshldprojections2014!$A$2:$AY$326,37,FALSE))/10,IF(IndividualLATest!$J$7=2016,(VLOOKUP($A98,Hshldprojections2016!$A$1:$AQ$322,37,FALSE)-VLOOKUP($A98,Hshldprojections2016!$A$1:$AQ$322,27,FALSE))/10,(VLOOKUP($A98,Hshldprojections2018!$A$1:$AQ$327,37,FALSE)-VLOOKUP($A98,Hshldprojections2018!$A$1:$AQ$327,27,FALSE))/10))</f>
        <v>655.29999999999995</v>
      </c>
      <c r="AI98" s="268">
        <f>IF(ISNUMBER('Sensitivity Tests'!$C$30),'Sensitivity Tests'!$C$30,VLOOKUP($A98,AffordabilityRatio!$A$2:$I$321,5,FALSE))</f>
        <v>13.81</v>
      </c>
      <c r="AJ98" s="268">
        <f>IF(ISNUMBER('Sensitivity Tests'!$C$30),'Sensitivity Tests'!$C$30,VLOOKUP($A98,AffordabilityRatio!$A$2:$I$321,6,FALSE))</f>
        <v>13.68</v>
      </c>
      <c r="AK98" s="268">
        <f>IF(ISNUMBER('Sensitivity Tests'!$C$30),'Sensitivity Tests'!$C$30,VLOOKUP($A98,AffordabilityRatio!$A$2:$I$321,7,FALSE))</f>
        <v>14.49</v>
      </c>
      <c r="AL98" s="268">
        <f>IF(ISNUMBER('Sensitivity Tests'!$C$30),'Sensitivity Tests'!$C$30,IF((VLOOKUP($A98,AffordabilityRatio!$A$2:$I$321,8,FALSE))="",AK98,VLOOKUP($A98,AffordabilityRatio!$A$2:$I$321,8,FALSE)))</f>
        <v>13.49</v>
      </c>
      <c r="AM98" s="268">
        <f>IF(ISNUMBER('Sensitivity Tests'!$C$30),'Sensitivity Tests'!$C$30,IF((VLOOKUP($A98,AffordabilityRatio!$A$2:$I$321,9,FALSE))="",AL98,VLOOKUP($A98,AffordabilityRatio!$A$2:$I$321,9,FALSE)))</f>
        <v>14.92</v>
      </c>
      <c r="AN98" s="268">
        <f>IF(ISNUMBER('Sensitivity Tests'!$C$30),'Sensitivity Tests'!$C$30,IF((VLOOKUP($A98,AffordabilityRatio!$A$2:$I$321,9,FALSE))="",AM98,VLOOKUP($A98,AffordabilityRatio!$A$2:$I$321,9,FALSE)))</f>
        <v>14.92</v>
      </c>
      <c r="AO98" s="268">
        <f>IF(ISNUMBER('Sensitivity Tests'!$C$30),'Sensitivity Tests'!$C$30,IF((VLOOKUP($A98,AffordabilityRatio!$A$2:$I$321,9,FALSE))="",AN98,VLOOKUP($A98,AffordabilityRatio!$A$2:$I$321,9,FALSE)))</f>
        <v>14.92</v>
      </c>
      <c r="AP98" s="268">
        <f>IF(ISNUMBER('Sensitivity Tests'!$C$30),'Sensitivity Tests'!$C$30,IF((VLOOKUP($A98,AffordabilityRatio!$A$2:$I$321,9,FALSE))="",AO98,VLOOKUP($A98,AffordabilityRatio!$A$2:$I$321,9,FALSE)))</f>
        <v>14.92</v>
      </c>
      <c r="AQ98" s="267">
        <f t="shared" si="98"/>
        <v>3793</v>
      </c>
      <c r="AR98" s="267">
        <f t="shared" si="98"/>
        <v>3757</v>
      </c>
      <c r="AS98" s="267">
        <f t="shared" si="98"/>
        <v>3852</v>
      </c>
      <c r="AT98" s="267">
        <f t="shared" si="98"/>
        <v>1089</v>
      </c>
      <c r="AU98" s="267">
        <f t="shared" si="98"/>
        <v>1121</v>
      </c>
      <c r="AV98" s="267">
        <f t="shared" si="98"/>
        <v>1108</v>
      </c>
      <c r="AW98" s="267">
        <f t="shared" si="98"/>
        <v>1100</v>
      </c>
      <c r="AX98" s="267">
        <f t="shared" si="95"/>
        <v>1103</v>
      </c>
      <c r="AY98" s="267">
        <f t="shared" si="71"/>
        <v>3291.54</v>
      </c>
      <c r="AZ98" s="267">
        <f t="shared" si="72"/>
        <v>3277.4</v>
      </c>
      <c r="BA98" s="267">
        <f t="shared" si="73"/>
        <v>3257.3799999999997</v>
      </c>
      <c r="BB98" s="267">
        <f t="shared" si="74"/>
        <v>1026.6666666666667</v>
      </c>
      <c r="BC98" s="267">
        <f t="shared" si="75"/>
        <v>1026.6666666666667</v>
      </c>
      <c r="BD98" s="267">
        <f t="shared" si="76"/>
        <v>1026.6666666666667</v>
      </c>
      <c r="BE98" s="267">
        <f t="shared" si="77"/>
        <v>1026.6666666666667</v>
      </c>
      <c r="BF98" s="267">
        <f t="shared" si="78"/>
        <v>1026.6666666666667</v>
      </c>
      <c r="BG98" s="269">
        <f>AY98*VLOOKUP($B98,'Major Cities &amp; Towns'!$A$28:$B$345,2,FALSE)</f>
        <v>4443.5790000000006</v>
      </c>
      <c r="BH98" s="269">
        <f>AZ98*VLOOKUP($B98,'Major Cities &amp; Towns'!$A$28:$B$345,2,FALSE)</f>
        <v>4424.4900000000007</v>
      </c>
      <c r="BI98" s="269">
        <f>BA98*VLOOKUP($B98,'Major Cities &amp; Towns'!$A$28:$B$345,2,FALSE)</f>
        <v>4397.4629999999997</v>
      </c>
      <c r="BJ98" s="269">
        <f>BB98*VLOOKUP($B98,'Major Cities &amp; Towns'!$A$28:$B$345,2,FALSE)</f>
        <v>1386.0000000000002</v>
      </c>
      <c r="BK98" s="269">
        <f>BC98*VLOOKUP($B98,'Major Cities &amp; Towns'!$A$28:$B$345,2,FALSE)</f>
        <v>1386.0000000000002</v>
      </c>
      <c r="BL98" s="269">
        <f>BD98*VLOOKUP($B98,'Major Cities &amp; Towns'!$A$28:$B$345,2,FALSE)</f>
        <v>1386.0000000000002</v>
      </c>
      <c r="BM98" s="269">
        <f>BE98*VLOOKUP($B98,'Major Cities &amp; Towns'!$A$28:$B$345,2,FALSE)</f>
        <v>1386.0000000000002</v>
      </c>
      <c r="BN98" s="269">
        <f>BF98*VLOOKUP($B98,'Major Cities &amp; Towns'!$A$28:$B$345,2,FALSE)</f>
        <v>1386.0000000000002</v>
      </c>
      <c r="BO98" s="270">
        <f t="shared" si="79"/>
        <v>3793</v>
      </c>
      <c r="BP98" s="270">
        <f t="shared" si="50"/>
        <v>3757</v>
      </c>
      <c r="BQ98" s="270">
        <f t="shared" si="50"/>
        <v>3852</v>
      </c>
      <c r="BR98" s="270">
        <f t="shared" si="50"/>
        <v>1089</v>
      </c>
      <c r="BS98" s="270">
        <f t="shared" si="49"/>
        <v>1121</v>
      </c>
      <c r="BT98" s="270">
        <f t="shared" si="49"/>
        <v>1108</v>
      </c>
      <c r="BU98" s="270">
        <f t="shared" si="49"/>
        <v>1100</v>
      </c>
      <c r="BV98" s="270">
        <f t="shared" si="49"/>
        <v>1103</v>
      </c>
      <c r="BW98" s="39">
        <f>VLOOKUP($A98,NetAdditions!$A$2:$H$336,6,FALSE)</f>
        <v>500</v>
      </c>
      <c r="BX98" s="39">
        <f>VLOOKUP($A98,NetAdditions!$A$2:$H$336,7,FALSE)</f>
        <v>420</v>
      </c>
      <c r="BY98" s="39">
        <f>IF((VLOOKUP($C98,NetAdditions!$A$2:$H$336,8,FALSE))="",(AVERAGE(VLOOKUP($C98,NetAdditions!$A$2:$H$336,5,FALSE),VLOOKUP($C98,NetAdditions!$A$2:$H$336,6,FALSE),VLOOKUP($C98,NetAdditions!$A$2:$H$336,7,FALSE))),VLOOKUP($C98,NetAdditions!$A$2:$H$336,8,FALSE))</f>
        <v>797</v>
      </c>
      <c r="BZ98" s="39">
        <f t="shared" si="54"/>
        <v>572.33333333333337</v>
      </c>
      <c r="CA98" s="39">
        <f t="shared" si="54"/>
        <v>596.44444444444446</v>
      </c>
      <c r="CB98" s="39">
        <f t="shared" si="54"/>
        <v>655.25925925925924</v>
      </c>
      <c r="CC98" s="39">
        <f t="shared" si="54"/>
        <v>608.01234567901236</v>
      </c>
      <c r="CD98" s="39">
        <f t="shared" si="54"/>
        <v>619.90534979423865</v>
      </c>
      <c r="CE98" s="276">
        <f t="shared" si="55"/>
        <v>11402</v>
      </c>
      <c r="CF98" s="276">
        <f t="shared" si="56"/>
        <v>8698</v>
      </c>
      <c r="CG98" s="276">
        <f t="shared" si="57"/>
        <v>6062</v>
      </c>
      <c r="CH98" s="276">
        <f t="shared" si="58"/>
        <v>3318</v>
      </c>
      <c r="CI98" s="276">
        <f t="shared" si="59"/>
        <v>3329</v>
      </c>
      <c r="CJ98" s="276">
        <f t="shared" si="60"/>
        <v>3311</v>
      </c>
      <c r="CK98" s="276">
        <f t="shared" si="80"/>
        <v>9818.3888888888887</v>
      </c>
      <c r="CL98" s="276">
        <f t="shared" si="81"/>
        <v>7489.9444444444453</v>
      </c>
      <c r="CM98" s="276">
        <f t="shared" si="82"/>
        <v>5556.833333333333</v>
      </c>
      <c r="CN98" s="276">
        <f t="shared" si="83"/>
        <v>3318</v>
      </c>
      <c r="CO98" s="276">
        <f t="shared" si="83"/>
        <v>3329</v>
      </c>
      <c r="CP98" s="276">
        <f t="shared" si="83"/>
        <v>3311</v>
      </c>
      <c r="CQ98" s="39">
        <f t="shared" si="61"/>
        <v>1717</v>
      </c>
      <c r="CR98" s="39">
        <f t="shared" si="62"/>
        <v>1789.3333333333335</v>
      </c>
      <c r="CS98" s="277">
        <f t="shared" si="63"/>
        <v>1965.7777777777778</v>
      </c>
      <c r="CT98" s="39">
        <f t="shared" si="64"/>
        <v>1824.037037037037</v>
      </c>
      <c r="CU98" s="39">
        <f t="shared" si="65"/>
        <v>1859.7160493827159</v>
      </c>
      <c r="CV98" s="39">
        <f t="shared" si="66"/>
        <v>1883.1769547325102</v>
      </c>
      <c r="CW98" s="297">
        <f t="shared" si="67"/>
        <v>0.17487594140247043</v>
      </c>
      <c r="CX98" s="279" t="str">
        <f t="shared" si="84"/>
        <v>Presumption</v>
      </c>
      <c r="CY98" s="278">
        <f t="shared" si="68"/>
        <v>0.23889807816405698</v>
      </c>
      <c r="CZ98" s="279" t="str">
        <f t="shared" si="85"/>
        <v>Presumption</v>
      </c>
      <c r="DA98" s="278">
        <f t="shared" si="69"/>
        <v>0.35375863551383185</v>
      </c>
      <c r="DB98" s="292" t="str">
        <f t="shared" si="86"/>
        <v>Presumption</v>
      </c>
      <c r="DC98" s="299">
        <f t="shared" si="87"/>
        <v>0.54973991471881767</v>
      </c>
      <c r="DD98" s="293" t="str">
        <f t="shared" si="88"/>
        <v>Presumption</v>
      </c>
      <c r="DE98" s="299">
        <f t="shared" si="89"/>
        <v>0.55864104817744542</v>
      </c>
      <c r="DF98" s="293" t="str">
        <f t="shared" si="90"/>
        <v>Presumption</v>
      </c>
      <c r="DG98" s="299">
        <f t="shared" si="91"/>
        <v>0.56876380390592274</v>
      </c>
      <c r="DH98" s="293" t="str">
        <f t="shared" si="92"/>
        <v>Presumption</v>
      </c>
    </row>
    <row r="99" spans="1:112" ht="15" thickTop="1" thickBot="1">
      <c r="A99" s="38" t="s">
        <v>308</v>
      </c>
      <c r="B99" s="38" t="s">
        <v>309</v>
      </c>
      <c r="C99" s="38" t="s">
        <v>308</v>
      </c>
      <c r="D99" s="38" t="s">
        <v>128</v>
      </c>
      <c r="E99" s="38" t="str">
        <f>VLOOKUP(C99,PoliticalControl!A:K,11,FALSE)</f>
        <v>CON</v>
      </c>
      <c r="F99" s="38" t="str">
        <f>VLOOKUP(C99,UrbanRuralClassification!A:N,13,FALSE)</f>
        <v>Urban with Significant Rural (rural including hub towns 26-49%)</v>
      </c>
      <c r="G99" s="38" t="str">
        <f>VLOOKUP(C99,UrbanRuralClassification!A:N,14,FALSE)</f>
        <v>Urban with Significant Rural</v>
      </c>
      <c r="H99" s="258" t="str">
        <f>IF(ISBLANK((VLOOKUP($A99,'local-plan-data'!$C$1:$AD$566,27,FALSE)))=TRUE,"",VLOOKUP($A99,'local-plan-data'!$C$1:$AD$566,27,FALSE))</f>
        <v/>
      </c>
      <c r="I99" s="259">
        <f>VLOOKUP($A99,'local-plan-data'!$C$1:$AD$566,28,FALSE)</f>
        <v>518.18181818181813</v>
      </c>
      <c r="J99" s="260">
        <f t="shared" si="70"/>
        <v>518.18181818181813</v>
      </c>
      <c r="K99" s="259" t="str">
        <f t="shared" si="96"/>
        <v>-</v>
      </c>
      <c r="L99" s="259" t="str">
        <f t="shared" si="93"/>
        <v>-</v>
      </c>
      <c r="M99" s="259" t="str">
        <f t="shared" si="93"/>
        <v>-</v>
      </c>
      <c r="N99" s="259" t="str">
        <f t="shared" si="93"/>
        <v>-</v>
      </c>
      <c r="O99" s="259" t="str">
        <f t="shared" si="93"/>
        <v>-</v>
      </c>
      <c r="P99" s="259" t="str">
        <f t="shared" si="93"/>
        <v>-</v>
      </c>
      <c r="Q99" s="259" t="str">
        <f t="shared" si="93"/>
        <v>-</v>
      </c>
      <c r="R99" s="259" t="str">
        <f t="shared" si="93"/>
        <v>-</v>
      </c>
      <c r="S99" s="259" t="str">
        <f t="shared" si="97"/>
        <v>-</v>
      </c>
      <c r="T99" s="259" t="str">
        <f t="shared" si="94"/>
        <v>-</v>
      </c>
      <c r="U99" s="259" t="str">
        <f t="shared" si="94"/>
        <v>-</v>
      </c>
      <c r="V99" s="259" t="str">
        <f t="shared" si="94"/>
        <v>-</v>
      </c>
      <c r="W99" s="259" t="str">
        <f t="shared" si="94"/>
        <v>-</v>
      </c>
      <c r="X99" s="259" t="str">
        <f t="shared" si="94"/>
        <v>-</v>
      </c>
      <c r="Y99" s="259" t="str">
        <f t="shared" si="94"/>
        <v>-</v>
      </c>
      <c r="Z99" s="259" t="str">
        <f t="shared" si="94"/>
        <v>-</v>
      </c>
      <c r="AA99" s="267">
        <f>(VLOOKUP(A99,Hshldprojections2014!$A$2:$AW$319,40, FALSE)-VLOOKUP(A99,Hshldprojections2014!$A$2:$AW$319,30, FALSE))/10</f>
        <v>669.4</v>
      </c>
      <c r="AB99" s="267">
        <f>(VLOOKUP(A99,Hshldprojections2014!$A$2:$AW$319,41, FALSE)-VLOOKUP(A99,Hshldprojections2014!$A$2:$AW$319,31, FALSE))/10</f>
        <v>674.3</v>
      </c>
      <c r="AC99" s="267">
        <f>(VLOOKUP(A99,Hshldprojections2014!$A$2:$AW$319,42, FALSE)-VLOOKUP(A99,Hshldprojections2014!$A$2:$AW$319,32, FALSE))/10</f>
        <v>680.7</v>
      </c>
      <c r="AD99" s="267">
        <f>IF(IndividualLATest!$J$7=2014,(VLOOKUP($A99,Hshldprojections2014!$A$2:$AY$326,43,FALSE)-VLOOKUP($A99,Hshldprojections2014!$A$2:$AY$326,33,FALSE))/10,IF(IndividualLATest!$J$7=2016,(VLOOKUP($A99,Hshldprojections2016!$A$1:$AQ$322,33,FALSE)-VLOOKUP($A99,Hshldprojections2016!$A$1:$AQ$322,23,FALSE))/10,(VLOOKUP($A99,Hshldprojections2018!$A$1:$AQ$327,33,FALSE)-VLOOKUP($A99,Hshldprojections2018!$A$1:$AQ$327,23,FALSE))/10))</f>
        <v>310.89999999999998</v>
      </c>
      <c r="AE99" s="267">
        <f>IF(IndividualLATest!$J$7=2014,(VLOOKUP($A99,Hshldprojections2014!$A$2:$AY$326,44,FALSE)-VLOOKUP($A99,Hshldprojections2014!$A$2:$AY$326,34,FALSE))/10,IF(IndividualLATest!$J$7=2016,(VLOOKUP($A99,Hshldprojections2016!$A$1:$AQ$322,34,FALSE)-VLOOKUP($A99,Hshldprojections2016!$A$1:$AQ$322,24,FALSE))/10,(VLOOKUP($A99,Hshldprojections2018!$A$1:$AQ$327,34,FALSE)-VLOOKUP($A99,Hshldprojections2018!$A$1:$AQ$327,24,FALSE))/10))</f>
        <v>311.3</v>
      </c>
      <c r="AF99" s="267">
        <f>IF(IndividualLATest!$J$7=2014,(VLOOKUP($A99,Hshldprojections2014!$A$2:$AY$326,45,FALSE)-VLOOKUP($A99,Hshldprojections2014!$A$2:$AY$326,35,FALSE))/10,IF(IndividualLATest!$J$7=2016,(VLOOKUP($A99,Hshldprojections2016!$A$1:$AQ$322,35,FALSE)-VLOOKUP($A99,Hshldprojections2016!$A$1:$AQ$322,25,FALSE))/10,(VLOOKUP($A99,Hshldprojections2018!$A$1:$AQ$327,35,FALSE)-VLOOKUP($A99,Hshldprojections2018!$A$1:$AQ$327,25,FALSE))/10))</f>
        <v>312.10000000000002</v>
      </c>
      <c r="AG99" s="267">
        <f>IF(IndividualLATest!$J$7=2014,(VLOOKUP($A99,Hshldprojections2014!$A$2:$AY$326,46,FALSE)-VLOOKUP($A99,Hshldprojections2014!$A$2:$AY$326,36,FALSE))/10,IF(IndividualLATest!$J$7=2016,(VLOOKUP($A99,Hshldprojections2016!$A$1:$AQ$322,36,FALSE)-VLOOKUP($A99,Hshldprojections2016!$A$1:$AQ$322,26,FALSE))/10,(VLOOKUP($A99,Hshldprojections2018!$A$1:$AQ$327,36,FALSE)-VLOOKUP($A99,Hshldprojections2018!$A$1:$AQ$327,26,FALSE))/10))</f>
        <v>313</v>
      </c>
      <c r="AH99" s="267">
        <f>IF(IndividualLATest!$J$7=2014,(VLOOKUP($A99,Hshldprojections2014!$A$2:$AY$326,47,FALSE)-VLOOKUP($A99,Hshldprojections2014!$A$2:$AY$326,37,FALSE))/10,IF(IndividualLATest!$J$7=2016,(VLOOKUP($A99,Hshldprojections2016!$A$1:$AQ$322,37,FALSE)-VLOOKUP($A99,Hshldprojections2016!$A$1:$AQ$322,27,FALSE))/10,(VLOOKUP($A99,Hshldprojections2018!$A$1:$AQ$327,37,FALSE)-VLOOKUP($A99,Hshldprojections2018!$A$1:$AQ$327,27,FALSE))/10))</f>
        <v>315.5</v>
      </c>
      <c r="AI99" s="268">
        <f>IF(ISNUMBER('Sensitivity Tests'!$C$30),'Sensitivity Tests'!$C$30,VLOOKUP($A99,AffordabilityRatio!$A$2:$I$321,5,FALSE))</f>
        <v>14.5</v>
      </c>
      <c r="AJ99" s="268">
        <f>IF(ISNUMBER('Sensitivity Tests'!$C$30),'Sensitivity Tests'!$C$30,VLOOKUP($A99,AffordabilityRatio!$A$2:$I$321,6,FALSE))</f>
        <v>14.42</v>
      </c>
      <c r="AK99" s="268">
        <f>IF(ISNUMBER('Sensitivity Tests'!$C$30),'Sensitivity Tests'!$C$30,VLOOKUP($A99,AffordabilityRatio!$A$2:$I$321,7,FALSE))</f>
        <v>13.67</v>
      </c>
      <c r="AL99" s="268">
        <f>IF(ISNUMBER('Sensitivity Tests'!$C$30),'Sensitivity Tests'!$C$30,IF((VLOOKUP($A99,AffordabilityRatio!$A$2:$I$321,8,FALSE))="",AK99,VLOOKUP($A99,AffordabilityRatio!$A$2:$I$321,8,FALSE)))</f>
        <v>14.6</v>
      </c>
      <c r="AM99" s="268">
        <f>IF(ISNUMBER('Sensitivity Tests'!$C$30),'Sensitivity Tests'!$C$30,IF((VLOOKUP($A99,AffordabilityRatio!$A$2:$I$321,9,FALSE))="",AL99,VLOOKUP($A99,AffordabilityRatio!$A$2:$I$321,9,FALSE)))</f>
        <v>15.42</v>
      </c>
      <c r="AN99" s="268">
        <f>IF(ISNUMBER('Sensitivity Tests'!$C$30),'Sensitivity Tests'!$C$30,IF((VLOOKUP($A99,AffordabilityRatio!$A$2:$I$321,9,FALSE))="",AM99,VLOOKUP($A99,AffordabilityRatio!$A$2:$I$321,9,FALSE)))</f>
        <v>15.42</v>
      </c>
      <c r="AO99" s="268">
        <f>IF(ISNUMBER('Sensitivity Tests'!$C$30),'Sensitivity Tests'!$C$30,IF((VLOOKUP($A99,AffordabilityRatio!$A$2:$I$321,9,FALSE))="",AN99,VLOOKUP($A99,AffordabilityRatio!$A$2:$I$321,9,FALSE)))</f>
        <v>15.42</v>
      </c>
      <c r="AP99" s="268">
        <f>IF(ISNUMBER('Sensitivity Tests'!$C$30),'Sensitivity Tests'!$C$30,IF((VLOOKUP($A99,AffordabilityRatio!$A$2:$I$321,9,FALSE))="",AO99,VLOOKUP($A99,AffordabilityRatio!$A$2:$I$321,9,FALSE)))</f>
        <v>15.42</v>
      </c>
      <c r="AQ99" s="267">
        <f t="shared" si="98"/>
        <v>1109</v>
      </c>
      <c r="AR99" s="267">
        <f t="shared" si="98"/>
        <v>1113</v>
      </c>
      <c r="AS99" s="267">
        <f t="shared" si="98"/>
        <v>1092</v>
      </c>
      <c r="AT99" s="267">
        <f t="shared" si="98"/>
        <v>517</v>
      </c>
      <c r="AU99" s="267">
        <f t="shared" si="98"/>
        <v>533</v>
      </c>
      <c r="AV99" s="267">
        <f t="shared" si="98"/>
        <v>535</v>
      </c>
      <c r="AW99" s="267">
        <f t="shared" si="98"/>
        <v>536</v>
      </c>
      <c r="AX99" s="267">
        <f t="shared" si="95"/>
        <v>541</v>
      </c>
      <c r="AY99" s="267">
        <f t="shared" si="71"/>
        <v>937.16</v>
      </c>
      <c r="AZ99" s="267">
        <f t="shared" si="72"/>
        <v>944.02</v>
      </c>
      <c r="BA99" s="267">
        <f t="shared" si="73"/>
        <v>952.98</v>
      </c>
      <c r="BB99" s="267">
        <f t="shared" si="74"/>
        <v>517</v>
      </c>
      <c r="BC99" s="267">
        <f t="shared" si="75"/>
        <v>533</v>
      </c>
      <c r="BD99" s="267">
        <f t="shared" si="76"/>
        <v>535</v>
      </c>
      <c r="BE99" s="267">
        <f t="shared" si="77"/>
        <v>536</v>
      </c>
      <c r="BF99" s="267">
        <f t="shared" si="78"/>
        <v>541</v>
      </c>
      <c r="BG99" s="269">
        <f>AY99*VLOOKUP($B99,'Major Cities &amp; Towns'!$A$28:$B$345,2,FALSE)</f>
        <v>937.16</v>
      </c>
      <c r="BH99" s="269">
        <f>AZ99*VLOOKUP($B99,'Major Cities &amp; Towns'!$A$28:$B$345,2,FALSE)</f>
        <v>944.02</v>
      </c>
      <c r="BI99" s="269">
        <f>BA99*VLOOKUP($B99,'Major Cities &amp; Towns'!$A$28:$B$345,2,FALSE)</f>
        <v>952.98</v>
      </c>
      <c r="BJ99" s="269">
        <f>BB99*VLOOKUP($B99,'Major Cities &amp; Towns'!$A$28:$B$345,2,FALSE)</f>
        <v>517</v>
      </c>
      <c r="BK99" s="269">
        <f>BC99*VLOOKUP($B99,'Major Cities &amp; Towns'!$A$28:$B$345,2,FALSE)</f>
        <v>533</v>
      </c>
      <c r="BL99" s="269">
        <f>BD99*VLOOKUP($B99,'Major Cities &amp; Towns'!$A$28:$B$345,2,FALSE)</f>
        <v>535</v>
      </c>
      <c r="BM99" s="269">
        <f>BE99*VLOOKUP($B99,'Major Cities &amp; Towns'!$A$28:$B$345,2,FALSE)</f>
        <v>536</v>
      </c>
      <c r="BN99" s="269">
        <f>BF99*VLOOKUP($B99,'Major Cities &amp; Towns'!$A$28:$B$345,2,FALSE)</f>
        <v>541</v>
      </c>
      <c r="BO99" s="270">
        <f t="shared" si="79"/>
        <v>1109</v>
      </c>
      <c r="BP99" s="270">
        <f t="shared" si="50"/>
        <v>1113</v>
      </c>
      <c r="BQ99" s="270">
        <f t="shared" si="50"/>
        <v>1092</v>
      </c>
      <c r="BR99" s="270">
        <f t="shared" si="50"/>
        <v>517</v>
      </c>
      <c r="BS99" s="270">
        <f t="shared" si="49"/>
        <v>533</v>
      </c>
      <c r="BT99" s="270">
        <f t="shared" si="49"/>
        <v>535</v>
      </c>
      <c r="BU99" s="270">
        <f t="shared" si="49"/>
        <v>536</v>
      </c>
      <c r="BV99" s="270">
        <f t="shared" si="49"/>
        <v>541</v>
      </c>
      <c r="BW99" s="39">
        <f>VLOOKUP($A99,NetAdditions!$A$2:$H$336,6,FALSE)</f>
        <v>426</v>
      </c>
      <c r="BX99" s="39">
        <f>VLOOKUP($A99,NetAdditions!$A$2:$H$336,7,FALSE)</f>
        <v>223</v>
      </c>
      <c r="BY99" s="39">
        <f>IF((VLOOKUP($C99,NetAdditions!$A$2:$H$336,8,FALSE))="",(AVERAGE(VLOOKUP($C99,NetAdditions!$A$2:$H$336,5,FALSE),VLOOKUP($C99,NetAdditions!$A$2:$H$336,6,FALSE),VLOOKUP($C99,NetAdditions!$A$2:$H$336,7,FALSE))),VLOOKUP($C99,NetAdditions!$A$2:$H$336,8,FALSE))</f>
        <v>198</v>
      </c>
      <c r="BZ99" s="39">
        <f t="shared" si="54"/>
        <v>282.33333333333331</v>
      </c>
      <c r="CA99" s="39">
        <f t="shared" si="54"/>
        <v>234.44444444444443</v>
      </c>
      <c r="CB99" s="39">
        <f t="shared" si="54"/>
        <v>238.25925925925924</v>
      </c>
      <c r="CC99" s="39">
        <f t="shared" si="54"/>
        <v>251.67901234567898</v>
      </c>
      <c r="CD99" s="39">
        <f t="shared" si="54"/>
        <v>241.46090534979422</v>
      </c>
      <c r="CE99" s="276">
        <f t="shared" si="55"/>
        <v>3314</v>
      </c>
      <c r="CF99" s="276">
        <f t="shared" si="56"/>
        <v>2722</v>
      </c>
      <c r="CG99" s="276">
        <f t="shared" si="57"/>
        <v>2142</v>
      </c>
      <c r="CH99" s="276">
        <f t="shared" si="58"/>
        <v>1585</v>
      </c>
      <c r="CI99" s="276">
        <f t="shared" si="59"/>
        <v>1604</v>
      </c>
      <c r="CJ99" s="276">
        <f t="shared" si="60"/>
        <v>1612</v>
      </c>
      <c r="CK99" s="276">
        <f t="shared" si="80"/>
        <v>2853.7222222222222</v>
      </c>
      <c r="CL99" s="276">
        <f t="shared" si="81"/>
        <v>2343.9444444444448</v>
      </c>
      <c r="CM99" s="276">
        <f t="shared" si="82"/>
        <v>1963.5</v>
      </c>
      <c r="CN99" s="276">
        <f t="shared" si="83"/>
        <v>1585</v>
      </c>
      <c r="CO99" s="276">
        <f t="shared" si="83"/>
        <v>1604</v>
      </c>
      <c r="CP99" s="276">
        <f t="shared" si="83"/>
        <v>1612</v>
      </c>
      <c r="CQ99" s="39">
        <f t="shared" si="61"/>
        <v>847</v>
      </c>
      <c r="CR99" s="39">
        <f t="shared" si="62"/>
        <v>703.33333333333326</v>
      </c>
      <c r="CS99" s="277">
        <f t="shared" si="63"/>
        <v>714.77777777777771</v>
      </c>
      <c r="CT99" s="39">
        <f t="shared" si="64"/>
        <v>755.03703703703695</v>
      </c>
      <c r="CU99" s="39">
        <f t="shared" si="65"/>
        <v>724.38271604938268</v>
      </c>
      <c r="CV99" s="39">
        <f t="shared" si="66"/>
        <v>731.39917695473241</v>
      </c>
      <c r="CW99" s="297">
        <f t="shared" si="67"/>
        <v>0.29680534195105807</v>
      </c>
      <c r="CX99" s="279" t="str">
        <f t="shared" si="84"/>
        <v>Buffer and Action Plan</v>
      </c>
      <c r="CY99" s="278">
        <f t="shared" si="68"/>
        <v>0.30006399469081074</v>
      </c>
      <c r="CZ99" s="279" t="str">
        <f t="shared" si="85"/>
        <v>Presumption</v>
      </c>
      <c r="DA99" s="278">
        <f t="shared" si="69"/>
        <v>0.3640324816795405</v>
      </c>
      <c r="DB99" s="292" t="str">
        <f t="shared" si="86"/>
        <v>Presumption</v>
      </c>
      <c r="DC99" s="299">
        <f t="shared" si="87"/>
        <v>0.47636406122210534</v>
      </c>
      <c r="DD99" s="293" t="str">
        <f t="shared" si="88"/>
        <v>Presumption</v>
      </c>
      <c r="DE99" s="299">
        <f t="shared" si="89"/>
        <v>0.45161017210061266</v>
      </c>
      <c r="DF99" s="293" t="str">
        <f t="shared" si="90"/>
        <v>Presumption</v>
      </c>
      <c r="DG99" s="299">
        <f t="shared" si="91"/>
        <v>0.45372157379325834</v>
      </c>
      <c r="DH99" s="293" t="str">
        <f t="shared" si="92"/>
        <v>Presumption</v>
      </c>
    </row>
    <row r="100" spans="1:112" ht="15" thickTop="1" thickBot="1">
      <c r="A100" s="38" t="s">
        <v>310</v>
      </c>
      <c r="B100" s="38" t="s">
        <v>311</v>
      </c>
      <c r="C100" s="38" t="s">
        <v>310</v>
      </c>
      <c r="D100" s="38" t="s">
        <v>113</v>
      </c>
      <c r="E100" s="38" t="str">
        <f>VLOOKUP(C100,PoliticalControl!A:K,11,FALSE)</f>
        <v>IND/OTHER</v>
      </c>
      <c r="F100" s="38" t="str">
        <f>VLOOKUP(C100,UrbanRuralClassification!A:N,13,FALSE)</f>
        <v>Urban with Major Conurbation</v>
      </c>
      <c r="G100" s="38" t="str">
        <f>VLOOKUP(C100,UrbanRuralClassification!A:N,14,FALSE)</f>
        <v>Predominantly Urban</v>
      </c>
      <c r="H100" s="258">
        <f>IF(ISBLANK((VLOOKUP($A100,'local-plan-data'!$C$1:$AD$566,27,FALSE)))=TRUE,"",VLOOKUP($A100,'local-plan-data'!$C$1:$AD$566,27,FALSE))</f>
        <v>39287</v>
      </c>
      <c r="I100" s="259">
        <f>VLOOKUP($A100,'local-plan-data'!$C$1:$AD$566,28,FALSE)</f>
        <v>181</v>
      </c>
      <c r="J100" s="260">
        <f t="shared" si="70"/>
        <v>181</v>
      </c>
      <c r="K100" s="259" t="str">
        <f t="shared" si="96"/>
        <v>-</v>
      </c>
      <c r="L100" s="259" t="str">
        <f t="shared" si="93"/>
        <v>-</v>
      </c>
      <c r="M100" s="259" t="str">
        <f t="shared" si="93"/>
        <v>-</v>
      </c>
      <c r="N100" s="259" t="str">
        <f t="shared" si="93"/>
        <v>-</v>
      </c>
      <c r="O100" s="259" t="str">
        <f t="shared" si="93"/>
        <v>-</v>
      </c>
      <c r="P100" s="259" t="str">
        <f t="shared" si="93"/>
        <v>-</v>
      </c>
      <c r="Q100" s="259" t="str">
        <f t="shared" si="93"/>
        <v>-</v>
      </c>
      <c r="R100" s="259" t="str">
        <f t="shared" si="93"/>
        <v>-</v>
      </c>
      <c r="S100" s="259">
        <f t="shared" si="97"/>
        <v>-2077</v>
      </c>
      <c r="T100" s="259">
        <f t="shared" si="94"/>
        <v>-2442</v>
      </c>
      <c r="U100" s="259">
        <f t="shared" si="94"/>
        <v>-2808</v>
      </c>
      <c r="V100" s="259">
        <f t="shared" si="94"/>
        <v>-3173</v>
      </c>
      <c r="W100" s="259">
        <f t="shared" si="94"/>
        <v>-3538</v>
      </c>
      <c r="X100" s="259">
        <f t="shared" si="94"/>
        <v>-3903</v>
      </c>
      <c r="Y100" s="259">
        <f t="shared" si="94"/>
        <v>-4269</v>
      </c>
      <c r="Z100" s="259">
        <f t="shared" si="94"/>
        <v>-4634</v>
      </c>
      <c r="AA100" s="267">
        <f>(VLOOKUP(A100,Hshldprojections2014!$A$2:$AW$319,40, FALSE)-VLOOKUP(A100,Hshldprojections2014!$A$2:$AW$319,30, FALSE))/10</f>
        <v>412.3</v>
      </c>
      <c r="AB100" s="267">
        <f>(VLOOKUP(A100,Hshldprojections2014!$A$2:$AW$319,41, FALSE)-VLOOKUP(A100,Hshldprojections2014!$A$2:$AW$319,31, FALSE))/10</f>
        <v>413</v>
      </c>
      <c r="AC100" s="267">
        <f>(VLOOKUP(A100,Hshldprojections2014!$A$2:$AW$319,42, FALSE)-VLOOKUP(A100,Hshldprojections2014!$A$2:$AW$319,32, FALSE))/10</f>
        <v>412</v>
      </c>
      <c r="AD100" s="267">
        <f>IF(IndividualLATest!$J$7=2014,(VLOOKUP($A100,Hshldprojections2014!$A$2:$AY$326,43,FALSE)-VLOOKUP($A100,Hshldprojections2014!$A$2:$AY$326,33,FALSE))/10,IF(IndividualLATest!$J$7=2016,(VLOOKUP($A100,Hshldprojections2016!$A$1:$AQ$322,33,FALSE)-VLOOKUP($A100,Hshldprojections2016!$A$1:$AQ$322,23,FALSE))/10,(VLOOKUP($A100,Hshldprojections2018!$A$1:$AQ$327,33,FALSE)-VLOOKUP($A100,Hshldprojections2018!$A$1:$AQ$327,23,FALSE))/10))</f>
        <v>157.4</v>
      </c>
      <c r="AE100" s="267">
        <f>IF(IndividualLATest!$J$7=2014,(VLOOKUP($A100,Hshldprojections2014!$A$2:$AY$326,44,FALSE)-VLOOKUP($A100,Hshldprojections2014!$A$2:$AY$326,34,FALSE))/10,IF(IndividualLATest!$J$7=2016,(VLOOKUP($A100,Hshldprojections2016!$A$1:$AQ$322,34,FALSE)-VLOOKUP($A100,Hshldprojections2016!$A$1:$AQ$322,24,FALSE))/10,(VLOOKUP($A100,Hshldprojections2018!$A$1:$AQ$327,34,FALSE)-VLOOKUP($A100,Hshldprojections2018!$A$1:$AQ$327,24,FALSE))/10))</f>
        <v>152.4</v>
      </c>
      <c r="AF100" s="267">
        <f>IF(IndividualLATest!$J$7=2014,(VLOOKUP($A100,Hshldprojections2014!$A$2:$AY$326,45,FALSE)-VLOOKUP($A100,Hshldprojections2014!$A$2:$AY$326,35,FALSE))/10,IF(IndividualLATest!$J$7=2016,(VLOOKUP($A100,Hshldprojections2016!$A$1:$AQ$322,35,FALSE)-VLOOKUP($A100,Hshldprojections2016!$A$1:$AQ$322,25,FALSE))/10,(VLOOKUP($A100,Hshldprojections2018!$A$1:$AQ$327,35,FALSE)-VLOOKUP($A100,Hshldprojections2018!$A$1:$AQ$327,25,FALSE))/10))</f>
        <v>147.69999999999999</v>
      </c>
      <c r="AG100" s="267">
        <f>IF(IndividualLATest!$J$7=2014,(VLOOKUP($A100,Hshldprojections2014!$A$2:$AY$326,46,FALSE)-VLOOKUP($A100,Hshldprojections2014!$A$2:$AY$326,36,FALSE))/10,IF(IndividualLATest!$J$7=2016,(VLOOKUP($A100,Hshldprojections2016!$A$1:$AQ$322,36,FALSE)-VLOOKUP($A100,Hshldprojections2016!$A$1:$AQ$322,26,FALSE))/10,(VLOOKUP($A100,Hshldprojections2018!$A$1:$AQ$327,36,FALSE)-VLOOKUP($A100,Hshldprojections2018!$A$1:$AQ$327,26,FALSE))/10))</f>
        <v>144</v>
      </c>
      <c r="AH100" s="267">
        <f>IF(IndividualLATest!$J$7=2014,(VLOOKUP($A100,Hshldprojections2014!$A$2:$AY$326,47,FALSE)-VLOOKUP($A100,Hshldprojections2014!$A$2:$AY$326,37,FALSE))/10,IF(IndividualLATest!$J$7=2016,(VLOOKUP($A100,Hshldprojections2016!$A$1:$AQ$322,37,FALSE)-VLOOKUP($A100,Hshldprojections2016!$A$1:$AQ$322,27,FALSE))/10,(VLOOKUP($A100,Hshldprojections2018!$A$1:$AQ$327,37,FALSE)-VLOOKUP($A100,Hshldprojections2018!$A$1:$AQ$327,27,FALSE))/10))</f>
        <v>139.9</v>
      </c>
      <c r="AI100" s="268">
        <f>IF(ISNUMBER('Sensitivity Tests'!$C$30),'Sensitivity Tests'!$C$30,VLOOKUP($A100,AffordabilityRatio!$A$2:$I$321,5,FALSE))</f>
        <v>17.84</v>
      </c>
      <c r="AJ100" s="268">
        <f>IF(ISNUMBER('Sensitivity Tests'!$C$30),'Sensitivity Tests'!$C$30,VLOOKUP($A100,AffordabilityRatio!$A$2:$I$321,6,FALSE))</f>
        <v>16.75</v>
      </c>
      <c r="AK100" s="268">
        <f>IF(ISNUMBER('Sensitivity Tests'!$C$30),'Sensitivity Tests'!$C$30,VLOOKUP($A100,AffordabilityRatio!$A$2:$I$321,7,FALSE))</f>
        <v>16.39</v>
      </c>
      <c r="AL100" s="268">
        <f>IF(ISNUMBER('Sensitivity Tests'!$C$30),'Sensitivity Tests'!$C$30,IF((VLOOKUP($A100,AffordabilityRatio!$A$2:$I$321,8,FALSE))="",AK100,VLOOKUP($A100,AffordabilityRatio!$A$2:$I$321,8,FALSE)))</f>
        <v>17.170000000000002</v>
      </c>
      <c r="AM100" s="268">
        <f>IF(ISNUMBER('Sensitivity Tests'!$C$30),'Sensitivity Tests'!$C$30,IF((VLOOKUP($A100,AffordabilityRatio!$A$2:$I$321,9,FALSE))="",AL100,VLOOKUP($A100,AffordabilityRatio!$A$2:$I$321,9,FALSE)))</f>
        <v>17.98</v>
      </c>
      <c r="AN100" s="268">
        <f>IF(ISNUMBER('Sensitivity Tests'!$C$30),'Sensitivity Tests'!$C$30,IF((VLOOKUP($A100,AffordabilityRatio!$A$2:$I$321,9,FALSE))="",AM100,VLOOKUP($A100,AffordabilityRatio!$A$2:$I$321,9,FALSE)))</f>
        <v>17.98</v>
      </c>
      <c r="AO100" s="268">
        <f>IF(ISNUMBER('Sensitivity Tests'!$C$30),'Sensitivity Tests'!$C$30,IF((VLOOKUP($A100,AffordabilityRatio!$A$2:$I$321,9,FALSE))="",AN100,VLOOKUP($A100,AffordabilityRatio!$A$2:$I$321,9,FALSE)))</f>
        <v>17.98</v>
      </c>
      <c r="AP100" s="268">
        <f>IF(ISNUMBER('Sensitivity Tests'!$C$30),'Sensitivity Tests'!$C$30,IF((VLOOKUP($A100,AffordabilityRatio!$A$2:$I$321,9,FALSE))="",AO100,VLOOKUP($A100,AffordabilityRatio!$A$2:$I$321,9,FALSE)))</f>
        <v>17.98</v>
      </c>
      <c r="AQ100" s="267">
        <f t="shared" si="98"/>
        <v>769</v>
      </c>
      <c r="AR100" s="267">
        <f t="shared" si="98"/>
        <v>742</v>
      </c>
      <c r="AS100" s="267">
        <f t="shared" si="98"/>
        <v>731</v>
      </c>
      <c r="AT100" s="267">
        <f t="shared" si="98"/>
        <v>287</v>
      </c>
      <c r="AU100" s="267">
        <f t="shared" si="98"/>
        <v>286</v>
      </c>
      <c r="AV100" s="267">
        <f t="shared" si="98"/>
        <v>277</v>
      </c>
      <c r="AW100" s="267">
        <f t="shared" si="98"/>
        <v>270</v>
      </c>
      <c r="AX100" s="267">
        <f t="shared" si="95"/>
        <v>262</v>
      </c>
      <c r="AY100" s="267">
        <f t="shared" si="71"/>
        <v>577.22</v>
      </c>
      <c r="AZ100" s="267">
        <f t="shared" si="72"/>
        <v>578.20000000000005</v>
      </c>
      <c r="BA100" s="267">
        <f t="shared" si="73"/>
        <v>576.79999999999995</v>
      </c>
      <c r="BB100" s="267">
        <f t="shared" si="74"/>
        <v>253.4</v>
      </c>
      <c r="BC100" s="267">
        <f t="shared" si="75"/>
        <v>253.4</v>
      </c>
      <c r="BD100" s="267">
        <f t="shared" si="76"/>
        <v>253.4</v>
      </c>
      <c r="BE100" s="267">
        <f t="shared" si="77"/>
        <v>253.4</v>
      </c>
      <c r="BF100" s="267">
        <f t="shared" si="78"/>
        <v>253.4</v>
      </c>
      <c r="BG100" s="269">
        <f>AY100*VLOOKUP($B100,'Major Cities &amp; Towns'!$A$28:$B$345,2,FALSE)</f>
        <v>577.22</v>
      </c>
      <c r="BH100" s="269">
        <f>AZ100*VLOOKUP($B100,'Major Cities &amp; Towns'!$A$28:$B$345,2,FALSE)</f>
        <v>578.20000000000005</v>
      </c>
      <c r="BI100" s="269">
        <f>BA100*VLOOKUP($B100,'Major Cities &amp; Towns'!$A$28:$B$345,2,FALSE)</f>
        <v>576.79999999999995</v>
      </c>
      <c r="BJ100" s="269">
        <f>BB100*VLOOKUP($B100,'Major Cities &amp; Towns'!$A$28:$B$345,2,FALSE)</f>
        <v>253.4</v>
      </c>
      <c r="BK100" s="269">
        <f>BC100*VLOOKUP($B100,'Major Cities &amp; Towns'!$A$28:$B$345,2,FALSE)</f>
        <v>253.4</v>
      </c>
      <c r="BL100" s="269">
        <f>BD100*VLOOKUP($B100,'Major Cities &amp; Towns'!$A$28:$B$345,2,FALSE)</f>
        <v>253.4</v>
      </c>
      <c r="BM100" s="269">
        <f>BE100*VLOOKUP($B100,'Major Cities &amp; Towns'!$A$28:$B$345,2,FALSE)</f>
        <v>253.4</v>
      </c>
      <c r="BN100" s="269">
        <f>BF100*VLOOKUP($B100,'Major Cities &amp; Towns'!$A$28:$B$345,2,FALSE)</f>
        <v>253.4</v>
      </c>
      <c r="BO100" s="270">
        <f t="shared" si="79"/>
        <v>769</v>
      </c>
      <c r="BP100" s="270">
        <f t="shared" si="50"/>
        <v>742</v>
      </c>
      <c r="BQ100" s="270">
        <f t="shared" si="50"/>
        <v>731</v>
      </c>
      <c r="BR100" s="270">
        <f t="shared" si="50"/>
        <v>287</v>
      </c>
      <c r="BS100" s="270">
        <f t="shared" si="49"/>
        <v>286</v>
      </c>
      <c r="BT100" s="270">
        <f t="shared" si="49"/>
        <v>277</v>
      </c>
      <c r="BU100" s="270">
        <f t="shared" si="49"/>
        <v>270</v>
      </c>
      <c r="BV100" s="270">
        <f t="shared" si="49"/>
        <v>262</v>
      </c>
      <c r="BW100" s="39">
        <f>VLOOKUP($A100,NetAdditions!$A$2:$H$336,6,FALSE)</f>
        <v>165</v>
      </c>
      <c r="BX100" s="39">
        <f>VLOOKUP($A100,NetAdditions!$A$2:$H$336,7,FALSE)</f>
        <v>185</v>
      </c>
      <c r="BY100" s="39">
        <f>IF((VLOOKUP($C100,NetAdditions!$A$2:$H$336,8,FALSE))="",(AVERAGE(VLOOKUP($C100,NetAdditions!$A$2:$H$336,5,FALSE),VLOOKUP($C100,NetAdditions!$A$2:$H$336,6,FALSE),VLOOKUP($C100,NetAdditions!$A$2:$H$336,7,FALSE))),VLOOKUP($C100,NetAdditions!$A$2:$H$336,8,FALSE))</f>
        <v>129</v>
      </c>
      <c r="BZ100" s="39">
        <f t="shared" si="54"/>
        <v>159.66666666666666</v>
      </c>
      <c r="CA100" s="39">
        <f t="shared" si="54"/>
        <v>157.88888888888889</v>
      </c>
      <c r="CB100" s="39">
        <f t="shared" si="54"/>
        <v>148.85185185185185</v>
      </c>
      <c r="CC100" s="39">
        <f t="shared" si="54"/>
        <v>155.46913580246914</v>
      </c>
      <c r="CD100" s="39">
        <f t="shared" si="54"/>
        <v>154.06995884773664</v>
      </c>
      <c r="CE100" s="276">
        <f t="shared" si="55"/>
        <v>2242</v>
      </c>
      <c r="CF100" s="276">
        <f t="shared" si="56"/>
        <v>1760</v>
      </c>
      <c r="CG100" s="276">
        <f t="shared" si="57"/>
        <v>1304</v>
      </c>
      <c r="CH100" s="276">
        <f t="shared" si="58"/>
        <v>850</v>
      </c>
      <c r="CI100" s="276">
        <f t="shared" si="59"/>
        <v>833</v>
      </c>
      <c r="CJ100" s="276">
        <f t="shared" si="60"/>
        <v>809</v>
      </c>
      <c r="CK100" s="276">
        <f t="shared" si="80"/>
        <v>1930.6111111111113</v>
      </c>
      <c r="CL100" s="276">
        <f t="shared" si="81"/>
        <v>1515.5555555555557</v>
      </c>
      <c r="CM100" s="276">
        <f t="shared" si="82"/>
        <v>1195.3333333333333</v>
      </c>
      <c r="CN100" s="276">
        <f t="shared" si="83"/>
        <v>850</v>
      </c>
      <c r="CO100" s="276">
        <f t="shared" si="83"/>
        <v>833</v>
      </c>
      <c r="CP100" s="276">
        <f t="shared" si="83"/>
        <v>809</v>
      </c>
      <c r="CQ100" s="39">
        <f t="shared" si="61"/>
        <v>479</v>
      </c>
      <c r="CR100" s="39">
        <f t="shared" si="62"/>
        <v>473.66666666666663</v>
      </c>
      <c r="CS100" s="277">
        <f t="shared" si="63"/>
        <v>446.55555555555554</v>
      </c>
      <c r="CT100" s="39">
        <f t="shared" si="64"/>
        <v>466.40740740740739</v>
      </c>
      <c r="CU100" s="39">
        <f t="shared" si="65"/>
        <v>462.20987654320993</v>
      </c>
      <c r="CV100" s="39">
        <f t="shared" si="66"/>
        <v>458.39094650205766</v>
      </c>
      <c r="CW100" s="297">
        <f t="shared" si="67"/>
        <v>0.24810796811602542</v>
      </c>
      <c r="CX100" s="279" t="str">
        <f t="shared" si="84"/>
        <v>Presumption</v>
      </c>
      <c r="CY100" s="278">
        <f t="shared" si="68"/>
        <v>0.31253665689149557</v>
      </c>
      <c r="CZ100" s="279" t="str">
        <f t="shared" si="85"/>
        <v>Presumption</v>
      </c>
      <c r="DA100" s="278">
        <f t="shared" si="69"/>
        <v>0.37358245026956682</v>
      </c>
      <c r="DB100" s="292" t="str">
        <f t="shared" si="86"/>
        <v>Presumption</v>
      </c>
      <c r="DC100" s="299">
        <f t="shared" si="87"/>
        <v>0.548714596949891</v>
      </c>
      <c r="DD100" s="293" t="str">
        <f t="shared" si="88"/>
        <v>Presumption</v>
      </c>
      <c r="DE100" s="299">
        <f t="shared" si="89"/>
        <v>0.55487380137240083</v>
      </c>
      <c r="DF100" s="293" t="str">
        <f t="shared" si="90"/>
        <v>Presumption</v>
      </c>
      <c r="DG100" s="299">
        <f t="shared" si="91"/>
        <v>0.56661427256125796</v>
      </c>
      <c r="DH100" s="293" t="str">
        <f t="shared" si="92"/>
        <v>Presumption</v>
      </c>
    </row>
    <row r="101" spans="1:112" ht="15" thickTop="1" thickBot="1">
      <c r="A101" s="38" t="s">
        <v>312</v>
      </c>
      <c r="B101" s="38" t="s">
        <v>313</v>
      </c>
      <c r="C101" s="38" t="s">
        <v>312</v>
      </c>
      <c r="D101" s="38" t="s">
        <v>119</v>
      </c>
      <c r="E101" s="38" t="str">
        <f>VLOOKUP(C101,PoliticalControl!A:K,11,FALSE)</f>
        <v>CON</v>
      </c>
      <c r="F101" s="38" t="str">
        <f>VLOOKUP(C101,UrbanRuralClassification!A:N,13,FALSE)</f>
        <v>Urban with Minor Conurbation</v>
      </c>
      <c r="G101" s="38" t="str">
        <f>VLOOKUP(C101,UrbanRuralClassification!A:N,14,FALSE)</f>
        <v>Predominantly Urban</v>
      </c>
      <c r="H101" s="258">
        <f>IF(ISBLANK((VLOOKUP($A101,'local-plan-data'!$C$1:$AD$566,27,FALSE)))=TRUE,"",VLOOKUP($A101,'local-plan-data'!$C$1:$AD$566,27,FALSE))</f>
        <v>41704</v>
      </c>
      <c r="I101" s="259">
        <f>VLOOKUP($A101,'local-plan-data'!$C$1:$AD$566,28,FALSE)</f>
        <v>367.64705882352939</v>
      </c>
      <c r="J101" s="260">
        <f t="shared" si="70"/>
        <v>367.64705882352939</v>
      </c>
      <c r="K101" s="259">
        <f t="shared" si="96"/>
        <v>367.64705882352939</v>
      </c>
      <c r="L101" s="259" t="str">
        <f t="shared" si="93"/>
        <v>-</v>
      </c>
      <c r="M101" s="259" t="str">
        <f t="shared" si="93"/>
        <v>-</v>
      </c>
      <c r="N101" s="259" t="str">
        <f t="shared" si="93"/>
        <v>-</v>
      </c>
      <c r="O101" s="259" t="str">
        <f t="shared" si="93"/>
        <v>-</v>
      </c>
      <c r="P101" s="259" t="str">
        <f t="shared" si="93"/>
        <v>-</v>
      </c>
      <c r="Q101" s="259" t="str">
        <f t="shared" si="93"/>
        <v>-</v>
      </c>
      <c r="R101" s="259" t="str">
        <f t="shared" si="93"/>
        <v>-</v>
      </c>
      <c r="S101" s="259">
        <f t="shared" si="97"/>
        <v>339</v>
      </c>
      <c r="T101" s="259">
        <f t="shared" si="94"/>
        <v>-26</v>
      </c>
      <c r="U101" s="259">
        <f t="shared" si="94"/>
        <v>-392</v>
      </c>
      <c r="V101" s="259">
        <f t="shared" si="94"/>
        <v>-757</v>
      </c>
      <c r="W101" s="259">
        <f t="shared" si="94"/>
        <v>-1122</v>
      </c>
      <c r="X101" s="259">
        <f t="shared" si="94"/>
        <v>-1487</v>
      </c>
      <c r="Y101" s="259">
        <f t="shared" si="94"/>
        <v>-1853</v>
      </c>
      <c r="Z101" s="259">
        <f t="shared" si="94"/>
        <v>-2218</v>
      </c>
      <c r="AA101" s="267">
        <f>(VLOOKUP(A101,Hshldprojections2014!$A$2:$AW$319,40, FALSE)-VLOOKUP(A101,Hshldprojections2014!$A$2:$AW$319,30, FALSE))/10</f>
        <v>356.9</v>
      </c>
      <c r="AB101" s="267">
        <f>(VLOOKUP(A101,Hshldprojections2014!$A$2:$AW$319,41, FALSE)-VLOOKUP(A101,Hshldprojections2014!$A$2:$AW$319,31, FALSE))/10</f>
        <v>351.7</v>
      </c>
      <c r="AC101" s="267">
        <f>(VLOOKUP(A101,Hshldprojections2014!$A$2:$AW$319,42, FALSE)-VLOOKUP(A101,Hshldprojections2014!$A$2:$AW$319,32, FALSE))/10</f>
        <v>344.9</v>
      </c>
      <c r="AD101" s="267">
        <f>IF(IndividualLATest!$J$7=2014,(VLOOKUP($A101,Hshldprojections2014!$A$2:$AY$326,43,FALSE)-VLOOKUP($A101,Hshldprojections2014!$A$2:$AY$326,33,FALSE))/10,IF(IndividualLATest!$J$7=2016,(VLOOKUP($A101,Hshldprojections2016!$A$1:$AQ$322,33,FALSE)-VLOOKUP($A101,Hshldprojections2016!$A$1:$AQ$322,23,FALSE))/10,(VLOOKUP($A101,Hshldprojections2018!$A$1:$AQ$327,33,FALSE)-VLOOKUP($A101,Hshldprojections2018!$A$1:$AQ$327,23,FALSE))/10))</f>
        <v>225.6</v>
      </c>
      <c r="AE101" s="267">
        <f>IF(IndividualLATest!$J$7=2014,(VLOOKUP($A101,Hshldprojections2014!$A$2:$AY$326,44,FALSE)-VLOOKUP($A101,Hshldprojections2014!$A$2:$AY$326,34,FALSE))/10,IF(IndividualLATest!$J$7=2016,(VLOOKUP($A101,Hshldprojections2016!$A$1:$AQ$322,34,FALSE)-VLOOKUP($A101,Hshldprojections2016!$A$1:$AQ$322,24,FALSE))/10,(VLOOKUP($A101,Hshldprojections2018!$A$1:$AQ$327,34,FALSE)-VLOOKUP($A101,Hshldprojections2018!$A$1:$AQ$327,24,FALSE))/10))</f>
        <v>227.7</v>
      </c>
      <c r="AF101" s="267">
        <f>IF(IndividualLATest!$J$7=2014,(VLOOKUP($A101,Hshldprojections2014!$A$2:$AY$326,45,FALSE)-VLOOKUP($A101,Hshldprojections2014!$A$2:$AY$326,35,FALSE))/10,IF(IndividualLATest!$J$7=2016,(VLOOKUP($A101,Hshldprojections2016!$A$1:$AQ$322,35,FALSE)-VLOOKUP($A101,Hshldprojections2016!$A$1:$AQ$322,25,FALSE))/10,(VLOOKUP($A101,Hshldprojections2018!$A$1:$AQ$327,35,FALSE)-VLOOKUP($A101,Hshldprojections2018!$A$1:$AQ$327,25,FALSE))/10))</f>
        <v>230.9</v>
      </c>
      <c r="AG101" s="267">
        <f>IF(IndividualLATest!$J$7=2014,(VLOOKUP($A101,Hshldprojections2014!$A$2:$AY$326,46,FALSE)-VLOOKUP($A101,Hshldprojections2014!$A$2:$AY$326,36,FALSE))/10,IF(IndividualLATest!$J$7=2016,(VLOOKUP($A101,Hshldprojections2016!$A$1:$AQ$322,36,FALSE)-VLOOKUP($A101,Hshldprojections2016!$A$1:$AQ$322,26,FALSE))/10,(VLOOKUP($A101,Hshldprojections2018!$A$1:$AQ$327,36,FALSE)-VLOOKUP($A101,Hshldprojections2018!$A$1:$AQ$327,26,FALSE))/10))</f>
        <v>232.8</v>
      </c>
      <c r="AH101" s="267">
        <f>IF(IndividualLATest!$J$7=2014,(VLOOKUP($A101,Hshldprojections2014!$A$2:$AY$326,47,FALSE)-VLOOKUP($A101,Hshldprojections2014!$A$2:$AY$326,37,FALSE))/10,IF(IndividualLATest!$J$7=2016,(VLOOKUP($A101,Hshldprojections2016!$A$1:$AQ$322,37,FALSE)-VLOOKUP($A101,Hshldprojections2016!$A$1:$AQ$322,27,FALSE))/10,(VLOOKUP($A101,Hshldprojections2018!$A$1:$AQ$327,37,FALSE)-VLOOKUP($A101,Hshldprojections2018!$A$1:$AQ$327,27,FALSE))/10))</f>
        <v>237.9</v>
      </c>
      <c r="AI101" s="268">
        <f>IF(ISNUMBER('Sensitivity Tests'!$C$30),'Sensitivity Tests'!$C$30,VLOOKUP($A101,AffordabilityRatio!$A$2:$I$321,5,FALSE))</f>
        <v>5.5</v>
      </c>
      <c r="AJ101" s="268">
        <f>IF(ISNUMBER('Sensitivity Tests'!$C$30),'Sensitivity Tests'!$C$30,VLOOKUP($A101,AffordabilityRatio!$A$2:$I$321,6,FALSE))</f>
        <v>5.9</v>
      </c>
      <c r="AK101" s="268">
        <f>IF(ISNUMBER('Sensitivity Tests'!$C$30),'Sensitivity Tests'!$C$30,VLOOKUP($A101,AffordabilityRatio!$A$2:$I$321,7,FALSE))</f>
        <v>6.18</v>
      </c>
      <c r="AL101" s="268">
        <f>IF(ISNUMBER('Sensitivity Tests'!$C$30),'Sensitivity Tests'!$C$30,IF((VLOOKUP($A101,AffordabilityRatio!$A$2:$I$321,8,FALSE))="",AK101,VLOOKUP($A101,AffordabilityRatio!$A$2:$I$321,8,FALSE)))</f>
        <v>6.14</v>
      </c>
      <c r="AM101" s="268">
        <f>IF(ISNUMBER('Sensitivity Tests'!$C$30),'Sensitivity Tests'!$C$30,IF((VLOOKUP($A101,AffordabilityRatio!$A$2:$I$321,9,FALSE))="",AL101,VLOOKUP($A101,AffordabilityRatio!$A$2:$I$321,9,FALSE)))</f>
        <v>6.28</v>
      </c>
      <c r="AN101" s="268">
        <f>IF(ISNUMBER('Sensitivity Tests'!$C$30),'Sensitivity Tests'!$C$30,IF((VLOOKUP($A101,AffordabilityRatio!$A$2:$I$321,9,FALSE))="",AM101,VLOOKUP($A101,AffordabilityRatio!$A$2:$I$321,9,FALSE)))</f>
        <v>6.28</v>
      </c>
      <c r="AO101" s="268">
        <f>IF(ISNUMBER('Sensitivity Tests'!$C$30),'Sensitivity Tests'!$C$30,IF((VLOOKUP($A101,AffordabilityRatio!$A$2:$I$321,9,FALSE))="",AN101,VLOOKUP($A101,AffordabilityRatio!$A$2:$I$321,9,FALSE)))</f>
        <v>6.28</v>
      </c>
      <c r="AP101" s="268">
        <f>IF(ISNUMBER('Sensitivity Tests'!$C$30),'Sensitivity Tests'!$C$30,IF((VLOOKUP($A101,AffordabilityRatio!$A$2:$I$321,9,FALSE))="",AO101,VLOOKUP($A101,AffordabilityRatio!$A$2:$I$321,9,FALSE)))</f>
        <v>6.28</v>
      </c>
      <c r="AQ101" s="267">
        <f t="shared" si="98"/>
        <v>390</v>
      </c>
      <c r="AR101" s="267">
        <f t="shared" si="98"/>
        <v>393</v>
      </c>
      <c r="AS101" s="267">
        <f t="shared" si="98"/>
        <v>392</v>
      </c>
      <c r="AT101" s="267">
        <f t="shared" si="98"/>
        <v>256</v>
      </c>
      <c r="AU101" s="267">
        <f t="shared" si="98"/>
        <v>260</v>
      </c>
      <c r="AV101" s="267">
        <f t="shared" si="98"/>
        <v>264</v>
      </c>
      <c r="AW101" s="267">
        <f t="shared" si="98"/>
        <v>266</v>
      </c>
      <c r="AX101" s="267">
        <f t="shared" si="95"/>
        <v>272</v>
      </c>
      <c r="AY101" s="267">
        <f t="shared" si="71"/>
        <v>390</v>
      </c>
      <c r="AZ101" s="267">
        <f t="shared" si="72"/>
        <v>393</v>
      </c>
      <c r="BA101" s="267">
        <f t="shared" si="73"/>
        <v>392</v>
      </c>
      <c r="BB101" s="267">
        <f t="shared" si="74"/>
        <v>256</v>
      </c>
      <c r="BC101" s="267">
        <f t="shared" si="75"/>
        <v>260</v>
      </c>
      <c r="BD101" s="267">
        <f t="shared" si="76"/>
        <v>264</v>
      </c>
      <c r="BE101" s="267">
        <f t="shared" si="77"/>
        <v>266</v>
      </c>
      <c r="BF101" s="267">
        <f t="shared" si="78"/>
        <v>272</v>
      </c>
      <c r="BG101" s="269">
        <f>AY101*VLOOKUP($B101,'Major Cities &amp; Towns'!$A$28:$B$345,2,FALSE)</f>
        <v>390</v>
      </c>
      <c r="BH101" s="269">
        <f>AZ101*VLOOKUP($B101,'Major Cities &amp; Towns'!$A$28:$B$345,2,FALSE)</f>
        <v>393</v>
      </c>
      <c r="BI101" s="269">
        <f>BA101*VLOOKUP($B101,'Major Cities &amp; Towns'!$A$28:$B$345,2,FALSE)</f>
        <v>392</v>
      </c>
      <c r="BJ101" s="269">
        <f>BB101*VLOOKUP($B101,'Major Cities &amp; Towns'!$A$28:$B$345,2,FALSE)</f>
        <v>256</v>
      </c>
      <c r="BK101" s="269">
        <f>BC101*VLOOKUP($B101,'Major Cities &amp; Towns'!$A$28:$B$345,2,FALSE)</f>
        <v>260</v>
      </c>
      <c r="BL101" s="269">
        <f>BD101*VLOOKUP($B101,'Major Cities &amp; Towns'!$A$28:$B$345,2,FALSE)</f>
        <v>264</v>
      </c>
      <c r="BM101" s="269">
        <f>BE101*VLOOKUP($B101,'Major Cities &amp; Towns'!$A$28:$B$345,2,FALSE)</f>
        <v>266</v>
      </c>
      <c r="BN101" s="269">
        <f>BF101*VLOOKUP($B101,'Major Cities &amp; Towns'!$A$28:$B$345,2,FALSE)</f>
        <v>272</v>
      </c>
      <c r="BO101" s="270">
        <f t="shared" si="79"/>
        <v>369.23932312651084</v>
      </c>
      <c r="BP101" s="270">
        <f t="shared" si="50"/>
        <v>393</v>
      </c>
      <c r="BQ101" s="270">
        <f t="shared" si="50"/>
        <v>392</v>
      </c>
      <c r="BR101" s="270">
        <f t="shared" si="50"/>
        <v>256</v>
      </c>
      <c r="BS101" s="270">
        <f t="shared" si="49"/>
        <v>260</v>
      </c>
      <c r="BT101" s="270">
        <f t="shared" si="49"/>
        <v>264</v>
      </c>
      <c r="BU101" s="270">
        <f t="shared" si="49"/>
        <v>266</v>
      </c>
      <c r="BV101" s="270">
        <f t="shared" si="49"/>
        <v>272</v>
      </c>
      <c r="BW101" s="39">
        <f>VLOOKUP($A101,NetAdditions!$A$2:$H$336,6,FALSE)</f>
        <v>321</v>
      </c>
      <c r="BX101" s="39">
        <f>VLOOKUP($A101,NetAdditions!$A$2:$H$336,7,FALSE)</f>
        <v>246</v>
      </c>
      <c r="BY101" s="39">
        <f>IF((VLOOKUP($C101,NetAdditions!$A$2:$H$336,8,FALSE))="",(AVERAGE(VLOOKUP($C101,NetAdditions!$A$2:$H$336,5,FALSE),VLOOKUP($C101,NetAdditions!$A$2:$H$336,6,FALSE),VLOOKUP($C101,NetAdditions!$A$2:$H$336,7,FALSE))),VLOOKUP($C101,NetAdditions!$A$2:$H$336,8,FALSE))</f>
        <v>203</v>
      </c>
      <c r="BZ101" s="39">
        <f t="shared" si="54"/>
        <v>256.66666666666669</v>
      </c>
      <c r="CA101" s="39">
        <f t="shared" si="54"/>
        <v>235.22222222222226</v>
      </c>
      <c r="CB101" s="39">
        <f t="shared" si="54"/>
        <v>231.62962962962965</v>
      </c>
      <c r="CC101" s="39">
        <f t="shared" si="54"/>
        <v>241.17283950617286</v>
      </c>
      <c r="CD101" s="39">
        <f t="shared" si="54"/>
        <v>236.00823045267489</v>
      </c>
      <c r="CE101" s="276">
        <f t="shared" si="55"/>
        <v>1154.239323126511</v>
      </c>
      <c r="CF101" s="276">
        <f t="shared" si="56"/>
        <v>1041</v>
      </c>
      <c r="CG101" s="276">
        <f t="shared" si="57"/>
        <v>908</v>
      </c>
      <c r="CH101" s="276">
        <f t="shared" si="58"/>
        <v>780</v>
      </c>
      <c r="CI101" s="276">
        <f t="shared" si="59"/>
        <v>790</v>
      </c>
      <c r="CJ101" s="276">
        <f t="shared" si="60"/>
        <v>802</v>
      </c>
      <c r="CK101" s="276">
        <f t="shared" si="80"/>
        <v>993.92830602560673</v>
      </c>
      <c r="CL101" s="276">
        <f t="shared" si="81"/>
        <v>896.41666666666674</v>
      </c>
      <c r="CM101" s="276">
        <f t="shared" si="82"/>
        <v>832.33333333333326</v>
      </c>
      <c r="CN101" s="276">
        <f t="shared" si="83"/>
        <v>780</v>
      </c>
      <c r="CO101" s="276">
        <f t="shared" si="83"/>
        <v>790</v>
      </c>
      <c r="CP101" s="276">
        <f t="shared" si="83"/>
        <v>802</v>
      </c>
      <c r="CQ101" s="39">
        <f t="shared" si="61"/>
        <v>770</v>
      </c>
      <c r="CR101" s="39">
        <f t="shared" si="62"/>
        <v>705.66666666666674</v>
      </c>
      <c r="CS101" s="277">
        <f t="shared" si="63"/>
        <v>694.88888888888891</v>
      </c>
      <c r="CT101" s="39">
        <f t="shared" si="64"/>
        <v>723.51851851851859</v>
      </c>
      <c r="CU101" s="39">
        <f t="shared" si="65"/>
        <v>708.02469135802471</v>
      </c>
      <c r="CV101" s="39">
        <f t="shared" si="66"/>
        <v>708.81069958847741</v>
      </c>
      <c r="CW101" s="297">
        <f t="shared" si="67"/>
        <v>0.77470376417689257</v>
      </c>
      <c r="CX101" s="279" t="str">
        <f t="shared" si="84"/>
        <v>Buffer and Action Plan</v>
      </c>
      <c r="CY101" s="278">
        <f t="shared" si="68"/>
        <v>0.78720832945988661</v>
      </c>
      <c r="CZ101" s="279" t="str">
        <f t="shared" si="85"/>
        <v>Buffer and Action Plan</v>
      </c>
      <c r="DA101" s="278">
        <f t="shared" si="69"/>
        <v>0.83486850887731956</v>
      </c>
      <c r="DB101" s="292" t="str">
        <f t="shared" si="86"/>
        <v>Buffer and Action Plan</v>
      </c>
      <c r="DC101" s="299">
        <f t="shared" si="87"/>
        <v>0.92758784425451102</v>
      </c>
      <c r="DD101" s="293" t="str">
        <f t="shared" si="88"/>
        <v>Action Plan</v>
      </c>
      <c r="DE101" s="299">
        <f t="shared" si="89"/>
        <v>0.8962337865291452</v>
      </c>
      <c r="DF101" s="293" t="str">
        <f t="shared" si="90"/>
        <v>Action Plan</v>
      </c>
      <c r="DG101" s="299">
        <f t="shared" si="91"/>
        <v>0.8838038648235379</v>
      </c>
      <c r="DH101" s="293" t="str">
        <f t="shared" si="92"/>
        <v>Action Plan</v>
      </c>
    </row>
    <row r="102" spans="1:112" ht="15" thickTop="1" thickBot="1">
      <c r="A102" s="38" t="s">
        <v>314</v>
      </c>
      <c r="B102" s="38" t="s">
        <v>315</v>
      </c>
      <c r="C102" s="38" t="s">
        <v>314</v>
      </c>
      <c r="D102" s="38" t="s">
        <v>147</v>
      </c>
      <c r="E102" s="38" t="str">
        <f>VLOOKUP(C102,PoliticalControl!A:K,11,FALSE)</f>
        <v>LAB</v>
      </c>
      <c r="F102" s="38" t="str">
        <f>VLOOKUP(C102,UrbanRuralClassification!A:N,13,FALSE)</f>
        <v>Urban with City and Town</v>
      </c>
      <c r="G102" s="38" t="str">
        <f>VLOOKUP(C102,UrbanRuralClassification!A:N,14,FALSE)</f>
        <v>Predominantly Urban</v>
      </c>
      <c r="H102" s="258">
        <f>IF(ISBLANK((VLOOKUP($A102,'local-plan-data'!$C$1:$AD$566,27,FALSE)))=TRUE,"",VLOOKUP($A102,'local-plan-data'!$C$1:$AD$566,27,FALSE))</f>
        <v>40960</v>
      </c>
      <c r="I102" s="259">
        <f>VLOOKUP($A102,'local-plan-data'!$C$1:$AD$566,28,FALSE)</f>
        <v>600</v>
      </c>
      <c r="J102" s="260">
        <f t="shared" si="70"/>
        <v>600</v>
      </c>
      <c r="K102" s="259" t="str">
        <f t="shared" si="96"/>
        <v>-</v>
      </c>
      <c r="L102" s="259" t="str">
        <f t="shared" si="93"/>
        <v>-</v>
      </c>
      <c r="M102" s="259" t="str">
        <f t="shared" si="93"/>
        <v>-</v>
      </c>
      <c r="N102" s="259" t="str">
        <f t="shared" si="93"/>
        <v>-</v>
      </c>
      <c r="O102" s="259" t="str">
        <f t="shared" si="93"/>
        <v>-</v>
      </c>
      <c r="P102" s="259" t="str">
        <f t="shared" si="93"/>
        <v>-</v>
      </c>
      <c r="Q102" s="259" t="str">
        <f t="shared" si="93"/>
        <v>-</v>
      </c>
      <c r="R102" s="259" t="str">
        <f t="shared" si="93"/>
        <v>-</v>
      </c>
      <c r="S102" s="259">
        <f t="shared" si="97"/>
        <v>-404</v>
      </c>
      <c r="T102" s="259">
        <f t="shared" si="94"/>
        <v>-769</v>
      </c>
      <c r="U102" s="259">
        <f t="shared" si="94"/>
        <v>-1135</v>
      </c>
      <c r="V102" s="259">
        <f t="shared" si="94"/>
        <v>-1500</v>
      </c>
      <c r="W102" s="259">
        <f t="shared" si="94"/>
        <v>-1865</v>
      </c>
      <c r="X102" s="259">
        <f t="shared" si="94"/>
        <v>-2230</v>
      </c>
      <c r="Y102" s="259">
        <f t="shared" si="94"/>
        <v>-2596</v>
      </c>
      <c r="Z102" s="259">
        <f t="shared" si="94"/>
        <v>-2961</v>
      </c>
      <c r="AA102" s="267">
        <f>(VLOOKUP(A102,Hshldprojections2014!$A$2:$AW$319,40, FALSE)-VLOOKUP(A102,Hshldprojections2014!$A$2:$AW$319,30, FALSE))/10</f>
        <v>497.8</v>
      </c>
      <c r="AB102" s="267">
        <f>(VLOOKUP(A102,Hshldprojections2014!$A$2:$AW$319,41, FALSE)-VLOOKUP(A102,Hshldprojections2014!$A$2:$AW$319,31, FALSE))/10</f>
        <v>493.7</v>
      </c>
      <c r="AC102" s="267">
        <f>(VLOOKUP(A102,Hshldprojections2014!$A$2:$AW$319,42, FALSE)-VLOOKUP(A102,Hshldprojections2014!$A$2:$AW$319,32, FALSE))/10</f>
        <v>489.3</v>
      </c>
      <c r="AD102" s="267">
        <f>IF(IndividualLATest!$J$7=2014,(VLOOKUP($A102,Hshldprojections2014!$A$2:$AY$326,43,FALSE)-VLOOKUP($A102,Hshldprojections2014!$A$2:$AY$326,33,FALSE))/10,IF(IndividualLATest!$J$7=2016,(VLOOKUP($A102,Hshldprojections2016!$A$1:$AQ$322,33,FALSE)-VLOOKUP($A102,Hshldprojections2016!$A$1:$AQ$322,23,FALSE))/10,(VLOOKUP($A102,Hshldprojections2018!$A$1:$AQ$327,33,FALSE)-VLOOKUP($A102,Hshldprojections2018!$A$1:$AQ$327,23,FALSE))/10))</f>
        <v>431.9</v>
      </c>
      <c r="AE102" s="267">
        <f>IF(IndividualLATest!$J$7=2014,(VLOOKUP($A102,Hshldprojections2014!$A$2:$AY$326,44,FALSE)-VLOOKUP($A102,Hshldprojections2014!$A$2:$AY$326,34,FALSE))/10,IF(IndividualLATest!$J$7=2016,(VLOOKUP($A102,Hshldprojections2016!$A$1:$AQ$322,34,FALSE)-VLOOKUP($A102,Hshldprojections2016!$A$1:$AQ$322,24,FALSE))/10,(VLOOKUP($A102,Hshldprojections2018!$A$1:$AQ$327,34,FALSE)-VLOOKUP($A102,Hshldprojections2018!$A$1:$AQ$327,24,FALSE))/10))</f>
        <v>438</v>
      </c>
      <c r="AF102" s="267">
        <f>IF(IndividualLATest!$J$7=2014,(VLOOKUP($A102,Hshldprojections2014!$A$2:$AY$326,45,FALSE)-VLOOKUP($A102,Hshldprojections2014!$A$2:$AY$326,35,FALSE))/10,IF(IndividualLATest!$J$7=2016,(VLOOKUP($A102,Hshldprojections2016!$A$1:$AQ$322,35,FALSE)-VLOOKUP($A102,Hshldprojections2016!$A$1:$AQ$322,25,FALSE))/10,(VLOOKUP($A102,Hshldprojections2018!$A$1:$AQ$327,35,FALSE)-VLOOKUP($A102,Hshldprojections2018!$A$1:$AQ$327,25,FALSE))/10))</f>
        <v>441.6</v>
      </c>
      <c r="AG102" s="267">
        <f>IF(IndividualLATest!$J$7=2014,(VLOOKUP($A102,Hshldprojections2014!$A$2:$AY$326,46,FALSE)-VLOOKUP($A102,Hshldprojections2014!$A$2:$AY$326,36,FALSE))/10,IF(IndividualLATest!$J$7=2016,(VLOOKUP($A102,Hshldprojections2016!$A$1:$AQ$322,36,FALSE)-VLOOKUP($A102,Hshldprojections2016!$A$1:$AQ$322,26,FALSE))/10,(VLOOKUP($A102,Hshldprojections2018!$A$1:$AQ$327,36,FALSE)-VLOOKUP($A102,Hshldprojections2018!$A$1:$AQ$327,26,FALSE))/10))</f>
        <v>439.4</v>
      </c>
      <c r="AH102" s="267">
        <f>IF(IndividualLATest!$J$7=2014,(VLOOKUP($A102,Hshldprojections2014!$A$2:$AY$326,47,FALSE)-VLOOKUP($A102,Hshldprojections2014!$A$2:$AY$326,37,FALSE))/10,IF(IndividualLATest!$J$7=2016,(VLOOKUP($A102,Hshldprojections2016!$A$1:$AQ$322,37,FALSE)-VLOOKUP($A102,Hshldprojections2016!$A$1:$AQ$322,27,FALSE))/10,(VLOOKUP($A102,Hshldprojections2018!$A$1:$AQ$327,37,FALSE)-VLOOKUP($A102,Hshldprojections2018!$A$1:$AQ$327,27,FALSE))/10))</f>
        <v>436.8</v>
      </c>
      <c r="AI102" s="268">
        <f>IF(ISNUMBER('Sensitivity Tests'!$C$30),'Sensitivity Tests'!$C$30,VLOOKUP($A102,AffordabilityRatio!$A$2:$I$321,5,FALSE))</f>
        <v>8.5500000000000007</v>
      </c>
      <c r="AJ102" s="268">
        <f>IF(ISNUMBER('Sensitivity Tests'!$C$30),'Sensitivity Tests'!$C$30,VLOOKUP($A102,AffordabilityRatio!$A$2:$I$321,6,FALSE))</f>
        <v>8.6999999999999993</v>
      </c>
      <c r="AK102" s="268">
        <f>IF(ISNUMBER('Sensitivity Tests'!$C$30),'Sensitivity Tests'!$C$30,VLOOKUP($A102,AffordabilityRatio!$A$2:$I$321,7,FALSE))</f>
        <v>8.4499999999999993</v>
      </c>
      <c r="AL102" s="268">
        <f>IF(ISNUMBER('Sensitivity Tests'!$C$30),'Sensitivity Tests'!$C$30,IF((VLOOKUP($A102,AffordabilityRatio!$A$2:$I$321,8,FALSE))="",AK102,VLOOKUP($A102,AffordabilityRatio!$A$2:$I$321,8,FALSE)))</f>
        <v>8.67</v>
      </c>
      <c r="AM102" s="268">
        <f>IF(ISNUMBER('Sensitivity Tests'!$C$30),'Sensitivity Tests'!$C$30,IF((VLOOKUP($A102,AffordabilityRatio!$A$2:$I$321,9,FALSE))="",AL102,VLOOKUP($A102,AffordabilityRatio!$A$2:$I$321,9,FALSE)))</f>
        <v>9.2200000000000006</v>
      </c>
      <c r="AN102" s="268">
        <f>IF(ISNUMBER('Sensitivity Tests'!$C$30),'Sensitivity Tests'!$C$30,IF((VLOOKUP($A102,AffordabilityRatio!$A$2:$I$321,9,FALSE))="",AM102,VLOOKUP($A102,AffordabilityRatio!$A$2:$I$321,9,FALSE)))</f>
        <v>9.2200000000000006</v>
      </c>
      <c r="AO102" s="268">
        <f>IF(ISNUMBER('Sensitivity Tests'!$C$30),'Sensitivity Tests'!$C$30,IF((VLOOKUP($A102,AffordabilityRatio!$A$2:$I$321,9,FALSE))="",AN102,VLOOKUP($A102,AffordabilityRatio!$A$2:$I$321,9,FALSE)))</f>
        <v>9.2200000000000006</v>
      </c>
      <c r="AP102" s="268">
        <f>IF(ISNUMBER('Sensitivity Tests'!$C$30),'Sensitivity Tests'!$C$30,IF((VLOOKUP($A102,AffordabilityRatio!$A$2:$I$321,9,FALSE))="",AO102,VLOOKUP($A102,AffordabilityRatio!$A$2:$I$321,9,FALSE)))</f>
        <v>9.2200000000000006</v>
      </c>
      <c r="AQ102" s="267">
        <f t="shared" si="98"/>
        <v>639</v>
      </c>
      <c r="AR102" s="267">
        <f t="shared" si="98"/>
        <v>639</v>
      </c>
      <c r="AS102" s="267">
        <f t="shared" si="98"/>
        <v>625</v>
      </c>
      <c r="AT102" s="267">
        <f t="shared" si="98"/>
        <v>558</v>
      </c>
      <c r="AU102" s="267">
        <f t="shared" si="98"/>
        <v>581</v>
      </c>
      <c r="AV102" s="267">
        <f t="shared" si="98"/>
        <v>586</v>
      </c>
      <c r="AW102" s="267">
        <f t="shared" si="98"/>
        <v>583</v>
      </c>
      <c r="AX102" s="267">
        <f t="shared" si="95"/>
        <v>579</v>
      </c>
      <c r="AY102" s="267">
        <f t="shared" si="71"/>
        <v>639</v>
      </c>
      <c r="AZ102" s="267">
        <f t="shared" si="72"/>
        <v>639</v>
      </c>
      <c r="BA102" s="267">
        <f t="shared" si="73"/>
        <v>625</v>
      </c>
      <c r="BB102" s="267">
        <f t="shared" si="74"/>
        <v>558</v>
      </c>
      <c r="BC102" s="267">
        <f t="shared" si="75"/>
        <v>581</v>
      </c>
      <c r="BD102" s="267">
        <f t="shared" si="76"/>
        <v>586</v>
      </c>
      <c r="BE102" s="267">
        <f t="shared" si="77"/>
        <v>583</v>
      </c>
      <c r="BF102" s="267">
        <f t="shared" si="78"/>
        <v>579</v>
      </c>
      <c r="BG102" s="269">
        <f>AY102*VLOOKUP($B102,'Major Cities &amp; Towns'!$A$28:$B$345,2,FALSE)</f>
        <v>639</v>
      </c>
      <c r="BH102" s="269">
        <f>AZ102*VLOOKUP($B102,'Major Cities &amp; Towns'!$A$28:$B$345,2,FALSE)</f>
        <v>639</v>
      </c>
      <c r="BI102" s="269">
        <f>BA102*VLOOKUP($B102,'Major Cities &amp; Towns'!$A$28:$B$345,2,FALSE)</f>
        <v>625</v>
      </c>
      <c r="BJ102" s="269">
        <f>BB102*VLOOKUP($B102,'Major Cities &amp; Towns'!$A$28:$B$345,2,FALSE)</f>
        <v>558</v>
      </c>
      <c r="BK102" s="269">
        <f>BC102*VLOOKUP($B102,'Major Cities &amp; Towns'!$A$28:$B$345,2,FALSE)</f>
        <v>581</v>
      </c>
      <c r="BL102" s="269">
        <f>BD102*VLOOKUP($B102,'Major Cities &amp; Towns'!$A$28:$B$345,2,FALSE)</f>
        <v>586</v>
      </c>
      <c r="BM102" s="269">
        <f>BE102*VLOOKUP($B102,'Major Cities &amp; Towns'!$A$28:$B$345,2,FALSE)</f>
        <v>583</v>
      </c>
      <c r="BN102" s="269">
        <f>BF102*VLOOKUP($B102,'Major Cities &amp; Towns'!$A$28:$B$345,2,FALSE)</f>
        <v>579</v>
      </c>
      <c r="BO102" s="270">
        <f t="shared" si="79"/>
        <v>639</v>
      </c>
      <c r="BP102" s="270">
        <f t="shared" si="50"/>
        <v>639</v>
      </c>
      <c r="BQ102" s="270">
        <f t="shared" si="50"/>
        <v>625</v>
      </c>
      <c r="BR102" s="270">
        <f t="shared" si="50"/>
        <v>558</v>
      </c>
      <c r="BS102" s="270">
        <f t="shared" si="49"/>
        <v>581</v>
      </c>
      <c r="BT102" s="270">
        <f t="shared" si="49"/>
        <v>586</v>
      </c>
      <c r="BU102" s="270">
        <f t="shared" si="49"/>
        <v>583</v>
      </c>
      <c r="BV102" s="270">
        <f t="shared" si="49"/>
        <v>579</v>
      </c>
      <c r="BW102" s="39">
        <f>VLOOKUP($A102,NetAdditions!$A$2:$H$336,6,FALSE)</f>
        <v>802</v>
      </c>
      <c r="BX102" s="39">
        <f>VLOOKUP($A102,NetAdditions!$A$2:$H$336,7,FALSE)</f>
        <v>1137</v>
      </c>
      <c r="BY102" s="39">
        <f>IF((VLOOKUP($C102,NetAdditions!$A$2:$H$336,8,FALSE))="",(AVERAGE(VLOOKUP($C102,NetAdditions!$A$2:$H$336,5,FALSE),VLOOKUP($C102,NetAdditions!$A$2:$H$336,6,FALSE),VLOOKUP($C102,NetAdditions!$A$2:$H$336,7,FALSE))),VLOOKUP($C102,NetAdditions!$A$2:$H$336,8,FALSE))</f>
        <v>520</v>
      </c>
      <c r="BZ102" s="39">
        <f t="shared" si="54"/>
        <v>819.66666666666663</v>
      </c>
      <c r="CA102" s="39">
        <f t="shared" si="54"/>
        <v>825.55555555555554</v>
      </c>
      <c r="CB102" s="39">
        <f t="shared" si="54"/>
        <v>721.74074074074076</v>
      </c>
      <c r="CC102" s="39">
        <f t="shared" si="54"/>
        <v>788.98765432098764</v>
      </c>
      <c r="CD102" s="39">
        <f t="shared" si="54"/>
        <v>778.76131687242798</v>
      </c>
      <c r="CE102" s="276">
        <f t="shared" si="55"/>
        <v>1903</v>
      </c>
      <c r="CF102" s="276">
        <f t="shared" si="56"/>
        <v>1822</v>
      </c>
      <c r="CG102" s="276">
        <f t="shared" si="57"/>
        <v>1764</v>
      </c>
      <c r="CH102" s="276">
        <f t="shared" si="58"/>
        <v>1725</v>
      </c>
      <c r="CI102" s="276">
        <f t="shared" si="59"/>
        <v>1750</v>
      </c>
      <c r="CJ102" s="276">
        <f t="shared" si="60"/>
        <v>1748</v>
      </c>
      <c r="CK102" s="276">
        <f t="shared" si="80"/>
        <v>1638.6944444444446</v>
      </c>
      <c r="CL102" s="276">
        <f t="shared" si="81"/>
        <v>1568.9444444444446</v>
      </c>
      <c r="CM102" s="276">
        <f t="shared" si="82"/>
        <v>1617</v>
      </c>
      <c r="CN102" s="276">
        <f t="shared" si="83"/>
        <v>1725</v>
      </c>
      <c r="CO102" s="276">
        <f t="shared" si="83"/>
        <v>1750</v>
      </c>
      <c r="CP102" s="276">
        <f t="shared" si="83"/>
        <v>1748</v>
      </c>
      <c r="CQ102" s="39">
        <f t="shared" si="61"/>
        <v>2459</v>
      </c>
      <c r="CR102" s="39">
        <f t="shared" si="62"/>
        <v>2476.6666666666665</v>
      </c>
      <c r="CS102" s="277">
        <f t="shared" si="63"/>
        <v>2165.2222222222222</v>
      </c>
      <c r="CT102" s="39">
        <f t="shared" si="64"/>
        <v>2366.962962962963</v>
      </c>
      <c r="CU102" s="39">
        <f t="shared" si="65"/>
        <v>2336.2839506172841</v>
      </c>
      <c r="CV102" s="39">
        <f t="shared" si="66"/>
        <v>2289.4897119341563</v>
      </c>
      <c r="CW102" s="297">
        <f t="shared" si="67"/>
        <v>1.5005848151475598</v>
      </c>
      <c r="CX102" s="279" t="str">
        <f t="shared" si="84"/>
        <v>Pass</v>
      </c>
      <c r="CY102" s="278">
        <f t="shared" si="68"/>
        <v>1.5785560001416379</v>
      </c>
      <c r="CZ102" s="279" t="str">
        <f t="shared" si="85"/>
        <v>Pass</v>
      </c>
      <c r="DA102" s="278">
        <f t="shared" si="69"/>
        <v>1.3390366247509105</v>
      </c>
      <c r="DB102" s="292" t="str">
        <f t="shared" si="86"/>
        <v>Pass</v>
      </c>
      <c r="DC102" s="299">
        <f t="shared" si="87"/>
        <v>1.3721524422973699</v>
      </c>
      <c r="DD102" s="293" t="str">
        <f t="shared" si="88"/>
        <v>Pass</v>
      </c>
      <c r="DE102" s="299">
        <f t="shared" si="89"/>
        <v>1.3350194003527338</v>
      </c>
      <c r="DF102" s="293" t="str">
        <f t="shared" si="90"/>
        <v>Pass</v>
      </c>
      <c r="DG102" s="299">
        <f t="shared" si="91"/>
        <v>1.3097767230744601</v>
      </c>
      <c r="DH102" s="293" t="str">
        <f t="shared" si="92"/>
        <v>Pass</v>
      </c>
    </row>
    <row r="103" spans="1:112" ht="15" thickTop="1" thickBot="1">
      <c r="A103" s="38" t="s">
        <v>316</v>
      </c>
      <c r="B103" s="38" t="s">
        <v>317</v>
      </c>
      <c r="C103" s="38" t="s">
        <v>316</v>
      </c>
      <c r="D103" s="38" t="s">
        <v>113</v>
      </c>
      <c r="E103" s="38" t="str">
        <f>VLOOKUP(C103,PoliticalControl!A:K,11,FALSE)</f>
        <v>CON</v>
      </c>
      <c r="F103" s="38" t="str">
        <f>VLOOKUP(C103,UrbanRuralClassification!A:N,13,FALSE)</f>
        <v>Urban with City and Town</v>
      </c>
      <c r="G103" s="38" t="str">
        <f>VLOOKUP(C103,UrbanRuralClassification!A:N,14,FALSE)</f>
        <v>Predominantly Urban</v>
      </c>
      <c r="H103" s="258">
        <f>IF(ISBLANK((VLOOKUP($A103,'local-plan-data'!$C$1:$AD$566,27,FALSE)))=TRUE,"",VLOOKUP($A103,'local-plan-data'!$C$1:$AD$566,27,FALSE))</f>
        <v>40759</v>
      </c>
      <c r="I103" s="259">
        <f>VLOOKUP($A103,'local-plan-data'!$C$1:$AD$566,28,FALSE)</f>
        <v>338</v>
      </c>
      <c r="J103" s="260">
        <f t="shared" si="70"/>
        <v>338</v>
      </c>
      <c r="K103" s="259" t="str">
        <f t="shared" si="96"/>
        <v>-</v>
      </c>
      <c r="L103" s="259" t="str">
        <f t="shared" si="93"/>
        <v>-</v>
      </c>
      <c r="M103" s="259" t="str">
        <f t="shared" si="93"/>
        <v>-</v>
      </c>
      <c r="N103" s="259" t="str">
        <f t="shared" si="93"/>
        <v>-</v>
      </c>
      <c r="O103" s="259" t="str">
        <f t="shared" si="93"/>
        <v>-</v>
      </c>
      <c r="P103" s="259" t="str">
        <f t="shared" si="93"/>
        <v>-</v>
      </c>
      <c r="Q103" s="259" t="str">
        <f t="shared" si="93"/>
        <v>-</v>
      </c>
      <c r="R103" s="259" t="str">
        <f t="shared" si="93"/>
        <v>-</v>
      </c>
      <c r="S103" s="259">
        <f t="shared" si="97"/>
        <v>-605</v>
      </c>
      <c r="T103" s="259">
        <f t="shared" si="94"/>
        <v>-970</v>
      </c>
      <c r="U103" s="259">
        <f t="shared" si="94"/>
        <v>-1336</v>
      </c>
      <c r="V103" s="259">
        <f t="shared" si="94"/>
        <v>-1701</v>
      </c>
      <c r="W103" s="259">
        <f t="shared" si="94"/>
        <v>-2066</v>
      </c>
      <c r="X103" s="259">
        <f t="shared" si="94"/>
        <v>-2431</v>
      </c>
      <c r="Y103" s="259">
        <f t="shared" si="94"/>
        <v>-2797</v>
      </c>
      <c r="Z103" s="259">
        <f t="shared" si="94"/>
        <v>-3162</v>
      </c>
      <c r="AA103" s="267">
        <f>(VLOOKUP(A103,Hshldprojections2014!$A$2:$AW$319,40, FALSE)-VLOOKUP(A103,Hshldprojections2014!$A$2:$AW$319,30, FALSE))/10</f>
        <v>397.7</v>
      </c>
      <c r="AB103" s="267">
        <f>(VLOOKUP(A103,Hshldprojections2014!$A$2:$AW$319,41, FALSE)-VLOOKUP(A103,Hshldprojections2014!$A$2:$AW$319,31, FALSE))/10</f>
        <v>393.6</v>
      </c>
      <c r="AC103" s="267">
        <f>(VLOOKUP(A103,Hshldprojections2014!$A$2:$AW$319,42, FALSE)-VLOOKUP(A103,Hshldprojections2014!$A$2:$AW$319,32, FALSE))/10</f>
        <v>389.7</v>
      </c>
      <c r="AD103" s="267">
        <f>IF(IndividualLATest!$J$7=2014,(VLOOKUP($A103,Hshldprojections2014!$A$2:$AY$326,43,FALSE)-VLOOKUP($A103,Hshldprojections2014!$A$2:$AY$326,33,FALSE))/10,IF(IndividualLATest!$J$7=2016,(VLOOKUP($A103,Hshldprojections2016!$A$1:$AQ$322,33,FALSE)-VLOOKUP($A103,Hshldprojections2016!$A$1:$AQ$322,23,FALSE))/10,(VLOOKUP($A103,Hshldprojections2018!$A$1:$AQ$327,33,FALSE)-VLOOKUP($A103,Hshldprojections2018!$A$1:$AQ$327,23,FALSE))/10))</f>
        <v>232.1</v>
      </c>
      <c r="AE103" s="267">
        <f>IF(IndividualLATest!$J$7=2014,(VLOOKUP($A103,Hshldprojections2014!$A$2:$AY$326,44,FALSE)-VLOOKUP($A103,Hshldprojections2014!$A$2:$AY$326,34,FALSE))/10,IF(IndividualLATest!$J$7=2016,(VLOOKUP($A103,Hshldprojections2016!$A$1:$AQ$322,34,FALSE)-VLOOKUP($A103,Hshldprojections2016!$A$1:$AQ$322,24,FALSE))/10,(VLOOKUP($A103,Hshldprojections2018!$A$1:$AQ$327,34,FALSE)-VLOOKUP($A103,Hshldprojections2018!$A$1:$AQ$327,24,FALSE))/10))</f>
        <v>227.2</v>
      </c>
      <c r="AF103" s="267">
        <f>IF(IndividualLATest!$J$7=2014,(VLOOKUP($A103,Hshldprojections2014!$A$2:$AY$326,45,FALSE)-VLOOKUP($A103,Hshldprojections2014!$A$2:$AY$326,35,FALSE))/10,IF(IndividualLATest!$J$7=2016,(VLOOKUP($A103,Hshldprojections2016!$A$1:$AQ$322,35,FALSE)-VLOOKUP($A103,Hshldprojections2016!$A$1:$AQ$322,25,FALSE))/10,(VLOOKUP($A103,Hshldprojections2018!$A$1:$AQ$327,35,FALSE)-VLOOKUP($A103,Hshldprojections2018!$A$1:$AQ$327,25,FALSE))/10))</f>
        <v>223.1</v>
      </c>
      <c r="AG103" s="267">
        <f>IF(IndividualLATest!$J$7=2014,(VLOOKUP($A103,Hshldprojections2014!$A$2:$AY$326,46,FALSE)-VLOOKUP($A103,Hshldprojections2014!$A$2:$AY$326,36,FALSE))/10,IF(IndividualLATest!$J$7=2016,(VLOOKUP($A103,Hshldprojections2016!$A$1:$AQ$322,36,FALSE)-VLOOKUP($A103,Hshldprojections2016!$A$1:$AQ$322,26,FALSE))/10,(VLOOKUP($A103,Hshldprojections2018!$A$1:$AQ$327,36,FALSE)-VLOOKUP($A103,Hshldprojections2018!$A$1:$AQ$327,26,FALSE))/10))</f>
        <v>219</v>
      </c>
      <c r="AH103" s="267">
        <f>IF(IndividualLATest!$J$7=2014,(VLOOKUP($A103,Hshldprojections2014!$A$2:$AY$326,47,FALSE)-VLOOKUP($A103,Hshldprojections2014!$A$2:$AY$326,37,FALSE))/10,IF(IndividualLATest!$J$7=2016,(VLOOKUP($A103,Hshldprojections2016!$A$1:$AQ$322,37,FALSE)-VLOOKUP($A103,Hshldprojections2016!$A$1:$AQ$322,27,FALSE))/10,(VLOOKUP($A103,Hshldprojections2018!$A$1:$AQ$327,37,FALSE)-VLOOKUP($A103,Hshldprojections2018!$A$1:$AQ$327,27,FALSE))/10))</f>
        <v>216.6</v>
      </c>
      <c r="AI103" s="268">
        <f>IF(ISNUMBER('Sensitivity Tests'!$C$30),'Sensitivity Tests'!$C$30,VLOOKUP($A103,AffordabilityRatio!$A$2:$I$321,5,FALSE))</f>
        <v>9.8699999999999992</v>
      </c>
      <c r="AJ103" s="268">
        <f>IF(ISNUMBER('Sensitivity Tests'!$C$30),'Sensitivity Tests'!$C$30,VLOOKUP($A103,AffordabilityRatio!$A$2:$I$321,6,FALSE))</f>
        <v>9.24</v>
      </c>
      <c r="AK103" s="268">
        <f>IF(ISNUMBER('Sensitivity Tests'!$C$30),'Sensitivity Tests'!$C$30,VLOOKUP($A103,AffordabilityRatio!$A$2:$I$321,7,FALSE))</f>
        <v>9.0299999999999994</v>
      </c>
      <c r="AL103" s="268">
        <f>IF(ISNUMBER('Sensitivity Tests'!$C$30),'Sensitivity Tests'!$C$30,IF((VLOOKUP($A103,AffordabilityRatio!$A$2:$I$321,8,FALSE))="",AK103,VLOOKUP($A103,AffordabilityRatio!$A$2:$I$321,8,FALSE)))</f>
        <v>10.41</v>
      </c>
      <c r="AM103" s="268">
        <f>IF(ISNUMBER('Sensitivity Tests'!$C$30),'Sensitivity Tests'!$C$30,IF((VLOOKUP($A103,AffordabilityRatio!$A$2:$I$321,9,FALSE))="",AL103,VLOOKUP($A103,AffordabilityRatio!$A$2:$I$321,9,FALSE)))</f>
        <v>10.74</v>
      </c>
      <c r="AN103" s="268">
        <f>IF(ISNUMBER('Sensitivity Tests'!$C$30),'Sensitivity Tests'!$C$30,IF((VLOOKUP($A103,AffordabilityRatio!$A$2:$I$321,9,FALSE))="",AM103,VLOOKUP($A103,AffordabilityRatio!$A$2:$I$321,9,FALSE)))</f>
        <v>10.74</v>
      </c>
      <c r="AO103" s="268">
        <f>IF(ISNUMBER('Sensitivity Tests'!$C$30),'Sensitivity Tests'!$C$30,IF((VLOOKUP($A103,AffordabilityRatio!$A$2:$I$321,9,FALSE))="",AN103,VLOOKUP($A103,AffordabilityRatio!$A$2:$I$321,9,FALSE)))</f>
        <v>10.74</v>
      </c>
      <c r="AP103" s="268">
        <f>IF(ISNUMBER('Sensitivity Tests'!$C$30),'Sensitivity Tests'!$C$30,IF((VLOOKUP($A103,AffordabilityRatio!$A$2:$I$321,9,FALSE))="",AO103,VLOOKUP($A103,AffordabilityRatio!$A$2:$I$321,9,FALSE)))</f>
        <v>10.74</v>
      </c>
      <c r="AQ103" s="267">
        <f t="shared" si="98"/>
        <v>544</v>
      </c>
      <c r="AR103" s="267">
        <f t="shared" si="98"/>
        <v>523</v>
      </c>
      <c r="AS103" s="267">
        <f t="shared" si="98"/>
        <v>512</v>
      </c>
      <c r="AT103" s="267">
        <f t="shared" si="98"/>
        <v>325</v>
      </c>
      <c r="AU103" s="267">
        <f t="shared" si="98"/>
        <v>323</v>
      </c>
      <c r="AV103" s="267">
        <f t="shared" si="98"/>
        <v>317</v>
      </c>
      <c r="AW103" s="267">
        <f t="shared" si="98"/>
        <v>311</v>
      </c>
      <c r="AX103" s="267">
        <f t="shared" si="95"/>
        <v>308</v>
      </c>
      <c r="AY103" s="267">
        <f t="shared" si="71"/>
        <v>544</v>
      </c>
      <c r="AZ103" s="267">
        <f t="shared" si="72"/>
        <v>523</v>
      </c>
      <c r="BA103" s="267">
        <f t="shared" si="73"/>
        <v>512</v>
      </c>
      <c r="BB103" s="267">
        <f t="shared" si="74"/>
        <v>325</v>
      </c>
      <c r="BC103" s="267">
        <f t="shared" si="75"/>
        <v>323</v>
      </c>
      <c r="BD103" s="267">
        <f t="shared" si="76"/>
        <v>317</v>
      </c>
      <c r="BE103" s="267">
        <f t="shared" si="77"/>
        <v>311</v>
      </c>
      <c r="BF103" s="267">
        <f t="shared" si="78"/>
        <v>308</v>
      </c>
      <c r="BG103" s="269">
        <f>AY103*VLOOKUP($B103,'Major Cities &amp; Towns'!$A$28:$B$345,2,FALSE)</f>
        <v>544</v>
      </c>
      <c r="BH103" s="269">
        <f>AZ103*VLOOKUP($B103,'Major Cities &amp; Towns'!$A$28:$B$345,2,FALSE)</f>
        <v>523</v>
      </c>
      <c r="BI103" s="269">
        <f>BA103*VLOOKUP($B103,'Major Cities &amp; Towns'!$A$28:$B$345,2,FALSE)</f>
        <v>512</v>
      </c>
      <c r="BJ103" s="269">
        <f>BB103*VLOOKUP($B103,'Major Cities &amp; Towns'!$A$28:$B$345,2,FALSE)</f>
        <v>325</v>
      </c>
      <c r="BK103" s="269">
        <f>BC103*VLOOKUP($B103,'Major Cities &amp; Towns'!$A$28:$B$345,2,FALSE)</f>
        <v>323</v>
      </c>
      <c r="BL103" s="269">
        <f>BD103*VLOOKUP($B103,'Major Cities &amp; Towns'!$A$28:$B$345,2,FALSE)</f>
        <v>317</v>
      </c>
      <c r="BM103" s="269">
        <f>BE103*VLOOKUP($B103,'Major Cities &amp; Towns'!$A$28:$B$345,2,FALSE)</f>
        <v>311</v>
      </c>
      <c r="BN103" s="269">
        <f>BF103*VLOOKUP($B103,'Major Cities &amp; Towns'!$A$28:$B$345,2,FALSE)</f>
        <v>308</v>
      </c>
      <c r="BO103" s="270">
        <f t="shared" si="79"/>
        <v>544</v>
      </c>
      <c r="BP103" s="270">
        <f t="shared" si="50"/>
        <v>523</v>
      </c>
      <c r="BQ103" s="270">
        <f t="shared" si="50"/>
        <v>512</v>
      </c>
      <c r="BR103" s="270">
        <f t="shared" si="50"/>
        <v>325</v>
      </c>
      <c r="BS103" s="270">
        <f t="shared" si="49"/>
        <v>323</v>
      </c>
      <c r="BT103" s="270">
        <f t="shared" si="49"/>
        <v>317</v>
      </c>
      <c r="BU103" s="270">
        <f t="shared" si="49"/>
        <v>311</v>
      </c>
      <c r="BV103" s="270">
        <f t="shared" si="49"/>
        <v>308</v>
      </c>
      <c r="BW103" s="39">
        <f>VLOOKUP($A103,NetAdditions!$A$2:$H$336,6,FALSE)</f>
        <v>290</v>
      </c>
      <c r="BX103" s="39">
        <f>VLOOKUP($A103,NetAdditions!$A$2:$H$336,7,FALSE)</f>
        <v>285</v>
      </c>
      <c r="BY103" s="39">
        <f>IF((VLOOKUP($C103,NetAdditions!$A$2:$H$336,8,FALSE))="",(AVERAGE(VLOOKUP($C103,NetAdditions!$A$2:$H$336,5,FALSE),VLOOKUP($C103,NetAdditions!$A$2:$H$336,6,FALSE),VLOOKUP($C103,NetAdditions!$A$2:$H$336,7,FALSE))),VLOOKUP($C103,NetAdditions!$A$2:$H$336,8,FALSE))</f>
        <v>117</v>
      </c>
      <c r="BZ103" s="39">
        <f t="shared" si="54"/>
        <v>230.66666666666666</v>
      </c>
      <c r="CA103" s="39">
        <f t="shared" si="54"/>
        <v>210.88888888888889</v>
      </c>
      <c r="CB103" s="39">
        <f t="shared" si="54"/>
        <v>186.18518518518519</v>
      </c>
      <c r="CC103" s="39">
        <f t="shared" si="54"/>
        <v>209.24691358024691</v>
      </c>
      <c r="CD103" s="39">
        <f t="shared" si="54"/>
        <v>202.10699588477368</v>
      </c>
      <c r="CE103" s="276">
        <f t="shared" si="55"/>
        <v>1579</v>
      </c>
      <c r="CF103" s="276">
        <f t="shared" si="56"/>
        <v>1360</v>
      </c>
      <c r="CG103" s="276">
        <f t="shared" si="57"/>
        <v>1160</v>
      </c>
      <c r="CH103" s="276">
        <f t="shared" si="58"/>
        <v>965</v>
      </c>
      <c r="CI103" s="276">
        <f t="shared" si="59"/>
        <v>951</v>
      </c>
      <c r="CJ103" s="276">
        <f t="shared" si="60"/>
        <v>936</v>
      </c>
      <c r="CK103" s="276">
        <f t="shared" si="80"/>
        <v>1359.6944444444446</v>
      </c>
      <c r="CL103" s="276">
        <f t="shared" si="81"/>
        <v>1171.1111111111111</v>
      </c>
      <c r="CM103" s="276">
        <f t="shared" si="82"/>
        <v>1063.3333333333333</v>
      </c>
      <c r="CN103" s="276">
        <f t="shared" si="83"/>
        <v>965</v>
      </c>
      <c r="CO103" s="276">
        <f t="shared" si="83"/>
        <v>951</v>
      </c>
      <c r="CP103" s="276">
        <f t="shared" si="83"/>
        <v>936</v>
      </c>
      <c r="CQ103" s="39">
        <f t="shared" si="61"/>
        <v>692</v>
      </c>
      <c r="CR103" s="39">
        <f t="shared" si="62"/>
        <v>632.66666666666663</v>
      </c>
      <c r="CS103" s="277">
        <f t="shared" si="63"/>
        <v>558.55555555555554</v>
      </c>
      <c r="CT103" s="39">
        <f t="shared" si="64"/>
        <v>627.74074074074076</v>
      </c>
      <c r="CU103" s="39">
        <f t="shared" si="65"/>
        <v>606.32098765432102</v>
      </c>
      <c r="CV103" s="39">
        <f t="shared" si="66"/>
        <v>597.53909465020581</v>
      </c>
      <c r="CW103" s="297">
        <f t="shared" si="67"/>
        <v>0.50893787411387359</v>
      </c>
      <c r="CX103" s="279" t="str">
        <f t="shared" si="84"/>
        <v>Buffer and Action Plan</v>
      </c>
      <c r="CY103" s="278">
        <f t="shared" si="68"/>
        <v>0.54022770398481967</v>
      </c>
      <c r="CZ103" s="279" t="str">
        <f t="shared" si="85"/>
        <v>Buffer and Action Plan</v>
      </c>
      <c r="DA103" s="278">
        <f t="shared" si="69"/>
        <v>0.52528735632183909</v>
      </c>
      <c r="DB103" s="292" t="str">
        <f t="shared" si="86"/>
        <v>Presumption</v>
      </c>
      <c r="DC103" s="299">
        <f t="shared" si="87"/>
        <v>0.6505085396277106</v>
      </c>
      <c r="DD103" s="293" t="str">
        <f t="shared" si="88"/>
        <v>Presumption</v>
      </c>
      <c r="DE103" s="299">
        <f t="shared" si="89"/>
        <v>0.63756150121379707</v>
      </c>
      <c r="DF103" s="293" t="str">
        <f t="shared" si="90"/>
        <v>Presumption</v>
      </c>
      <c r="DG103" s="299">
        <f t="shared" si="91"/>
        <v>0.63839646864338229</v>
      </c>
      <c r="DH103" s="293" t="str">
        <f t="shared" si="92"/>
        <v>Presumption</v>
      </c>
    </row>
    <row r="104" spans="1:112" ht="15" thickTop="1" thickBot="1">
      <c r="A104" s="38" t="s">
        <v>318</v>
      </c>
      <c r="B104" s="38" t="s">
        <v>319</v>
      </c>
      <c r="C104" s="38" t="s">
        <v>318</v>
      </c>
      <c r="D104" s="38" t="s">
        <v>128</v>
      </c>
      <c r="E104" s="38" t="str">
        <f>VLOOKUP(C104,PoliticalControl!A:K,11,FALSE)</f>
        <v>CON</v>
      </c>
      <c r="F104" s="38" t="str">
        <f>VLOOKUP(C104,UrbanRuralClassification!A:N,13,FALSE)</f>
        <v xml:space="preserve">Largely Rural (rural including hub towns 50-79%) </v>
      </c>
      <c r="G104" s="38" t="str">
        <f>VLOOKUP(C104,UrbanRuralClassification!A:N,14,FALSE)</f>
        <v>Predominantly Rural</v>
      </c>
      <c r="H104" s="258">
        <f>IF(ISBLANK((VLOOKUP($A104,'local-plan-data'!$C$1:$AD$566,27,FALSE)))=TRUE,"",VLOOKUP($A104,'local-plan-data'!$C$1:$AD$566,27,FALSE))</f>
        <v>41767</v>
      </c>
      <c r="I104" s="259">
        <f>VLOOKUP($A104,'local-plan-data'!$C$1:$AD$566,28,FALSE)</f>
        <v>550</v>
      </c>
      <c r="J104" s="260">
        <f t="shared" si="70"/>
        <v>550</v>
      </c>
      <c r="K104" s="259">
        <f t="shared" si="96"/>
        <v>550</v>
      </c>
      <c r="L104" s="259">
        <f t="shared" si="93"/>
        <v>550</v>
      </c>
      <c r="M104" s="259" t="str">
        <f t="shared" si="93"/>
        <v>-</v>
      </c>
      <c r="N104" s="259" t="str">
        <f t="shared" si="93"/>
        <v>-</v>
      </c>
      <c r="O104" s="259" t="str">
        <f t="shared" si="93"/>
        <v>-</v>
      </c>
      <c r="P104" s="259" t="str">
        <f t="shared" si="93"/>
        <v>-</v>
      </c>
      <c r="Q104" s="259" t="str">
        <f t="shared" si="93"/>
        <v>-</v>
      </c>
      <c r="R104" s="259" t="str">
        <f t="shared" si="93"/>
        <v>-</v>
      </c>
      <c r="S104" s="259">
        <f t="shared" si="97"/>
        <v>402</v>
      </c>
      <c r="T104" s="259">
        <f t="shared" si="94"/>
        <v>37</v>
      </c>
      <c r="U104" s="259">
        <f t="shared" si="94"/>
        <v>-329</v>
      </c>
      <c r="V104" s="259">
        <f t="shared" si="94"/>
        <v>-694</v>
      </c>
      <c r="W104" s="259">
        <f t="shared" si="94"/>
        <v>-1059</v>
      </c>
      <c r="X104" s="259">
        <f t="shared" si="94"/>
        <v>-1424</v>
      </c>
      <c r="Y104" s="259">
        <f t="shared" si="94"/>
        <v>-1790</v>
      </c>
      <c r="Z104" s="259">
        <f t="shared" si="94"/>
        <v>-2155</v>
      </c>
      <c r="AA104" s="267">
        <f>(VLOOKUP(A104,Hshldprojections2014!$A$2:$AW$319,40, FALSE)-VLOOKUP(A104,Hshldprojections2014!$A$2:$AW$319,30, FALSE))/10</f>
        <v>435.8</v>
      </c>
      <c r="AB104" s="267">
        <f>(VLOOKUP(A104,Hshldprojections2014!$A$2:$AW$319,41, FALSE)-VLOOKUP(A104,Hshldprojections2014!$A$2:$AW$319,31, FALSE))/10</f>
        <v>430.3</v>
      </c>
      <c r="AC104" s="267">
        <f>(VLOOKUP(A104,Hshldprojections2014!$A$2:$AW$319,42, FALSE)-VLOOKUP(A104,Hshldprojections2014!$A$2:$AW$319,32, FALSE))/10</f>
        <v>428.2</v>
      </c>
      <c r="AD104" s="267">
        <f>IF(IndividualLATest!$J$7=2014,(VLOOKUP($A104,Hshldprojections2014!$A$2:$AY$326,43,FALSE)-VLOOKUP($A104,Hshldprojections2014!$A$2:$AY$326,33,FALSE))/10,IF(IndividualLATest!$J$7=2016,(VLOOKUP($A104,Hshldprojections2016!$A$1:$AQ$322,33,FALSE)-VLOOKUP($A104,Hshldprojections2016!$A$1:$AQ$322,23,FALSE))/10,(VLOOKUP($A104,Hshldprojections2018!$A$1:$AQ$327,33,FALSE)-VLOOKUP($A104,Hshldprojections2018!$A$1:$AQ$327,23,FALSE))/10))</f>
        <v>435.8</v>
      </c>
      <c r="AE104" s="267">
        <f>IF(IndividualLATest!$J$7=2014,(VLOOKUP($A104,Hshldprojections2014!$A$2:$AY$326,44,FALSE)-VLOOKUP($A104,Hshldprojections2014!$A$2:$AY$326,34,FALSE))/10,IF(IndividualLATest!$J$7=2016,(VLOOKUP($A104,Hshldprojections2016!$A$1:$AQ$322,34,FALSE)-VLOOKUP($A104,Hshldprojections2016!$A$1:$AQ$322,24,FALSE))/10,(VLOOKUP($A104,Hshldprojections2018!$A$1:$AQ$327,34,FALSE)-VLOOKUP($A104,Hshldprojections2018!$A$1:$AQ$327,24,FALSE))/10))</f>
        <v>427.3</v>
      </c>
      <c r="AF104" s="267">
        <f>IF(IndividualLATest!$J$7=2014,(VLOOKUP($A104,Hshldprojections2014!$A$2:$AY$326,45,FALSE)-VLOOKUP($A104,Hshldprojections2014!$A$2:$AY$326,35,FALSE))/10,IF(IndividualLATest!$J$7=2016,(VLOOKUP($A104,Hshldprojections2016!$A$1:$AQ$322,35,FALSE)-VLOOKUP($A104,Hshldprojections2016!$A$1:$AQ$322,25,FALSE))/10,(VLOOKUP($A104,Hshldprojections2018!$A$1:$AQ$327,35,FALSE)-VLOOKUP($A104,Hshldprojections2018!$A$1:$AQ$327,25,FALSE))/10))</f>
        <v>417.5</v>
      </c>
      <c r="AG104" s="267">
        <f>IF(IndividualLATest!$J$7=2014,(VLOOKUP($A104,Hshldprojections2014!$A$2:$AY$326,46,FALSE)-VLOOKUP($A104,Hshldprojections2014!$A$2:$AY$326,36,FALSE))/10,IF(IndividualLATest!$J$7=2016,(VLOOKUP($A104,Hshldprojections2016!$A$1:$AQ$322,36,FALSE)-VLOOKUP($A104,Hshldprojections2016!$A$1:$AQ$322,26,FALSE))/10,(VLOOKUP($A104,Hshldprojections2018!$A$1:$AQ$327,36,FALSE)-VLOOKUP($A104,Hshldprojections2018!$A$1:$AQ$327,26,FALSE))/10))</f>
        <v>410</v>
      </c>
      <c r="AH104" s="267">
        <f>IF(IndividualLATest!$J$7=2014,(VLOOKUP($A104,Hshldprojections2014!$A$2:$AY$326,47,FALSE)-VLOOKUP($A104,Hshldprojections2014!$A$2:$AY$326,37,FALSE))/10,IF(IndividualLATest!$J$7=2016,(VLOOKUP($A104,Hshldprojections2016!$A$1:$AQ$322,37,FALSE)-VLOOKUP($A104,Hshldprojections2016!$A$1:$AQ$322,27,FALSE))/10,(VLOOKUP($A104,Hshldprojections2018!$A$1:$AQ$327,37,FALSE)-VLOOKUP($A104,Hshldprojections2018!$A$1:$AQ$327,27,FALSE))/10))</f>
        <v>406.6</v>
      </c>
      <c r="AI104" s="268">
        <f>IF(ISNUMBER('Sensitivity Tests'!$C$30),'Sensitivity Tests'!$C$30,VLOOKUP($A104,AffordabilityRatio!$A$2:$I$321,5,FALSE))</f>
        <v>7.12</v>
      </c>
      <c r="AJ104" s="268">
        <f>IF(ISNUMBER('Sensitivity Tests'!$C$30),'Sensitivity Tests'!$C$30,VLOOKUP($A104,AffordabilityRatio!$A$2:$I$321,6,FALSE))</f>
        <v>8.48</v>
      </c>
      <c r="AK104" s="268">
        <f>IF(ISNUMBER('Sensitivity Tests'!$C$30),'Sensitivity Tests'!$C$30,VLOOKUP($A104,AffordabilityRatio!$A$2:$I$321,7,FALSE))</f>
        <v>8.17</v>
      </c>
      <c r="AL104" s="268">
        <f>IF(ISNUMBER('Sensitivity Tests'!$C$30),'Sensitivity Tests'!$C$30,IF((VLOOKUP($A104,AffordabilityRatio!$A$2:$I$321,8,FALSE))="",AK104,VLOOKUP($A104,AffordabilityRatio!$A$2:$I$321,8,FALSE)))</f>
        <v>7.32</v>
      </c>
      <c r="AM104" s="268">
        <f>IF(ISNUMBER('Sensitivity Tests'!$C$30),'Sensitivity Tests'!$C$30,IF((VLOOKUP($A104,AffordabilityRatio!$A$2:$I$321,9,FALSE))="",AL104,VLOOKUP($A104,AffordabilityRatio!$A$2:$I$321,9,FALSE)))</f>
        <v>8.91</v>
      </c>
      <c r="AN104" s="268">
        <f>IF(ISNUMBER('Sensitivity Tests'!$C$30),'Sensitivity Tests'!$C$30,IF((VLOOKUP($A104,AffordabilityRatio!$A$2:$I$321,9,FALSE))="",AM104,VLOOKUP($A104,AffordabilityRatio!$A$2:$I$321,9,FALSE)))</f>
        <v>8.91</v>
      </c>
      <c r="AO104" s="268">
        <f>IF(ISNUMBER('Sensitivity Tests'!$C$30),'Sensitivity Tests'!$C$30,IF((VLOOKUP($A104,AffordabilityRatio!$A$2:$I$321,9,FALSE))="",AN104,VLOOKUP($A104,AffordabilityRatio!$A$2:$I$321,9,FALSE)))</f>
        <v>8.91</v>
      </c>
      <c r="AP104" s="268">
        <f>IF(ISNUMBER('Sensitivity Tests'!$C$30),'Sensitivity Tests'!$C$30,IF((VLOOKUP($A104,AffordabilityRatio!$A$2:$I$321,9,FALSE))="",AO104,VLOOKUP($A104,AffordabilityRatio!$A$2:$I$321,9,FALSE)))</f>
        <v>8.91</v>
      </c>
      <c r="AQ104" s="267">
        <f t="shared" si="98"/>
        <v>521</v>
      </c>
      <c r="AR104" s="267">
        <f t="shared" si="98"/>
        <v>551</v>
      </c>
      <c r="AS104" s="267">
        <f t="shared" si="98"/>
        <v>540</v>
      </c>
      <c r="AT104" s="267">
        <f t="shared" si="98"/>
        <v>526</v>
      </c>
      <c r="AU104" s="267">
        <f t="shared" si="98"/>
        <v>558</v>
      </c>
      <c r="AV104" s="267">
        <f t="shared" si="98"/>
        <v>546</v>
      </c>
      <c r="AW104" s="267">
        <f t="shared" si="98"/>
        <v>536</v>
      </c>
      <c r="AX104" s="267">
        <f t="shared" si="95"/>
        <v>531</v>
      </c>
      <c r="AY104" s="267">
        <f t="shared" si="71"/>
        <v>521</v>
      </c>
      <c r="AZ104" s="267">
        <f t="shared" si="72"/>
        <v>551</v>
      </c>
      <c r="BA104" s="267">
        <f t="shared" si="73"/>
        <v>540</v>
      </c>
      <c r="BB104" s="267">
        <f t="shared" si="74"/>
        <v>526</v>
      </c>
      <c r="BC104" s="267">
        <f t="shared" si="75"/>
        <v>558</v>
      </c>
      <c r="BD104" s="267">
        <f t="shared" si="76"/>
        <v>546</v>
      </c>
      <c r="BE104" s="267">
        <f t="shared" si="77"/>
        <v>536</v>
      </c>
      <c r="BF104" s="267">
        <f t="shared" si="78"/>
        <v>531</v>
      </c>
      <c r="BG104" s="269">
        <f>AY104*VLOOKUP($B104,'Major Cities &amp; Towns'!$A$28:$B$345,2,FALSE)</f>
        <v>521</v>
      </c>
      <c r="BH104" s="269">
        <f>AZ104*VLOOKUP($B104,'Major Cities &amp; Towns'!$A$28:$B$345,2,FALSE)</f>
        <v>551</v>
      </c>
      <c r="BI104" s="269">
        <f>BA104*VLOOKUP($B104,'Major Cities &amp; Towns'!$A$28:$B$345,2,FALSE)</f>
        <v>540</v>
      </c>
      <c r="BJ104" s="269">
        <f>BB104*VLOOKUP($B104,'Major Cities &amp; Towns'!$A$28:$B$345,2,FALSE)</f>
        <v>526</v>
      </c>
      <c r="BK104" s="269">
        <f>BC104*VLOOKUP($B104,'Major Cities &amp; Towns'!$A$28:$B$345,2,FALSE)</f>
        <v>558</v>
      </c>
      <c r="BL104" s="269">
        <f>BD104*VLOOKUP($B104,'Major Cities &amp; Towns'!$A$28:$B$345,2,FALSE)</f>
        <v>546</v>
      </c>
      <c r="BM104" s="269">
        <f>BE104*VLOOKUP($B104,'Major Cities &amp; Towns'!$A$28:$B$345,2,FALSE)</f>
        <v>536</v>
      </c>
      <c r="BN104" s="269">
        <f>BF104*VLOOKUP($B104,'Major Cities &amp; Towns'!$A$28:$B$345,2,FALSE)</f>
        <v>531</v>
      </c>
      <c r="BO104" s="270">
        <f t="shared" si="79"/>
        <v>521</v>
      </c>
      <c r="BP104" s="270">
        <f t="shared" si="50"/>
        <v>550.8986301369863</v>
      </c>
      <c r="BQ104" s="270">
        <f t="shared" si="50"/>
        <v>540</v>
      </c>
      <c r="BR104" s="270">
        <f t="shared" si="50"/>
        <v>526</v>
      </c>
      <c r="BS104" s="270">
        <f t="shared" si="49"/>
        <v>558</v>
      </c>
      <c r="BT104" s="270">
        <f t="shared" si="49"/>
        <v>546</v>
      </c>
      <c r="BU104" s="270">
        <f t="shared" si="49"/>
        <v>536</v>
      </c>
      <c r="BV104" s="270">
        <f t="shared" si="49"/>
        <v>531</v>
      </c>
      <c r="BW104" s="39">
        <f>VLOOKUP($A104,NetAdditions!$A$2:$H$336,6,FALSE)</f>
        <v>394</v>
      </c>
      <c r="BX104" s="39">
        <f>VLOOKUP($A104,NetAdditions!$A$2:$H$336,7,FALSE)</f>
        <v>561</v>
      </c>
      <c r="BY104" s="39">
        <f>IF((VLOOKUP($C104,NetAdditions!$A$2:$H$336,8,FALSE))="",(AVERAGE(VLOOKUP($C104,NetAdditions!$A$2:$H$336,5,FALSE),VLOOKUP($C104,NetAdditions!$A$2:$H$336,6,FALSE),VLOOKUP($C104,NetAdditions!$A$2:$H$336,7,FALSE))),VLOOKUP($C104,NetAdditions!$A$2:$H$336,8,FALSE))</f>
        <v>356</v>
      </c>
      <c r="BZ104" s="39">
        <f t="shared" si="54"/>
        <v>437</v>
      </c>
      <c r="CA104" s="39">
        <f t="shared" si="54"/>
        <v>451.33333333333331</v>
      </c>
      <c r="CB104" s="39">
        <f t="shared" si="54"/>
        <v>414.77777777777777</v>
      </c>
      <c r="CC104" s="39">
        <f t="shared" si="54"/>
        <v>434.37037037037038</v>
      </c>
      <c r="CD104" s="39">
        <f t="shared" si="54"/>
        <v>433.49382716049382</v>
      </c>
      <c r="CE104" s="276">
        <f t="shared" si="55"/>
        <v>1611.8986301369864</v>
      </c>
      <c r="CF104" s="276">
        <f t="shared" si="56"/>
        <v>1616.8986301369864</v>
      </c>
      <c r="CG104" s="276">
        <f t="shared" si="57"/>
        <v>1624</v>
      </c>
      <c r="CH104" s="276">
        <f t="shared" si="58"/>
        <v>1630</v>
      </c>
      <c r="CI104" s="276">
        <f t="shared" si="59"/>
        <v>1640</v>
      </c>
      <c r="CJ104" s="276">
        <f t="shared" si="60"/>
        <v>1613</v>
      </c>
      <c r="CK104" s="276">
        <f t="shared" si="80"/>
        <v>1388.0238203957383</v>
      </c>
      <c r="CL104" s="276">
        <f t="shared" si="81"/>
        <v>1392.329375951294</v>
      </c>
      <c r="CM104" s="276">
        <f t="shared" si="82"/>
        <v>1488.6666666666665</v>
      </c>
      <c r="CN104" s="276">
        <f t="shared" si="83"/>
        <v>1630</v>
      </c>
      <c r="CO104" s="276">
        <f t="shared" si="83"/>
        <v>1640</v>
      </c>
      <c r="CP104" s="276">
        <f t="shared" si="83"/>
        <v>1613</v>
      </c>
      <c r="CQ104" s="39">
        <f t="shared" si="61"/>
        <v>1311</v>
      </c>
      <c r="CR104" s="39">
        <f t="shared" si="62"/>
        <v>1354</v>
      </c>
      <c r="CS104" s="277">
        <f t="shared" si="63"/>
        <v>1244.3333333333333</v>
      </c>
      <c r="CT104" s="39">
        <f t="shared" si="64"/>
        <v>1303.1111111111111</v>
      </c>
      <c r="CU104" s="39">
        <f t="shared" si="65"/>
        <v>1300.4814814814815</v>
      </c>
      <c r="CV104" s="39">
        <f t="shared" si="66"/>
        <v>1282.641975308642</v>
      </c>
      <c r="CW104" s="297">
        <f t="shared" si="67"/>
        <v>0.94450828633922279</v>
      </c>
      <c r="CX104" s="279" t="str">
        <f t="shared" si="84"/>
        <v>Action Plan</v>
      </c>
      <c r="CY104" s="278">
        <f t="shared" si="68"/>
        <v>0.97247104269052298</v>
      </c>
      <c r="CZ104" s="279" t="str">
        <f t="shared" si="85"/>
        <v>Pass</v>
      </c>
      <c r="DA104" s="278">
        <f t="shared" si="69"/>
        <v>0.83587102552619796</v>
      </c>
      <c r="DB104" s="292" t="str">
        <f t="shared" si="86"/>
        <v>Buffer and Action Plan</v>
      </c>
      <c r="DC104" s="299">
        <f t="shared" si="87"/>
        <v>0.79945466939331966</v>
      </c>
      <c r="DD104" s="293" t="str">
        <f t="shared" si="88"/>
        <v>Buffer and Action Plan</v>
      </c>
      <c r="DE104" s="299">
        <f t="shared" si="89"/>
        <v>0.7929765130984644</v>
      </c>
      <c r="DF104" s="293" t="str">
        <f t="shared" si="90"/>
        <v>Buffer and Action Plan</v>
      </c>
      <c r="DG104" s="299">
        <f t="shared" si="91"/>
        <v>0.79519031327256173</v>
      </c>
      <c r="DH104" s="293" t="str">
        <f t="shared" si="92"/>
        <v>Buffer and Action Plan</v>
      </c>
    </row>
    <row r="105" spans="1:112" ht="15" thickTop="1" thickBot="1">
      <c r="A105" s="38" t="s">
        <v>320</v>
      </c>
      <c r="B105" s="38" t="s">
        <v>321</v>
      </c>
      <c r="C105" s="38" t="s">
        <v>320</v>
      </c>
      <c r="D105" s="38" t="s">
        <v>113</v>
      </c>
      <c r="E105" s="38" t="str">
        <f>VLOOKUP(C105,PoliticalControl!A:K,11,FALSE)</f>
        <v>NOC</v>
      </c>
      <c r="F105" s="38" t="str">
        <f>VLOOKUP(C105,UrbanRuralClassification!A:N,13,FALSE)</f>
        <v>Urban with Significant Rural (rural including hub towns 26-49%)</v>
      </c>
      <c r="G105" s="38" t="str">
        <f>VLOOKUP(C105,UrbanRuralClassification!A:N,14,FALSE)</f>
        <v>Urban with Significant Rural</v>
      </c>
      <c r="H105" s="258">
        <f>IF(ISBLANK((VLOOKUP($A105,'local-plan-data'!$C$1:$AD$566,27,FALSE)))=TRUE,"",VLOOKUP($A105,'local-plan-data'!$C$1:$AD$566,27,FALSE))</f>
        <v>41535</v>
      </c>
      <c r="I105" s="259">
        <f>VLOOKUP($A105,'local-plan-data'!$C$1:$AD$566,28,FALSE)</f>
        <v>350</v>
      </c>
      <c r="J105" s="260">
        <f t="shared" si="70"/>
        <v>350</v>
      </c>
      <c r="K105" s="259">
        <f t="shared" si="96"/>
        <v>350</v>
      </c>
      <c r="L105" s="259" t="str">
        <f t="shared" si="93"/>
        <v>-</v>
      </c>
      <c r="M105" s="259" t="str">
        <f t="shared" si="93"/>
        <v>-</v>
      </c>
      <c r="N105" s="259" t="str">
        <f t="shared" si="93"/>
        <v>-</v>
      </c>
      <c r="O105" s="259" t="str">
        <f t="shared" si="93"/>
        <v>-</v>
      </c>
      <c r="P105" s="259" t="str">
        <f t="shared" si="93"/>
        <v>-</v>
      </c>
      <c r="Q105" s="259" t="str">
        <f t="shared" si="93"/>
        <v>-</v>
      </c>
      <c r="R105" s="259" t="str">
        <f t="shared" si="93"/>
        <v>-</v>
      </c>
      <c r="S105" s="259">
        <f t="shared" si="97"/>
        <v>170</v>
      </c>
      <c r="T105" s="259">
        <f t="shared" si="94"/>
        <v>-195</v>
      </c>
      <c r="U105" s="259">
        <f t="shared" si="94"/>
        <v>-561</v>
      </c>
      <c r="V105" s="259">
        <f t="shared" si="94"/>
        <v>-926</v>
      </c>
      <c r="W105" s="259">
        <f t="shared" si="94"/>
        <v>-1291</v>
      </c>
      <c r="X105" s="259">
        <f t="shared" si="94"/>
        <v>-1656</v>
      </c>
      <c r="Y105" s="259">
        <f t="shared" si="94"/>
        <v>-2022</v>
      </c>
      <c r="Z105" s="259">
        <f t="shared" si="94"/>
        <v>-2387</v>
      </c>
      <c r="AA105" s="267">
        <f>(VLOOKUP(A105,Hshldprojections2014!$A$2:$AW$319,40, FALSE)-VLOOKUP(A105,Hshldprojections2014!$A$2:$AW$319,30, FALSE))/10</f>
        <v>553.70000000000005</v>
      </c>
      <c r="AB105" s="267">
        <f>(VLOOKUP(A105,Hshldprojections2014!$A$2:$AW$319,41, FALSE)-VLOOKUP(A105,Hshldprojections2014!$A$2:$AW$319,31, FALSE))/10</f>
        <v>556.4</v>
      </c>
      <c r="AC105" s="267">
        <f>(VLOOKUP(A105,Hshldprojections2014!$A$2:$AW$319,42, FALSE)-VLOOKUP(A105,Hshldprojections2014!$A$2:$AW$319,32, FALSE))/10</f>
        <v>559</v>
      </c>
      <c r="AD105" s="267">
        <f>IF(IndividualLATest!$J$7=2014,(VLOOKUP($A105,Hshldprojections2014!$A$2:$AY$326,43,FALSE)-VLOOKUP($A105,Hshldprojections2014!$A$2:$AY$326,33,FALSE))/10,IF(IndividualLATest!$J$7=2016,(VLOOKUP($A105,Hshldprojections2016!$A$1:$AQ$322,33,FALSE)-VLOOKUP($A105,Hshldprojections2016!$A$1:$AQ$322,23,FALSE))/10,(VLOOKUP($A105,Hshldprojections2018!$A$1:$AQ$327,33,FALSE)-VLOOKUP($A105,Hshldprojections2018!$A$1:$AQ$327,23,FALSE))/10))</f>
        <v>563.6</v>
      </c>
      <c r="AE105" s="267">
        <f>IF(IndividualLATest!$J$7=2014,(VLOOKUP($A105,Hshldprojections2014!$A$2:$AY$326,44,FALSE)-VLOOKUP($A105,Hshldprojections2014!$A$2:$AY$326,34,FALSE))/10,IF(IndividualLATest!$J$7=2016,(VLOOKUP($A105,Hshldprojections2016!$A$1:$AQ$322,34,FALSE)-VLOOKUP($A105,Hshldprojections2016!$A$1:$AQ$322,24,FALSE))/10,(VLOOKUP($A105,Hshldprojections2018!$A$1:$AQ$327,34,FALSE)-VLOOKUP($A105,Hshldprojections2018!$A$1:$AQ$327,24,FALSE))/10))</f>
        <v>552.29999999999995</v>
      </c>
      <c r="AF105" s="267">
        <f>IF(IndividualLATest!$J$7=2014,(VLOOKUP($A105,Hshldprojections2014!$A$2:$AY$326,45,FALSE)-VLOOKUP($A105,Hshldprojections2014!$A$2:$AY$326,35,FALSE))/10,IF(IndividualLATest!$J$7=2016,(VLOOKUP($A105,Hshldprojections2016!$A$1:$AQ$322,35,FALSE)-VLOOKUP($A105,Hshldprojections2016!$A$1:$AQ$322,25,FALSE))/10,(VLOOKUP($A105,Hshldprojections2018!$A$1:$AQ$327,35,FALSE)-VLOOKUP($A105,Hshldprojections2018!$A$1:$AQ$327,25,FALSE))/10))</f>
        <v>544.79999999999995</v>
      </c>
      <c r="AG105" s="267">
        <f>IF(IndividualLATest!$J$7=2014,(VLOOKUP($A105,Hshldprojections2014!$A$2:$AY$326,46,FALSE)-VLOOKUP($A105,Hshldprojections2014!$A$2:$AY$326,36,FALSE))/10,IF(IndividualLATest!$J$7=2016,(VLOOKUP($A105,Hshldprojections2016!$A$1:$AQ$322,36,FALSE)-VLOOKUP($A105,Hshldprojections2016!$A$1:$AQ$322,26,FALSE))/10,(VLOOKUP($A105,Hshldprojections2018!$A$1:$AQ$327,36,FALSE)-VLOOKUP($A105,Hshldprojections2018!$A$1:$AQ$327,26,FALSE))/10))</f>
        <v>538.20000000000005</v>
      </c>
      <c r="AH105" s="267">
        <f>IF(IndividualLATest!$J$7=2014,(VLOOKUP($A105,Hshldprojections2014!$A$2:$AY$326,47,FALSE)-VLOOKUP($A105,Hshldprojections2014!$A$2:$AY$326,37,FALSE))/10,IF(IndividualLATest!$J$7=2016,(VLOOKUP($A105,Hshldprojections2016!$A$1:$AQ$322,37,FALSE)-VLOOKUP($A105,Hshldprojections2016!$A$1:$AQ$322,27,FALSE))/10,(VLOOKUP($A105,Hshldprojections2018!$A$1:$AQ$327,37,FALSE)-VLOOKUP($A105,Hshldprojections2018!$A$1:$AQ$327,27,FALSE))/10))</f>
        <v>533.1</v>
      </c>
      <c r="AI105" s="268">
        <f>IF(ISNUMBER('Sensitivity Tests'!$C$30),'Sensitivity Tests'!$C$30,VLOOKUP($A105,AffordabilityRatio!$A$2:$I$321,5,FALSE))</f>
        <v>9.6999999999999993</v>
      </c>
      <c r="AJ105" s="268">
        <f>IF(ISNUMBER('Sensitivity Tests'!$C$30),'Sensitivity Tests'!$C$30,VLOOKUP($A105,AffordabilityRatio!$A$2:$I$321,6,FALSE))</f>
        <v>9.24</v>
      </c>
      <c r="AK105" s="268">
        <f>IF(ISNUMBER('Sensitivity Tests'!$C$30),'Sensitivity Tests'!$C$30,VLOOKUP($A105,AffordabilityRatio!$A$2:$I$321,7,FALSE))</f>
        <v>9.3800000000000008</v>
      </c>
      <c r="AL105" s="268">
        <f>IF(ISNUMBER('Sensitivity Tests'!$C$30),'Sensitivity Tests'!$C$30,IF((VLOOKUP($A105,AffordabilityRatio!$A$2:$I$321,8,FALSE))="",AK105,VLOOKUP($A105,AffordabilityRatio!$A$2:$I$321,8,FALSE)))</f>
        <v>10.76</v>
      </c>
      <c r="AM105" s="268">
        <f>IF(ISNUMBER('Sensitivity Tests'!$C$30),'Sensitivity Tests'!$C$30,IF((VLOOKUP($A105,AffordabilityRatio!$A$2:$I$321,9,FALSE))="",AL105,VLOOKUP($A105,AffordabilityRatio!$A$2:$I$321,9,FALSE)))</f>
        <v>11.2</v>
      </c>
      <c r="AN105" s="268">
        <f>IF(ISNUMBER('Sensitivity Tests'!$C$30),'Sensitivity Tests'!$C$30,IF((VLOOKUP($A105,AffordabilityRatio!$A$2:$I$321,9,FALSE))="",AM105,VLOOKUP($A105,AffordabilityRatio!$A$2:$I$321,9,FALSE)))</f>
        <v>11.2</v>
      </c>
      <c r="AO105" s="268">
        <f>IF(ISNUMBER('Sensitivity Tests'!$C$30),'Sensitivity Tests'!$C$30,IF((VLOOKUP($A105,AffordabilityRatio!$A$2:$I$321,9,FALSE))="",AN105,VLOOKUP($A105,AffordabilityRatio!$A$2:$I$321,9,FALSE)))</f>
        <v>11.2</v>
      </c>
      <c r="AP105" s="268">
        <f>IF(ISNUMBER('Sensitivity Tests'!$C$30),'Sensitivity Tests'!$C$30,IF((VLOOKUP($A105,AffordabilityRatio!$A$2:$I$321,9,FALSE))="",AO105,VLOOKUP($A105,AffordabilityRatio!$A$2:$I$321,9,FALSE)))</f>
        <v>11.2</v>
      </c>
      <c r="AQ105" s="267">
        <f t="shared" si="98"/>
        <v>751</v>
      </c>
      <c r="AR105" s="267">
        <f t="shared" si="98"/>
        <v>739</v>
      </c>
      <c r="AS105" s="267">
        <f t="shared" si="98"/>
        <v>747</v>
      </c>
      <c r="AT105" s="267">
        <f t="shared" si="98"/>
        <v>802</v>
      </c>
      <c r="AU105" s="267">
        <f t="shared" si="98"/>
        <v>801</v>
      </c>
      <c r="AV105" s="267">
        <f t="shared" si="98"/>
        <v>790</v>
      </c>
      <c r="AW105" s="267">
        <f t="shared" si="98"/>
        <v>780</v>
      </c>
      <c r="AX105" s="267">
        <f t="shared" si="95"/>
        <v>773</v>
      </c>
      <c r="AY105" s="267">
        <f t="shared" si="71"/>
        <v>490</v>
      </c>
      <c r="AZ105" s="267">
        <f t="shared" si="72"/>
        <v>739</v>
      </c>
      <c r="BA105" s="267">
        <f t="shared" si="73"/>
        <v>747</v>
      </c>
      <c r="BB105" s="267">
        <f t="shared" si="74"/>
        <v>789.04000000000008</v>
      </c>
      <c r="BC105" s="267">
        <f t="shared" si="75"/>
        <v>773.21999999999991</v>
      </c>
      <c r="BD105" s="267">
        <f t="shared" si="76"/>
        <v>762.71999999999991</v>
      </c>
      <c r="BE105" s="267">
        <f t="shared" si="77"/>
        <v>753.48</v>
      </c>
      <c r="BF105" s="267">
        <f t="shared" si="78"/>
        <v>746.34</v>
      </c>
      <c r="BG105" s="269">
        <f>AY105*VLOOKUP($B105,'Major Cities &amp; Towns'!$A$28:$B$345,2,FALSE)</f>
        <v>490</v>
      </c>
      <c r="BH105" s="269">
        <f>AZ105*VLOOKUP($B105,'Major Cities &amp; Towns'!$A$28:$B$345,2,FALSE)</f>
        <v>739</v>
      </c>
      <c r="BI105" s="269">
        <f>BA105*VLOOKUP($B105,'Major Cities &amp; Towns'!$A$28:$B$345,2,FALSE)</f>
        <v>747</v>
      </c>
      <c r="BJ105" s="269">
        <f>BB105*VLOOKUP($B105,'Major Cities &amp; Towns'!$A$28:$B$345,2,FALSE)</f>
        <v>789.04000000000008</v>
      </c>
      <c r="BK105" s="269">
        <f>BC105*VLOOKUP($B105,'Major Cities &amp; Towns'!$A$28:$B$345,2,FALSE)</f>
        <v>773.21999999999991</v>
      </c>
      <c r="BL105" s="269">
        <f>BD105*VLOOKUP($B105,'Major Cities &amp; Towns'!$A$28:$B$345,2,FALSE)</f>
        <v>762.71999999999991</v>
      </c>
      <c r="BM105" s="269">
        <f>BE105*VLOOKUP($B105,'Major Cities &amp; Towns'!$A$28:$B$345,2,FALSE)</f>
        <v>753.48</v>
      </c>
      <c r="BN105" s="269">
        <f>BF105*VLOOKUP($B105,'Major Cities &amp; Towns'!$A$28:$B$345,2,FALSE)</f>
        <v>746.34</v>
      </c>
      <c r="BO105" s="270">
        <f t="shared" si="79"/>
        <v>564.23287671232879</v>
      </c>
      <c r="BP105" s="270">
        <f t="shared" si="50"/>
        <v>739</v>
      </c>
      <c r="BQ105" s="270">
        <f t="shared" si="50"/>
        <v>747</v>
      </c>
      <c r="BR105" s="270">
        <f t="shared" si="50"/>
        <v>802</v>
      </c>
      <c r="BS105" s="270">
        <f t="shared" si="49"/>
        <v>801</v>
      </c>
      <c r="BT105" s="270">
        <f t="shared" si="49"/>
        <v>790</v>
      </c>
      <c r="BU105" s="270">
        <f t="shared" si="49"/>
        <v>780</v>
      </c>
      <c r="BV105" s="270">
        <f t="shared" ref="BV105:BV168" si="99">IFERROR(IF(AND(Z105&lt;365,Z105&gt;0),SUM(((Z105/365)*(MIN(R105,BN105)))+(((365-Z105)/365)*AX105)),(MIN(R105,AX105))),AX105)</f>
        <v>773</v>
      </c>
      <c r="BW105" s="39">
        <f>VLOOKUP($A105,NetAdditions!$A$2:$H$336,6,FALSE)</f>
        <v>446</v>
      </c>
      <c r="BX105" s="39">
        <f>VLOOKUP($A105,NetAdditions!$A$2:$H$336,7,FALSE)</f>
        <v>462</v>
      </c>
      <c r="BY105" s="39">
        <f>IF((VLOOKUP($C105,NetAdditions!$A$2:$H$336,8,FALSE))="",(AVERAGE(VLOOKUP($C105,NetAdditions!$A$2:$H$336,5,FALSE),VLOOKUP($C105,NetAdditions!$A$2:$H$336,6,FALSE),VLOOKUP($C105,NetAdditions!$A$2:$H$336,7,FALSE))),VLOOKUP($C105,NetAdditions!$A$2:$H$336,8,FALSE))</f>
        <v>489</v>
      </c>
      <c r="BZ105" s="39">
        <f t="shared" si="54"/>
        <v>465.66666666666669</v>
      </c>
      <c r="CA105" s="39">
        <f t="shared" si="54"/>
        <v>472.22222222222223</v>
      </c>
      <c r="CB105" s="39">
        <f t="shared" si="54"/>
        <v>475.62962962962962</v>
      </c>
      <c r="CC105" s="39">
        <f t="shared" si="54"/>
        <v>471.17283950617281</v>
      </c>
      <c r="CD105" s="39">
        <f t="shared" si="54"/>
        <v>473.00823045267492</v>
      </c>
      <c r="CE105" s="276">
        <f t="shared" si="55"/>
        <v>2050.232876712329</v>
      </c>
      <c r="CF105" s="276">
        <f t="shared" si="56"/>
        <v>2288</v>
      </c>
      <c r="CG105" s="276">
        <f t="shared" si="57"/>
        <v>2350</v>
      </c>
      <c r="CH105" s="276">
        <f t="shared" si="58"/>
        <v>2393</v>
      </c>
      <c r="CI105" s="276">
        <f t="shared" si="59"/>
        <v>2371</v>
      </c>
      <c r="CJ105" s="276">
        <f t="shared" si="60"/>
        <v>2343</v>
      </c>
      <c r="CK105" s="276">
        <f t="shared" si="80"/>
        <v>1765.4783105022834</v>
      </c>
      <c r="CL105" s="276">
        <f t="shared" si="81"/>
        <v>1970.2222222222224</v>
      </c>
      <c r="CM105" s="276">
        <f t="shared" si="82"/>
        <v>2154.1666666666665</v>
      </c>
      <c r="CN105" s="276">
        <f t="shared" si="83"/>
        <v>2393</v>
      </c>
      <c r="CO105" s="276">
        <f t="shared" si="83"/>
        <v>2371</v>
      </c>
      <c r="CP105" s="276">
        <f t="shared" si="83"/>
        <v>2343</v>
      </c>
      <c r="CQ105" s="39">
        <f t="shared" si="61"/>
        <v>1397</v>
      </c>
      <c r="CR105" s="39">
        <f t="shared" si="62"/>
        <v>1416.6666666666667</v>
      </c>
      <c r="CS105" s="277">
        <f t="shared" si="63"/>
        <v>1426.8888888888889</v>
      </c>
      <c r="CT105" s="39">
        <f t="shared" si="64"/>
        <v>1413.5185185185185</v>
      </c>
      <c r="CU105" s="39">
        <f t="shared" si="65"/>
        <v>1419.0246913580247</v>
      </c>
      <c r="CV105" s="39">
        <f t="shared" si="66"/>
        <v>1419.8106995884773</v>
      </c>
      <c r="CW105" s="297">
        <f t="shared" si="67"/>
        <v>0.79128697967552464</v>
      </c>
      <c r="CX105" s="279" t="str">
        <f t="shared" si="84"/>
        <v>Buffer and Action Plan</v>
      </c>
      <c r="CY105" s="278">
        <f t="shared" si="68"/>
        <v>0.71903902549063836</v>
      </c>
      <c r="CZ105" s="279" t="str">
        <f t="shared" si="85"/>
        <v>Buffer and Action Plan</v>
      </c>
      <c r="DA105" s="278">
        <f t="shared" si="69"/>
        <v>0.66238555770470675</v>
      </c>
      <c r="DB105" s="292" t="str">
        <f t="shared" si="86"/>
        <v>Presumption</v>
      </c>
      <c r="DC105" s="299">
        <f t="shared" si="87"/>
        <v>0.59068889198433705</v>
      </c>
      <c r="DD105" s="293" t="str">
        <f t="shared" si="88"/>
        <v>Presumption</v>
      </c>
      <c r="DE105" s="299">
        <f t="shared" si="89"/>
        <v>0.59849206721131365</v>
      </c>
      <c r="DF105" s="293" t="str">
        <f t="shared" si="90"/>
        <v>Presumption</v>
      </c>
      <c r="DG105" s="299">
        <f t="shared" si="91"/>
        <v>0.60597981203093354</v>
      </c>
      <c r="DH105" s="293" t="str">
        <f t="shared" si="92"/>
        <v>Presumption</v>
      </c>
    </row>
    <row r="106" spans="1:112" ht="15" thickTop="1" thickBot="1">
      <c r="A106" s="38" t="s">
        <v>322</v>
      </c>
      <c r="B106" s="38" t="s">
        <v>323</v>
      </c>
      <c r="C106" s="38" t="s">
        <v>322</v>
      </c>
      <c r="D106" s="38" t="s">
        <v>147</v>
      </c>
      <c r="E106" s="38" t="str">
        <f>VLOOKUP(C106,PoliticalControl!A:K,11,FALSE)</f>
        <v>NOC</v>
      </c>
      <c r="F106" s="38" t="str">
        <f>VLOOKUP(C106,UrbanRuralClassification!A:N,13,FALSE)</f>
        <v xml:space="preserve">Mainly Rural (rural including hub towns &gt;=80%) </v>
      </c>
      <c r="G106" s="38" t="str">
        <f>VLOOKUP(C106,UrbanRuralClassification!A:N,14,FALSE)</f>
        <v>Predominantly Rural</v>
      </c>
      <c r="H106" s="258">
        <f>IF(ISBLANK((VLOOKUP($A106,'local-plan-data'!$C$1:$AD$566,27,FALSE)))=TRUE,"",VLOOKUP($A106,'local-plan-data'!$C$1:$AD$566,27,FALSE))</f>
        <v>40962</v>
      </c>
      <c r="I106" s="259">
        <f>VLOOKUP($A106,'local-plan-data'!$C$1:$AD$566,28,FALSE)</f>
        <v>330</v>
      </c>
      <c r="J106" s="260">
        <f t="shared" si="70"/>
        <v>330</v>
      </c>
      <c r="K106" s="259" t="str">
        <f t="shared" si="96"/>
        <v>-</v>
      </c>
      <c r="L106" s="259" t="str">
        <f t="shared" si="93"/>
        <v>-</v>
      </c>
      <c r="M106" s="259" t="str">
        <f t="shared" si="93"/>
        <v>-</v>
      </c>
      <c r="N106" s="259" t="str">
        <f t="shared" si="93"/>
        <v>-</v>
      </c>
      <c r="O106" s="259" t="str">
        <f t="shared" si="93"/>
        <v>-</v>
      </c>
      <c r="P106" s="259" t="str">
        <f t="shared" si="93"/>
        <v>-</v>
      </c>
      <c r="Q106" s="259" t="str">
        <f t="shared" si="93"/>
        <v>-</v>
      </c>
      <c r="R106" s="259" t="str">
        <f t="shared" si="93"/>
        <v>-</v>
      </c>
      <c r="S106" s="259">
        <f t="shared" si="97"/>
        <v>-402</v>
      </c>
      <c r="T106" s="259">
        <f t="shared" si="94"/>
        <v>-767</v>
      </c>
      <c r="U106" s="259">
        <f t="shared" si="94"/>
        <v>-1133</v>
      </c>
      <c r="V106" s="259">
        <f t="shared" si="94"/>
        <v>-1498</v>
      </c>
      <c r="W106" s="259">
        <f t="shared" si="94"/>
        <v>-1863</v>
      </c>
      <c r="X106" s="259">
        <f t="shared" si="94"/>
        <v>-2228</v>
      </c>
      <c r="Y106" s="259">
        <f t="shared" si="94"/>
        <v>-2594</v>
      </c>
      <c r="Z106" s="259">
        <f t="shared" si="94"/>
        <v>-2959</v>
      </c>
      <c r="AA106" s="267">
        <f>(VLOOKUP(A106,Hshldprojections2014!$A$2:$AW$319,40, FALSE)-VLOOKUP(A106,Hshldprojections2014!$A$2:$AW$319,30, FALSE))/10</f>
        <v>288.2</v>
      </c>
      <c r="AB106" s="267">
        <f>(VLOOKUP(A106,Hshldprojections2014!$A$2:$AW$319,41, FALSE)-VLOOKUP(A106,Hshldprojections2014!$A$2:$AW$319,31, FALSE))/10</f>
        <v>282.39999999999998</v>
      </c>
      <c r="AC106" s="267">
        <f>(VLOOKUP(A106,Hshldprojections2014!$A$2:$AW$319,42, FALSE)-VLOOKUP(A106,Hshldprojections2014!$A$2:$AW$319,32, FALSE))/10</f>
        <v>276.10000000000002</v>
      </c>
      <c r="AD106" s="267">
        <f>IF(IndividualLATest!$J$7=2014,(VLOOKUP($A106,Hshldprojections2014!$A$2:$AY$326,43,FALSE)-VLOOKUP($A106,Hshldprojections2014!$A$2:$AY$326,33,FALSE))/10,IF(IndividualLATest!$J$7=2016,(VLOOKUP($A106,Hshldprojections2016!$A$1:$AQ$322,33,FALSE)-VLOOKUP($A106,Hshldprojections2016!$A$1:$AQ$322,23,FALSE))/10,(VLOOKUP($A106,Hshldprojections2018!$A$1:$AQ$327,33,FALSE)-VLOOKUP($A106,Hshldprojections2018!$A$1:$AQ$327,23,FALSE))/10))</f>
        <v>330</v>
      </c>
      <c r="AE106" s="267">
        <f>IF(IndividualLATest!$J$7=2014,(VLOOKUP($A106,Hshldprojections2014!$A$2:$AY$326,44,FALSE)-VLOOKUP($A106,Hshldprojections2014!$A$2:$AY$326,34,FALSE))/10,IF(IndividualLATest!$J$7=2016,(VLOOKUP($A106,Hshldprojections2016!$A$1:$AQ$322,34,FALSE)-VLOOKUP($A106,Hshldprojections2016!$A$1:$AQ$322,24,FALSE))/10,(VLOOKUP($A106,Hshldprojections2018!$A$1:$AQ$327,34,FALSE)-VLOOKUP($A106,Hshldprojections2018!$A$1:$AQ$327,24,FALSE))/10))</f>
        <v>322.39999999999998</v>
      </c>
      <c r="AF106" s="267">
        <f>IF(IndividualLATest!$J$7=2014,(VLOOKUP($A106,Hshldprojections2014!$A$2:$AY$326,45,FALSE)-VLOOKUP($A106,Hshldprojections2014!$A$2:$AY$326,35,FALSE))/10,IF(IndividualLATest!$J$7=2016,(VLOOKUP($A106,Hshldprojections2016!$A$1:$AQ$322,35,FALSE)-VLOOKUP($A106,Hshldprojections2016!$A$1:$AQ$322,25,FALSE))/10,(VLOOKUP($A106,Hshldprojections2018!$A$1:$AQ$327,35,FALSE)-VLOOKUP($A106,Hshldprojections2018!$A$1:$AQ$327,25,FALSE))/10))</f>
        <v>313.2</v>
      </c>
      <c r="AG106" s="267">
        <f>IF(IndividualLATest!$J$7=2014,(VLOOKUP($A106,Hshldprojections2014!$A$2:$AY$326,46,FALSE)-VLOOKUP($A106,Hshldprojections2014!$A$2:$AY$326,36,FALSE))/10,IF(IndividualLATest!$J$7=2016,(VLOOKUP($A106,Hshldprojections2016!$A$1:$AQ$322,36,FALSE)-VLOOKUP($A106,Hshldprojections2016!$A$1:$AQ$322,26,FALSE))/10,(VLOOKUP($A106,Hshldprojections2018!$A$1:$AQ$327,36,FALSE)-VLOOKUP($A106,Hshldprojections2018!$A$1:$AQ$327,26,FALSE))/10))</f>
        <v>303.10000000000002</v>
      </c>
      <c r="AH106" s="267">
        <f>IF(IndividualLATest!$J$7=2014,(VLOOKUP($A106,Hshldprojections2014!$A$2:$AY$326,47,FALSE)-VLOOKUP($A106,Hshldprojections2014!$A$2:$AY$326,37,FALSE))/10,IF(IndividualLATest!$J$7=2016,(VLOOKUP($A106,Hshldprojections2016!$A$1:$AQ$322,37,FALSE)-VLOOKUP($A106,Hshldprojections2016!$A$1:$AQ$322,27,FALSE))/10,(VLOOKUP($A106,Hshldprojections2018!$A$1:$AQ$327,37,FALSE)-VLOOKUP($A106,Hshldprojections2018!$A$1:$AQ$327,27,FALSE))/10))</f>
        <v>296.60000000000002</v>
      </c>
      <c r="AI106" s="268">
        <f>IF(ISNUMBER('Sensitivity Tests'!$C$30),'Sensitivity Tests'!$C$30,VLOOKUP($A106,AffordabilityRatio!$A$2:$I$321,5,FALSE))</f>
        <v>8.73</v>
      </c>
      <c r="AJ106" s="268">
        <f>IF(ISNUMBER('Sensitivity Tests'!$C$30),'Sensitivity Tests'!$C$30,VLOOKUP($A106,AffordabilityRatio!$A$2:$I$321,6,FALSE))</f>
        <v>8.93</v>
      </c>
      <c r="AK106" s="268">
        <f>IF(ISNUMBER('Sensitivity Tests'!$C$30),'Sensitivity Tests'!$C$30,VLOOKUP($A106,AffordabilityRatio!$A$2:$I$321,7,FALSE))</f>
        <v>9.41</v>
      </c>
      <c r="AL106" s="268">
        <f>IF(ISNUMBER('Sensitivity Tests'!$C$30),'Sensitivity Tests'!$C$30,IF((VLOOKUP($A106,AffordabilityRatio!$A$2:$I$321,8,FALSE))="",AK106,VLOOKUP($A106,AffordabilityRatio!$A$2:$I$321,8,FALSE)))</f>
        <v>9.2799999999999994</v>
      </c>
      <c r="AM106" s="268">
        <f>IF(ISNUMBER('Sensitivity Tests'!$C$30),'Sensitivity Tests'!$C$30,IF((VLOOKUP($A106,AffordabilityRatio!$A$2:$I$321,9,FALSE))="",AL106,VLOOKUP($A106,AffordabilityRatio!$A$2:$I$321,9,FALSE)))</f>
        <v>10.62</v>
      </c>
      <c r="AN106" s="268">
        <f>IF(ISNUMBER('Sensitivity Tests'!$C$30),'Sensitivity Tests'!$C$30,IF((VLOOKUP($A106,AffordabilityRatio!$A$2:$I$321,9,FALSE))="",AM106,VLOOKUP($A106,AffordabilityRatio!$A$2:$I$321,9,FALSE)))</f>
        <v>10.62</v>
      </c>
      <c r="AO106" s="268">
        <f>IF(ISNUMBER('Sensitivity Tests'!$C$30),'Sensitivity Tests'!$C$30,IF((VLOOKUP($A106,AffordabilityRatio!$A$2:$I$321,9,FALSE))="",AN106,VLOOKUP($A106,AffordabilityRatio!$A$2:$I$321,9,FALSE)))</f>
        <v>10.62</v>
      </c>
      <c r="AP106" s="268">
        <f>IF(ISNUMBER('Sensitivity Tests'!$C$30),'Sensitivity Tests'!$C$30,IF((VLOOKUP($A106,AffordabilityRatio!$A$2:$I$321,9,FALSE))="",AO106,VLOOKUP($A106,AffordabilityRatio!$A$2:$I$321,9,FALSE)))</f>
        <v>10.62</v>
      </c>
      <c r="AQ106" s="267">
        <f t="shared" si="98"/>
        <v>373</v>
      </c>
      <c r="AR106" s="267">
        <f t="shared" si="98"/>
        <v>369</v>
      </c>
      <c r="AS106" s="267">
        <f t="shared" si="98"/>
        <v>369</v>
      </c>
      <c r="AT106" s="267">
        <f t="shared" si="98"/>
        <v>439</v>
      </c>
      <c r="AU106" s="267">
        <f t="shared" si="98"/>
        <v>456</v>
      </c>
      <c r="AV106" s="267">
        <f t="shared" si="98"/>
        <v>443</v>
      </c>
      <c r="AW106" s="267">
        <f t="shared" si="98"/>
        <v>429</v>
      </c>
      <c r="AX106" s="267">
        <f t="shared" si="95"/>
        <v>419</v>
      </c>
      <c r="AY106" s="267">
        <f t="shared" si="71"/>
        <v>373</v>
      </c>
      <c r="AZ106" s="267">
        <f t="shared" si="72"/>
        <v>369</v>
      </c>
      <c r="BA106" s="267">
        <f t="shared" si="73"/>
        <v>369</v>
      </c>
      <c r="BB106" s="267">
        <f t="shared" si="74"/>
        <v>439</v>
      </c>
      <c r="BC106" s="267">
        <f t="shared" si="75"/>
        <v>456</v>
      </c>
      <c r="BD106" s="267">
        <f t="shared" si="76"/>
        <v>443</v>
      </c>
      <c r="BE106" s="267">
        <f t="shared" si="77"/>
        <v>429</v>
      </c>
      <c r="BF106" s="267">
        <f t="shared" si="78"/>
        <v>419</v>
      </c>
      <c r="BG106" s="269">
        <f>AY106*VLOOKUP($B106,'Major Cities &amp; Towns'!$A$28:$B$345,2,FALSE)</f>
        <v>373</v>
      </c>
      <c r="BH106" s="269">
        <f>AZ106*VLOOKUP($B106,'Major Cities &amp; Towns'!$A$28:$B$345,2,FALSE)</f>
        <v>369</v>
      </c>
      <c r="BI106" s="269">
        <f>BA106*VLOOKUP($B106,'Major Cities &amp; Towns'!$A$28:$B$345,2,FALSE)</f>
        <v>369</v>
      </c>
      <c r="BJ106" s="269">
        <f>BB106*VLOOKUP($B106,'Major Cities &amp; Towns'!$A$28:$B$345,2,FALSE)</f>
        <v>439</v>
      </c>
      <c r="BK106" s="269">
        <f>BC106*VLOOKUP($B106,'Major Cities &amp; Towns'!$A$28:$B$345,2,FALSE)</f>
        <v>456</v>
      </c>
      <c r="BL106" s="269">
        <f>BD106*VLOOKUP($B106,'Major Cities &amp; Towns'!$A$28:$B$345,2,FALSE)</f>
        <v>443</v>
      </c>
      <c r="BM106" s="269">
        <f>BE106*VLOOKUP($B106,'Major Cities &amp; Towns'!$A$28:$B$345,2,FALSE)</f>
        <v>429</v>
      </c>
      <c r="BN106" s="269">
        <f>BF106*VLOOKUP($B106,'Major Cities &amp; Towns'!$A$28:$B$345,2,FALSE)</f>
        <v>419</v>
      </c>
      <c r="BO106" s="270">
        <f t="shared" si="79"/>
        <v>373</v>
      </c>
      <c r="BP106" s="270">
        <f t="shared" si="50"/>
        <v>369</v>
      </c>
      <c r="BQ106" s="270">
        <f t="shared" si="50"/>
        <v>369</v>
      </c>
      <c r="BR106" s="270">
        <f t="shared" si="50"/>
        <v>439</v>
      </c>
      <c r="BS106" s="270">
        <f t="shared" si="50"/>
        <v>456</v>
      </c>
      <c r="BT106" s="270">
        <f t="shared" si="50"/>
        <v>443</v>
      </c>
      <c r="BU106" s="270">
        <f t="shared" si="50"/>
        <v>429</v>
      </c>
      <c r="BV106" s="270">
        <f t="shared" si="99"/>
        <v>419</v>
      </c>
      <c r="BW106" s="39">
        <f>VLOOKUP($A106,NetAdditions!$A$2:$H$336,6,FALSE)</f>
        <v>270</v>
      </c>
      <c r="BX106" s="39">
        <f>VLOOKUP($A106,NetAdditions!$A$2:$H$336,7,FALSE)</f>
        <v>336</v>
      </c>
      <c r="BY106" s="39">
        <f>IF((VLOOKUP($C106,NetAdditions!$A$2:$H$336,8,FALSE))="",(AVERAGE(VLOOKUP($C106,NetAdditions!$A$2:$H$336,5,FALSE),VLOOKUP($C106,NetAdditions!$A$2:$H$336,6,FALSE),VLOOKUP($C106,NetAdditions!$A$2:$H$336,7,FALSE))),VLOOKUP($C106,NetAdditions!$A$2:$H$336,8,FALSE))</f>
        <v>358</v>
      </c>
      <c r="BZ106" s="39">
        <f t="shared" si="54"/>
        <v>321.33333333333331</v>
      </c>
      <c r="CA106" s="39">
        <f t="shared" si="54"/>
        <v>338.4444444444444</v>
      </c>
      <c r="CB106" s="39">
        <f t="shared" si="54"/>
        <v>339.25925925925918</v>
      </c>
      <c r="CC106" s="39">
        <f t="shared" si="54"/>
        <v>333.0123456790123</v>
      </c>
      <c r="CD106" s="39">
        <f t="shared" si="54"/>
        <v>336.90534979423865</v>
      </c>
      <c r="CE106" s="276">
        <f t="shared" si="55"/>
        <v>1111</v>
      </c>
      <c r="CF106" s="276">
        <f t="shared" si="56"/>
        <v>1177</v>
      </c>
      <c r="CG106" s="276">
        <f t="shared" si="57"/>
        <v>1264</v>
      </c>
      <c r="CH106" s="276">
        <f t="shared" si="58"/>
        <v>1338</v>
      </c>
      <c r="CI106" s="276">
        <f t="shared" si="59"/>
        <v>1328</v>
      </c>
      <c r="CJ106" s="276">
        <f t="shared" si="60"/>
        <v>1291</v>
      </c>
      <c r="CK106" s="276">
        <f t="shared" si="80"/>
        <v>956.69444444444446</v>
      </c>
      <c r="CL106" s="276">
        <f t="shared" si="81"/>
        <v>1013.5277777777778</v>
      </c>
      <c r="CM106" s="276">
        <f t="shared" si="82"/>
        <v>1158.6666666666665</v>
      </c>
      <c r="CN106" s="276">
        <f t="shared" si="83"/>
        <v>1338</v>
      </c>
      <c r="CO106" s="276">
        <f t="shared" si="83"/>
        <v>1328</v>
      </c>
      <c r="CP106" s="276">
        <f t="shared" si="83"/>
        <v>1291</v>
      </c>
      <c r="CQ106" s="39">
        <f t="shared" si="61"/>
        <v>964</v>
      </c>
      <c r="CR106" s="39">
        <f t="shared" si="62"/>
        <v>1015.3333333333333</v>
      </c>
      <c r="CS106" s="277">
        <f t="shared" si="63"/>
        <v>1017.7777777777776</v>
      </c>
      <c r="CT106" s="39">
        <f t="shared" si="64"/>
        <v>999.03703703703695</v>
      </c>
      <c r="CU106" s="39">
        <f t="shared" si="65"/>
        <v>1010.7160493827159</v>
      </c>
      <c r="CV106" s="39">
        <f t="shared" si="66"/>
        <v>1009.1769547325101</v>
      </c>
      <c r="CW106" s="297">
        <f t="shared" si="67"/>
        <v>1.0076362474957172</v>
      </c>
      <c r="CX106" s="279" t="str">
        <f t="shared" si="84"/>
        <v>Pass</v>
      </c>
      <c r="CY106" s="278">
        <f t="shared" si="68"/>
        <v>1.0017814564091319</v>
      </c>
      <c r="CZ106" s="279" t="str">
        <f t="shared" si="85"/>
        <v>Pass</v>
      </c>
      <c r="DA106" s="278">
        <f t="shared" si="69"/>
        <v>0.87840429612581505</v>
      </c>
      <c r="DB106" s="292" t="str">
        <f t="shared" si="86"/>
        <v>Action Plan</v>
      </c>
      <c r="DC106" s="299">
        <f t="shared" si="87"/>
        <v>0.74666445219509492</v>
      </c>
      <c r="DD106" s="293" t="str">
        <f t="shared" si="88"/>
        <v>Presumption</v>
      </c>
      <c r="DE106" s="299">
        <f t="shared" si="89"/>
        <v>0.76108136248698488</v>
      </c>
      <c r="DF106" s="293" t="str">
        <f t="shared" si="90"/>
        <v>Buffer and Action Plan</v>
      </c>
      <c r="DG106" s="299">
        <f t="shared" si="91"/>
        <v>0.78170174650078239</v>
      </c>
      <c r="DH106" s="293" t="str">
        <f t="shared" si="92"/>
        <v>Buffer and Action Plan</v>
      </c>
    </row>
    <row r="107" spans="1:112" ht="15" thickTop="1" thickBot="1">
      <c r="A107" s="38" t="s">
        <v>324</v>
      </c>
      <c r="B107" s="38" t="s">
        <v>325</v>
      </c>
      <c r="C107" s="38" t="s">
        <v>324</v>
      </c>
      <c r="D107" s="38" t="s">
        <v>116</v>
      </c>
      <c r="E107" s="38" t="str">
        <f>VLOOKUP(C107,PoliticalControl!A:K,11,FALSE)</f>
        <v>CON</v>
      </c>
      <c r="F107" s="38" t="str">
        <f>VLOOKUP(C107,UrbanRuralClassification!A:N,13,FALSE)</f>
        <v>Urban with City and Town</v>
      </c>
      <c r="G107" s="38" t="str">
        <f>VLOOKUP(C107,UrbanRuralClassification!A:N,14,FALSE)</f>
        <v>Predominantly Urban</v>
      </c>
      <c r="H107" s="258">
        <f>IF(ISBLANK((VLOOKUP($A107,'local-plan-data'!$C$1:$AD$566,27,FALSE)))=TRUE,"",VLOOKUP($A107,'local-plan-data'!$C$1:$AD$566,27,FALSE))</f>
        <v>43395</v>
      </c>
      <c r="I107" s="259">
        <f>VLOOKUP($A107,'local-plan-data'!$C$1:$AD$566,28,FALSE)</f>
        <v>415</v>
      </c>
      <c r="J107" s="260">
        <f t="shared" si="70"/>
        <v>415</v>
      </c>
      <c r="K107" s="259">
        <f t="shared" si="96"/>
        <v>415</v>
      </c>
      <c r="L107" s="259">
        <f t="shared" si="93"/>
        <v>415</v>
      </c>
      <c r="M107" s="259">
        <f t="shared" si="93"/>
        <v>415</v>
      </c>
      <c r="N107" s="259">
        <f t="shared" si="93"/>
        <v>415</v>
      </c>
      <c r="O107" s="259">
        <f t="shared" si="93"/>
        <v>415</v>
      </c>
      <c r="P107" s="259">
        <f t="shared" si="93"/>
        <v>415</v>
      </c>
      <c r="Q107" s="259" t="str">
        <f t="shared" si="93"/>
        <v>-</v>
      </c>
      <c r="R107" s="259" t="str">
        <f t="shared" si="93"/>
        <v>-</v>
      </c>
      <c r="S107" s="259">
        <f t="shared" si="97"/>
        <v>2030</v>
      </c>
      <c r="T107" s="259">
        <f t="shared" si="94"/>
        <v>1665</v>
      </c>
      <c r="U107" s="259">
        <f t="shared" si="94"/>
        <v>1299</v>
      </c>
      <c r="V107" s="259">
        <f t="shared" si="94"/>
        <v>934</v>
      </c>
      <c r="W107" s="259">
        <f t="shared" si="94"/>
        <v>569</v>
      </c>
      <c r="X107" s="259">
        <f t="shared" si="94"/>
        <v>204</v>
      </c>
      <c r="Y107" s="259">
        <f t="shared" si="94"/>
        <v>-162</v>
      </c>
      <c r="Z107" s="259">
        <f t="shared" si="94"/>
        <v>-527</v>
      </c>
      <c r="AA107" s="267">
        <f>(VLOOKUP(A107,Hshldprojections2014!$A$2:$AW$319,40, FALSE)-VLOOKUP(A107,Hshldprojections2014!$A$2:$AW$319,30, FALSE))/10</f>
        <v>258.5</v>
      </c>
      <c r="AB107" s="267">
        <f>(VLOOKUP(A107,Hshldprojections2014!$A$2:$AW$319,41, FALSE)-VLOOKUP(A107,Hshldprojections2014!$A$2:$AW$319,31, FALSE))/10</f>
        <v>253.3</v>
      </c>
      <c r="AC107" s="267">
        <f>(VLOOKUP(A107,Hshldprojections2014!$A$2:$AW$319,42, FALSE)-VLOOKUP(A107,Hshldprojections2014!$A$2:$AW$319,32, FALSE))/10</f>
        <v>249.9</v>
      </c>
      <c r="AD107" s="267">
        <f>IF(IndividualLATest!$J$7=2014,(VLOOKUP($A107,Hshldprojections2014!$A$2:$AY$326,43,FALSE)-VLOOKUP($A107,Hshldprojections2014!$A$2:$AY$326,33,FALSE))/10,IF(IndividualLATest!$J$7=2016,(VLOOKUP($A107,Hshldprojections2016!$A$1:$AQ$322,33,FALSE)-VLOOKUP($A107,Hshldprojections2016!$A$1:$AQ$322,23,FALSE))/10,(VLOOKUP($A107,Hshldprojections2018!$A$1:$AQ$327,33,FALSE)-VLOOKUP($A107,Hshldprojections2018!$A$1:$AQ$327,23,FALSE))/10))</f>
        <v>412.2</v>
      </c>
      <c r="AE107" s="267">
        <f>IF(IndividualLATest!$J$7=2014,(VLOOKUP($A107,Hshldprojections2014!$A$2:$AY$326,44,FALSE)-VLOOKUP($A107,Hshldprojections2014!$A$2:$AY$326,34,FALSE))/10,IF(IndividualLATest!$J$7=2016,(VLOOKUP($A107,Hshldprojections2016!$A$1:$AQ$322,34,FALSE)-VLOOKUP($A107,Hshldprojections2016!$A$1:$AQ$322,24,FALSE))/10,(VLOOKUP($A107,Hshldprojections2018!$A$1:$AQ$327,34,FALSE)-VLOOKUP($A107,Hshldprojections2018!$A$1:$AQ$327,24,FALSE))/10))</f>
        <v>398</v>
      </c>
      <c r="AF107" s="267">
        <f>IF(IndividualLATest!$J$7=2014,(VLOOKUP($A107,Hshldprojections2014!$A$2:$AY$326,45,FALSE)-VLOOKUP($A107,Hshldprojections2014!$A$2:$AY$326,35,FALSE))/10,IF(IndividualLATest!$J$7=2016,(VLOOKUP($A107,Hshldprojections2016!$A$1:$AQ$322,35,FALSE)-VLOOKUP($A107,Hshldprojections2016!$A$1:$AQ$322,25,FALSE))/10,(VLOOKUP($A107,Hshldprojections2018!$A$1:$AQ$327,35,FALSE)-VLOOKUP($A107,Hshldprojections2018!$A$1:$AQ$327,25,FALSE))/10))</f>
        <v>383.7</v>
      </c>
      <c r="AG107" s="267">
        <f>IF(IndividualLATest!$J$7=2014,(VLOOKUP($A107,Hshldprojections2014!$A$2:$AY$326,46,FALSE)-VLOOKUP($A107,Hshldprojections2014!$A$2:$AY$326,36,FALSE))/10,IF(IndividualLATest!$J$7=2016,(VLOOKUP($A107,Hshldprojections2016!$A$1:$AQ$322,36,FALSE)-VLOOKUP($A107,Hshldprojections2016!$A$1:$AQ$322,26,FALSE))/10,(VLOOKUP($A107,Hshldprojections2018!$A$1:$AQ$327,36,FALSE)-VLOOKUP($A107,Hshldprojections2018!$A$1:$AQ$327,26,FALSE))/10))</f>
        <v>370</v>
      </c>
      <c r="AH107" s="267">
        <f>IF(IndividualLATest!$J$7=2014,(VLOOKUP($A107,Hshldprojections2014!$A$2:$AY$326,47,FALSE)-VLOOKUP($A107,Hshldprojections2014!$A$2:$AY$326,37,FALSE))/10,IF(IndividualLATest!$J$7=2016,(VLOOKUP($A107,Hshldprojections2016!$A$1:$AQ$322,37,FALSE)-VLOOKUP($A107,Hshldprojections2016!$A$1:$AQ$322,27,FALSE))/10,(VLOOKUP($A107,Hshldprojections2018!$A$1:$AQ$327,37,FALSE)-VLOOKUP($A107,Hshldprojections2018!$A$1:$AQ$327,27,FALSE))/10))</f>
        <v>359.1</v>
      </c>
      <c r="AI107" s="268">
        <f>IF(ISNUMBER('Sensitivity Tests'!$C$30),'Sensitivity Tests'!$C$30,VLOOKUP($A107,AffordabilityRatio!$A$2:$I$321,5,FALSE))</f>
        <v>5.87</v>
      </c>
      <c r="AJ107" s="268">
        <f>IF(ISNUMBER('Sensitivity Tests'!$C$30),'Sensitivity Tests'!$C$30,VLOOKUP($A107,AffordabilityRatio!$A$2:$I$321,6,FALSE))</f>
        <v>5.4</v>
      </c>
      <c r="AK107" s="268">
        <f>IF(ISNUMBER('Sensitivity Tests'!$C$30),'Sensitivity Tests'!$C$30,VLOOKUP($A107,AffordabilityRatio!$A$2:$I$321,7,FALSE))</f>
        <v>5.45</v>
      </c>
      <c r="AL107" s="268">
        <f>IF(ISNUMBER('Sensitivity Tests'!$C$30),'Sensitivity Tests'!$C$30,IF((VLOOKUP($A107,AffordabilityRatio!$A$2:$I$321,8,FALSE))="",AK107,VLOOKUP($A107,AffordabilityRatio!$A$2:$I$321,8,FALSE)))</f>
        <v>6.1</v>
      </c>
      <c r="AM107" s="268">
        <f>IF(ISNUMBER('Sensitivity Tests'!$C$30),'Sensitivity Tests'!$C$30,IF((VLOOKUP($A107,AffordabilityRatio!$A$2:$I$321,9,FALSE))="",AL107,VLOOKUP($A107,AffordabilityRatio!$A$2:$I$321,9,FALSE)))</f>
        <v>6.75</v>
      </c>
      <c r="AN107" s="268">
        <f>IF(ISNUMBER('Sensitivity Tests'!$C$30),'Sensitivity Tests'!$C$30,IF((VLOOKUP($A107,AffordabilityRatio!$A$2:$I$321,9,FALSE))="",AM107,VLOOKUP($A107,AffordabilityRatio!$A$2:$I$321,9,FALSE)))</f>
        <v>6.75</v>
      </c>
      <c r="AO107" s="268">
        <f>IF(ISNUMBER('Sensitivity Tests'!$C$30),'Sensitivity Tests'!$C$30,IF((VLOOKUP($A107,AffordabilityRatio!$A$2:$I$321,9,FALSE))="",AN107,VLOOKUP($A107,AffordabilityRatio!$A$2:$I$321,9,FALSE)))</f>
        <v>6.75</v>
      </c>
      <c r="AP107" s="268">
        <f>IF(ISNUMBER('Sensitivity Tests'!$C$30),'Sensitivity Tests'!$C$30,IF((VLOOKUP($A107,AffordabilityRatio!$A$2:$I$321,9,FALSE))="",AO107,VLOOKUP($A107,AffordabilityRatio!$A$2:$I$321,9,FALSE)))</f>
        <v>6.75</v>
      </c>
      <c r="AQ107" s="267">
        <f t="shared" si="98"/>
        <v>289</v>
      </c>
      <c r="AR107" s="267">
        <f t="shared" si="98"/>
        <v>275</v>
      </c>
      <c r="AS107" s="267">
        <f t="shared" si="98"/>
        <v>273</v>
      </c>
      <c r="AT107" s="267">
        <f t="shared" si="98"/>
        <v>466</v>
      </c>
      <c r="AU107" s="267">
        <f t="shared" si="98"/>
        <v>466</v>
      </c>
      <c r="AV107" s="267">
        <f t="shared" si="98"/>
        <v>450</v>
      </c>
      <c r="AW107" s="267">
        <f t="shared" si="98"/>
        <v>434</v>
      </c>
      <c r="AX107" s="267">
        <f t="shared" si="95"/>
        <v>421</v>
      </c>
      <c r="AY107" s="267">
        <f t="shared" si="71"/>
        <v>289</v>
      </c>
      <c r="AZ107" s="267">
        <f t="shared" si="72"/>
        <v>275</v>
      </c>
      <c r="BA107" s="267">
        <f t="shared" si="73"/>
        <v>273</v>
      </c>
      <c r="BB107" s="267">
        <f t="shared" si="74"/>
        <v>466</v>
      </c>
      <c r="BC107" s="267">
        <f t="shared" si="75"/>
        <v>466</v>
      </c>
      <c r="BD107" s="267">
        <f t="shared" si="76"/>
        <v>450</v>
      </c>
      <c r="BE107" s="267">
        <f t="shared" si="77"/>
        <v>434</v>
      </c>
      <c r="BF107" s="267">
        <f t="shared" si="78"/>
        <v>421</v>
      </c>
      <c r="BG107" s="269">
        <f>AY107*VLOOKUP($B107,'Major Cities &amp; Towns'!$A$28:$B$345,2,FALSE)</f>
        <v>289</v>
      </c>
      <c r="BH107" s="269">
        <f>AZ107*VLOOKUP($B107,'Major Cities &amp; Towns'!$A$28:$B$345,2,FALSE)</f>
        <v>275</v>
      </c>
      <c r="BI107" s="269">
        <f>BA107*VLOOKUP($B107,'Major Cities &amp; Towns'!$A$28:$B$345,2,FALSE)</f>
        <v>273</v>
      </c>
      <c r="BJ107" s="269">
        <f>BB107*VLOOKUP($B107,'Major Cities &amp; Towns'!$A$28:$B$345,2,FALSE)</f>
        <v>466</v>
      </c>
      <c r="BK107" s="269">
        <f>BC107*VLOOKUP($B107,'Major Cities &amp; Towns'!$A$28:$B$345,2,FALSE)</f>
        <v>466</v>
      </c>
      <c r="BL107" s="269">
        <f>BD107*VLOOKUP($B107,'Major Cities &amp; Towns'!$A$28:$B$345,2,FALSE)</f>
        <v>450</v>
      </c>
      <c r="BM107" s="269">
        <f>BE107*VLOOKUP($B107,'Major Cities &amp; Towns'!$A$28:$B$345,2,FALSE)</f>
        <v>434</v>
      </c>
      <c r="BN107" s="269">
        <f>BF107*VLOOKUP($B107,'Major Cities &amp; Towns'!$A$28:$B$345,2,FALSE)</f>
        <v>421</v>
      </c>
      <c r="BO107" s="270">
        <f t="shared" si="79"/>
        <v>289</v>
      </c>
      <c r="BP107" s="270">
        <f t="shared" ref="BP107:BU149" si="100">IFERROR(IF(AND(T107&lt;365,T107&gt;0),SUM(((T107/365)*(MIN(L107,BH107)))+(((365-T107)/365)*AR107)),(MIN(L107,AR107))),AR107)</f>
        <v>275</v>
      </c>
      <c r="BQ107" s="270">
        <f t="shared" si="100"/>
        <v>273</v>
      </c>
      <c r="BR107" s="270">
        <f t="shared" si="100"/>
        <v>415</v>
      </c>
      <c r="BS107" s="270">
        <f t="shared" si="100"/>
        <v>415</v>
      </c>
      <c r="BT107" s="270">
        <f t="shared" si="100"/>
        <v>430.43835616438355</v>
      </c>
      <c r="BU107" s="270">
        <f t="shared" si="100"/>
        <v>434</v>
      </c>
      <c r="BV107" s="270">
        <f t="shared" si="99"/>
        <v>421</v>
      </c>
      <c r="BW107" s="39">
        <f>VLOOKUP($A107,NetAdditions!$A$2:$H$336,6,FALSE)</f>
        <v>490</v>
      </c>
      <c r="BX107" s="39">
        <f>VLOOKUP($A107,NetAdditions!$A$2:$H$336,7,FALSE)</f>
        <v>634</v>
      </c>
      <c r="BY107" s="39">
        <f>IF((VLOOKUP($C107,NetAdditions!$A$2:$H$336,8,FALSE))="",(AVERAGE(VLOOKUP($C107,NetAdditions!$A$2:$H$336,5,FALSE),VLOOKUP($C107,NetAdditions!$A$2:$H$336,6,FALSE),VLOOKUP($C107,NetAdditions!$A$2:$H$336,7,FALSE))),VLOOKUP($C107,NetAdditions!$A$2:$H$336,8,FALSE))</f>
        <v>292</v>
      </c>
      <c r="BZ107" s="39">
        <f t="shared" si="54"/>
        <v>472</v>
      </c>
      <c r="CA107" s="39">
        <f t="shared" si="54"/>
        <v>466</v>
      </c>
      <c r="CB107" s="39">
        <f t="shared" si="54"/>
        <v>410</v>
      </c>
      <c r="CC107" s="39">
        <f t="shared" si="54"/>
        <v>449.33333333333331</v>
      </c>
      <c r="CD107" s="39">
        <f t="shared" si="54"/>
        <v>441.77777777777777</v>
      </c>
      <c r="CE107" s="276">
        <f t="shared" si="55"/>
        <v>837</v>
      </c>
      <c r="CF107" s="276">
        <f t="shared" si="56"/>
        <v>963</v>
      </c>
      <c r="CG107" s="276">
        <f t="shared" si="57"/>
        <v>1103</v>
      </c>
      <c r="CH107" s="276">
        <f t="shared" si="58"/>
        <v>1260.4383561643835</v>
      </c>
      <c r="CI107" s="276">
        <f t="shared" si="59"/>
        <v>1279.4383561643835</v>
      </c>
      <c r="CJ107" s="276">
        <f t="shared" si="60"/>
        <v>1285.4383561643835</v>
      </c>
      <c r="CK107" s="276">
        <f t="shared" si="80"/>
        <v>720.75</v>
      </c>
      <c r="CL107" s="276">
        <f t="shared" si="81"/>
        <v>829.25</v>
      </c>
      <c r="CM107" s="276">
        <f t="shared" si="82"/>
        <v>1011.0833333333333</v>
      </c>
      <c r="CN107" s="276">
        <f t="shared" si="83"/>
        <v>1260.4383561643835</v>
      </c>
      <c r="CO107" s="276">
        <f t="shared" si="83"/>
        <v>1279.4383561643835</v>
      </c>
      <c r="CP107" s="276">
        <f t="shared" si="83"/>
        <v>1285.4383561643835</v>
      </c>
      <c r="CQ107" s="39">
        <f t="shared" si="61"/>
        <v>1416</v>
      </c>
      <c r="CR107" s="39">
        <f t="shared" si="62"/>
        <v>1398</v>
      </c>
      <c r="CS107" s="277">
        <f t="shared" si="63"/>
        <v>1230</v>
      </c>
      <c r="CT107" s="39">
        <f t="shared" si="64"/>
        <v>1348</v>
      </c>
      <c r="CU107" s="39">
        <f t="shared" si="65"/>
        <v>1325.3333333333333</v>
      </c>
      <c r="CV107" s="39">
        <f t="shared" si="66"/>
        <v>1301.1111111111111</v>
      </c>
      <c r="CW107" s="297">
        <f t="shared" si="67"/>
        <v>1.9646201873048907</v>
      </c>
      <c r="CX107" s="279" t="str">
        <f t="shared" si="84"/>
        <v>Pass</v>
      </c>
      <c r="CY107" s="278">
        <f t="shared" si="68"/>
        <v>1.6858607175158276</v>
      </c>
      <c r="CZ107" s="279" t="str">
        <f t="shared" si="85"/>
        <v>Pass</v>
      </c>
      <c r="DA107" s="278">
        <f t="shared" si="69"/>
        <v>1.2165169372784967</v>
      </c>
      <c r="DB107" s="292" t="str">
        <f t="shared" si="86"/>
        <v>Pass</v>
      </c>
      <c r="DC107" s="299">
        <f t="shared" si="87"/>
        <v>1.0694691996696084</v>
      </c>
      <c r="DD107" s="293" t="str">
        <f t="shared" si="88"/>
        <v>Pass</v>
      </c>
      <c r="DE107" s="299">
        <f t="shared" si="89"/>
        <v>1.0358711906265947</v>
      </c>
      <c r="DF107" s="293" t="str">
        <f t="shared" si="90"/>
        <v>Pass</v>
      </c>
      <c r="DG107" s="299">
        <f t="shared" si="91"/>
        <v>1.0121925371773512</v>
      </c>
      <c r="DH107" s="293" t="str">
        <f t="shared" si="92"/>
        <v>Pass</v>
      </c>
    </row>
    <row r="108" spans="1:112" ht="15" thickTop="1" thickBot="1">
      <c r="A108" s="38" t="s">
        <v>326</v>
      </c>
      <c r="B108" s="38" t="s">
        <v>327</v>
      </c>
      <c r="C108" s="38" t="s">
        <v>326</v>
      </c>
      <c r="D108" s="38" t="s">
        <v>259</v>
      </c>
      <c r="E108" s="38" t="str">
        <f>VLOOKUP(C108,PoliticalControl!A:K,11,FALSE)</f>
        <v>LAB</v>
      </c>
      <c r="F108" s="38" t="str">
        <f>VLOOKUP(C108,UrbanRuralClassification!A:N,13,FALSE)</f>
        <v>Urban with Major Conurbation</v>
      </c>
      <c r="G108" s="38" t="str">
        <f>VLOOKUP(C108,UrbanRuralClassification!A:N,14,FALSE)</f>
        <v>Predominantly Urban</v>
      </c>
      <c r="H108" s="258">
        <f>IF(ISBLANK((VLOOKUP($A108,'local-plan-data'!$C$1:$AD$566,27,FALSE)))=TRUE,"",VLOOKUP($A108,'local-plan-data'!$C$1:$AD$566,27,FALSE))</f>
        <v>42089</v>
      </c>
      <c r="I108" s="259">
        <f>VLOOKUP($A108,'local-plan-data'!$C$1:$AD$566,28,FALSE)</f>
        <v>425</v>
      </c>
      <c r="J108" s="260">
        <f t="shared" si="70"/>
        <v>425</v>
      </c>
      <c r="K108" s="259">
        <f t="shared" si="96"/>
        <v>425</v>
      </c>
      <c r="L108" s="259">
        <f t="shared" si="93"/>
        <v>425</v>
      </c>
      <c r="M108" s="259" t="str">
        <f t="shared" si="93"/>
        <v>-</v>
      </c>
      <c r="N108" s="259" t="str">
        <f t="shared" si="93"/>
        <v>-</v>
      </c>
      <c r="O108" s="259" t="str">
        <f t="shared" si="93"/>
        <v>-</v>
      </c>
      <c r="P108" s="259" t="str">
        <f t="shared" si="93"/>
        <v>-</v>
      </c>
      <c r="Q108" s="259" t="str">
        <f t="shared" si="93"/>
        <v>-</v>
      </c>
      <c r="R108" s="259" t="str">
        <f t="shared" si="93"/>
        <v>-</v>
      </c>
      <c r="S108" s="259">
        <f t="shared" si="97"/>
        <v>725</v>
      </c>
      <c r="T108" s="259">
        <f t="shared" si="94"/>
        <v>360</v>
      </c>
      <c r="U108" s="259">
        <f t="shared" si="94"/>
        <v>-6</v>
      </c>
      <c r="V108" s="259">
        <f t="shared" si="94"/>
        <v>-371</v>
      </c>
      <c r="W108" s="259">
        <f t="shared" si="94"/>
        <v>-736</v>
      </c>
      <c r="X108" s="259">
        <f t="shared" si="94"/>
        <v>-1101</v>
      </c>
      <c r="Y108" s="259">
        <f t="shared" si="94"/>
        <v>-1467</v>
      </c>
      <c r="Z108" s="259">
        <f t="shared" si="94"/>
        <v>-1832</v>
      </c>
      <c r="AA108" s="267">
        <f>(VLOOKUP(A108,Hshldprojections2014!$A$2:$AW$319,40, FALSE)-VLOOKUP(A108,Hshldprojections2014!$A$2:$AW$319,30, FALSE))/10</f>
        <v>422.8</v>
      </c>
      <c r="AB108" s="267">
        <f>(VLOOKUP(A108,Hshldprojections2014!$A$2:$AW$319,41, FALSE)-VLOOKUP(A108,Hshldprojections2014!$A$2:$AW$319,31, FALSE))/10</f>
        <v>415</v>
      </c>
      <c r="AC108" s="267">
        <f>(VLOOKUP(A108,Hshldprojections2014!$A$2:$AW$319,42, FALSE)-VLOOKUP(A108,Hshldprojections2014!$A$2:$AW$319,32, FALSE))/10</f>
        <v>409.3</v>
      </c>
      <c r="AD108" s="267">
        <f>IF(IndividualLATest!$J$7=2014,(VLOOKUP($A108,Hshldprojections2014!$A$2:$AY$326,43,FALSE)-VLOOKUP($A108,Hshldprojections2014!$A$2:$AY$326,33,FALSE))/10,IF(IndividualLATest!$J$7=2016,(VLOOKUP($A108,Hshldprojections2016!$A$1:$AQ$322,33,FALSE)-VLOOKUP($A108,Hshldprojections2016!$A$1:$AQ$322,23,FALSE))/10,(VLOOKUP($A108,Hshldprojections2018!$A$1:$AQ$327,33,FALSE)-VLOOKUP($A108,Hshldprojections2018!$A$1:$AQ$327,23,FALSE))/10))</f>
        <v>180.8</v>
      </c>
      <c r="AE108" s="267">
        <f>IF(IndividualLATest!$J$7=2014,(VLOOKUP($A108,Hshldprojections2014!$A$2:$AY$326,44,FALSE)-VLOOKUP($A108,Hshldprojections2014!$A$2:$AY$326,34,FALSE))/10,IF(IndividualLATest!$J$7=2016,(VLOOKUP($A108,Hshldprojections2016!$A$1:$AQ$322,34,FALSE)-VLOOKUP($A108,Hshldprojections2016!$A$1:$AQ$322,24,FALSE))/10,(VLOOKUP($A108,Hshldprojections2018!$A$1:$AQ$327,34,FALSE)-VLOOKUP($A108,Hshldprojections2018!$A$1:$AQ$327,24,FALSE))/10))</f>
        <v>182</v>
      </c>
      <c r="AF108" s="267">
        <f>IF(IndividualLATest!$J$7=2014,(VLOOKUP($A108,Hshldprojections2014!$A$2:$AY$326,45,FALSE)-VLOOKUP($A108,Hshldprojections2014!$A$2:$AY$326,35,FALSE))/10,IF(IndividualLATest!$J$7=2016,(VLOOKUP($A108,Hshldprojections2016!$A$1:$AQ$322,35,FALSE)-VLOOKUP($A108,Hshldprojections2016!$A$1:$AQ$322,25,FALSE))/10,(VLOOKUP($A108,Hshldprojections2018!$A$1:$AQ$327,35,FALSE)-VLOOKUP($A108,Hshldprojections2018!$A$1:$AQ$327,25,FALSE))/10))</f>
        <v>188</v>
      </c>
      <c r="AG108" s="267">
        <f>IF(IndividualLATest!$J$7=2014,(VLOOKUP($A108,Hshldprojections2014!$A$2:$AY$326,46,FALSE)-VLOOKUP($A108,Hshldprojections2014!$A$2:$AY$326,36,FALSE))/10,IF(IndividualLATest!$J$7=2016,(VLOOKUP($A108,Hshldprojections2016!$A$1:$AQ$322,36,FALSE)-VLOOKUP($A108,Hshldprojections2016!$A$1:$AQ$322,26,FALSE))/10,(VLOOKUP($A108,Hshldprojections2018!$A$1:$AQ$327,36,FALSE)-VLOOKUP($A108,Hshldprojections2018!$A$1:$AQ$327,26,FALSE))/10))</f>
        <v>193.6</v>
      </c>
      <c r="AH108" s="267">
        <f>IF(IndividualLATest!$J$7=2014,(VLOOKUP($A108,Hshldprojections2014!$A$2:$AY$326,47,FALSE)-VLOOKUP($A108,Hshldprojections2014!$A$2:$AY$326,37,FALSE))/10,IF(IndividualLATest!$J$7=2016,(VLOOKUP($A108,Hshldprojections2016!$A$1:$AQ$322,37,FALSE)-VLOOKUP($A108,Hshldprojections2016!$A$1:$AQ$322,27,FALSE))/10,(VLOOKUP($A108,Hshldprojections2018!$A$1:$AQ$327,37,FALSE)-VLOOKUP($A108,Hshldprojections2018!$A$1:$AQ$327,27,FALSE))/10))</f>
        <v>200.7</v>
      </c>
      <c r="AI108" s="268">
        <f>IF(ISNUMBER('Sensitivity Tests'!$C$30),'Sensitivity Tests'!$C$30,VLOOKUP($A108,AffordabilityRatio!$A$2:$I$321,5,FALSE))</f>
        <v>5.25</v>
      </c>
      <c r="AJ108" s="268">
        <f>IF(ISNUMBER('Sensitivity Tests'!$C$30),'Sensitivity Tests'!$C$30,VLOOKUP($A108,AffordabilityRatio!$A$2:$I$321,6,FALSE))</f>
        <v>5.32</v>
      </c>
      <c r="AK108" s="268">
        <f>IF(ISNUMBER('Sensitivity Tests'!$C$30),'Sensitivity Tests'!$C$30,VLOOKUP($A108,AffordabilityRatio!$A$2:$I$321,7,FALSE))</f>
        <v>5.35</v>
      </c>
      <c r="AL108" s="268">
        <f>IF(ISNUMBER('Sensitivity Tests'!$C$30),'Sensitivity Tests'!$C$30,IF((VLOOKUP($A108,AffordabilityRatio!$A$2:$I$321,8,FALSE))="",AK108,VLOOKUP($A108,AffordabilityRatio!$A$2:$I$321,8,FALSE)))</f>
        <v>5.47</v>
      </c>
      <c r="AM108" s="268">
        <f>IF(ISNUMBER('Sensitivity Tests'!$C$30),'Sensitivity Tests'!$C$30,IF((VLOOKUP($A108,AffordabilityRatio!$A$2:$I$321,9,FALSE))="",AL108,VLOOKUP($A108,AffordabilityRatio!$A$2:$I$321,9,FALSE)))</f>
        <v>5.69</v>
      </c>
      <c r="AN108" s="268">
        <f>IF(ISNUMBER('Sensitivity Tests'!$C$30),'Sensitivity Tests'!$C$30,IF((VLOOKUP($A108,AffordabilityRatio!$A$2:$I$321,9,FALSE))="",AM108,VLOOKUP($A108,AffordabilityRatio!$A$2:$I$321,9,FALSE)))</f>
        <v>5.69</v>
      </c>
      <c r="AO108" s="268">
        <f>IF(ISNUMBER('Sensitivity Tests'!$C$30),'Sensitivity Tests'!$C$30,IF((VLOOKUP($A108,AffordabilityRatio!$A$2:$I$321,9,FALSE))="",AN108,VLOOKUP($A108,AffordabilityRatio!$A$2:$I$321,9,FALSE)))</f>
        <v>5.69</v>
      </c>
      <c r="AP108" s="268">
        <f>IF(ISNUMBER('Sensitivity Tests'!$C$30),'Sensitivity Tests'!$C$30,IF((VLOOKUP($A108,AffordabilityRatio!$A$2:$I$321,9,FALSE))="",AO108,VLOOKUP($A108,AffordabilityRatio!$A$2:$I$321,9,FALSE)))</f>
        <v>5.69</v>
      </c>
      <c r="AQ108" s="267">
        <f t="shared" si="98"/>
        <v>456</v>
      </c>
      <c r="AR108" s="267">
        <f t="shared" si="98"/>
        <v>449</v>
      </c>
      <c r="AS108" s="267">
        <f t="shared" si="98"/>
        <v>444</v>
      </c>
      <c r="AT108" s="267">
        <f t="shared" si="98"/>
        <v>197</v>
      </c>
      <c r="AU108" s="267">
        <f t="shared" si="98"/>
        <v>201</v>
      </c>
      <c r="AV108" s="267">
        <f t="shared" si="98"/>
        <v>208</v>
      </c>
      <c r="AW108" s="267">
        <f t="shared" si="98"/>
        <v>214</v>
      </c>
      <c r="AX108" s="267">
        <f t="shared" si="95"/>
        <v>222</v>
      </c>
      <c r="AY108" s="267">
        <f t="shared" si="71"/>
        <v>456</v>
      </c>
      <c r="AZ108" s="267">
        <f t="shared" si="72"/>
        <v>449</v>
      </c>
      <c r="BA108" s="267">
        <f t="shared" si="73"/>
        <v>444</v>
      </c>
      <c r="BB108" s="267">
        <f t="shared" si="74"/>
        <v>197</v>
      </c>
      <c r="BC108" s="267">
        <f t="shared" si="75"/>
        <v>201</v>
      </c>
      <c r="BD108" s="267">
        <f t="shared" si="76"/>
        <v>208</v>
      </c>
      <c r="BE108" s="267">
        <f t="shared" si="77"/>
        <v>214</v>
      </c>
      <c r="BF108" s="267">
        <f t="shared" si="78"/>
        <v>222</v>
      </c>
      <c r="BG108" s="269">
        <f>AY108*VLOOKUP($B108,'Major Cities &amp; Towns'!$A$28:$B$345,2,FALSE)</f>
        <v>456</v>
      </c>
      <c r="BH108" s="269">
        <f>AZ108*VLOOKUP($B108,'Major Cities &amp; Towns'!$A$28:$B$345,2,FALSE)</f>
        <v>449</v>
      </c>
      <c r="BI108" s="269">
        <f>BA108*VLOOKUP($B108,'Major Cities &amp; Towns'!$A$28:$B$345,2,FALSE)</f>
        <v>444</v>
      </c>
      <c r="BJ108" s="269">
        <f>BB108*VLOOKUP($B108,'Major Cities &amp; Towns'!$A$28:$B$345,2,FALSE)</f>
        <v>197</v>
      </c>
      <c r="BK108" s="269">
        <f>BC108*VLOOKUP($B108,'Major Cities &amp; Towns'!$A$28:$B$345,2,FALSE)</f>
        <v>201</v>
      </c>
      <c r="BL108" s="269">
        <f>BD108*VLOOKUP($B108,'Major Cities &amp; Towns'!$A$28:$B$345,2,FALSE)</f>
        <v>208</v>
      </c>
      <c r="BM108" s="269">
        <f>BE108*VLOOKUP($B108,'Major Cities &amp; Towns'!$A$28:$B$345,2,FALSE)</f>
        <v>214</v>
      </c>
      <c r="BN108" s="269">
        <f>BF108*VLOOKUP($B108,'Major Cities &amp; Towns'!$A$28:$B$345,2,FALSE)</f>
        <v>222</v>
      </c>
      <c r="BO108" s="270">
        <f t="shared" si="79"/>
        <v>425</v>
      </c>
      <c r="BP108" s="270">
        <f t="shared" si="100"/>
        <v>425.32876712328766</v>
      </c>
      <c r="BQ108" s="270">
        <f t="shared" si="100"/>
        <v>444</v>
      </c>
      <c r="BR108" s="270">
        <f t="shared" si="100"/>
        <v>197</v>
      </c>
      <c r="BS108" s="270">
        <f t="shared" si="100"/>
        <v>201</v>
      </c>
      <c r="BT108" s="270">
        <f t="shared" si="100"/>
        <v>208</v>
      </c>
      <c r="BU108" s="270">
        <f t="shared" si="100"/>
        <v>214</v>
      </c>
      <c r="BV108" s="270">
        <f t="shared" si="99"/>
        <v>222</v>
      </c>
      <c r="BW108" s="39">
        <f>VLOOKUP($A108,NetAdditions!$A$2:$H$336,6,FALSE)</f>
        <v>394</v>
      </c>
      <c r="BX108" s="39">
        <f>VLOOKUP($A108,NetAdditions!$A$2:$H$336,7,FALSE)</f>
        <v>301</v>
      </c>
      <c r="BY108" s="39">
        <f>IF((VLOOKUP($C108,NetAdditions!$A$2:$H$336,8,FALSE))="",(AVERAGE(VLOOKUP($C108,NetAdditions!$A$2:$H$336,5,FALSE),VLOOKUP($C108,NetAdditions!$A$2:$H$336,6,FALSE),VLOOKUP($C108,NetAdditions!$A$2:$H$336,7,FALSE))),VLOOKUP($C108,NetAdditions!$A$2:$H$336,8,FALSE))</f>
        <v>347</v>
      </c>
      <c r="BZ108" s="39">
        <f t="shared" si="54"/>
        <v>347.33333333333331</v>
      </c>
      <c r="CA108" s="39">
        <f t="shared" si="54"/>
        <v>331.77777777777777</v>
      </c>
      <c r="CB108" s="39">
        <f t="shared" si="54"/>
        <v>342.03703703703701</v>
      </c>
      <c r="CC108" s="39">
        <f t="shared" si="54"/>
        <v>340.38271604938268</v>
      </c>
      <c r="CD108" s="39">
        <f t="shared" si="54"/>
        <v>338.06584362139915</v>
      </c>
      <c r="CE108" s="276">
        <f t="shared" si="55"/>
        <v>1294.3287671232877</v>
      </c>
      <c r="CF108" s="276">
        <f t="shared" si="56"/>
        <v>1066.3287671232877</v>
      </c>
      <c r="CG108" s="276">
        <f t="shared" si="57"/>
        <v>842</v>
      </c>
      <c r="CH108" s="276">
        <f t="shared" si="58"/>
        <v>606</v>
      </c>
      <c r="CI108" s="276">
        <f t="shared" si="59"/>
        <v>623</v>
      </c>
      <c r="CJ108" s="276">
        <f t="shared" si="60"/>
        <v>644</v>
      </c>
      <c r="CK108" s="276">
        <f t="shared" si="80"/>
        <v>1114.5608828006089</v>
      </c>
      <c r="CL108" s="276">
        <f t="shared" si="81"/>
        <v>918.22754946727559</v>
      </c>
      <c r="CM108" s="276">
        <f t="shared" si="82"/>
        <v>771.83333333333326</v>
      </c>
      <c r="CN108" s="276">
        <f t="shared" si="83"/>
        <v>606</v>
      </c>
      <c r="CO108" s="276">
        <f t="shared" si="83"/>
        <v>623</v>
      </c>
      <c r="CP108" s="276">
        <f t="shared" si="83"/>
        <v>644</v>
      </c>
      <c r="CQ108" s="39">
        <f t="shared" si="61"/>
        <v>1042</v>
      </c>
      <c r="CR108" s="39">
        <f t="shared" si="62"/>
        <v>995.33333333333326</v>
      </c>
      <c r="CS108" s="277">
        <f t="shared" si="63"/>
        <v>1026.1111111111111</v>
      </c>
      <c r="CT108" s="39">
        <f t="shared" si="64"/>
        <v>1021.148148148148</v>
      </c>
      <c r="CU108" s="39">
        <f t="shared" si="65"/>
        <v>1014.1975308641975</v>
      </c>
      <c r="CV108" s="39">
        <f t="shared" si="66"/>
        <v>1020.4855967078188</v>
      </c>
      <c r="CW108" s="297">
        <f t="shared" si="67"/>
        <v>0.93489733587430257</v>
      </c>
      <c r="CX108" s="279" t="str">
        <f t="shared" si="84"/>
        <v>Action Plan</v>
      </c>
      <c r="CY108" s="278">
        <f t="shared" si="68"/>
        <v>1.0839724139302853</v>
      </c>
      <c r="CZ108" s="279" t="str">
        <f t="shared" si="85"/>
        <v>Pass</v>
      </c>
      <c r="DA108" s="278">
        <f t="shared" si="69"/>
        <v>1.3294464838407831</v>
      </c>
      <c r="DB108" s="292" t="str">
        <f t="shared" si="86"/>
        <v>Pass</v>
      </c>
      <c r="DC108" s="299">
        <f t="shared" si="87"/>
        <v>1.6850629507395183</v>
      </c>
      <c r="DD108" s="293" t="str">
        <f t="shared" si="88"/>
        <v>Pass</v>
      </c>
      <c r="DE108" s="299">
        <f t="shared" si="89"/>
        <v>1.6279254106969461</v>
      </c>
      <c r="DF108" s="293" t="str">
        <f t="shared" si="90"/>
        <v>Pass</v>
      </c>
      <c r="DG108" s="299">
        <f t="shared" si="91"/>
        <v>1.5846049638320168</v>
      </c>
      <c r="DH108" s="293" t="str">
        <f t="shared" si="92"/>
        <v>Pass</v>
      </c>
    </row>
    <row r="109" spans="1:112" ht="15" thickTop="1" thickBot="1">
      <c r="A109" s="38" t="s">
        <v>328</v>
      </c>
      <c r="B109" s="38" t="s">
        <v>329</v>
      </c>
      <c r="C109" s="38" t="s">
        <v>328</v>
      </c>
      <c r="D109" s="38" t="s">
        <v>119</v>
      </c>
      <c r="E109" s="38" t="str">
        <f>VLOOKUP(C109,PoliticalControl!A:K,11,FALSE)</f>
        <v>LAB</v>
      </c>
      <c r="F109" s="38" t="str">
        <f>VLOOKUP(C109,UrbanRuralClassification!A:N,13,FALSE)</f>
        <v>Urban with Minor Conurbation</v>
      </c>
      <c r="G109" s="38" t="str">
        <f>VLOOKUP(C109,UrbanRuralClassification!A:N,14,FALSE)</f>
        <v>Predominantly Urban</v>
      </c>
      <c r="H109" s="258">
        <f>IF(ISBLANK((VLOOKUP($A109,'local-plan-data'!$C$1:$AD$566,27,FALSE)))=TRUE,"",VLOOKUP($A109,'local-plan-data'!$C$1:$AD$566,27,FALSE))</f>
        <v>41899</v>
      </c>
      <c r="I109" s="259">
        <f>VLOOKUP($A109,'local-plan-data'!$C$1:$AD$566,28,FALSE)</f>
        <v>426.47058823529414</v>
      </c>
      <c r="J109" s="260">
        <f t="shared" si="70"/>
        <v>426.47058823529414</v>
      </c>
      <c r="K109" s="259">
        <f t="shared" si="96"/>
        <v>426.47058823529414</v>
      </c>
      <c r="L109" s="259">
        <f t="shared" si="93"/>
        <v>426.47058823529414</v>
      </c>
      <c r="M109" s="259" t="str">
        <f t="shared" si="93"/>
        <v>-</v>
      </c>
      <c r="N109" s="259" t="str">
        <f t="shared" si="93"/>
        <v>-</v>
      </c>
      <c r="O109" s="259" t="str">
        <f t="shared" si="93"/>
        <v>-</v>
      </c>
      <c r="P109" s="259" t="str">
        <f t="shared" si="93"/>
        <v>-</v>
      </c>
      <c r="Q109" s="259" t="str">
        <f t="shared" si="93"/>
        <v>-</v>
      </c>
      <c r="R109" s="259" t="str">
        <f t="shared" si="93"/>
        <v>-</v>
      </c>
      <c r="S109" s="259">
        <f t="shared" si="97"/>
        <v>534</v>
      </c>
      <c r="T109" s="259">
        <f t="shared" si="94"/>
        <v>169</v>
      </c>
      <c r="U109" s="259">
        <f t="shared" si="94"/>
        <v>-197</v>
      </c>
      <c r="V109" s="259">
        <f t="shared" si="94"/>
        <v>-562</v>
      </c>
      <c r="W109" s="259">
        <f t="shared" si="94"/>
        <v>-927</v>
      </c>
      <c r="X109" s="259">
        <f t="shared" si="94"/>
        <v>-1292</v>
      </c>
      <c r="Y109" s="259">
        <f t="shared" si="94"/>
        <v>-1658</v>
      </c>
      <c r="Z109" s="259">
        <f t="shared" si="94"/>
        <v>-2023</v>
      </c>
      <c r="AA109" s="267">
        <f>(VLOOKUP(A109,Hshldprojections2014!$A$2:$AW$319,40, FALSE)-VLOOKUP(A109,Hshldprojections2014!$A$2:$AW$319,30, FALSE))/10</f>
        <v>407.4</v>
      </c>
      <c r="AB109" s="267">
        <f>(VLOOKUP(A109,Hshldprojections2014!$A$2:$AW$319,41, FALSE)-VLOOKUP(A109,Hshldprojections2014!$A$2:$AW$319,31, FALSE))/10</f>
        <v>402.3</v>
      </c>
      <c r="AC109" s="267">
        <f>(VLOOKUP(A109,Hshldprojections2014!$A$2:$AW$319,42, FALSE)-VLOOKUP(A109,Hshldprojections2014!$A$2:$AW$319,32, FALSE))/10</f>
        <v>401.2</v>
      </c>
      <c r="AD109" s="267">
        <f>IF(IndividualLATest!$J$7=2014,(VLOOKUP($A109,Hshldprojections2014!$A$2:$AY$326,43,FALSE)-VLOOKUP($A109,Hshldprojections2014!$A$2:$AY$326,33,FALSE))/10,IF(IndividualLATest!$J$7=2016,(VLOOKUP($A109,Hshldprojections2016!$A$1:$AQ$322,33,FALSE)-VLOOKUP($A109,Hshldprojections2016!$A$1:$AQ$322,23,FALSE))/10,(VLOOKUP($A109,Hshldprojections2018!$A$1:$AQ$327,33,FALSE)-VLOOKUP($A109,Hshldprojections2018!$A$1:$AQ$327,23,FALSE))/10))</f>
        <v>352.2</v>
      </c>
      <c r="AE109" s="267">
        <f>IF(IndividualLATest!$J$7=2014,(VLOOKUP($A109,Hshldprojections2014!$A$2:$AY$326,44,FALSE)-VLOOKUP($A109,Hshldprojections2014!$A$2:$AY$326,34,FALSE))/10,IF(IndividualLATest!$J$7=2016,(VLOOKUP($A109,Hshldprojections2016!$A$1:$AQ$322,34,FALSE)-VLOOKUP($A109,Hshldprojections2016!$A$1:$AQ$322,24,FALSE))/10,(VLOOKUP($A109,Hshldprojections2018!$A$1:$AQ$327,34,FALSE)-VLOOKUP($A109,Hshldprojections2018!$A$1:$AQ$327,24,FALSE))/10))</f>
        <v>348</v>
      </c>
      <c r="AF109" s="267">
        <f>IF(IndividualLATest!$J$7=2014,(VLOOKUP($A109,Hshldprojections2014!$A$2:$AY$326,45,FALSE)-VLOOKUP($A109,Hshldprojections2014!$A$2:$AY$326,35,FALSE))/10,IF(IndividualLATest!$J$7=2016,(VLOOKUP($A109,Hshldprojections2016!$A$1:$AQ$322,35,FALSE)-VLOOKUP($A109,Hshldprojections2016!$A$1:$AQ$322,25,FALSE))/10,(VLOOKUP($A109,Hshldprojections2018!$A$1:$AQ$327,35,FALSE)-VLOOKUP($A109,Hshldprojections2018!$A$1:$AQ$327,25,FALSE))/10))</f>
        <v>342.3</v>
      </c>
      <c r="AG109" s="267">
        <f>IF(IndividualLATest!$J$7=2014,(VLOOKUP($A109,Hshldprojections2014!$A$2:$AY$326,46,FALSE)-VLOOKUP($A109,Hshldprojections2014!$A$2:$AY$326,36,FALSE))/10,IF(IndividualLATest!$J$7=2016,(VLOOKUP($A109,Hshldprojections2016!$A$1:$AQ$322,36,FALSE)-VLOOKUP($A109,Hshldprojections2016!$A$1:$AQ$322,26,FALSE))/10,(VLOOKUP($A109,Hshldprojections2018!$A$1:$AQ$327,36,FALSE)-VLOOKUP($A109,Hshldprojections2018!$A$1:$AQ$327,26,FALSE))/10))</f>
        <v>336.6</v>
      </c>
      <c r="AH109" s="267">
        <f>IF(IndividualLATest!$J$7=2014,(VLOOKUP($A109,Hshldprojections2014!$A$2:$AY$326,47,FALSE)-VLOOKUP($A109,Hshldprojections2014!$A$2:$AY$326,37,FALSE))/10,IF(IndividualLATest!$J$7=2016,(VLOOKUP($A109,Hshldprojections2016!$A$1:$AQ$322,37,FALSE)-VLOOKUP($A109,Hshldprojections2016!$A$1:$AQ$322,27,FALSE))/10,(VLOOKUP($A109,Hshldprojections2018!$A$1:$AQ$327,37,FALSE)-VLOOKUP($A109,Hshldprojections2018!$A$1:$AQ$327,27,FALSE))/10))</f>
        <v>336.8</v>
      </c>
      <c r="AI109" s="268">
        <f>IF(ISNUMBER('Sensitivity Tests'!$C$30),'Sensitivity Tests'!$C$30,VLOOKUP($A109,AffordabilityRatio!$A$2:$I$321,5,FALSE))</f>
        <v>5.41</v>
      </c>
      <c r="AJ109" s="268">
        <f>IF(ISNUMBER('Sensitivity Tests'!$C$30),'Sensitivity Tests'!$C$30,VLOOKUP($A109,AffordabilityRatio!$A$2:$I$321,6,FALSE))</f>
        <v>5.29</v>
      </c>
      <c r="AK109" s="268">
        <f>IF(ISNUMBER('Sensitivity Tests'!$C$30),'Sensitivity Tests'!$C$30,VLOOKUP($A109,AffordabilityRatio!$A$2:$I$321,7,FALSE))</f>
        <v>6.26</v>
      </c>
      <c r="AL109" s="268">
        <f>IF(ISNUMBER('Sensitivity Tests'!$C$30),'Sensitivity Tests'!$C$30,IF((VLOOKUP($A109,AffordabilityRatio!$A$2:$I$321,8,FALSE))="",AK109,VLOOKUP($A109,AffordabilityRatio!$A$2:$I$321,8,FALSE)))</f>
        <v>6.65</v>
      </c>
      <c r="AM109" s="268">
        <f>IF(ISNUMBER('Sensitivity Tests'!$C$30),'Sensitivity Tests'!$C$30,IF((VLOOKUP($A109,AffordabilityRatio!$A$2:$I$321,9,FALSE))="",AL109,VLOOKUP($A109,AffordabilityRatio!$A$2:$I$321,9,FALSE)))</f>
        <v>8.09</v>
      </c>
      <c r="AN109" s="268">
        <f>IF(ISNUMBER('Sensitivity Tests'!$C$30),'Sensitivity Tests'!$C$30,IF((VLOOKUP($A109,AffordabilityRatio!$A$2:$I$321,9,FALSE))="",AM109,VLOOKUP($A109,AffordabilityRatio!$A$2:$I$321,9,FALSE)))</f>
        <v>8.09</v>
      </c>
      <c r="AO109" s="268">
        <f>IF(ISNUMBER('Sensitivity Tests'!$C$30),'Sensitivity Tests'!$C$30,IF((VLOOKUP($A109,AffordabilityRatio!$A$2:$I$321,9,FALSE))="",AN109,VLOOKUP($A109,AffordabilityRatio!$A$2:$I$321,9,FALSE)))</f>
        <v>8.09</v>
      </c>
      <c r="AP109" s="268">
        <f>IF(ISNUMBER('Sensitivity Tests'!$C$30),'Sensitivity Tests'!$C$30,IF((VLOOKUP($A109,AffordabilityRatio!$A$2:$I$321,9,FALSE))="",AO109,VLOOKUP($A109,AffordabilityRatio!$A$2:$I$321,9,FALSE)))</f>
        <v>8.09</v>
      </c>
      <c r="AQ109" s="267">
        <f t="shared" si="98"/>
        <v>443</v>
      </c>
      <c r="AR109" s="267">
        <f t="shared" si="98"/>
        <v>435</v>
      </c>
      <c r="AS109" s="267">
        <f t="shared" si="98"/>
        <v>458</v>
      </c>
      <c r="AT109" s="267">
        <f t="shared" si="98"/>
        <v>411</v>
      </c>
      <c r="AU109" s="267">
        <f t="shared" si="98"/>
        <v>437</v>
      </c>
      <c r="AV109" s="267">
        <f t="shared" si="98"/>
        <v>430</v>
      </c>
      <c r="AW109" s="267">
        <f t="shared" si="98"/>
        <v>423</v>
      </c>
      <c r="AX109" s="267">
        <f t="shared" si="95"/>
        <v>423</v>
      </c>
      <c r="AY109" s="267">
        <f t="shared" si="71"/>
        <v>443</v>
      </c>
      <c r="AZ109" s="267">
        <f t="shared" si="72"/>
        <v>435</v>
      </c>
      <c r="BA109" s="267">
        <f t="shared" si="73"/>
        <v>458</v>
      </c>
      <c r="BB109" s="267">
        <f t="shared" si="74"/>
        <v>411</v>
      </c>
      <c r="BC109" s="267">
        <f t="shared" si="75"/>
        <v>437</v>
      </c>
      <c r="BD109" s="267">
        <f t="shared" si="76"/>
        <v>430</v>
      </c>
      <c r="BE109" s="267">
        <f t="shared" si="77"/>
        <v>423</v>
      </c>
      <c r="BF109" s="267">
        <f t="shared" si="78"/>
        <v>423</v>
      </c>
      <c r="BG109" s="269">
        <f>AY109*VLOOKUP($B109,'Major Cities &amp; Towns'!$A$28:$B$345,2,FALSE)</f>
        <v>443</v>
      </c>
      <c r="BH109" s="269">
        <f>AZ109*VLOOKUP($B109,'Major Cities &amp; Towns'!$A$28:$B$345,2,FALSE)</f>
        <v>435</v>
      </c>
      <c r="BI109" s="269">
        <f>BA109*VLOOKUP($B109,'Major Cities &amp; Towns'!$A$28:$B$345,2,FALSE)</f>
        <v>458</v>
      </c>
      <c r="BJ109" s="269">
        <f>BB109*VLOOKUP($B109,'Major Cities &amp; Towns'!$A$28:$B$345,2,FALSE)</f>
        <v>411</v>
      </c>
      <c r="BK109" s="269">
        <f>BC109*VLOOKUP($B109,'Major Cities &amp; Towns'!$A$28:$B$345,2,FALSE)</f>
        <v>437</v>
      </c>
      <c r="BL109" s="269">
        <f>BD109*VLOOKUP($B109,'Major Cities &amp; Towns'!$A$28:$B$345,2,FALSE)</f>
        <v>430</v>
      </c>
      <c r="BM109" s="269">
        <f>BE109*VLOOKUP($B109,'Major Cities &amp; Towns'!$A$28:$B$345,2,FALSE)</f>
        <v>423</v>
      </c>
      <c r="BN109" s="269">
        <f>BF109*VLOOKUP($B109,'Major Cities &amp; Towns'!$A$28:$B$345,2,FALSE)</f>
        <v>423</v>
      </c>
      <c r="BO109" s="270">
        <f t="shared" si="79"/>
        <v>426.47058823529414</v>
      </c>
      <c r="BP109" s="270">
        <f t="shared" si="100"/>
        <v>431.05076551168418</v>
      </c>
      <c r="BQ109" s="270">
        <f t="shared" si="100"/>
        <v>458</v>
      </c>
      <c r="BR109" s="270">
        <f t="shared" si="100"/>
        <v>411</v>
      </c>
      <c r="BS109" s="270">
        <f t="shared" si="100"/>
        <v>437</v>
      </c>
      <c r="BT109" s="270">
        <f t="shared" si="100"/>
        <v>430</v>
      </c>
      <c r="BU109" s="270">
        <f t="shared" si="100"/>
        <v>423</v>
      </c>
      <c r="BV109" s="270">
        <f t="shared" si="99"/>
        <v>423</v>
      </c>
      <c r="BW109" s="39">
        <f>VLOOKUP($A109,NetAdditions!$A$2:$H$336,6,FALSE)</f>
        <v>286</v>
      </c>
      <c r="BX109" s="39">
        <f>VLOOKUP($A109,NetAdditions!$A$2:$H$336,7,FALSE)</f>
        <v>360</v>
      </c>
      <c r="BY109" s="39">
        <f>IF((VLOOKUP($C109,NetAdditions!$A$2:$H$336,8,FALSE))="",(AVERAGE(VLOOKUP($C109,NetAdditions!$A$2:$H$336,5,FALSE),VLOOKUP($C109,NetAdditions!$A$2:$H$336,6,FALSE),VLOOKUP($C109,NetAdditions!$A$2:$H$336,7,FALSE))),VLOOKUP($C109,NetAdditions!$A$2:$H$336,8,FALSE))</f>
        <v>310</v>
      </c>
      <c r="BZ109" s="39">
        <f t="shared" si="54"/>
        <v>318.66666666666669</v>
      </c>
      <c r="CA109" s="39">
        <f t="shared" si="54"/>
        <v>329.5555555555556</v>
      </c>
      <c r="CB109" s="39">
        <f t="shared" si="54"/>
        <v>319.40740740740745</v>
      </c>
      <c r="CC109" s="39">
        <f t="shared" si="54"/>
        <v>322.54320987654324</v>
      </c>
      <c r="CD109" s="39">
        <f t="shared" si="54"/>
        <v>323.83539094650206</v>
      </c>
      <c r="CE109" s="276">
        <f t="shared" si="55"/>
        <v>1315.5213537469783</v>
      </c>
      <c r="CF109" s="276">
        <f t="shared" si="56"/>
        <v>1300.0507655116842</v>
      </c>
      <c r="CG109" s="276">
        <f t="shared" si="57"/>
        <v>1306</v>
      </c>
      <c r="CH109" s="276">
        <f t="shared" si="58"/>
        <v>1278</v>
      </c>
      <c r="CI109" s="276">
        <f t="shared" si="59"/>
        <v>1290</v>
      </c>
      <c r="CJ109" s="276">
        <f t="shared" si="60"/>
        <v>1276</v>
      </c>
      <c r="CK109" s="276">
        <f t="shared" si="80"/>
        <v>1132.8100546154535</v>
      </c>
      <c r="CL109" s="276">
        <f t="shared" si="81"/>
        <v>1119.4881591906169</v>
      </c>
      <c r="CM109" s="276">
        <f t="shared" si="82"/>
        <v>1197.1666666666665</v>
      </c>
      <c r="CN109" s="276">
        <f t="shared" si="83"/>
        <v>1278</v>
      </c>
      <c r="CO109" s="276">
        <f t="shared" si="83"/>
        <v>1290</v>
      </c>
      <c r="CP109" s="276">
        <f t="shared" si="83"/>
        <v>1276</v>
      </c>
      <c r="CQ109" s="39">
        <f t="shared" si="61"/>
        <v>956</v>
      </c>
      <c r="CR109" s="39">
        <f t="shared" si="62"/>
        <v>988.66666666666674</v>
      </c>
      <c r="CS109" s="277">
        <f t="shared" si="63"/>
        <v>958.2222222222224</v>
      </c>
      <c r="CT109" s="39">
        <f t="shared" si="64"/>
        <v>967.62962962962979</v>
      </c>
      <c r="CU109" s="39">
        <f t="shared" si="65"/>
        <v>971.50617283950623</v>
      </c>
      <c r="CV109" s="39">
        <f t="shared" si="66"/>
        <v>965.78600823045281</v>
      </c>
      <c r="CW109" s="297">
        <f t="shared" si="67"/>
        <v>0.84391906313413334</v>
      </c>
      <c r="CX109" s="279" t="str">
        <f t="shared" si="84"/>
        <v>Buffer and Action Plan</v>
      </c>
      <c r="CY109" s="278">
        <f t="shared" si="68"/>
        <v>0.88314169162938416</v>
      </c>
      <c r="CZ109" s="279" t="str">
        <f t="shared" si="85"/>
        <v>Action Plan</v>
      </c>
      <c r="DA109" s="278">
        <f t="shared" si="69"/>
        <v>0.8004083716181728</v>
      </c>
      <c r="DB109" s="292" t="str">
        <f t="shared" si="86"/>
        <v>Buffer and Action Plan</v>
      </c>
      <c r="DC109" s="299">
        <f t="shared" si="87"/>
        <v>0.75714368515620489</v>
      </c>
      <c r="DD109" s="293" t="str">
        <f t="shared" si="88"/>
        <v>Buffer and Action Plan</v>
      </c>
      <c r="DE109" s="299">
        <f t="shared" si="89"/>
        <v>0.75310556034070253</v>
      </c>
      <c r="DF109" s="293" t="str">
        <f t="shared" si="90"/>
        <v>Buffer and Action Plan</v>
      </c>
      <c r="DG109" s="299">
        <f t="shared" si="91"/>
        <v>0.75688558638750225</v>
      </c>
      <c r="DH109" s="293" t="str">
        <f t="shared" si="92"/>
        <v>Buffer and Action Plan</v>
      </c>
    </row>
    <row r="110" spans="1:112" ht="15" thickTop="1" thickBot="1">
      <c r="A110" s="38" t="s">
        <v>330</v>
      </c>
      <c r="B110" s="38" t="s">
        <v>331</v>
      </c>
      <c r="C110" s="38" t="s">
        <v>330</v>
      </c>
      <c r="D110" s="38" t="s">
        <v>147</v>
      </c>
      <c r="E110" s="38" t="str">
        <f>VLOOKUP(C110,PoliticalControl!A:K,11,FALSE)</f>
        <v>CON</v>
      </c>
      <c r="F110" s="38" t="str">
        <f>VLOOKUP(C110,UrbanRuralClassification!A:N,13,FALSE)</f>
        <v>Urban with City and Town</v>
      </c>
      <c r="G110" s="38" t="str">
        <f>VLOOKUP(C110,UrbanRuralClassification!A:N,14,FALSE)</f>
        <v>Predominantly Urban</v>
      </c>
      <c r="H110" s="258">
        <f>IF(ISBLANK((VLOOKUP($A110,'local-plan-data'!$C$1:$AD$566,27,FALSE)))=TRUE,"",VLOOKUP($A110,'local-plan-data'!$C$1:$AD$566,27,FALSE))</f>
        <v>43080</v>
      </c>
      <c r="I110" s="259">
        <f>VLOOKUP($A110,'local-plan-data'!$C$1:$AD$566,28,FALSE)</f>
        <v>717.95</v>
      </c>
      <c r="J110" s="260">
        <f t="shared" si="70"/>
        <v>717.95</v>
      </c>
      <c r="K110" s="259">
        <f t="shared" si="96"/>
        <v>717.95</v>
      </c>
      <c r="L110" s="259">
        <f t="shared" si="93"/>
        <v>717.95</v>
      </c>
      <c r="M110" s="259">
        <f t="shared" si="93"/>
        <v>717.95</v>
      </c>
      <c r="N110" s="259">
        <f t="shared" si="93"/>
        <v>717.95</v>
      </c>
      <c r="O110" s="259">
        <f t="shared" si="93"/>
        <v>717.95</v>
      </c>
      <c r="P110" s="259" t="str">
        <f t="shared" si="93"/>
        <v>-</v>
      </c>
      <c r="Q110" s="259" t="str">
        <f t="shared" si="93"/>
        <v>-</v>
      </c>
      <c r="R110" s="259" t="str">
        <f t="shared" si="93"/>
        <v>-</v>
      </c>
      <c r="S110" s="259">
        <f t="shared" si="97"/>
        <v>1715</v>
      </c>
      <c r="T110" s="259">
        <f t="shared" si="94"/>
        <v>1350</v>
      </c>
      <c r="U110" s="259">
        <f t="shared" si="94"/>
        <v>984</v>
      </c>
      <c r="V110" s="259">
        <f t="shared" si="94"/>
        <v>619</v>
      </c>
      <c r="W110" s="259">
        <f t="shared" si="94"/>
        <v>254</v>
      </c>
      <c r="X110" s="259">
        <f t="shared" si="94"/>
        <v>-111</v>
      </c>
      <c r="Y110" s="259">
        <f t="shared" si="94"/>
        <v>-477</v>
      </c>
      <c r="Z110" s="259">
        <f t="shared" si="94"/>
        <v>-842</v>
      </c>
      <c r="AA110" s="267">
        <f>(VLOOKUP(A110,Hshldprojections2014!$A$2:$AW$319,40, FALSE)-VLOOKUP(A110,Hshldprojections2014!$A$2:$AW$319,30, FALSE))/10</f>
        <v>570</v>
      </c>
      <c r="AB110" s="267">
        <f>(VLOOKUP(A110,Hshldprojections2014!$A$2:$AW$319,41, FALSE)-VLOOKUP(A110,Hshldprojections2014!$A$2:$AW$319,31, FALSE))/10</f>
        <v>562.1</v>
      </c>
      <c r="AC110" s="267">
        <f>(VLOOKUP(A110,Hshldprojections2014!$A$2:$AW$319,42, FALSE)-VLOOKUP(A110,Hshldprojections2014!$A$2:$AW$319,32, FALSE))/10</f>
        <v>558.4</v>
      </c>
      <c r="AD110" s="267">
        <f>IF(IndividualLATest!$J$7=2014,(VLOOKUP($A110,Hshldprojections2014!$A$2:$AY$326,43,FALSE)-VLOOKUP($A110,Hshldprojections2014!$A$2:$AY$326,33,FALSE))/10,IF(IndividualLATest!$J$7=2016,(VLOOKUP($A110,Hshldprojections2016!$A$1:$AQ$322,33,FALSE)-VLOOKUP($A110,Hshldprojections2016!$A$1:$AQ$322,23,FALSE))/10,(VLOOKUP($A110,Hshldprojections2018!$A$1:$AQ$327,33,FALSE)-VLOOKUP($A110,Hshldprojections2018!$A$1:$AQ$327,23,FALSE))/10))</f>
        <v>382.3</v>
      </c>
      <c r="AE110" s="267">
        <f>IF(IndividualLATest!$J$7=2014,(VLOOKUP($A110,Hshldprojections2014!$A$2:$AY$326,44,FALSE)-VLOOKUP($A110,Hshldprojections2014!$A$2:$AY$326,34,FALSE))/10,IF(IndividualLATest!$J$7=2016,(VLOOKUP($A110,Hshldprojections2016!$A$1:$AQ$322,34,FALSE)-VLOOKUP($A110,Hshldprojections2016!$A$1:$AQ$322,24,FALSE))/10,(VLOOKUP($A110,Hshldprojections2018!$A$1:$AQ$327,34,FALSE)-VLOOKUP($A110,Hshldprojections2018!$A$1:$AQ$327,24,FALSE))/10))</f>
        <v>382.4</v>
      </c>
      <c r="AF110" s="267">
        <f>IF(IndividualLATest!$J$7=2014,(VLOOKUP($A110,Hshldprojections2014!$A$2:$AY$326,45,FALSE)-VLOOKUP($A110,Hshldprojections2014!$A$2:$AY$326,35,FALSE))/10,IF(IndividualLATest!$J$7=2016,(VLOOKUP($A110,Hshldprojections2016!$A$1:$AQ$322,35,FALSE)-VLOOKUP($A110,Hshldprojections2016!$A$1:$AQ$322,25,FALSE))/10,(VLOOKUP($A110,Hshldprojections2018!$A$1:$AQ$327,35,FALSE)-VLOOKUP($A110,Hshldprojections2018!$A$1:$AQ$327,25,FALSE))/10))</f>
        <v>383.1</v>
      </c>
      <c r="AG110" s="267">
        <f>IF(IndividualLATest!$J$7=2014,(VLOOKUP($A110,Hshldprojections2014!$A$2:$AY$326,46,FALSE)-VLOOKUP($A110,Hshldprojections2014!$A$2:$AY$326,36,FALSE))/10,IF(IndividualLATest!$J$7=2016,(VLOOKUP($A110,Hshldprojections2016!$A$1:$AQ$322,36,FALSE)-VLOOKUP($A110,Hshldprojections2016!$A$1:$AQ$322,26,FALSE))/10,(VLOOKUP($A110,Hshldprojections2018!$A$1:$AQ$327,36,FALSE)-VLOOKUP($A110,Hshldprojections2018!$A$1:$AQ$327,26,FALSE))/10))</f>
        <v>379.7</v>
      </c>
      <c r="AH110" s="267">
        <f>IF(IndividualLATest!$J$7=2014,(VLOOKUP($A110,Hshldprojections2014!$A$2:$AY$326,47,FALSE)-VLOOKUP($A110,Hshldprojections2014!$A$2:$AY$326,37,FALSE))/10,IF(IndividualLATest!$J$7=2016,(VLOOKUP($A110,Hshldprojections2016!$A$1:$AQ$322,37,FALSE)-VLOOKUP($A110,Hshldprojections2016!$A$1:$AQ$322,27,FALSE))/10,(VLOOKUP($A110,Hshldprojections2018!$A$1:$AQ$327,37,FALSE)-VLOOKUP($A110,Hshldprojections2018!$A$1:$AQ$327,27,FALSE))/10))</f>
        <v>379.9</v>
      </c>
      <c r="AI110" s="268">
        <f>IF(ISNUMBER('Sensitivity Tests'!$C$30),'Sensitivity Tests'!$C$30,VLOOKUP($A110,AffordabilityRatio!$A$2:$I$321,5,FALSE))</f>
        <v>6.26</v>
      </c>
      <c r="AJ110" s="268">
        <f>IF(ISNUMBER('Sensitivity Tests'!$C$30),'Sensitivity Tests'!$C$30,VLOOKUP($A110,AffordabilityRatio!$A$2:$I$321,6,FALSE))</f>
        <v>6.67</v>
      </c>
      <c r="AK110" s="268">
        <f>IF(ISNUMBER('Sensitivity Tests'!$C$30),'Sensitivity Tests'!$C$30,VLOOKUP($A110,AffordabilityRatio!$A$2:$I$321,7,FALSE))</f>
        <v>6.86</v>
      </c>
      <c r="AL110" s="268">
        <f>IF(ISNUMBER('Sensitivity Tests'!$C$30),'Sensitivity Tests'!$C$30,IF((VLOOKUP($A110,AffordabilityRatio!$A$2:$I$321,8,FALSE))="",AK110,VLOOKUP($A110,AffordabilityRatio!$A$2:$I$321,8,FALSE)))</f>
        <v>7.02</v>
      </c>
      <c r="AM110" s="268">
        <f>IF(ISNUMBER('Sensitivity Tests'!$C$30),'Sensitivity Tests'!$C$30,IF((VLOOKUP($A110,AffordabilityRatio!$A$2:$I$321,9,FALSE))="",AL110,VLOOKUP($A110,AffordabilityRatio!$A$2:$I$321,9,FALSE)))</f>
        <v>7.34</v>
      </c>
      <c r="AN110" s="268">
        <f>IF(ISNUMBER('Sensitivity Tests'!$C$30),'Sensitivity Tests'!$C$30,IF((VLOOKUP($A110,AffordabilityRatio!$A$2:$I$321,9,FALSE))="",AM110,VLOOKUP($A110,AffordabilityRatio!$A$2:$I$321,9,FALSE)))</f>
        <v>7.34</v>
      </c>
      <c r="AO110" s="268">
        <f>IF(ISNUMBER('Sensitivity Tests'!$C$30),'Sensitivity Tests'!$C$30,IF((VLOOKUP($A110,AffordabilityRatio!$A$2:$I$321,9,FALSE))="",AN110,VLOOKUP($A110,AffordabilityRatio!$A$2:$I$321,9,FALSE)))</f>
        <v>7.34</v>
      </c>
      <c r="AP110" s="268">
        <f>IF(ISNUMBER('Sensitivity Tests'!$C$30),'Sensitivity Tests'!$C$30,IF((VLOOKUP($A110,AffordabilityRatio!$A$2:$I$321,9,FALSE))="",AO110,VLOOKUP($A110,AffordabilityRatio!$A$2:$I$321,9,FALSE)))</f>
        <v>7.34</v>
      </c>
      <c r="AQ110" s="267">
        <f t="shared" si="98"/>
        <v>651</v>
      </c>
      <c r="AR110" s="267">
        <f t="shared" si="98"/>
        <v>656</v>
      </c>
      <c r="AS110" s="267">
        <f t="shared" si="98"/>
        <v>658</v>
      </c>
      <c r="AT110" s="267">
        <f t="shared" si="98"/>
        <v>454</v>
      </c>
      <c r="AU110" s="267">
        <f t="shared" si="98"/>
        <v>462</v>
      </c>
      <c r="AV110" s="267">
        <f t="shared" si="98"/>
        <v>463</v>
      </c>
      <c r="AW110" s="267">
        <f t="shared" si="98"/>
        <v>459</v>
      </c>
      <c r="AX110" s="267">
        <f t="shared" si="95"/>
        <v>459</v>
      </c>
      <c r="AY110" s="267">
        <f t="shared" si="71"/>
        <v>651</v>
      </c>
      <c r="AZ110" s="267">
        <f t="shared" si="72"/>
        <v>656</v>
      </c>
      <c r="BA110" s="267">
        <f t="shared" si="73"/>
        <v>658</v>
      </c>
      <c r="BB110" s="267">
        <f t="shared" si="74"/>
        <v>454</v>
      </c>
      <c r="BC110" s="267">
        <f t="shared" si="75"/>
        <v>462</v>
      </c>
      <c r="BD110" s="267">
        <f t="shared" si="76"/>
        <v>463</v>
      </c>
      <c r="BE110" s="267">
        <f t="shared" si="77"/>
        <v>459</v>
      </c>
      <c r="BF110" s="267">
        <f t="shared" si="78"/>
        <v>459</v>
      </c>
      <c r="BG110" s="269">
        <f>AY110*VLOOKUP($B110,'Major Cities &amp; Towns'!$A$28:$B$345,2,FALSE)</f>
        <v>651</v>
      </c>
      <c r="BH110" s="269">
        <f>AZ110*VLOOKUP($B110,'Major Cities &amp; Towns'!$A$28:$B$345,2,FALSE)</f>
        <v>656</v>
      </c>
      <c r="BI110" s="269">
        <f>BA110*VLOOKUP($B110,'Major Cities &amp; Towns'!$A$28:$B$345,2,FALSE)</f>
        <v>658</v>
      </c>
      <c r="BJ110" s="269">
        <f>BB110*VLOOKUP($B110,'Major Cities &amp; Towns'!$A$28:$B$345,2,FALSE)</f>
        <v>454</v>
      </c>
      <c r="BK110" s="269">
        <f>BC110*VLOOKUP($B110,'Major Cities &amp; Towns'!$A$28:$B$345,2,FALSE)</f>
        <v>462</v>
      </c>
      <c r="BL110" s="269">
        <f>BD110*VLOOKUP($B110,'Major Cities &amp; Towns'!$A$28:$B$345,2,FALSE)</f>
        <v>463</v>
      </c>
      <c r="BM110" s="269">
        <f>BE110*VLOOKUP($B110,'Major Cities &amp; Towns'!$A$28:$B$345,2,FALSE)</f>
        <v>459</v>
      </c>
      <c r="BN110" s="269">
        <f>BF110*VLOOKUP($B110,'Major Cities &amp; Towns'!$A$28:$B$345,2,FALSE)</f>
        <v>459</v>
      </c>
      <c r="BO110" s="270">
        <f t="shared" si="79"/>
        <v>651</v>
      </c>
      <c r="BP110" s="270">
        <f t="shared" si="100"/>
        <v>656</v>
      </c>
      <c r="BQ110" s="270">
        <f t="shared" si="100"/>
        <v>658</v>
      </c>
      <c r="BR110" s="270">
        <f t="shared" si="100"/>
        <v>454</v>
      </c>
      <c r="BS110" s="270">
        <f t="shared" si="100"/>
        <v>462.00000000000006</v>
      </c>
      <c r="BT110" s="270">
        <f t="shared" si="100"/>
        <v>463</v>
      </c>
      <c r="BU110" s="270">
        <f t="shared" si="100"/>
        <v>459</v>
      </c>
      <c r="BV110" s="270">
        <f t="shared" si="99"/>
        <v>459</v>
      </c>
      <c r="BW110" s="39">
        <f>VLOOKUP($A110,NetAdditions!$A$2:$H$336,6,FALSE)</f>
        <v>544</v>
      </c>
      <c r="BX110" s="39">
        <f>VLOOKUP($A110,NetAdditions!$A$2:$H$336,7,FALSE)</f>
        <v>467</v>
      </c>
      <c r="BY110" s="39">
        <f>IF((VLOOKUP($C110,NetAdditions!$A$2:$H$336,8,FALSE))="",(AVERAGE(VLOOKUP($C110,NetAdditions!$A$2:$H$336,5,FALSE),VLOOKUP($C110,NetAdditions!$A$2:$H$336,6,FALSE),VLOOKUP($C110,NetAdditions!$A$2:$H$336,7,FALSE))),VLOOKUP($C110,NetAdditions!$A$2:$H$336,8,FALSE))</f>
        <v>610</v>
      </c>
      <c r="BZ110" s="39">
        <f t="shared" si="54"/>
        <v>540.33333333333337</v>
      </c>
      <c r="CA110" s="39">
        <f t="shared" si="54"/>
        <v>539.1111111111112</v>
      </c>
      <c r="CB110" s="39">
        <f t="shared" si="54"/>
        <v>563.14814814814827</v>
      </c>
      <c r="CC110" s="39">
        <f t="shared" si="54"/>
        <v>547.53086419753095</v>
      </c>
      <c r="CD110" s="39">
        <f t="shared" si="54"/>
        <v>549.93004115226347</v>
      </c>
      <c r="CE110" s="276">
        <f t="shared" si="55"/>
        <v>1965</v>
      </c>
      <c r="CF110" s="276">
        <f t="shared" si="56"/>
        <v>1768</v>
      </c>
      <c r="CG110" s="276">
        <f t="shared" si="57"/>
        <v>1574</v>
      </c>
      <c r="CH110" s="276">
        <f t="shared" si="58"/>
        <v>1379</v>
      </c>
      <c r="CI110" s="276">
        <f t="shared" si="59"/>
        <v>1384</v>
      </c>
      <c r="CJ110" s="276">
        <f t="shared" si="60"/>
        <v>1381</v>
      </c>
      <c r="CK110" s="276">
        <f t="shared" si="80"/>
        <v>1692.0833333333335</v>
      </c>
      <c r="CL110" s="276">
        <f t="shared" si="81"/>
        <v>1522.4444444444446</v>
      </c>
      <c r="CM110" s="276">
        <f t="shared" si="82"/>
        <v>1442.8333333333333</v>
      </c>
      <c r="CN110" s="276">
        <f t="shared" si="83"/>
        <v>1379</v>
      </c>
      <c r="CO110" s="276">
        <f t="shared" si="83"/>
        <v>1384</v>
      </c>
      <c r="CP110" s="276">
        <f t="shared" si="83"/>
        <v>1381</v>
      </c>
      <c r="CQ110" s="39">
        <f t="shared" si="61"/>
        <v>1621</v>
      </c>
      <c r="CR110" s="39">
        <f t="shared" si="62"/>
        <v>1617.3333333333335</v>
      </c>
      <c r="CS110" s="277">
        <f t="shared" si="63"/>
        <v>1689.4444444444448</v>
      </c>
      <c r="CT110" s="39">
        <f t="shared" si="64"/>
        <v>1642.5925925925928</v>
      </c>
      <c r="CU110" s="39">
        <f t="shared" si="65"/>
        <v>1649.7901234567905</v>
      </c>
      <c r="CV110" s="39">
        <f t="shared" si="66"/>
        <v>1660.6090534979426</v>
      </c>
      <c r="CW110" s="297">
        <f t="shared" si="67"/>
        <v>0.9579906426988426</v>
      </c>
      <c r="CX110" s="279" t="str">
        <f t="shared" si="84"/>
        <v>Pass</v>
      </c>
      <c r="CY110" s="278">
        <f t="shared" si="68"/>
        <v>1.0623266676397607</v>
      </c>
      <c r="CZ110" s="279" t="str">
        <f t="shared" si="85"/>
        <v>Pass</v>
      </c>
      <c r="DA110" s="278">
        <f t="shared" si="69"/>
        <v>1.1709214123445384</v>
      </c>
      <c r="DB110" s="292" t="str">
        <f t="shared" si="86"/>
        <v>Pass</v>
      </c>
      <c r="DC110" s="299">
        <f t="shared" si="87"/>
        <v>1.1911476378481456</v>
      </c>
      <c r="DD110" s="293" t="str">
        <f t="shared" si="88"/>
        <v>Pass</v>
      </c>
      <c r="DE110" s="299">
        <f t="shared" si="89"/>
        <v>1.1920448868907445</v>
      </c>
      <c r="DF110" s="293" t="str">
        <f t="shared" si="90"/>
        <v>Pass</v>
      </c>
      <c r="DG110" s="299">
        <f t="shared" si="91"/>
        <v>1.202468539824723</v>
      </c>
      <c r="DH110" s="293" t="str">
        <f t="shared" si="92"/>
        <v>Pass</v>
      </c>
    </row>
    <row r="111" spans="1:112" ht="15" thickTop="1" thickBot="1">
      <c r="A111" s="38" t="s">
        <v>332</v>
      </c>
      <c r="B111" s="38" t="s">
        <v>333</v>
      </c>
      <c r="C111" s="38" t="s">
        <v>332</v>
      </c>
      <c r="D111" s="38" t="s">
        <v>113</v>
      </c>
      <c r="E111" s="38" t="str">
        <f>VLOOKUP(C111,PoliticalControl!A:K,11,FALSE)</f>
        <v>CON</v>
      </c>
      <c r="F111" s="38" t="str">
        <f>VLOOKUP(C111,UrbanRuralClassification!A:N,13,FALSE)</f>
        <v>Urban with City and Town</v>
      </c>
      <c r="G111" s="38" t="str">
        <f>VLOOKUP(C111,UrbanRuralClassification!A:N,14,FALSE)</f>
        <v>Predominantly Urban</v>
      </c>
      <c r="H111" s="258">
        <f>IF(ISBLANK((VLOOKUP($A111,'local-plan-data'!$C$1:$AD$566,27,FALSE)))=TRUE,"",VLOOKUP($A111,'local-plan-data'!$C$1:$AD$566,27,FALSE))</f>
        <v>42278</v>
      </c>
      <c r="I111" s="259">
        <f>VLOOKUP($A111,'local-plan-data'!$C$1:$AD$566,28,FALSE)</f>
        <v>170</v>
      </c>
      <c r="J111" s="260">
        <f t="shared" si="70"/>
        <v>170</v>
      </c>
      <c r="K111" s="259">
        <f t="shared" si="96"/>
        <v>170</v>
      </c>
      <c r="L111" s="259">
        <f t="shared" si="93"/>
        <v>170</v>
      </c>
      <c r="M111" s="259">
        <f t="shared" si="93"/>
        <v>170</v>
      </c>
      <c r="N111" s="259" t="str">
        <f t="shared" si="93"/>
        <v>-</v>
      </c>
      <c r="O111" s="259" t="str">
        <f t="shared" si="93"/>
        <v>-</v>
      </c>
      <c r="P111" s="259" t="str">
        <f t="shared" si="93"/>
        <v>-</v>
      </c>
      <c r="Q111" s="259" t="str">
        <f t="shared" si="93"/>
        <v>-</v>
      </c>
      <c r="R111" s="259" t="str">
        <f t="shared" si="93"/>
        <v>-</v>
      </c>
      <c r="S111" s="259">
        <f t="shared" si="97"/>
        <v>914</v>
      </c>
      <c r="T111" s="259">
        <f t="shared" si="94"/>
        <v>549</v>
      </c>
      <c r="U111" s="259">
        <f t="shared" si="94"/>
        <v>183</v>
      </c>
      <c r="V111" s="259">
        <f t="shared" si="94"/>
        <v>-182</v>
      </c>
      <c r="W111" s="259">
        <f t="shared" si="94"/>
        <v>-547</v>
      </c>
      <c r="X111" s="259">
        <f t="shared" si="94"/>
        <v>-912</v>
      </c>
      <c r="Y111" s="259">
        <f t="shared" si="94"/>
        <v>-1278</v>
      </c>
      <c r="Z111" s="259">
        <f t="shared" si="94"/>
        <v>-1643</v>
      </c>
      <c r="AA111" s="267">
        <f>(VLOOKUP(A111,Hshldprojections2014!$A$2:$AW$319,40, FALSE)-VLOOKUP(A111,Hshldprojections2014!$A$2:$AW$319,30, FALSE))/10</f>
        <v>279.3</v>
      </c>
      <c r="AB111" s="267">
        <f>(VLOOKUP(A111,Hshldprojections2014!$A$2:$AW$319,41, FALSE)-VLOOKUP(A111,Hshldprojections2014!$A$2:$AW$319,31, FALSE))/10</f>
        <v>280.8</v>
      </c>
      <c r="AC111" s="267">
        <f>(VLOOKUP(A111,Hshldprojections2014!$A$2:$AW$319,42, FALSE)-VLOOKUP(A111,Hshldprojections2014!$A$2:$AW$319,32, FALSE))/10</f>
        <v>282.10000000000002</v>
      </c>
      <c r="AD111" s="267">
        <f>IF(IndividualLATest!$J$7=2014,(VLOOKUP($A111,Hshldprojections2014!$A$2:$AY$326,43,FALSE)-VLOOKUP($A111,Hshldprojections2014!$A$2:$AY$326,33,FALSE))/10,IF(IndividualLATest!$J$7=2016,(VLOOKUP($A111,Hshldprojections2016!$A$1:$AQ$322,33,FALSE)-VLOOKUP($A111,Hshldprojections2016!$A$1:$AQ$322,23,FALSE))/10,(VLOOKUP($A111,Hshldprojections2018!$A$1:$AQ$327,33,FALSE)-VLOOKUP($A111,Hshldprojections2018!$A$1:$AQ$327,23,FALSE))/10))</f>
        <v>103.1</v>
      </c>
      <c r="AE111" s="267">
        <f>IF(IndividualLATest!$J$7=2014,(VLOOKUP($A111,Hshldprojections2014!$A$2:$AY$326,44,FALSE)-VLOOKUP($A111,Hshldprojections2014!$A$2:$AY$326,34,FALSE))/10,IF(IndividualLATest!$J$7=2016,(VLOOKUP($A111,Hshldprojections2016!$A$1:$AQ$322,34,FALSE)-VLOOKUP($A111,Hshldprojections2016!$A$1:$AQ$322,24,FALSE))/10,(VLOOKUP($A111,Hshldprojections2018!$A$1:$AQ$327,34,FALSE)-VLOOKUP($A111,Hshldprojections2018!$A$1:$AQ$327,24,FALSE))/10))</f>
        <v>102.6</v>
      </c>
      <c r="AF111" s="267">
        <f>IF(IndividualLATest!$J$7=2014,(VLOOKUP($A111,Hshldprojections2014!$A$2:$AY$326,45,FALSE)-VLOOKUP($A111,Hshldprojections2014!$A$2:$AY$326,35,FALSE))/10,IF(IndividualLATest!$J$7=2016,(VLOOKUP($A111,Hshldprojections2016!$A$1:$AQ$322,35,FALSE)-VLOOKUP($A111,Hshldprojections2016!$A$1:$AQ$322,25,FALSE))/10,(VLOOKUP($A111,Hshldprojections2018!$A$1:$AQ$327,35,FALSE)-VLOOKUP($A111,Hshldprojections2018!$A$1:$AQ$327,25,FALSE))/10))</f>
        <v>102.9</v>
      </c>
      <c r="AG111" s="267">
        <f>IF(IndividualLATest!$J$7=2014,(VLOOKUP($A111,Hshldprojections2014!$A$2:$AY$326,46,FALSE)-VLOOKUP($A111,Hshldprojections2014!$A$2:$AY$326,36,FALSE))/10,IF(IndividualLATest!$J$7=2016,(VLOOKUP($A111,Hshldprojections2016!$A$1:$AQ$322,36,FALSE)-VLOOKUP($A111,Hshldprojections2016!$A$1:$AQ$322,26,FALSE))/10,(VLOOKUP($A111,Hshldprojections2018!$A$1:$AQ$327,36,FALSE)-VLOOKUP($A111,Hshldprojections2018!$A$1:$AQ$327,26,FALSE))/10))</f>
        <v>100.4</v>
      </c>
      <c r="AH111" s="267">
        <f>IF(IndividualLATest!$J$7=2014,(VLOOKUP($A111,Hshldprojections2014!$A$2:$AY$326,47,FALSE)-VLOOKUP($A111,Hshldprojections2014!$A$2:$AY$326,37,FALSE))/10,IF(IndividualLATest!$J$7=2016,(VLOOKUP($A111,Hshldprojections2016!$A$1:$AQ$322,37,FALSE)-VLOOKUP($A111,Hshldprojections2016!$A$1:$AQ$322,27,FALSE))/10,(VLOOKUP($A111,Hshldprojections2018!$A$1:$AQ$327,37,FALSE)-VLOOKUP($A111,Hshldprojections2018!$A$1:$AQ$327,27,FALSE))/10))</f>
        <v>98.6</v>
      </c>
      <c r="AI111" s="268">
        <f>IF(ISNUMBER('Sensitivity Tests'!$C$30),'Sensitivity Tests'!$C$30,VLOOKUP($A111,AffordabilityRatio!$A$2:$I$321,5,FALSE))</f>
        <v>7.86</v>
      </c>
      <c r="AJ111" s="268">
        <f>IF(ISNUMBER('Sensitivity Tests'!$C$30),'Sensitivity Tests'!$C$30,VLOOKUP($A111,AffordabilityRatio!$A$2:$I$321,6,FALSE))</f>
        <v>7.43</v>
      </c>
      <c r="AK111" s="268">
        <f>IF(ISNUMBER('Sensitivity Tests'!$C$30),'Sensitivity Tests'!$C$30,VLOOKUP($A111,AffordabilityRatio!$A$2:$I$321,7,FALSE))</f>
        <v>7.67</v>
      </c>
      <c r="AL111" s="268">
        <f>IF(ISNUMBER('Sensitivity Tests'!$C$30),'Sensitivity Tests'!$C$30,IF((VLOOKUP($A111,AffordabilityRatio!$A$2:$I$321,8,FALSE))="",AK111,VLOOKUP($A111,AffordabilityRatio!$A$2:$I$321,8,FALSE)))</f>
        <v>6.79</v>
      </c>
      <c r="AM111" s="268">
        <f>IF(ISNUMBER('Sensitivity Tests'!$C$30),'Sensitivity Tests'!$C$30,IF((VLOOKUP($A111,AffordabilityRatio!$A$2:$I$321,9,FALSE))="",AL111,VLOOKUP($A111,AffordabilityRatio!$A$2:$I$321,9,FALSE)))</f>
        <v>6.68</v>
      </c>
      <c r="AN111" s="268">
        <f>IF(ISNUMBER('Sensitivity Tests'!$C$30),'Sensitivity Tests'!$C$30,IF((VLOOKUP($A111,AffordabilityRatio!$A$2:$I$321,9,FALSE))="",AM111,VLOOKUP($A111,AffordabilityRatio!$A$2:$I$321,9,FALSE)))</f>
        <v>6.68</v>
      </c>
      <c r="AO111" s="268">
        <f>IF(ISNUMBER('Sensitivity Tests'!$C$30),'Sensitivity Tests'!$C$30,IF((VLOOKUP($A111,AffordabilityRatio!$A$2:$I$321,9,FALSE))="",AN111,VLOOKUP($A111,AffordabilityRatio!$A$2:$I$321,9,FALSE)))</f>
        <v>6.68</v>
      </c>
      <c r="AP111" s="268">
        <f>IF(ISNUMBER('Sensitivity Tests'!$C$30),'Sensitivity Tests'!$C$30,IF((VLOOKUP($A111,AffordabilityRatio!$A$2:$I$321,9,FALSE))="",AO111,VLOOKUP($A111,AffordabilityRatio!$A$2:$I$321,9,FALSE)))</f>
        <v>6.68</v>
      </c>
      <c r="AQ111" s="267">
        <f t="shared" si="98"/>
        <v>347</v>
      </c>
      <c r="AR111" s="267">
        <f t="shared" si="98"/>
        <v>341</v>
      </c>
      <c r="AS111" s="267">
        <f t="shared" si="98"/>
        <v>347</v>
      </c>
      <c r="AT111" s="267">
        <f t="shared" si="98"/>
        <v>121</v>
      </c>
      <c r="AU111" s="267">
        <f t="shared" si="98"/>
        <v>120</v>
      </c>
      <c r="AV111" s="267">
        <f t="shared" si="98"/>
        <v>120</v>
      </c>
      <c r="AW111" s="267">
        <f t="shared" si="98"/>
        <v>117</v>
      </c>
      <c r="AX111" s="267">
        <f t="shared" si="95"/>
        <v>115</v>
      </c>
      <c r="AY111" s="267">
        <f t="shared" si="71"/>
        <v>238</v>
      </c>
      <c r="AZ111" s="267">
        <f t="shared" si="72"/>
        <v>238</v>
      </c>
      <c r="BA111" s="267">
        <f t="shared" si="73"/>
        <v>238</v>
      </c>
      <c r="BB111" s="267">
        <f t="shared" si="74"/>
        <v>121</v>
      </c>
      <c r="BC111" s="267">
        <f t="shared" si="75"/>
        <v>120</v>
      </c>
      <c r="BD111" s="267">
        <f t="shared" si="76"/>
        <v>120</v>
      </c>
      <c r="BE111" s="267">
        <f t="shared" si="77"/>
        <v>117</v>
      </c>
      <c r="BF111" s="267">
        <f t="shared" si="78"/>
        <v>115</v>
      </c>
      <c r="BG111" s="269">
        <f>AY111*VLOOKUP($B111,'Major Cities &amp; Towns'!$A$28:$B$345,2,FALSE)</f>
        <v>238</v>
      </c>
      <c r="BH111" s="269">
        <f>AZ111*VLOOKUP($B111,'Major Cities &amp; Towns'!$A$28:$B$345,2,FALSE)</f>
        <v>238</v>
      </c>
      <c r="BI111" s="269">
        <f>BA111*VLOOKUP($B111,'Major Cities &amp; Towns'!$A$28:$B$345,2,FALSE)</f>
        <v>238</v>
      </c>
      <c r="BJ111" s="269">
        <f>BB111*VLOOKUP($B111,'Major Cities &amp; Towns'!$A$28:$B$345,2,FALSE)</f>
        <v>121</v>
      </c>
      <c r="BK111" s="269">
        <f>BC111*VLOOKUP($B111,'Major Cities &amp; Towns'!$A$28:$B$345,2,FALSE)</f>
        <v>120</v>
      </c>
      <c r="BL111" s="269">
        <f>BD111*VLOOKUP($B111,'Major Cities &amp; Towns'!$A$28:$B$345,2,FALSE)</f>
        <v>120</v>
      </c>
      <c r="BM111" s="269">
        <f>BE111*VLOOKUP($B111,'Major Cities &amp; Towns'!$A$28:$B$345,2,FALSE)</f>
        <v>117</v>
      </c>
      <c r="BN111" s="269">
        <f>BF111*VLOOKUP($B111,'Major Cities &amp; Towns'!$A$28:$B$345,2,FALSE)</f>
        <v>115</v>
      </c>
      <c r="BO111" s="270">
        <f t="shared" si="79"/>
        <v>170</v>
      </c>
      <c r="BP111" s="270">
        <f t="shared" si="100"/>
        <v>170</v>
      </c>
      <c r="BQ111" s="270">
        <f t="shared" si="100"/>
        <v>258.25753424657535</v>
      </c>
      <c r="BR111" s="270">
        <f t="shared" si="100"/>
        <v>121</v>
      </c>
      <c r="BS111" s="270">
        <f t="shared" si="100"/>
        <v>120</v>
      </c>
      <c r="BT111" s="270">
        <f t="shared" si="100"/>
        <v>120</v>
      </c>
      <c r="BU111" s="270">
        <f t="shared" si="100"/>
        <v>117</v>
      </c>
      <c r="BV111" s="270">
        <f t="shared" si="99"/>
        <v>115</v>
      </c>
      <c r="BW111" s="39">
        <f>VLOOKUP($A111,NetAdditions!$A$2:$H$336,6,FALSE)</f>
        <v>55</v>
      </c>
      <c r="BX111" s="39">
        <f>VLOOKUP($A111,NetAdditions!$A$2:$H$336,7,FALSE)</f>
        <v>135</v>
      </c>
      <c r="BY111" s="39">
        <f>IF((VLOOKUP($C111,NetAdditions!$A$2:$H$336,8,FALSE))="",(AVERAGE(VLOOKUP($C111,NetAdditions!$A$2:$H$336,5,FALSE),VLOOKUP($C111,NetAdditions!$A$2:$H$336,6,FALSE),VLOOKUP($C111,NetAdditions!$A$2:$H$336,7,FALSE))),VLOOKUP($C111,NetAdditions!$A$2:$H$336,8,FALSE))</f>
        <v>278</v>
      </c>
      <c r="BZ111" s="39">
        <f t="shared" si="54"/>
        <v>156</v>
      </c>
      <c r="CA111" s="39">
        <f t="shared" si="54"/>
        <v>189.66666666666666</v>
      </c>
      <c r="CB111" s="39">
        <f t="shared" si="54"/>
        <v>207.88888888888889</v>
      </c>
      <c r="CC111" s="39">
        <f t="shared" si="54"/>
        <v>184.5185185185185</v>
      </c>
      <c r="CD111" s="39">
        <f t="shared" si="54"/>
        <v>194.02469135802468</v>
      </c>
      <c r="CE111" s="276">
        <f t="shared" si="55"/>
        <v>598.25753424657535</v>
      </c>
      <c r="CF111" s="276">
        <f t="shared" si="56"/>
        <v>549.25753424657535</v>
      </c>
      <c r="CG111" s="276">
        <f t="shared" si="57"/>
        <v>499.25753424657535</v>
      </c>
      <c r="CH111" s="276">
        <f t="shared" si="58"/>
        <v>361</v>
      </c>
      <c r="CI111" s="276">
        <f t="shared" si="59"/>
        <v>357</v>
      </c>
      <c r="CJ111" s="276">
        <f t="shared" si="60"/>
        <v>352</v>
      </c>
      <c r="CK111" s="276">
        <f t="shared" si="80"/>
        <v>515.16621004566218</v>
      </c>
      <c r="CL111" s="276">
        <f t="shared" si="81"/>
        <v>472.97176560121767</v>
      </c>
      <c r="CM111" s="276">
        <f t="shared" si="82"/>
        <v>457.65273972602739</v>
      </c>
      <c r="CN111" s="276">
        <f t="shared" si="83"/>
        <v>361</v>
      </c>
      <c r="CO111" s="276">
        <f t="shared" si="83"/>
        <v>357</v>
      </c>
      <c r="CP111" s="276">
        <f t="shared" si="83"/>
        <v>352</v>
      </c>
      <c r="CQ111" s="39">
        <f t="shared" si="61"/>
        <v>468</v>
      </c>
      <c r="CR111" s="39">
        <f t="shared" si="62"/>
        <v>569</v>
      </c>
      <c r="CS111" s="277">
        <f t="shared" si="63"/>
        <v>623.66666666666663</v>
      </c>
      <c r="CT111" s="39">
        <f t="shared" si="64"/>
        <v>553.55555555555554</v>
      </c>
      <c r="CU111" s="39">
        <f t="shared" si="65"/>
        <v>582.07407407407402</v>
      </c>
      <c r="CV111" s="39">
        <f t="shared" si="66"/>
        <v>586.4320987654321</v>
      </c>
      <c r="CW111" s="297">
        <f t="shared" si="67"/>
        <v>0.90844467450324129</v>
      </c>
      <c r="CX111" s="279" t="str">
        <f t="shared" si="84"/>
        <v>Action Plan</v>
      </c>
      <c r="CY111" s="278">
        <f t="shared" si="68"/>
        <v>1.2030316424421574</v>
      </c>
      <c r="CZ111" s="279" t="str">
        <f t="shared" si="85"/>
        <v>Pass</v>
      </c>
      <c r="DA111" s="278">
        <f t="shared" si="69"/>
        <v>1.3627508644218387</v>
      </c>
      <c r="DB111" s="292" t="str">
        <f t="shared" si="86"/>
        <v>Pass</v>
      </c>
      <c r="DC111" s="299">
        <f t="shared" si="87"/>
        <v>1.533394890735611</v>
      </c>
      <c r="DD111" s="293" t="str">
        <f t="shared" si="88"/>
        <v>Pass</v>
      </c>
      <c r="DE111" s="299">
        <f t="shared" si="89"/>
        <v>1.6304595912439048</v>
      </c>
      <c r="DF111" s="293" t="str">
        <f t="shared" si="90"/>
        <v>Pass</v>
      </c>
      <c r="DG111" s="299">
        <f t="shared" si="91"/>
        <v>1.6660002805836138</v>
      </c>
      <c r="DH111" s="293" t="str">
        <f t="shared" si="92"/>
        <v>Pass</v>
      </c>
    </row>
    <row r="112" spans="1:112" ht="15" thickTop="1" thickBot="1">
      <c r="A112" s="38" t="s">
        <v>334</v>
      </c>
      <c r="B112" s="38" t="s">
        <v>335</v>
      </c>
      <c r="C112" s="38" t="s">
        <v>334</v>
      </c>
      <c r="D112" s="38" t="s">
        <v>113</v>
      </c>
      <c r="E112" s="38" t="str">
        <f>VLOOKUP(C112,PoliticalControl!A:K,11,FALSE)</f>
        <v>NOC</v>
      </c>
      <c r="F112" s="38" t="str">
        <f>VLOOKUP(C112,UrbanRuralClassification!A:N,13,FALSE)</f>
        <v>Urban with Major Conurbation</v>
      </c>
      <c r="G112" s="38" t="str">
        <f>VLOOKUP(C112,UrbanRuralClassification!A:N,14,FALSE)</f>
        <v>Predominantly Urban</v>
      </c>
      <c r="H112" s="258">
        <f>IF(ISBLANK((VLOOKUP($A112,'local-plan-data'!$C$1:$AD$566,27,FALSE)))=TRUE,"",VLOOKUP($A112,'local-plan-data'!$C$1:$AD$566,27,FALSE))</f>
        <v>41912</v>
      </c>
      <c r="I112" s="259">
        <f>VLOOKUP($A112,'local-plan-data'!$C$1:$AD$566,28,FALSE)</f>
        <v>362.94117647058823</v>
      </c>
      <c r="J112" s="260">
        <f t="shared" si="70"/>
        <v>362.94117647058823</v>
      </c>
      <c r="K112" s="259">
        <f t="shared" si="96"/>
        <v>362.94117647058823</v>
      </c>
      <c r="L112" s="259">
        <f t="shared" si="93"/>
        <v>362.94117647058823</v>
      </c>
      <c r="M112" s="259" t="str">
        <f t="shared" si="93"/>
        <v>-</v>
      </c>
      <c r="N112" s="259" t="str">
        <f t="shared" si="93"/>
        <v>-</v>
      </c>
      <c r="O112" s="259" t="str">
        <f t="shared" si="93"/>
        <v>-</v>
      </c>
      <c r="P112" s="259" t="str">
        <f t="shared" si="93"/>
        <v>-</v>
      </c>
      <c r="Q112" s="259" t="str">
        <f t="shared" si="93"/>
        <v>-</v>
      </c>
      <c r="R112" s="259" t="str">
        <f t="shared" si="93"/>
        <v>-</v>
      </c>
      <c r="S112" s="259">
        <f t="shared" si="97"/>
        <v>547</v>
      </c>
      <c r="T112" s="259">
        <f t="shared" si="94"/>
        <v>182</v>
      </c>
      <c r="U112" s="259">
        <f t="shared" si="94"/>
        <v>-184</v>
      </c>
      <c r="V112" s="259">
        <f t="shared" si="94"/>
        <v>-549</v>
      </c>
      <c r="W112" s="259">
        <f t="shared" si="94"/>
        <v>-914</v>
      </c>
      <c r="X112" s="259">
        <f t="shared" si="94"/>
        <v>-1279</v>
      </c>
      <c r="Y112" s="259">
        <f t="shared" si="94"/>
        <v>-1645</v>
      </c>
      <c r="Z112" s="259">
        <f t="shared" si="94"/>
        <v>-2010</v>
      </c>
      <c r="AA112" s="267">
        <f>(VLOOKUP(A112,Hshldprojections2014!$A$2:$AW$319,40, FALSE)-VLOOKUP(A112,Hshldprojections2014!$A$2:$AW$319,30, FALSE))/10</f>
        <v>513.6</v>
      </c>
      <c r="AB112" s="267">
        <f>(VLOOKUP(A112,Hshldprojections2014!$A$2:$AW$319,41, FALSE)-VLOOKUP(A112,Hshldprojections2014!$A$2:$AW$319,31, FALSE))/10</f>
        <v>510.7</v>
      </c>
      <c r="AC112" s="267">
        <f>(VLOOKUP(A112,Hshldprojections2014!$A$2:$AW$319,42, FALSE)-VLOOKUP(A112,Hshldprojections2014!$A$2:$AW$319,32, FALSE))/10</f>
        <v>508.4</v>
      </c>
      <c r="AD112" s="267">
        <f>IF(IndividualLATest!$J$7=2014,(VLOOKUP($A112,Hshldprojections2014!$A$2:$AY$326,43,FALSE)-VLOOKUP($A112,Hshldprojections2014!$A$2:$AY$326,33,FALSE))/10,IF(IndividualLATest!$J$7=2016,(VLOOKUP($A112,Hshldprojections2016!$A$1:$AQ$322,33,FALSE)-VLOOKUP($A112,Hshldprojections2016!$A$1:$AQ$322,23,FALSE))/10,(VLOOKUP($A112,Hshldprojections2018!$A$1:$AQ$327,33,FALSE)-VLOOKUP($A112,Hshldprojections2018!$A$1:$AQ$327,23,FALSE))/10))</f>
        <v>148.4</v>
      </c>
      <c r="AE112" s="267">
        <f>IF(IndividualLATest!$J$7=2014,(VLOOKUP($A112,Hshldprojections2014!$A$2:$AY$326,44,FALSE)-VLOOKUP($A112,Hshldprojections2014!$A$2:$AY$326,34,FALSE))/10,IF(IndividualLATest!$J$7=2016,(VLOOKUP($A112,Hshldprojections2016!$A$1:$AQ$322,34,FALSE)-VLOOKUP($A112,Hshldprojections2016!$A$1:$AQ$322,24,FALSE))/10,(VLOOKUP($A112,Hshldprojections2018!$A$1:$AQ$327,34,FALSE)-VLOOKUP($A112,Hshldprojections2018!$A$1:$AQ$327,24,FALSE))/10))</f>
        <v>152.19999999999999</v>
      </c>
      <c r="AF112" s="267">
        <f>IF(IndividualLATest!$J$7=2014,(VLOOKUP($A112,Hshldprojections2014!$A$2:$AY$326,45,FALSE)-VLOOKUP($A112,Hshldprojections2014!$A$2:$AY$326,35,FALSE))/10,IF(IndividualLATest!$J$7=2016,(VLOOKUP($A112,Hshldprojections2016!$A$1:$AQ$322,35,FALSE)-VLOOKUP($A112,Hshldprojections2016!$A$1:$AQ$322,25,FALSE))/10,(VLOOKUP($A112,Hshldprojections2018!$A$1:$AQ$327,35,FALSE)-VLOOKUP($A112,Hshldprojections2018!$A$1:$AQ$327,25,FALSE))/10))</f>
        <v>156.80000000000001</v>
      </c>
      <c r="AG112" s="267">
        <f>IF(IndividualLATest!$J$7=2014,(VLOOKUP($A112,Hshldprojections2014!$A$2:$AY$326,46,FALSE)-VLOOKUP($A112,Hshldprojections2014!$A$2:$AY$326,36,FALSE))/10,IF(IndividualLATest!$J$7=2016,(VLOOKUP($A112,Hshldprojections2016!$A$1:$AQ$322,36,FALSE)-VLOOKUP($A112,Hshldprojections2016!$A$1:$AQ$322,26,FALSE))/10,(VLOOKUP($A112,Hshldprojections2018!$A$1:$AQ$327,36,FALSE)-VLOOKUP($A112,Hshldprojections2018!$A$1:$AQ$327,26,FALSE))/10))</f>
        <v>161.69999999999999</v>
      </c>
      <c r="AH112" s="267">
        <f>IF(IndividualLATest!$J$7=2014,(VLOOKUP($A112,Hshldprojections2014!$A$2:$AY$326,47,FALSE)-VLOOKUP($A112,Hshldprojections2014!$A$2:$AY$326,37,FALSE))/10,IF(IndividualLATest!$J$7=2016,(VLOOKUP($A112,Hshldprojections2016!$A$1:$AQ$322,37,FALSE)-VLOOKUP($A112,Hshldprojections2016!$A$1:$AQ$322,27,FALSE))/10,(VLOOKUP($A112,Hshldprojections2018!$A$1:$AQ$327,37,FALSE)-VLOOKUP($A112,Hshldprojections2018!$A$1:$AQ$327,27,FALSE))/10))</f>
        <v>167</v>
      </c>
      <c r="AI112" s="268">
        <f>IF(ISNUMBER('Sensitivity Tests'!$C$30),'Sensitivity Tests'!$C$30,VLOOKUP($A112,AffordabilityRatio!$A$2:$I$321,5,FALSE))</f>
        <v>9.41</v>
      </c>
      <c r="AJ112" s="268">
        <f>IF(ISNUMBER('Sensitivity Tests'!$C$30),'Sensitivity Tests'!$C$30,VLOOKUP($A112,AffordabilityRatio!$A$2:$I$321,6,FALSE))</f>
        <v>9.83</v>
      </c>
      <c r="AK112" s="268">
        <f>IF(ISNUMBER('Sensitivity Tests'!$C$30),'Sensitivity Tests'!$C$30,VLOOKUP($A112,AffordabilityRatio!$A$2:$I$321,7,FALSE))</f>
        <v>8.65</v>
      </c>
      <c r="AL112" s="268">
        <f>IF(ISNUMBER('Sensitivity Tests'!$C$30),'Sensitivity Tests'!$C$30,IF((VLOOKUP($A112,AffordabilityRatio!$A$2:$I$321,8,FALSE))="",AK112,VLOOKUP($A112,AffordabilityRatio!$A$2:$I$321,8,FALSE)))</f>
        <v>8.65</v>
      </c>
      <c r="AM112" s="268">
        <f>IF(ISNUMBER('Sensitivity Tests'!$C$30),'Sensitivity Tests'!$C$30,IF((VLOOKUP($A112,AffordabilityRatio!$A$2:$I$321,9,FALSE))="",AL112,VLOOKUP($A112,AffordabilityRatio!$A$2:$I$321,9,FALSE)))</f>
        <v>10.9</v>
      </c>
      <c r="AN112" s="268">
        <f>IF(ISNUMBER('Sensitivity Tests'!$C$30),'Sensitivity Tests'!$C$30,IF((VLOOKUP($A112,AffordabilityRatio!$A$2:$I$321,9,FALSE))="",AM112,VLOOKUP($A112,AffordabilityRatio!$A$2:$I$321,9,FALSE)))</f>
        <v>10.9</v>
      </c>
      <c r="AO112" s="268">
        <f>IF(ISNUMBER('Sensitivity Tests'!$C$30),'Sensitivity Tests'!$C$30,IF((VLOOKUP($A112,AffordabilityRatio!$A$2:$I$321,9,FALSE))="",AN112,VLOOKUP($A112,AffordabilityRatio!$A$2:$I$321,9,FALSE)))</f>
        <v>10.9</v>
      </c>
      <c r="AP112" s="268">
        <f>IF(ISNUMBER('Sensitivity Tests'!$C$30),'Sensitivity Tests'!$C$30,IF((VLOOKUP($A112,AffordabilityRatio!$A$2:$I$321,9,FALSE))="",AO112,VLOOKUP($A112,AffordabilityRatio!$A$2:$I$321,9,FALSE)))</f>
        <v>10.9</v>
      </c>
      <c r="AQ112" s="267">
        <f t="shared" si="98"/>
        <v>687</v>
      </c>
      <c r="AR112" s="267">
        <f t="shared" si="98"/>
        <v>697</v>
      </c>
      <c r="AS112" s="267">
        <f t="shared" si="98"/>
        <v>656</v>
      </c>
      <c r="AT112" s="267">
        <f t="shared" si="98"/>
        <v>192</v>
      </c>
      <c r="AU112" s="267">
        <f t="shared" si="98"/>
        <v>218</v>
      </c>
      <c r="AV112" s="267">
        <f t="shared" si="98"/>
        <v>224</v>
      </c>
      <c r="AW112" s="267">
        <f t="shared" si="98"/>
        <v>231</v>
      </c>
      <c r="AX112" s="267">
        <f t="shared" si="95"/>
        <v>239</v>
      </c>
      <c r="AY112" s="267">
        <f t="shared" si="71"/>
        <v>508.11764705882354</v>
      </c>
      <c r="AZ112" s="267">
        <f t="shared" si="72"/>
        <v>508.11764705882354</v>
      </c>
      <c r="BA112" s="267">
        <f t="shared" si="73"/>
        <v>656</v>
      </c>
      <c r="BB112" s="267">
        <f t="shared" si="74"/>
        <v>192</v>
      </c>
      <c r="BC112" s="267">
        <f t="shared" si="75"/>
        <v>218</v>
      </c>
      <c r="BD112" s="267">
        <f t="shared" si="76"/>
        <v>224</v>
      </c>
      <c r="BE112" s="267">
        <f t="shared" si="77"/>
        <v>231</v>
      </c>
      <c r="BF112" s="267">
        <f t="shared" si="78"/>
        <v>239</v>
      </c>
      <c r="BG112" s="269">
        <f>AY112*VLOOKUP($B112,'Major Cities &amp; Towns'!$A$28:$B$345,2,FALSE)</f>
        <v>508.11764705882354</v>
      </c>
      <c r="BH112" s="269">
        <f>AZ112*VLOOKUP($B112,'Major Cities &amp; Towns'!$A$28:$B$345,2,FALSE)</f>
        <v>508.11764705882354</v>
      </c>
      <c r="BI112" s="269">
        <f>BA112*VLOOKUP($B112,'Major Cities &amp; Towns'!$A$28:$B$345,2,FALSE)</f>
        <v>656</v>
      </c>
      <c r="BJ112" s="269">
        <f>BB112*VLOOKUP($B112,'Major Cities &amp; Towns'!$A$28:$B$345,2,FALSE)</f>
        <v>192</v>
      </c>
      <c r="BK112" s="269">
        <f>BC112*VLOOKUP($B112,'Major Cities &amp; Towns'!$A$28:$B$345,2,FALSE)</f>
        <v>218</v>
      </c>
      <c r="BL112" s="269">
        <f>BD112*VLOOKUP($B112,'Major Cities &amp; Towns'!$A$28:$B$345,2,FALSE)</f>
        <v>224</v>
      </c>
      <c r="BM112" s="269">
        <f>BE112*VLOOKUP($B112,'Major Cities &amp; Towns'!$A$28:$B$345,2,FALSE)</f>
        <v>231</v>
      </c>
      <c r="BN112" s="269">
        <f>BF112*VLOOKUP($B112,'Major Cities &amp; Towns'!$A$28:$B$345,2,FALSE)</f>
        <v>239</v>
      </c>
      <c r="BO112" s="270">
        <f t="shared" si="79"/>
        <v>362.94117647058823</v>
      </c>
      <c r="BP112" s="270">
        <f t="shared" si="100"/>
        <v>530.4282030620468</v>
      </c>
      <c r="BQ112" s="270">
        <f t="shared" si="100"/>
        <v>656</v>
      </c>
      <c r="BR112" s="270">
        <f t="shared" si="100"/>
        <v>192</v>
      </c>
      <c r="BS112" s="270">
        <f t="shared" si="100"/>
        <v>218</v>
      </c>
      <c r="BT112" s="270">
        <f t="shared" si="100"/>
        <v>224</v>
      </c>
      <c r="BU112" s="270">
        <f t="shared" si="100"/>
        <v>231</v>
      </c>
      <c r="BV112" s="270">
        <f t="shared" si="99"/>
        <v>239</v>
      </c>
      <c r="BW112" s="39">
        <f>VLOOKUP($A112,NetAdditions!$A$2:$H$336,6,FALSE)</f>
        <v>292</v>
      </c>
      <c r="BX112" s="39">
        <f>VLOOKUP($A112,NetAdditions!$A$2:$H$336,7,FALSE)</f>
        <v>164</v>
      </c>
      <c r="BY112" s="39">
        <f>IF((VLOOKUP($C112,NetAdditions!$A$2:$H$336,8,FALSE))="",(AVERAGE(VLOOKUP($C112,NetAdditions!$A$2:$H$336,5,FALSE),VLOOKUP($C112,NetAdditions!$A$2:$H$336,6,FALSE),VLOOKUP($C112,NetAdditions!$A$2:$H$336,7,FALSE))),VLOOKUP($C112,NetAdditions!$A$2:$H$336,8,FALSE))</f>
        <v>240</v>
      </c>
      <c r="BZ112" s="39">
        <f t="shared" si="54"/>
        <v>232</v>
      </c>
      <c r="CA112" s="39">
        <f t="shared" si="54"/>
        <v>212</v>
      </c>
      <c r="CB112" s="39">
        <f t="shared" si="54"/>
        <v>228</v>
      </c>
      <c r="CC112" s="39">
        <f t="shared" si="54"/>
        <v>224</v>
      </c>
      <c r="CD112" s="39">
        <f t="shared" si="54"/>
        <v>221.33333333333334</v>
      </c>
      <c r="CE112" s="276">
        <f t="shared" si="55"/>
        <v>1549.3693795326351</v>
      </c>
      <c r="CF112" s="276">
        <f t="shared" si="56"/>
        <v>1378.4282030620468</v>
      </c>
      <c r="CG112" s="276">
        <f t="shared" si="57"/>
        <v>1066</v>
      </c>
      <c r="CH112" s="276">
        <f t="shared" si="58"/>
        <v>634</v>
      </c>
      <c r="CI112" s="276">
        <f t="shared" si="59"/>
        <v>673</v>
      </c>
      <c r="CJ112" s="276">
        <f t="shared" si="60"/>
        <v>694</v>
      </c>
      <c r="CK112" s="276">
        <f t="shared" si="80"/>
        <v>1334.1791879308803</v>
      </c>
      <c r="CL112" s="276">
        <f t="shared" si="81"/>
        <v>1186.9798415256514</v>
      </c>
      <c r="CM112" s="276">
        <f t="shared" si="82"/>
        <v>977.16666666666663</v>
      </c>
      <c r="CN112" s="276">
        <f t="shared" si="83"/>
        <v>634</v>
      </c>
      <c r="CO112" s="276">
        <f t="shared" si="83"/>
        <v>673</v>
      </c>
      <c r="CP112" s="276">
        <f t="shared" si="83"/>
        <v>694</v>
      </c>
      <c r="CQ112" s="39">
        <f t="shared" si="61"/>
        <v>696</v>
      </c>
      <c r="CR112" s="39">
        <f t="shared" si="62"/>
        <v>636</v>
      </c>
      <c r="CS112" s="277">
        <f t="shared" si="63"/>
        <v>684</v>
      </c>
      <c r="CT112" s="39">
        <f t="shared" si="64"/>
        <v>672</v>
      </c>
      <c r="CU112" s="39">
        <f t="shared" si="65"/>
        <v>664</v>
      </c>
      <c r="CV112" s="39">
        <f t="shared" si="66"/>
        <v>673.33333333333337</v>
      </c>
      <c r="CW112" s="297">
        <f t="shared" si="67"/>
        <v>0.52166905787175089</v>
      </c>
      <c r="CX112" s="279" t="str">
        <f t="shared" si="84"/>
        <v>Buffer and Action Plan</v>
      </c>
      <c r="CY112" s="278">
        <f t="shared" si="68"/>
        <v>0.53581364885062843</v>
      </c>
      <c r="CZ112" s="279" t="str">
        <f t="shared" si="85"/>
        <v>Buffer and Action Plan</v>
      </c>
      <c r="DA112" s="278">
        <f t="shared" si="69"/>
        <v>0.69998294388538296</v>
      </c>
      <c r="DB112" s="292" t="str">
        <f t="shared" si="86"/>
        <v>Presumption</v>
      </c>
      <c r="DC112" s="299">
        <f t="shared" si="87"/>
        <v>1.0599369085173502</v>
      </c>
      <c r="DD112" s="293" t="str">
        <f t="shared" si="88"/>
        <v>Pass</v>
      </c>
      <c r="DE112" s="299">
        <f t="shared" si="89"/>
        <v>0.98662704309063898</v>
      </c>
      <c r="DF112" s="293" t="str">
        <f t="shared" si="90"/>
        <v>Pass</v>
      </c>
      <c r="DG112" s="299">
        <f t="shared" si="91"/>
        <v>0.97022094140249771</v>
      </c>
      <c r="DH112" s="293" t="str">
        <f t="shared" si="92"/>
        <v>Pass</v>
      </c>
    </row>
    <row r="113" spans="1:112" ht="15" thickTop="1" thickBot="1">
      <c r="A113" s="38" t="s">
        <v>336</v>
      </c>
      <c r="B113" s="38" t="s">
        <v>337</v>
      </c>
      <c r="C113" s="38" t="s">
        <v>336</v>
      </c>
      <c r="D113" s="38" t="s">
        <v>128</v>
      </c>
      <c r="E113" s="38" t="str">
        <f>VLOOKUP(C113,PoliticalControl!A:K,11,FALSE)</f>
        <v>CON</v>
      </c>
      <c r="F113" s="38" t="str">
        <f>VLOOKUP(C113,UrbanRuralClassification!A:N,13,FALSE)</f>
        <v>Urban with Significant Rural (rural including hub towns 26-49%)</v>
      </c>
      <c r="G113" s="38" t="str">
        <f>VLOOKUP(C113,UrbanRuralClassification!A:N,14,FALSE)</f>
        <v>Urban with Significant Rural</v>
      </c>
      <c r="H113" s="258">
        <f>IF(ISBLANK((VLOOKUP($A113,'local-plan-data'!$C$1:$AD$566,27,FALSE)))=TRUE,"",VLOOKUP($A113,'local-plan-data'!$C$1:$AD$566,27,FALSE))</f>
        <v>42359</v>
      </c>
      <c r="I113" s="259">
        <f>VLOOKUP($A113,'local-plan-data'!$C$1:$AD$566,28,FALSE)</f>
        <v>420</v>
      </c>
      <c r="J113" s="260">
        <f t="shared" si="70"/>
        <v>420</v>
      </c>
      <c r="K113" s="259">
        <f t="shared" si="96"/>
        <v>420</v>
      </c>
      <c r="L113" s="259">
        <f t="shared" si="93"/>
        <v>420</v>
      </c>
      <c r="M113" s="259">
        <f t="shared" si="93"/>
        <v>420</v>
      </c>
      <c r="N113" s="259" t="str">
        <f t="shared" si="93"/>
        <v>-</v>
      </c>
      <c r="O113" s="259" t="str">
        <f t="shared" si="93"/>
        <v>-</v>
      </c>
      <c r="P113" s="259" t="str">
        <f t="shared" si="93"/>
        <v>-</v>
      </c>
      <c r="Q113" s="259" t="str">
        <f t="shared" si="93"/>
        <v>-</v>
      </c>
      <c r="R113" s="259" t="str">
        <f t="shared" si="93"/>
        <v>-</v>
      </c>
      <c r="S113" s="259">
        <f t="shared" si="97"/>
        <v>995</v>
      </c>
      <c r="T113" s="259">
        <f t="shared" si="94"/>
        <v>630</v>
      </c>
      <c r="U113" s="259">
        <f t="shared" si="94"/>
        <v>264</v>
      </c>
      <c r="V113" s="259">
        <f t="shared" si="94"/>
        <v>-101</v>
      </c>
      <c r="W113" s="259">
        <f t="shared" si="94"/>
        <v>-466</v>
      </c>
      <c r="X113" s="259">
        <f t="shared" si="94"/>
        <v>-831</v>
      </c>
      <c r="Y113" s="259">
        <f t="shared" si="94"/>
        <v>-1197</v>
      </c>
      <c r="Z113" s="259">
        <f t="shared" si="94"/>
        <v>-1562</v>
      </c>
      <c r="AA113" s="267">
        <f>(VLOOKUP(A113,Hshldprojections2014!$A$2:$AW$319,40, FALSE)-VLOOKUP(A113,Hshldprojections2014!$A$2:$AW$319,30, FALSE))/10</f>
        <v>316.60000000000002</v>
      </c>
      <c r="AB113" s="267">
        <f>(VLOOKUP(A113,Hshldprojections2014!$A$2:$AW$319,41, FALSE)-VLOOKUP(A113,Hshldprojections2014!$A$2:$AW$319,31, FALSE))/10</f>
        <v>313.60000000000002</v>
      </c>
      <c r="AC113" s="267">
        <f>(VLOOKUP(A113,Hshldprojections2014!$A$2:$AW$319,42, FALSE)-VLOOKUP(A113,Hshldprojections2014!$A$2:$AW$319,32, FALSE))/10</f>
        <v>312</v>
      </c>
      <c r="AD113" s="267">
        <f>IF(IndividualLATest!$J$7=2014,(VLOOKUP($A113,Hshldprojections2014!$A$2:$AY$326,43,FALSE)-VLOOKUP($A113,Hshldprojections2014!$A$2:$AY$326,33,FALSE))/10,IF(IndividualLATest!$J$7=2016,(VLOOKUP($A113,Hshldprojections2016!$A$1:$AQ$322,33,FALSE)-VLOOKUP($A113,Hshldprojections2016!$A$1:$AQ$322,23,FALSE))/10,(VLOOKUP($A113,Hshldprojections2018!$A$1:$AQ$327,33,FALSE)-VLOOKUP($A113,Hshldprojections2018!$A$1:$AQ$327,23,FALSE))/10))</f>
        <v>266.7</v>
      </c>
      <c r="AE113" s="267">
        <f>IF(IndividualLATest!$J$7=2014,(VLOOKUP($A113,Hshldprojections2014!$A$2:$AY$326,44,FALSE)-VLOOKUP($A113,Hshldprojections2014!$A$2:$AY$326,34,FALSE))/10,IF(IndividualLATest!$J$7=2016,(VLOOKUP($A113,Hshldprojections2016!$A$1:$AQ$322,34,FALSE)-VLOOKUP($A113,Hshldprojections2016!$A$1:$AQ$322,24,FALSE))/10,(VLOOKUP($A113,Hshldprojections2018!$A$1:$AQ$327,34,FALSE)-VLOOKUP($A113,Hshldprojections2018!$A$1:$AQ$327,24,FALSE))/10))</f>
        <v>264.60000000000002</v>
      </c>
      <c r="AF113" s="267">
        <f>IF(IndividualLATest!$J$7=2014,(VLOOKUP($A113,Hshldprojections2014!$A$2:$AY$326,45,FALSE)-VLOOKUP($A113,Hshldprojections2014!$A$2:$AY$326,35,FALSE))/10,IF(IndividualLATest!$J$7=2016,(VLOOKUP($A113,Hshldprojections2016!$A$1:$AQ$322,35,FALSE)-VLOOKUP($A113,Hshldprojections2016!$A$1:$AQ$322,25,FALSE))/10,(VLOOKUP($A113,Hshldprojections2018!$A$1:$AQ$327,35,FALSE)-VLOOKUP($A113,Hshldprojections2018!$A$1:$AQ$327,25,FALSE))/10))</f>
        <v>265.60000000000002</v>
      </c>
      <c r="AG113" s="267">
        <f>IF(IndividualLATest!$J$7=2014,(VLOOKUP($A113,Hshldprojections2014!$A$2:$AY$326,46,FALSE)-VLOOKUP($A113,Hshldprojections2014!$A$2:$AY$326,36,FALSE))/10,IF(IndividualLATest!$J$7=2016,(VLOOKUP($A113,Hshldprojections2016!$A$1:$AQ$322,36,FALSE)-VLOOKUP($A113,Hshldprojections2016!$A$1:$AQ$322,26,FALSE))/10,(VLOOKUP($A113,Hshldprojections2018!$A$1:$AQ$327,36,FALSE)-VLOOKUP($A113,Hshldprojections2018!$A$1:$AQ$327,26,FALSE))/10))</f>
        <v>264.60000000000002</v>
      </c>
      <c r="AH113" s="267">
        <f>IF(IndividualLATest!$J$7=2014,(VLOOKUP($A113,Hshldprojections2014!$A$2:$AY$326,47,FALSE)-VLOOKUP($A113,Hshldprojections2014!$A$2:$AY$326,37,FALSE))/10,IF(IndividualLATest!$J$7=2016,(VLOOKUP($A113,Hshldprojections2016!$A$1:$AQ$322,37,FALSE)-VLOOKUP($A113,Hshldprojections2016!$A$1:$AQ$322,27,FALSE))/10,(VLOOKUP($A113,Hshldprojections2018!$A$1:$AQ$327,37,FALSE)-VLOOKUP($A113,Hshldprojections2018!$A$1:$AQ$327,27,FALSE))/10))</f>
        <v>265.7</v>
      </c>
      <c r="AI113" s="268">
        <f>IF(ISNUMBER('Sensitivity Tests'!$C$30),'Sensitivity Tests'!$C$30,VLOOKUP($A113,AffordabilityRatio!$A$2:$I$321,5,FALSE))</f>
        <v>6.43</v>
      </c>
      <c r="AJ113" s="268">
        <f>IF(ISNUMBER('Sensitivity Tests'!$C$30),'Sensitivity Tests'!$C$30,VLOOKUP($A113,AffordabilityRatio!$A$2:$I$321,6,FALSE))</f>
        <v>6.38</v>
      </c>
      <c r="AK113" s="268">
        <f>IF(ISNUMBER('Sensitivity Tests'!$C$30),'Sensitivity Tests'!$C$30,VLOOKUP($A113,AffordabilityRatio!$A$2:$I$321,7,FALSE))</f>
        <v>6.33</v>
      </c>
      <c r="AL113" s="268">
        <f>IF(ISNUMBER('Sensitivity Tests'!$C$30),'Sensitivity Tests'!$C$30,IF((VLOOKUP($A113,AffordabilityRatio!$A$2:$I$321,8,FALSE))="",AK113,VLOOKUP($A113,AffordabilityRatio!$A$2:$I$321,8,FALSE)))</f>
        <v>6.34</v>
      </c>
      <c r="AM113" s="268">
        <f>IF(ISNUMBER('Sensitivity Tests'!$C$30),'Sensitivity Tests'!$C$30,IF((VLOOKUP($A113,AffordabilityRatio!$A$2:$I$321,9,FALSE))="",AL113,VLOOKUP($A113,AffordabilityRatio!$A$2:$I$321,9,FALSE)))</f>
        <v>6.74</v>
      </c>
      <c r="AN113" s="268">
        <f>IF(ISNUMBER('Sensitivity Tests'!$C$30),'Sensitivity Tests'!$C$30,IF((VLOOKUP($A113,AffordabilityRatio!$A$2:$I$321,9,FALSE))="",AM113,VLOOKUP($A113,AffordabilityRatio!$A$2:$I$321,9,FALSE)))</f>
        <v>6.74</v>
      </c>
      <c r="AO113" s="268">
        <f>IF(ISNUMBER('Sensitivity Tests'!$C$30),'Sensitivity Tests'!$C$30,IF((VLOOKUP($A113,AffordabilityRatio!$A$2:$I$321,9,FALSE))="",AN113,VLOOKUP($A113,AffordabilityRatio!$A$2:$I$321,9,FALSE)))</f>
        <v>6.74</v>
      </c>
      <c r="AP113" s="268">
        <f>IF(ISNUMBER('Sensitivity Tests'!$C$30),'Sensitivity Tests'!$C$30,IF((VLOOKUP($A113,AffordabilityRatio!$A$2:$I$321,9,FALSE))="",AO113,VLOOKUP($A113,AffordabilityRatio!$A$2:$I$321,9,FALSE)))</f>
        <v>6.74</v>
      </c>
      <c r="AQ113" s="267">
        <f t="shared" si="98"/>
        <v>365</v>
      </c>
      <c r="AR113" s="267">
        <f t="shared" si="98"/>
        <v>360</v>
      </c>
      <c r="AS113" s="267">
        <f t="shared" si="98"/>
        <v>357</v>
      </c>
      <c r="AT113" s="267">
        <f t="shared" si="98"/>
        <v>306</v>
      </c>
      <c r="AU113" s="267">
        <f t="shared" si="98"/>
        <v>310</v>
      </c>
      <c r="AV113" s="267">
        <f t="shared" si="98"/>
        <v>311</v>
      </c>
      <c r="AW113" s="267">
        <f t="shared" si="98"/>
        <v>310</v>
      </c>
      <c r="AX113" s="267">
        <f t="shared" si="95"/>
        <v>311</v>
      </c>
      <c r="AY113" s="267">
        <f t="shared" si="71"/>
        <v>365</v>
      </c>
      <c r="AZ113" s="267">
        <f t="shared" si="72"/>
        <v>360</v>
      </c>
      <c r="BA113" s="267">
        <f t="shared" si="73"/>
        <v>357</v>
      </c>
      <c r="BB113" s="267">
        <f t="shared" si="74"/>
        <v>306</v>
      </c>
      <c r="BC113" s="267">
        <f t="shared" si="75"/>
        <v>310</v>
      </c>
      <c r="BD113" s="267">
        <f t="shared" si="76"/>
        <v>311</v>
      </c>
      <c r="BE113" s="267">
        <f t="shared" si="77"/>
        <v>310</v>
      </c>
      <c r="BF113" s="267">
        <f t="shared" si="78"/>
        <v>311</v>
      </c>
      <c r="BG113" s="269">
        <f>AY113*VLOOKUP($B113,'Major Cities &amp; Towns'!$A$28:$B$345,2,FALSE)</f>
        <v>365</v>
      </c>
      <c r="BH113" s="269">
        <f>AZ113*VLOOKUP($B113,'Major Cities &amp; Towns'!$A$28:$B$345,2,FALSE)</f>
        <v>360</v>
      </c>
      <c r="BI113" s="269">
        <f>BA113*VLOOKUP($B113,'Major Cities &amp; Towns'!$A$28:$B$345,2,FALSE)</f>
        <v>357</v>
      </c>
      <c r="BJ113" s="269">
        <f>BB113*VLOOKUP($B113,'Major Cities &amp; Towns'!$A$28:$B$345,2,FALSE)</f>
        <v>306</v>
      </c>
      <c r="BK113" s="269">
        <f>BC113*VLOOKUP($B113,'Major Cities &amp; Towns'!$A$28:$B$345,2,FALSE)</f>
        <v>310</v>
      </c>
      <c r="BL113" s="269">
        <f>BD113*VLOOKUP($B113,'Major Cities &amp; Towns'!$A$28:$B$345,2,FALSE)</f>
        <v>311</v>
      </c>
      <c r="BM113" s="269">
        <f>BE113*VLOOKUP($B113,'Major Cities &amp; Towns'!$A$28:$B$345,2,FALSE)</f>
        <v>310</v>
      </c>
      <c r="BN113" s="269">
        <f>BF113*VLOOKUP($B113,'Major Cities &amp; Towns'!$A$28:$B$345,2,FALSE)</f>
        <v>311</v>
      </c>
      <c r="BO113" s="270">
        <f t="shared" si="79"/>
        <v>365</v>
      </c>
      <c r="BP113" s="270">
        <f t="shared" si="100"/>
        <v>360</v>
      </c>
      <c r="BQ113" s="270">
        <f t="shared" si="100"/>
        <v>357</v>
      </c>
      <c r="BR113" s="270">
        <f t="shared" si="100"/>
        <v>306</v>
      </c>
      <c r="BS113" s="270">
        <f t="shared" si="100"/>
        <v>310</v>
      </c>
      <c r="BT113" s="270">
        <f t="shared" si="100"/>
        <v>311</v>
      </c>
      <c r="BU113" s="270">
        <f t="shared" si="100"/>
        <v>310</v>
      </c>
      <c r="BV113" s="270">
        <f t="shared" si="99"/>
        <v>311</v>
      </c>
      <c r="BW113" s="39">
        <f>VLOOKUP($A113,NetAdditions!$A$2:$H$336,6,FALSE)</f>
        <v>328</v>
      </c>
      <c r="BX113" s="39">
        <f>VLOOKUP($A113,NetAdditions!$A$2:$H$336,7,FALSE)</f>
        <v>382</v>
      </c>
      <c r="BY113" s="39">
        <f>IF((VLOOKUP($C113,NetAdditions!$A$2:$H$336,8,FALSE))="",(AVERAGE(VLOOKUP($C113,NetAdditions!$A$2:$H$336,5,FALSE),VLOOKUP($C113,NetAdditions!$A$2:$H$336,6,FALSE),VLOOKUP($C113,NetAdditions!$A$2:$H$336,7,FALSE))),VLOOKUP($C113,NetAdditions!$A$2:$H$336,8,FALSE))</f>
        <v>436</v>
      </c>
      <c r="BZ113" s="39">
        <f t="shared" si="54"/>
        <v>382</v>
      </c>
      <c r="CA113" s="39">
        <f t="shared" si="54"/>
        <v>400</v>
      </c>
      <c r="CB113" s="39">
        <f t="shared" si="54"/>
        <v>406</v>
      </c>
      <c r="CC113" s="39">
        <f t="shared" si="54"/>
        <v>396</v>
      </c>
      <c r="CD113" s="39">
        <f t="shared" si="54"/>
        <v>400.66666666666669</v>
      </c>
      <c r="CE113" s="276">
        <f t="shared" si="55"/>
        <v>1082</v>
      </c>
      <c r="CF113" s="276">
        <f t="shared" si="56"/>
        <v>1023</v>
      </c>
      <c r="CG113" s="276">
        <f t="shared" si="57"/>
        <v>973</v>
      </c>
      <c r="CH113" s="276">
        <f t="shared" si="58"/>
        <v>927</v>
      </c>
      <c r="CI113" s="276">
        <f t="shared" si="59"/>
        <v>931</v>
      </c>
      <c r="CJ113" s="276">
        <f t="shared" si="60"/>
        <v>932</v>
      </c>
      <c r="CK113" s="276">
        <f t="shared" si="80"/>
        <v>931.72222222222229</v>
      </c>
      <c r="CL113" s="276">
        <f t="shared" si="81"/>
        <v>880.91666666666674</v>
      </c>
      <c r="CM113" s="276">
        <f t="shared" si="82"/>
        <v>891.91666666666663</v>
      </c>
      <c r="CN113" s="276">
        <f t="shared" si="83"/>
        <v>927</v>
      </c>
      <c r="CO113" s="276">
        <f t="shared" si="83"/>
        <v>931</v>
      </c>
      <c r="CP113" s="276">
        <f t="shared" si="83"/>
        <v>932</v>
      </c>
      <c r="CQ113" s="39">
        <f t="shared" si="61"/>
        <v>1146</v>
      </c>
      <c r="CR113" s="39">
        <f t="shared" si="62"/>
        <v>1200</v>
      </c>
      <c r="CS113" s="277">
        <f t="shared" si="63"/>
        <v>1218</v>
      </c>
      <c r="CT113" s="39">
        <f t="shared" si="64"/>
        <v>1188</v>
      </c>
      <c r="CU113" s="39">
        <f t="shared" si="65"/>
        <v>1202</v>
      </c>
      <c r="CV113" s="39">
        <f t="shared" si="66"/>
        <v>1202.6666666666667</v>
      </c>
      <c r="CW113" s="297">
        <f t="shared" si="67"/>
        <v>1.2299803231769124</v>
      </c>
      <c r="CX113" s="279" t="str">
        <f t="shared" si="84"/>
        <v>Pass</v>
      </c>
      <c r="CY113" s="278">
        <f t="shared" si="68"/>
        <v>1.3622173871913725</v>
      </c>
      <c r="CZ113" s="279" t="str">
        <f t="shared" si="85"/>
        <v>Pass</v>
      </c>
      <c r="DA113" s="278">
        <f t="shared" si="69"/>
        <v>1.3655984303466318</v>
      </c>
      <c r="DB113" s="292" t="str">
        <f t="shared" si="86"/>
        <v>Pass</v>
      </c>
      <c r="DC113" s="299">
        <f t="shared" si="87"/>
        <v>1.2815533980582525</v>
      </c>
      <c r="DD113" s="293" t="str">
        <f t="shared" si="88"/>
        <v>Pass</v>
      </c>
      <c r="DE113" s="299">
        <f t="shared" si="89"/>
        <v>1.2910848549946294</v>
      </c>
      <c r="DF113" s="293" t="str">
        <f t="shared" si="90"/>
        <v>Pass</v>
      </c>
      <c r="DG113" s="299">
        <f t="shared" si="91"/>
        <v>1.2904148783977112</v>
      </c>
      <c r="DH113" s="293" t="str">
        <f t="shared" si="92"/>
        <v>Pass</v>
      </c>
    </row>
    <row r="114" spans="1:112" customFormat="1" ht="15.5" thickTop="1" thickBot="1">
      <c r="A114" s="3" t="s">
        <v>338</v>
      </c>
      <c r="B114" s="3" t="s">
        <v>339</v>
      </c>
      <c r="C114" s="3" t="s">
        <v>338</v>
      </c>
      <c r="D114" s="3" t="s">
        <v>131</v>
      </c>
      <c r="E114" s="3" t="str">
        <f>VLOOKUP(C114,PoliticalControl!A:K,11,FALSE)</f>
        <v>LAB</v>
      </c>
      <c r="F114" s="3" t="str">
        <f>VLOOKUP(C114,UrbanRuralClassification!A:N,13,FALSE)</f>
        <v>Urban with Major Conurbation</v>
      </c>
      <c r="G114" s="3" t="str">
        <f>VLOOKUP(C114,UrbanRuralClassification!A:N,14,FALSE)</f>
        <v>Predominantly Urban</v>
      </c>
      <c r="H114" s="262">
        <f>IF(ISBLANK((VLOOKUP($A114,'local-plan-data'!$C$1:$AD$566,27,FALSE)))=TRUE,"",VLOOKUP($A114,'local-plan-data'!$C$1:$AD$566,27,FALSE))</f>
        <v>41850</v>
      </c>
      <c r="I114" s="263">
        <f>VLOOKUP($A114,'local-plan-data'!$C$1:$AD$566,28,FALSE)</f>
        <v>2595</v>
      </c>
      <c r="J114" s="264">
        <f t="shared" si="70"/>
        <v>2595</v>
      </c>
      <c r="K114" s="259">
        <f t="shared" si="96"/>
        <v>2595</v>
      </c>
      <c r="L114" s="259">
        <f t="shared" si="93"/>
        <v>2595</v>
      </c>
      <c r="M114" s="259" t="str">
        <f t="shared" si="93"/>
        <v>-</v>
      </c>
      <c r="N114" s="259" t="str">
        <f t="shared" si="93"/>
        <v>-</v>
      </c>
      <c r="O114" s="259" t="str">
        <f t="shared" si="93"/>
        <v>-</v>
      </c>
      <c r="P114" s="259" t="str">
        <f t="shared" si="93"/>
        <v>-</v>
      </c>
      <c r="Q114" s="259" t="str">
        <f t="shared" si="93"/>
        <v>-</v>
      </c>
      <c r="R114" s="259" t="str">
        <f t="shared" si="93"/>
        <v>-</v>
      </c>
      <c r="S114" s="259">
        <f t="shared" si="97"/>
        <v>485</v>
      </c>
      <c r="T114" s="259">
        <f t="shared" si="94"/>
        <v>120</v>
      </c>
      <c r="U114" s="259">
        <f t="shared" si="94"/>
        <v>-246</v>
      </c>
      <c r="V114" s="259">
        <f t="shared" si="94"/>
        <v>-611</v>
      </c>
      <c r="W114" s="259">
        <f t="shared" si="94"/>
        <v>-976</v>
      </c>
      <c r="X114" s="259">
        <f t="shared" si="94"/>
        <v>-1341</v>
      </c>
      <c r="Y114" s="259">
        <f t="shared" si="94"/>
        <v>-1707</v>
      </c>
      <c r="Z114" s="259">
        <f t="shared" si="94"/>
        <v>-2072</v>
      </c>
      <c r="AA114" s="267">
        <f>(VLOOKUP(A114,Hshldprojections2014!$A$2:$AW$319,40, FALSE)-VLOOKUP(A114,Hshldprojections2014!$A$2:$AW$319,30, FALSE))/10</f>
        <v>2084.9</v>
      </c>
      <c r="AB114" s="267">
        <f>(VLOOKUP(A114,Hshldprojections2014!$A$2:$AW$319,41, FALSE)-VLOOKUP(A114,Hshldprojections2014!$A$2:$AW$319,31, FALSE))/10</f>
        <v>2052.6999999999998</v>
      </c>
      <c r="AC114" s="267">
        <f>(VLOOKUP(A114,Hshldprojections2014!$A$2:$AW$319,42, FALSE)-VLOOKUP(A114,Hshldprojections2014!$A$2:$AW$319,32, FALSE))/10</f>
        <v>2022.4</v>
      </c>
      <c r="AD114" s="267">
        <f>IF(IndividualLATest!$J$7=2014,(VLOOKUP($A114,Hshldprojections2014!$A$2:$AY$326,43,FALSE)-VLOOKUP($A114,Hshldprojections2014!$A$2:$AY$326,33,FALSE))/10,IF(IndividualLATest!$J$7=2016,(VLOOKUP($A114,Hshldprojections2016!$A$1:$AQ$322,33,FALSE)-VLOOKUP($A114,Hshldprojections2016!$A$1:$AQ$322,23,FALSE))/10,(VLOOKUP($A114,Hshldprojections2018!$A$1:$AQ$327,33,FALSE)-VLOOKUP($A114,Hshldprojections2018!$A$1:$AQ$327,23,FALSE))/10))</f>
        <v>1345.4</v>
      </c>
      <c r="AE114" s="267">
        <f>IF(IndividualLATest!$J$7=2014,(VLOOKUP($A114,Hshldprojections2014!$A$2:$AY$326,44,FALSE)-VLOOKUP($A114,Hshldprojections2014!$A$2:$AY$326,34,FALSE))/10,IF(IndividualLATest!$J$7=2016,(VLOOKUP($A114,Hshldprojections2016!$A$1:$AQ$322,34,FALSE)-VLOOKUP($A114,Hshldprojections2016!$A$1:$AQ$322,24,FALSE))/10,(VLOOKUP($A114,Hshldprojections2018!$A$1:$AQ$327,34,FALSE)-VLOOKUP($A114,Hshldprojections2018!$A$1:$AQ$327,24,FALSE))/10))</f>
        <v>1299.9000000000001</v>
      </c>
      <c r="AF114" s="267">
        <f>IF(IndividualLATest!$J$7=2014,(VLOOKUP($A114,Hshldprojections2014!$A$2:$AY$326,45,FALSE)-VLOOKUP($A114,Hshldprojections2014!$A$2:$AY$326,35,FALSE))/10,IF(IndividualLATest!$J$7=2016,(VLOOKUP($A114,Hshldprojections2016!$A$1:$AQ$322,35,FALSE)-VLOOKUP($A114,Hshldprojections2016!$A$1:$AQ$322,25,FALSE))/10,(VLOOKUP($A114,Hshldprojections2018!$A$1:$AQ$327,35,FALSE)-VLOOKUP($A114,Hshldprojections2018!$A$1:$AQ$327,25,FALSE))/10))</f>
        <v>1258.9000000000001</v>
      </c>
      <c r="AG114" s="267">
        <f>IF(IndividualLATest!$J$7=2014,(VLOOKUP($A114,Hshldprojections2014!$A$2:$AY$326,46,FALSE)-VLOOKUP($A114,Hshldprojections2014!$A$2:$AY$326,36,FALSE))/10,IF(IndividualLATest!$J$7=2016,(VLOOKUP($A114,Hshldprojections2016!$A$1:$AQ$322,36,FALSE)-VLOOKUP($A114,Hshldprojections2016!$A$1:$AQ$322,26,FALSE))/10,(VLOOKUP($A114,Hshldprojections2018!$A$1:$AQ$327,36,FALSE)-VLOOKUP($A114,Hshldprojections2018!$A$1:$AQ$327,26,FALSE))/10))</f>
        <v>1221.5</v>
      </c>
      <c r="AH114" s="267">
        <f>IF(IndividualLATest!$J$7=2014,(VLOOKUP($A114,Hshldprojections2014!$A$2:$AY$326,47,FALSE)-VLOOKUP($A114,Hshldprojections2014!$A$2:$AY$326,37,FALSE))/10,IF(IndividualLATest!$J$7=2016,(VLOOKUP($A114,Hshldprojections2016!$A$1:$AQ$322,37,FALSE)-VLOOKUP($A114,Hshldprojections2016!$A$1:$AQ$322,27,FALSE))/10,(VLOOKUP($A114,Hshldprojections2018!$A$1:$AQ$327,37,FALSE)-VLOOKUP($A114,Hshldprojections2018!$A$1:$AQ$327,27,FALSE))/10))</f>
        <v>1187.5</v>
      </c>
      <c r="AI114" s="268">
        <f>IF(ISNUMBER('Sensitivity Tests'!$C$30),'Sensitivity Tests'!$C$30,VLOOKUP($A114,AffordabilityRatio!$A$2:$I$321,5,FALSE))</f>
        <v>12.87</v>
      </c>
      <c r="AJ114" s="268">
        <f>IF(ISNUMBER('Sensitivity Tests'!$C$30),'Sensitivity Tests'!$C$30,VLOOKUP($A114,AffordabilityRatio!$A$2:$I$321,6,FALSE))</f>
        <v>12.97</v>
      </c>
      <c r="AK114" s="268">
        <f>IF(ISNUMBER('Sensitivity Tests'!$C$30),'Sensitivity Tests'!$C$30,VLOOKUP($A114,AffordabilityRatio!$A$2:$I$321,7,FALSE))</f>
        <v>13.78</v>
      </c>
      <c r="AL114" s="268">
        <f>IF(ISNUMBER('Sensitivity Tests'!$C$30),'Sensitivity Tests'!$C$30,IF((VLOOKUP($A114,AffordabilityRatio!$A$2:$I$321,8,FALSE))="",AK114,VLOOKUP($A114,AffordabilityRatio!$A$2:$I$321,8,FALSE)))</f>
        <v>12.99</v>
      </c>
      <c r="AM114" s="268">
        <f>IF(ISNUMBER('Sensitivity Tests'!$C$30),'Sensitivity Tests'!$C$30,IF((VLOOKUP($A114,AffordabilityRatio!$A$2:$I$321,9,FALSE))="",AL114,VLOOKUP($A114,AffordabilityRatio!$A$2:$I$321,9,FALSE)))</f>
        <v>13.35</v>
      </c>
      <c r="AN114" s="268">
        <f>IF(ISNUMBER('Sensitivity Tests'!$C$30),'Sensitivity Tests'!$C$30,IF((VLOOKUP($A114,AffordabilityRatio!$A$2:$I$321,9,FALSE))="",AM114,VLOOKUP($A114,AffordabilityRatio!$A$2:$I$321,9,FALSE)))</f>
        <v>13.35</v>
      </c>
      <c r="AO114" s="268">
        <f>IF(ISNUMBER('Sensitivity Tests'!$C$30),'Sensitivity Tests'!$C$30,IF((VLOOKUP($A114,AffordabilityRatio!$A$2:$I$321,9,FALSE))="",AN114,VLOOKUP($A114,AffordabilityRatio!$A$2:$I$321,9,FALSE)))</f>
        <v>13.35</v>
      </c>
      <c r="AP114" s="268">
        <f>IF(ISNUMBER('Sensitivity Tests'!$C$30),'Sensitivity Tests'!$C$30,IF((VLOOKUP($A114,AffordabilityRatio!$A$2:$I$321,9,FALSE))="",AO114,VLOOKUP($A114,AffordabilityRatio!$A$2:$I$321,9,FALSE)))</f>
        <v>13.35</v>
      </c>
      <c r="AQ114" s="267">
        <f t="shared" si="98"/>
        <v>3241</v>
      </c>
      <c r="AR114" s="267">
        <f t="shared" si="98"/>
        <v>3203</v>
      </c>
      <c r="AS114" s="267">
        <f t="shared" si="98"/>
        <v>3259</v>
      </c>
      <c r="AT114" s="267">
        <f t="shared" si="98"/>
        <v>2101</v>
      </c>
      <c r="AU114" s="267">
        <f t="shared" si="98"/>
        <v>2060</v>
      </c>
      <c r="AV114" s="267">
        <f t="shared" si="98"/>
        <v>1995</v>
      </c>
      <c r="AW114" s="267">
        <f t="shared" si="98"/>
        <v>1935</v>
      </c>
      <c r="AX114" s="267">
        <f t="shared" si="95"/>
        <v>1881</v>
      </c>
      <c r="AY114" s="267">
        <f t="shared" si="71"/>
        <v>3241</v>
      </c>
      <c r="AZ114" s="267">
        <f t="shared" si="72"/>
        <v>3203</v>
      </c>
      <c r="BA114" s="267">
        <f t="shared" si="73"/>
        <v>3259</v>
      </c>
      <c r="BB114" s="267">
        <f t="shared" si="74"/>
        <v>2101</v>
      </c>
      <c r="BC114" s="267">
        <f t="shared" si="75"/>
        <v>2060</v>
      </c>
      <c r="BD114" s="267">
        <f t="shared" si="76"/>
        <v>1995</v>
      </c>
      <c r="BE114" s="267">
        <f t="shared" si="77"/>
        <v>1935</v>
      </c>
      <c r="BF114" s="267">
        <f t="shared" si="78"/>
        <v>1881</v>
      </c>
      <c r="BG114" s="269">
        <f>AY114*VLOOKUP($B114,'Major Cities &amp; Towns'!$A$28:$B$345,2,FALSE)</f>
        <v>4375.3500000000004</v>
      </c>
      <c r="BH114" s="269">
        <f>AZ114*VLOOKUP($B114,'Major Cities &amp; Towns'!$A$28:$B$345,2,FALSE)</f>
        <v>4324.05</v>
      </c>
      <c r="BI114" s="269">
        <f>BA114*VLOOKUP($B114,'Major Cities &amp; Towns'!$A$28:$B$345,2,FALSE)</f>
        <v>4399.6500000000005</v>
      </c>
      <c r="BJ114" s="269">
        <f>BB114*VLOOKUP($B114,'Major Cities &amp; Towns'!$A$28:$B$345,2,FALSE)</f>
        <v>2836.3500000000004</v>
      </c>
      <c r="BK114" s="269">
        <f>BC114*VLOOKUP($B114,'Major Cities &amp; Towns'!$A$28:$B$345,2,FALSE)</f>
        <v>2781</v>
      </c>
      <c r="BL114" s="269">
        <f>BD114*VLOOKUP($B114,'Major Cities &amp; Towns'!$A$28:$B$345,2,FALSE)</f>
        <v>2693.25</v>
      </c>
      <c r="BM114" s="269">
        <f>BE114*VLOOKUP($B114,'Major Cities &amp; Towns'!$A$28:$B$345,2,FALSE)</f>
        <v>2612.25</v>
      </c>
      <c r="BN114" s="269">
        <f>BF114*VLOOKUP($B114,'Major Cities &amp; Towns'!$A$28:$B$345,2,FALSE)</f>
        <v>2539.3500000000004</v>
      </c>
      <c r="BO114" s="270">
        <f t="shared" si="79"/>
        <v>2595</v>
      </c>
      <c r="BP114" s="270">
        <f t="shared" si="100"/>
        <v>3003.1095890410961</v>
      </c>
      <c r="BQ114" s="270">
        <f t="shared" si="100"/>
        <v>3259</v>
      </c>
      <c r="BR114" s="270">
        <f t="shared" si="100"/>
        <v>2101</v>
      </c>
      <c r="BS114" s="270">
        <f t="shared" si="100"/>
        <v>2060</v>
      </c>
      <c r="BT114" s="270">
        <f t="shared" si="100"/>
        <v>1995</v>
      </c>
      <c r="BU114" s="270">
        <f t="shared" si="100"/>
        <v>1935</v>
      </c>
      <c r="BV114" s="270">
        <f t="shared" si="99"/>
        <v>1881</v>
      </c>
      <c r="BW114" s="39">
        <f>VLOOKUP($A114,NetAdditions!$A$2:$H$336,6,FALSE)</f>
        <v>1514</v>
      </c>
      <c r="BX114" s="39">
        <f>VLOOKUP($A114,NetAdditions!$A$2:$H$336,7,FALSE)</f>
        <v>3052</v>
      </c>
      <c r="BY114" s="39">
        <f>IF((VLOOKUP($C114,NetAdditions!$A$2:$H$336,8,FALSE))="",(AVERAGE(VLOOKUP($C114,NetAdditions!$A$2:$H$336,5,FALSE),VLOOKUP($C114,NetAdditions!$A$2:$H$336,6,FALSE),VLOOKUP($C114,NetAdditions!$A$2:$H$336,7,FALSE))),VLOOKUP($C114,NetAdditions!$A$2:$H$336,8,FALSE))</f>
        <v>1042</v>
      </c>
      <c r="BZ114" s="39">
        <f t="shared" si="54"/>
        <v>1869.3333333333333</v>
      </c>
      <c r="CA114" s="39">
        <f t="shared" si="54"/>
        <v>1987.7777777777776</v>
      </c>
      <c r="CB114" s="39">
        <f t="shared" si="54"/>
        <v>1633.0370370370367</v>
      </c>
      <c r="CC114" s="39">
        <f t="shared" si="54"/>
        <v>1830.0493827160492</v>
      </c>
      <c r="CD114" s="39">
        <f t="shared" si="54"/>
        <v>1816.9547325102878</v>
      </c>
      <c r="CE114" s="276">
        <f t="shared" si="55"/>
        <v>8857.1095890410961</v>
      </c>
      <c r="CF114" s="276">
        <f t="shared" si="56"/>
        <v>8363.1095890410961</v>
      </c>
      <c r="CG114" s="276">
        <f t="shared" si="57"/>
        <v>7420</v>
      </c>
      <c r="CH114" s="276">
        <f t="shared" si="58"/>
        <v>6156</v>
      </c>
      <c r="CI114" s="276">
        <f t="shared" si="59"/>
        <v>5990</v>
      </c>
      <c r="CJ114" s="276">
        <f t="shared" si="60"/>
        <v>5811</v>
      </c>
      <c r="CK114" s="276">
        <f t="shared" si="80"/>
        <v>7626.9554794520554</v>
      </c>
      <c r="CL114" s="276">
        <f t="shared" si="81"/>
        <v>7201.5665905631668</v>
      </c>
      <c r="CM114" s="276">
        <f t="shared" si="82"/>
        <v>6801.6666666666661</v>
      </c>
      <c r="CN114" s="276">
        <f t="shared" si="83"/>
        <v>6156</v>
      </c>
      <c r="CO114" s="276">
        <f t="shared" si="83"/>
        <v>5990</v>
      </c>
      <c r="CP114" s="276">
        <f t="shared" si="83"/>
        <v>5811</v>
      </c>
      <c r="CQ114" s="39">
        <f t="shared" si="61"/>
        <v>5608</v>
      </c>
      <c r="CR114" s="39">
        <f t="shared" si="62"/>
        <v>5963.333333333333</v>
      </c>
      <c r="CS114" s="277">
        <f t="shared" si="63"/>
        <v>4899.1111111111104</v>
      </c>
      <c r="CT114" s="39">
        <f t="shared" si="64"/>
        <v>5490.1481481481478</v>
      </c>
      <c r="CU114" s="39">
        <f t="shared" si="65"/>
        <v>5450.8641975308637</v>
      </c>
      <c r="CV114" s="39">
        <f t="shared" si="66"/>
        <v>5280.041152263374</v>
      </c>
      <c r="CW114" s="297">
        <f t="shared" si="67"/>
        <v>0.73528684087754714</v>
      </c>
      <c r="CX114" s="279" t="str">
        <f t="shared" si="84"/>
        <v>Buffer and Action Plan</v>
      </c>
      <c r="CY114" s="278">
        <f t="shared" si="68"/>
        <v>0.82806056964711017</v>
      </c>
      <c r="CZ114" s="279" t="str">
        <f t="shared" si="85"/>
        <v>Buffer and Action Plan</v>
      </c>
      <c r="DA114" s="278">
        <f t="shared" si="69"/>
        <v>0.72028097688475046</v>
      </c>
      <c r="DB114" s="292" t="str">
        <f t="shared" si="86"/>
        <v>Presumption</v>
      </c>
      <c r="DC114" s="299">
        <f t="shared" si="87"/>
        <v>0.8918369311481722</v>
      </c>
      <c r="DD114" s="293" t="str">
        <f t="shared" si="88"/>
        <v>Action Plan</v>
      </c>
      <c r="DE114" s="299">
        <f t="shared" si="89"/>
        <v>0.90999402296007748</v>
      </c>
      <c r="DF114" s="293" t="str">
        <f t="shared" si="90"/>
        <v>Action Plan</v>
      </c>
      <c r="DG114" s="299">
        <f t="shared" si="91"/>
        <v>0.90862866154936739</v>
      </c>
      <c r="DH114" s="293" t="str">
        <f t="shared" si="92"/>
        <v>Action Plan</v>
      </c>
    </row>
    <row r="115" spans="1:112" ht="15" thickTop="1" thickBot="1">
      <c r="A115" s="38" t="s">
        <v>340</v>
      </c>
      <c r="B115" s="38" t="s">
        <v>341</v>
      </c>
      <c r="C115" s="38" t="s">
        <v>340</v>
      </c>
      <c r="D115" s="38" t="s">
        <v>113</v>
      </c>
      <c r="E115" s="38" t="str">
        <f>VLOOKUP(C115,PoliticalControl!A:K,11,FALSE)</f>
        <v>NOC</v>
      </c>
      <c r="F115" s="38" t="str">
        <f>VLOOKUP(C115,UrbanRuralClassification!A:N,13,FALSE)</f>
        <v>Urban with City and Town</v>
      </c>
      <c r="G115" s="38" t="str">
        <f>VLOOKUP(C115,UrbanRuralClassification!A:N,14,FALSE)</f>
        <v>Predominantly Urban</v>
      </c>
      <c r="H115" s="258">
        <f>IF(ISBLANK((VLOOKUP($A115,'local-plan-data'!$C$1:$AD$566,27,FALSE)))=TRUE,"",VLOOKUP($A115,'local-plan-data'!$C$1:$AD$566,27,FALSE))</f>
        <v>43580</v>
      </c>
      <c r="I115" s="259">
        <f>VLOOKUP($A115,'local-plan-data'!$C$1:$AD$566,28,FALSE)</f>
        <v>562</v>
      </c>
      <c r="J115" s="260">
        <f t="shared" si="70"/>
        <v>562</v>
      </c>
      <c r="K115" s="259">
        <f t="shared" si="96"/>
        <v>562</v>
      </c>
      <c r="L115" s="259">
        <f t="shared" si="93"/>
        <v>562</v>
      </c>
      <c r="M115" s="259">
        <f t="shared" si="93"/>
        <v>562</v>
      </c>
      <c r="N115" s="259">
        <f t="shared" si="93"/>
        <v>562</v>
      </c>
      <c r="O115" s="259">
        <f t="shared" si="93"/>
        <v>562</v>
      </c>
      <c r="P115" s="259">
        <f t="shared" si="93"/>
        <v>562</v>
      </c>
      <c r="Q115" s="259">
        <f t="shared" si="93"/>
        <v>562</v>
      </c>
      <c r="R115" s="259" t="str">
        <f t="shared" si="93"/>
        <v>-</v>
      </c>
      <c r="S115" s="259">
        <f t="shared" si="97"/>
        <v>2216</v>
      </c>
      <c r="T115" s="259">
        <f t="shared" si="94"/>
        <v>1851</v>
      </c>
      <c r="U115" s="259">
        <f t="shared" si="94"/>
        <v>1485</v>
      </c>
      <c r="V115" s="259">
        <f t="shared" si="94"/>
        <v>1120</v>
      </c>
      <c r="W115" s="259">
        <f t="shared" si="94"/>
        <v>755</v>
      </c>
      <c r="X115" s="259">
        <f t="shared" si="94"/>
        <v>390</v>
      </c>
      <c r="Y115" s="259">
        <f t="shared" si="94"/>
        <v>24</v>
      </c>
      <c r="Z115" s="259">
        <f t="shared" si="94"/>
        <v>-341</v>
      </c>
      <c r="AA115" s="267">
        <f>(VLOOKUP(A115,Hshldprojections2014!$A$2:$AW$319,40, FALSE)-VLOOKUP(A115,Hshldprojections2014!$A$2:$AW$319,30, FALSE))/10</f>
        <v>536.79999999999995</v>
      </c>
      <c r="AB115" s="267">
        <f>(VLOOKUP(A115,Hshldprojections2014!$A$2:$AW$319,41, FALSE)-VLOOKUP(A115,Hshldprojections2014!$A$2:$AW$319,31, FALSE))/10</f>
        <v>526.20000000000005</v>
      </c>
      <c r="AC115" s="267">
        <f>(VLOOKUP(A115,Hshldprojections2014!$A$2:$AW$319,42, FALSE)-VLOOKUP(A115,Hshldprojections2014!$A$2:$AW$319,32, FALSE))/10</f>
        <v>518</v>
      </c>
      <c r="AD115" s="267">
        <f>IF(IndividualLATest!$J$7=2014,(VLOOKUP($A115,Hshldprojections2014!$A$2:$AY$326,43,FALSE)-VLOOKUP($A115,Hshldprojections2014!$A$2:$AY$326,33,FALSE))/10,IF(IndividualLATest!$J$7=2016,(VLOOKUP($A115,Hshldprojections2016!$A$1:$AQ$322,33,FALSE)-VLOOKUP($A115,Hshldprojections2016!$A$1:$AQ$322,23,FALSE))/10,(VLOOKUP($A115,Hshldprojections2018!$A$1:$AQ$327,33,FALSE)-VLOOKUP($A115,Hshldprojections2018!$A$1:$AQ$327,23,FALSE))/10))</f>
        <v>98.7</v>
      </c>
      <c r="AE115" s="267">
        <f>IF(IndividualLATest!$J$7=2014,(VLOOKUP($A115,Hshldprojections2014!$A$2:$AY$326,44,FALSE)-VLOOKUP($A115,Hshldprojections2014!$A$2:$AY$326,34,FALSE))/10,IF(IndividualLATest!$J$7=2016,(VLOOKUP($A115,Hshldprojections2016!$A$1:$AQ$322,34,FALSE)-VLOOKUP($A115,Hshldprojections2016!$A$1:$AQ$322,24,FALSE))/10,(VLOOKUP($A115,Hshldprojections2018!$A$1:$AQ$327,34,FALSE)-VLOOKUP($A115,Hshldprojections2018!$A$1:$AQ$327,24,FALSE))/10))</f>
        <v>102.9</v>
      </c>
      <c r="AF115" s="267">
        <f>IF(IndividualLATest!$J$7=2014,(VLOOKUP($A115,Hshldprojections2014!$A$2:$AY$326,45,FALSE)-VLOOKUP($A115,Hshldprojections2014!$A$2:$AY$326,35,FALSE))/10,IF(IndividualLATest!$J$7=2016,(VLOOKUP($A115,Hshldprojections2016!$A$1:$AQ$322,35,FALSE)-VLOOKUP($A115,Hshldprojections2016!$A$1:$AQ$322,25,FALSE))/10,(VLOOKUP($A115,Hshldprojections2018!$A$1:$AQ$327,35,FALSE)-VLOOKUP($A115,Hshldprojections2018!$A$1:$AQ$327,25,FALSE))/10))</f>
        <v>105.5</v>
      </c>
      <c r="AG115" s="267">
        <f>IF(IndividualLATest!$J$7=2014,(VLOOKUP($A115,Hshldprojections2014!$A$2:$AY$326,46,FALSE)-VLOOKUP($A115,Hshldprojections2014!$A$2:$AY$326,36,FALSE))/10,IF(IndividualLATest!$J$7=2016,(VLOOKUP($A115,Hshldprojections2016!$A$1:$AQ$322,36,FALSE)-VLOOKUP($A115,Hshldprojections2016!$A$1:$AQ$322,26,FALSE))/10,(VLOOKUP($A115,Hshldprojections2018!$A$1:$AQ$327,36,FALSE)-VLOOKUP($A115,Hshldprojections2018!$A$1:$AQ$327,26,FALSE))/10))</f>
        <v>105.3</v>
      </c>
      <c r="AH115" s="267">
        <f>IF(IndividualLATest!$J$7=2014,(VLOOKUP($A115,Hshldprojections2014!$A$2:$AY$326,47,FALSE)-VLOOKUP($A115,Hshldprojections2014!$A$2:$AY$326,37,FALSE))/10,IF(IndividualLATest!$J$7=2016,(VLOOKUP($A115,Hshldprojections2016!$A$1:$AQ$322,37,FALSE)-VLOOKUP($A115,Hshldprojections2016!$A$1:$AQ$322,27,FALSE))/10,(VLOOKUP($A115,Hshldprojections2018!$A$1:$AQ$327,37,FALSE)-VLOOKUP($A115,Hshldprojections2018!$A$1:$AQ$327,27,FALSE))/10))</f>
        <v>106.3</v>
      </c>
      <c r="AI115" s="268">
        <f>IF(ISNUMBER('Sensitivity Tests'!$C$30),'Sensitivity Tests'!$C$30,VLOOKUP($A115,AffordabilityRatio!$A$2:$I$321,5,FALSE))</f>
        <v>12.6</v>
      </c>
      <c r="AJ115" s="268">
        <f>IF(ISNUMBER('Sensitivity Tests'!$C$30),'Sensitivity Tests'!$C$30,VLOOKUP($A115,AffordabilityRatio!$A$2:$I$321,6,FALSE))</f>
        <v>12.54</v>
      </c>
      <c r="AK115" s="268">
        <f>IF(ISNUMBER('Sensitivity Tests'!$C$30),'Sensitivity Tests'!$C$30,VLOOKUP($A115,AffordabilityRatio!$A$2:$I$321,7,FALSE))</f>
        <v>12.28</v>
      </c>
      <c r="AL115" s="268">
        <f>IF(ISNUMBER('Sensitivity Tests'!$C$30),'Sensitivity Tests'!$C$30,IF((VLOOKUP($A115,AffordabilityRatio!$A$2:$I$321,8,FALSE))="",AK115,VLOOKUP($A115,AffordabilityRatio!$A$2:$I$321,8,FALSE)))</f>
        <v>12.5</v>
      </c>
      <c r="AM115" s="268">
        <f>IF(ISNUMBER('Sensitivity Tests'!$C$30),'Sensitivity Tests'!$C$30,IF((VLOOKUP($A115,AffordabilityRatio!$A$2:$I$321,9,FALSE))="",AL115,VLOOKUP($A115,AffordabilityRatio!$A$2:$I$321,9,FALSE)))</f>
        <v>13.2</v>
      </c>
      <c r="AN115" s="268">
        <f>IF(ISNUMBER('Sensitivity Tests'!$C$30),'Sensitivity Tests'!$C$30,IF((VLOOKUP($A115,AffordabilityRatio!$A$2:$I$321,9,FALSE))="",AM115,VLOOKUP($A115,AffordabilityRatio!$A$2:$I$321,9,FALSE)))</f>
        <v>13.2</v>
      </c>
      <c r="AO115" s="268">
        <f>IF(ISNUMBER('Sensitivity Tests'!$C$30),'Sensitivity Tests'!$C$30,IF((VLOOKUP($A115,AffordabilityRatio!$A$2:$I$321,9,FALSE))="",AN115,VLOOKUP($A115,AffordabilityRatio!$A$2:$I$321,9,FALSE)))</f>
        <v>13.2</v>
      </c>
      <c r="AP115" s="268">
        <f>IF(ISNUMBER('Sensitivity Tests'!$C$30),'Sensitivity Tests'!$C$30,IF((VLOOKUP($A115,AffordabilityRatio!$A$2:$I$321,9,FALSE))="",AO115,VLOOKUP($A115,AffordabilityRatio!$A$2:$I$321,9,FALSE)))</f>
        <v>13.2</v>
      </c>
      <c r="AQ115" s="267">
        <f t="shared" si="98"/>
        <v>825</v>
      </c>
      <c r="AR115" s="267">
        <f t="shared" si="98"/>
        <v>807</v>
      </c>
      <c r="AS115" s="267">
        <f t="shared" si="98"/>
        <v>786</v>
      </c>
      <c r="AT115" s="267">
        <f t="shared" si="98"/>
        <v>151</v>
      </c>
      <c r="AU115" s="267">
        <f t="shared" si="98"/>
        <v>162</v>
      </c>
      <c r="AV115" s="267">
        <f t="shared" si="98"/>
        <v>166</v>
      </c>
      <c r="AW115" s="267">
        <f t="shared" si="98"/>
        <v>166</v>
      </c>
      <c r="AX115" s="267">
        <f t="shared" si="95"/>
        <v>167</v>
      </c>
      <c r="AY115" s="267">
        <f t="shared" si="71"/>
        <v>786.8</v>
      </c>
      <c r="AZ115" s="267">
        <f t="shared" si="72"/>
        <v>786.8</v>
      </c>
      <c r="BA115" s="267">
        <f t="shared" si="73"/>
        <v>786</v>
      </c>
      <c r="BB115" s="267">
        <f t="shared" si="74"/>
        <v>151</v>
      </c>
      <c r="BC115" s="267">
        <f t="shared" si="75"/>
        <v>162</v>
      </c>
      <c r="BD115" s="267">
        <f t="shared" si="76"/>
        <v>166</v>
      </c>
      <c r="BE115" s="267">
        <f t="shared" si="77"/>
        <v>166</v>
      </c>
      <c r="BF115" s="267">
        <f t="shared" si="78"/>
        <v>167</v>
      </c>
      <c r="BG115" s="269">
        <f>AY115*VLOOKUP($B115,'Major Cities &amp; Towns'!$A$28:$B$345,2,FALSE)</f>
        <v>786.8</v>
      </c>
      <c r="BH115" s="269">
        <f>AZ115*VLOOKUP($B115,'Major Cities &amp; Towns'!$A$28:$B$345,2,FALSE)</f>
        <v>786.8</v>
      </c>
      <c r="BI115" s="269">
        <f>BA115*VLOOKUP($B115,'Major Cities &amp; Towns'!$A$28:$B$345,2,FALSE)</f>
        <v>786</v>
      </c>
      <c r="BJ115" s="269">
        <f>BB115*VLOOKUP($B115,'Major Cities &amp; Towns'!$A$28:$B$345,2,FALSE)</f>
        <v>151</v>
      </c>
      <c r="BK115" s="269">
        <f>BC115*VLOOKUP($B115,'Major Cities &amp; Towns'!$A$28:$B$345,2,FALSE)</f>
        <v>162</v>
      </c>
      <c r="BL115" s="269">
        <f>BD115*VLOOKUP($B115,'Major Cities &amp; Towns'!$A$28:$B$345,2,FALSE)</f>
        <v>166</v>
      </c>
      <c r="BM115" s="269">
        <f>BE115*VLOOKUP($B115,'Major Cities &amp; Towns'!$A$28:$B$345,2,FALSE)</f>
        <v>166</v>
      </c>
      <c r="BN115" s="269">
        <f>BF115*VLOOKUP($B115,'Major Cities &amp; Towns'!$A$28:$B$345,2,FALSE)</f>
        <v>167</v>
      </c>
      <c r="BO115" s="270">
        <f t="shared" si="79"/>
        <v>562</v>
      </c>
      <c r="BP115" s="270">
        <f t="shared" si="100"/>
        <v>562</v>
      </c>
      <c r="BQ115" s="270">
        <f t="shared" si="100"/>
        <v>562</v>
      </c>
      <c r="BR115" s="270">
        <f t="shared" si="100"/>
        <v>151</v>
      </c>
      <c r="BS115" s="270">
        <f t="shared" si="100"/>
        <v>162</v>
      </c>
      <c r="BT115" s="270">
        <f t="shared" si="100"/>
        <v>166</v>
      </c>
      <c r="BU115" s="270">
        <f t="shared" si="100"/>
        <v>166</v>
      </c>
      <c r="BV115" s="270">
        <f t="shared" si="99"/>
        <v>167</v>
      </c>
      <c r="BW115" s="39">
        <f>VLOOKUP($A115,NetAdditions!$A$2:$H$336,6,FALSE)</f>
        <v>352</v>
      </c>
      <c r="BX115" s="39">
        <f>VLOOKUP($A115,NetAdditions!$A$2:$H$336,7,FALSE)</f>
        <v>352</v>
      </c>
      <c r="BY115" s="39">
        <f>IF((VLOOKUP($C115,NetAdditions!$A$2:$H$336,8,FALSE))="",(AVERAGE(VLOOKUP($C115,NetAdditions!$A$2:$H$336,5,FALSE),VLOOKUP($C115,NetAdditions!$A$2:$H$336,6,FALSE),VLOOKUP($C115,NetAdditions!$A$2:$H$336,7,FALSE))),VLOOKUP($C115,NetAdditions!$A$2:$H$336,8,FALSE))</f>
        <v>863</v>
      </c>
      <c r="BZ115" s="39">
        <f t="shared" si="54"/>
        <v>522.33333333333337</v>
      </c>
      <c r="CA115" s="39">
        <f t="shared" si="54"/>
        <v>579.1111111111112</v>
      </c>
      <c r="CB115" s="39">
        <f t="shared" si="54"/>
        <v>654.81481481481489</v>
      </c>
      <c r="CC115" s="39">
        <f t="shared" si="54"/>
        <v>585.41975308641986</v>
      </c>
      <c r="CD115" s="39">
        <f t="shared" si="54"/>
        <v>606.44855967078195</v>
      </c>
      <c r="CE115" s="276">
        <f t="shared" si="55"/>
        <v>1686</v>
      </c>
      <c r="CF115" s="276">
        <f t="shared" si="56"/>
        <v>1275</v>
      </c>
      <c r="CG115" s="276">
        <f t="shared" si="57"/>
        <v>875</v>
      </c>
      <c r="CH115" s="276">
        <f t="shared" si="58"/>
        <v>479</v>
      </c>
      <c r="CI115" s="276">
        <f t="shared" si="59"/>
        <v>494</v>
      </c>
      <c r="CJ115" s="276">
        <f t="shared" si="60"/>
        <v>499</v>
      </c>
      <c r="CK115" s="276">
        <f t="shared" si="80"/>
        <v>1451.8333333333335</v>
      </c>
      <c r="CL115" s="276">
        <f t="shared" si="81"/>
        <v>1097.9166666666667</v>
      </c>
      <c r="CM115" s="276">
        <f t="shared" si="82"/>
        <v>802.08333333333326</v>
      </c>
      <c r="CN115" s="276">
        <f t="shared" si="83"/>
        <v>479</v>
      </c>
      <c r="CO115" s="276">
        <f t="shared" si="83"/>
        <v>494</v>
      </c>
      <c r="CP115" s="276">
        <f t="shared" si="83"/>
        <v>499</v>
      </c>
      <c r="CQ115" s="39">
        <f t="shared" si="61"/>
        <v>1567</v>
      </c>
      <c r="CR115" s="39">
        <f t="shared" si="62"/>
        <v>1737.3333333333335</v>
      </c>
      <c r="CS115" s="277">
        <f t="shared" si="63"/>
        <v>1964.4444444444448</v>
      </c>
      <c r="CT115" s="39">
        <f t="shared" si="64"/>
        <v>1756.2592592592596</v>
      </c>
      <c r="CU115" s="39">
        <f t="shared" si="65"/>
        <v>1819.345679012346</v>
      </c>
      <c r="CV115" s="39">
        <f t="shared" si="66"/>
        <v>1846.6831275720165</v>
      </c>
      <c r="CW115" s="297">
        <f t="shared" si="67"/>
        <v>1.0793249913901961</v>
      </c>
      <c r="CX115" s="279" t="str">
        <f t="shared" si="84"/>
        <v>Pass</v>
      </c>
      <c r="CY115" s="278">
        <f t="shared" si="68"/>
        <v>1.5823908918406073</v>
      </c>
      <c r="CZ115" s="279" t="str">
        <f t="shared" si="85"/>
        <v>Pass</v>
      </c>
      <c r="DA115" s="278">
        <f t="shared" si="69"/>
        <v>2.4491774891774898</v>
      </c>
      <c r="DB115" s="292" t="str">
        <f t="shared" si="86"/>
        <v>Pass</v>
      </c>
      <c r="DC115" s="299">
        <f t="shared" si="87"/>
        <v>3.6665120235057613</v>
      </c>
      <c r="DD115" s="293" t="str">
        <f t="shared" si="88"/>
        <v>Pass</v>
      </c>
      <c r="DE115" s="299">
        <f t="shared" si="89"/>
        <v>3.6828859899035344</v>
      </c>
      <c r="DF115" s="293" t="str">
        <f t="shared" si="90"/>
        <v>Pass</v>
      </c>
      <c r="DG115" s="299">
        <f t="shared" si="91"/>
        <v>3.7007677907254841</v>
      </c>
      <c r="DH115" s="293" t="str">
        <f t="shared" si="92"/>
        <v>Pass</v>
      </c>
    </row>
    <row r="116" spans="1:112" customFormat="1" ht="15.5" thickTop="1" thickBot="1">
      <c r="A116" s="3" t="s">
        <v>342</v>
      </c>
      <c r="B116" s="3" t="s">
        <v>343</v>
      </c>
      <c r="C116" s="3" t="s">
        <v>342</v>
      </c>
      <c r="D116" s="3" t="s">
        <v>131</v>
      </c>
      <c r="E116" s="3" t="str">
        <f>VLOOKUP(C116,PoliticalControl!A:K,11,FALSE)</f>
        <v>LAB</v>
      </c>
      <c r="F116" s="3" t="str">
        <f>VLOOKUP(C116,UrbanRuralClassification!A:N,13,FALSE)</f>
        <v>Urban with Major Conurbation</v>
      </c>
      <c r="G116" s="3" t="str">
        <f>VLOOKUP(C116,UrbanRuralClassification!A:N,14,FALSE)</f>
        <v>Predominantly Urban</v>
      </c>
      <c r="H116" s="262">
        <f>IF(ISBLANK((VLOOKUP($A116,'local-plan-data'!$C$1:$AD$566,27,FALSE)))=TRUE,"",VLOOKUP($A116,'local-plan-data'!$C$1:$AD$566,27,FALSE))</f>
        <v>44034</v>
      </c>
      <c r="I116" s="263">
        <f>VLOOKUP($A116,'local-plan-data'!$C$1:$AD$566,28,FALSE)</f>
        <v>1330</v>
      </c>
      <c r="J116" s="264">
        <f t="shared" si="70"/>
        <v>1330</v>
      </c>
      <c r="K116" s="259">
        <f t="shared" si="96"/>
        <v>1330</v>
      </c>
      <c r="L116" s="259">
        <f t="shared" si="93"/>
        <v>1330</v>
      </c>
      <c r="M116" s="259">
        <f t="shared" si="93"/>
        <v>1330</v>
      </c>
      <c r="N116" s="259">
        <f t="shared" si="93"/>
        <v>1330</v>
      </c>
      <c r="O116" s="259">
        <f t="shared" si="93"/>
        <v>1330</v>
      </c>
      <c r="P116" s="259">
        <f t="shared" si="93"/>
        <v>1330</v>
      </c>
      <c r="Q116" s="259">
        <f t="shared" si="93"/>
        <v>1330</v>
      </c>
      <c r="R116" s="259">
        <f t="shared" si="93"/>
        <v>1330</v>
      </c>
      <c r="S116" s="259">
        <f t="shared" si="97"/>
        <v>2669</v>
      </c>
      <c r="T116" s="259">
        <f t="shared" si="94"/>
        <v>2304</v>
      </c>
      <c r="U116" s="259">
        <f t="shared" si="94"/>
        <v>1938</v>
      </c>
      <c r="V116" s="259">
        <f t="shared" si="94"/>
        <v>1573</v>
      </c>
      <c r="W116" s="259">
        <f t="shared" si="94"/>
        <v>1208</v>
      </c>
      <c r="X116" s="259">
        <f t="shared" si="94"/>
        <v>843</v>
      </c>
      <c r="Y116" s="259">
        <f t="shared" si="94"/>
        <v>477</v>
      </c>
      <c r="Z116" s="259">
        <f t="shared" si="94"/>
        <v>112</v>
      </c>
      <c r="AA116" s="267">
        <f>(VLOOKUP(A116,Hshldprojections2014!$A$2:$AW$319,40, FALSE)-VLOOKUP(A116,Hshldprojections2014!$A$2:$AW$319,30, FALSE))/10</f>
        <v>2239.1</v>
      </c>
      <c r="AB116" s="267">
        <f>(VLOOKUP(A116,Hshldprojections2014!$A$2:$AW$319,41, FALSE)-VLOOKUP(A116,Hshldprojections2014!$A$2:$AW$319,31, FALSE))/10</f>
        <v>2195.5</v>
      </c>
      <c r="AC116" s="267">
        <f>(VLOOKUP(A116,Hshldprojections2014!$A$2:$AW$319,42, FALSE)-VLOOKUP(A116,Hshldprojections2014!$A$2:$AW$319,32, FALSE))/10</f>
        <v>2146</v>
      </c>
      <c r="AD116" s="267">
        <f>IF(IndividualLATest!$J$7=2014,(VLOOKUP($A116,Hshldprojections2014!$A$2:$AY$326,43,FALSE)-VLOOKUP($A116,Hshldprojections2014!$A$2:$AY$326,33,FALSE))/10,IF(IndividualLATest!$J$7=2016,(VLOOKUP($A116,Hshldprojections2016!$A$1:$AQ$322,33,FALSE)-VLOOKUP($A116,Hshldprojections2016!$A$1:$AQ$322,23,FALSE))/10,(VLOOKUP($A116,Hshldprojections2018!$A$1:$AQ$327,33,FALSE)-VLOOKUP($A116,Hshldprojections2018!$A$1:$AQ$327,23,FALSE))/10))</f>
        <v>1277.3</v>
      </c>
      <c r="AE116" s="267">
        <f>IF(IndividualLATest!$J$7=2014,(VLOOKUP($A116,Hshldprojections2014!$A$2:$AY$326,44,FALSE)-VLOOKUP($A116,Hshldprojections2014!$A$2:$AY$326,34,FALSE))/10,IF(IndividualLATest!$J$7=2016,(VLOOKUP($A116,Hshldprojections2016!$A$1:$AQ$322,34,FALSE)-VLOOKUP($A116,Hshldprojections2016!$A$1:$AQ$322,24,FALSE))/10,(VLOOKUP($A116,Hshldprojections2018!$A$1:$AQ$327,34,FALSE)-VLOOKUP($A116,Hshldprojections2018!$A$1:$AQ$327,24,FALSE))/10))</f>
        <v>1233.5</v>
      </c>
      <c r="AF116" s="267">
        <f>IF(IndividualLATest!$J$7=2014,(VLOOKUP($A116,Hshldprojections2014!$A$2:$AY$326,45,FALSE)-VLOOKUP($A116,Hshldprojections2014!$A$2:$AY$326,35,FALSE))/10,IF(IndividualLATest!$J$7=2016,(VLOOKUP($A116,Hshldprojections2016!$A$1:$AQ$322,35,FALSE)-VLOOKUP($A116,Hshldprojections2016!$A$1:$AQ$322,25,FALSE))/10,(VLOOKUP($A116,Hshldprojections2018!$A$1:$AQ$327,35,FALSE)-VLOOKUP($A116,Hshldprojections2018!$A$1:$AQ$327,25,FALSE))/10))</f>
        <v>1199.4000000000001</v>
      </c>
      <c r="AG116" s="267">
        <f>IF(IndividualLATest!$J$7=2014,(VLOOKUP($A116,Hshldprojections2014!$A$2:$AY$326,46,FALSE)-VLOOKUP($A116,Hshldprojections2014!$A$2:$AY$326,36,FALSE))/10,IF(IndividualLATest!$J$7=2016,(VLOOKUP($A116,Hshldprojections2016!$A$1:$AQ$322,36,FALSE)-VLOOKUP($A116,Hshldprojections2016!$A$1:$AQ$322,26,FALSE))/10,(VLOOKUP($A116,Hshldprojections2018!$A$1:$AQ$327,36,FALSE)-VLOOKUP($A116,Hshldprojections2018!$A$1:$AQ$327,26,FALSE))/10))</f>
        <v>1176.3</v>
      </c>
      <c r="AH116" s="267">
        <f>IF(IndividualLATest!$J$7=2014,(VLOOKUP($A116,Hshldprojections2014!$A$2:$AY$326,47,FALSE)-VLOOKUP($A116,Hshldprojections2014!$A$2:$AY$326,37,FALSE))/10,IF(IndividualLATest!$J$7=2016,(VLOOKUP($A116,Hshldprojections2016!$A$1:$AQ$322,37,FALSE)-VLOOKUP($A116,Hshldprojections2016!$A$1:$AQ$322,27,FALSE))/10,(VLOOKUP($A116,Hshldprojections2018!$A$1:$AQ$327,37,FALSE)-VLOOKUP($A116,Hshldprojections2018!$A$1:$AQ$327,27,FALSE))/10))</f>
        <v>1158.9000000000001</v>
      </c>
      <c r="AI116" s="268">
        <f>IF(ISNUMBER('Sensitivity Tests'!$C$30),'Sensitivity Tests'!$C$30,VLOOKUP($A116,AffordabilityRatio!$A$2:$I$321,5,FALSE))</f>
        <v>15.77</v>
      </c>
      <c r="AJ116" s="268">
        <f>IF(ISNUMBER('Sensitivity Tests'!$C$30),'Sensitivity Tests'!$C$30,VLOOKUP($A116,AffordabilityRatio!$A$2:$I$321,6,FALSE))</f>
        <v>15.59</v>
      </c>
      <c r="AK116" s="268">
        <f>IF(ISNUMBER('Sensitivity Tests'!$C$30),'Sensitivity Tests'!$C$30,VLOOKUP($A116,AffordabilityRatio!$A$2:$I$321,7,FALSE))</f>
        <v>16.420000000000002</v>
      </c>
      <c r="AL116" s="268">
        <f>IF(ISNUMBER('Sensitivity Tests'!$C$30),'Sensitivity Tests'!$C$30,IF((VLOOKUP($A116,AffordabilityRatio!$A$2:$I$321,8,FALSE))="",AK116,VLOOKUP($A116,AffordabilityRatio!$A$2:$I$321,8,FALSE)))</f>
        <v>17.28</v>
      </c>
      <c r="AM116" s="268">
        <f>IF(ISNUMBER('Sensitivity Tests'!$C$30),'Sensitivity Tests'!$C$30,IF((VLOOKUP($A116,AffordabilityRatio!$A$2:$I$321,9,FALSE))="",AL116,VLOOKUP($A116,AffordabilityRatio!$A$2:$I$321,9,FALSE)))</f>
        <v>14.92</v>
      </c>
      <c r="AN116" s="268">
        <f>IF(ISNUMBER('Sensitivity Tests'!$C$30),'Sensitivity Tests'!$C$30,IF((VLOOKUP($A116,AffordabilityRatio!$A$2:$I$321,9,FALSE))="",AM116,VLOOKUP($A116,AffordabilityRatio!$A$2:$I$321,9,FALSE)))</f>
        <v>14.92</v>
      </c>
      <c r="AO116" s="268">
        <f>IF(ISNUMBER('Sensitivity Tests'!$C$30),'Sensitivity Tests'!$C$30,IF((VLOOKUP($A116,AffordabilityRatio!$A$2:$I$321,9,FALSE))="",AN116,VLOOKUP($A116,AffordabilityRatio!$A$2:$I$321,9,FALSE)))</f>
        <v>14.92</v>
      </c>
      <c r="AP116" s="268">
        <f>IF(ISNUMBER('Sensitivity Tests'!$C$30),'Sensitivity Tests'!$C$30,IF((VLOOKUP($A116,AffordabilityRatio!$A$2:$I$321,9,FALSE))="",AO116,VLOOKUP($A116,AffordabilityRatio!$A$2:$I$321,9,FALSE)))</f>
        <v>14.92</v>
      </c>
      <c r="AQ116" s="267">
        <f t="shared" si="98"/>
        <v>3886</v>
      </c>
      <c r="AR116" s="267">
        <f t="shared" si="98"/>
        <v>3786</v>
      </c>
      <c r="AS116" s="267">
        <f t="shared" si="98"/>
        <v>3812</v>
      </c>
      <c r="AT116" s="267">
        <f t="shared" si="98"/>
        <v>2337</v>
      </c>
      <c r="AU116" s="267">
        <f t="shared" si="98"/>
        <v>2075</v>
      </c>
      <c r="AV116" s="267">
        <f t="shared" si="98"/>
        <v>2018</v>
      </c>
      <c r="AW116" s="267">
        <f t="shared" si="98"/>
        <v>1979</v>
      </c>
      <c r="AX116" s="267">
        <f t="shared" si="95"/>
        <v>1950</v>
      </c>
      <c r="AY116" s="267">
        <f t="shared" si="71"/>
        <v>1862</v>
      </c>
      <c r="AZ116" s="267">
        <f t="shared" si="72"/>
        <v>1862</v>
      </c>
      <c r="BA116" s="267">
        <f t="shared" si="73"/>
        <v>1862</v>
      </c>
      <c r="BB116" s="267">
        <f t="shared" si="74"/>
        <v>1862</v>
      </c>
      <c r="BC116" s="267">
        <f t="shared" si="75"/>
        <v>1862</v>
      </c>
      <c r="BD116" s="267">
        <f t="shared" si="76"/>
        <v>1862</v>
      </c>
      <c r="BE116" s="267">
        <f t="shared" si="77"/>
        <v>1862</v>
      </c>
      <c r="BF116" s="267">
        <f t="shared" si="78"/>
        <v>1862</v>
      </c>
      <c r="BG116" s="269">
        <f>AY116*VLOOKUP($B116,'Major Cities &amp; Towns'!$A$28:$B$345,2,FALSE)</f>
        <v>2513.7000000000003</v>
      </c>
      <c r="BH116" s="269">
        <f>AZ116*VLOOKUP($B116,'Major Cities &amp; Towns'!$A$28:$B$345,2,FALSE)</f>
        <v>2513.7000000000003</v>
      </c>
      <c r="BI116" s="269">
        <f>BA116*VLOOKUP($B116,'Major Cities &amp; Towns'!$A$28:$B$345,2,FALSE)</f>
        <v>2513.7000000000003</v>
      </c>
      <c r="BJ116" s="269">
        <f>BB116*VLOOKUP($B116,'Major Cities &amp; Towns'!$A$28:$B$345,2,FALSE)</f>
        <v>2513.7000000000003</v>
      </c>
      <c r="BK116" s="269">
        <f>BC116*VLOOKUP($B116,'Major Cities &amp; Towns'!$A$28:$B$345,2,FALSE)</f>
        <v>2513.7000000000003</v>
      </c>
      <c r="BL116" s="269">
        <f>BD116*VLOOKUP($B116,'Major Cities &amp; Towns'!$A$28:$B$345,2,FALSE)</f>
        <v>2513.7000000000003</v>
      </c>
      <c r="BM116" s="269">
        <f>BE116*VLOOKUP($B116,'Major Cities &amp; Towns'!$A$28:$B$345,2,FALSE)</f>
        <v>2513.7000000000003</v>
      </c>
      <c r="BN116" s="269">
        <f>BF116*VLOOKUP($B116,'Major Cities &amp; Towns'!$A$28:$B$345,2,FALSE)</f>
        <v>2513.7000000000003</v>
      </c>
      <c r="BO116" s="270">
        <f t="shared" si="79"/>
        <v>1330</v>
      </c>
      <c r="BP116" s="270">
        <f t="shared" si="100"/>
        <v>1330</v>
      </c>
      <c r="BQ116" s="270">
        <f t="shared" si="100"/>
        <v>1330</v>
      </c>
      <c r="BR116" s="270">
        <f t="shared" si="100"/>
        <v>1330</v>
      </c>
      <c r="BS116" s="270">
        <f t="shared" si="100"/>
        <v>1330</v>
      </c>
      <c r="BT116" s="270">
        <f t="shared" si="100"/>
        <v>1330</v>
      </c>
      <c r="BU116" s="270">
        <f t="shared" si="100"/>
        <v>1330</v>
      </c>
      <c r="BV116" s="270">
        <f t="shared" si="99"/>
        <v>1759.7534246575344</v>
      </c>
      <c r="BW116" s="39">
        <f>VLOOKUP($A116,NetAdditions!$A$2:$H$336,6,FALSE)</f>
        <v>1522</v>
      </c>
      <c r="BX116" s="39">
        <f>VLOOKUP($A116,NetAdditions!$A$2:$H$336,7,FALSE)</f>
        <v>646</v>
      </c>
      <c r="BY116" s="39">
        <f>IF((VLOOKUP($C116,NetAdditions!$A$2:$H$336,8,FALSE))="",(AVERAGE(VLOOKUP($C116,NetAdditions!$A$2:$H$336,5,FALSE),VLOOKUP($C116,NetAdditions!$A$2:$H$336,6,FALSE),VLOOKUP($C116,NetAdditions!$A$2:$H$336,7,FALSE))),VLOOKUP($C116,NetAdditions!$A$2:$H$336,8,FALSE))</f>
        <v>969</v>
      </c>
      <c r="BZ116" s="39">
        <f t="shared" si="54"/>
        <v>1045.6666666666667</v>
      </c>
      <c r="CA116" s="39">
        <f t="shared" si="54"/>
        <v>886.88888888888903</v>
      </c>
      <c r="CB116" s="39">
        <f t="shared" si="54"/>
        <v>967.18518518518522</v>
      </c>
      <c r="CC116" s="39">
        <f t="shared" si="54"/>
        <v>966.58024691358025</v>
      </c>
      <c r="CD116" s="39">
        <f t="shared" si="54"/>
        <v>940.2181069958848</v>
      </c>
      <c r="CE116" s="276">
        <f t="shared" si="55"/>
        <v>3990</v>
      </c>
      <c r="CF116" s="276">
        <f t="shared" si="56"/>
        <v>3990</v>
      </c>
      <c r="CG116" s="276">
        <f t="shared" si="57"/>
        <v>3990</v>
      </c>
      <c r="CH116" s="276">
        <f t="shared" si="58"/>
        <v>3990</v>
      </c>
      <c r="CI116" s="276">
        <f t="shared" si="59"/>
        <v>3990</v>
      </c>
      <c r="CJ116" s="276">
        <f t="shared" si="60"/>
        <v>4419.7534246575342</v>
      </c>
      <c r="CK116" s="276">
        <f t="shared" si="80"/>
        <v>3435.8333333333335</v>
      </c>
      <c r="CL116" s="276">
        <f t="shared" si="81"/>
        <v>3435.8333333333335</v>
      </c>
      <c r="CM116" s="276">
        <f t="shared" si="82"/>
        <v>3657.5</v>
      </c>
      <c r="CN116" s="276">
        <f t="shared" si="83"/>
        <v>3990</v>
      </c>
      <c r="CO116" s="276">
        <f t="shared" si="83"/>
        <v>3990</v>
      </c>
      <c r="CP116" s="276">
        <f t="shared" si="83"/>
        <v>4419.7534246575342</v>
      </c>
      <c r="CQ116" s="39">
        <f t="shared" si="61"/>
        <v>3137</v>
      </c>
      <c r="CR116" s="39">
        <f t="shared" si="62"/>
        <v>2660.666666666667</v>
      </c>
      <c r="CS116" s="277">
        <f t="shared" si="63"/>
        <v>2901.5555555555557</v>
      </c>
      <c r="CT116" s="39">
        <f t="shared" si="64"/>
        <v>2899.7407407407409</v>
      </c>
      <c r="CU116" s="39">
        <f t="shared" si="65"/>
        <v>2820.6543209876545</v>
      </c>
      <c r="CV116" s="39">
        <f t="shared" si="66"/>
        <v>2873.98353909465</v>
      </c>
      <c r="CW116" s="297">
        <f t="shared" si="67"/>
        <v>0.91302449672568509</v>
      </c>
      <c r="CX116" s="279" t="str">
        <f t="shared" si="84"/>
        <v>Action Plan</v>
      </c>
      <c r="CY116" s="278">
        <f t="shared" si="68"/>
        <v>0.77438758185787049</v>
      </c>
      <c r="CZ116" s="279" t="str">
        <f t="shared" si="85"/>
        <v>Buffer and Action Plan</v>
      </c>
      <c r="DA116" s="278">
        <f t="shared" si="69"/>
        <v>0.79331662489557231</v>
      </c>
      <c r="DB116" s="292" t="str">
        <f t="shared" si="86"/>
        <v>Buffer and Action Plan</v>
      </c>
      <c r="DC116" s="299">
        <f t="shared" si="87"/>
        <v>0.72675206534855663</v>
      </c>
      <c r="DD116" s="293" t="str">
        <f t="shared" si="88"/>
        <v>Presumption</v>
      </c>
      <c r="DE116" s="299">
        <f t="shared" si="89"/>
        <v>0.70693090751570287</v>
      </c>
      <c r="DF116" s="293" t="str">
        <f t="shared" si="90"/>
        <v>Presumption</v>
      </c>
      <c r="DG116" s="299">
        <f t="shared" si="91"/>
        <v>0.6502587956741821</v>
      </c>
      <c r="DH116" s="293" t="str">
        <f t="shared" si="92"/>
        <v>Presumption</v>
      </c>
    </row>
    <row r="117" spans="1:112" ht="15" thickTop="1" thickBot="1">
      <c r="A117" s="38" t="s">
        <v>344</v>
      </c>
      <c r="B117" s="38" t="s">
        <v>345</v>
      </c>
      <c r="C117" s="38" t="s">
        <v>344</v>
      </c>
      <c r="D117" s="38" t="s">
        <v>116</v>
      </c>
      <c r="E117" s="38" t="str">
        <f>VLOOKUP(C117,PoliticalControl!A:K,11,FALSE)</f>
        <v>LAB</v>
      </c>
      <c r="F117" s="38" t="str">
        <f>VLOOKUP(C117,UrbanRuralClassification!A:N,13,FALSE)</f>
        <v>Urban with City and Town</v>
      </c>
      <c r="G117" s="38" t="str">
        <f>VLOOKUP(C117,UrbanRuralClassification!A:N,14,FALSE)</f>
        <v>Predominantly Urban</v>
      </c>
      <c r="H117" s="258">
        <f>IF(ISBLANK((VLOOKUP($A117,'local-plan-data'!$C$1:$AD$566,27,FALSE)))=TRUE,"",VLOOKUP($A117,'local-plan-data'!$C$1:$AD$566,27,FALSE))</f>
        <v>41381</v>
      </c>
      <c r="I117" s="259">
        <f>VLOOKUP($A117,'local-plan-data'!$C$1:$AD$566,28,FALSE)</f>
        <v>551.66666666666663</v>
      </c>
      <c r="J117" s="260">
        <f t="shared" si="70"/>
        <v>551.66666666666663</v>
      </c>
      <c r="K117" s="259">
        <f t="shared" si="96"/>
        <v>551.66666666666663</v>
      </c>
      <c r="L117" s="259" t="str">
        <f t="shared" si="93"/>
        <v>-</v>
      </c>
      <c r="M117" s="259" t="str">
        <f t="shared" si="93"/>
        <v>-</v>
      </c>
      <c r="N117" s="259" t="str">
        <f t="shared" si="93"/>
        <v>-</v>
      </c>
      <c r="O117" s="259" t="str">
        <f t="shared" si="93"/>
        <v>-</v>
      </c>
      <c r="P117" s="259" t="str">
        <f t="shared" si="93"/>
        <v>-</v>
      </c>
      <c r="Q117" s="259" t="str">
        <f t="shared" si="93"/>
        <v>-</v>
      </c>
      <c r="R117" s="259" t="str">
        <f t="shared" si="93"/>
        <v>-</v>
      </c>
      <c r="S117" s="259">
        <f t="shared" si="97"/>
        <v>16</v>
      </c>
      <c r="T117" s="259">
        <f t="shared" si="94"/>
        <v>-349</v>
      </c>
      <c r="U117" s="259">
        <f t="shared" si="94"/>
        <v>-715</v>
      </c>
      <c r="V117" s="259">
        <f t="shared" si="94"/>
        <v>-1080</v>
      </c>
      <c r="W117" s="259">
        <f t="shared" si="94"/>
        <v>-1445</v>
      </c>
      <c r="X117" s="259">
        <f t="shared" si="94"/>
        <v>-1810</v>
      </c>
      <c r="Y117" s="259">
        <f t="shared" si="94"/>
        <v>-2176</v>
      </c>
      <c r="Z117" s="259">
        <f t="shared" si="94"/>
        <v>-2541</v>
      </c>
      <c r="AA117" s="267">
        <f>(VLOOKUP(A117,Hshldprojections2014!$A$2:$AW$319,40, FALSE)-VLOOKUP(A117,Hshldprojections2014!$A$2:$AW$319,30, FALSE))/10</f>
        <v>252.2</v>
      </c>
      <c r="AB117" s="267">
        <f>(VLOOKUP(A117,Hshldprojections2014!$A$2:$AW$319,41, FALSE)-VLOOKUP(A117,Hshldprojections2014!$A$2:$AW$319,31, FALSE))/10</f>
        <v>241.2</v>
      </c>
      <c r="AC117" s="267">
        <f>(VLOOKUP(A117,Hshldprojections2014!$A$2:$AW$319,42, FALSE)-VLOOKUP(A117,Hshldprojections2014!$A$2:$AW$319,32, FALSE))/10</f>
        <v>233.9</v>
      </c>
      <c r="AD117" s="267">
        <f>IF(IndividualLATest!$J$7=2014,(VLOOKUP($A117,Hshldprojections2014!$A$2:$AY$326,43,FALSE)-VLOOKUP($A117,Hshldprojections2014!$A$2:$AY$326,33,FALSE))/10,IF(IndividualLATest!$J$7=2016,(VLOOKUP($A117,Hshldprojections2016!$A$1:$AQ$322,33,FALSE)-VLOOKUP($A117,Hshldprojections2016!$A$1:$AQ$322,23,FALSE))/10,(VLOOKUP($A117,Hshldprojections2018!$A$1:$AQ$327,33,FALSE)-VLOOKUP($A117,Hshldprojections2018!$A$1:$AQ$327,23,FALSE))/10))</f>
        <v>344.1</v>
      </c>
      <c r="AE117" s="267">
        <f>IF(IndividualLATest!$J$7=2014,(VLOOKUP($A117,Hshldprojections2014!$A$2:$AY$326,44,FALSE)-VLOOKUP($A117,Hshldprojections2014!$A$2:$AY$326,34,FALSE))/10,IF(IndividualLATest!$J$7=2016,(VLOOKUP($A117,Hshldprojections2016!$A$1:$AQ$322,34,FALSE)-VLOOKUP($A117,Hshldprojections2016!$A$1:$AQ$322,24,FALSE))/10,(VLOOKUP($A117,Hshldprojections2018!$A$1:$AQ$327,34,FALSE)-VLOOKUP($A117,Hshldprojections2018!$A$1:$AQ$327,24,FALSE))/10))</f>
        <v>335.4</v>
      </c>
      <c r="AF117" s="267">
        <f>IF(IndividualLATest!$J$7=2014,(VLOOKUP($A117,Hshldprojections2014!$A$2:$AY$326,45,FALSE)-VLOOKUP($A117,Hshldprojections2014!$A$2:$AY$326,35,FALSE))/10,IF(IndividualLATest!$J$7=2016,(VLOOKUP($A117,Hshldprojections2016!$A$1:$AQ$322,35,FALSE)-VLOOKUP($A117,Hshldprojections2016!$A$1:$AQ$322,25,FALSE))/10,(VLOOKUP($A117,Hshldprojections2018!$A$1:$AQ$327,35,FALSE)-VLOOKUP($A117,Hshldprojections2018!$A$1:$AQ$327,25,FALSE))/10))</f>
        <v>328.9</v>
      </c>
      <c r="AG117" s="267">
        <f>IF(IndividualLATest!$J$7=2014,(VLOOKUP($A117,Hshldprojections2014!$A$2:$AY$326,46,FALSE)-VLOOKUP($A117,Hshldprojections2014!$A$2:$AY$326,36,FALSE))/10,IF(IndividualLATest!$J$7=2016,(VLOOKUP($A117,Hshldprojections2016!$A$1:$AQ$322,36,FALSE)-VLOOKUP($A117,Hshldprojections2016!$A$1:$AQ$322,26,FALSE))/10,(VLOOKUP($A117,Hshldprojections2018!$A$1:$AQ$327,36,FALSE)-VLOOKUP($A117,Hshldprojections2018!$A$1:$AQ$327,26,FALSE))/10))</f>
        <v>320.10000000000002</v>
      </c>
      <c r="AH117" s="267">
        <f>IF(IndividualLATest!$J$7=2014,(VLOOKUP($A117,Hshldprojections2014!$A$2:$AY$326,47,FALSE)-VLOOKUP($A117,Hshldprojections2014!$A$2:$AY$326,37,FALSE))/10,IF(IndividualLATest!$J$7=2016,(VLOOKUP($A117,Hshldprojections2016!$A$1:$AQ$322,37,FALSE)-VLOOKUP($A117,Hshldprojections2016!$A$1:$AQ$322,27,FALSE))/10,(VLOOKUP($A117,Hshldprojections2018!$A$1:$AQ$327,37,FALSE)-VLOOKUP($A117,Hshldprojections2018!$A$1:$AQ$327,27,FALSE))/10))</f>
        <v>315.10000000000002</v>
      </c>
      <c r="AI117" s="268">
        <f>IF(ISNUMBER('Sensitivity Tests'!$C$30),'Sensitivity Tests'!$C$30,VLOOKUP($A117,AffordabilityRatio!$A$2:$I$321,5,FALSE))</f>
        <v>4.76</v>
      </c>
      <c r="AJ117" s="268">
        <f>IF(ISNUMBER('Sensitivity Tests'!$C$30),'Sensitivity Tests'!$C$30,VLOOKUP($A117,AffordabilityRatio!$A$2:$I$321,6,FALSE))</f>
        <v>4.79</v>
      </c>
      <c r="AK117" s="268">
        <f>IF(ISNUMBER('Sensitivity Tests'!$C$30),'Sensitivity Tests'!$C$30,VLOOKUP($A117,AffordabilityRatio!$A$2:$I$321,7,FALSE))</f>
        <v>4.92</v>
      </c>
      <c r="AL117" s="268">
        <f>IF(ISNUMBER('Sensitivity Tests'!$C$30),'Sensitivity Tests'!$C$30,IF((VLOOKUP($A117,AffordabilityRatio!$A$2:$I$321,8,FALSE))="",AK117,VLOOKUP($A117,AffordabilityRatio!$A$2:$I$321,8,FALSE)))</f>
        <v>4.87</v>
      </c>
      <c r="AM117" s="268">
        <f>IF(ISNUMBER('Sensitivity Tests'!$C$30),'Sensitivity Tests'!$C$30,IF((VLOOKUP($A117,AffordabilityRatio!$A$2:$I$321,9,FALSE))="",AL117,VLOOKUP($A117,AffordabilityRatio!$A$2:$I$321,9,FALSE)))</f>
        <v>5.47</v>
      </c>
      <c r="AN117" s="268">
        <f>IF(ISNUMBER('Sensitivity Tests'!$C$30),'Sensitivity Tests'!$C$30,IF((VLOOKUP($A117,AffordabilityRatio!$A$2:$I$321,9,FALSE))="",AM117,VLOOKUP($A117,AffordabilityRatio!$A$2:$I$321,9,FALSE)))</f>
        <v>5.47</v>
      </c>
      <c r="AO117" s="268">
        <f>IF(ISNUMBER('Sensitivity Tests'!$C$30),'Sensitivity Tests'!$C$30,IF((VLOOKUP($A117,AffordabilityRatio!$A$2:$I$321,9,FALSE))="",AN117,VLOOKUP($A117,AffordabilityRatio!$A$2:$I$321,9,FALSE)))</f>
        <v>5.47</v>
      </c>
      <c r="AP117" s="268">
        <f>IF(ISNUMBER('Sensitivity Tests'!$C$30),'Sensitivity Tests'!$C$30,IF((VLOOKUP($A117,AffordabilityRatio!$A$2:$I$321,9,FALSE))="",AO117,VLOOKUP($A117,AffordabilityRatio!$A$2:$I$321,9,FALSE)))</f>
        <v>5.47</v>
      </c>
      <c r="AQ117" s="267">
        <f t="shared" si="98"/>
        <v>264</v>
      </c>
      <c r="AR117" s="267">
        <f t="shared" si="98"/>
        <v>253</v>
      </c>
      <c r="AS117" s="267">
        <f t="shared" si="98"/>
        <v>247</v>
      </c>
      <c r="AT117" s="267">
        <f t="shared" si="98"/>
        <v>363</v>
      </c>
      <c r="AU117" s="267">
        <f t="shared" si="98"/>
        <v>366</v>
      </c>
      <c r="AV117" s="267">
        <f t="shared" si="98"/>
        <v>359</v>
      </c>
      <c r="AW117" s="267">
        <f t="shared" si="98"/>
        <v>350</v>
      </c>
      <c r="AX117" s="267">
        <f t="shared" si="95"/>
        <v>344</v>
      </c>
      <c r="AY117" s="267">
        <f t="shared" si="71"/>
        <v>264</v>
      </c>
      <c r="AZ117" s="267">
        <f t="shared" si="72"/>
        <v>253</v>
      </c>
      <c r="BA117" s="267">
        <f t="shared" si="73"/>
        <v>247</v>
      </c>
      <c r="BB117" s="267">
        <f t="shared" si="74"/>
        <v>363</v>
      </c>
      <c r="BC117" s="267">
        <f t="shared" si="75"/>
        <v>366</v>
      </c>
      <c r="BD117" s="267">
        <f t="shared" si="76"/>
        <v>359</v>
      </c>
      <c r="BE117" s="267">
        <f t="shared" si="77"/>
        <v>350</v>
      </c>
      <c r="BF117" s="267">
        <f t="shared" si="78"/>
        <v>344</v>
      </c>
      <c r="BG117" s="269">
        <f>AY117*VLOOKUP($B117,'Major Cities &amp; Towns'!$A$28:$B$345,2,FALSE)</f>
        <v>264</v>
      </c>
      <c r="BH117" s="269">
        <f>AZ117*VLOOKUP($B117,'Major Cities &amp; Towns'!$A$28:$B$345,2,FALSE)</f>
        <v>253</v>
      </c>
      <c r="BI117" s="269">
        <f>BA117*VLOOKUP($B117,'Major Cities &amp; Towns'!$A$28:$B$345,2,FALSE)</f>
        <v>247</v>
      </c>
      <c r="BJ117" s="269">
        <f>BB117*VLOOKUP($B117,'Major Cities &amp; Towns'!$A$28:$B$345,2,FALSE)</f>
        <v>363</v>
      </c>
      <c r="BK117" s="269">
        <f>BC117*VLOOKUP($B117,'Major Cities &amp; Towns'!$A$28:$B$345,2,FALSE)</f>
        <v>366</v>
      </c>
      <c r="BL117" s="269">
        <f>BD117*VLOOKUP($B117,'Major Cities &amp; Towns'!$A$28:$B$345,2,FALSE)</f>
        <v>359</v>
      </c>
      <c r="BM117" s="269">
        <f>BE117*VLOOKUP($B117,'Major Cities &amp; Towns'!$A$28:$B$345,2,FALSE)</f>
        <v>350</v>
      </c>
      <c r="BN117" s="269">
        <f>BF117*VLOOKUP($B117,'Major Cities &amp; Towns'!$A$28:$B$345,2,FALSE)</f>
        <v>344</v>
      </c>
      <c r="BO117" s="270">
        <f t="shared" si="79"/>
        <v>264</v>
      </c>
      <c r="BP117" s="270">
        <f t="shared" si="100"/>
        <v>253</v>
      </c>
      <c r="BQ117" s="270">
        <f t="shared" si="100"/>
        <v>247</v>
      </c>
      <c r="BR117" s="270">
        <f t="shared" si="100"/>
        <v>363</v>
      </c>
      <c r="BS117" s="270">
        <f t="shared" si="100"/>
        <v>366</v>
      </c>
      <c r="BT117" s="270">
        <f t="shared" si="100"/>
        <v>359</v>
      </c>
      <c r="BU117" s="270">
        <f t="shared" si="100"/>
        <v>350</v>
      </c>
      <c r="BV117" s="270">
        <f t="shared" si="99"/>
        <v>344</v>
      </c>
      <c r="BW117" s="39">
        <f>VLOOKUP($A117,NetAdditions!$A$2:$H$336,6,FALSE)</f>
        <v>597</v>
      </c>
      <c r="BX117" s="39">
        <f>VLOOKUP($A117,NetAdditions!$A$2:$H$336,7,FALSE)</f>
        <v>601</v>
      </c>
      <c r="BY117" s="39">
        <f>IF((VLOOKUP($C117,NetAdditions!$A$2:$H$336,8,FALSE))="",(AVERAGE(VLOOKUP($C117,NetAdditions!$A$2:$H$336,5,FALSE),VLOOKUP($C117,NetAdditions!$A$2:$H$336,6,FALSE),VLOOKUP($C117,NetAdditions!$A$2:$H$336,7,FALSE))),VLOOKUP($C117,NetAdditions!$A$2:$H$336,8,FALSE))</f>
        <v>97</v>
      </c>
      <c r="BZ117" s="39">
        <f t="shared" si="54"/>
        <v>431.66666666666669</v>
      </c>
      <c r="CA117" s="39">
        <f t="shared" si="54"/>
        <v>376.5555555555556</v>
      </c>
      <c r="CB117" s="39">
        <f t="shared" si="54"/>
        <v>301.74074074074082</v>
      </c>
      <c r="CC117" s="39">
        <f t="shared" si="54"/>
        <v>369.9876543209877</v>
      </c>
      <c r="CD117" s="39">
        <f t="shared" si="54"/>
        <v>349.42798353909467</v>
      </c>
      <c r="CE117" s="276">
        <f t="shared" si="55"/>
        <v>764</v>
      </c>
      <c r="CF117" s="276">
        <f t="shared" si="56"/>
        <v>863</v>
      </c>
      <c r="CG117" s="276">
        <f t="shared" si="57"/>
        <v>976</v>
      </c>
      <c r="CH117" s="276">
        <f t="shared" si="58"/>
        <v>1088</v>
      </c>
      <c r="CI117" s="276">
        <f t="shared" si="59"/>
        <v>1075</v>
      </c>
      <c r="CJ117" s="276">
        <f t="shared" si="60"/>
        <v>1053</v>
      </c>
      <c r="CK117" s="276">
        <f t="shared" si="80"/>
        <v>657.88888888888891</v>
      </c>
      <c r="CL117" s="276">
        <f t="shared" si="81"/>
        <v>743.13888888888891</v>
      </c>
      <c r="CM117" s="276">
        <f t="shared" si="82"/>
        <v>894.66666666666663</v>
      </c>
      <c r="CN117" s="276">
        <f t="shared" si="83"/>
        <v>1088</v>
      </c>
      <c r="CO117" s="276">
        <f t="shared" si="83"/>
        <v>1075</v>
      </c>
      <c r="CP117" s="276">
        <f t="shared" si="83"/>
        <v>1053</v>
      </c>
      <c r="CQ117" s="39">
        <f t="shared" si="61"/>
        <v>1295</v>
      </c>
      <c r="CR117" s="39">
        <f t="shared" si="62"/>
        <v>1129.6666666666667</v>
      </c>
      <c r="CS117" s="277">
        <f t="shared" si="63"/>
        <v>905.2222222222224</v>
      </c>
      <c r="CT117" s="39">
        <f t="shared" si="64"/>
        <v>1109.962962962963</v>
      </c>
      <c r="CU117" s="39">
        <f t="shared" si="65"/>
        <v>1048.2839506172841</v>
      </c>
      <c r="CV117" s="39">
        <f t="shared" si="66"/>
        <v>1021.1563786008232</v>
      </c>
      <c r="CW117" s="297">
        <f t="shared" si="67"/>
        <v>1.9684174970444182</v>
      </c>
      <c r="CX117" s="279" t="str">
        <f t="shared" si="84"/>
        <v>Pass</v>
      </c>
      <c r="CY117" s="278">
        <f t="shared" si="68"/>
        <v>1.5201285837102381</v>
      </c>
      <c r="CZ117" s="279" t="str">
        <f t="shared" si="85"/>
        <v>Pass</v>
      </c>
      <c r="DA117" s="278">
        <f t="shared" si="69"/>
        <v>1.011798310978639</v>
      </c>
      <c r="DB117" s="292" t="str">
        <f t="shared" si="86"/>
        <v>Pass</v>
      </c>
      <c r="DC117" s="299">
        <f t="shared" si="87"/>
        <v>1.0201865468409588</v>
      </c>
      <c r="DD117" s="293" t="str">
        <f t="shared" si="88"/>
        <v>Pass</v>
      </c>
      <c r="DE117" s="299">
        <f t="shared" si="89"/>
        <v>0.97514786103933404</v>
      </c>
      <c r="DF117" s="293" t="str">
        <f t="shared" si="90"/>
        <v>Pass</v>
      </c>
      <c r="DG117" s="299">
        <f t="shared" si="91"/>
        <v>0.96975914397039242</v>
      </c>
      <c r="DH117" s="293" t="str">
        <f t="shared" si="92"/>
        <v>Pass</v>
      </c>
    </row>
    <row r="118" spans="1:112" ht="15" thickTop="1" thickBot="1">
      <c r="A118" s="38" t="s">
        <v>346</v>
      </c>
      <c r="B118" s="38" t="s">
        <v>347</v>
      </c>
      <c r="C118" s="38" t="s">
        <v>346</v>
      </c>
      <c r="D118" s="38" t="s">
        <v>136</v>
      </c>
      <c r="E118" s="38" t="str">
        <f>VLOOKUP(C118,PoliticalControl!A:K,11,FALSE)</f>
        <v>CON</v>
      </c>
      <c r="F118" s="38" t="str">
        <f>VLOOKUP(C118,UrbanRuralClassification!A:N,13,FALSE)</f>
        <v xml:space="preserve">Mainly Rural (rural including hub towns &gt;=80%) </v>
      </c>
      <c r="G118" s="38" t="str">
        <f>VLOOKUP(C118,UrbanRuralClassification!A:N,14,FALSE)</f>
        <v>Predominantly Rural</v>
      </c>
      <c r="H118" s="258">
        <f>IF(ISBLANK((VLOOKUP($A118,'local-plan-data'!$C$1:$AD$566,27,FALSE)))=TRUE,"",VLOOKUP($A118,'local-plan-data'!$C$1:$AD$566,27,FALSE))</f>
        <v>39175</v>
      </c>
      <c r="I118" s="259">
        <f>VLOOKUP($A118,'local-plan-data'!$C$1:$AD$566,28,FALSE)</f>
        <v>293.52941176470586</v>
      </c>
      <c r="J118" s="260">
        <f t="shared" si="70"/>
        <v>293.52941176470586</v>
      </c>
      <c r="K118" s="259" t="str">
        <f t="shared" si="96"/>
        <v>-</v>
      </c>
      <c r="L118" s="259" t="str">
        <f t="shared" si="93"/>
        <v>-</v>
      </c>
      <c r="M118" s="259" t="str">
        <f t="shared" si="93"/>
        <v>-</v>
      </c>
      <c r="N118" s="259" t="str">
        <f t="shared" si="93"/>
        <v>-</v>
      </c>
      <c r="O118" s="259" t="str">
        <f t="shared" si="93"/>
        <v>-</v>
      </c>
      <c r="P118" s="259" t="str">
        <f t="shared" si="93"/>
        <v>-</v>
      </c>
      <c r="Q118" s="259" t="str">
        <f t="shared" si="93"/>
        <v>-</v>
      </c>
      <c r="R118" s="259" t="str">
        <f t="shared" si="93"/>
        <v>-</v>
      </c>
      <c r="S118" s="259">
        <f t="shared" si="97"/>
        <v>-2189</v>
      </c>
      <c r="T118" s="259">
        <f t="shared" si="94"/>
        <v>-2554</v>
      </c>
      <c r="U118" s="259">
        <f t="shared" si="94"/>
        <v>-2920</v>
      </c>
      <c r="V118" s="259">
        <f t="shared" si="94"/>
        <v>-3285</v>
      </c>
      <c r="W118" s="259">
        <f t="shared" si="94"/>
        <v>-3650</v>
      </c>
      <c r="X118" s="259">
        <f t="shared" si="94"/>
        <v>-4015</v>
      </c>
      <c r="Y118" s="259">
        <f t="shared" si="94"/>
        <v>-4381</v>
      </c>
      <c r="Z118" s="259">
        <f t="shared" si="94"/>
        <v>-4746</v>
      </c>
      <c r="AA118" s="267">
        <f>(VLOOKUP(A118,Hshldprojections2014!$A$2:$AW$319,40, FALSE)-VLOOKUP(A118,Hshldprojections2014!$A$2:$AW$319,30, FALSE))/10</f>
        <v>164.6</v>
      </c>
      <c r="AB118" s="267">
        <f>(VLOOKUP(A118,Hshldprojections2014!$A$2:$AW$319,41, FALSE)-VLOOKUP(A118,Hshldprojections2014!$A$2:$AW$319,31, FALSE))/10</f>
        <v>156.30000000000001</v>
      </c>
      <c r="AC118" s="267">
        <f>(VLOOKUP(A118,Hshldprojections2014!$A$2:$AW$319,42, FALSE)-VLOOKUP(A118,Hshldprojections2014!$A$2:$AW$319,32, FALSE))/10</f>
        <v>149.4</v>
      </c>
      <c r="AD118" s="267">
        <f>IF(IndividualLATest!$J$7=2014,(VLOOKUP($A118,Hshldprojections2014!$A$2:$AY$326,43,FALSE)-VLOOKUP($A118,Hshldprojections2014!$A$2:$AY$326,33,FALSE))/10,IF(IndividualLATest!$J$7=2016,(VLOOKUP($A118,Hshldprojections2016!$A$1:$AQ$322,33,FALSE)-VLOOKUP($A118,Hshldprojections2016!$A$1:$AQ$322,23,FALSE))/10,(VLOOKUP($A118,Hshldprojections2018!$A$1:$AQ$327,33,FALSE)-VLOOKUP($A118,Hshldprojections2018!$A$1:$AQ$327,23,FALSE))/10))</f>
        <v>189.4</v>
      </c>
      <c r="AE118" s="267">
        <f>IF(IndividualLATest!$J$7=2014,(VLOOKUP($A118,Hshldprojections2014!$A$2:$AY$326,44,FALSE)-VLOOKUP($A118,Hshldprojections2014!$A$2:$AY$326,34,FALSE))/10,IF(IndividualLATest!$J$7=2016,(VLOOKUP($A118,Hshldprojections2016!$A$1:$AQ$322,34,FALSE)-VLOOKUP($A118,Hshldprojections2016!$A$1:$AQ$322,24,FALSE))/10,(VLOOKUP($A118,Hshldprojections2018!$A$1:$AQ$327,34,FALSE)-VLOOKUP($A118,Hshldprojections2018!$A$1:$AQ$327,24,FALSE))/10))</f>
        <v>179.6</v>
      </c>
      <c r="AF118" s="267">
        <f>IF(IndividualLATest!$J$7=2014,(VLOOKUP($A118,Hshldprojections2014!$A$2:$AY$326,45,FALSE)-VLOOKUP($A118,Hshldprojections2014!$A$2:$AY$326,35,FALSE))/10,IF(IndividualLATest!$J$7=2016,(VLOOKUP($A118,Hshldprojections2016!$A$1:$AQ$322,35,FALSE)-VLOOKUP($A118,Hshldprojections2016!$A$1:$AQ$322,25,FALSE))/10,(VLOOKUP($A118,Hshldprojections2018!$A$1:$AQ$327,35,FALSE)-VLOOKUP($A118,Hshldprojections2018!$A$1:$AQ$327,25,FALSE))/10))</f>
        <v>172.6</v>
      </c>
      <c r="AG118" s="267">
        <f>IF(IndividualLATest!$J$7=2014,(VLOOKUP($A118,Hshldprojections2014!$A$2:$AY$326,46,FALSE)-VLOOKUP($A118,Hshldprojections2014!$A$2:$AY$326,36,FALSE))/10,IF(IndividualLATest!$J$7=2016,(VLOOKUP($A118,Hshldprojections2016!$A$1:$AQ$322,36,FALSE)-VLOOKUP($A118,Hshldprojections2016!$A$1:$AQ$322,26,FALSE))/10,(VLOOKUP($A118,Hshldprojections2018!$A$1:$AQ$327,36,FALSE)-VLOOKUP($A118,Hshldprojections2018!$A$1:$AQ$327,26,FALSE))/10))</f>
        <v>166.2</v>
      </c>
      <c r="AH118" s="267">
        <f>IF(IndividualLATest!$J$7=2014,(VLOOKUP($A118,Hshldprojections2014!$A$2:$AY$326,47,FALSE)-VLOOKUP($A118,Hshldprojections2014!$A$2:$AY$326,37,FALSE))/10,IF(IndividualLATest!$J$7=2016,(VLOOKUP($A118,Hshldprojections2016!$A$1:$AQ$322,37,FALSE)-VLOOKUP($A118,Hshldprojections2016!$A$1:$AQ$322,27,FALSE))/10,(VLOOKUP($A118,Hshldprojections2018!$A$1:$AQ$327,37,FALSE)-VLOOKUP($A118,Hshldprojections2018!$A$1:$AQ$327,27,FALSE))/10))</f>
        <v>161.6</v>
      </c>
      <c r="AI118" s="268">
        <f>IF(ISNUMBER('Sensitivity Tests'!$C$30),'Sensitivity Tests'!$C$30,VLOOKUP($A118,AffordabilityRatio!$A$2:$I$321,5,FALSE))</f>
        <v>9.59</v>
      </c>
      <c r="AJ118" s="268">
        <f>IF(ISNUMBER('Sensitivity Tests'!$C$30),'Sensitivity Tests'!$C$30,VLOOKUP($A118,AffordabilityRatio!$A$2:$I$321,6,FALSE))</f>
        <v>9.06</v>
      </c>
      <c r="AK118" s="268">
        <f>IF(ISNUMBER('Sensitivity Tests'!$C$30),'Sensitivity Tests'!$C$30,VLOOKUP($A118,AffordabilityRatio!$A$2:$I$321,7,FALSE))</f>
        <v>8.9600000000000009</v>
      </c>
      <c r="AL118" s="268">
        <f>IF(ISNUMBER('Sensitivity Tests'!$C$30),'Sensitivity Tests'!$C$30,IF((VLOOKUP($A118,AffordabilityRatio!$A$2:$I$321,8,FALSE))="",AK118,VLOOKUP($A118,AffordabilityRatio!$A$2:$I$321,8,FALSE)))</f>
        <v>9</v>
      </c>
      <c r="AM118" s="268">
        <f>IF(ISNUMBER('Sensitivity Tests'!$C$30),'Sensitivity Tests'!$C$30,IF((VLOOKUP($A118,AffordabilityRatio!$A$2:$I$321,9,FALSE))="",AL118,VLOOKUP($A118,AffordabilityRatio!$A$2:$I$321,9,FALSE)))</f>
        <v>9.7200000000000006</v>
      </c>
      <c r="AN118" s="268">
        <f>IF(ISNUMBER('Sensitivity Tests'!$C$30),'Sensitivity Tests'!$C$30,IF((VLOOKUP($A118,AffordabilityRatio!$A$2:$I$321,9,FALSE))="",AM118,VLOOKUP($A118,AffordabilityRatio!$A$2:$I$321,9,FALSE)))</f>
        <v>9.7200000000000006</v>
      </c>
      <c r="AO118" s="268">
        <f>IF(ISNUMBER('Sensitivity Tests'!$C$30),'Sensitivity Tests'!$C$30,IF((VLOOKUP($A118,AffordabilityRatio!$A$2:$I$321,9,FALSE))="",AN118,VLOOKUP($A118,AffordabilityRatio!$A$2:$I$321,9,FALSE)))</f>
        <v>9.7200000000000006</v>
      </c>
      <c r="AP118" s="268">
        <f>IF(ISNUMBER('Sensitivity Tests'!$C$30),'Sensitivity Tests'!$C$30,IF((VLOOKUP($A118,AffordabilityRatio!$A$2:$I$321,9,FALSE))="",AO118,VLOOKUP($A118,AffordabilityRatio!$A$2:$I$321,9,FALSE)))</f>
        <v>9.7200000000000006</v>
      </c>
      <c r="AQ118" s="267">
        <f t="shared" si="98"/>
        <v>222</v>
      </c>
      <c r="AR118" s="267">
        <f t="shared" si="98"/>
        <v>206</v>
      </c>
      <c r="AS118" s="267">
        <f t="shared" si="98"/>
        <v>196</v>
      </c>
      <c r="AT118" s="267">
        <f t="shared" si="98"/>
        <v>249</v>
      </c>
      <c r="AU118" s="267">
        <f t="shared" si="98"/>
        <v>244</v>
      </c>
      <c r="AV118" s="267">
        <f t="shared" si="98"/>
        <v>234</v>
      </c>
      <c r="AW118" s="267">
        <f t="shared" si="98"/>
        <v>226</v>
      </c>
      <c r="AX118" s="267">
        <f t="shared" si="95"/>
        <v>219</v>
      </c>
      <c r="AY118" s="267">
        <f t="shared" si="71"/>
        <v>222</v>
      </c>
      <c r="AZ118" s="267">
        <f t="shared" si="72"/>
        <v>206</v>
      </c>
      <c r="BA118" s="267">
        <f t="shared" si="73"/>
        <v>196</v>
      </c>
      <c r="BB118" s="267">
        <f t="shared" si="74"/>
        <v>249</v>
      </c>
      <c r="BC118" s="267">
        <f t="shared" si="75"/>
        <v>244</v>
      </c>
      <c r="BD118" s="267">
        <f t="shared" si="76"/>
        <v>234</v>
      </c>
      <c r="BE118" s="267">
        <f t="shared" si="77"/>
        <v>226</v>
      </c>
      <c r="BF118" s="267">
        <f t="shared" si="78"/>
        <v>219</v>
      </c>
      <c r="BG118" s="269">
        <f>AY118*VLOOKUP($B118,'Major Cities &amp; Towns'!$A$28:$B$345,2,FALSE)</f>
        <v>222</v>
      </c>
      <c r="BH118" s="269">
        <f>AZ118*VLOOKUP($B118,'Major Cities &amp; Towns'!$A$28:$B$345,2,FALSE)</f>
        <v>206</v>
      </c>
      <c r="BI118" s="269">
        <f>BA118*VLOOKUP($B118,'Major Cities &amp; Towns'!$A$28:$B$345,2,FALSE)</f>
        <v>196</v>
      </c>
      <c r="BJ118" s="269">
        <f>BB118*VLOOKUP($B118,'Major Cities &amp; Towns'!$A$28:$B$345,2,FALSE)</f>
        <v>249</v>
      </c>
      <c r="BK118" s="269">
        <f>BC118*VLOOKUP($B118,'Major Cities &amp; Towns'!$A$28:$B$345,2,FALSE)</f>
        <v>244</v>
      </c>
      <c r="BL118" s="269">
        <f>BD118*VLOOKUP($B118,'Major Cities &amp; Towns'!$A$28:$B$345,2,FALSE)</f>
        <v>234</v>
      </c>
      <c r="BM118" s="269">
        <f>BE118*VLOOKUP($B118,'Major Cities &amp; Towns'!$A$28:$B$345,2,FALSE)</f>
        <v>226</v>
      </c>
      <c r="BN118" s="269">
        <f>BF118*VLOOKUP($B118,'Major Cities &amp; Towns'!$A$28:$B$345,2,FALSE)</f>
        <v>219</v>
      </c>
      <c r="BO118" s="270">
        <f t="shared" si="79"/>
        <v>222</v>
      </c>
      <c r="BP118" s="270">
        <f t="shared" si="100"/>
        <v>206</v>
      </c>
      <c r="BQ118" s="270">
        <f t="shared" si="100"/>
        <v>196</v>
      </c>
      <c r="BR118" s="270">
        <f t="shared" si="100"/>
        <v>249</v>
      </c>
      <c r="BS118" s="270">
        <f t="shared" si="100"/>
        <v>244</v>
      </c>
      <c r="BT118" s="270">
        <f t="shared" si="100"/>
        <v>234</v>
      </c>
      <c r="BU118" s="270">
        <f t="shared" si="100"/>
        <v>226</v>
      </c>
      <c r="BV118" s="270">
        <f t="shared" si="99"/>
        <v>219</v>
      </c>
      <c r="BW118" s="39">
        <f>VLOOKUP($A118,NetAdditions!$A$2:$H$336,6,FALSE)</f>
        <v>473</v>
      </c>
      <c r="BX118" s="39">
        <f>VLOOKUP($A118,NetAdditions!$A$2:$H$336,7,FALSE)</f>
        <v>658</v>
      </c>
      <c r="BY118" s="39">
        <f>IF((VLOOKUP($C118,NetAdditions!$A$2:$H$336,8,FALSE))="",(AVERAGE(VLOOKUP($C118,NetAdditions!$A$2:$H$336,5,FALSE),VLOOKUP($C118,NetAdditions!$A$2:$H$336,6,FALSE),VLOOKUP($C118,NetAdditions!$A$2:$H$336,7,FALSE))),VLOOKUP($C118,NetAdditions!$A$2:$H$336,8,FALSE))</f>
        <v>594</v>
      </c>
      <c r="BZ118" s="39">
        <f t="shared" si="54"/>
        <v>575</v>
      </c>
      <c r="CA118" s="39">
        <f t="shared" si="54"/>
        <v>609</v>
      </c>
      <c r="CB118" s="39">
        <f t="shared" si="54"/>
        <v>592.66666666666663</v>
      </c>
      <c r="CC118" s="39">
        <f t="shared" si="54"/>
        <v>592.22222222222217</v>
      </c>
      <c r="CD118" s="39">
        <f t="shared" si="54"/>
        <v>597.96296296296293</v>
      </c>
      <c r="CE118" s="276">
        <f t="shared" si="55"/>
        <v>624</v>
      </c>
      <c r="CF118" s="276">
        <f t="shared" si="56"/>
        <v>651</v>
      </c>
      <c r="CG118" s="276">
        <f t="shared" si="57"/>
        <v>689</v>
      </c>
      <c r="CH118" s="276">
        <f t="shared" si="58"/>
        <v>727</v>
      </c>
      <c r="CI118" s="276">
        <f t="shared" si="59"/>
        <v>704</v>
      </c>
      <c r="CJ118" s="276">
        <f t="shared" si="60"/>
        <v>679</v>
      </c>
      <c r="CK118" s="276">
        <f t="shared" si="80"/>
        <v>537.33333333333337</v>
      </c>
      <c r="CL118" s="276">
        <f t="shared" si="81"/>
        <v>560.58333333333337</v>
      </c>
      <c r="CM118" s="276">
        <f t="shared" si="82"/>
        <v>631.58333333333326</v>
      </c>
      <c r="CN118" s="276">
        <f t="shared" si="83"/>
        <v>727</v>
      </c>
      <c r="CO118" s="276">
        <f t="shared" si="83"/>
        <v>704</v>
      </c>
      <c r="CP118" s="276">
        <f t="shared" si="83"/>
        <v>679</v>
      </c>
      <c r="CQ118" s="39">
        <f t="shared" si="61"/>
        <v>1725</v>
      </c>
      <c r="CR118" s="39">
        <f t="shared" si="62"/>
        <v>1827</v>
      </c>
      <c r="CS118" s="277">
        <f t="shared" si="63"/>
        <v>1778</v>
      </c>
      <c r="CT118" s="39">
        <f t="shared" si="64"/>
        <v>1776.6666666666665</v>
      </c>
      <c r="CU118" s="39">
        <f t="shared" si="65"/>
        <v>1793.8888888888887</v>
      </c>
      <c r="CV118" s="39">
        <f t="shared" si="66"/>
        <v>1782.8518518518517</v>
      </c>
      <c r="CW118" s="297">
        <f t="shared" si="67"/>
        <v>3.2102977667493793</v>
      </c>
      <c r="CX118" s="279" t="str">
        <f t="shared" si="84"/>
        <v>Pass</v>
      </c>
      <c r="CY118" s="278">
        <f t="shared" si="68"/>
        <v>3.2591050988553589</v>
      </c>
      <c r="CZ118" s="279" t="str">
        <f t="shared" si="85"/>
        <v>Pass</v>
      </c>
      <c r="DA118" s="278">
        <f t="shared" si="69"/>
        <v>2.8151471170339097</v>
      </c>
      <c r="DB118" s="292" t="str">
        <f t="shared" si="86"/>
        <v>Pass</v>
      </c>
      <c r="DC118" s="299">
        <f t="shared" si="87"/>
        <v>2.4438331040806966</v>
      </c>
      <c r="DD118" s="293" t="str">
        <f t="shared" si="88"/>
        <v>Pass</v>
      </c>
      <c r="DE118" s="299">
        <f t="shared" si="89"/>
        <v>2.5481376262626259</v>
      </c>
      <c r="DF118" s="293" t="str">
        <f t="shared" si="90"/>
        <v>Pass</v>
      </c>
      <c r="DG118" s="299">
        <f t="shared" si="91"/>
        <v>2.6257022854960996</v>
      </c>
      <c r="DH118" s="293" t="str">
        <f t="shared" si="92"/>
        <v>Pass</v>
      </c>
    </row>
    <row r="119" spans="1:112" customFormat="1" ht="15.5" thickTop="1" thickBot="1">
      <c r="A119" s="3" t="s">
        <v>348</v>
      </c>
      <c r="B119" s="3" t="s">
        <v>349</v>
      </c>
      <c r="C119" s="3" t="s">
        <v>348</v>
      </c>
      <c r="D119" s="3" t="s">
        <v>131</v>
      </c>
      <c r="E119" s="3" t="str">
        <f>VLOOKUP(C119,PoliticalControl!A:K,11,FALSE)</f>
        <v>LAB</v>
      </c>
      <c r="F119" s="3" t="str">
        <f>VLOOKUP(C119,UrbanRuralClassification!A:N,13,FALSE)</f>
        <v>Urban with Major Conurbation</v>
      </c>
      <c r="G119" s="3" t="str">
        <f>VLOOKUP(C119,UrbanRuralClassification!A:N,14,FALSE)</f>
        <v>Predominantly Urban</v>
      </c>
      <c r="H119" s="262">
        <f>IF(ISBLANK((VLOOKUP($A119,'local-plan-data'!$C$1:$AD$566,27,FALSE)))=TRUE,"",VLOOKUP($A119,'local-plan-data'!$C$1:$AD$566,27,FALSE))</f>
        <v>43159</v>
      </c>
      <c r="I119" s="263">
        <f>VLOOKUP($A119,'local-plan-data'!$C$1:$AD$566,28,FALSE)</f>
        <v>1031</v>
      </c>
      <c r="J119" s="264">
        <f t="shared" si="70"/>
        <v>1031</v>
      </c>
      <c r="K119" s="259">
        <f t="shared" si="96"/>
        <v>1031</v>
      </c>
      <c r="L119" s="259">
        <f t="shared" si="93"/>
        <v>1031</v>
      </c>
      <c r="M119" s="259">
        <f t="shared" si="93"/>
        <v>1031</v>
      </c>
      <c r="N119" s="259">
        <f t="shared" ref="L119:R155" si="101">IF(AND(ISNUMBER($H119),ISNUMBER($J119)),IF(($H119-N$1&gt;0),$J119,IF(DATEDIF($H119,N$1,"y")&lt;5,$J119,"-")),"-")</f>
        <v>1031</v>
      </c>
      <c r="O119" s="259">
        <f t="shared" si="101"/>
        <v>1031</v>
      </c>
      <c r="P119" s="259" t="str">
        <f t="shared" si="101"/>
        <v>-</v>
      </c>
      <c r="Q119" s="259" t="str">
        <f t="shared" si="101"/>
        <v>-</v>
      </c>
      <c r="R119" s="259" t="str">
        <f t="shared" si="101"/>
        <v>-</v>
      </c>
      <c r="S119" s="259">
        <f t="shared" si="97"/>
        <v>1794</v>
      </c>
      <c r="T119" s="259">
        <f t="shared" si="94"/>
        <v>1429</v>
      </c>
      <c r="U119" s="259">
        <f t="shared" si="94"/>
        <v>1063</v>
      </c>
      <c r="V119" s="259">
        <f t="shared" ref="T119:Z155" si="102">IFERROR((EDATE($H119,60))-V$1,"-")</f>
        <v>698</v>
      </c>
      <c r="W119" s="259">
        <f t="shared" si="102"/>
        <v>333</v>
      </c>
      <c r="X119" s="259">
        <f t="shared" si="102"/>
        <v>-32</v>
      </c>
      <c r="Y119" s="259">
        <f t="shared" si="102"/>
        <v>-398</v>
      </c>
      <c r="Z119" s="259">
        <f t="shared" si="102"/>
        <v>-763</v>
      </c>
      <c r="AA119" s="267">
        <f>(VLOOKUP(A119,Hshldprojections2014!$A$2:$AW$319,40, FALSE)-VLOOKUP(A119,Hshldprojections2014!$A$2:$AW$319,30, FALSE))/10</f>
        <v>670.5</v>
      </c>
      <c r="AB119" s="267">
        <f>(VLOOKUP(A119,Hshldprojections2014!$A$2:$AW$319,41, FALSE)-VLOOKUP(A119,Hshldprojections2014!$A$2:$AW$319,31, FALSE))/10</f>
        <v>660.6</v>
      </c>
      <c r="AC119" s="267">
        <f>(VLOOKUP(A119,Hshldprojections2014!$A$2:$AW$319,42, FALSE)-VLOOKUP(A119,Hshldprojections2014!$A$2:$AW$319,32, FALSE))/10</f>
        <v>653.4</v>
      </c>
      <c r="AD119" s="267">
        <f>IF(IndividualLATest!$J$7=2014,(VLOOKUP($A119,Hshldprojections2014!$A$2:$AY$326,43,FALSE)-VLOOKUP($A119,Hshldprojections2014!$A$2:$AY$326,33,FALSE))/10,IF(IndividualLATest!$J$7=2016,(VLOOKUP($A119,Hshldprojections2016!$A$1:$AQ$322,33,FALSE)-VLOOKUP($A119,Hshldprojections2016!$A$1:$AQ$322,23,FALSE))/10,(VLOOKUP($A119,Hshldprojections2018!$A$1:$AQ$327,33,FALSE)-VLOOKUP($A119,Hshldprojections2018!$A$1:$AQ$327,23,FALSE))/10))</f>
        <v>587.9</v>
      </c>
      <c r="AE119" s="267">
        <f>IF(IndividualLATest!$J$7=2014,(VLOOKUP($A119,Hshldprojections2014!$A$2:$AY$326,44,FALSE)-VLOOKUP($A119,Hshldprojections2014!$A$2:$AY$326,34,FALSE))/10,IF(IndividualLATest!$J$7=2016,(VLOOKUP($A119,Hshldprojections2016!$A$1:$AQ$322,34,FALSE)-VLOOKUP($A119,Hshldprojections2016!$A$1:$AQ$322,24,FALSE))/10,(VLOOKUP($A119,Hshldprojections2018!$A$1:$AQ$327,34,FALSE)-VLOOKUP($A119,Hshldprojections2018!$A$1:$AQ$327,24,FALSE))/10))</f>
        <v>576.1</v>
      </c>
      <c r="AF119" s="267">
        <f>IF(IndividualLATest!$J$7=2014,(VLOOKUP($A119,Hshldprojections2014!$A$2:$AY$326,45,FALSE)-VLOOKUP($A119,Hshldprojections2014!$A$2:$AY$326,35,FALSE))/10,IF(IndividualLATest!$J$7=2016,(VLOOKUP($A119,Hshldprojections2016!$A$1:$AQ$322,35,FALSE)-VLOOKUP($A119,Hshldprojections2016!$A$1:$AQ$322,25,FALSE))/10,(VLOOKUP($A119,Hshldprojections2018!$A$1:$AQ$327,35,FALSE)-VLOOKUP($A119,Hshldprojections2018!$A$1:$AQ$327,25,FALSE))/10))</f>
        <v>571.29999999999995</v>
      </c>
      <c r="AG119" s="267">
        <f>IF(IndividualLATest!$J$7=2014,(VLOOKUP($A119,Hshldprojections2014!$A$2:$AY$326,46,FALSE)-VLOOKUP($A119,Hshldprojections2014!$A$2:$AY$326,36,FALSE))/10,IF(IndividualLATest!$J$7=2016,(VLOOKUP($A119,Hshldprojections2016!$A$1:$AQ$322,36,FALSE)-VLOOKUP($A119,Hshldprojections2016!$A$1:$AQ$322,26,FALSE))/10,(VLOOKUP($A119,Hshldprojections2018!$A$1:$AQ$327,36,FALSE)-VLOOKUP($A119,Hshldprojections2018!$A$1:$AQ$327,26,FALSE))/10))</f>
        <v>568.20000000000005</v>
      </c>
      <c r="AH119" s="267">
        <f>IF(IndividualLATest!$J$7=2014,(VLOOKUP($A119,Hshldprojections2014!$A$2:$AY$326,47,FALSE)-VLOOKUP($A119,Hshldprojections2014!$A$2:$AY$326,37,FALSE))/10,IF(IndividualLATest!$J$7=2016,(VLOOKUP($A119,Hshldprojections2016!$A$1:$AQ$322,37,FALSE)-VLOOKUP($A119,Hshldprojections2016!$A$1:$AQ$322,27,FALSE))/10,(VLOOKUP($A119,Hshldprojections2018!$A$1:$AQ$327,37,FALSE)-VLOOKUP($A119,Hshldprojections2018!$A$1:$AQ$327,27,FALSE))/10))</f>
        <v>565.70000000000005</v>
      </c>
      <c r="AI119" s="268">
        <f>IF(ISNUMBER('Sensitivity Tests'!$C$30),'Sensitivity Tests'!$C$30,VLOOKUP($A119,AffordabilityRatio!$A$2:$I$321,5,FALSE))</f>
        <v>20.69</v>
      </c>
      <c r="AJ119" s="268">
        <f>IF(ISNUMBER('Sensitivity Tests'!$C$30),'Sensitivity Tests'!$C$30,VLOOKUP($A119,AffordabilityRatio!$A$2:$I$321,6,FALSE))</f>
        <v>19.28</v>
      </c>
      <c r="AK119" s="268">
        <f>IF(ISNUMBER('Sensitivity Tests'!$C$30),'Sensitivity Tests'!$C$30,VLOOKUP($A119,AffordabilityRatio!$A$2:$I$321,7,FALSE))</f>
        <v>19.12</v>
      </c>
      <c r="AL119" s="268">
        <f>IF(ISNUMBER('Sensitivity Tests'!$C$30),'Sensitivity Tests'!$C$30,IF((VLOOKUP($A119,AffordabilityRatio!$A$2:$I$321,8,FALSE))="",AK119,VLOOKUP($A119,AffordabilityRatio!$A$2:$I$321,8,FALSE)))</f>
        <v>18.420000000000002</v>
      </c>
      <c r="AM119" s="268">
        <f>IF(ISNUMBER('Sensitivity Tests'!$C$30),'Sensitivity Tests'!$C$30,IF((VLOOKUP($A119,AffordabilityRatio!$A$2:$I$321,9,FALSE))="",AL119,VLOOKUP($A119,AffordabilityRatio!$A$2:$I$321,9,FALSE)))</f>
        <v>19.32</v>
      </c>
      <c r="AN119" s="268">
        <f>IF(ISNUMBER('Sensitivity Tests'!$C$30),'Sensitivity Tests'!$C$30,IF((VLOOKUP($A119,AffordabilityRatio!$A$2:$I$321,9,FALSE))="",AM119,VLOOKUP($A119,AffordabilityRatio!$A$2:$I$321,9,FALSE)))</f>
        <v>19.32</v>
      </c>
      <c r="AO119" s="268">
        <f>IF(ISNUMBER('Sensitivity Tests'!$C$30),'Sensitivity Tests'!$C$30,IF((VLOOKUP($A119,AffordabilityRatio!$A$2:$I$321,9,FALSE))="",AN119,VLOOKUP($A119,AffordabilityRatio!$A$2:$I$321,9,FALSE)))</f>
        <v>19.32</v>
      </c>
      <c r="AP119" s="268">
        <f>IF(ISNUMBER('Sensitivity Tests'!$C$30),'Sensitivity Tests'!$C$30,IF((VLOOKUP($A119,AffordabilityRatio!$A$2:$I$321,9,FALSE))="",AO119,VLOOKUP($A119,AffordabilityRatio!$A$2:$I$321,9,FALSE)))</f>
        <v>19.32</v>
      </c>
      <c r="AQ119" s="267">
        <f t="shared" si="98"/>
        <v>1370</v>
      </c>
      <c r="AR119" s="267">
        <f t="shared" si="98"/>
        <v>1291</v>
      </c>
      <c r="AS119" s="267">
        <f t="shared" si="98"/>
        <v>1271</v>
      </c>
      <c r="AT119" s="267">
        <f t="shared" ref="AT119:AX175" si="103">IF(AD119&lt;0,0,IF(AL119&gt;4,ROUND((1+((AL119-4)/4*0.25))*AD119,0),AD119))</f>
        <v>1118</v>
      </c>
      <c r="AU119" s="267">
        <f t="shared" si="103"/>
        <v>1128</v>
      </c>
      <c r="AV119" s="267">
        <f t="shared" si="103"/>
        <v>1118</v>
      </c>
      <c r="AW119" s="267">
        <f t="shared" si="103"/>
        <v>1112</v>
      </c>
      <c r="AX119" s="267">
        <f t="shared" si="95"/>
        <v>1107</v>
      </c>
      <c r="AY119" s="267">
        <f t="shared" si="71"/>
        <v>1370</v>
      </c>
      <c r="AZ119" s="267">
        <f t="shared" si="72"/>
        <v>1291</v>
      </c>
      <c r="BA119" s="267">
        <f t="shared" si="73"/>
        <v>1271</v>
      </c>
      <c r="BB119" s="267">
        <f t="shared" si="74"/>
        <v>1118</v>
      </c>
      <c r="BC119" s="267">
        <f t="shared" si="75"/>
        <v>1128</v>
      </c>
      <c r="BD119" s="267">
        <f t="shared" si="76"/>
        <v>1118</v>
      </c>
      <c r="BE119" s="267">
        <f t="shared" si="77"/>
        <v>1112</v>
      </c>
      <c r="BF119" s="267">
        <f t="shared" si="78"/>
        <v>1107</v>
      </c>
      <c r="BG119" s="269">
        <f>AY119*VLOOKUP($B119,'Major Cities &amp; Towns'!$A$28:$B$345,2,FALSE)</f>
        <v>1849.5000000000002</v>
      </c>
      <c r="BH119" s="269">
        <f>AZ119*VLOOKUP($B119,'Major Cities &amp; Towns'!$A$28:$B$345,2,FALSE)</f>
        <v>1742.8500000000001</v>
      </c>
      <c r="BI119" s="269">
        <f>BA119*VLOOKUP($B119,'Major Cities &amp; Towns'!$A$28:$B$345,2,FALSE)</f>
        <v>1715.8500000000001</v>
      </c>
      <c r="BJ119" s="269">
        <f>BB119*VLOOKUP($B119,'Major Cities &amp; Towns'!$A$28:$B$345,2,FALSE)</f>
        <v>1509.3000000000002</v>
      </c>
      <c r="BK119" s="269">
        <f>BC119*VLOOKUP($B119,'Major Cities &amp; Towns'!$A$28:$B$345,2,FALSE)</f>
        <v>1522.8000000000002</v>
      </c>
      <c r="BL119" s="269">
        <f>BD119*VLOOKUP($B119,'Major Cities &amp; Towns'!$A$28:$B$345,2,FALSE)</f>
        <v>1509.3000000000002</v>
      </c>
      <c r="BM119" s="269">
        <f>BE119*VLOOKUP($B119,'Major Cities &amp; Towns'!$A$28:$B$345,2,FALSE)</f>
        <v>1501.2</v>
      </c>
      <c r="BN119" s="269">
        <f>BF119*VLOOKUP($B119,'Major Cities &amp; Towns'!$A$28:$B$345,2,FALSE)</f>
        <v>1494.45</v>
      </c>
      <c r="BO119" s="270">
        <f t="shared" si="79"/>
        <v>1031</v>
      </c>
      <c r="BP119" s="270">
        <f t="shared" si="100"/>
        <v>1031</v>
      </c>
      <c r="BQ119" s="270">
        <f t="shared" si="100"/>
        <v>1031</v>
      </c>
      <c r="BR119" s="270">
        <f t="shared" si="100"/>
        <v>1031</v>
      </c>
      <c r="BS119" s="270">
        <f t="shared" si="100"/>
        <v>1039.504109589041</v>
      </c>
      <c r="BT119" s="270">
        <f t="shared" si="100"/>
        <v>1118</v>
      </c>
      <c r="BU119" s="270">
        <f t="shared" si="100"/>
        <v>1112</v>
      </c>
      <c r="BV119" s="270">
        <f t="shared" si="99"/>
        <v>1107</v>
      </c>
      <c r="BW119" s="39">
        <f>VLOOKUP($A119,NetAdditions!$A$2:$H$336,6,FALSE)</f>
        <v>1046</v>
      </c>
      <c r="BX119" s="39">
        <f>VLOOKUP($A119,NetAdditions!$A$2:$H$336,7,FALSE)</f>
        <v>1149</v>
      </c>
      <c r="BY119" s="39">
        <f>IF((VLOOKUP($C119,NetAdditions!$A$2:$H$336,8,FALSE))="",(AVERAGE(VLOOKUP($C119,NetAdditions!$A$2:$H$336,5,FALSE),VLOOKUP($C119,NetAdditions!$A$2:$H$336,6,FALSE),VLOOKUP($C119,NetAdditions!$A$2:$H$336,7,FALSE))),VLOOKUP($C119,NetAdditions!$A$2:$H$336,8,FALSE))</f>
        <v>1421</v>
      </c>
      <c r="BZ119" s="39">
        <f t="shared" si="54"/>
        <v>1205.3333333333333</v>
      </c>
      <c r="CA119" s="39">
        <f t="shared" si="54"/>
        <v>1258.4444444444443</v>
      </c>
      <c r="CB119" s="39">
        <f t="shared" si="54"/>
        <v>1294.9259259259259</v>
      </c>
      <c r="CC119" s="39">
        <f t="shared" si="54"/>
        <v>1252.9012345679012</v>
      </c>
      <c r="CD119" s="39">
        <f t="shared" si="54"/>
        <v>1268.7572016460906</v>
      </c>
      <c r="CE119" s="276">
        <f t="shared" si="55"/>
        <v>3093</v>
      </c>
      <c r="CF119" s="276">
        <f t="shared" si="56"/>
        <v>3093</v>
      </c>
      <c r="CG119" s="276">
        <f t="shared" si="57"/>
        <v>3101.504109589041</v>
      </c>
      <c r="CH119" s="276">
        <f t="shared" si="58"/>
        <v>3188.504109589041</v>
      </c>
      <c r="CI119" s="276">
        <f t="shared" si="59"/>
        <v>3269.504109589041</v>
      </c>
      <c r="CJ119" s="276">
        <f t="shared" si="60"/>
        <v>3337</v>
      </c>
      <c r="CK119" s="276">
        <f t="shared" si="80"/>
        <v>2663.416666666667</v>
      </c>
      <c r="CL119" s="276">
        <f t="shared" si="81"/>
        <v>2663.416666666667</v>
      </c>
      <c r="CM119" s="276">
        <f t="shared" si="82"/>
        <v>2843.0454337899541</v>
      </c>
      <c r="CN119" s="276">
        <f t="shared" si="83"/>
        <v>3188.504109589041</v>
      </c>
      <c r="CO119" s="276">
        <f t="shared" si="83"/>
        <v>3269.504109589041</v>
      </c>
      <c r="CP119" s="276">
        <f t="shared" si="83"/>
        <v>3337</v>
      </c>
      <c r="CQ119" s="39">
        <f t="shared" si="61"/>
        <v>3616</v>
      </c>
      <c r="CR119" s="39">
        <f t="shared" si="62"/>
        <v>3775.333333333333</v>
      </c>
      <c r="CS119" s="277">
        <f t="shared" si="63"/>
        <v>3884.7777777777774</v>
      </c>
      <c r="CT119" s="39">
        <f t="shared" si="64"/>
        <v>3758.7037037037035</v>
      </c>
      <c r="CU119" s="39">
        <f t="shared" si="65"/>
        <v>3806.2716049382716</v>
      </c>
      <c r="CV119" s="39">
        <f t="shared" si="66"/>
        <v>3816.5843621399181</v>
      </c>
      <c r="CW119" s="297">
        <f t="shared" si="67"/>
        <v>1.357654641594443</v>
      </c>
      <c r="CX119" s="279" t="str">
        <f t="shared" si="84"/>
        <v>Pass</v>
      </c>
      <c r="CY119" s="278">
        <f t="shared" si="68"/>
        <v>1.4174775507649946</v>
      </c>
      <c r="CZ119" s="279" t="str">
        <f t="shared" si="85"/>
        <v>Pass</v>
      </c>
      <c r="DA119" s="278">
        <f t="shared" si="69"/>
        <v>1.3664142442490377</v>
      </c>
      <c r="DB119" s="292" t="str">
        <f t="shared" si="86"/>
        <v>Pass</v>
      </c>
      <c r="DC119" s="299">
        <f t="shared" si="87"/>
        <v>1.1788298131402297</v>
      </c>
      <c r="DD119" s="293" t="str">
        <f t="shared" si="88"/>
        <v>Pass</v>
      </c>
      <c r="DE119" s="299">
        <f t="shared" si="89"/>
        <v>1.1641739778747975</v>
      </c>
      <c r="DF119" s="293" t="str">
        <f t="shared" si="90"/>
        <v>Pass</v>
      </c>
      <c r="DG119" s="299">
        <f t="shared" si="91"/>
        <v>1.1437172197003052</v>
      </c>
      <c r="DH119" s="293" t="str">
        <f t="shared" si="92"/>
        <v>Pass</v>
      </c>
    </row>
    <row r="120" spans="1:112" ht="15" thickTop="1" thickBot="1">
      <c r="A120" s="38" t="s">
        <v>350</v>
      </c>
      <c r="B120" s="38" t="s">
        <v>351</v>
      </c>
      <c r="C120" s="38" t="s">
        <v>350</v>
      </c>
      <c r="D120" s="38" t="s">
        <v>119</v>
      </c>
      <c r="E120" s="38" t="str">
        <f>VLOOKUP(C120,PoliticalControl!A:K,11,FALSE)</f>
        <v>CON</v>
      </c>
      <c r="F120" s="38" t="str">
        <f>VLOOKUP(C120,UrbanRuralClassification!A:N,13,FALSE)</f>
        <v xml:space="preserve">Mainly Rural (rural including hub towns &gt;=80%) </v>
      </c>
      <c r="G120" s="38" t="str">
        <f>VLOOKUP(C120,UrbanRuralClassification!A:N,14,FALSE)</f>
        <v>Predominantly Rural</v>
      </c>
      <c r="H120" s="258">
        <f>IF(ISBLANK((VLOOKUP($A120,'local-plan-data'!$C$1:$AD$566,27,FALSE)))=TRUE,"",VLOOKUP($A120,'local-plan-data'!$C$1:$AD$566,27,FALSE))</f>
        <v>43585</v>
      </c>
      <c r="I120" s="259">
        <f>VLOOKUP($A120,'local-plan-data'!$C$1:$AD$566,28,FALSE)</f>
        <v>557</v>
      </c>
      <c r="J120" s="260">
        <f t="shared" si="70"/>
        <v>557</v>
      </c>
      <c r="K120" s="259">
        <f t="shared" si="96"/>
        <v>557</v>
      </c>
      <c r="L120" s="259">
        <f t="shared" si="101"/>
        <v>557</v>
      </c>
      <c r="M120" s="259">
        <f t="shared" si="101"/>
        <v>557</v>
      </c>
      <c r="N120" s="259">
        <f t="shared" si="101"/>
        <v>557</v>
      </c>
      <c r="O120" s="259">
        <f t="shared" si="101"/>
        <v>557</v>
      </c>
      <c r="P120" s="259">
        <f t="shared" si="101"/>
        <v>557</v>
      </c>
      <c r="Q120" s="259">
        <f t="shared" si="101"/>
        <v>557</v>
      </c>
      <c r="R120" s="259" t="str">
        <f t="shared" si="101"/>
        <v>-</v>
      </c>
      <c r="S120" s="259">
        <f t="shared" si="97"/>
        <v>2221</v>
      </c>
      <c r="T120" s="259">
        <f t="shared" si="102"/>
        <v>1856</v>
      </c>
      <c r="U120" s="259">
        <f t="shared" si="102"/>
        <v>1490</v>
      </c>
      <c r="V120" s="259">
        <f t="shared" si="102"/>
        <v>1125</v>
      </c>
      <c r="W120" s="259">
        <f t="shared" si="102"/>
        <v>760</v>
      </c>
      <c r="X120" s="259">
        <f t="shared" si="102"/>
        <v>395</v>
      </c>
      <c r="Y120" s="259">
        <f t="shared" si="102"/>
        <v>29</v>
      </c>
      <c r="Z120" s="259">
        <f t="shared" si="102"/>
        <v>-336</v>
      </c>
      <c r="AA120" s="267">
        <f>(VLOOKUP(A120,Hshldprojections2014!$A$2:$AW$319,40, FALSE)-VLOOKUP(A120,Hshldprojections2014!$A$2:$AW$319,30, FALSE))/10</f>
        <v>400.4</v>
      </c>
      <c r="AB120" s="267">
        <f>(VLOOKUP(A120,Hshldprojections2014!$A$2:$AW$319,41, FALSE)-VLOOKUP(A120,Hshldprojections2014!$A$2:$AW$319,31, FALSE))/10</f>
        <v>393.4</v>
      </c>
      <c r="AC120" s="267">
        <f>(VLOOKUP(A120,Hshldprojections2014!$A$2:$AW$319,42, FALSE)-VLOOKUP(A120,Hshldprojections2014!$A$2:$AW$319,32, FALSE))/10</f>
        <v>385.7</v>
      </c>
      <c r="AD120" s="267">
        <f>IF(IndividualLATest!$J$7=2014,(VLOOKUP($A120,Hshldprojections2014!$A$2:$AY$326,43,FALSE)-VLOOKUP($A120,Hshldprojections2014!$A$2:$AY$326,33,FALSE))/10,IF(IndividualLATest!$J$7=2016,(VLOOKUP($A120,Hshldprojections2016!$A$1:$AQ$322,33,FALSE)-VLOOKUP($A120,Hshldprojections2016!$A$1:$AQ$322,23,FALSE))/10,(VLOOKUP($A120,Hshldprojections2018!$A$1:$AQ$327,33,FALSE)-VLOOKUP($A120,Hshldprojections2018!$A$1:$AQ$327,23,FALSE))/10))</f>
        <v>506.6</v>
      </c>
      <c r="AE120" s="267">
        <f>IF(IndividualLATest!$J$7=2014,(VLOOKUP($A120,Hshldprojections2014!$A$2:$AY$326,44,FALSE)-VLOOKUP($A120,Hshldprojections2014!$A$2:$AY$326,34,FALSE))/10,IF(IndividualLATest!$J$7=2016,(VLOOKUP($A120,Hshldprojections2016!$A$1:$AQ$322,34,FALSE)-VLOOKUP($A120,Hshldprojections2016!$A$1:$AQ$322,24,FALSE))/10,(VLOOKUP($A120,Hshldprojections2018!$A$1:$AQ$327,34,FALSE)-VLOOKUP($A120,Hshldprojections2018!$A$1:$AQ$327,24,FALSE))/10))</f>
        <v>495.2</v>
      </c>
      <c r="AF120" s="267">
        <f>IF(IndividualLATest!$J$7=2014,(VLOOKUP($A120,Hshldprojections2014!$A$2:$AY$326,45,FALSE)-VLOOKUP($A120,Hshldprojections2014!$A$2:$AY$326,35,FALSE))/10,IF(IndividualLATest!$J$7=2016,(VLOOKUP($A120,Hshldprojections2016!$A$1:$AQ$322,35,FALSE)-VLOOKUP($A120,Hshldprojections2016!$A$1:$AQ$322,25,FALSE))/10,(VLOOKUP($A120,Hshldprojections2018!$A$1:$AQ$327,35,FALSE)-VLOOKUP($A120,Hshldprojections2018!$A$1:$AQ$327,25,FALSE))/10))</f>
        <v>484.5</v>
      </c>
      <c r="AG120" s="267">
        <f>IF(IndividualLATest!$J$7=2014,(VLOOKUP($A120,Hshldprojections2014!$A$2:$AY$326,46,FALSE)-VLOOKUP($A120,Hshldprojections2014!$A$2:$AY$326,36,FALSE))/10,IF(IndividualLATest!$J$7=2016,(VLOOKUP($A120,Hshldprojections2016!$A$1:$AQ$322,36,FALSE)-VLOOKUP($A120,Hshldprojections2016!$A$1:$AQ$322,26,FALSE))/10,(VLOOKUP($A120,Hshldprojections2018!$A$1:$AQ$327,36,FALSE)-VLOOKUP($A120,Hshldprojections2018!$A$1:$AQ$327,26,FALSE))/10))</f>
        <v>474.6</v>
      </c>
      <c r="AH120" s="267">
        <f>IF(IndividualLATest!$J$7=2014,(VLOOKUP($A120,Hshldprojections2014!$A$2:$AY$326,47,FALSE)-VLOOKUP($A120,Hshldprojections2014!$A$2:$AY$326,37,FALSE))/10,IF(IndividualLATest!$J$7=2016,(VLOOKUP($A120,Hshldprojections2016!$A$1:$AQ$322,37,FALSE)-VLOOKUP($A120,Hshldprojections2016!$A$1:$AQ$322,27,FALSE))/10,(VLOOKUP($A120,Hshldprojections2018!$A$1:$AQ$327,37,FALSE)-VLOOKUP($A120,Hshldprojections2018!$A$1:$AQ$327,27,FALSE))/10))</f>
        <v>466.2</v>
      </c>
      <c r="AI120" s="268">
        <f>IF(ISNUMBER('Sensitivity Tests'!$C$30),'Sensitivity Tests'!$C$30,VLOOKUP($A120,AffordabilityRatio!$A$2:$I$321,5,FALSE))</f>
        <v>9.66</v>
      </c>
      <c r="AJ120" s="268">
        <f>IF(ISNUMBER('Sensitivity Tests'!$C$30),'Sensitivity Tests'!$C$30,VLOOKUP($A120,AffordabilityRatio!$A$2:$I$321,6,FALSE))</f>
        <v>10.14</v>
      </c>
      <c r="AK120" s="268">
        <f>IF(ISNUMBER('Sensitivity Tests'!$C$30),'Sensitivity Tests'!$C$30,VLOOKUP($A120,AffordabilityRatio!$A$2:$I$321,7,FALSE))</f>
        <v>10.88</v>
      </c>
      <c r="AL120" s="268">
        <f>IF(ISNUMBER('Sensitivity Tests'!$C$30),'Sensitivity Tests'!$C$30,IF((VLOOKUP($A120,AffordabilityRatio!$A$2:$I$321,8,FALSE))="",AK120,VLOOKUP($A120,AffordabilityRatio!$A$2:$I$321,8,FALSE)))</f>
        <v>9.83</v>
      </c>
      <c r="AM120" s="268">
        <f>IF(ISNUMBER('Sensitivity Tests'!$C$30),'Sensitivity Tests'!$C$30,IF((VLOOKUP($A120,AffordabilityRatio!$A$2:$I$321,9,FALSE))="",AL120,VLOOKUP($A120,AffordabilityRatio!$A$2:$I$321,9,FALSE)))</f>
        <v>10.69</v>
      </c>
      <c r="AN120" s="268">
        <f>IF(ISNUMBER('Sensitivity Tests'!$C$30),'Sensitivity Tests'!$C$30,IF((VLOOKUP($A120,AffordabilityRatio!$A$2:$I$321,9,FALSE))="",AM120,VLOOKUP($A120,AffordabilityRatio!$A$2:$I$321,9,FALSE)))</f>
        <v>10.69</v>
      </c>
      <c r="AO120" s="268">
        <f>IF(ISNUMBER('Sensitivity Tests'!$C$30),'Sensitivity Tests'!$C$30,IF((VLOOKUP($A120,AffordabilityRatio!$A$2:$I$321,9,FALSE))="",AN120,VLOOKUP($A120,AffordabilityRatio!$A$2:$I$321,9,FALSE)))</f>
        <v>10.69</v>
      </c>
      <c r="AP120" s="268">
        <f>IF(ISNUMBER('Sensitivity Tests'!$C$30),'Sensitivity Tests'!$C$30,IF((VLOOKUP($A120,AffordabilityRatio!$A$2:$I$321,9,FALSE))="",AO120,VLOOKUP($A120,AffordabilityRatio!$A$2:$I$321,9,FALSE)))</f>
        <v>10.69</v>
      </c>
      <c r="AQ120" s="267">
        <f t="shared" ref="AQ120:AU183" si="104">IF(AA120&lt;0,0,IF(AI120&gt;4,ROUND((1+((AI120-4)/4*0.25))*AA120,0),AA120))</f>
        <v>542</v>
      </c>
      <c r="AR120" s="267">
        <f t="shared" si="104"/>
        <v>544</v>
      </c>
      <c r="AS120" s="267">
        <f t="shared" si="104"/>
        <v>552</v>
      </c>
      <c r="AT120" s="267">
        <f t="shared" si="103"/>
        <v>691</v>
      </c>
      <c r="AU120" s="267">
        <f t="shared" si="103"/>
        <v>702</v>
      </c>
      <c r="AV120" s="267">
        <f t="shared" si="103"/>
        <v>687</v>
      </c>
      <c r="AW120" s="267">
        <f t="shared" si="103"/>
        <v>673</v>
      </c>
      <c r="AX120" s="267">
        <f t="shared" si="95"/>
        <v>661</v>
      </c>
      <c r="AY120" s="267">
        <f t="shared" si="71"/>
        <v>542</v>
      </c>
      <c r="AZ120" s="267">
        <f t="shared" si="72"/>
        <v>544</v>
      </c>
      <c r="BA120" s="267">
        <f t="shared" si="73"/>
        <v>552</v>
      </c>
      <c r="BB120" s="267">
        <f t="shared" si="74"/>
        <v>691</v>
      </c>
      <c r="BC120" s="267">
        <f t="shared" si="75"/>
        <v>702</v>
      </c>
      <c r="BD120" s="267">
        <f t="shared" si="76"/>
        <v>687</v>
      </c>
      <c r="BE120" s="267">
        <f t="shared" si="77"/>
        <v>673</v>
      </c>
      <c r="BF120" s="267">
        <f t="shared" si="78"/>
        <v>661</v>
      </c>
      <c r="BG120" s="269">
        <f>AY120*VLOOKUP($B120,'Major Cities &amp; Towns'!$A$28:$B$345,2,FALSE)</f>
        <v>542</v>
      </c>
      <c r="BH120" s="269">
        <f>AZ120*VLOOKUP($B120,'Major Cities &amp; Towns'!$A$28:$B$345,2,FALSE)</f>
        <v>544</v>
      </c>
      <c r="BI120" s="269">
        <f>BA120*VLOOKUP($B120,'Major Cities &amp; Towns'!$A$28:$B$345,2,FALSE)</f>
        <v>552</v>
      </c>
      <c r="BJ120" s="269">
        <f>BB120*VLOOKUP($B120,'Major Cities &amp; Towns'!$A$28:$B$345,2,FALSE)</f>
        <v>691</v>
      </c>
      <c r="BK120" s="269">
        <f>BC120*VLOOKUP($B120,'Major Cities &amp; Towns'!$A$28:$B$345,2,FALSE)</f>
        <v>702</v>
      </c>
      <c r="BL120" s="269">
        <f>BD120*VLOOKUP($B120,'Major Cities &amp; Towns'!$A$28:$B$345,2,FALSE)</f>
        <v>687</v>
      </c>
      <c r="BM120" s="269">
        <f>BE120*VLOOKUP($B120,'Major Cities &amp; Towns'!$A$28:$B$345,2,FALSE)</f>
        <v>673</v>
      </c>
      <c r="BN120" s="269">
        <f>BF120*VLOOKUP($B120,'Major Cities &amp; Towns'!$A$28:$B$345,2,FALSE)</f>
        <v>661</v>
      </c>
      <c r="BO120" s="270">
        <f t="shared" si="79"/>
        <v>542</v>
      </c>
      <c r="BP120" s="270">
        <f t="shared" si="100"/>
        <v>544</v>
      </c>
      <c r="BQ120" s="270">
        <f t="shared" si="100"/>
        <v>552</v>
      </c>
      <c r="BR120" s="270">
        <f t="shared" si="100"/>
        <v>557</v>
      </c>
      <c r="BS120" s="270">
        <f t="shared" si="100"/>
        <v>557</v>
      </c>
      <c r="BT120" s="270">
        <f t="shared" si="100"/>
        <v>557</v>
      </c>
      <c r="BU120" s="270">
        <f t="shared" si="100"/>
        <v>663.7835616438357</v>
      </c>
      <c r="BV120" s="270">
        <f t="shared" si="99"/>
        <v>661</v>
      </c>
      <c r="BW120" s="39">
        <f>VLOOKUP($A120,NetAdditions!$A$2:$H$336,6,FALSE)</f>
        <v>729</v>
      </c>
      <c r="BX120" s="39">
        <f>VLOOKUP($A120,NetAdditions!$A$2:$H$336,7,FALSE)</f>
        <v>906</v>
      </c>
      <c r="BY120" s="39">
        <f>IF((VLOOKUP($C120,NetAdditions!$A$2:$H$336,8,FALSE))="",(AVERAGE(VLOOKUP($C120,NetAdditions!$A$2:$H$336,5,FALSE),VLOOKUP($C120,NetAdditions!$A$2:$H$336,6,FALSE),VLOOKUP($C120,NetAdditions!$A$2:$H$336,7,FALSE))),VLOOKUP($C120,NetAdditions!$A$2:$H$336,8,FALSE))</f>
        <v>974</v>
      </c>
      <c r="BZ120" s="39">
        <f t="shared" ref="BZ120:CD170" si="105">AVERAGE(BW120:BY120)</f>
        <v>869.66666666666663</v>
      </c>
      <c r="CA120" s="39">
        <f t="shared" si="105"/>
        <v>916.55555555555554</v>
      </c>
      <c r="CB120" s="39">
        <f t="shared" si="105"/>
        <v>920.07407407407402</v>
      </c>
      <c r="CC120" s="39">
        <f t="shared" si="105"/>
        <v>902.09876543209873</v>
      </c>
      <c r="CD120" s="39">
        <f t="shared" si="105"/>
        <v>912.90946502057614</v>
      </c>
      <c r="CE120" s="276">
        <f t="shared" si="55"/>
        <v>1638</v>
      </c>
      <c r="CF120" s="276">
        <f t="shared" si="56"/>
        <v>1653</v>
      </c>
      <c r="CG120" s="276">
        <f t="shared" si="57"/>
        <v>1666</v>
      </c>
      <c r="CH120" s="276">
        <f t="shared" si="58"/>
        <v>1671</v>
      </c>
      <c r="CI120" s="276">
        <f t="shared" si="59"/>
        <v>1777.7835616438356</v>
      </c>
      <c r="CJ120" s="276">
        <f t="shared" si="60"/>
        <v>1881.7835616438356</v>
      </c>
      <c r="CK120" s="276">
        <f t="shared" si="80"/>
        <v>1410.5</v>
      </c>
      <c r="CL120" s="276">
        <f t="shared" si="81"/>
        <v>1423.4166666666667</v>
      </c>
      <c r="CM120" s="276">
        <f t="shared" si="82"/>
        <v>1527.1666666666665</v>
      </c>
      <c r="CN120" s="276">
        <f t="shared" si="83"/>
        <v>1671</v>
      </c>
      <c r="CO120" s="276">
        <f t="shared" si="83"/>
        <v>1777.7835616438356</v>
      </c>
      <c r="CP120" s="276">
        <f t="shared" si="83"/>
        <v>1881.7835616438356</v>
      </c>
      <c r="CQ120" s="39">
        <f t="shared" si="61"/>
        <v>2609</v>
      </c>
      <c r="CR120" s="39">
        <f t="shared" si="62"/>
        <v>2749.6666666666665</v>
      </c>
      <c r="CS120" s="277">
        <f t="shared" si="63"/>
        <v>2760.2222222222222</v>
      </c>
      <c r="CT120" s="39">
        <f t="shared" si="64"/>
        <v>2706.2962962962961</v>
      </c>
      <c r="CU120" s="39">
        <f t="shared" si="65"/>
        <v>2738.7283950617284</v>
      </c>
      <c r="CV120" s="39">
        <f t="shared" si="66"/>
        <v>2735.0823045267489</v>
      </c>
      <c r="CW120" s="297">
        <f t="shared" si="67"/>
        <v>1.8496986884083659</v>
      </c>
      <c r="CX120" s="279" t="str">
        <f t="shared" si="84"/>
        <v>Pass</v>
      </c>
      <c r="CY120" s="278">
        <f t="shared" si="68"/>
        <v>1.9317370177390081</v>
      </c>
      <c r="CZ120" s="279" t="str">
        <f t="shared" si="85"/>
        <v>Pass</v>
      </c>
      <c r="DA120" s="278">
        <f t="shared" si="69"/>
        <v>1.8074138746407655</v>
      </c>
      <c r="DB120" s="292" t="str">
        <f t="shared" si="86"/>
        <v>Pass</v>
      </c>
      <c r="DC120" s="299">
        <f t="shared" si="87"/>
        <v>1.6195669038278253</v>
      </c>
      <c r="DD120" s="293" t="str">
        <f t="shared" si="88"/>
        <v>Pass</v>
      </c>
      <c r="DE120" s="299">
        <f t="shared" si="89"/>
        <v>1.5405297102248774</v>
      </c>
      <c r="DF120" s="293" t="str">
        <f t="shared" si="90"/>
        <v>Pass</v>
      </c>
      <c r="DG120" s="299">
        <f t="shared" si="91"/>
        <v>1.4534521186578506</v>
      </c>
      <c r="DH120" s="293" t="str">
        <f t="shared" si="92"/>
        <v>Pass</v>
      </c>
    </row>
    <row r="121" spans="1:112" customFormat="1" ht="15.5" thickTop="1" thickBot="1">
      <c r="A121" s="3" t="s">
        <v>352</v>
      </c>
      <c r="B121" s="3" t="s">
        <v>353</v>
      </c>
      <c r="C121" s="3" t="s">
        <v>352</v>
      </c>
      <c r="D121" s="3" t="s">
        <v>131</v>
      </c>
      <c r="E121" s="3" t="str">
        <f>VLOOKUP(C121,PoliticalControl!A:K,11,FALSE)</f>
        <v>LAB</v>
      </c>
      <c r="F121" s="3" t="str">
        <f>VLOOKUP(C121,UrbanRuralClassification!A:N,13,FALSE)</f>
        <v>Urban with Major Conurbation</v>
      </c>
      <c r="G121" s="3" t="str">
        <f>VLOOKUP(C121,UrbanRuralClassification!A:N,14,FALSE)</f>
        <v>Predominantly Urban</v>
      </c>
      <c r="H121" s="262">
        <f>IF(ISBLANK((VLOOKUP($A121,'local-plan-data'!$C$1:$AD$566,27,FALSE)))=TRUE,"",VLOOKUP($A121,'local-plan-data'!$C$1:$AD$566,27,FALSE))</f>
        <v>42940</v>
      </c>
      <c r="I121" s="263">
        <f>VLOOKUP($A121,'local-plan-data'!$C$1:$AD$566,28,FALSE)</f>
        <v>1320.1333333333334</v>
      </c>
      <c r="J121" s="264">
        <f t="shared" si="70"/>
        <v>1320.1333333333334</v>
      </c>
      <c r="K121" s="259">
        <f t="shared" si="96"/>
        <v>1320.1333333333334</v>
      </c>
      <c r="L121" s="259">
        <f t="shared" si="101"/>
        <v>1320.1333333333334</v>
      </c>
      <c r="M121" s="259">
        <f t="shared" si="101"/>
        <v>1320.1333333333334</v>
      </c>
      <c r="N121" s="259">
        <f t="shared" si="101"/>
        <v>1320.1333333333334</v>
      </c>
      <c r="O121" s="259">
        <f t="shared" si="101"/>
        <v>1320.1333333333334</v>
      </c>
      <c r="P121" s="259" t="str">
        <f t="shared" si="101"/>
        <v>-</v>
      </c>
      <c r="Q121" s="259" t="str">
        <f t="shared" si="101"/>
        <v>-</v>
      </c>
      <c r="R121" s="259" t="str">
        <f t="shared" si="101"/>
        <v>-</v>
      </c>
      <c r="S121" s="259">
        <f t="shared" si="97"/>
        <v>1575</v>
      </c>
      <c r="T121" s="259">
        <f t="shared" si="102"/>
        <v>1210</v>
      </c>
      <c r="U121" s="259">
        <f t="shared" si="102"/>
        <v>844</v>
      </c>
      <c r="V121" s="259">
        <f t="shared" si="102"/>
        <v>479</v>
      </c>
      <c r="W121" s="259">
        <f t="shared" si="102"/>
        <v>114</v>
      </c>
      <c r="X121" s="259">
        <f t="shared" si="102"/>
        <v>-251</v>
      </c>
      <c r="Y121" s="259">
        <f t="shared" si="102"/>
        <v>-617</v>
      </c>
      <c r="Z121" s="259">
        <f t="shared" si="102"/>
        <v>-982</v>
      </c>
      <c r="AA121" s="267">
        <f>(VLOOKUP(A121,Hshldprojections2014!$A$2:$AW$319,40, FALSE)-VLOOKUP(A121,Hshldprojections2014!$A$2:$AW$319,30, FALSE))/10</f>
        <v>2006.8</v>
      </c>
      <c r="AB121" s="267">
        <f>(VLOOKUP(A121,Hshldprojections2014!$A$2:$AW$319,41, FALSE)-VLOOKUP(A121,Hshldprojections2014!$A$2:$AW$319,31, FALSE))/10</f>
        <v>1974.6</v>
      </c>
      <c r="AC121" s="267">
        <f>(VLOOKUP(A121,Hshldprojections2014!$A$2:$AW$319,42, FALSE)-VLOOKUP(A121,Hshldprojections2014!$A$2:$AW$319,32, FALSE))/10</f>
        <v>1944.7</v>
      </c>
      <c r="AD121" s="267">
        <f>IF(IndividualLATest!$J$7=2014,(VLOOKUP($A121,Hshldprojections2014!$A$2:$AY$326,43,FALSE)-VLOOKUP($A121,Hshldprojections2014!$A$2:$AY$326,33,FALSE))/10,IF(IndividualLATest!$J$7=2016,(VLOOKUP($A121,Hshldprojections2016!$A$1:$AQ$322,33,FALSE)-VLOOKUP($A121,Hshldprojections2016!$A$1:$AQ$322,23,FALSE))/10,(VLOOKUP($A121,Hshldprojections2018!$A$1:$AQ$327,33,FALSE)-VLOOKUP($A121,Hshldprojections2018!$A$1:$AQ$327,23,FALSE))/10))</f>
        <v>752.9</v>
      </c>
      <c r="AE121" s="267">
        <f>IF(IndividualLATest!$J$7=2014,(VLOOKUP($A121,Hshldprojections2014!$A$2:$AY$326,44,FALSE)-VLOOKUP($A121,Hshldprojections2014!$A$2:$AY$326,34,FALSE))/10,IF(IndividualLATest!$J$7=2016,(VLOOKUP($A121,Hshldprojections2016!$A$1:$AQ$322,34,FALSE)-VLOOKUP($A121,Hshldprojections2016!$A$1:$AQ$322,24,FALSE))/10,(VLOOKUP($A121,Hshldprojections2018!$A$1:$AQ$327,34,FALSE)-VLOOKUP($A121,Hshldprojections2018!$A$1:$AQ$327,24,FALSE))/10))</f>
        <v>728.6</v>
      </c>
      <c r="AF121" s="267">
        <f>IF(IndividualLATest!$J$7=2014,(VLOOKUP($A121,Hshldprojections2014!$A$2:$AY$326,45,FALSE)-VLOOKUP($A121,Hshldprojections2014!$A$2:$AY$326,35,FALSE))/10,IF(IndividualLATest!$J$7=2016,(VLOOKUP($A121,Hshldprojections2016!$A$1:$AQ$322,35,FALSE)-VLOOKUP($A121,Hshldprojections2016!$A$1:$AQ$322,25,FALSE))/10,(VLOOKUP($A121,Hshldprojections2018!$A$1:$AQ$327,35,FALSE)-VLOOKUP($A121,Hshldprojections2018!$A$1:$AQ$327,25,FALSE))/10))</f>
        <v>711.2</v>
      </c>
      <c r="AG121" s="267">
        <f>IF(IndividualLATest!$J$7=2014,(VLOOKUP($A121,Hshldprojections2014!$A$2:$AY$326,46,FALSE)-VLOOKUP($A121,Hshldprojections2014!$A$2:$AY$326,36,FALSE))/10,IF(IndividualLATest!$J$7=2016,(VLOOKUP($A121,Hshldprojections2016!$A$1:$AQ$322,36,FALSE)-VLOOKUP($A121,Hshldprojections2016!$A$1:$AQ$322,26,FALSE))/10,(VLOOKUP($A121,Hshldprojections2018!$A$1:$AQ$327,36,FALSE)-VLOOKUP($A121,Hshldprojections2018!$A$1:$AQ$327,26,FALSE))/10))</f>
        <v>697.9</v>
      </c>
      <c r="AH121" s="267">
        <f>IF(IndividualLATest!$J$7=2014,(VLOOKUP($A121,Hshldprojections2014!$A$2:$AY$326,47,FALSE)-VLOOKUP($A121,Hshldprojections2014!$A$2:$AY$326,37,FALSE))/10,IF(IndividualLATest!$J$7=2016,(VLOOKUP($A121,Hshldprojections2016!$A$1:$AQ$322,37,FALSE)-VLOOKUP($A121,Hshldprojections2016!$A$1:$AQ$322,27,FALSE))/10,(VLOOKUP($A121,Hshldprojections2018!$A$1:$AQ$327,37,FALSE)-VLOOKUP($A121,Hshldprojections2018!$A$1:$AQ$327,27,FALSE))/10))</f>
        <v>690.5</v>
      </c>
      <c r="AI121" s="268">
        <f>IF(ISNUMBER('Sensitivity Tests'!$C$30),'Sensitivity Tests'!$C$30,VLOOKUP($A121,AffordabilityRatio!$A$2:$I$321,5,FALSE))</f>
        <v>16.86</v>
      </c>
      <c r="AJ121" s="268">
        <f>IF(ISNUMBER('Sensitivity Tests'!$C$30),'Sensitivity Tests'!$C$30,VLOOKUP($A121,AffordabilityRatio!$A$2:$I$321,6,FALSE))</f>
        <v>17.48</v>
      </c>
      <c r="AK121" s="268">
        <f>IF(ISNUMBER('Sensitivity Tests'!$C$30),'Sensitivity Tests'!$C$30,VLOOKUP($A121,AffordabilityRatio!$A$2:$I$321,7,FALSE))</f>
        <v>16.88</v>
      </c>
      <c r="AL121" s="268">
        <f>IF(ISNUMBER('Sensitivity Tests'!$C$30),'Sensitivity Tests'!$C$30,IF((VLOOKUP($A121,AffordabilityRatio!$A$2:$I$321,8,FALSE))="",AK121,VLOOKUP($A121,AffordabilityRatio!$A$2:$I$321,8,FALSE)))</f>
        <v>15.17</v>
      </c>
      <c r="AM121" s="268">
        <f>IF(ISNUMBER('Sensitivity Tests'!$C$30),'Sensitivity Tests'!$C$30,IF((VLOOKUP($A121,AffordabilityRatio!$A$2:$I$321,9,FALSE))="",AL121,VLOOKUP($A121,AffordabilityRatio!$A$2:$I$321,9,FALSE)))</f>
        <v>17.260000000000002</v>
      </c>
      <c r="AN121" s="268">
        <f>IF(ISNUMBER('Sensitivity Tests'!$C$30),'Sensitivity Tests'!$C$30,IF((VLOOKUP($A121,AffordabilityRatio!$A$2:$I$321,9,FALSE))="",AM121,VLOOKUP($A121,AffordabilityRatio!$A$2:$I$321,9,FALSE)))</f>
        <v>17.260000000000002</v>
      </c>
      <c r="AO121" s="268">
        <f>IF(ISNUMBER('Sensitivity Tests'!$C$30),'Sensitivity Tests'!$C$30,IF((VLOOKUP($A121,AffordabilityRatio!$A$2:$I$321,9,FALSE))="",AN121,VLOOKUP($A121,AffordabilityRatio!$A$2:$I$321,9,FALSE)))</f>
        <v>17.260000000000002</v>
      </c>
      <c r="AP121" s="268">
        <f>IF(ISNUMBER('Sensitivity Tests'!$C$30),'Sensitivity Tests'!$C$30,IF((VLOOKUP($A121,AffordabilityRatio!$A$2:$I$321,9,FALSE))="",AO121,VLOOKUP($A121,AffordabilityRatio!$A$2:$I$321,9,FALSE)))</f>
        <v>17.260000000000002</v>
      </c>
      <c r="AQ121" s="267">
        <f t="shared" si="104"/>
        <v>3620</v>
      </c>
      <c r="AR121" s="267">
        <f t="shared" si="104"/>
        <v>3638</v>
      </c>
      <c r="AS121" s="267">
        <f t="shared" si="104"/>
        <v>3510</v>
      </c>
      <c r="AT121" s="267">
        <f t="shared" si="103"/>
        <v>1279</v>
      </c>
      <c r="AU121" s="267">
        <f t="shared" si="103"/>
        <v>1332</v>
      </c>
      <c r="AV121" s="267">
        <f t="shared" si="103"/>
        <v>1301</v>
      </c>
      <c r="AW121" s="267">
        <f t="shared" si="103"/>
        <v>1276</v>
      </c>
      <c r="AX121" s="267">
        <f t="shared" si="95"/>
        <v>1263</v>
      </c>
      <c r="AY121" s="267">
        <f t="shared" si="71"/>
        <v>1848.186666666667</v>
      </c>
      <c r="AZ121" s="267">
        <f t="shared" si="72"/>
        <v>1848.186666666667</v>
      </c>
      <c r="BA121" s="267">
        <f t="shared" si="73"/>
        <v>1848.186666666667</v>
      </c>
      <c r="BB121" s="267">
        <f t="shared" si="74"/>
        <v>1279</v>
      </c>
      <c r="BC121" s="267">
        <f t="shared" si="75"/>
        <v>1332</v>
      </c>
      <c r="BD121" s="267">
        <f t="shared" si="76"/>
        <v>1301</v>
      </c>
      <c r="BE121" s="267">
        <f t="shared" si="77"/>
        <v>1276</v>
      </c>
      <c r="BF121" s="267">
        <f t="shared" si="78"/>
        <v>1263</v>
      </c>
      <c r="BG121" s="269">
        <f>AY121*VLOOKUP($B121,'Major Cities &amp; Towns'!$A$28:$B$345,2,FALSE)</f>
        <v>2495.0520000000006</v>
      </c>
      <c r="BH121" s="269">
        <f>AZ121*VLOOKUP($B121,'Major Cities &amp; Towns'!$A$28:$B$345,2,FALSE)</f>
        <v>2495.0520000000006</v>
      </c>
      <c r="BI121" s="269">
        <f>BA121*VLOOKUP($B121,'Major Cities &amp; Towns'!$A$28:$B$345,2,FALSE)</f>
        <v>2495.0520000000006</v>
      </c>
      <c r="BJ121" s="269">
        <f>BB121*VLOOKUP($B121,'Major Cities &amp; Towns'!$A$28:$B$345,2,FALSE)</f>
        <v>1726.65</v>
      </c>
      <c r="BK121" s="269">
        <f>BC121*VLOOKUP($B121,'Major Cities &amp; Towns'!$A$28:$B$345,2,FALSE)</f>
        <v>1798.2</v>
      </c>
      <c r="BL121" s="269">
        <f>BD121*VLOOKUP($B121,'Major Cities &amp; Towns'!$A$28:$B$345,2,FALSE)</f>
        <v>1756.3500000000001</v>
      </c>
      <c r="BM121" s="269">
        <f>BE121*VLOOKUP($B121,'Major Cities &amp; Towns'!$A$28:$B$345,2,FALSE)</f>
        <v>1722.6000000000001</v>
      </c>
      <c r="BN121" s="269">
        <f>BF121*VLOOKUP($B121,'Major Cities &amp; Towns'!$A$28:$B$345,2,FALSE)</f>
        <v>1705.0500000000002</v>
      </c>
      <c r="BO121" s="270">
        <f t="shared" si="79"/>
        <v>1320.1333333333334</v>
      </c>
      <c r="BP121" s="270">
        <f t="shared" si="100"/>
        <v>1320.1333333333334</v>
      </c>
      <c r="BQ121" s="270">
        <f t="shared" si="100"/>
        <v>1320.1333333333334</v>
      </c>
      <c r="BR121" s="270">
        <f t="shared" si="100"/>
        <v>1279</v>
      </c>
      <c r="BS121" s="270">
        <f t="shared" si="100"/>
        <v>1328.293698630137</v>
      </c>
      <c r="BT121" s="270">
        <f t="shared" si="100"/>
        <v>1301</v>
      </c>
      <c r="BU121" s="270">
        <f t="shared" si="100"/>
        <v>1276</v>
      </c>
      <c r="BV121" s="270">
        <f t="shared" si="99"/>
        <v>1263</v>
      </c>
      <c r="BW121" s="39">
        <f>VLOOKUP($A121,NetAdditions!$A$2:$H$336,6,FALSE)</f>
        <v>568</v>
      </c>
      <c r="BX121" s="39">
        <f>VLOOKUP($A121,NetAdditions!$A$2:$H$336,7,FALSE)</f>
        <v>865</v>
      </c>
      <c r="BY121" s="39">
        <f>IF((VLOOKUP($C121,NetAdditions!$A$2:$H$336,8,FALSE))="",(AVERAGE(VLOOKUP($C121,NetAdditions!$A$2:$H$336,5,FALSE),VLOOKUP($C121,NetAdditions!$A$2:$H$336,6,FALSE),VLOOKUP($C121,NetAdditions!$A$2:$H$336,7,FALSE))),VLOOKUP($C121,NetAdditions!$A$2:$H$336,8,FALSE))</f>
        <v>1432</v>
      </c>
      <c r="BZ121" s="39">
        <f t="shared" si="105"/>
        <v>955</v>
      </c>
      <c r="CA121" s="39">
        <f t="shared" si="105"/>
        <v>1084</v>
      </c>
      <c r="CB121" s="39">
        <f t="shared" si="105"/>
        <v>1157</v>
      </c>
      <c r="CC121" s="39">
        <f t="shared" si="105"/>
        <v>1065.3333333333333</v>
      </c>
      <c r="CD121" s="39">
        <f t="shared" si="105"/>
        <v>1102.1111111111111</v>
      </c>
      <c r="CE121" s="276">
        <f t="shared" si="55"/>
        <v>3960.4000000000005</v>
      </c>
      <c r="CF121" s="276">
        <f t="shared" si="56"/>
        <v>3919.2666666666669</v>
      </c>
      <c r="CG121" s="276">
        <f t="shared" si="57"/>
        <v>3927.4270319634702</v>
      </c>
      <c r="CH121" s="276">
        <f t="shared" si="58"/>
        <v>3908.293698630137</v>
      </c>
      <c r="CI121" s="276">
        <f t="shared" si="59"/>
        <v>3905.293698630137</v>
      </c>
      <c r="CJ121" s="276">
        <f t="shared" si="60"/>
        <v>3840</v>
      </c>
      <c r="CK121" s="276">
        <f t="shared" si="80"/>
        <v>3410.3444444444449</v>
      </c>
      <c r="CL121" s="276">
        <f t="shared" si="81"/>
        <v>3374.9240740740743</v>
      </c>
      <c r="CM121" s="276">
        <f t="shared" si="82"/>
        <v>3600.1414459665143</v>
      </c>
      <c r="CN121" s="276">
        <f t="shared" si="83"/>
        <v>3908.293698630137</v>
      </c>
      <c r="CO121" s="276">
        <f t="shared" si="83"/>
        <v>3905.293698630137</v>
      </c>
      <c r="CP121" s="276">
        <f t="shared" si="83"/>
        <v>3840</v>
      </c>
      <c r="CQ121" s="39">
        <f t="shared" si="61"/>
        <v>2865</v>
      </c>
      <c r="CR121" s="39">
        <f t="shared" si="62"/>
        <v>3252</v>
      </c>
      <c r="CS121" s="277">
        <f t="shared" si="63"/>
        <v>3471</v>
      </c>
      <c r="CT121" s="39">
        <f t="shared" si="64"/>
        <v>3196</v>
      </c>
      <c r="CU121" s="39">
        <f t="shared" si="65"/>
        <v>3306.333333333333</v>
      </c>
      <c r="CV121" s="39">
        <f t="shared" si="66"/>
        <v>3324.4444444444443</v>
      </c>
      <c r="CW121" s="297">
        <f t="shared" si="67"/>
        <v>0.84009109539277549</v>
      </c>
      <c r="CX121" s="279" t="str">
        <f t="shared" si="84"/>
        <v>Buffer and Action Plan</v>
      </c>
      <c r="CY121" s="278">
        <f t="shared" si="68"/>
        <v>0.96357723273884344</v>
      </c>
      <c r="CZ121" s="279" t="str">
        <f t="shared" si="85"/>
        <v>Pass</v>
      </c>
      <c r="DA121" s="278">
        <f t="shared" si="69"/>
        <v>0.96412878552002446</v>
      </c>
      <c r="DB121" s="292" t="str">
        <f t="shared" si="86"/>
        <v>Pass</v>
      </c>
      <c r="DC121" s="299">
        <f t="shared" si="87"/>
        <v>0.81774816491406543</v>
      </c>
      <c r="DD121" s="293" t="str">
        <f t="shared" si="88"/>
        <v>Buffer and Action Plan</v>
      </c>
      <c r="DE121" s="299">
        <f t="shared" si="89"/>
        <v>0.8466285991481507</v>
      </c>
      <c r="DF121" s="293" t="str">
        <f t="shared" si="90"/>
        <v>Buffer and Action Plan</v>
      </c>
      <c r="DG121" s="299">
        <f t="shared" si="91"/>
        <v>0.8657407407407407</v>
      </c>
      <c r="DH121" s="293" t="str">
        <f t="shared" si="92"/>
        <v>Action Plan</v>
      </c>
    </row>
    <row r="122" spans="1:112" ht="15" thickTop="1" thickBot="1">
      <c r="A122" s="38" t="s">
        <v>354</v>
      </c>
      <c r="B122" s="38" t="s">
        <v>355</v>
      </c>
      <c r="C122" s="38" t="s">
        <v>354</v>
      </c>
      <c r="D122" s="38" t="s">
        <v>128</v>
      </c>
      <c r="E122" s="38" t="str">
        <f>VLOOKUP(C122,PoliticalControl!A:K,11,FALSE)</f>
        <v>CON</v>
      </c>
      <c r="F122" s="38" t="str">
        <f>VLOOKUP(C122,UrbanRuralClassification!A:N,13,FALSE)</f>
        <v>Urban with City and Town</v>
      </c>
      <c r="G122" s="38" t="str">
        <f>VLOOKUP(C122,UrbanRuralClassification!A:N,14,FALSE)</f>
        <v>Predominantly Urban</v>
      </c>
      <c r="H122" s="258">
        <f>IF(ISBLANK((VLOOKUP($A122,'local-plan-data'!$C$1:$AD$566,27,FALSE)))=TRUE,"",VLOOKUP($A122,'local-plan-data'!$C$1:$AD$566,27,FALSE))</f>
        <v>44175</v>
      </c>
      <c r="I122" s="259">
        <f>VLOOKUP($A122,'local-plan-data'!$C$1:$AD$566,28,FALSE)</f>
        <v>418.18181818181819</v>
      </c>
      <c r="J122" s="260">
        <f t="shared" si="70"/>
        <v>418.18181818181819</v>
      </c>
      <c r="K122" s="259">
        <f t="shared" si="96"/>
        <v>418.18181818181819</v>
      </c>
      <c r="L122" s="259">
        <f t="shared" si="101"/>
        <v>418.18181818181819</v>
      </c>
      <c r="M122" s="259">
        <f t="shared" si="101"/>
        <v>418.18181818181819</v>
      </c>
      <c r="N122" s="259">
        <f t="shared" si="101"/>
        <v>418.18181818181819</v>
      </c>
      <c r="O122" s="259">
        <f t="shared" si="101"/>
        <v>418.18181818181819</v>
      </c>
      <c r="P122" s="259">
        <f t="shared" si="101"/>
        <v>418.18181818181819</v>
      </c>
      <c r="Q122" s="259">
        <f t="shared" si="101"/>
        <v>418.18181818181819</v>
      </c>
      <c r="R122" s="259">
        <f t="shared" si="101"/>
        <v>418.18181818181819</v>
      </c>
      <c r="S122" s="259">
        <f t="shared" si="97"/>
        <v>2810</v>
      </c>
      <c r="T122" s="259">
        <f t="shared" si="102"/>
        <v>2445</v>
      </c>
      <c r="U122" s="259">
        <f t="shared" si="102"/>
        <v>2079</v>
      </c>
      <c r="V122" s="259">
        <f t="shared" si="102"/>
        <v>1714</v>
      </c>
      <c r="W122" s="259">
        <f t="shared" si="102"/>
        <v>1349</v>
      </c>
      <c r="X122" s="259">
        <f t="shared" si="102"/>
        <v>984</v>
      </c>
      <c r="Y122" s="259">
        <f t="shared" si="102"/>
        <v>618</v>
      </c>
      <c r="Z122" s="259">
        <f t="shared" si="102"/>
        <v>253</v>
      </c>
      <c r="AA122" s="267">
        <f>(VLOOKUP(A122,Hshldprojections2014!$A$2:$AW$319,40, FALSE)-VLOOKUP(A122,Hshldprojections2014!$A$2:$AW$319,30, FALSE))/10</f>
        <v>355.3</v>
      </c>
      <c r="AB122" s="267">
        <f>(VLOOKUP(A122,Hshldprojections2014!$A$2:$AW$319,41, FALSE)-VLOOKUP(A122,Hshldprojections2014!$A$2:$AW$319,31, FALSE))/10</f>
        <v>354.6</v>
      </c>
      <c r="AC122" s="267">
        <f>(VLOOKUP(A122,Hshldprojections2014!$A$2:$AW$319,42, FALSE)-VLOOKUP(A122,Hshldprojections2014!$A$2:$AW$319,32, FALSE))/10</f>
        <v>357.6</v>
      </c>
      <c r="AD122" s="267">
        <f>IF(IndividualLATest!$J$7=2014,(VLOOKUP($A122,Hshldprojections2014!$A$2:$AY$326,43,FALSE)-VLOOKUP($A122,Hshldprojections2014!$A$2:$AY$326,33,FALSE))/10,IF(IndividualLATest!$J$7=2016,(VLOOKUP($A122,Hshldprojections2016!$A$1:$AQ$322,33,FALSE)-VLOOKUP($A122,Hshldprojections2016!$A$1:$AQ$322,23,FALSE))/10,(VLOOKUP($A122,Hshldprojections2018!$A$1:$AQ$327,33,FALSE)-VLOOKUP($A122,Hshldprojections2018!$A$1:$AQ$327,23,FALSE))/10))</f>
        <v>147.1</v>
      </c>
      <c r="AE122" s="267">
        <f>IF(IndividualLATest!$J$7=2014,(VLOOKUP($A122,Hshldprojections2014!$A$2:$AY$326,44,FALSE)-VLOOKUP($A122,Hshldprojections2014!$A$2:$AY$326,34,FALSE))/10,IF(IndividualLATest!$J$7=2016,(VLOOKUP($A122,Hshldprojections2016!$A$1:$AQ$322,34,FALSE)-VLOOKUP($A122,Hshldprojections2016!$A$1:$AQ$322,24,FALSE))/10,(VLOOKUP($A122,Hshldprojections2018!$A$1:$AQ$327,34,FALSE)-VLOOKUP($A122,Hshldprojections2018!$A$1:$AQ$327,24,FALSE))/10))</f>
        <v>151.19999999999999</v>
      </c>
      <c r="AF122" s="267">
        <f>IF(IndividualLATest!$J$7=2014,(VLOOKUP($A122,Hshldprojections2014!$A$2:$AY$326,45,FALSE)-VLOOKUP($A122,Hshldprojections2014!$A$2:$AY$326,35,FALSE))/10,IF(IndividualLATest!$J$7=2016,(VLOOKUP($A122,Hshldprojections2016!$A$1:$AQ$322,35,FALSE)-VLOOKUP($A122,Hshldprojections2016!$A$1:$AQ$322,25,FALSE))/10,(VLOOKUP($A122,Hshldprojections2018!$A$1:$AQ$327,35,FALSE)-VLOOKUP($A122,Hshldprojections2018!$A$1:$AQ$327,25,FALSE))/10))</f>
        <v>155.80000000000001</v>
      </c>
      <c r="AG122" s="267">
        <f>IF(IndividualLATest!$J$7=2014,(VLOOKUP($A122,Hshldprojections2014!$A$2:$AY$326,46,FALSE)-VLOOKUP($A122,Hshldprojections2014!$A$2:$AY$326,36,FALSE))/10,IF(IndividualLATest!$J$7=2016,(VLOOKUP($A122,Hshldprojections2016!$A$1:$AQ$322,36,FALSE)-VLOOKUP($A122,Hshldprojections2016!$A$1:$AQ$322,26,FALSE))/10,(VLOOKUP($A122,Hshldprojections2018!$A$1:$AQ$327,36,FALSE)-VLOOKUP($A122,Hshldprojections2018!$A$1:$AQ$327,26,FALSE))/10))</f>
        <v>156.5</v>
      </c>
      <c r="AH122" s="267">
        <f>IF(IndividualLATest!$J$7=2014,(VLOOKUP($A122,Hshldprojections2014!$A$2:$AY$326,47,FALSE)-VLOOKUP($A122,Hshldprojections2014!$A$2:$AY$326,37,FALSE))/10,IF(IndividualLATest!$J$7=2016,(VLOOKUP($A122,Hshldprojections2016!$A$1:$AQ$322,37,FALSE)-VLOOKUP($A122,Hshldprojections2016!$A$1:$AQ$322,27,FALSE))/10,(VLOOKUP($A122,Hshldprojections2018!$A$1:$AQ$327,37,FALSE)-VLOOKUP($A122,Hshldprojections2018!$A$1:$AQ$327,27,FALSE))/10))</f>
        <v>160.4</v>
      </c>
      <c r="AI122" s="268">
        <f>IF(ISNUMBER('Sensitivity Tests'!$C$30),'Sensitivity Tests'!$C$30,VLOOKUP($A122,AffordabilityRatio!$A$2:$I$321,5,FALSE))</f>
        <v>9.26</v>
      </c>
      <c r="AJ122" s="268">
        <f>IF(ISNUMBER('Sensitivity Tests'!$C$30),'Sensitivity Tests'!$C$30,VLOOKUP($A122,AffordabilityRatio!$A$2:$I$321,6,FALSE))</f>
        <v>9.5</v>
      </c>
      <c r="AK122" s="268">
        <f>IF(ISNUMBER('Sensitivity Tests'!$C$30),'Sensitivity Tests'!$C$30,VLOOKUP($A122,AffordabilityRatio!$A$2:$I$321,7,FALSE))</f>
        <v>9.18</v>
      </c>
      <c r="AL122" s="268">
        <f>IF(ISNUMBER('Sensitivity Tests'!$C$30),'Sensitivity Tests'!$C$30,IF((VLOOKUP($A122,AffordabilityRatio!$A$2:$I$321,8,FALSE))="",AK122,VLOOKUP($A122,AffordabilityRatio!$A$2:$I$321,8,FALSE)))</f>
        <v>9.25</v>
      </c>
      <c r="AM122" s="268">
        <f>IF(ISNUMBER('Sensitivity Tests'!$C$30),'Sensitivity Tests'!$C$30,IF((VLOOKUP($A122,AffordabilityRatio!$A$2:$I$321,9,FALSE))="",AL122,VLOOKUP($A122,AffordabilityRatio!$A$2:$I$321,9,FALSE)))</f>
        <v>11.03</v>
      </c>
      <c r="AN122" s="268">
        <f>IF(ISNUMBER('Sensitivity Tests'!$C$30),'Sensitivity Tests'!$C$30,IF((VLOOKUP($A122,AffordabilityRatio!$A$2:$I$321,9,FALSE))="",AM122,VLOOKUP($A122,AffordabilityRatio!$A$2:$I$321,9,FALSE)))</f>
        <v>11.03</v>
      </c>
      <c r="AO122" s="268">
        <f>IF(ISNUMBER('Sensitivity Tests'!$C$30),'Sensitivity Tests'!$C$30,IF((VLOOKUP($A122,AffordabilityRatio!$A$2:$I$321,9,FALSE))="",AN122,VLOOKUP($A122,AffordabilityRatio!$A$2:$I$321,9,FALSE)))</f>
        <v>11.03</v>
      </c>
      <c r="AP122" s="268">
        <f>IF(ISNUMBER('Sensitivity Tests'!$C$30),'Sensitivity Tests'!$C$30,IF((VLOOKUP($A122,AffordabilityRatio!$A$2:$I$321,9,FALSE))="",AO122,VLOOKUP($A122,AffordabilityRatio!$A$2:$I$321,9,FALSE)))</f>
        <v>11.03</v>
      </c>
      <c r="AQ122" s="267">
        <f t="shared" si="104"/>
        <v>472</v>
      </c>
      <c r="AR122" s="267">
        <f t="shared" si="104"/>
        <v>476</v>
      </c>
      <c r="AS122" s="267">
        <f t="shared" si="104"/>
        <v>473</v>
      </c>
      <c r="AT122" s="267">
        <f t="shared" si="103"/>
        <v>195</v>
      </c>
      <c r="AU122" s="267">
        <f t="shared" si="103"/>
        <v>218</v>
      </c>
      <c r="AV122" s="267">
        <f t="shared" si="103"/>
        <v>224</v>
      </c>
      <c r="AW122" s="267">
        <f t="shared" si="103"/>
        <v>225</v>
      </c>
      <c r="AX122" s="267">
        <f t="shared" si="95"/>
        <v>231</v>
      </c>
      <c r="AY122" s="267">
        <f t="shared" si="71"/>
        <v>472</v>
      </c>
      <c r="AZ122" s="267">
        <f t="shared" si="72"/>
        <v>476</v>
      </c>
      <c r="BA122" s="267">
        <f t="shared" si="73"/>
        <v>473</v>
      </c>
      <c r="BB122" s="267">
        <f t="shared" si="74"/>
        <v>195</v>
      </c>
      <c r="BC122" s="267">
        <f t="shared" si="75"/>
        <v>218</v>
      </c>
      <c r="BD122" s="267">
        <f t="shared" si="76"/>
        <v>224</v>
      </c>
      <c r="BE122" s="267">
        <f t="shared" si="77"/>
        <v>225</v>
      </c>
      <c r="BF122" s="267">
        <f t="shared" si="78"/>
        <v>231</v>
      </c>
      <c r="BG122" s="269">
        <f>AY122*VLOOKUP($B122,'Major Cities &amp; Towns'!$A$28:$B$345,2,FALSE)</f>
        <v>472</v>
      </c>
      <c r="BH122" s="269">
        <f>AZ122*VLOOKUP($B122,'Major Cities &amp; Towns'!$A$28:$B$345,2,FALSE)</f>
        <v>476</v>
      </c>
      <c r="BI122" s="269">
        <f>BA122*VLOOKUP($B122,'Major Cities &amp; Towns'!$A$28:$B$345,2,FALSE)</f>
        <v>473</v>
      </c>
      <c r="BJ122" s="269">
        <f>BB122*VLOOKUP($B122,'Major Cities &amp; Towns'!$A$28:$B$345,2,FALSE)</f>
        <v>195</v>
      </c>
      <c r="BK122" s="269">
        <f>BC122*VLOOKUP($B122,'Major Cities &amp; Towns'!$A$28:$B$345,2,FALSE)</f>
        <v>218</v>
      </c>
      <c r="BL122" s="269">
        <f>BD122*VLOOKUP($B122,'Major Cities &amp; Towns'!$A$28:$B$345,2,FALSE)</f>
        <v>224</v>
      </c>
      <c r="BM122" s="269">
        <f>BE122*VLOOKUP($B122,'Major Cities &amp; Towns'!$A$28:$B$345,2,FALSE)</f>
        <v>225</v>
      </c>
      <c r="BN122" s="269">
        <f>BF122*VLOOKUP($B122,'Major Cities &amp; Towns'!$A$28:$B$345,2,FALSE)</f>
        <v>231</v>
      </c>
      <c r="BO122" s="270">
        <f t="shared" si="79"/>
        <v>418.18181818181819</v>
      </c>
      <c r="BP122" s="270">
        <f t="shared" si="100"/>
        <v>418.18181818181819</v>
      </c>
      <c r="BQ122" s="270">
        <f t="shared" si="100"/>
        <v>418.18181818181819</v>
      </c>
      <c r="BR122" s="270">
        <f t="shared" si="100"/>
        <v>195</v>
      </c>
      <c r="BS122" s="270">
        <f t="shared" si="100"/>
        <v>218</v>
      </c>
      <c r="BT122" s="270">
        <f t="shared" si="100"/>
        <v>224</v>
      </c>
      <c r="BU122" s="270">
        <f t="shared" si="100"/>
        <v>225</v>
      </c>
      <c r="BV122" s="270">
        <f t="shared" si="99"/>
        <v>231.00000000000003</v>
      </c>
      <c r="BW122" s="39">
        <f>VLOOKUP($A122,NetAdditions!$A$2:$H$336,6,FALSE)</f>
        <v>676</v>
      </c>
      <c r="BX122" s="39">
        <f>VLOOKUP($A122,NetAdditions!$A$2:$H$336,7,FALSE)</f>
        <v>725</v>
      </c>
      <c r="BY122" s="39">
        <f>IF((VLOOKUP($C122,NetAdditions!$A$2:$H$336,8,FALSE))="",(AVERAGE(VLOOKUP($C122,NetAdditions!$A$2:$H$336,5,FALSE),VLOOKUP($C122,NetAdditions!$A$2:$H$336,6,FALSE),VLOOKUP($C122,NetAdditions!$A$2:$H$336,7,FALSE))),VLOOKUP($C122,NetAdditions!$A$2:$H$336,8,FALSE))</f>
        <v>535</v>
      </c>
      <c r="BZ122" s="39">
        <f t="shared" si="105"/>
        <v>645.33333333333337</v>
      </c>
      <c r="CA122" s="39">
        <f t="shared" si="105"/>
        <v>635.1111111111112</v>
      </c>
      <c r="CB122" s="39">
        <f t="shared" si="105"/>
        <v>605.14814814814827</v>
      </c>
      <c r="CC122" s="39">
        <f t="shared" si="105"/>
        <v>628.53086419753095</v>
      </c>
      <c r="CD122" s="39">
        <f t="shared" si="105"/>
        <v>622.93004115226347</v>
      </c>
      <c r="CE122" s="276">
        <f t="shared" si="55"/>
        <v>1254.5454545454545</v>
      </c>
      <c r="CF122" s="276">
        <f t="shared" si="56"/>
        <v>1031.3636363636365</v>
      </c>
      <c r="CG122" s="276">
        <f t="shared" si="57"/>
        <v>831.18181818181824</v>
      </c>
      <c r="CH122" s="276">
        <f t="shared" si="58"/>
        <v>637</v>
      </c>
      <c r="CI122" s="276">
        <f t="shared" si="59"/>
        <v>667</v>
      </c>
      <c r="CJ122" s="276">
        <f t="shared" si="60"/>
        <v>680</v>
      </c>
      <c r="CK122" s="276">
        <f t="shared" si="80"/>
        <v>1080.3030303030303</v>
      </c>
      <c r="CL122" s="276">
        <f t="shared" si="81"/>
        <v>888.11868686868706</v>
      </c>
      <c r="CM122" s="276">
        <f t="shared" si="82"/>
        <v>761.91666666666674</v>
      </c>
      <c r="CN122" s="276">
        <f t="shared" si="83"/>
        <v>637</v>
      </c>
      <c r="CO122" s="276">
        <f t="shared" si="83"/>
        <v>667</v>
      </c>
      <c r="CP122" s="276">
        <f t="shared" si="83"/>
        <v>680</v>
      </c>
      <c r="CQ122" s="39">
        <f t="shared" si="61"/>
        <v>1936</v>
      </c>
      <c r="CR122" s="39">
        <f t="shared" si="62"/>
        <v>1905.3333333333335</v>
      </c>
      <c r="CS122" s="277">
        <f t="shared" si="63"/>
        <v>1815.4444444444448</v>
      </c>
      <c r="CT122" s="39">
        <f t="shared" si="64"/>
        <v>1885.5925925925928</v>
      </c>
      <c r="CU122" s="39">
        <f t="shared" si="65"/>
        <v>1868.7901234567905</v>
      </c>
      <c r="CV122" s="39">
        <f t="shared" si="66"/>
        <v>1856.6090534979426</v>
      </c>
      <c r="CW122" s="297">
        <f t="shared" si="67"/>
        <v>1.7920897615708276</v>
      </c>
      <c r="CX122" s="279" t="str">
        <f t="shared" si="84"/>
        <v>Pass</v>
      </c>
      <c r="CY122" s="278">
        <f t="shared" si="68"/>
        <v>2.1453589047327939</v>
      </c>
      <c r="CZ122" s="279" t="str">
        <f t="shared" si="85"/>
        <v>Pass</v>
      </c>
      <c r="DA122" s="278">
        <f t="shared" si="69"/>
        <v>2.3827336031207849</v>
      </c>
      <c r="DB122" s="292" t="str">
        <f t="shared" si="86"/>
        <v>Pass</v>
      </c>
      <c r="DC122" s="299">
        <f t="shared" si="87"/>
        <v>2.9601139601139606</v>
      </c>
      <c r="DD122" s="293" t="str">
        <f t="shared" si="88"/>
        <v>Pass</v>
      </c>
      <c r="DE122" s="299">
        <f t="shared" si="89"/>
        <v>2.8017842930386663</v>
      </c>
      <c r="DF122" s="293" t="str">
        <f t="shared" si="90"/>
        <v>Pass</v>
      </c>
      <c r="DG122" s="299">
        <f t="shared" si="91"/>
        <v>2.7303074316146216</v>
      </c>
      <c r="DH122" s="293" t="str">
        <f t="shared" si="92"/>
        <v>Pass</v>
      </c>
    </row>
    <row r="123" spans="1:112" ht="15" thickTop="1" thickBot="1">
      <c r="A123" s="38" t="s">
        <v>356</v>
      </c>
      <c r="B123" s="38" t="s">
        <v>357</v>
      </c>
      <c r="C123" s="38" t="s">
        <v>356</v>
      </c>
      <c r="D123" s="38" t="s">
        <v>136</v>
      </c>
      <c r="E123" s="38" t="str">
        <f>VLOOKUP(C123,PoliticalControl!A:K,11,FALSE)</f>
        <v>CON</v>
      </c>
      <c r="F123" s="38" t="str">
        <f>VLOOKUP(C123,UrbanRuralClassification!A:N,13,FALSE)</f>
        <v>Urban with Significant Rural (rural including hub towns 26-49%)</v>
      </c>
      <c r="G123" s="38" t="str">
        <f>VLOOKUP(C123,UrbanRuralClassification!A:N,14,FALSE)</f>
        <v>Urban with Significant Rural</v>
      </c>
      <c r="H123" s="258">
        <f>IF(ISBLANK((VLOOKUP($A123,'local-plan-data'!$C$1:$AD$566,27,FALSE)))=TRUE,"",VLOOKUP($A123,'local-plan-data'!$C$1:$AD$566,27,FALSE))</f>
        <v>43894</v>
      </c>
      <c r="I123" s="259">
        <f>VLOOKUP($A123,'local-plan-data'!$C$1:$AD$566,28,FALSE)</f>
        <v>637</v>
      </c>
      <c r="J123" s="260">
        <f t="shared" si="70"/>
        <v>637</v>
      </c>
      <c r="K123" s="259">
        <f t="shared" si="96"/>
        <v>637</v>
      </c>
      <c r="L123" s="259">
        <f t="shared" si="101"/>
        <v>637</v>
      </c>
      <c r="M123" s="259">
        <f t="shared" si="101"/>
        <v>637</v>
      </c>
      <c r="N123" s="259">
        <f t="shared" si="101"/>
        <v>637</v>
      </c>
      <c r="O123" s="259">
        <f t="shared" si="101"/>
        <v>637</v>
      </c>
      <c r="P123" s="259">
        <f t="shared" si="101"/>
        <v>637</v>
      </c>
      <c r="Q123" s="259">
        <f t="shared" si="101"/>
        <v>637</v>
      </c>
      <c r="R123" s="259" t="str">
        <f t="shared" si="101"/>
        <v>-</v>
      </c>
      <c r="S123" s="259">
        <f t="shared" si="97"/>
        <v>2529</v>
      </c>
      <c r="T123" s="259">
        <f t="shared" si="102"/>
        <v>2164</v>
      </c>
      <c r="U123" s="259">
        <f t="shared" si="102"/>
        <v>1798</v>
      </c>
      <c r="V123" s="259">
        <f t="shared" si="102"/>
        <v>1433</v>
      </c>
      <c r="W123" s="259">
        <f t="shared" si="102"/>
        <v>1068</v>
      </c>
      <c r="X123" s="259">
        <f t="shared" si="102"/>
        <v>703</v>
      </c>
      <c r="Y123" s="259">
        <f t="shared" si="102"/>
        <v>337</v>
      </c>
      <c r="Z123" s="259">
        <f t="shared" si="102"/>
        <v>-28</v>
      </c>
      <c r="AA123" s="267">
        <f>(VLOOKUP(A123,Hshldprojections2014!$A$2:$AW$319,40, FALSE)-VLOOKUP(A123,Hshldprojections2014!$A$2:$AW$319,30, FALSE))/10</f>
        <v>279</v>
      </c>
      <c r="AB123" s="267">
        <f>(VLOOKUP(A123,Hshldprojections2014!$A$2:$AW$319,41, FALSE)-VLOOKUP(A123,Hshldprojections2014!$A$2:$AW$319,31, FALSE))/10</f>
        <v>280</v>
      </c>
      <c r="AC123" s="267">
        <f>(VLOOKUP(A123,Hshldprojections2014!$A$2:$AW$319,42, FALSE)-VLOOKUP(A123,Hshldprojections2014!$A$2:$AW$319,32, FALSE))/10</f>
        <v>277</v>
      </c>
      <c r="AD123" s="267">
        <f>IF(IndividualLATest!$J$7=2014,(VLOOKUP($A123,Hshldprojections2014!$A$2:$AY$326,43,FALSE)-VLOOKUP($A123,Hshldprojections2014!$A$2:$AY$326,33,FALSE))/10,IF(IndividualLATest!$J$7=2016,(VLOOKUP($A123,Hshldprojections2016!$A$1:$AQ$322,33,FALSE)-VLOOKUP($A123,Hshldprojections2016!$A$1:$AQ$322,23,FALSE))/10,(VLOOKUP($A123,Hshldprojections2018!$A$1:$AQ$327,33,FALSE)-VLOOKUP($A123,Hshldprojections2018!$A$1:$AQ$327,23,FALSE))/10))</f>
        <v>275.7</v>
      </c>
      <c r="AE123" s="267">
        <f>IF(IndividualLATest!$J$7=2014,(VLOOKUP($A123,Hshldprojections2014!$A$2:$AY$326,44,FALSE)-VLOOKUP($A123,Hshldprojections2014!$A$2:$AY$326,34,FALSE))/10,IF(IndividualLATest!$J$7=2016,(VLOOKUP($A123,Hshldprojections2016!$A$1:$AQ$322,34,FALSE)-VLOOKUP($A123,Hshldprojections2016!$A$1:$AQ$322,24,FALSE))/10,(VLOOKUP($A123,Hshldprojections2018!$A$1:$AQ$327,34,FALSE)-VLOOKUP($A123,Hshldprojections2018!$A$1:$AQ$327,24,FALSE))/10))</f>
        <v>262.8</v>
      </c>
      <c r="AF123" s="267">
        <f>IF(IndividualLATest!$J$7=2014,(VLOOKUP($A123,Hshldprojections2014!$A$2:$AY$326,45,FALSE)-VLOOKUP($A123,Hshldprojections2014!$A$2:$AY$326,35,FALSE))/10,IF(IndividualLATest!$J$7=2016,(VLOOKUP($A123,Hshldprojections2016!$A$1:$AQ$322,35,FALSE)-VLOOKUP($A123,Hshldprojections2016!$A$1:$AQ$322,25,FALSE))/10,(VLOOKUP($A123,Hshldprojections2018!$A$1:$AQ$327,35,FALSE)-VLOOKUP($A123,Hshldprojections2018!$A$1:$AQ$327,25,FALSE))/10))</f>
        <v>255.1</v>
      </c>
      <c r="AG123" s="267">
        <f>IF(IndividualLATest!$J$7=2014,(VLOOKUP($A123,Hshldprojections2014!$A$2:$AY$326,46,FALSE)-VLOOKUP($A123,Hshldprojections2014!$A$2:$AY$326,36,FALSE))/10,IF(IndividualLATest!$J$7=2016,(VLOOKUP($A123,Hshldprojections2016!$A$1:$AQ$322,36,FALSE)-VLOOKUP($A123,Hshldprojections2016!$A$1:$AQ$322,26,FALSE))/10,(VLOOKUP($A123,Hshldprojections2018!$A$1:$AQ$327,36,FALSE)-VLOOKUP($A123,Hshldprojections2018!$A$1:$AQ$327,26,FALSE))/10))</f>
        <v>254.6</v>
      </c>
      <c r="AH123" s="267">
        <f>IF(IndividualLATest!$J$7=2014,(VLOOKUP($A123,Hshldprojections2014!$A$2:$AY$326,47,FALSE)-VLOOKUP($A123,Hshldprojections2014!$A$2:$AY$326,37,FALSE))/10,IF(IndividualLATest!$J$7=2016,(VLOOKUP($A123,Hshldprojections2016!$A$1:$AQ$322,37,FALSE)-VLOOKUP($A123,Hshldprojections2016!$A$1:$AQ$322,27,FALSE))/10,(VLOOKUP($A123,Hshldprojections2018!$A$1:$AQ$327,37,FALSE)-VLOOKUP($A123,Hshldprojections2018!$A$1:$AQ$327,27,FALSE))/10))</f>
        <v>251.5</v>
      </c>
      <c r="AI123" s="268">
        <f>IF(ISNUMBER('Sensitivity Tests'!$C$30),'Sensitivity Tests'!$C$30,VLOOKUP($A123,AffordabilityRatio!$A$2:$I$321,5,FALSE))</f>
        <v>10.29</v>
      </c>
      <c r="AJ123" s="268">
        <f>IF(ISNUMBER('Sensitivity Tests'!$C$30),'Sensitivity Tests'!$C$30,VLOOKUP($A123,AffordabilityRatio!$A$2:$I$321,6,FALSE))</f>
        <v>10.220000000000001</v>
      </c>
      <c r="AK123" s="268">
        <f>IF(ISNUMBER('Sensitivity Tests'!$C$30),'Sensitivity Tests'!$C$30,VLOOKUP($A123,AffordabilityRatio!$A$2:$I$321,7,FALSE))</f>
        <v>9.07</v>
      </c>
      <c r="AL123" s="268">
        <f>IF(ISNUMBER('Sensitivity Tests'!$C$30),'Sensitivity Tests'!$C$30,IF((VLOOKUP($A123,AffordabilityRatio!$A$2:$I$321,8,FALSE))="",AK123,VLOOKUP($A123,AffordabilityRatio!$A$2:$I$321,8,FALSE)))</f>
        <v>10.41</v>
      </c>
      <c r="AM123" s="268">
        <f>IF(ISNUMBER('Sensitivity Tests'!$C$30),'Sensitivity Tests'!$C$30,IF((VLOOKUP($A123,AffordabilityRatio!$A$2:$I$321,9,FALSE))="",AL123,VLOOKUP($A123,AffordabilityRatio!$A$2:$I$321,9,FALSE)))</f>
        <v>10.89</v>
      </c>
      <c r="AN123" s="268">
        <f>IF(ISNUMBER('Sensitivity Tests'!$C$30),'Sensitivity Tests'!$C$30,IF((VLOOKUP($A123,AffordabilityRatio!$A$2:$I$321,9,FALSE))="",AM123,VLOOKUP($A123,AffordabilityRatio!$A$2:$I$321,9,FALSE)))</f>
        <v>10.89</v>
      </c>
      <c r="AO123" s="268">
        <f>IF(ISNUMBER('Sensitivity Tests'!$C$30),'Sensitivity Tests'!$C$30,IF((VLOOKUP($A123,AffordabilityRatio!$A$2:$I$321,9,FALSE))="",AN123,VLOOKUP($A123,AffordabilityRatio!$A$2:$I$321,9,FALSE)))</f>
        <v>10.89</v>
      </c>
      <c r="AP123" s="268">
        <f>IF(ISNUMBER('Sensitivity Tests'!$C$30),'Sensitivity Tests'!$C$30,IF((VLOOKUP($A123,AffordabilityRatio!$A$2:$I$321,9,FALSE))="",AO123,VLOOKUP($A123,AffordabilityRatio!$A$2:$I$321,9,FALSE)))</f>
        <v>10.89</v>
      </c>
      <c r="AQ123" s="267">
        <f t="shared" si="104"/>
        <v>389</v>
      </c>
      <c r="AR123" s="267">
        <f t="shared" si="104"/>
        <v>389</v>
      </c>
      <c r="AS123" s="267">
        <f t="shared" si="104"/>
        <v>365</v>
      </c>
      <c r="AT123" s="267">
        <f t="shared" si="103"/>
        <v>386</v>
      </c>
      <c r="AU123" s="267">
        <f t="shared" si="103"/>
        <v>376</v>
      </c>
      <c r="AV123" s="267">
        <f t="shared" si="103"/>
        <v>365</v>
      </c>
      <c r="AW123" s="267">
        <f t="shared" si="103"/>
        <v>364</v>
      </c>
      <c r="AX123" s="267">
        <f t="shared" si="95"/>
        <v>360</v>
      </c>
      <c r="AY123" s="267">
        <f t="shared" si="71"/>
        <v>389</v>
      </c>
      <c r="AZ123" s="267">
        <f t="shared" si="72"/>
        <v>389</v>
      </c>
      <c r="BA123" s="267">
        <f t="shared" si="73"/>
        <v>365</v>
      </c>
      <c r="BB123" s="267">
        <f t="shared" si="74"/>
        <v>386</v>
      </c>
      <c r="BC123" s="267">
        <f t="shared" si="75"/>
        <v>376</v>
      </c>
      <c r="BD123" s="267">
        <f t="shared" si="76"/>
        <v>365</v>
      </c>
      <c r="BE123" s="267">
        <f t="shared" si="77"/>
        <v>364</v>
      </c>
      <c r="BF123" s="267">
        <f t="shared" si="78"/>
        <v>360</v>
      </c>
      <c r="BG123" s="269">
        <f>AY123*VLOOKUP($B123,'Major Cities &amp; Towns'!$A$28:$B$345,2,FALSE)</f>
        <v>389</v>
      </c>
      <c r="BH123" s="269">
        <f>AZ123*VLOOKUP($B123,'Major Cities &amp; Towns'!$A$28:$B$345,2,FALSE)</f>
        <v>389</v>
      </c>
      <c r="BI123" s="269">
        <f>BA123*VLOOKUP($B123,'Major Cities &amp; Towns'!$A$28:$B$345,2,FALSE)</f>
        <v>365</v>
      </c>
      <c r="BJ123" s="269">
        <f>BB123*VLOOKUP($B123,'Major Cities &amp; Towns'!$A$28:$B$345,2,FALSE)</f>
        <v>386</v>
      </c>
      <c r="BK123" s="269">
        <f>BC123*VLOOKUP($B123,'Major Cities &amp; Towns'!$A$28:$B$345,2,FALSE)</f>
        <v>376</v>
      </c>
      <c r="BL123" s="269">
        <f>BD123*VLOOKUP($B123,'Major Cities &amp; Towns'!$A$28:$B$345,2,FALSE)</f>
        <v>365</v>
      </c>
      <c r="BM123" s="269">
        <f>BE123*VLOOKUP($B123,'Major Cities &amp; Towns'!$A$28:$B$345,2,FALSE)</f>
        <v>364</v>
      </c>
      <c r="BN123" s="269">
        <f>BF123*VLOOKUP($B123,'Major Cities &amp; Towns'!$A$28:$B$345,2,FALSE)</f>
        <v>360</v>
      </c>
      <c r="BO123" s="270">
        <f t="shared" si="79"/>
        <v>389</v>
      </c>
      <c r="BP123" s="270">
        <f t="shared" si="100"/>
        <v>389</v>
      </c>
      <c r="BQ123" s="270">
        <f t="shared" si="100"/>
        <v>365</v>
      </c>
      <c r="BR123" s="270">
        <f t="shared" si="100"/>
        <v>386</v>
      </c>
      <c r="BS123" s="270">
        <f t="shared" si="100"/>
        <v>376</v>
      </c>
      <c r="BT123" s="270">
        <f t="shared" si="100"/>
        <v>365</v>
      </c>
      <c r="BU123" s="270">
        <f t="shared" si="100"/>
        <v>364</v>
      </c>
      <c r="BV123" s="270">
        <f t="shared" si="99"/>
        <v>360</v>
      </c>
      <c r="BW123" s="39">
        <f>VLOOKUP($A123,NetAdditions!$A$2:$H$336,6,FALSE)</f>
        <v>682</v>
      </c>
      <c r="BX123" s="39">
        <f>VLOOKUP($A123,NetAdditions!$A$2:$H$336,7,FALSE)</f>
        <v>975</v>
      </c>
      <c r="BY123" s="39">
        <f>IF((VLOOKUP($C123,NetAdditions!$A$2:$H$336,8,FALSE))="",(AVERAGE(VLOOKUP($C123,NetAdditions!$A$2:$H$336,5,FALSE),VLOOKUP($C123,NetAdditions!$A$2:$H$336,6,FALSE),VLOOKUP($C123,NetAdditions!$A$2:$H$336,7,FALSE))),VLOOKUP($C123,NetAdditions!$A$2:$H$336,8,FALSE))</f>
        <v>879</v>
      </c>
      <c r="BZ123" s="39">
        <f t="shared" si="105"/>
        <v>845.33333333333337</v>
      </c>
      <c r="CA123" s="39">
        <f t="shared" si="105"/>
        <v>899.77777777777783</v>
      </c>
      <c r="CB123" s="39">
        <f t="shared" si="105"/>
        <v>874.70370370370381</v>
      </c>
      <c r="CC123" s="39">
        <f t="shared" si="105"/>
        <v>873.27160493827171</v>
      </c>
      <c r="CD123" s="39">
        <f t="shared" si="105"/>
        <v>882.58436213991774</v>
      </c>
      <c r="CE123" s="276">
        <f t="shared" si="55"/>
        <v>1143</v>
      </c>
      <c r="CF123" s="276">
        <f t="shared" si="56"/>
        <v>1140</v>
      </c>
      <c r="CG123" s="276">
        <f t="shared" si="57"/>
        <v>1127</v>
      </c>
      <c r="CH123" s="276">
        <f t="shared" si="58"/>
        <v>1127</v>
      </c>
      <c r="CI123" s="276">
        <f t="shared" si="59"/>
        <v>1105</v>
      </c>
      <c r="CJ123" s="276">
        <f t="shared" si="60"/>
        <v>1089</v>
      </c>
      <c r="CK123" s="276">
        <f t="shared" si="80"/>
        <v>984.25</v>
      </c>
      <c r="CL123" s="276">
        <f t="shared" si="81"/>
        <v>981.66666666666674</v>
      </c>
      <c r="CM123" s="276">
        <f t="shared" si="82"/>
        <v>1033.0833333333333</v>
      </c>
      <c r="CN123" s="276">
        <f t="shared" si="83"/>
        <v>1127</v>
      </c>
      <c r="CO123" s="276">
        <f t="shared" si="83"/>
        <v>1105</v>
      </c>
      <c r="CP123" s="276">
        <f t="shared" si="83"/>
        <v>1089</v>
      </c>
      <c r="CQ123" s="39">
        <f t="shared" si="61"/>
        <v>2536</v>
      </c>
      <c r="CR123" s="39">
        <f t="shared" si="62"/>
        <v>2699.3333333333335</v>
      </c>
      <c r="CS123" s="277">
        <f t="shared" si="63"/>
        <v>2624.1111111111113</v>
      </c>
      <c r="CT123" s="39">
        <f t="shared" si="64"/>
        <v>2619.8148148148152</v>
      </c>
      <c r="CU123" s="39">
        <f t="shared" si="65"/>
        <v>2647.7530864197533</v>
      </c>
      <c r="CV123" s="39">
        <f t="shared" si="66"/>
        <v>2630.5596707818931</v>
      </c>
      <c r="CW123" s="297">
        <f t="shared" si="67"/>
        <v>2.5765811531623064</v>
      </c>
      <c r="CX123" s="279" t="str">
        <f t="shared" si="84"/>
        <v>Pass</v>
      </c>
      <c r="CY123" s="278">
        <f t="shared" si="68"/>
        <v>2.7497453310696094</v>
      </c>
      <c r="CZ123" s="279" t="str">
        <f t="shared" si="85"/>
        <v>Pass</v>
      </c>
      <c r="DA123" s="278">
        <f t="shared" si="69"/>
        <v>2.5400769003253481</v>
      </c>
      <c r="DB123" s="292" t="str">
        <f t="shared" si="86"/>
        <v>Pass</v>
      </c>
      <c r="DC123" s="299">
        <f t="shared" si="87"/>
        <v>2.3245916724177595</v>
      </c>
      <c r="DD123" s="293" t="str">
        <f t="shared" si="88"/>
        <v>Pass</v>
      </c>
      <c r="DE123" s="299">
        <f t="shared" si="89"/>
        <v>2.3961566392938942</v>
      </c>
      <c r="DF123" s="293" t="str">
        <f t="shared" si="90"/>
        <v>Pass</v>
      </c>
      <c r="DG123" s="299">
        <f t="shared" si="91"/>
        <v>2.4155736187161554</v>
      </c>
      <c r="DH123" s="293" t="str">
        <f t="shared" si="92"/>
        <v>Pass</v>
      </c>
    </row>
    <row r="124" spans="1:112" customFormat="1" ht="15.5" thickTop="1" thickBot="1">
      <c r="A124" s="3" t="s">
        <v>358</v>
      </c>
      <c r="B124" s="3" t="s">
        <v>359</v>
      </c>
      <c r="C124" s="3" t="s">
        <v>358</v>
      </c>
      <c r="D124" s="3" t="s">
        <v>131</v>
      </c>
      <c r="E124" s="3" t="str">
        <f>VLOOKUP(C124,PoliticalControl!A:K,11,FALSE)</f>
        <v>LAB</v>
      </c>
      <c r="F124" s="3" t="str">
        <f>VLOOKUP(C124,UrbanRuralClassification!A:N,13,FALSE)</f>
        <v>Urban with Major Conurbation</v>
      </c>
      <c r="G124" s="3" t="str">
        <f>VLOOKUP(C124,UrbanRuralClassification!A:N,14,FALSE)</f>
        <v>Predominantly Urban</v>
      </c>
      <c r="H124" s="262">
        <f>IF(ISBLANK((VLOOKUP($A124,'local-plan-data'!$C$1:$AD$566,27,FALSE)))=TRUE,"",VLOOKUP($A124,'local-plan-data'!$C$1:$AD$566,27,FALSE))</f>
        <v>40955</v>
      </c>
      <c r="I124" s="263">
        <f>VLOOKUP($A124,'local-plan-data'!$C$1:$AD$566,28,FALSE)</f>
        <v>355.88235294117646</v>
      </c>
      <c r="J124" s="264">
        <f t="shared" si="70"/>
        <v>355.88235294117646</v>
      </c>
      <c r="K124" s="259" t="str">
        <f t="shared" si="96"/>
        <v>-</v>
      </c>
      <c r="L124" s="259" t="str">
        <f t="shared" si="101"/>
        <v>-</v>
      </c>
      <c r="M124" s="259" t="str">
        <f t="shared" si="101"/>
        <v>-</v>
      </c>
      <c r="N124" s="259" t="str">
        <f t="shared" si="101"/>
        <v>-</v>
      </c>
      <c r="O124" s="259" t="str">
        <f t="shared" si="101"/>
        <v>-</v>
      </c>
      <c r="P124" s="259" t="str">
        <f t="shared" si="101"/>
        <v>-</v>
      </c>
      <c r="Q124" s="259" t="str">
        <f t="shared" si="101"/>
        <v>-</v>
      </c>
      <c r="R124" s="259" t="str">
        <f t="shared" si="101"/>
        <v>-</v>
      </c>
      <c r="S124" s="259">
        <f t="shared" si="97"/>
        <v>-409</v>
      </c>
      <c r="T124" s="259">
        <f t="shared" si="102"/>
        <v>-774</v>
      </c>
      <c r="U124" s="259">
        <f t="shared" si="102"/>
        <v>-1140</v>
      </c>
      <c r="V124" s="259">
        <f t="shared" si="102"/>
        <v>-1505</v>
      </c>
      <c r="W124" s="259">
        <f t="shared" si="102"/>
        <v>-1870</v>
      </c>
      <c r="X124" s="259">
        <f t="shared" si="102"/>
        <v>-2235</v>
      </c>
      <c r="Y124" s="259">
        <f t="shared" si="102"/>
        <v>-2601</v>
      </c>
      <c r="Z124" s="259">
        <f t="shared" si="102"/>
        <v>-2966</v>
      </c>
      <c r="AA124" s="267">
        <f>(VLOOKUP(A124,Hshldprojections2014!$A$2:$AW$319,40, FALSE)-VLOOKUP(A124,Hshldprojections2014!$A$2:$AW$319,30, FALSE))/10</f>
        <v>1372.9</v>
      </c>
      <c r="AB124" s="267">
        <f>(VLOOKUP(A124,Hshldprojections2014!$A$2:$AW$319,41, FALSE)-VLOOKUP(A124,Hshldprojections2014!$A$2:$AW$319,31, FALSE))/10</f>
        <v>1357.6</v>
      </c>
      <c r="AC124" s="267">
        <f>(VLOOKUP(A124,Hshldprojections2014!$A$2:$AW$319,42, FALSE)-VLOOKUP(A124,Hshldprojections2014!$A$2:$AW$319,32, FALSE))/10</f>
        <v>1342.8</v>
      </c>
      <c r="AD124" s="267">
        <f>IF(IndividualLATest!$J$7=2014,(VLOOKUP($A124,Hshldprojections2014!$A$2:$AY$326,43,FALSE)-VLOOKUP($A124,Hshldprojections2014!$A$2:$AY$326,33,FALSE))/10,IF(IndividualLATest!$J$7=2016,(VLOOKUP($A124,Hshldprojections2016!$A$1:$AQ$322,33,FALSE)-VLOOKUP($A124,Hshldprojections2016!$A$1:$AQ$322,23,FALSE))/10,(VLOOKUP($A124,Hshldprojections2018!$A$1:$AQ$327,33,FALSE)-VLOOKUP($A124,Hshldprojections2018!$A$1:$AQ$327,23,FALSE))/10))</f>
        <v>418.2</v>
      </c>
      <c r="AE124" s="267">
        <f>IF(IndividualLATest!$J$7=2014,(VLOOKUP($A124,Hshldprojections2014!$A$2:$AY$326,44,FALSE)-VLOOKUP($A124,Hshldprojections2014!$A$2:$AY$326,34,FALSE))/10,IF(IndividualLATest!$J$7=2016,(VLOOKUP($A124,Hshldprojections2016!$A$1:$AQ$322,34,FALSE)-VLOOKUP($A124,Hshldprojections2016!$A$1:$AQ$322,24,FALSE))/10,(VLOOKUP($A124,Hshldprojections2018!$A$1:$AQ$327,34,FALSE)-VLOOKUP($A124,Hshldprojections2018!$A$1:$AQ$327,24,FALSE))/10))</f>
        <v>404.7</v>
      </c>
      <c r="AF124" s="267">
        <f>IF(IndividualLATest!$J$7=2014,(VLOOKUP($A124,Hshldprojections2014!$A$2:$AY$326,45,FALSE)-VLOOKUP($A124,Hshldprojections2014!$A$2:$AY$326,35,FALSE))/10,IF(IndividualLATest!$J$7=2016,(VLOOKUP($A124,Hshldprojections2016!$A$1:$AQ$322,35,FALSE)-VLOOKUP($A124,Hshldprojections2016!$A$1:$AQ$322,25,FALSE))/10,(VLOOKUP($A124,Hshldprojections2018!$A$1:$AQ$327,35,FALSE)-VLOOKUP($A124,Hshldprojections2018!$A$1:$AQ$327,25,FALSE))/10))</f>
        <v>394</v>
      </c>
      <c r="AG124" s="267">
        <f>IF(IndividualLATest!$J$7=2014,(VLOOKUP($A124,Hshldprojections2014!$A$2:$AY$326,46,FALSE)-VLOOKUP($A124,Hshldprojections2014!$A$2:$AY$326,36,FALSE))/10,IF(IndividualLATest!$J$7=2016,(VLOOKUP($A124,Hshldprojections2016!$A$1:$AQ$322,36,FALSE)-VLOOKUP($A124,Hshldprojections2016!$A$1:$AQ$322,26,FALSE))/10,(VLOOKUP($A124,Hshldprojections2018!$A$1:$AQ$327,36,FALSE)-VLOOKUP($A124,Hshldprojections2018!$A$1:$AQ$327,26,FALSE))/10))</f>
        <v>384.7</v>
      </c>
      <c r="AH124" s="267">
        <f>IF(IndividualLATest!$J$7=2014,(VLOOKUP($A124,Hshldprojections2014!$A$2:$AY$326,47,FALSE)-VLOOKUP($A124,Hshldprojections2014!$A$2:$AY$326,37,FALSE))/10,IF(IndividualLATest!$J$7=2016,(VLOOKUP($A124,Hshldprojections2016!$A$1:$AQ$322,37,FALSE)-VLOOKUP($A124,Hshldprojections2016!$A$1:$AQ$322,27,FALSE))/10,(VLOOKUP($A124,Hshldprojections2018!$A$1:$AQ$327,37,FALSE)-VLOOKUP($A124,Hshldprojections2018!$A$1:$AQ$327,27,FALSE))/10))</f>
        <v>382.7</v>
      </c>
      <c r="AI124" s="268">
        <f>IF(ISNUMBER('Sensitivity Tests'!$C$30),'Sensitivity Tests'!$C$30,VLOOKUP($A124,AffordabilityRatio!$A$2:$I$321,5,FALSE))</f>
        <v>16</v>
      </c>
      <c r="AJ124" s="268">
        <f>IF(ISNUMBER('Sensitivity Tests'!$C$30),'Sensitivity Tests'!$C$30,VLOOKUP($A124,AffordabilityRatio!$A$2:$I$321,6,FALSE))</f>
        <v>15.56</v>
      </c>
      <c r="AK124" s="268">
        <f>IF(ISNUMBER('Sensitivity Tests'!$C$30),'Sensitivity Tests'!$C$30,VLOOKUP($A124,AffordabilityRatio!$A$2:$I$321,7,FALSE))</f>
        <v>14.02</v>
      </c>
      <c r="AL124" s="268">
        <f>IF(ISNUMBER('Sensitivity Tests'!$C$30),'Sensitivity Tests'!$C$30,IF((VLOOKUP($A124,AffordabilityRatio!$A$2:$I$321,8,FALSE))="",AK124,VLOOKUP($A124,AffordabilityRatio!$A$2:$I$321,8,FALSE)))</f>
        <v>15.89</v>
      </c>
      <c r="AM124" s="268">
        <f>IF(ISNUMBER('Sensitivity Tests'!$C$30),'Sensitivity Tests'!$C$30,IF((VLOOKUP($A124,AffordabilityRatio!$A$2:$I$321,9,FALSE))="",AL124,VLOOKUP($A124,AffordabilityRatio!$A$2:$I$321,9,FALSE)))</f>
        <v>16.149999999999999</v>
      </c>
      <c r="AN124" s="268">
        <f>IF(ISNUMBER('Sensitivity Tests'!$C$30),'Sensitivity Tests'!$C$30,IF((VLOOKUP($A124,AffordabilityRatio!$A$2:$I$321,9,FALSE))="",AM124,VLOOKUP($A124,AffordabilityRatio!$A$2:$I$321,9,FALSE)))</f>
        <v>16.149999999999999</v>
      </c>
      <c r="AO124" s="268">
        <f>IF(ISNUMBER('Sensitivity Tests'!$C$30),'Sensitivity Tests'!$C$30,IF((VLOOKUP($A124,AffordabilityRatio!$A$2:$I$321,9,FALSE))="",AN124,VLOOKUP($A124,AffordabilityRatio!$A$2:$I$321,9,FALSE)))</f>
        <v>16.149999999999999</v>
      </c>
      <c r="AP124" s="268">
        <f>IF(ISNUMBER('Sensitivity Tests'!$C$30),'Sensitivity Tests'!$C$30,IF((VLOOKUP($A124,AffordabilityRatio!$A$2:$I$321,9,FALSE))="",AO124,VLOOKUP($A124,AffordabilityRatio!$A$2:$I$321,9,FALSE)))</f>
        <v>16.149999999999999</v>
      </c>
      <c r="AQ124" s="267">
        <f t="shared" si="104"/>
        <v>2403</v>
      </c>
      <c r="AR124" s="267">
        <f t="shared" si="104"/>
        <v>2338</v>
      </c>
      <c r="AS124" s="267">
        <f t="shared" si="104"/>
        <v>2184</v>
      </c>
      <c r="AT124" s="267">
        <f t="shared" si="103"/>
        <v>729</v>
      </c>
      <c r="AU124" s="267">
        <f t="shared" si="103"/>
        <v>712</v>
      </c>
      <c r="AV124" s="267">
        <f t="shared" si="103"/>
        <v>693</v>
      </c>
      <c r="AW124" s="267">
        <f t="shared" si="103"/>
        <v>677</v>
      </c>
      <c r="AX124" s="267">
        <f t="shared" si="95"/>
        <v>673</v>
      </c>
      <c r="AY124" s="267">
        <f t="shared" si="71"/>
        <v>1922.0600000000002</v>
      </c>
      <c r="AZ124" s="267">
        <f t="shared" si="72"/>
        <v>1900.6399999999999</v>
      </c>
      <c r="BA124" s="267">
        <f t="shared" si="73"/>
        <v>1879.92</v>
      </c>
      <c r="BB124" s="267">
        <f t="shared" si="74"/>
        <v>585.48</v>
      </c>
      <c r="BC124" s="267">
        <f t="shared" si="75"/>
        <v>566.57999999999993</v>
      </c>
      <c r="BD124" s="267">
        <f t="shared" si="76"/>
        <v>551.6</v>
      </c>
      <c r="BE124" s="267">
        <f t="shared" si="77"/>
        <v>538.57999999999993</v>
      </c>
      <c r="BF124" s="267">
        <f t="shared" si="78"/>
        <v>535.78</v>
      </c>
      <c r="BG124" s="269">
        <f>AY124*VLOOKUP($B124,'Major Cities &amp; Towns'!$A$28:$B$345,2,FALSE)</f>
        <v>2594.7810000000004</v>
      </c>
      <c r="BH124" s="269">
        <f>AZ124*VLOOKUP($B124,'Major Cities &amp; Towns'!$A$28:$B$345,2,FALSE)</f>
        <v>2565.864</v>
      </c>
      <c r="BI124" s="269">
        <f>BA124*VLOOKUP($B124,'Major Cities &amp; Towns'!$A$28:$B$345,2,FALSE)</f>
        <v>2537.8920000000003</v>
      </c>
      <c r="BJ124" s="269">
        <f>BB124*VLOOKUP($B124,'Major Cities &amp; Towns'!$A$28:$B$345,2,FALSE)</f>
        <v>790.39800000000002</v>
      </c>
      <c r="BK124" s="269">
        <f>BC124*VLOOKUP($B124,'Major Cities &amp; Towns'!$A$28:$B$345,2,FALSE)</f>
        <v>764.88299999999992</v>
      </c>
      <c r="BL124" s="269">
        <f>BD124*VLOOKUP($B124,'Major Cities &amp; Towns'!$A$28:$B$345,2,FALSE)</f>
        <v>744.66000000000008</v>
      </c>
      <c r="BM124" s="269">
        <f>BE124*VLOOKUP($B124,'Major Cities &amp; Towns'!$A$28:$B$345,2,FALSE)</f>
        <v>727.08299999999997</v>
      </c>
      <c r="BN124" s="269">
        <f>BF124*VLOOKUP($B124,'Major Cities &amp; Towns'!$A$28:$B$345,2,FALSE)</f>
        <v>723.303</v>
      </c>
      <c r="BO124" s="270">
        <f t="shared" si="79"/>
        <v>2403</v>
      </c>
      <c r="BP124" s="270">
        <f t="shared" si="100"/>
        <v>2338</v>
      </c>
      <c r="BQ124" s="270">
        <f t="shared" si="100"/>
        <v>2184</v>
      </c>
      <c r="BR124" s="270">
        <f t="shared" si="100"/>
        <v>729</v>
      </c>
      <c r="BS124" s="270">
        <f t="shared" si="100"/>
        <v>712</v>
      </c>
      <c r="BT124" s="270">
        <f t="shared" si="100"/>
        <v>693</v>
      </c>
      <c r="BU124" s="270">
        <f t="shared" si="100"/>
        <v>677</v>
      </c>
      <c r="BV124" s="270">
        <f t="shared" si="99"/>
        <v>673</v>
      </c>
      <c r="BW124" s="39">
        <f>VLOOKUP($A124,NetAdditions!$A$2:$H$336,6,FALSE)</f>
        <v>1229</v>
      </c>
      <c r="BX124" s="39">
        <f>VLOOKUP($A124,NetAdditions!$A$2:$H$336,7,FALSE)</f>
        <v>1200</v>
      </c>
      <c r="BY124" s="39">
        <f>IF((VLOOKUP($C124,NetAdditions!$A$2:$H$336,8,FALSE))="",(AVERAGE(VLOOKUP($C124,NetAdditions!$A$2:$H$336,5,FALSE),VLOOKUP($C124,NetAdditions!$A$2:$H$336,6,FALSE),VLOOKUP($C124,NetAdditions!$A$2:$H$336,7,FALSE))),VLOOKUP($C124,NetAdditions!$A$2:$H$336,8,FALSE))</f>
        <v>775</v>
      </c>
      <c r="BZ124" s="39">
        <f t="shared" si="105"/>
        <v>1068</v>
      </c>
      <c r="CA124" s="39">
        <f t="shared" si="105"/>
        <v>1014.3333333333334</v>
      </c>
      <c r="CB124" s="39">
        <f t="shared" si="105"/>
        <v>952.44444444444446</v>
      </c>
      <c r="CC124" s="39">
        <f t="shared" si="105"/>
        <v>1011.5925925925926</v>
      </c>
      <c r="CD124" s="39">
        <f t="shared" si="105"/>
        <v>992.79012345679018</v>
      </c>
      <c r="CE124" s="276">
        <f t="shared" si="55"/>
        <v>6925</v>
      </c>
      <c r="CF124" s="276">
        <f t="shared" si="56"/>
        <v>5251</v>
      </c>
      <c r="CG124" s="276">
        <f t="shared" si="57"/>
        <v>3625</v>
      </c>
      <c r="CH124" s="276">
        <f t="shared" si="58"/>
        <v>2134</v>
      </c>
      <c r="CI124" s="276">
        <f t="shared" si="59"/>
        <v>2082</v>
      </c>
      <c r="CJ124" s="276">
        <f t="shared" si="60"/>
        <v>2043</v>
      </c>
      <c r="CK124" s="276">
        <f t="shared" si="80"/>
        <v>5963.1944444444443</v>
      </c>
      <c r="CL124" s="276">
        <f t="shared" si="81"/>
        <v>4521.6944444444443</v>
      </c>
      <c r="CM124" s="276">
        <f t="shared" si="82"/>
        <v>3322.9166666666665</v>
      </c>
      <c r="CN124" s="276">
        <f t="shared" si="83"/>
        <v>2134</v>
      </c>
      <c r="CO124" s="276">
        <f t="shared" si="83"/>
        <v>2082</v>
      </c>
      <c r="CP124" s="276">
        <f t="shared" si="83"/>
        <v>2043</v>
      </c>
      <c r="CQ124" s="39">
        <f t="shared" si="61"/>
        <v>3204</v>
      </c>
      <c r="CR124" s="39">
        <f t="shared" si="62"/>
        <v>3043</v>
      </c>
      <c r="CS124" s="277">
        <f t="shared" si="63"/>
        <v>2857.3333333333335</v>
      </c>
      <c r="CT124" s="39">
        <f t="shared" si="64"/>
        <v>3034.7777777777778</v>
      </c>
      <c r="CU124" s="39">
        <f t="shared" si="65"/>
        <v>2978.3703703703704</v>
      </c>
      <c r="CV124" s="39">
        <f t="shared" si="66"/>
        <v>2956.8271604938273</v>
      </c>
      <c r="CW124" s="297">
        <f t="shared" si="67"/>
        <v>0.53729591242575991</v>
      </c>
      <c r="CX124" s="279" t="str">
        <f t="shared" si="84"/>
        <v>Buffer and Action Plan</v>
      </c>
      <c r="CY124" s="278">
        <f t="shared" si="68"/>
        <v>0.67297780453492728</v>
      </c>
      <c r="CZ124" s="279" t="str">
        <f t="shared" si="85"/>
        <v>Buffer and Action Plan</v>
      </c>
      <c r="DA124" s="278">
        <f t="shared" si="69"/>
        <v>0.85988714733542326</v>
      </c>
      <c r="DB124" s="292" t="str">
        <f t="shared" si="86"/>
        <v>Action Plan</v>
      </c>
      <c r="DC124" s="299">
        <f t="shared" si="87"/>
        <v>1.4221076746849943</v>
      </c>
      <c r="DD124" s="293" t="str">
        <f t="shared" si="88"/>
        <v>Pass</v>
      </c>
      <c r="DE124" s="299">
        <f t="shared" si="89"/>
        <v>1.4305333191020031</v>
      </c>
      <c r="DF124" s="293" t="str">
        <f t="shared" si="90"/>
        <v>Pass</v>
      </c>
      <c r="DG124" s="299">
        <f t="shared" si="91"/>
        <v>1.4472967011717217</v>
      </c>
      <c r="DH124" s="293" t="str">
        <f t="shared" si="92"/>
        <v>Pass</v>
      </c>
    </row>
    <row r="125" spans="1:112" ht="15" thickTop="1" thickBot="1">
      <c r="A125" s="38" t="s">
        <v>360</v>
      </c>
      <c r="B125" s="38" t="s">
        <v>361</v>
      </c>
      <c r="C125" s="38" t="s">
        <v>360</v>
      </c>
      <c r="D125" s="38" t="s">
        <v>113</v>
      </c>
      <c r="E125" s="38" t="str">
        <f>VLOOKUP(C125,PoliticalControl!A:K,11,FALSE)</f>
        <v>NOC</v>
      </c>
      <c r="F125" s="38" t="str">
        <f>VLOOKUP(C125,UrbanRuralClassification!A:N,13,FALSE)</f>
        <v>Urban with Significant Rural (rural including hub towns 26-49%)</v>
      </c>
      <c r="G125" s="38" t="str">
        <f>VLOOKUP(C125,UrbanRuralClassification!A:N,14,FALSE)</f>
        <v>Urban with Significant Rural</v>
      </c>
      <c r="H125" s="258">
        <f>IF(ISBLANK((VLOOKUP($A125,'local-plan-data'!$C$1:$AD$566,27,FALSE)))=TRUE,"",VLOOKUP($A125,'local-plan-data'!$C$1:$AD$566,27,FALSE))</f>
        <v>43951</v>
      </c>
      <c r="I125" s="259">
        <f>VLOOKUP($A125,'local-plan-data'!$C$1:$AD$566,28,FALSE)</f>
        <v>423</v>
      </c>
      <c r="J125" s="260">
        <f t="shared" si="70"/>
        <v>423</v>
      </c>
      <c r="K125" s="259">
        <f t="shared" si="96"/>
        <v>423</v>
      </c>
      <c r="L125" s="259">
        <f t="shared" si="101"/>
        <v>423</v>
      </c>
      <c r="M125" s="259">
        <f t="shared" si="101"/>
        <v>423</v>
      </c>
      <c r="N125" s="259">
        <f t="shared" si="101"/>
        <v>423</v>
      </c>
      <c r="O125" s="259">
        <f t="shared" si="101"/>
        <v>423</v>
      </c>
      <c r="P125" s="259">
        <f t="shared" si="101"/>
        <v>423</v>
      </c>
      <c r="Q125" s="259">
        <f t="shared" si="101"/>
        <v>423</v>
      </c>
      <c r="R125" s="259">
        <f t="shared" si="101"/>
        <v>423</v>
      </c>
      <c r="S125" s="259">
        <f t="shared" si="97"/>
        <v>2586</v>
      </c>
      <c r="T125" s="259">
        <f t="shared" si="102"/>
        <v>2221</v>
      </c>
      <c r="U125" s="259">
        <f t="shared" si="102"/>
        <v>1855</v>
      </c>
      <c r="V125" s="259">
        <f t="shared" si="102"/>
        <v>1490</v>
      </c>
      <c r="W125" s="259">
        <f t="shared" si="102"/>
        <v>1125</v>
      </c>
      <c r="X125" s="259">
        <f t="shared" si="102"/>
        <v>760</v>
      </c>
      <c r="Y125" s="259">
        <f t="shared" si="102"/>
        <v>394</v>
      </c>
      <c r="Z125" s="259">
        <f t="shared" si="102"/>
        <v>29</v>
      </c>
      <c r="AA125" s="267">
        <f>(VLOOKUP(A125,Hshldprojections2014!$A$2:$AW$319,40, FALSE)-VLOOKUP(A125,Hshldprojections2014!$A$2:$AW$319,30, FALSE))/10</f>
        <v>206.6</v>
      </c>
      <c r="AB125" s="267">
        <f>(VLOOKUP(A125,Hshldprojections2014!$A$2:$AW$319,41, FALSE)-VLOOKUP(A125,Hshldprojections2014!$A$2:$AW$319,31, FALSE))/10</f>
        <v>204.7</v>
      </c>
      <c r="AC125" s="267">
        <f>(VLOOKUP(A125,Hshldprojections2014!$A$2:$AW$319,42, FALSE)-VLOOKUP(A125,Hshldprojections2014!$A$2:$AW$319,32, FALSE))/10</f>
        <v>202.4</v>
      </c>
      <c r="AD125" s="267">
        <f>IF(IndividualLATest!$J$7=2014,(VLOOKUP($A125,Hshldprojections2014!$A$2:$AY$326,43,FALSE)-VLOOKUP($A125,Hshldprojections2014!$A$2:$AY$326,33,FALSE))/10,IF(IndividualLATest!$J$7=2016,(VLOOKUP($A125,Hshldprojections2016!$A$1:$AQ$322,33,FALSE)-VLOOKUP($A125,Hshldprojections2016!$A$1:$AQ$322,23,FALSE))/10,(VLOOKUP($A125,Hshldprojections2018!$A$1:$AQ$327,33,FALSE)-VLOOKUP($A125,Hshldprojections2018!$A$1:$AQ$327,23,FALSE))/10))</f>
        <v>229.1</v>
      </c>
      <c r="AE125" s="267">
        <f>IF(IndividualLATest!$J$7=2014,(VLOOKUP($A125,Hshldprojections2014!$A$2:$AY$326,44,FALSE)-VLOOKUP($A125,Hshldprojections2014!$A$2:$AY$326,34,FALSE))/10,IF(IndividualLATest!$J$7=2016,(VLOOKUP($A125,Hshldprojections2016!$A$1:$AQ$322,34,FALSE)-VLOOKUP($A125,Hshldprojections2016!$A$1:$AQ$322,24,FALSE))/10,(VLOOKUP($A125,Hshldprojections2018!$A$1:$AQ$327,34,FALSE)-VLOOKUP($A125,Hshldprojections2018!$A$1:$AQ$327,24,FALSE))/10))</f>
        <v>213.3</v>
      </c>
      <c r="AF125" s="267">
        <f>IF(IndividualLATest!$J$7=2014,(VLOOKUP($A125,Hshldprojections2014!$A$2:$AY$326,45,FALSE)-VLOOKUP($A125,Hshldprojections2014!$A$2:$AY$326,35,FALSE))/10,IF(IndividualLATest!$J$7=2016,(VLOOKUP($A125,Hshldprojections2016!$A$1:$AQ$322,35,FALSE)-VLOOKUP($A125,Hshldprojections2016!$A$1:$AQ$322,25,FALSE))/10,(VLOOKUP($A125,Hshldprojections2018!$A$1:$AQ$327,35,FALSE)-VLOOKUP($A125,Hshldprojections2018!$A$1:$AQ$327,25,FALSE))/10))</f>
        <v>200.4</v>
      </c>
      <c r="AG125" s="267">
        <f>IF(IndividualLATest!$J$7=2014,(VLOOKUP($A125,Hshldprojections2014!$A$2:$AY$326,46,FALSE)-VLOOKUP($A125,Hshldprojections2014!$A$2:$AY$326,36,FALSE))/10,IF(IndividualLATest!$J$7=2016,(VLOOKUP($A125,Hshldprojections2016!$A$1:$AQ$322,36,FALSE)-VLOOKUP($A125,Hshldprojections2016!$A$1:$AQ$322,26,FALSE))/10,(VLOOKUP($A125,Hshldprojections2018!$A$1:$AQ$327,36,FALSE)-VLOOKUP($A125,Hshldprojections2018!$A$1:$AQ$327,26,FALSE))/10))</f>
        <v>189.7</v>
      </c>
      <c r="AH125" s="267">
        <f>IF(IndividualLATest!$J$7=2014,(VLOOKUP($A125,Hshldprojections2014!$A$2:$AY$326,47,FALSE)-VLOOKUP($A125,Hshldprojections2014!$A$2:$AY$326,37,FALSE))/10,IF(IndividualLATest!$J$7=2016,(VLOOKUP($A125,Hshldprojections2016!$A$1:$AQ$322,37,FALSE)-VLOOKUP($A125,Hshldprojections2016!$A$1:$AQ$322,27,FALSE))/10,(VLOOKUP($A125,Hshldprojections2018!$A$1:$AQ$327,37,FALSE)-VLOOKUP($A125,Hshldprojections2018!$A$1:$AQ$327,27,FALSE))/10))</f>
        <v>181</v>
      </c>
      <c r="AI125" s="268">
        <f>IF(ISNUMBER('Sensitivity Tests'!$C$30),'Sensitivity Tests'!$C$30,VLOOKUP($A125,AffordabilityRatio!$A$2:$I$321,5,FALSE))</f>
        <v>11.83</v>
      </c>
      <c r="AJ125" s="268">
        <f>IF(ISNUMBER('Sensitivity Tests'!$C$30),'Sensitivity Tests'!$C$30,VLOOKUP($A125,AffordabilityRatio!$A$2:$I$321,6,FALSE))</f>
        <v>12.28</v>
      </c>
      <c r="AK125" s="268">
        <f>IF(ISNUMBER('Sensitivity Tests'!$C$30),'Sensitivity Tests'!$C$30,VLOOKUP($A125,AffordabilityRatio!$A$2:$I$321,7,FALSE))</f>
        <v>10.67</v>
      </c>
      <c r="AL125" s="268">
        <f>IF(ISNUMBER('Sensitivity Tests'!$C$30),'Sensitivity Tests'!$C$30,IF((VLOOKUP($A125,AffordabilityRatio!$A$2:$I$321,8,FALSE))="",AK125,VLOOKUP($A125,AffordabilityRatio!$A$2:$I$321,8,FALSE)))</f>
        <v>10.84</v>
      </c>
      <c r="AM125" s="268">
        <f>IF(ISNUMBER('Sensitivity Tests'!$C$30),'Sensitivity Tests'!$C$30,IF((VLOOKUP($A125,AffordabilityRatio!$A$2:$I$321,9,FALSE))="",AL125,VLOOKUP($A125,AffordabilityRatio!$A$2:$I$321,9,FALSE)))</f>
        <v>11.45</v>
      </c>
      <c r="AN125" s="268">
        <f>IF(ISNUMBER('Sensitivity Tests'!$C$30),'Sensitivity Tests'!$C$30,IF((VLOOKUP($A125,AffordabilityRatio!$A$2:$I$321,9,FALSE))="",AM125,VLOOKUP($A125,AffordabilityRatio!$A$2:$I$321,9,FALSE)))</f>
        <v>11.45</v>
      </c>
      <c r="AO125" s="268">
        <f>IF(ISNUMBER('Sensitivity Tests'!$C$30),'Sensitivity Tests'!$C$30,IF((VLOOKUP($A125,AffordabilityRatio!$A$2:$I$321,9,FALSE))="",AN125,VLOOKUP($A125,AffordabilityRatio!$A$2:$I$321,9,FALSE)))</f>
        <v>11.45</v>
      </c>
      <c r="AP125" s="268">
        <f>IF(ISNUMBER('Sensitivity Tests'!$C$30),'Sensitivity Tests'!$C$30,IF((VLOOKUP($A125,AffordabilityRatio!$A$2:$I$321,9,FALSE))="",AO125,VLOOKUP($A125,AffordabilityRatio!$A$2:$I$321,9,FALSE)))</f>
        <v>11.45</v>
      </c>
      <c r="AQ125" s="267">
        <f t="shared" si="104"/>
        <v>308</v>
      </c>
      <c r="AR125" s="267">
        <f t="shared" si="104"/>
        <v>311</v>
      </c>
      <c r="AS125" s="267">
        <f t="shared" si="104"/>
        <v>287</v>
      </c>
      <c r="AT125" s="267">
        <f t="shared" si="103"/>
        <v>327</v>
      </c>
      <c r="AU125" s="267">
        <f t="shared" si="103"/>
        <v>313</v>
      </c>
      <c r="AV125" s="267">
        <f t="shared" si="103"/>
        <v>294</v>
      </c>
      <c r="AW125" s="267">
        <f t="shared" si="103"/>
        <v>278</v>
      </c>
      <c r="AX125" s="267">
        <f t="shared" si="95"/>
        <v>265</v>
      </c>
      <c r="AY125" s="267">
        <f t="shared" si="71"/>
        <v>308</v>
      </c>
      <c r="AZ125" s="267">
        <f t="shared" si="72"/>
        <v>311</v>
      </c>
      <c r="BA125" s="267">
        <f t="shared" si="73"/>
        <v>287</v>
      </c>
      <c r="BB125" s="267">
        <f t="shared" si="74"/>
        <v>327</v>
      </c>
      <c r="BC125" s="267">
        <f t="shared" si="75"/>
        <v>313</v>
      </c>
      <c r="BD125" s="267">
        <f t="shared" si="76"/>
        <v>294</v>
      </c>
      <c r="BE125" s="267">
        <f t="shared" si="77"/>
        <v>278</v>
      </c>
      <c r="BF125" s="267">
        <f t="shared" si="78"/>
        <v>265</v>
      </c>
      <c r="BG125" s="269">
        <f>AY125*VLOOKUP($B125,'Major Cities &amp; Towns'!$A$28:$B$345,2,FALSE)</f>
        <v>308</v>
      </c>
      <c r="BH125" s="269">
        <f>AZ125*VLOOKUP($B125,'Major Cities &amp; Towns'!$A$28:$B$345,2,FALSE)</f>
        <v>311</v>
      </c>
      <c r="BI125" s="269">
        <f>BA125*VLOOKUP($B125,'Major Cities &amp; Towns'!$A$28:$B$345,2,FALSE)</f>
        <v>287</v>
      </c>
      <c r="BJ125" s="269">
        <f>BB125*VLOOKUP($B125,'Major Cities &amp; Towns'!$A$28:$B$345,2,FALSE)</f>
        <v>327</v>
      </c>
      <c r="BK125" s="269">
        <f>BC125*VLOOKUP($B125,'Major Cities &amp; Towns'!$A$28:$B$345,2,FALSE)</f>
        <v>313</v>
      </c>
      <c r="BL125" s="269">
        <f>BD125*VLOOKUP($B125,'Major Cities &amp; Towns'!$A$28:$B$345,2,FALSE)</f>
        <v>294</v>
      </c>
      <c r="BM125" s="269">
        <f>BE125*VLOOKUP($B125,'Major Cities &amp; Towns'!$A$28:$B$345,2,FALSE)</f>
        <v>278</v>
      </c>
      <c r="BN125" s="269">
        <f>BF125*VLOOKUP($B125,'Major Cities &amp; Towns'!$A$28:$B$345,2,FALSE)</f>
        <v>265</v>
      </c>
      <c r="BO125" s="270">
        <f t="shared" si="79"/>
        <v>308</v>
      </c>
      <c r="BP125" s="270">
        <f t="shared" si="100"/>
        <v>311</v>
      </c>
      <c r="BQ125" s="270">
        <f t="shared" si="100"/>
        <v>287</v>
      </c>
      <c r="BR125" s="270">
        <f t="shared" si="100"/>
        <v>327</v>
      </c>
      <c r="BS125" s="270">
        <f t="shared" si="100"/>
        <v>313</v>
      </c>
      <c r="BT125" s="270">
        <f t="shared" si="100"/>
        <v>294</v>
      </c>
      <c r="BU125" s="270">
        <f t="shared" si="100"/>
        <v>278</v>
      </c>
      <c r="BV125" s="270">
        <f t="shared" si="99"/>
        <v>265</v>
      </c>
      <c r="BW125" s="39">
        <f>VLOOKUP($A125,NetAdditions!$A$2:$H$336,6,FALSE)</f>
        <v>608</v>
      </c>
      <c r="BX125" s="39">
        <f>VLOOKUP($A125,NetAdditions!$A$2:$H$336,7,FALSE)</f>
        <v>607</v>
      </c>
      <c r="BY125" s="39">
        <f>IF((VLOOKUP($C125,NetAdditions!$A$2:$H$336,8,FALSE))="",(AVERAGE(VLOOKUP($C125,NetAdditions!$A$2:$H$336,5,FALSE),VLOOKUP($C125,NetAdditions!$A$2:$H$336,6,FALSE),VLOOKUP($C125,NetAdditions!$A$2:$H$336,7,FALSE))),VLOOKUP($C125,NetAdditions!$A$2:$H$336,8,FALSE))</f>
        <v>581</v>
      </c>
      <c r="BZ125" s="39">
        <f t="shared" si="105"/>
        <v>598.66666666666663</v>
      </c>
      <c r="CA125" s="39">
        <f t="shared" si="105"/>
        <v>595.55555555555554</v>
      </c>
      <c r="CB125" s="39">
        <f t="shared" si="105"/>
        <v>591.74074074074076</v>
      </c>
      <c r="CC125" s="39">
        <f t="shared" si="105"/>
        <v>595.32098765432102</v>
      </c>
      <c r="CD125" s="39">
        <f t="shared" si="105"/>
        <v>594.20576131687244</v>
      </c>
      <c r="CE125" s="276">
        <f t="shared" si="55"/>
        <v>906</v>
      </c>
      <c r="CF125" s="276">
        <f t="shared" si="56"/>
        <v>925</v>
      </c>
      <c r="CG125" s="276">
        <f t="shared" si="57"/>
        <v>927</v>
      </c>
      <c r="CH125" s="276">
        <f t="shared" si="58"/>
        <v>934</v>
      </c>
      <c r="CI125" s="276">
        <f t="shared" si="59"/>
        <v>885</v>
      </c>
      <c r="CJ125" s="276">
        <f t="shared" si="60"/>
        <v>837</v>
      </c>
      <c r="CK125" s="276">
        <f t="shared" si="80"/>
        <v>780.16666666666674</v>
      </c>
      <c r="CL125" s="276">
        <f t="shared" si="81"/>
        <v>796.52777777777783</v>
      </c>
      <c r="CM125" s="276">
        <f t="shared" si="82"/>
        <v>849.75</v>
      </c>
      <c r="CN125" s="276">
        <f t="shared" si="83"/>
        <v>934</v>
      </c>
      <c r="CO125" s="276">
        <f t="shared" si="83"/>
        <v>885</v>
      </c>
      <c r="CP125" s="276">
        <f t="shared" si="83"/>
        <v>837</v>
      </c>
      <c r="CQ125" s="39">
        <f t="shared" si="61"/>
        <v>1796</v>
      </c>
      <c r="CR125" s="39">
        <f t="shared" si="62"/>
        <v>1786.6666666666665</v>
      </c>
      <c r="CS125" s="277">
        <f t="shared" si="63"/>
        <v>1775.2222222222222</v>
      </c>
      <c r="CT125" s="39">
        <f t="shared" si="64"/>
        <v>1785.962962962963</v>
      </c>
      <c r="CU125" s="39">
        <f t="shared" si="65"/>
        <v>1782.6172839506173</v>
      </c>
      <c r="CV125" s="39">
        <f t="shared" si="66"/>
        <v>1781.2674897119343</v>
      </c>
      <c r="CW125" s="297">
        <f t="shared" si="67"/>
        <v>2.3020722067934201</v>
      </c>
      <c r="CX125" s="279" t="str">
        <f t="shared" si="84"/>
        <v>Pass</v>
      </c>
      <c r="CY125" s="278">
        <f t="shared" si="68"/>
        <v>2.2430688753269394</v>
      </c>
      <c r="CZ125" s="279" t="str">
        <f t="shared" si="85"/>
        <v>Pass</v>
      </c>
      <c r="DA125" s="278">
        <f t="shared" si="69"/>
        <v>2.0891111764898174</v>
      </c>
      <c r="DB125" s="292" t="str">
        <f t="shared" si="86"/>
        <v>Pass</v>
      </c>
      <c r="DC125" s="299">
        <f t="shared" si="87"/>
        <v>1.9121659132365771</v>
      </c>
      <c r="DD125" s="293" t="str">
        <f t="shared" si="88"/>
        <v>Pass</v>
      </c>
      <c r="DE125" s="299">
        <f t="shared" si="89"/>
        <v>2.0142568180232963</v>
      </c>
      <c r="DF125" s="293" t="str">
        <f t="shared" si="90"/>
        <v>Pass</v>
      </c>
      <c r="DG125" s="299">
        <f t="shared" si="91"/>
        <v>2.1281570964300291</v>
      </c>
      <c r="DH125" s="293" t="str">
        <f t="shared" si="92"/>
        <v>Pass</v>
      </c>
    </row>
    <row r="126" spans="1:112" ht="15" thickTop="1" thickBot="1">
      <c r="A126" s="38" t="s">
        <v>362</v>
      </c>
      <c r="B126" s="38" t="s">
        <v>363</v>
      </c>
      <c r="C126" s="38" t="s">
        <v>362</v>
      </c>
      <c r="D126" s="38" t="s">
        <v>259</v>
      </c>
      <c r="E126" s="38" t="str">
        <f>VLOOKUP(C126,PoliticalControl!A:K,11,FALSE)</f>
        <v>NOC</v>
      </c>
      <c r="F126" s="38" t="str">
        <f>VLOOKUP(C126,UrbanRuralClassification!A:N,13,FALSE)</f>
        <v>Urban with City and Town</v>
      </c>
      <c r="G126" s="38" t="str">
        <f>VLOOKUP(C126,UrbanRuralClassification!A:N,14,FALSE)</f>
        <v>Predominantly Urban</v>
      </c>
      <c r="H126" s="258">
        <f>IF(ISBLANK((VLOOKUP($A126,'local-plan-data'!$C$1:$AD$566,27,FALSE)))=TRUE,"",VLOOKUP($A126,'local-plan-data'!$C$1:$AD$566,27,FALSE))</f>
        <v>43242</v>
      </c>
      <c r="I126" s="259">
        <f>VLOOKUP($A126,'local-plan-data'!$C$1:$AD$566,28,FALSE)</f>
        <v>410</v>
      </c>
      <c r="J126" s="260">
        <f t="shared" si="70"/>
        <v>410</v>
      </c>
      <c r="K126" s="259">
        <f t="shared" si="96"/>
        <v>410</v>
      </c>
      <c r="L126" s="259">
        <f t="shared" si="101"/>
        <v>410</v>
      </c>
      <c r="M126" s="259">
        <f t="shared" si="101"/>
        <v>410</v>
      </c>
      <c r="N126" s="259">
        <f t="shared" si="101"/>
        <v>410</v>
      </c>
      <c r="O126" s="259">
        <f t="shared" si="101"/>
        <v>410</v>
      </c>
      <c r="P126" s="259">
        <f t="shared" si="101"/>
        <v>410</v>
      </c>
      <c r="Q126" s="259" t="str">
        <f t="shared" si="101"/>
        <v>-</v>
      </c>
      <c r="R126" s="259" t="str">
        <f t="shared" si="101"/>
        <v>-</v>
      </c>
      <c r="S126" s="259">
        <f t="shared" si="97"/>
        <v>1877</v>
      </c>
      <c r="T126" s="259">
        <f t="shared" si="102"/>
        <v>1512</v>
      </c>
      <c r="U126" s="259">
        <f t="shared" si="102"/>
        <v>1146</v>
      </c>
      <c r="V126" s="259">
        <f t="shared" si="102"/>
        <v>781</v>
      </c>
      <c r="W126" s="259">
        <f t="shared" si="102"/>
        <v>416</v>
      </c>
      <c r="X126" s="259">
        <f t="shared" si="102"/>
        <v>51</v>
      </c>
      <c r="Y126" s="259">
        <f t="shared" si="102"/>
        <v>-315</v>
      </c>
      <c r="Z126" s="259">
        <f t="shared" si="102"/>
        <v>-680</v>
      </c>
      <c r="AA126" s="267">
        <f>(VLOOKUP(A126,Hshldprojections2014!$A$2:$AW$319,40, FALSE)-VLOOKUP(A126,Hshldprojections2014!$A$2:$AW$319,30, FALSE))/10</f>
        <v>186.7</v>
      </c>
      <c r="AB126" s="267">
        <f>(VLOOKUP(A126,Hshldprojections2014!$A$2:$AW$319,41, FALSE)-VLOOKUP(A126,Hshldprojections2014!$A$2:$AW$319,31, FALSE))/10</f>
        <v>179</v>
      </c>
      <c r="AC126" s="267">
        <f>(VLOOKUP(A126,Hshldprojections2014!$A$2:$AW$319,42, FALSE)-VLOOKUP(A126,Hshldprojections2014!$A$2:$AW$319,32, FALSE))/10</f>
        <v>169.8</v>
      </c>
      <c r="AD126" s="267">
        <f>IF(IndividualLATest!$J$7=2014,(VLOOKUP($A126,Hshldprojections2014!$A$2:$AY$326,43,FALSE)-VLOOKUP($A126,Hshldprojections2014!$A$2:$AY$326,33,FALSE))/10,IF(IndividualLATest!$J$7=2016,(VLOOKUP($A126,Hshldprojections2016!$A$1:$AQ$322,33,FALSE)-VLOOKUP($A126,Hshldprojections2016!$A$1:$AQ$322,23,FALSE))/10,(VLOOKUP($A126,Hshldprojections2018!$A$1:$AQ$327,33,FALSE)-VLOOKUP($A126,Hshldprojections2018!$A$1:$AQ$327,23,FALSE))/10))</f>
        <v>128.4</v>
      </c>
      <c r="AE126" s="267">
        <f>IF(IndividualLATest!$J$7=2014,(VLOOKUP($A126,Hshldprojections2014!$A$2:$AY$326,44,FALSE)-VLOOKUP($A126,Hshldprojections2014!$A$2:$AY$326,34,FALSE))/10,IF(IndividualLATest!$J$7=2016,(VLOOKUP($A126,Hshldprojections2016!$A$1:$AQ$322,34,FALSE)-VLOOKUP($A126,Hshldprojections2016!$A$1:$AQ$322,24,FALSE))/10,(VLOOKUP($A126,Hshldprojections2018!$A$1:$AQ$327,34,FALSE)-VLOOKUP($A126,Hshldprojections2018!$A$1:$AQ$327,24,FALSE))/10))</f>
        <v>129.30000000000001</v>
      </c>
      <c r="AF126" s="267">
        <f>IF(IndividualLATest!$J$7=2014,(VLOOKUP($A126,Hshldprojections2014!$A$2:$AY$326,45,FALSE)-VLOOKUP($A126,Hshldprojections2014!$A$2:$AY$326,35,FALSE))/10,IF(IndividualLATest!$J$7=2016,(VLOOKUP($A126,Hshldprojections2016!$A$1:$AQ$322,35,FALSE)-VLOOKUP($A126,Hshldprojections2016!$A$1:$AQ$322,25,FALSE))/10,(VLOOKUP($A126,Hshldprojections2018!$A$1:$AQ$327,35,FALSE)-VLOOKUP($A126,Hshldprojections2018!$A$1:$AQ$327,25,FALSE))/10))</f>
        <v>132.80000000000001</v>
      </c>
      <c r="AG126" s="267">
        <f>IF(IndividualLATest!$J$7=2014,(VLOOKUP($A126,Hshldprojections2014!$A$2:$AY$326,46,FALSE)-VLOOKUP($A126,Hshldprojections2014!$A$2:$AY$326,36,FALSE))/10,IF(IndividualLATest!$J$7=2016,(VLOOKUP($A126,Hshldprojections2016!$A$1:$AQ$322,36,FALSE)-VLOOKUP($A126,Hshldprojections2016!$A$1:$AQ$322,26,FALSE))/10,(VLOOKUP($A126,Hshldprojections2018!$A$1:$AQ$327,36,FALSE)-VLOOKUP($A126,Hshldprojections2018!$A$1:$AQ$327,26,FALSE))/10))</f>
        <v>135.69999999999999</v>
      </c>
      <c r="AH126" s="267">
        <f>IF(IndividualLATest!$J$7=2014,(VLOOKUP($A126,Hshldprojections2014!$A$2:$AY$326,47,FALSE)-VLOOKUP($A126,Hshldprojections2014!$A$2:$AY$326,37,FALSE))/10,IF(IndividualLATest!$J$7=2016,(VLOOKUP($A126,Hshldprojections2016!$A$1:$AQ$322,37,FALSE)-VLOOKUP($A126,Hshldprojections2016!$A$1:$AQ$322,27,FALSE))/10,(VLOOKUP($A126,Hshldprojections2018!$A$1:$AQ$327,37,FALSE)-VLOOKUP($A126,Hshldprojections2018!$A$1:$AQ$327,27,FALSE))/10))</f>
        <v>137.69999999999999</v>
      </c>
      <c r="AI126" s="268">
        <f>IF(ISNUMBER('Sensitivity Tests'!$C$30),'Sensitivity Tests'!$C$30,VLOOKUP($A126,AffordabilityRatio!$A$2:$I$321,5,FALSE))</f>
        <v>4.8</v>
      </c>
      <c r="AJ126" s="268">
        <f>IF(ISNUMBER('Sensitivity Tests'!$C$30),'Sensitivity Tests'!$C$30,VLOOKUP($A126,AffordabilityRatio!$A$2:$I$321,6,FALSE))</f>
        <v>4.82</v>
      </c>
      <c r="AK126" s="268">
        <f>IF(ISNUMBER('Sensitivity Tests'!$C$30),'Sensitivity Tests'!$C$30,VLOOKUP($A126,AffordabilityRatio!$A$2:$I$321,7,FALSE))</f>
        <v>5</v>
      </c>
      <c r="AL126" s="268">
        <f>IF(ISNUMBER('Sensitivity Tests'!$C$30),'Sensitivity Tests'!$C$30,IF((VLOOKUP($A126,AffordabilityRatio!$A$2:$I$321,8,FALSE))="",AK126,VLOOKUP($A126,AffordabilityRatio!$A$2:$I$321,8,FALSE)))</f>
        <v>4.63</v>
      </c>
      <c r="AM126" s="268">
        <f>IF(ISNUMBER('Sensitivity Tests'!$C$30),'Sensitivity Tests'!$C$30,IF((VLOOKUP($A126,AffordabilityRatio!$A$2:$I$321,9,FALSE))="",AL126,VLOOKUP($A126,AffordabilityRatio!$A$2:$I$321,9,FALSE)))</f>
        <v>4.58</v>
      </c>
      <c r="AN126" s="268">
        <f>IF(ISNUMBER('Sensitivity Tests'!$C$30),'Sensitivity Tests'!$C$30,IF((VLOOKUP($A126,AffordabilityRatio!$A$2:$I$321,9,FALSE))="",AM126,VLOOKUP($A126,AffordabilityRatio!$A$2:$I$321,9,FALSE)))</f>
        <v>4.58</v>
      </c>
      <c r="AO126" s="268">
        <f>IF(ISNUMBER('Sensitivity Tests'!$C$30),'Sensitivity Tests'!$C$30,IF((VLOOKUP($A126,AffordabilityRatio!$A$2:$I$321,9,FALSE))="",AN126,VLOOKUP($A126,AffordabilityRatio!$A$2:$I$321,9,FALSE)))</f>
        <v>4.58</v>
      </c>
      <c r="AP126" s="268">
        <f>IF(ISNUMBER('Sensitivity Tests'!$C$30),'Sensitivity Tests'!$C$30,IF((VLOOKUP($A126,AffordabilityRatio!$A$2:$I$321,9,FALSE))="",AO126,VLOOKUP($A126,AffordabilityRatio!$A$2:$I$321,9,FALSE)))</f>
        <v>4.58</v>
      </c>
      <c r="AQ126" s="267">
        <f t="shared" si="104"/>
        <v>196</v>
      </c>
      <c r="AR126" s="267">
        <f t="shared" si="104"/>
        <v>188</v>
      </c>
      <c r="AS126" s="267">
        <f t="shared" si="104"/>
        <v>180</v>
      </c>
      <c r="AT126" s="267">
        <f t="shared" si="103"/>
        <v>133</v>
      </c>
      <c r="AU126" s="267">
        <f t="shared" si="103"/>
        <v>134</v>
      </c>
      <c r="AV126" s="267">
        <f t="shared" si="103"/>
        <v>138</v>
      </c>
      <c r="AW126" s="267">
        <f t="shared" si="103"/>
        <v>141</v>
      </c>
      <c r="AX126" s="267">
        <f t="shared" si="95"/>
        <v>143</v>
      </c>
      <c r="AY126" s="267">
        <f t="shared" si="71"/>
        <v>196</v>
      </c>
      <c r="AZ126" s="267">
        <f t="shared" si="72"/>
        <v>188</v>
      </c>
      <c r="BA126" s="267">
        <f t="shared" si="73"/>
        <v>180</v>
      </c>
      <c r="BB126" s="267">
        <f t="shared" si="74"/>
        <v>133</v>
      </c>
      <c r="BC126" s="267">
        <f t="shared" si="75"/>
        <v>134</v>
      </c>
      <c r="BD126" s="267">
        <f t="shared" si="76"/>
        <v>138</v>
      </c>
      <c r="BE126" s="267">
        <f t="shared" si="77"/>
        <v>141</v>
      </c>
      <c r="BF126" s="267">
        <f t="shared" si="78"/>
        <v>143</v>
      </c>
      <c r="BG126" s="269">
        <f>AY126*VLOOKUP($B126,'Major Cities &amp; Towns'!$A$28:$B$345,2,FALSE)</f>
        <v>196</v>
      </c>
      <c r="BH126" s="269">
        <f>AZ126*VLOOKUP($B126,'Major Cities &amp; Towns'!$A$28:$B$345,2,FALSE)</f>
        <v>188</v>
      </c>
      <c r="BI126" s="269">
        <f>BA126*VLOOKUP($B126,'Major Cities &amp; Towns'!$A$28:$B$345,2,FALSE)</f>
        <v>180</v>
      </c>
      <c r="BJ126" s="269">
        <f>BB126*VLOOKUP($B126,'Major Cities &amp; Towns'!$A$28:$B$345,2,FALSE)</f>
        <v>133</v>
      </c>
      <c r="BK126" s="269">
        <f>BC126*VLOOKUP($B126,'Major Cities &amp; Towns'!$A$28:$B$345,2,FALSE)</f>
        <v>134</v>
      </c>
      <c r="BL126" s="269">
        <f>BD126*VLOOKUP($B126,'Major Cities &amp; Towns'!$A$28:$B$345,2,FALSE)</f>
        <v>138</v>
      </c>
      <c r="BM126" s="269">
        <f>BE126*VLOOKUP($B126,'Major Cities &amp; Towns'!$A$28:$B$345,2,FALSE)</f>
        <v>141</v>
      </c>
      <c r="BN126" s="269">
        <f>BF126*VLOOKUP($B126,'Major Cities &amp; Towns'!$A$28:$B$345,2,FALSE)</f>
        <v>143</v>
      </c>
      <c r="BO126" s="270">
        <f t="shared" si="79"/>
        <v>196</v>
      </c>
      <c r="BP126" s="270">
        <f t="shared" si="100"/>
        <v>188</v>
      </c>
      <c r="BQ126" s="270">
        <f t="shared" si="100"/>
        <v>180</v>
      </c>
      <c r="BR126" s="270">
        <f t="shared" si="100"/>
        <v>133</v>
      </c>
      <c r="BS126" s="270">
        <f t="shared" si="100"/>
        <v>134</v>
      </c>
      <c r="BT126" s="270">
        <f t="shared" si="100"/>
        <v>138</v>
      </c>
      <c r="BU126" s="270">
        <f t="shared" si="100"/>
        <v>141</v>
      </c>
      <c r="BV126" s="270">
        <f t="shared" si="99"/>
        <v>143</v>
      </c>
      <c r="BW126" s="39">
        <f>VLOOKUP($A126,NetAdditions!$A$2:$H$336,6,FALSE)</f>
        <v>371</v>
      </c>
      <c r="BX126" s="39">
        <f>VLOOKUP($A126,NetAdditions!$A$2:$H$336,7,FALSE)</f>
        <v>255</v>
      </c>
      <c r="BY126" s="39">
        <f>IF((VLOOKUP($C126,NetAdditions!$A$2:$H$336,8,FALSE))="",(AVERAGE(VLOOKUP($C126,NetAdditions!$A$2:$H$336,5,FALSE),VLOOKUP($C126,NetAdditions!$A$2:$H$336,6,FALSE),VLOOKUP($C126,NetAdditions!$A$2:$H$336,7,FALSE))),VLOOKUP($C126,NetAdditions!$A$2:$H$336,8,FALSE))</f>
        <v>161</v>
      </c>
      <c r="BZ126" s="39">
        <f t="shared" si="105"/>
        <v>262.33333333333331</v>
      </c>
      <c r="CA126" s="39">
        <f t="shared" si="105"/>
        <v>226.11111111111109</v>
      </c>
      <c r="CB126" s="39">
        <f t="shared" si="105"/>
        <v>216.48148148148144</v>
      </c>
      <c r="CC126" s="39">
        <f t="shared" si="105"/>
        <v>234.97530864197529</v>
      </c>
      <c r="CD126" s="39">
        <f t="shared" si="105"/>
        <v>225.85596707818925</v>
      </c>
      <c r="CE126" s="276">
        <f t="shared" si="55"/>
        <v>564</v>
      </c>
      <c r="CF126" s="276">
        <f t="shared" si="56"/>
        <v>501</v>
      </c>
      <c r="CG126" s="276">
        <f t="shared" si="57"/>
        <v>447</v>
      </c>
      <c r="CH126" s="276">
        <f t="shared" si="58"/>
        <v>405</v>
      </c>
      <c r="CI126" s="276">
        <f t="shared" si="59"/>
        <v>413</v>
      </c>
      <c r="CJ126" s="276">
        <f t="shared" si="60"/>
        <v>422</v>
      </c>
      <c r="CK126" s="276">
        <f t="shared" si="80"/>
        <v>485.66666666666669</v>
      </c>
      <c r="CL126" s="276">
        <f t="shared" si="81"/>
        <v>431.41666666666669</v>
      </c>
      <c r="CM126" s="276">
        <f t="shared" si="82"/>
        <v>409.75</v>
      </c>
      <c r="CN126" s="276">
        <f t="shared" si="83"/>
        <v>405</v>
      </c>
      <c r="CO126" s="276">
        <f t="shared" si="83"/>
        <v>413</v>
      </c>
      <c r="CP126" s="276">
        <f t="shared" si="83"/>
        <v>422</v>
      </c>
      <c r="CQ126" s="39">
        <f t="shared" si="61"/>
        <v>787</v>
      </c>
      <c r="CR126" s="39">
        <f t="shared" si="62"/>
        <v>678.33333333333326</v>
      </c>
      <c r="CS126" s="277">
        <f t="shared" si="63"/>
        <v>649.44444444444434</v>
      </c>
      <c r="CT126" s="39">
        <f t="shared" si="64"/>
        <v>704.92592592592587</v>
      </c>
      <c r="CU126" s="39">
        <f t="shared" si="65"/>
        <v>677.56790123456778</v>
      </c>
      <c r="CV126" s="39">
        <f t="shared" si="66"/>
        <v>677.31275720164592</v>
      </c>
      <c r="CW126" s="297">
        <f t="shared" si="67"/>
        <v>1.6204529855868222</v>
      </c>
      <c r="CX126" s="279" t="str">
        <f t="shared" si="84"/>
        <v>Pass</v>
      </c>
      <c r="CY126" s="278">
        <f t="shared" si="68"/>
        <v>1.5723391925825765</v>
      </c>
      <c r="CZ126" s="279" t="str">
        <f t="shared" si="85"/>
        <v>Pass</v>
      </c>
      <c r="DA126" s="278">
        <f t="shared" si="69"/>
        <v>1.5849772896752761</v>
      </c>
      <c r="DB126" s="292" t="str">
        <f t="shared" si="86"/>
        <v>Pass</v>
      </c>
      <c r="DC126" s="299">
        <f t="shared" si="87"/>
        <v>1.7405578417924095</v>
      </c>
      <c r="DD126" s="293" t="str">
        <f t="shared" si="88"/>
        <v>Pass</v>
      </c>
      <c r="DE126" s="299">
        <f t="shared" si="89"/>
        <v>1.6406002451200188</v>
      </c>
      <c r="DF126" s="293" t="str">
        <f t="shared" si="90"/>
        <v>Pass</v>
      </c>
      <c r="DG126" s="299">
        <f t="shared" si="91"/>
        <v>1.6050065336531893</v>
      </c>
      <c r="DH126" s="293" t="str">
        <f t="shared" si="92"/>
        <v>Pass</v>
      </c>
    </row>
    <row r="127" spans="1:112" ht="15" thickTop="1" thickBot="1">
      <c r="A127" s="38" t="s">
        <v>364</v>
      </c>
      <c r="B127" s="38" t="s">
        <v>365</v>
      </c>
      <c r="C127" s="38" t="s">
        <v>364</v>
      </c>
      <c r="D127" s="38" t="s">
        <v>113</v>
      </c>
      <c r="E127" s="38" t="str">
        <f>VLOOKUP(C127,PoliticalControl!A:K,11,FALSE)</f>
        <v>LAB</v>
      </c>
      <c r="F127" s="38" t="str">
        <f>VLOOKUP(C127,UrbanRuralClassification!A:N,13,FALSE)</f>
        <v>Urban with City and Town</v>
      </c>
      <c r="G127" s="38" t="str">
        <f>VLOOKUP(C127,UrbanRuralClassification!A:N,14,FALSE)</f>
        <v>Predominantly Urban</v>
      </c>
      <c r="H127" s="258">
        <f>IF(ISBLANK((VLOOKUP($A127,'local-plan-data'!$C$1:$AD$566,27,FALSE)))=TRUE,"",VLOOKUP($A127,'local-plan-data'!$C$1:$AD$566,27,FALSE))</f>
        <v>41689</v>
      </c>
      <c r="I127" s="259">
        <f>VLOOKUP($A127,'local-plan-data'!$C$1:$AD$566,28,FALSE)</f>
        <v>200</v>
      </c>
      <c r="J127" s="260">
        <f t="shared" si="70"/>
        <v>200</v>
      </c>
      <c r="K127" s="259">
        <f t="shared" si="96"/>
        <v>200</v>
      </c>
      <c r="L127" s="259" t="str">
        <f t="shared" si="101"/>
        <v>-</v>
      </c>
      <c r="M127" s="259" t="str">
        <f t="shared" si="101"/>
        <v>-</v>
      </c>
      <c r="N127" s="259" t="str">
        <f t="shared" si="101"/>
        <v>-</v>
      </c>
      <c r="O127" s="259" t="str">
        <f t="shared" si="101"/>
        <v>-</v>
      </c>
      <c r="P127" s="259" t="str">
        <f t="shared" si="101"/>
        <v>-</v>
      </c>
      <c r="Q127" s="259" t="str">
        <f t="shared" si="101"/>
        <v>-</v>
      </c>
      <c r="R127" s="259" t="str">
        <f t="shared" si="101"/>
        <v>-</v>
      </c>
      <c r="S127" s="259">
        <f t="shared" si="97"/>
        <v>324</v>
      </c>
      <c r="T127" s="259">
        <f t="shared" si="102"/>
        <v>-41</v>
      </c>
      <c r="U127" s="259">
        <f t="shared" si="102"/>
        <v>-407</v>
      </c>
      <c r="V127" s="259">
        <f t="shared" si="102"/>
        <v>-772</v>
      </c>
      <c r="W127" s="259">
        <f t="shared" si="102"/>
        <v>-1137</v>
      </c>
      <c r="X127" s="259">
        <f t="shared" si="102"/>
        <v>-1502</v>
      </c>
      <c r="Y127" s="259">
        <f t="shared" si="102"/>
        <v>-1868</v>
      </c>
      <c r="Z127" s="259">
        <f t="shared" si="102"/>
        <v>-2233</v>
      </c>
      <c r="AA127" s="267">
        <f>(VLOOKUP(A127,Hshldprojections2014!$A$2:$AW$319,40, FALSE)-VLOOKUP(A127,Hshldprojections2014!$A$2:$AW$319,30, FALSE))/10</f>
        <v>325.5</v>
      </c>
      <c r="AB127" s="267">
        <f>(VLOOKUP(A127,Hshldprojections2014!$A$2:$AW$319,41, FALSE)-VLOOKUP(A127,Hshldprojections2014!$A$2:$AW$319,31, FALSE))/10</f>
        <v>330.5</v>
      </c>
      <c r="AC127" s="267">
        <f>(VLOOKUP(A127,Hshldprojections2014!$A$2:$AW$319,42, FALSE)-VLOOKUP(A127,Hshldprojections2014!$A$2:$AW$319,32, FALSE))/10</f>
        <v>336</v>
      </c>
      <c r="AD127" s="267">
        <f>IF(IndividualLATest!$J$7=2014,(VLOOKUP($A127,Hshldprojections2014!$A$2:$AY$326,43,FALSE)-VLOOKUP($A127,Hshldprojections2014!$A$2:$AY$326,33,FALSE))/10,IF(IndividualLATest!$J$7=2016,(VLOOKUP($A127,Hshldprojections2016!$A$1:$AQ$322,33,FALSE)-VLOOKUP($A127,Hshldprojections2016!$A$1:$AQ$322,23,FALSE))/10,(VLOOKUP($A127,Hshldprojections2018!$A$1:$AQ$327,33,FALSE)-VLOOKUP($A127,Hshldprojections2018!$A$1:$AQ$327,23,FALSE))/10))</f>
        <v>193.6</v>
      </c>
      <c r="AE127" s="267">
        <f>IF(IndividualLATest!$J$7=2014,(VLOOKUP($A127,Hshldprojections2014!$A$2:$AY$326,44,FALSE)-VLOOKUP($A127,Hshldprojections2014!$A$2:$AY$326,34,FALSE))/10,IF(IndividualLATest!$J$7=2016,(VLOOKUP($A127,Hshldprojections2016!$A$1:$AQ$322,34,FALSE)-VLOOKUP($A127,Hshldprojections2016!$A$1:$AQ$322,24,FALSE))/10,(VLOOKUP($A127,Hshldprojections2018!$A$1:$AQ$327,34,FALSE)-VLOOKUP($A127,Hshldprojections2018!$A$1:$AQ$327,24,FALSE))/10))</f>
        <v>193.3</v>
      </c>
      <c r="AF127" s="267">
        <f>IF(IndividualLATest!$J$7=2014,(VLOOKUP($A127,Hshldprojections2014!$A$2:$AY$326,45,FALSE)-VLOOKUP($A127,Hshldprojections2014!$A$2:$AY$326,35,FALSE))/10,IF(IndividualLATest!$J$7=2016,(VLOOKUP($A127,Hshldprojections2016!$A$1:$AQ$322,35,FALSE)-VLOOKUP($A127,Hshldprojections2016!$A$1:$AQ$322,25,FALSE))/10,(VLOOKUP($A127,Hshldprojections2018!$A$1:$AQ$327,35,FALSE)-VLOOKUP($A127,Hshldprojections2018!$A$1:$AQ$327,25,FALSE))/10))</f>
        <v>195.7</v>
      </c>
      <c r="AG127" s="267">
        <f>IF(IndividualLATest!$J$7=2014,(VLOOKUP($A127,Hshldprojections2014!$A$2:$AY$326,46,FALSE)-VLOOKUP($A127,Hshldprojections2014!$A$2:$AY$326,36,FALSE))/10,IF(IndividualLATest!$J$7=2016,(VLOOKUP($A127,Hshldprojections2016!$A$1:$AQ$322,36,FALSE)-VLOOKUP($A127,Hshldprojections2016!$A$1:$AQ$322,26,FALSE))/10,(VLOOKUP($A127,Hshldprojections2018!$A$1:$AQ$327,36,FALSE)-VLOOKUP($A127,Hshldprojections2018!$A$1:$AQ$327,26,FALSE))/10))</f>
        <v>197.8</v>
      </c>
      <c r="AH127" s="267">
        <f>IF(IndividualLATest!$J$7=2014,(VLOOKUP($A127,Hshldprojections2014!$A$2:$AY$326,47,FALSE)-VLOOKUP($A127,Hshldprojections2014!$A$2:$AY$326,37,FALSE))/10,IF(IndividualLATest!$J$7=2016,(VLOOKUP($A127,Hshldprojections2016!$A$1:$AQ$322,37,FALSE)-VLOOKUP($A127,Hshldprojections2016!$A$1:$AQ$322,27,FALSE))/10,(VLOOKUP($A127,Hshldprojections2018!$A$1:$AQ$327,37,FALSE)-VLOOKUP($A127,Hshldprojections2018!$A$1:$AQ$327,27,FALSE))/10))</f>
        <v>199.8</v>
      </c>
      <c r="AI127" s="268">
        <f>IF(ISNUMBER('Sensitivity Tests'!$C$30),'Sensitivity Tests'!$C$30,VLOOKUP($A127,AffordabilityRatio!$A$2:$I$321,5,FALSE))</f>
        <v>8.2899999999999991</v>
      </c>
      <c r="AJ127" s="268">
        <f>IF(ISNUMBER('Sensitivity Tests'!$C$30),'Sensitivity Tests'!$C$30,VLOOKUP($A127,AffordabilityRatio!$A$2:$I$321,6,FALSE))</f>
        <v>8.81</v>
      </c>
      <c r="AK127" s="268">
        <f>IF(ISNUMBER('Sensitivity Tests'!$C$30),'Sensitivity Tests'!$C$30,VLOOKUP($A127,AffordabilityRatio!$A$2:$I$321,7,FALSE))</f>
        <v>9.36</v>
      </c>
      <c r="AL127" s="268">
        <f>IF(ISNUMBER('Sensitivity Tests'!$C$30),'Sensitivity Tests'!$C$30,IF((VLOOKUP($A127,AffordabilityRatio!$A$2:$I$321,8,FALSE))="",AK127,VLOOKUP($A127,AffordabilityRatio!$A$2:$I$321,8,FALSE)))</f>
        <v>9.2200000000000006</v>
      </c>
      <c r="AM127" s="268">
        <f>IF(ISNUMBER('Sensitivity Tests'!$C$30),'Sensitivity Tests'!$C$30,IF((VLOOKUP($A127,AffordabilityRatio!$A$2:$I$321,9,FALSE))="",AL127,VLOOKUP($A127,AffordabilityRatio!$A$2:$I$321,9,FALSE)))</f>
        <v>10.78</v>
      </c>
      <c r="AN127" s="268">
        <f>IF(ISNUMBER('Sensitivity Tests'!$C$30),'Sensitivity Tests'!$C$30,IF((VLOOKUP($A127,AffordabilityRatio!$A$2:$I$321,9,FALSE))="",AM127,VLOOKUP($A127,AffordabilityRatio!$A$2:$I$321,9,FALSE)))</f>
        <v>10.78</v>
      </c>
      <c r="AO127" s="268">
        <f>IF(ISNUMBER('Sensitivity Tests'!$C$30),'Sensitivity Tests'!$C$30,IF((VLOOKUP($A127,AffordabilityRatio!$A$2:$I$321,9,FALSE))="",AN127,VLOOKUP($A127,AffordabilityRatio!$A$2:$I$321,9,FALSE)))</f>
        <v>10.78</v>
      </c>
      <c r="AP127" s="268">
        <f>IF(ISNUMBER('Sensitivity Tests'!$C$30),'Sensitivity Tests'!$C$30,IF((VLOOKUP($A127,AffordabilityRatio!$A$2:$I$321,9,FALSE))="",AO127,VLOOKUP($A127,AffordabilityRatio!$A$2:$I$321,9,FALSE)))</f>
        <v>10.78</v>
      </c>
      <c r="AQ127" s="267">
        <f t="shared" si="104"/>
        <v>413</v>
      </c>
      <c r="AR127" s="267">
        <f t="shared" si="104"/>
        <v>430</v>
      </c>
      <c r="AS127" s="267">
        <f t="shared" si="104"/>
        <v>449</v>
      </c>
      <c r="AT127" s="267">
        <f t="shared" si="103"/>
        <v>257</v>
      </c>
      <c r="AU127" s="267">
        <f t="shared" si="103"/>
        <v>275</v>
      </c>
      <c r="AV127" s="267">
        <f t="shared" si="103"/>
        <v>279</v>
      </c>
      <c r="AW127" s="267">
        <f t="shared" si="103"/>
        <v>282</v>
      </c>
      <c r="AX127" s="267">
        <f t="shared" si="95"/>
        <v>284</v>
      </c>
      <c r="AY127" s="267">
        <f t="shared" si="71"/>
        <v>280</v>
      </c>
      <c r="AZ127" s="267">
        <f t="shared" si="72"/>
        <v>430</v>
      </c>
      <c r="BA127" s="267">
        <f t="shared" si="73"/>
        <v>449</v>
      </c>
      <c r="BB127" s="267">
        <f t="shared" si="74"/>
        <v>257</v>
      </c>
      <c r="BC127" s="267">
        <f t="shared" si="75"/>
        <v>275</v>
      </c>
      <c r="BD127" s="267">
        <f t="shared" si="76"/>
        <v>279</v>
      </c>
      <c r="BE127" s="267">
        <f t="shared" si="77"/>
        <v>280</v>
      </c>
      <c r="BF127" s="267">
        <f t="shared" si="78"/>
        <v>280</v>
      </c>
      <c r="BG127" s="269">
        <f>AY127*VLOOKUP($B127,'Major Cities &amp; Towns'!$A$28:$B$345,2,FALSE)</f>
        <v>280</v>
      </c>
      <c r="BH127" s="269">
        <f>AZ127*VLOOKUP($B127,'Major Cities &amp; Towns'!$A$28:$B$345,2,FALSE)</f>
        <v>430</v>
      </c>
      <c r="BI127" s="269">
        <f>BA127*VLOOKUP($B127,'Major Cities &amp; Towns'!$A$28:$B$345,2,FALSE)</f>
        <v>449</v>
      </c>
      <c r="BJ127" s="269">
        <f>BB127*VLOOKUP($B127,'Major Cities &amp; Towns'!$A$28:$B$345,2,FALSE)</f>
        <v>257</v>
      </c>
      <c r="BK127" s="269">
        <f>BC127*VLOOKUP($B127,'Major Cities &amp; Towns'!$A$28:$B$345,2,FALSE)</f>
        <v>275</v>
      </c>
      <c r="BL127" s="269">
        <f>BD127*VLOOKUP($B127,'Major Cities &amp; Towns'!$A$28:$B$345,2,FALSE)</f>
        <v>279</v>
      </c>
      <c r="BM127" s="269">
        <f>BE127*VLOOKUP($B127,'Major Cities &amp; Towns'!$A$28:$B$345,2,FALSE)</f>
        <v>280</v>
      </c>
      <c r="BN127" s="269">
        <f>BF127*VLOOKUP($B127,'Major Cities &amp; Towns'!$A$28:$B$345,2,FALSE)</f>
        <v>280</v>
      </c>
      <c r="BO127" s="270">
        <f t="shared" si="79"/>
        <v>223.92602739726027</v>
      </c>
      <c r="BP127" s="270">
        <f t="shared" si="100"/>
        <v>430</v>
      </c>
      <c r="BQ127" s="270">
        <f t="shared" si="100"/>
        <v>449</v>
      </c>
      <c r="BR127" s="270">
        <f t="shared" si="100"/>
        <v>257</v>
      </c>
      <c r="BS127" s="270">
        <f t="shared" si="100"/>
        <v>275</v>
      </c>
      <c r="BT127" s="270">
        <f t="shared" si="100"/>
        <v>279</v>
      </c>
      <c r="BU127" s="270">
        <f t="shared" si="100"/>
        <v>282</v>
      </c>
      <c r="BV127" s="270">
        <f t="shared" si="99"/>
        <v>284</v>
      </c>
      <c r="BW127" s="39">
        <f>VLOOKUP($A127,NetAdditions!$A$2:$H$336,6,FALSE)</f>
        <v>184</v>
      </c>
      <c r="BX127" s="39">
        <f>VLOOKUP($A127,NetAdditions!$A$2:$H$336,7,FALSE)</f>
        <v>119</v>
      </c>
      <c r="BY127" s="39">
        <f>IF((VLOOKUP($C127,NetAdditions!$A$2:$H$336,8,FALSE))="",(AVERAGE(VLOOKUP($C127,NetAdditions!$A$2:$H$336,5,FALSE),VLOOKUP($C127,NetAdditions!$A$2:$H$336,6,FALSE),VLOOKUP($C127,NetAdditions!$A$2:$H$336,7,FALSE))),VLOOKUP($C127,NetAdditions!$A$2:$H$336,8,FALSE))</f>
        <v>111</v>
      </c>
      <c r="BZ127" s="39">
        <f t="shared" si="105"/>
        <v>138</v>
      </c>
      <c r="CA127" s="39">
        <f t="shared" si="105"/>
        <v>122.66666666666667</v>
      </c>
      <c r="CB127" s="39">
        <f t="shared" si="105"/>
        <v>123.8888888888889</v>
      </c>
      <c r="CC127" s="39">
        <f t="shared" si="105"/>
        <v>128.18518518518519</v>
      </c>
      <c r="CD127" s="39">
        <f t="shared" si="105"/>
        <v>124.91358024691358</v>
      </c>
      <c r="CE127" s="276">
        <f t="shared" si="55"/>
        <v>1102.9260273972602</v>
      </c>
      <c r="CF127" s="276">
        <f t="shared" si="56"/>
        <v>1136</v>
      </c>
      <c r="CG127" s="276">
        <f t="shared" si="57"/>
        <v>981</v>
      </c>
      <c r="CH127" s="276">
        <f t="shared" si="58"/>
        <v>811</v>
      </c>
      <c r="CI127" s="276">
        <f t="shared" si="59"/>
        <v>836</v>
      </c>
      <c r="CJ127" s="276">
        <f t="shared" si="60"/>
        <v>845</v>
      </c>
      <c r="CK127" s="276">
        <f t="shared" si="80"/>
        <v>949.74185692541857</v>
      </c>
      <c r="CL127" s="276">
        <f t="shared" si="81"/>
        <v>978.22222222222229</v>
      </c>
      <c r="CM127" s="276">
        <f t="shared" si="82"/>
        <v>899.25</v>
      </c>
      <c r="CN127" s="276">
        <f t="shared" si="83"/>
        <v>811</v>
      </c>
      <c r="CO127" s="276">
        <f t="shared" si="83"/>
        <v>836</v>
      </c>
      <c r="CP127" s="276">
        <f t="shared" si="83"/>
        <v>845</v>
      </c>
      <c r="CQ127" s="39">
        <f t="shared" si="61"/>
        <v>414</v>
      </c>
      <c r="CR127" s="39">
        <f t="shared" si="62"/>
        <v>368</v>
      </c>
      <c r="CS127" s="277">
        <f t="shared" si="63"/>
        <v>371.66666666666669</v>
      </c>
      <c r="CT127" s="39">
        <f t="shared" si="64"/>
        <v>384.5555555555556</v>
      </c>
      <c r="CU127" s="39">
        <f t="shared" si="65"/>
        <v>374.74074074074076</v>
      </c>
      <c r="CV127" s="39">
        <f t="shared" si="66"/>
        <v>376.98765432098764</v>
      </c>
      <c r="CW127" s="297">
        <f t="shared" si="67"/>
        <v>0.43590792274885559</v>
      </c>
      <c r="CX127" s="279" t="str">
        <f t="shared" si="84"/>
        <v>Buffer and Action Plan</v>
      </c>
      <c r="CY127" s="278">
        <f t="shared" si="68"/>
        <v>0.37619263970922306</v>
      </c>
      <c r="CZ127" s="279" t="str">
        <f t="shared" si="85"/>
        <v>Presumption</v>
      </c>
      <c r="DA127" s="278">
        <f t="shared" si="69"/>
        <v>0.41330738578445003</v>
      </c>
      <c r="DB127" s="292" t="str">
        <f t="shared" si="86"/>
        <v>Presumption</v>
      </c>
      <c r="DC127" s="299">
        <f t="shared" si="87"/>
        <v>0.474174544458145</v>
      </c>
      <c r="DD127" s="293" t="str">
        <f t="shared" si="88"/>
        <v>Presumption</v>
      </c>
      <c r="DE127" s="299">
        <f t="shared" si="89"/>
        <v>0.44825447457026407</v>
      </c>
      <c r="DF127" s="293" t="str">
        <f t="shared" si="90"/>
        <v>Presumption</v>
      </c>
      <c r="DG127" s="299">
        <f t="shared" si="91"/>
        <v>0.44613923588282561</v>
      </c>
      <c r="DH127" s="293" t="str">
        <f t="shared" si="92"/>
        <v>Presumption</v>
      </c>
    </row>
    <row r="128" spans="1:112" ht="15" thickTop="1" thickBot="1">
      <c r="A128" s="38" t="s">
        <v>366</v>
      </c>
      <c r="B128" s="38" t="s">
        <v>367</v>
      </c>
      <c r="C128" s="38" t="s">
        <v>366</v>
      </c>
      <c r="D128" s="38" t="s">
        <v>113</v>
      </c>
      <c r="E128" s="38" t="str">
        <f>VLOOKUP(C128,PoliticalControl!A:K,11,FALSE)</f>
        <v>CON</v>
      </c>
      <c r="F128" s="38" t="str">
        <f>VLOOKUP(C128,UrbanRuralClassification!A:N,13,FALSE)</f>
        <v>Urban with City and Town</v>
      </c>
      <c r="G128" s="38" t="str">
        <f>VLOOKUP(C128,UrbanRuralClassification!A:N,14,FALSE)</f>
        <v>Predominantly Urban</v>
      </c>
      <c r="H128" s="258">
        <f>IF(ISBLANK((VLOOKUP($A128,'local-plan-data'!$C$1:$AD$566,27,FALSE)))=TRUE,"",VLOOKUP($A128,'local-plan-data'!$C$1:$AD$566,27,FALSE))</f>
        <v>40603</v>
      </c>
      <c r="I128" s="259">
        <f>VLOOKUP($A128,'local-plan-data'!$C$1:$AD$566,28,FALSE)</f>
        <v>315</v>
      </c>
      <c r="J128" s="260">
        <f t="shared" si="70"/>
        <v>315</v>
      </c>
      <c r="K128" s="259" t="str">
        <f t="shared" si="96"/>
        <v>-</v>
      </c>
      <c r="L128" s="259" t="str">
        <f t="shared" si="101"/>
        <v>-</v>
      </c>
      <c r="M128" s="259" t="str">
        <f t="shared" si="101"/>
        <v>-</v>
      </c>
      <c r="N128" s="259" t="str">
        <f t="shared" si="101"/>
        <v>-</v>
      </c>
      <c r="O128" s="259" t="str">
        <f t="shared" si="101"/>
        <v>-</v>
      </c>
      <c r="P128" s="259" t="str">
        <f t="shared" si="101"/>
        <v>-</v>
      </c>
      <c r="Q128" s="259" t="str">
        <f t="shared" si="101"/>
        <v>-</v>
      </c>
      <c r="R128" s="259" t="str">
        <f t="shared" si="101"/>
        <v>-</v>
      </c>
      <c r="S128" s="259">
        <f t="shared" si="97"/>
        <v>-761</v>
      </c>
      <c r="T128" s="259">
        <f t="shared" si="102"/>
        <v>-1126</v>
      </c>
      <c r="U128" s="259">
        <f t="shared" si="102"/>
        <v>-1492</v>
      </c>
      <c r="V128" s="259">
        <f t="shared" si="102"/>
        <v>-1857</v>
      </c>
      <c r="W128" s="259">
        <f t="shared" si="102"/>
        <v>-2222</v>
      </c>
      <c r="X128" s="259">
        <f t="shared" si="102"/>
        <v>-2587</v>
      </c>
      <c r="Y128" s="259">
        <f t="shared" si="102"/>
        <v>-2953</v>
      </c>
      <c r="Z128" s="259">
        <f t="shared" si="102"/>
        <v>-3318</v>
      </c>
      <c r="AA128" s="267">
        <f>(VLOOKUP(A128,Hshldprojections2014!$A$2:$AW$319,40, FALSE)-VLOOKUP(A128,Hshldprojections2014!$A$2:$AW$319,30, FALSE))/10</f>
        <v>360.6</v>
      </c>
      <c r="AB128" s="267">
        <f>(VLOOKUP(A128,Hshldprojections2014!$A$2:$AW$319,41, FALSE)-VLOOKUP(A128,Hshldprojections2014!$A$2:$AW$319,31, FALSE))/10</f>
        <v>362.7</v>
      </c>
      <c r="AC128" s="267">
        <f>(VLOOKUP(A128,Hshldprojections2014!$A$2:$AW$319,42, FALSE)-VLOOKUP(A128,Hshldprojections2014!$A$2:$AW$319,32, FALSE))/10</f>
        <v>367.2</v>
      </c>
      <c r="AD128" s="267">
        <f>IF(IndividualLATest!$J$7=2014,(VLOOKUP($A128,Hshldprojections2014!$A$2:$AY$326,43,FALSE)-VLOOKUP($A128,Hshldprojections2014!$A$2:$AY$326,33,FALSE))/10,IF(IndividualLATest!$J$7=2016,(VLOOKUP($A128,Hshldprojections2016!$A$1:$AQ$322,33,FALSE)-VLOOKUP($A128,Hshldprojections2016!$A$1:$AQ$322,23,FALSE))/10,(VLOOKUP($A128,Hshldprojections2018!$A$1:$AQ$327,33,FALSE)-VLOOKUP($A128,Hshldprojections2018!$A$1:$AQ$327,23,FALSE))/10))</f>
        <v>468.1</v>
      </c>
      <c r="AE128" s="267">
        <f>IF(IndividualLATest!$J$7=2014,(VLOOKUP($A128,Hshldprojections2014!$A$2:$AY$326,44,FALSE)-VLOOKUP($A128,Hshldprojections2014!$A$2:$AY$326,34,FALSE))/10,IF(IndividualLATest!$J$7=2016,(VLOOKUP($A128,Hshldprojections2016!$A$1:$AQ$322,34,FALSE)-VLOOKUP($A128,Hshldprojections2016!$A$1:$AQ$322,24,FALSE))/10,(VLOOKUP($A128,Hshldprojections2018!$A$1:$AQ$327,34,FALSE)-VLOOKUP($A128,Hshldprojections2018!$A$1:$AQ$327,24,FALSE))/10))</f>
        <v>459.4</v>
      </c>
      <c r="AF128" s="267">
        <f>IF(IndividualLATest!$J$7=2014,(VLOOKUP($A128,Hshldprojections2014!$A$2:$AY$326,45,FALSE)-VLOOKUP($A128,Hshldprojections2014!$A$2:$AY$326,35,FALSE))/10,IF(IndividualLATest!$J$7=2016,(VLOOKUP($A128,Hshldprojections2016!$A$1:$AQ$322,35,FALSE)-VLOOKUP($A128,Hshldprojections2016!$A$1:$AQ$322,25,FALSE))/10,(VLOOKUP($A128,Hshldprojections2018!$A$1:$AQ$327,35,FALSE)-VLOOKUP($A128,Hshldprojections2018!$A$1:$AQ$327,25,FALSE))/10))</f>
        <v>452.5</v>
      </c>
      <c r="AG128" s="267">
        <f>IF(IndividualLATest!$J$7=2014,(VLOOKUP($A128,Hshldprojections2014!$A$2:$AY$326,46,FALSE)-VLOOKUP($A128,Hshldprojections2014!$A$2:$AY$326,36,FALSE))/10,IF(IndividualLATest!$J$7=2016,(VLOOKUP($A128,Hshldprojections2016!$A$1:$AQ$322,36,FALSE)-VLOOKUP($A128,Hshldprojections2016!$A$1:$AQ$322,26,FALSE))/10,(VLOOKUP($A128,Hshldprojections2018!$A$1:$AQ$327,36,FALSE)-VLOOKUP($A128,Hshldprojections2018!$A$1:$AQ$327,26,FALSE))/10))</f>
        <v>445.8</v>
      </c>
      <c r="AH128" s="267">
        <f>IF(IndividualLATest!$J$7=2014,(VLOOKUP($A128,Hshldprojections2014!$A$2:$AY$326,47,FALSE)-VLOOKUP($A128,Hshldprojections2014!$A$2:$AY$326,37,FALSE))/10,IF(IndividualLATest!$J$7=2016,(VLOOKUP($A128,Hshldprojections2016!$A$1:$AQ$322,37,FALSE)-VLOOKUP($A128,Hshldprojections2016!$A$1:$AQ$322,27,FALSE))/10,(VLOOKUP($A128,Hshldprojections2018!$A$1:$AQ$327,37,FALSE)-VLOOKUP($A128,Hshldprojections2018!$A$1:$AQ$327,27,FALSE))/10))</f>
        <v>440.5</v>
      </c>
      <c r="AI128" s="268">
        <f>IF(ISNUMBER('Sensitivity Tests'!$C$30),'Sensitivity Tests'!$C$30,VLOOKUP($A128,AffordabilityRatio!$A$2:$I$321,5,FALSE))</f>
        <v>9.25</v>
      </c>
      <c r="AJ128" s="268">
        <f>IF(ISNUMBER('Sensitivity Tests'!$C$30),'Sensitivity Tests'!$C$30,VLOOKUP($A128,AffordabilityRatio!$A$2:$I$321,6,FALSE))</f>
        <v>9.49</v>
      </c>
      <c r="AK128" s="268">
        <f>IF(ISNUMBER('Sensitivity Tests'!$C$30),'Sensitivity Tests'!$C$30,VLOOKUP($A128,AffordabilityRatio!$A$2:$I$321,7,FALSE))</f>
        <v>9.9499999999999993</v>
      </c>
      <c r="AL128" s="268">
        <f>IF(ISNUMBER('Sensitivity Tests'!$C$30),'Sensitivity Tests'!$C$30,IF((VLOOKUP($A128,AffordabilityRatio!$A$2:$I$321,8,FALSE))="",AK128,VLOOKUP($A128,AffordabilityRatio!$A$2:$I$321,8,FALSE)))</f>
        <v>9.8800000000000008</v>
      </c>
      <c r="AM128" s="268">
        <f>IF(ISNUMBER('Sensitivity Tests'!$C$30),'Sensitivity Tests'!$C$30,IF((VLOOKUP($A128,AffordabilityRatio!$A$2:$I$321,9,FALSE))="",AL128,VLOOKUP($A128,AffordabilityRatio!$A$2:$I$321,9,FALSE)))</f>
        <v>10.17</v>
      </c>
      <c r="AN128" s="268">
        <f>IF(ISNUMBER('Sensitivity Tests'!$C$30),'Sensitivity Tests'!$C$30,IF((VLOOKUP($A128,AffordabilityRatio!$A$2:$I$321,9,FALSE))="",AM128,VLOOKUP($A128,AffordabilityRatio!$A$2:$I$321,9,FALSE)))</f>
        <v>10.17</v>
      </c>
      <c r="AO128" s="268">
        <f>IF(ISNUMBER('Sensitivity Tests'!$C$30),'Sensitivity Tests'!$C$30,IF((VLOOKUP($A128,AffordabilityRatio!$A$2:$I$321,9,FALSE))="",AN128,VLOOKUP($A128,AffordabilityRatio!$A$2:$I$321,9,FALSE)))</f>
        <v>10.17</v>
      </c>
      <c r="AP128" s="268">
        <f>IF(ISNUMBER('Sensitivity Tests'!$C$30),'Sensitivity Tests'!$C$30,IF((VLOOKUP($A128,AffordabilityRatio!$A$2:$I$321,9,FALSE))="",AO128,VLOOKUP($A128,AffordabilityRatio!$A$2:$I$321,9,FALSE)))</f>
        <v>10.17</v>
      </c>
      <c r="AQ128" s="267">
        <f t="shared" si="104"/>
        <v>479</v>
      </c>
      <c r="AR128" s="267">
        <f t="shared" si="104"/>
        <v>487</v>
      </c>
      <c r="AS128" s="267">
        <f t="shared" si="104"/>
        <v>504</v>
      </c>
      <c r="AT128" s="267">
        <f t="shared" si="103"/>
        <v>640</v>
      </c>
      <c r="AU128" s="267">
        <f t="shared" si="103"/>
        <v>637</v>
      </c>
      <c r="AV128" s="267">
        <f t="shared" si="103"/>
        <v>627</v>
      </c>
      <c r="AW128" s="267">
        <f t="shared" si="103"/>
        <v>618</v>
      </c>
      <c r="AX128" s="267">
        <f t="shared" si="95"/>
        <v>610</v>
      </c>
      <c r="AY128" s="267">
        <f t="shared" si="71"/>
        <v>479</v>
      </c>
      <c r="AZ128" s="267">
        <f t="shared" si="72"/>
        <v>487</v>
      </c>
      <c r="BA128" s="267">
        <f t="shared" si="73"/>
        <v>504</v>
      </c>
      <c r="BB128" s="267">
        <f t="shared" si="74"/>
        <v>640</v>
      </c>
      <c r="BC128" s="267">
        <f t="shared" si="75"/>
        <v>637</v>
      </c>
      <c r="BD128" s="267">
        <f t="shared" si="76"/>
        <v>627</v>
      </c>
      <c r="BE128" s="267">
        <f t="shared" si="77"/>
        <v>618</v>
      </c>
      <c r="BF128" s="267">
        <f t="shared" si="78"/>
        <v>610</v>
      </c>
      <c r="BG128" s="269">
        <f>AY128*VLOOKUP($B128,'Major Cities &amp; Towns'!$A$28:$B$345,2,FALSE)</f>
        <v>479</v>
      </c>
      <c r="BH128" s="269">
        <f>AZ128*VLOOKUP($B128,'Major Cities &amp; Towns'!$A$28:$B$345,2,FALSE)</f>
        <v>487</v>
      </c>
      <c r="BI128" s="269">
        <f>BA128*VLOOKUP($B128,'Major Cities &amp; Towns'!$A$28:$B$345,2,FALSE)</f>
        <v>504</v>
      </c>
      <c r="BJ128" s="269">
        <f>BB128*VLOOKUP($B128,'Major Cities &amp; Towns'!$A$28:$B$345,2,FALSE)</f>
        <v>640</v>
      </c>
      <c r="BK128" s="269">
        <f>BC128*VLOOKUP($B128,'Major Cities &amp; Towns'!$A$28:$B$345,2,FALSE)</f>
        <v>637</v>
      </c>
      <c r="BL128" s="269">
        <f>BD128*VLOOKUP($B128,'Major Cities &amp; Towns'!$A$28:$B$345,2,FALSE)</f>
        <v>627</v>
      </c>
      <c r="BM128" s="269">
        <f>BE128*VLOOKUP($B128,'Major Cities &amp; Towns'!$A$28:$B$345,2,FALSE)</f>
        <v>618</v>
      </c>
      <c r="BN128" s="269">
        <f>BF128*VLOOKUP($B128,'Major Cities &amp; Towns'!$A$28:$B$345,2,FALSE)</f>
        <v>610</v>
      </c>
      <c r="BO128" s="270">
        <f t="shared" si="79"/>
        <v>479</v>
      </c>
      <c r="BP128" s="270">
        <f t="shared" si="100"/>
        <v>487</v>
      </c>
      <c r="BQ128" s="270">
        <f t="shared" si="100"/>
        <v>504</v>
      </c>
      <c r="BR128" s="270">
        <f t="shared" si="100"/>
        <v>640</v>
      </c>
      <c r="BS128" s="270">
        <f t="shared" si="100"/>
        <v>637</v>
      </c>
      <c r="BT128" s="270">
        <f t="shared" si="100"/>
        <v>627</v>
      </c>
      <c r="BU128" s="270">
        <f t="shared" si="100"/>
        <v>618</v>
      </c>
      <c r="BV128" s="270">
        <f t="shared" si="99"/>
        <v>610</v>
      </c>
      <c r="BW128" s="39">
        <f>VLOOKUP($A128,NetAdditions!$A$2:$H$336,6,FALSE)</f>
        <v>267</v>
      </c>
      <c r="BX128" s="39">
        <f>VLOOKUP($A128,NetAdditions!$A$2:$H$336,7,FALSE)</f>
        <v>366</v>
      </c>
      <c r="BY128" s="39">
        <f>IF((VLOOKUP($C128,NetAdditions!$A$2:$H$336,8,FALSE))="",(AVERAGE(VLOOKUP($C128,NetAdditions!$A$2:$H$336,5,FALSE),VLOOKUP($C128,NetAdditions!$A$2:$H$336,6,FALSE),VLOOKUP($C128,NetAdditions!$A$2:$H$336,7,FALSE))),VLOOKUP($C128,NetAdditions!$A$2:$H$336,8,FALSE))</f>
        <v>294</v>
      </c>
      <c r="BZ128" s="39">
        <f t="shared" si="105"/>
        <v>309</v>
      </c>
      <c r="CA128" s="39">
        <f t="shared" si="105"/>
        <v>323</v>
      </c>
      <c r="CB128" s="39">
        <f t="shared" si="105"/>
        <v>308.66666666666669</v>
      </c>
      <c r="CC128" s="39">
        <f t="shared" si="105"/>
        <v>313.5555555555556</v>
      </c>
      <c r="CD128" s="39">
        <f t="shared" si="105"/>
        <v>315.07407407407413</v>
      </c>
      <c r="CE128" s="276">
        <f t="shared" si="55"/>
        <v>1470</v>
      </c>
      <c r="CF128" s="276">
        <f t="shared" si="56"/>
        <v>1631</v>
      </c>
      <c r="CG128" s="276">
        <f t="shared" si="57"/>
        <v>1781</v>
      </c>
      <c r="CH128" s="276">
        <f t="shared" si="58"/>
        <v>1904</v>
      </c>
      <c r="CI128" s="276">
        <f t="shared" si="59"/>
        <v>1882</v>
      </c>
      <c r="CJ128" s="276">
        <f t="shared" si="60"/>
        <v>1855</v>
      </c>
      <c r="CK128" s="276">
        <f t="shared" si="80"/>
        <v>1265.8333333333335</v>
      </c>
      <c r="CL128" s="276">
        <f t="shared" si="81"/>
        <v>1404.4722222222224</v>
      </c>
      <c r="CM128" s="276">
        <f t="shared" si="82"/>
        <v>1632.5833333333333</v>
      </c>
      <c r="CN128" s="276">
        <f t="shared" si="83"/>
        <v>1904</v>
      </c>
      <c r="CO128" s="276">
        <f t="shared" si="83"/>
        <v>1882</v>
      </c>
      <c r="CP128" s="276">
        <f t="shared" si="83"/>
        <v>1855</v>
      </c>
      <c r="CQ128" s="39">
        <f t="shared" si="61"/>
        <v>927</v>
      </c>
      <c r="CR128" s="39">
        <f t="shared" si="62"/>
        <v>969</v>
      </c>
      <c r="CS128" s="277">
        <f t="shared" si="63"/>
        <v>926</v>
      </c>
      <c r="CT128" s="39">
        <f t="shared" si="64"/>
        <v>940.66666666666674</v>
      </c>
      <c r="CU128" s="39">
        <f t="shared" si="65"/>
        <v>945.2222222222224</v>
      </c>
      <c r="CV128" s="39">
        <f t="shared" si="66"/>
        <v>937.29629629629642</v>
      </c>
      <c r="CW128" s="297">
        <f t="shared" si="67"/>
        <v>0.73232389730085579</v>
      </c>
      <c r="CX128" s="279" t="str">
        <f t="shared" si="84"/>
        <v>Buffer and Action Plan</v>
      </c>
      <c r="CY128" s="278">
        <f t="shared" si="68"/>
        <v>0.68993888570241879</v>
      </c>
      <c r="CZ128" s="279" t="str">
        <f t="shared" si="85"/>
        <v>Buffer and Action Plan</v>
      </c>
      <c r="DA128" s="278">
        <f t="shared" si="69"/>
        <v>0.56719922413353074</v>
      </c>
      <c r="DB128" s="292" t="str">
        <f t="shared" si="86"/>
        <v>Presumption</v>
      </c>
      <c r="DC128" s="299">
        <f t="shared" si="87"/>
        <v>0.49404761904761907</v>
      </c>
      <c r="DD128" s="293" t="str">
        <f t="shared" si="88"/>
        <v>Presumption</v>
      </c>
      <c r="DE128" s="299">
        <f t="shared" si="89"/>
        <v>0.50224347620734455</v>
      </c>
      <c r="DF128" s="293" t="str">
        <f t="shared" si="90"/>
        <v>Presumption</v>
      </c>
      <c r="DG128" s="299">
        <f t="shared" si="91"/>
        <v>0.50528102226215443</v>
      </c>
      <c r="DH128" s="293" t="str">
        <f t="shared" si="92"/>
        <v>Presumption</v>
      </c>
    </row>
    <row r="129" spans="1:112" customFormat="1" ht="15.5" thickTop="1" thickBot="1">
      <c r="A129" s="3" t="s">
        <v>368</v>
      </c>
      <c r="B129" s="3" t="s">
        <v>369</v>
      </c>
      <c r="C129" s="3" t="s">
        <v>368</v>
      </c>
      <c r="D129" s="3" t="s">
        <v>131</v>
      </c>
      <c r="E129" s="3" t="str">
        <f>VLOOKUP(C129,PoliticalControl!A:K,11,FALSE)</f>
        <v>NOC</v>
      </c>
      <c r="F129" s="3" t="str">
        <f>VLOOKUP(C129,UrbanRuralClassification!A:N,13,FALSE)</f>
        <v>Urban with Major Conurbation</v>
      </c>
      <c r="G129" s="3" t="str">
        <f>VLOOKUP(C129,UrbanRuralClassification!A:N,14,FALSE)</f>
        <v>Predominantly Urban</v>
      </c>
      <c r="H129" s="262">
        <f>IF(ISBLANK((VLOOKUP($A129,'local-plan-data'!$C$1:$AD$566,27,FALSE)))=TRUE,"",VLOOKUP($A129,'local-plan-data'!$C$1:$AD$566,27,FALSE))</f>
        <v>44517</v>
      </c>
      <c r="I129" s="263">
        <f>VLOOKUP($A129,'local-plan-data'!$C$1:$AD$566,28,FALSE)</f>
        <v>1262</v>
      </c>
      <c r="J129" s="264">
        <f t="shared" si="70"/>
        <v>1262</v>
      </c>
      <c r="K129" s="259">
        <f t="shared" si="96"/>
        <v>1262</v>
      </c>
      <c r="L129" s="259">
        <f t="shared" si="101"/>
        <v>1262</v>
      </c>
      <c r="M129" s="259">
        <f t="shared" si="101"/>
        <v>1262</v>
      </c>
      <c r="N129" s="259">
        <f t="shared" si="101"/>
        <v>1262</v>
      </c>
      <c r="O129" s="259">
        <f t="shared" si="101"/>
        <v>1262</v>
      </c>
      <c r="P129" s="259">
        <f t="shared" si="101"/>
        <v>1262</v>
      </c>
      <c r="Q129" s="259">
        <f t="shared" si="101"/>
        <v>1262</v>
      </c>
      <c r="R129" s="259">
        <f t="shared" si="101"/>
        <v>1262</v>
      </c>
      <c r="S129" s="259">
        <f t="shared" si="97"/>
        <v>3152</v>
      </c>
      <c r="T129" s="259">
        <f t="shared" si="102"/>
        <v>2787</v>
      </c>
      <c r="U129" s="259">
        <f t="shared" si="102"/>
        <v>2421</v>
      </c>
      <c r="V129" s="259">
        <f t="shared" si="102"/>
        <v>2056</v>
      </c>
      <c r="W129" s="259">
        <f t="shared" si="102"/>
        <v>1691</v>
      </c>
      <c r="X129" s="259">
        <f t="shared" si="102"/>
        <v>1326</v>
      </c>
      <c r="Y129" s="259">
        <f t="shared" si="102"/>
        <v>960</v>
      </c>
      <c r="Z129" s="259">
        <f t="shared" si="102"/>
        <v>595</v>
      </c>
      <c r="AA129" s="267">
        <f>(VLOOKUP(A129,Hshldprojections2014!$A$2:$AW$319,40, FALSE)-VLOOKUP(A129,Hshldprojections2014!$A$2:$AW$319,30, FALSE))/10</f>
        <v>1341.9</v>
      </c>
      <c r="AB129" s="267">
        <f>(VLOOKUP(A129,Hshldprojections2014!$A$2:$AW$319,41, FALSE)-VLOOKUP(A129,Hshldprojections2014!$A$2:$AW$319,31, FALSE))/10</f>
        <v>1355.6</v>
      </c>
      <c r="AC129" s="267">
        <f>(VLOOKUP(A129,Hshldprojections2014!$A$2:$AW$319,42, FALSE)-VLOOKUP(A129,Hshldprojections2014!$A$2:$AW$319,32, FALSE))/10</f>
        <v>1364.6</v>
      </c>
      <c r="AD129" s="267">
        <f>IF(IndividualLATest!$J$7=2014,(VLOOKUP($A129,Hshldprojections2014!$A$2:$AY$326,43,FALSE)-VLOOKUP($A129,Hshldprojections2014!$A$2:$AY$326,33,FALSE))/10,IF(IndividualLATest!$J$7=2016,(VLOOKUP($A129,Hshldprojections2016!$A$1:$AQ$322,33,FALSE)-VLOOKUP($A129,Hshldprojections2016!$A$1:$AQ$322,23,FALSE))/10,(VLOOKUP($A129,Hshldprojections2018!$A$1:$AQ$327,33,FALSE)-VLOOKUP($A129,Hshldprojections2018!$A$1:$AQ$327,23,FALSE))/10))</f>
        <v>789.8</v>
      </c>
      <c r="AE129" s="267">
        <f>IF(IndividualLATest!$J$7=2014,(VLOOKUP($A129,Hshldprojections2014!$A$2:$AY$326,44,FALSE)-VLOOKUP($A129,Hshldprojections2014!$A$2:$AY$326,34,FALSE))/10,IF(IndividualLATest!$J$7=2016,(VLOOKUP($A129,Hshldprojections2016!$A$1:$AQ$322,34,FALSE)-VLOOKUP($A129,Hshldprojections2016!$A$1:$AQ$322,24,FALSE))/10,(VLOOKUP($A129,Hshldprojections2018!$A$1:$AQ$327,34,FALSE)-VLOOKUP($A129,Hshldprojections2018!$A$1:$AQ$327,24,FALSE))/10))</f>
        <v>790.1</v>
      </c>
      <c r="AF129" s="267">
        <f>IF(IndividualLATest!$J$7=2014,(VLOOKUP($A129,Hshldprojections2014!$A$2:$AY$326,45,FALSE)-VLOOKUP($A129,Hshldprojections2014!$A$2:$AY$326,35,FALSE))/10,IF(IndividualLATest!$J$7=2016,(VLOOKUP($A129,Hshldprojections2016!$A$1:$AQ$322,35,FALSE)-VLOOKUP($A129,Hshldprojections2016!$A$1:$AQ$322,25,FALSE))/10,(VLOOKUP($A129,Hshldprojections2018!$A$1:$AQ$327,35,FALSE)-VLOOKUP($A129,Hshldprojections2018!$A$1:$AQ$327,25,FALSE))/10))</f>
        <v>794.1</v>
      </c>
      <c r="AG129" s="267">
        <f>IF(IndividualLATest!$J$7=2014,(VLOOKUP($A129,Hshldprojections2014!$A$2:$AY$326,46,FALSE)-VLOOKUP($A129,Hshldprojections2014!$A$2:$AY$326,36,FALSE))/10,IF(IndividualLATest!$J$7=2016,(VLOOKUP($A129,Hshldprojections2016!$A$1:$AQ$322,36,FALSE)-VLOOKUP($A129,Hshldprojections2016!$A$1:$AQ$322,26,FALSE))/10,(VLOOKUP($A129,Hshldprojections2018!$A$1:$AQ$327,36,FALSE)-VLOOKUP($A129,Hshldprojections2018!$A$1:$AQ$327,26,FALSE))/10))</f>
        <v>796.4</v>
      </c>
      <c r="AH129" s="267">
        <f>IF(IndividualLATest!$J$7=2014,(VLOOKUP($A129,Hshldprojections2014!$A$2:$AY$326,47,FALSE)-VLOOKUP($A129,Hshldprojections2014!$A$2:$AY$326,37,FALSE))/10,IF(IndividualLATest!$J$7=2016,(VLOOKUP($A129,Hshldprojections2016!$A$1:$AQ$322,37,FALSE)-VLOOKUP($A129,Hshldprojections2016!$A$1:$AQ$322,27,FALSE))/10,(VLOOKUP($A129,Hshldprojections2018!$A$1:$AQ$327,37,FALSE)-VLOOKUP($A129,Hshldprojections2018!$A$1:$AQ$327,27,FALSE))/10))</f>
        <v>797.9</v>
      </c>
      <c r="AI129" s="268">
        <f>IF(ISNUMBER('Sensitivity Tests'!$C$30),'Sensitivity Tests'!$C$30,VLOOKUP($A129,AffordabilityRatio!$A$2:$I$321,5,FALSE))</f>
        <v>12.01</v>
      </c>
      <c r="AJ129" s="268">
        <f>IF(ISNUMBER('Sensitivity Tests'!$C$30),'Sensitivity Tests'!$C$30,VLOOKUP($A129,AffordabilityRatio!$A$2:$I$321,6,FALSE))</f>
        <v>11.93</v>
      </c>
      <c r="AK129" s="268">
        <f>IF(ISNUMBER('Sensitivity Tests'!$C$30),'Sensitivity Tests'!$C$30,VLOOKUP($A129,AffordabilityRatio!$A$2:$I$321,7,FALSE))</f>
        <v>11.33</v>
      </c>
      <c r="AL129" s="268">
        <f>IF(ISNUMBER('Sensitivity Tests'!$C$30),'Sensitivity Tests'!$C$30,IF((VLOOKUP($A129,AffordabilityRatio!$A$2:$I$321,8,FALSE))="",AK129,VLOOKUP($A129,AffordabilityRatio!$A$2:$I$321,8,FALSE)))</f>
        <v>11.05</v>
      </c>
      <c r="AM129" s="268">
        <f>IF(ISNUMBER('Sensitivity Tests'!$C$30),'Sensitivity Tests'!$C$30,IF((VLOOKUP($A129,AffordabilityRatio!$A$2:$I$321,9,FALSE))="",AL129,VLOOKUP($A129,AffordabilityRatio!$A$2:$I$321,9,FALSE)))</f>
        <v>12.52</v>
      </c>
      <c r="AN129" s="268">
        <f>IF(ISNUMBER('Sensitivity Tests'!$C$30),'Sensitivity Tests'!$C$30,IF((VLOOKUP($A129,AffordabilityRatio!$A$2:$I$321,9,FALSE))="",AM129,VLOOKUP($A129,AffordabilityRatio!$A$2:$I$321,9,FALSE)))</f>
        <v>12.52</v>
      </c>
      <c r="AO129" s="268">
        <f>IF(ISNUMBER('Sensitivity Tests'!$C$30),'Sensitivity Tests'!$C$30,IF((VLOOKUP($A129,AffordabilityRatio!$A$2:$I$321,9,FALSE))="",AN129,VLOOKUP($A129,AffordabilityRatio!$A$2:$I$321,9,FALSE)))</f>
        <v>12.52</v>
      </c>
      <c r="AP129" s="268">
        <f>IF(ISNUMBER('Sensitivity Tests'!$C$30),'Sensitivity Tests'!$C$30,IF((VLOOKUP($A129,AffordabilityRatio!$A$2:$I$321,9,FALSE))="",AO129,VLOOKUP($A129,AffordabilityRatio!$A$2:$I$321,9,FALSE)))</f>
        <v>12.52</v>
      </c>
      <c r="AQ129" s="267">
        <f t="shared" si="104"/>
        <v>2014</v>
      </c>
      <c r="AR129" s="267">
        <f t="shared" si="104"/>
        <v>2027</v>
      </c>
      <c r="AS129" s="267">
        <f t="shared" si="104"/>
        <v>1990</v>
      </c>
      <c r="AT129" s="267">
        <f t="shared" si="103"/>
        <v>1138</v>
      </c>
      <c r="AU129" s="267">
        <f t="shared" si="103"/>
        <v>1211</v>
      </c>
      <c r="AV129" s="267">
        <f t="shared" si="103"/>
        <v>1217</v>
      </c>
      <c r="AW129" s="267">
        <f t="shared" si="103"/>
        <v>1220</v>
      </c>
      <c r="AX129" s="267">
        <f t="shared" si="95"/>
        <v>1223</v>
      </c>
      <c r="AY129" s="267">
        <f t="shared" si="71"/>
        <v>1766.8</v>
      </c>
      <c r="AZ129" s="267">
        <f t="shared" si="72"/>
        <v>1766.8</v>
      </c>
      <c r="BA129" s="267">
        <f t="shared" si="73"/>
        <v>1766.8</v>
      </c>
      <c r="BB129" s="267">
        <f t="shared" si="74"/>
        <v>1138</v>
      </c>
      <c r="BC129" s="267">
        <f t="shared" si="75"/>
        <v>1211</v>
      </c>
      <c r="BD129" s="267">
        <f t="shared" si="76"/>
        <v>1217</v>
      </c>
      <c r="BE129" s="267">
        <f t="shared" si="77"/>
        <v>1220</v>
      </c>
      <c r="BF129" s="267">
        <f t="shared" si="78"/>
        <v>1223</v>
      </c>
      <c r="BG129" s="269">
        <f>AY129*VLOOKUP($B129,'Major Cities &amp; Towns'!$A$28:$B$345,2,FALSE)</f>
        <v>2385.1800000000003</v>
      </c>
      <c r="BH129" s="269">
        <f>AZ129*VLOOKUP($B129,'Major Cities &amp; Towns'!$A$28:$B$345,2,FALSE)</f>
        <v>2385.1800000000003</v>
      </c>
      <c r="BI129" s="269">
        <f>BA129*VLOOKUP($B129,'Major Cities &amp; Towns'!$A$28:$B$345,2,FALSE)</f>
        <v>2385.1800000000003</v>
      </c>
      <c r="BJ129" s="269">
        <f>BB129*VLOOKUP($B129,'Major Cities &amp; Towns'!$A$28:$B$345,2,FALSE)</f>
        <v>1536.3000000000002</v>
      </c>
      <c r="BK129" s="269">
        <f>BC129*VLOOKUP($B129,'Major Cities &amp; Towns'!$A$28:$B$345,2,FALSE)</f>
        <v>1634.8500000000001</v>
      </c>
      <c r="BL129" s="269">
        <f>BD129*VLOOKUP($B129,'Major Cities &amp; Towns'!$A$28:$B$345,2,FALSE)</f>
        <v>1642.95</v>
      </c>
      <c r="BM129" s="269">
        <f>BE129*VLOOKUP($B129,'Major Cities &amp; Towns'!$A$28:$B$345,2,FALSE)</f>
        <v>1647</v>
      </c>
      <c r="BN129" s="269">
        <f>BF129*VLOOKUP($B129,'Major Cities &amp; Towns'!$A$28:$B$345,2,FALSE)</f>
        <v>1651.0500000000002</v>
      </c>
      <c r="BO129" s="270">
        <f t="shared" si="79"/>
        <v>1262</v>
      </c>
      <c r="BP129" s="270">
        <f t="shared" si="100"/>
        <v>1262</v>
      </c>
      <c r="BQ129" s="270">
        <f t="shared" si="100"/>
        <v>1262</v>
      </c>
      <c r="BR129" s="270">
        <f t="shared" si="100"/>
        <v>1138</v>
      </c>
      <c r="BS129" s="270">
        <f t="shared" si="100"/>
        <v>1211</v>
      </c>
      <c r="BT129" s="270">
        <f t="shared" si="100"/>
        <v>1217</v>
      </c>
      <c r="BU129" s="270">
        <f t="shared" si="100"/>
        <v>1220</v>
      </c>
      <c r="BV129" s="270">
        <f t="shared" si="99"/>
        <v>1223</v>
      </c>
      <c r="BW129" s="39">
        <f>VLOOKUP($A129,NetAdditions!$A$2:$H$336,6,FALSE)</f>
        <v>466</v>
      </c>
      <c r="BX129" s="39">
        <f>VLOOKUP($A129,NetAdditions!$A$2:$H$336,7,FALSE)</f>
        <v>508</v>
      </c>
      <c r="BY129" s="39">
        <f>IF((VLOOKUP($C129,NetAdditions!$A$2:$H$336,8,FALSE))="",(AVERAGE(VLOOKUP($C129,NetAdditions!$A$2:$H$336,5,FALSE),VLOOKUP($C129,NetAdditions!$A$2:$H$336,6,FALSE),VLOOKUP($C129,NetAdditions!$A$2:$H$336,7,FALSE))),VLOOKUP($C129,NetAdditions!$A$2:$H$336,8,FALSE))</f>
        <v>486</v>
      </c>
      <c r="BZ129" s="39">
        <f t="shared" si="105"/>
        <v>486.66666666666669</v>
      </c>
      <c r="CA129" s="39">
        <f t="shared" si="105"/>
        <v>493.5555555555556</v>
      </c>
      <c r="CB129" s="39">
        <f t="shared" si="105"/>
        <v>488.74074074074082</v>
      </c>
      <c r="CC129" s="39">
        <f t="shared" si="105"/>
        <v>489.65432098765433</v>
      </c>
      <c r="CD129" s="39">
        <f t="shared" si="105"/>
        <v>490.65020576131695</v>
      </c>
      <c r="CE129" s="276">
        <f t="shared" si="55"/>
        <v>3786</v>
      </c>
      <c r="CF129" s="276">
        <f t="shared" si="56"/>
        <v>3662</v>
      </c>
      <c r="CG129" s="276">
        <f t="shared" si="57"/>
        <v>3611</v>
      </c>
      <c r="CH129" s="276">
        <f t="shared" si="58"/>
        <v>3566</v>
      </c>
      <c r="CI129" s="276">
        <f t="shared" si="59"/>
        <v>3648</v>
      </c>
      <c r="CJ129" s="276">
        <f t="shared" si="60"/>
        <v>3660</v>
      </c>
      <c r="CK129" s="276">
        <f t="shared" si="80"/>
        <v>3260.166666666667</v>
      </c>
      <c r="CL129" s="276">
        <f t="shared" si="81"/>
        <v>3153.3888888888891</v>
      </c>
      <c r="CM129" s="276">
        <f t="shared" si="82"/>
        <v>3310.083333333333</v>
      </c>
      <c r="CN129" s="276">
        <f t="shared" si="83"/>
        <v>3566</v>
      </c>
      <c r="CO129" s="276">
        <f t="shared" si="83"/>
        <v>3648</v>
      </c>
      <c r="CP129" s="276">
        <f t="shared" si="83"/>
        <v>3660</v>
      </c>
      <c r="CQ129" s="39">
        <f t="shared" si="61"/>
        <v>1460</v>
      </c>
      <c r="CR129" s="39">
        <f t="shared" si="62"/>
        <v>1480.6666666666667</v>
      </c>
      <c r="CS129" s="277">
        <f t="shared" si="63"/>
        <v>1466.2222222222224</v>
      </c>
      <c r="CT129" s="39">
        <f t="shared" si="64"/>
        <v>1468.962962962963</v>
      </c>
      <c r="CU129" s="39">
        <f t="shared" si="65"/>
        <v>1471.9506172839508</v>
      </c>
      <c r="CV129" s="39">
        <f t="shared" si="66"/>
        <v>1469.0452674897122</v>
      </c>
      <c r="CW129" s="297">
        <f t="shared" si="67"/>
        <v>0.44782986554879606</v>
      </c>
      <c r="CX129" s="279" t="str">
        <f t="shared" si="84"/>
        <v>Buffer and Action Plan</v>
      </c>
      <c r="CY129" s="278">
        <f t="shared" si="68"/>
        <v>0.46954775285847677</v>
      </c>
      <c r="CZ129" s="279" t="str">
        <f t="shared" si="85"/>
        <v>Buffer and Action Plan</v>
      </c>
      <c r="DA129" s="278">
        <f t="shared" si="69"/>
        <v>0.44295628676686566</v>
      </c>
      <c r="DB129" s="292" t="str">
        <f t="shared" si="86"/>
        <v>Presumption</v>
      </c>
      <c r="DC129" s="299">
        <f t="shared" si="87"/>
        <v>0.41193577200307435</v>
      </c>
      <c r="DD129" s="293" t="str">
        <f t="shared" si="88"/>
        <v>Presumption</v>
      </c>
      <c r="DE129" s="299">
        <f t="shared" si="89"/>
        <v>0.40349523500108303</v>
      </c>
      <c r="DF129" s="293" t="str">
        <f t="shared" si="90"/>
        <v>Presumption</v>
      </c>
      <c r="DG129" s="299">
        <f t="shared" si="91"/>
        <v>0.40137848838516726</v>
      </c>
      <c r="DH129" s="293" t="str">
        <f t="shared" si="92"/>
        <v>Presumption</v>
      </c>
    </row>
    <row r="130" spans="1:112" ht="15" thickTop="1" thickBot="1">
      <c r="A130" s="38" t="s">
        <v>370</v>
      </c>
      <c r="B130" s="38" t="s">
        <v>371</v>
      </c>
      <c r="C130" s="38" t="s">
        <v>370</v>
      </c>
      <c r="D130" s="38" t="s">
        <v>154</v>
      </c>
      <c r="E130" s="38" t="str">
        <f>VLOOKUP(C130,PoliticalControl!A:K,11,FALSE)</f>
        <v>NOC</v>
      </c>
      <c r="F130" s="38" t="str">
        <f>VLOOKUP(C130,UrbanRuralClassification!A:N,13,FALSE)</f>
        <v xml:space="preserve">Largely Rural (rural including hub towns 50-79%) </v>
      </c>
      <c r="G130" s="38" t="str">
        <f>VLOOKUP(C130,UrbanRuralClassification!A:N,14,FALSE)</f>
        <v>Predominantly Rural</v>
      </c>
      <c r="H130" s="258">
        <f>IF(ISBLANK((VLOOKUP($A130,'local-plan-data'!$C$1:$AD$566,27,FALSE)))=TRUE,"",VLOOKUP($A130,'local-plan-data'!$C$1:$AD$566,27,FALSE))</f>
        <v>42293</v>
      </c>
      <c r="I130" s="259">
        <f>VLOOKUP($A130,'local-plan-data'!$C$1:$AD$566,28,FALSE)</f>
        <v>825</v>
      </c>
      <c r="J130" s="260">
        <f t="shared" si="70"/>
        <v>825</v>
      </c>
      <c r="K130" s="259">
        <f t="shared" si="96"/>
        <v>825</v>
      </c>
      <c r="L130" s="259">
        <f t="shared" si="101"/>
        <v>825</v>
      </c>
      <c r="M130" s="259">
        <f t="shared" si="101"/>
        <v>825</v>
      </c>
      <c r="N130" s="259" t="str">
        <f t="shared" si="101"/>
        <v>-</v>
      </c>
      <c r="O130" s="259" t="str">
        <f t="shared" si="101"/>
        <v>-</v>
      </c>
      <c r="P130" s="259" t="str">
        <f t="shared" si="101"/>
        <v>-</v>
      </c>
      <c r="Q130" s="259" t="str">
        <f t="shared" si="101"/>
        <v>-</v>
      </c>
      <c r="R130" s="259" t="str">
        <f t="shared" si="101"/>
        <v>-</v>
      </c>
      <c r="S130" s="259">
        <f t="shared" si="97"/>
        <v>929</v>
      </c>
      <c r="T130" s="259">
        <f t="shared" si="102"/>
        <v>564</v>
      </c>
      <c r="U130" s="259">
        <f t="shared" si="102"/>
        <v>198</v>
      </c>
      <c r="V130" s="259">
        <f t="shared" si="102"/>
        <v>-167</v>
      </c>
      <c r="W130" s="259">
        <f t="shared" si="102"/>
        <v>-532</v>
      </c>
      <c r="X130" s="259">
        <f t="shared" si="102"/>
        <v>-897</v>
      </c>
      <c r="Y130" s="259">
        <f t="shared" si="102"/>
        <v>-1263</v>
      </c>
      <c r="Z130" s="259">
        <f t="shared" si="102"/>
        <v>-1628</v>
      </c>
      <c r="AA130" s="267">
        <f>(VLOOKUP(A130,Hshldprojections2014!$A$2:$AW$319,40, FALSE)-VLOOKUP(A130,Hshldprojections2014!$A$2:$AW$319,30, FALSE))/10</f>
        <v>664.7</v>
      </c>
      <c r="AB130" s="267">
        <f>(VLOOKUP(A130,Hshldprojections2014!$A$2:$AW$319,41, FALSE)-VLOOKUP(A130,Hshldprojections2014!$A$2:$AW$319,31, FALSE))/10</f>
        <v>649.5</v>
      </c>
      <c r="AC130" s="267">
        <f>(VLOOKUP(A130,Hshldprojections2014!$A$2:$AW$319,42, FALSE)-VLOOKUP(A130,Hshldprojections2014!$A$2:$AW$319,32, FALSE))/10</f>
        <v>635.5</v>
      </c>
      <c r="AD130" s="267">
        <f>IF(IndividualLATest!$J$7=2014,(VLOOKUP($A130,Hshldprojections2014!$A$2:$AY$326,43,FALSE)-VLOOKUP($A130,Hshldprojections2014!$A$2:$AY$326,33,FALSE))/10,IF(IndividualLATest!$J$7=2016,(VLOOKUP($A130,Hshldprojections2016!$A$1:$AQ$322,33,FALSE)-VLOOKUP($A130,Hshldprojections2016!$A$1:$AQ$322,23,FALSE))/10,(VLOOKUP($A130,Hshldprojections2018!$A$1:$AQ$327,33,FALSE)-VLOOKUP($A130,Hshldprojections2018!$A$1:$AQ$327,23,FALSE))/10))</f>
        <v>782.1</v>
      </c>
      <c r="AE130" s="267">
        <f>IF(IndividualLATest!$J$7=2014,(VLOOKUP($A130,Hshldprojections2014!$A$2:$AY$326,44,FALSE)-VLOOKUP($A130,Hshldprojections2014!$A$2:$AY$326,34,FALSE))/10,IF(IndividualLATest!$J$7=2016,(VLOOKUP($A130,Hshldprojections2016!$A$1:$AQ$322,34,FALSE)-VLOOKUP($A130,Hshldprojections2016!$A$1:$AQ$322,24,FALSE))/10,(VLOOKUP($A130,Hshldprojections2018!$A$1:$AQ$327,34,FALSE)-VLOOKUP($A130,Hshldprojections2018!$A$1:$AQ$327,24,FALSE))/10))</f>
        <v>763.6</v>
      </c>
      <c r="AF130" s="267">
        <f>IF(IndividualLATest!$J$7=2014,(VLOOKUP($A130,Hshldprojections2014!$A$2:$AY$326,45,FALSE)-VLOOKUP($A130,Hshldprojections2014!$A$2:$AY$326,35,FALSE))/10,IF(IndividualLATest!$J$7=2016,(VLOOKUP($A130,Hshldprojections2016!$A$1:$AQ$322,35,FALSE)-VLOOKUP($A130,Hshldprojections2016!$A$1:$AQ$322,25,FALSE))/10,(VLOOKUP($A130,Hshldprojections2018!$A$1:$AQ$327,35,FALSE)-VLOOKUP($A130,Hshldprojections2018!$A$1:$AQ$327,25,FALSE))/10))</f>
        <v>749</v>
      </c>
      <c r="AG130" s="267">
        <f>IF(IndividualLATest!$J$7=2014,(VLOOKUP($A130,Hshldprojections2014!$A$2:$AY$326,46,FALSE)-VLOOKUP($A130,Hshldprojections2014!$A$2:$AY$326,36,FALSE))/10,IF(IndividualLATest!$J$7=2016,(VLOOKUP($A130,Hshldprojections2016!$A$1:$AQ$322,36,FALSE)-VLOOKUP($A130,Hshldprojections2016!$A$1:$AQ$322,26,FALSE))/10,(VLOOKUP($A130,Hshldprojections2018!$A$1:$AQ$327,36,FALSE)-VLOOKUP($A130,Hshldprojections2018!$A$1:$AQ$327,26,FALSE))/10))</f>
        <v>730.1</v>
      </c>
      <c r="AH130" s="267">
        <f>IF(IndividualLATest!$J$7=2014,(VLOOKUP($A130,Hshldprojections2014!$A$2:$AY$326,47,FALSE)-VLOOKUP($A130,Hshldprojections2014!$A$2:$AY$326,37,FALSE))/10,IF(IndividualLATest!$J$7=2016,(VLOOKUP($A130,Hshldprojections2016!$A$1:$AQ$322,37,FALSE)-VLOOKUP($A130,Hshldprojections2016!$A$1:$AQ$322,27,FALSE))/10,(VLOOKUP($A130,Hshldprojections2018!$A$1:$AQ$327,37,FALSE)-VLOOKUP($A130,Hshldprojections2018!$A$1:$AQ$327,27,FALSE))/10))</f>
        <v>716.6</v>
      </c>
      <c r="AI130" s="268">
        <f>IF(ISNUMBER('Sensitivity Tests'!$C$30),'Sensitivity Tests'!$C$30,VLOOKUP($A130,AffordabilityRatio!$A$2:$I$321,5,FALSE))</f>
        <v>9.5</v>
      </c>
      <c r="AJ130" s="268">
        <f>IF(ISNUMBER('Sensitivity Tests'!$C$30),'Sensitivity Tests'!$C$30,VLOOKUP($A130,AffordabilityRatio!$A$2:$I$321,6,FALSE))</f>
        <v>9.81</v>
      </c>
      <c r="AK130" s="268">
        <f>IF(ISNUMBER('Sensitivity Tests'!$C$30),'Sensitivity Tests'!$C$30,VLOOKUP($A130,AffordabilityRatio!$A$2:$I$321,7,FALSE))</f>
        <v>9.2899999999999991</v>
      </c>
      <c r="AL130" s="268">
        <f>IF(ISNUMBER('Sensitivity Tests'!$C$30),'Sensitivity Tests'!$C$30,IF((VLOOKUP($A130,AffordabilityRatio!$A$2:$I$321,8,FALSE))="",AK130,VLOOKUP($A130,AffordabilityRatio!$A$2:$I$321,8,FALSE)))</f>
        <v>9.0399999999999991</v>
      </c>
      <c r="AM130" s="268">
        <f>IF(ISNUMBER('Sensitivity Tests'!$C$30),'Sensitivity Tests'!$C$30,IF((VLOOKUP($A130,AffordabilityRatio!$A$2:$I$321,9,FALSE))="",AL130,VLOOKUP($A130,AffordabilityRatio!$A$2:$I$321,9,FALSE)))</f>
        <v>10.27</v>
      </c>
      <c r="AN130" s="268">
        <f>IF(ISNUMBER('Sensitivity Tests'!$C$30),'Sensitivity Tests'!$C$30,IF((VLOOKUP($A130,AffordabilityRatio!$A$2:$I$321,9,FALSE))="",AM130,VLOOKUP($A130,AffordabilityRatio!$A$2:$I$321,9,FALSE)))</f>
        <v>10.27</v>
      </c>
      <c r="AO130" s="268">
        <f>IF(ISNUMBER('Sensitivity Tests'!$C$30),'Sensitivity Tests'!$C$30,IF((VLOOKUP($A130,AffordabilityRatio!$A$2:$I$321,9,FALSE))="",AN130,VLOOKUP($A130,AffordabilityRatio!$A$2:$I$321,9,FALSE)))</f>
        <v>10.27</v>
      </c>
      <c r="AP130" s="268">
        <f>IF(ISNUMBER('Sensitivity Tests'!$C$30),'Sensitivity Tests'!$C$30,IF((VLOOKUP($A130,AffordabilityRatio!$A$2:$I$321,9,FALSE))="",AO130,VLOOKUP($A130,AffordabilityRatio!$A$2:$I$321,9,FALSE)))</f>
        <v>10.27</v>
      </c>
      <c r="AQ130" s="267">
        <f t="shared" si="104"/>
        <v>893</v>
      </c>
      <c r="AR130" s="267">
        <f t="shared" si="104"/>
        <v>885</v>
      </c>
      <c r="AS130" s="267">
        <f t="shared" si="104"/>
        <v>846</v>
      </c>
      <c r="AT130" s="267">
        <f t="shared" si="103"/>
        <v>1028</v>
      </c>
      <c r="AU130" s="267">
        <f t="shared" si="103"/>
        <v>1063</v>
      </c>
      <c r="AV130" s="267">
        <f t="shared" si="103"/>
        <v>1043</v>
      </c>
      <c r="AW130" s="267">
        <f t="shared" si="103"/>
        <v>1016</v>
      </c>
      <c r="AX130" s="267">
        <f t="shared" si="95"/>
        <v>997</v>
      </c>
      <c r="AY130" s="267">
        <f t="shared" si="71"/>
        <v>893</v>
      </c>
      <c r="AZ130" s="267">
        <f t="shared" si="72"/>
        <v>885</v>
      </c>
      <c r="BA130" s="267">
        <f t="shared" si="73"/>
        <v>846</v>
      </c>
      <c r="BB130" s="267">
        <f t="shared" si="74"/>
        <v>1028</v>
      </c>
      <c r="BC130" s="267">
        <f t="shared" si="75"/>
        <v>1063</v>
      </c>
      <c r="BD130" s="267">
        <f t="shared" si="76"/>
        <v>1043</v>
      </c>
      <c r="BE130" s="267">
        <f t="shared" si="77"/>
        <v>1016</v>
      </c>
      <c r="BF130" s="267">
        <f t="shared" si="78"/>
        <v>997</v>
      </c>
      <c r="BG130" s="269">
        <f>AY130*VLOOKUP($B130,'Major Cities &amp; Towns'!$A$28:$B$345,2,FALSE)</f>
        <v>893</v>
      </c>
      <c r="BH130" s="269">
        <f>AZ130*VLOOKUP($B130,'Major Cities &amp; Towns'!$A$28:$B$345,2,FALSE)</f>
        <v>885</v>
      </c>
      <c r="BI130" s="269">
        <f>BA130*VLOOKUP($B130,'Major Cities &amp; Towns'!$A$28:$B$345,2,FALSE)</f>
        <v>846</v>
      </c>
      <c r="BJ130" s="269">
        <f>BB130*VLOOKUP($B130,'Major Cities &amp; Towns'!$A$28:$B$345,2,FALSE)</f>
        <v>1028</v>
      </c>
      <c r="BK130" s="269">
        <f>BC130*VLOOKUP($B130,'Major Cities &amp; Towns'!$A$28:$B$345,2,FALSE)</f>
        <v>1063</v>
      </c>
      <c r="BL130" s="269">
        <f>BD130*VLOOKUP($B130,'Major Cities &amp; Towns'!$A$28:$B$345,2,FALSE)</f>
        <v>1043</v>
      </c>
      <c r="BM130" s="269">
        <f>BE130*VLOOKUP($B130,'Major Cities &amp; Towns'!$A$28:$B$345,2,FALSE)</f>
        <v>1016</v>
      </c>
      <c r="BN130" s="269">
        <f>BF130*VLOOKUP($B130,'Major Cities &amp; Towns'!$A$28:$B$345,2,FALSE)</f>
        <v>997</v>
      </c>
      <c r="BO130" s="270">
        <f t="shared" si="79"/>
        <v>825</v>
      </c>
      <c r="BP130" s="270">
        <f t="shared" si="100"/>
        <v>825</v>
      </c>
      <c r="BQ130" s="270">
        <f t="shared" si="100"/>
        <v>834.60821917808221</v>
      </c>
      <c r="BR130" s="270">
        <f t="shared" si="100"/>
        <v>1028</v>
      </c>
      <c r="BS130" s="270">
        <f t="shared" si="100"/>
        <v>1063</v>
      </c>
      <c r="BT130" s="270">
        <f t="shared" si="100"/>
        <v>1043</v>
      </c>
      <c r="BU130" s="270">
        <f t="shared" si="100"/>
        <v>1016</v>
      </c>
      <c r="BV130" s="270">
        <f t="shared" si="99"/>
        <v>997</v>
      </c>
      <c r="BW130" s="39">
        <f>VLOOKUP($A130,NetAdditions!$A$2:$H$336,6,FALSE)</f>
        <v>668</v>
      </c>
      <c r="BX130" s="39">
        <f>VLOOKUP($A130,NetAdditions!$A$2:$H$336,7,FALSE)</f>
        <v>907</v>
      </c>
      <c r="BY130" s="39">
        <f>IF((VLOOKUP($C130,NetAdditions!$A$2:$H$336,8,FALSE))="",(AVERAGE(VLOOKUP($C130,NetAdditions!$A$2:$H$336,5,FALSE),VLOOKUP($C130,NetAdditions!$A$2:$H$336,6,FALSE),VLOOKUP($C130,NetAdditions!$A$2:$H$336,7,FALSE))),VLOOKUP($C130,NetAdditions!$A$2:$H$336,8,FALSE))</f>
        <v>645</v>
      </c>
      <c r="BZ130" s="39">
        <f t="shared" si="105"/>
        <v>740</v>
      </c>
      <c r="CA130" s="39">
        <f t="shared" si="105"/>
        <v>764</v>
      </c>
      <c r="CB130" s="39">
        <f t="shared" si="105"/>
        <v>716.33333333333337</v>
      </c>
      <c r="CC130" s="39">
        <f t="shared" si="105"/>
        <v>740.1111111111112</v>
      </c>
      <c r="CD130" s="39">
        <f t="shared" si="105"/>
        <v>740.14814814814827</v>
      </c>
      <c r="CE130" s="276">
        <f t="shared" si="55"/>
        <v>2484.6082191780824</v>
      </c>
      <c r="CF130" s="276">
        <f t="shared" si="56"/>
        <v>2687.6082191780824</v>
      </c>
      <c r="CG130" s="276">
        <f t="shared" si="57"/>
        <v>2925.6082191780824</v>
      </c>
      <c r="CH130" s="276">
        <f t="shared" si="58"/>
        <v>3134</v>
      </c>
      <c r="CI130" s="276">
        <f t="shared" si="59"/>
        <v>3122</v>
      </c>
      <c r="CJ130" s="276">
        <f t="shared" si="60"/>
        <v>3056</v>
      </c>
      <c r="CK130" s="276">
        <f t="shared" si="80"/>
        <v>2139.5237442922376</v>
      </c>
      <c r="CL130" s="276">
        <f t="shared" si="81"/>
        <v>2314.3292998477932</v>
      </c>
      <c r="CM130" s="276">
        <f t="shared" si="82"/>
        <v>2681.8075342465754</v>
      </c>
      <c r="CN130" s="276">
        <f t="shared" si="83"/>
        <v>3134</v>
      </c>
      <c r="CO130" s="276">
        <f t="shared" si="83"/>
        <v>3122</v>
      </c>
      <c r="CP130" s="276">
        <f t="shared" si="83"/>
        <v>3056</v>
      </c>
      <c r="CQ130" s="39">
        <f t="shared" si="61"/>
        <v>2220</v>
      </c>
      <c r="CR130" s="39">
        <f t="shared" si="62"/>
        <v>2292</v>
      </c>
      <c r="CS130" s="277">
        <f t="shared" si="63"/>
        <v>2149</v>
      </c>
      <c r="CT130" s="39">
        <f t="shared" si="64"/>
        <v>2220.3333333333335</v>
      </c>
      <c r="CU130" s="39">
        <f t="shared" si="65"/>
        <v>2220.4444444444448</v>
      </c>
      <c r="CV130" s="39">
        <f t="shared" si="66"/>
        <v>2196.5925925925931</v>
      </c>
      <c r="CW130" s="297">
        <f t="shared" si="67"/>
        <v>1.0376140979610322</v>
      </c>
      <c r="CX130" s="279" t="str">
        <f t="shared" si="84"/>
        <v>Pass</v>
      </c>
      <c r="CY130" s="278">
        <f t="shared" si="68"/>
        <v>0.99035171881146655</v>
      </c>
      <c r="CZ130" s="279" t="str">
        <f t="shared" si="85"/>
        <v>Pass</v>
      </c>
      <c r="DA130" s="278">
        <f t="shared" si="69"/>
        <v>0.80132521538453283</v>
      </c>
      <c r="DB130" s="292" t="str">
        <f t="shared" si="86"/>
        <v>Buffer and Action Plan</v>
      </c>
      <c r="DC130" s="299">
        <f t="shared" si="87"/>
        <v>0.70846628376941079</v>
      </c>
      <c r="DD130" s="293" t="str">
        <f t="shared" si="88"/>
        <v>Presumption</v>
      </c>
      <c r="DE130" s="299">
        <f t="shared" si="89"/>
        <v>0.71122499822051399</v>
      </c>
      <c r="DF130" s="293" t="str">
        <f t="shared" si="90"/>
        <v>Presumption</v>
      </c>
      <c r="DG130" s="299">
        <f t="shared" si="91"/>
        <v>0.71878029862323067</v>
      </c>
      <c r="DH130" s="293" t="str">
        <f t="shared" si="92"/>
        <v>Presumption</v>
      </c>
    </row>
    <row r="131" spans="1:112" ht="15" thickTop="1" thickBot="1">
      <c r="A131" s="38" t="s">
        <v>372</v>
      </c>
      <c r="B131" s="38" t="s">
        <v>373</v>
      </c>
      <c r="C131" s="38" t="s">
        <v>372</v>
      </c>
      <c r="D131" s="38" t="s">
        <v>128</v>
      </c>
      <c r="E131" s="38" t="str">
        <f>VLOOKUP(C131,PoliticalControl!A:K,11,FALSE)</f>
        <v>CON</v>
      </c>
      <c r="F131" s="38" t="str">
        <f>VLOOKUP(C131,UrbanRuralClassification!A:N,13,FALSE)</f>
        <v>Urban with Major Conurbation</v>
      </c>
      <c r="G131" s="38" t="str">
        <f>VLOOKUP(C131,UrbanRuralClassification!A:N,14,FALSE)</f>
        <v>Predominantly Urban</v>
      </c>
      <c r="H131" s="258">
        <f>IF(ISBLANK((VLOOKUP($A131,'local-plan-data'!$C$1:$AD$566,27,FALSE)))=TRUE,"",VLOOKUP($A131,'local-plan-data'!$C$1:$AD$566,27,FALSE))</f>
        <v>41290</v>
      </c>
      <c r="I131" s="259">
        <f>VLOOKUP($A131,'local-plan-data'!$C$1:$AD$566,28,FALSE)</f>
        <v>266</v>
      </c>
      <c r="J131" s="260">
        <f t="shared" si="70"/>
        <v>266</v>
      </c>
      <c r="K131" s="259" t="str">
        <f t="shared" si="96"/>
        <v>-</v>
      </c>
      <c r="L131" s="259" t="str">
        <f t="shared" si="101"/>
        <v>-</v>
      </c>
      <c r="M131" s="259" t="str">
        <f t="shared" si="101"/>
        <v>-</v>
      </c>
      <c r="N131" s="259" t="str">
        <f t="shared" si="101"/>
        <v>-</v>
      </c>
      <c r="O131" s="259" t="str">
        <f t="shared" si="101"/>
        <v>-</v>
      </c>
      <c r="P131" s="259" t="str">
        <f t="shared" si="101"/>
        <v>-</v>
      </c>
      <c r="Q131" s="259" t="str">
        <f t="shared" si="101"/>
        <v>-</v>
      </c>
      <c r="R131" s="259" t="str">
        <f t="shared" si="101"/>
        <v>-</v>
      </c>
      <c r="S131" s="259">
        <f t="shared" si="97"/>
        <v>-75</v>
      </c>
      <c r="T131" s="259">
        <f t="shared" si="102"/>
        <v>-440</v>
      </c>
      <c r="U131" s="259">
        <f t="shared" si="102"/>
        <v>-806</v>
      </c>
      <c r="V131" s="259">
        <f t="shared" si="102"/>
        <v>-1171</v>
      </c>
      <c r="W131" s="259">
        <f t="shared" si="102"/>
        <v>-1536</v>
      </c>
      <c r="X131" s="259">
        <f t="shared" si="102"/>
        <v>-1901</v>
      </c>
      <c r="Y131" s="259">
        <f t="shared" si="102"/>
        <v>-2267</v>
      </c>
      <c r="Z131" s="259">
        <f t="shared" si="102"/>
        <v>-2632</v>
      </c>
      <c r="AA131" s="267">
        <f>(VLOOKUP(A131,Hshldprojections2014!$A$2:$AW$319,40, FALSE)-VLOOKUP(A131,Hshldprojections2014!$A$2:$AW$319,30, FALSE))/10</f>
        <v>510</v>
      </c>
      <c r="AB131" s="267">
        <f>(VLOOKUP(A131,Hshldprojections2014!$A$2:$AW$319,41, FALSE)-VLOOKUP(A131,Hshldprojections2014!$A$2:$AW$319,31, FALSE))/10</f>
        <v>510.1</v>
      </c>
      <c r="AC131" s="267">
        <f>(VLOOKUP(A131,Hshldprojections2014!$A$2:$AW$319,42, FALSE)-VLOOKUP(A131,Hshldprojections2014!$A$2:$AW$319,32, FALSE))/10</f>
        <v>511.7</v>
      </c>
      <c r="AD131" s="267">
        <f>IF(IndividualLATest!$J$7=2014,(VLOOKUP($A131,Hshldprojections2014!$A$2:$AY$326,43,FALSE)-VLOOKUP($A131,Hshldprojections2014!$A$2:$AY$326,33,FALSE))/10,IF(IndividualLATest!$J$7=2016,(VLOOKUP($A131,Hshldprojections2016!$A$1:$AQ$322,33,FALSE)-VLOOKUP($A131,Hshldprojections2016!$A$1:$AQ$322,23,FALSE))/10,(VLOOKUP($A131,Hshldprojections2018!$A$1:$AQ$327,33,FALSE)-VLOOKUP($A131,Hshldprojections2018!$A$1:$AQ$327,23,FALSE))/10))</f>
        <v>206.2</v>
      </c>
      <c r="AE131" s="267">
        <f>IF(IndividualLATest!$J$7=2014,(VLOOKUP($A131,Hshldprojections2014!$A$2:$AY$326,44,FALSE)-VLOOKUP($A131,Hshldprojections2014!$A$2:$AY$326,34,FALSE))/10,IF(IndividualLATest!$J$7=2016,(VLOOKUP($A131,Hshldprojections2016!$A$1:$AQ$322,34,FALSE)-VLOOKUP($A131,Hshldprojections2016!$A$1:$AQ$322,24,FALSE))/10,(VLOOKUP($A131,Hshldprojections2018!$A$1:$AQ$327,34,FALSE)-VLOOKUP($A131,Hshldprojections2018!$A$1:$AQ$327,24,FALSE))/10))</f>
        <v>205.6</v>
      </c>
      <c r="AF131" s="267">
        <f>IF(IndividualLATest!$J$7=2014,(VLOOKUP($A131,Hshldprojections2014!$A$2:$AY$326,45,FALSE)-VLOOKUP($A131,Hshldprojections2014!$A$2:$AY$326,35,FALSE))/10,IF(IndividualLATest!$J$7=2016,(VLOOKUP($A131,Hshldprojections2016!$A$1:$AQ$322,35,FALSE)-VLOOKUP($A131,Hshldprojections2016!$A$1:$AQ$322,25,FALSE))/10,(VLOOKUP($A131,Hshldprojections2018!$A$1:$AQ$327,35,FALSE)-VLOOKUP($A131,Hshldprojections2018!$A$1:$AQ$327,25,FALSE))/10))</f>
        <v>203.3</v>
      </c>
      <c r="AG131" s="267">
        <f>IF(IndividualLATest!$J$7=2014,(VLOOKUP($A131,Hshldprojections2014!$A$2:$AY$326,46,FALSE)-VLOOKUP($A131,Hshldprojections2014!$A$2:$AY$326,36,FALSE))/10,IF(IndividualLATest!$J$7=2016,(VLOOKUP($A131,Hshldprojections2016!$A$1:$AQ$322,36,FALSE)-VLOOKUP($A131,Hshldprojections2016!$A$1:$AQ$322,26,FALSE))/10,(VLOOKUP($A131,Hshldprojections2018!$A$1:$AQ$327,36,FALSE)-VLOOKUP($A131,Hshldprojections2018!$A$1:$AQ$327,26,FALSE))/10))</f>
        <v>201.9</v>
      </c>
      <c r="AH131" s="267">
        <f>IF(IndividualLATest!$J$7=2014,(VLOOKUP($A131,Hshldprojections2014!$A$2:$AY$326,47,FALSE)-VLOOKUP($A131,Hshldprojections2014!$A$2:$AY$326,37,FALSE))/10,IF(IndividualLATest!$J$7=2016,(VLOOKUP($A131,Hshldprojections2016!$A$1:$AQ$322,37,FALSE)-VLOOKUP($A131,Hshldprojections2016!$A$1:$AQ$322,27,FALSE))/10,(VLOOKUP($A131,Hshldprojections2018!$A$1:$AQ$327,37,FALSE)-VLOOKUP($A131,Hshldprojections2018!$A$1:$AQ$327,27,FALSE))/10))</f>
        <v>202.4</v>
      </c>
      <c r="AI131" s="268">
        <f>IF(ISNUMBER('Sensitivity Tests'!$C$30),'Sensitivity Tests'!$C$30,VLOOKUP($A131,AffordabilityRatio!$A$2:$I$321,5,FALSE))</f>
        <v>14.21</v>
      </c>
      <c r="AJ131" s="268">
        <f>IF(ISNUMBER('Sensitivity Tests'!$C$30),'Sensitivity Tests'!$C$30,VLOOKUP($A131,AffordabilityRatio!$A$2:$I$321,6,FALSE))</f>
        <v>14.26</v>
      </c>
      <c r="AK131" s="268">
        <f>IF(ISNUMBER('Sensitivity Tests'!$C$30),'Sensitivity Tests'!$C$30,VLOOKUP($A131,AffordabilityRatio!$A$2:$I$321,7,FALSE))</f>
        <v>13.9</v>
      </c>
      <c r="AL131" s="268">
        <f>IF(ISNUMBER('Sensitivity Tests'!$C$30),'Sensitivity Tests'!$C$30,IF((VLOOKUP($A131,AffordabilityRatio!$A$2:$I$321,8,FALSE))="",AK131,VLOOKUP($A131,AffordabilityRatio!$A$2:$I$321,8,FALSE)))</f>
        <v>14.9</v>
      </c>
      <c r="AM131" s="268">
        <f>IF(ISNUMBER('Sensitivity Tests'!$C$30),'Sensitivity Tests'!$C$30,IF((VLOOKUP($A131,AffordabilityRatio!$A$2:$I$321,9,FALSE))="",AL131,VLOOKUP($A131,AffordabilityRatio!$A$2:$I$321,9,FALSE)))</f>
        <v>15.51</v>
      </c>
      <c r="AN131" s="268">
        <f>IF(ISNUMBER('Sensitivity Tests'!$C$30),'Sensitivity Tests'!$C$30,IF((VLOOKUP($A131,AffordabilityRatio!$A$2:$I$321,9,FALSE))="",AM131,VLOOKUP($A131,AffordabilityRatio!$A$2:$I$321,9,FALSE)))</f>
        <v>15.51</v>
      </c>
      <c r="AO131" s="268">
        <f>IF(ISNUMBER('Sensitivity Tests'!$C$30),'Sensitivity Tests'!$C$30,IF((VLOOKUP($A131,AffordabilityRatio!$A$2:$I$321,9,FALSE))="",AN131,VLOOKUP($A131,AffordabilityRatio!$A$2:$I$321,9,FALSE)))</f>
        <v>15.51</v>
      </c>
      <c r="AP131" s="268">
        <f>IF(ISNUMBER('Sensitivity Tests'!$C$30),'Sensitivity Tests'!$C$30,IF((VLOOKUP($A131,AffordabilityRatio!$A$2:$I$321,9,FALSE))="",AO131,VLOOKUP($A131,AffordabilityRatio!$A$2:$I$321,9,FALSE)))</f>
        <v>15.51</v>
      </c>
      <c r="AQ131" s="267">
        <f t="shared" si="104"/>
        <v>835</v>
      </c>
      <c r="AR131" s="267">
        <f t="shared" si="104"/>
        <v>837</v>
      </c>
      <c r="AS131" s="267">
        <f t="shared" si="104"/>
        <v>828</v>
      </c>
      <c r="AT131" s="267">
        <f t="shared" si="103"/>
        <v>347</v>
      </c>
      <c r="AU131" s="267">
        <f t="shared" si="103"/>
        <v>354</v>
      </c>
      <c r="AV131" s="267">
        <f t="shared" si="103"/>
        <v>350</v>
      </c>
      <c r="AW131" s="267">
        <f t="shared" si="103"/>
        <v>347</v>
      </c>
      <c r="AX131" s="267">
        <f t="shared" si="95"/>
        <v>348</v>
      </c>
      <c r="AY131" s="267">
        <f t="shared" si="71"/>
        <v>714</v>
      </c>
      <c r="AZ131" s="267">
        <f t="shared" si="72"/>
        <v>714.1400000000001</v>
      </c>
      <c r="BA131" s="267">
        <f t="shared" si="73"/>
        <v>716.38</v>
      </c>
      <c r="BB131" s="267">
        <f t="shared" si="74"/>
        <v>347</v>
      </c>
      <c r="BC131" s="267">
        <f t="shared" si="75"/>
        <v>354</v>
      </c>
      <c r="BD131" s="267">
        <f t="shared" si="76"/>
        <v>350</v>
      </c>
      <c r="BE131" s="267">
        <f t="shared" si="77"/>
        <v>347</v>
      </c>
      <c r="BF131" s="267">
        <f t="shared" si="78"/>
        <v>348</v>
      </c>
      <c r="BG131" s="269">
        <f>AY131*VLOOKUP($B131,'Major Cities &amp; Towns'!$A$28:$B$345,2,FALSE)</f>
        <v>714</v>
      </c>
      <c r="BH131" s="269">
        <f>AZ131*VLOOKUP($B131,'Major Cities &amp; Towns'!$A$28:$B$345,2,FALSE)</f>
        <v>714.1400000000001</v>
      </c>
      <c r="BI131" s="269">
        <f>BA131*VLOOKUP($B131,'Major Cities &amp; Towns'!$A$28:$B$345,2,FALSE)</f>
        <v>716.38</v>
      </c>
      <c r="BJ131" s="269">
        <f>BB131*VLOOKUP($B131,'Major Cities &amp; Towns'!$A$28:$B$345,2,FALSE)</f>
        <v>347</v>
      </c>
      <c r="BK131" s="269">
        <f>BC131*VLOOKUP($B131,'Major Cities &amp; Towns'!$A$28:$B$345,2,FALSE)</f>
        <v>354</v>
      </c>
      <c r="BL131" s="269">
        <f>BD131*VLOOKUP($B131,'Major Cities &amp; Towns'!$A$28:$B$345,2,FALSE)</f>
        <v>350</v>
      </c>
      <c r="BM131" s="269">
        <f>BE131*VLOOKUP($B131,'Major Cities &amp; Towns'!$A$28:$B$345,2,FALSE)</f>
        <v>347</v>
      </c>
      <c r="BN131" s="269">
        <f>BF131*VLOOKUP($B131,'Major Cities &amp; Towns'!$A$28:$B$345,2,FALSE)</f>
        <v>348</v>
      </c>
      <c r="BO131" s="270">
        <f t="shared" si="79"/>
        <v>835</v>
      </c>
      <c r="BP131" s="270">
        <f t="shared" si="100"/>
        <v>837</v>
      </c>
      <c r="BQ131" s="270">
        <f t="shared" si="100"/>
        <v>828</v>
      </c>
      <c r="BR131" s="270">
        <f t="shared" si="100"/>
        <v>347</v>
      </c>
      <c r="BS131" s="270">
        <f t="shared" si="100"/>
        <v>354</v>
      </c>
      <c r="BT131" s="270">
        <f t="shared" si="100"/>
        <v>350</v>
      </c>
      <c r="BU131" s="270">
        <f t="shared" si="100"/>
        <v>347</v>
      </c>
      <c r="BV131" s="270">
        <f t="shared" si="99"/>
        <v>348</v>
      </c>
      <c r="BW131" s="39">
        <f>VLOOKUP($A131,NetAdditions!$A$2:$H$336,6,FALSE)</f>
        <v>630</v>
      </c>
      <c r="BX131" s="39">
        <f>VLOOKUP($A131,NetAdditions!$A$2:$H$336,7,FALSE)</f>
        <v>515</v>
      </c>
      <c r="BY131" s="39">
        <f>IF((VLOOKUP($C131,NetAdditions!$A$2:$H$336,8,FALSE))="",(AVERAGE(VLOOKUP($C131,NetAdditions!$A$2:$H$336,5,FALSE),VLOOKUP($C131,NetAdditions!$A$2:$H$336,6,FALSE),VLOOKUP($C131,NetAdditions!$A$2:$H$336,7,FALSE))),VLOOKUP($C131,NetAdditions!$A$2:$H$336,8,FALSE))</f>
        <v>456</v>
      </c>
      <c r="BZ131" s="39">
        <f t="shared" si="105"/>
        <v>533.66666666666663</v>
      </c>
      <c r="CA131" s="39">
        <f t="shared" si="105"/>
        <v>501.55555555555549</v>
      </c>
      <c r="CB131" s="39">
        <f t="shared" si="105"/>
        <v>497.07407407407408</v>
      </c>
      <c r="CC131" s="39">
        <f t="shared" si="105"/>
        <v>510.76543209876542</v>
      </c>
      <c r="CD131" s="39">
        <f t="shared" si="105"/>
        <v>503.13168724279831</v>
      </c>
      <c r="CE131" s="276">
        <f t="shared" si="55"/>
        <v>2500</v>
      </c>
      <c r="CF131" s="276">
        <f t="shared" si="56"/>
        <v>2012</v>
      </c>
      <c r="CG131" s="276">
        <f t="shared" si="57"/>
        <v>1529</v>
      </c>
      <c r="CH131" s="276">
        <f t="shared" si="58"/>
        <v>1051</v>
      </c>
      <c r="CI131" s="276">
        <f t="shared" si="59"/>
        <v>1051</v>
      </c>
      <c r="CJ131" s="276">
        <f t="shared" si="60"/>
        <v>1045</v>
      </c>
      <c r="CK131" s="276">
        <f t="shared" si="80"/>
        <v>2152.7777777777778</v>
      </c>
      <c r="CL131" s="276">
        <f t="shared" si="81"/>
        <v>1732.5555555555557</v>
      </c>
      <c r="CM131" s="276">
        <f t="shared" si="82"/>
        <v>1401.5833333333333</v>
      </c>
      <c r="CN131" s="276">
        <f t="shared" si="83"/>
        <v>1051</v>
      </c>
      <c r="CO131" s="276">
        <f t="shared" si="83"/>
        <v>1051</v>
      </c>
      <c r="CP131" s="276">
        <f t="shared" si="83"/>
        <v>1045</v>
      </c>
      <c r="CQ131" s="39">
        <f t="shared" si="61"/>
        <v>1601</v>
      </c>
      <c r="CR131" s="39">
        <f t="shared" si="62"/>
        <v>1504.6666666666665</v>
      </c>
      <c r="CS131" s="277">
        <f t="shared" si="63"/>
        <v>1491.2222222222222</v>
      </c>
      <c r="CT131" s="39">
        <f t="shared" si="64"/>
        <v>1532.2962962962963</v>
      </c>
      <c r="CU131" s="39">
        <f t="shared" si="65"/>
        <v>1509.3950617283949</v>
      </c>
      <c r="CV131" s="39">
        <f t="shared" si="66"/>
        <v>1510.9711934156378</v>
      </c>
      <c r="CW131" s="297">
        <f t="shared" si="67"/>
        <v>0.74369032258064516</v>
      </c>
      <c r="CX131" s="279" t="str">
        <f t="shared" si="84"/>
        <v>Buffer and Action Plan</v>
      </c>
      <c r="CY131" s="278">
        <f t="shared" si="68"/>
        <v>0.86846661963701643</v>
      </c>
      <c r="CZ131" s="279" t="str">
        <f t="shared" si="85"/>
        <v>Action Plan</v>
      </c>
      <c r="DA131" s="278">
        <f t="shared" si="69"/>
        <v>1.0639554472124779</v>
      </c>
      <c r="DB131" s="292" t="str">
        <f t="shared" si="86"/>
        <v>Pass</v>
      </c>
      <c r="DC131" s="299">
        <f t="shared" si="87"/>
        <v>1.4579412904817282</v>
      </c>
      <c r="DD131" s="293" t="str">
        <f t="shared" si="88"/>
        <v>Pass</v>
      </c>
      <c r="DE131" s="299">
        <f t="shared" si="89"/>
        <v>1.4361513432239723</v>
      </c>
      <c r="DF131" s="293" t="str">
        <f t="shared" si="90"/>
        <v>Pass</v>
      </c>
      <c r="DG131" s="299">
        <f t="shared" si="91"/>
        <v>1.4459054482446294</v>
      </c>
      <c r="DH131" s="293" t="str">
        <f t="shared" si="92"/>
        <v>Pass</v>
      </c>
    </row>
    <row r="132" spans="1:112" ht="15" thickTop="1" thickBot="1">
      <c r="A132" s="38" t="s">
        <v>374</v>
      </c>
      <c r="B132" s="38" t="s">
        <v>375</v>
      </c>
      <c r="C132" s="38" t="s">
        <v>374</v>
      </c>
      <c r="D132" s="38" t="s">
        <v>119</v>
      </c>
      <c r="E132" s="38" t="str">
        <f>VLOOKUP(C132,PoliticalControl!A:K,11,FALSE)</f>
        <v>LAB</v>
      </c>
      <c r="F132" s="38" t="str">
        <f>VLOOKUP(C132,UrbanRuralClassification!A:N,13,FALSE)</f>
        <v xml:space="preserve">Largely Rural (rural including hub towns 50-79%) </v>
      </c>
      <c r="G132" s="38" t="str">
        <f>VLOOKUP(C132,UrbanRuralClassification!A:N,14,FALSE)</f>
        <v>Predominantly Rural</v>
      </c>
      <c r="H132" s="258">
        <f>IF(ISBLANK((VLOOKUP($A132,'local-plan-data'!$C$1:$AD$566,27,FALSE)))=TRUE,"",VLOOKUP($A132,'local-plan-data'!$C$1:$AD$566,27,FALSE))</f>
        <v>42474</v>
      </c>
      <c r="I132" s="259">
        <f>VLOOKUP($A132,'local-plan-data'!$C$1:$AD$566,28,FALSE)</f>
        <v>344.5</v>
      </c>
      <c r="J132" s="260">
        <f t="shared" si="70"/>
        <v>344.5</v>
      </c>
      <c r="K132" s="259">
        <f t="shared" si="96"/>
        <v>344.5</v>
      </c>
      <c r="L132" s="259">
        <f t="shared" si="101"/>
        <v>344.5</v>
      </c>
      <c r="M132" s="259">
        <f t="shared" si="101"/>
        <v>344.5</v>
      </c>
      <c r="N132" s="259">
        <f t="shared" si="101"/>
        <v>344.5</v>
      </c>
      <c r="O132" s="259" t="str">
        <f t="shared" si="101"/>
        <v>-</v>
      </c>
      <c r="P132" s="259" t="str">
        <f t="shared" si="101"/>
        <v>-</v>
      </c>
      <c r="Q132" s="259" t="str">
        <f t="shared" si="101"/>
        <v>-</v>
      </c>
      <c r="R132" s="259" t="str">
        <f t="shared" si="101"/>
        <v>-</v>
      </c>
      <c r="S132" s="259">
        <f t="shared" si="97"/>
        <v>1109</v>
      </c>
      <c r="T132" s="259">
        <f t="shared" si="102"/>
        <v>744</v>
      </c>
      <c r="U132" s="259">
        <f t="shared" si="102"/>
        <v>378</v>
      </c>
      <c r="V132" s="259">
        <f t="shared" si="102"/>
        <v>13</v>
      </c>
      <c r="W132" s="259">
        <f t="shared" si="102"/>
        <v>-352</v>
      </c>
      <c r="X132" s="259">
        <f t="shared" si="102"/>
        <v>-717</v>
      </c>
      <c r="Y132" s="259">
        <f t="shared" si="102"/>
        <v>-1083</v>
      </c>
      <c r="Z132" s="259">
        <f t="shared" si="102"/>
        <v>-1448</v>
      </c>
      <c r="AA132" s="267">
        <f>(VLOOKUP(A132,Hshldprojections2014!$A$2:$AW$319,40, FALSE)-VLOOKUP(A132,Hshldprojections2014!$A$2:$AW$319,30, FALSE))/10</f>
        <v>226.5</v>
      </c>
      <c r="AB132" s="267">
        <f>(VLOOKUP(A132,Hshldprojections2014!$A$2:$AW$319,41, FALSE)-VLOOKUP(A132,Hshldprojections2014!$A$2:$AW$319,31, FALSE))/10</f>
        <v>221.2</v>
      </c>
      <c r="AC132" s="267">
        <f>(VLOOKUP(A132,Hshldprojections2014!$A$2:$AW$319,42, FALSE)-VLOOKUP(A132,Hshldprojections2014!$A$2:$AW$319,32, FALSE))/10</f>
        <v>216.3</v>
      </c>
      <c r="AD132" s="267">
        <f>IF(IndividualLATest!$J$7=2014,(VLOOKUP($A132,Hshldprojections2014!$A$2:$AY$326,43,FALSE)-VLOOKUP($A132,Hshldprojections2014!$A$2:$AY$326,33,FALSE))/10,IF(IndividualLATest!$J$7=2016,(VLOOKUP($A132,Hshldprojections2016!$A$1:$AQ$322,33,FALSE)-VLOOKUP($A132,Hshldprojections2016!$A$1:$AQ$322,23,FALSE))/10,(VLOOKUP($A132,Hshldprojections2018!$A$1:$AQ$327,33,FALSE)-VLOOKUP($A132,Hshldprojections2018!$A$1:$AQ$327,23,FALSE))/10))</f>
        <v>255.2</v>
      </c>
      <c r="AE132" s="267">
        <f>IF(IndividualLATest!$J$7=2014,(VLOOKUP($A132,Hshldprojections2014!$A$2:$AY$326,44,FALSE)-VLOOKUP($A132,Hshldprojections2014!$A$2:$AY$326,34,FALSE))/10,IF(IndividualLATest!$J$7=2016,(VLOOKUP($A132,Hshldprojections2016!$A$1:$AQ$322,34,FALSE)-VLOOKUP($A132,Hshldprojections2016!$A$1:$AQ$322,24,FALSE))/10,(VLOOKUP($A132,Hshldprojections2018!$A$1:$AQ$327,34,FALSE)-VLOOKUP($A132,Hshldprojections2018!$A$1:$AQ$327,24,FALSE))/10))</f>
        <v>246.8</v>
      </c>
      <c r="AF132" s="267">
        <f>IF(IndividualLATest!$J$7=2014,(VLOOKUP($A132,Hshldprojections2014!$A$2:$AY$326,45,FALSE)-VLOOKUP($A132,Hshldprojections2014!$A$2:$AY$326,35,FALSE))/10,IF(IndividualLATest!$J$7=2016,(VLOOKUP($A132,Hshldprojections2016!$A$1:$AQ$322,35,FALSE)-VLOOKUP($A132,Hshldprojections2016!$A$1:$AQ$322,25,FALSE))/10,(VLOOKUP($A132,Hshldprojections2018!$A$1:$AQ$327,35,FALSE)-VLOOKUP($A132,Hshldprojections2018!$A$1:$AQ$327,25,FALSE))/10))</f>
        <v>238.9</v>
      </c>
      <c r="AG132" s="267">
        <f>IF(IndividualLATest!$J$7=2014,(VLOOKUP($A132,Hshldprojections2014!$A$2:$AY$326,46,FALSE)-VLOOKUP($A132,Hshldprojections2014!$A$2:$AY$326,36,FALSE))/10,IF(IndividualLATest!$J$7=2016,(VLOOKUP($A132,Hshldprojections2016!$A$1:$AQ$322,36,FALSE)-VLOOKUP($A132,Hshldprojections2016!$A$1:$AQ$322,26,FALSE))/10,(VLOOKUP($A132,Hshldprojections2018!$A$1:$AQ$327,36,FALSE)-VLOOKUP($A132,Hshldprojections2018!$A$1:$AQ$327,26,FALSE))/10))</f>
        <v>231.9</v>
      </c>
      <c r="AH132" s="267">
        <f>IF(IndividualLATest!$J$7=2014,(VLOOKUP($A132,Hshldprojections2014!$A$2:$AY$326,47,FALSE)-VLOOKUP($A132,Hshldprojections2014!$A$2:$AY$326,37,FALSE))/10,IF(IndividualLATest!$J$7=2016,(VLOOKUP($A132,Hshldprojections2016!$A$1:$AQ$322,37,FALSE)-VLOOKUP($A132,Hshldprojections2016!$A$1:$AQ$322,27,FALSE))/10,(VLOOKUP($A132,Hshldprojections2018!$A$1:$AQ$327,37,FALSE)-VLOOKUP($A132,Hshldprojections2018!$A$1:$AQ$327,27,FALSE))/10))</f>
        <v>227.9</v>
      </c>
      <c r="AI132" s="268">
        <f>IF(ISNUMBER('Sensitivity Tests'!$C$30),'Sensitivity Tests'!$C$30,VLOOKUP($A132,AffordabilityRatio!$A$2:$I$321,5,FALSE))</f>
        <v>7.28</v>
      </c>
      <c r="AJ132" s="268">
        <f>IF(ISNUMBER('Sensitivity Tests'!$C$30),'Sensitivity Tests'!$C$30,VLOOKUP($A132,AffordabilityRatio!$A$2:$I$321,6,FALSE))</f>
        <v>7.76</v>
      </c>
      <c r="AK132" s="268">
        <f>IF(ISNUMBER('Sensitivity Tests'!$C$30),'Sensitivity Tests'!$C$30,VLOOKUP($A132,AffordabilityRatio!$A$2:$I$321,7,FALSE))</f>
        <v>7.46</v>
      </c>
      <c r="AL132" s="268">
        <f>IF(ISNUMBER('Sensitivity Tests'!$C$30),'Sensitivity Tests'!$C$30,IF((VLOOKUP($A132,AffordabilityRatio!$A$2:$I$321,8,FALSE))="",AK132,VLOOKUP($A132,AffordabilityRatio!$A$2:$I$321,8,FALSE)))</f>
        <v>7.29</v>
      </c>
      <c r="AM132" s="268">
        <f>IF(ISNUMBER('Sensitivity Tests'!$C$30),'Sensitivity Tests'!$C$30,IF((VLOOKUP($A132,AffordabilityRatio!$A$2:$I$321,9,FALSE))="",AL132,VLOOKUP($A132,AffordabilityRatio!$A$2:$I$321,9,FALSE)))</f>
        <v>8.24</v>
      </c>
      <c r="AN132" s="268">
        <f>IF(ISNUMBER('Sensitivity Tests'!$C$30),'Sensitivity Tests'!$C$30,IF((VLOOKUP($A132,AffordabilityRatio!$A$2:$I$321,9,FALSE))="",AM132,VLOOKUP($A132,AffordabilityRatio!$A$2:$I$321,9,FALSE)))</f>
        <v>8.24</v>
      </c>
      <c r="AO132" s="268">
        <f>IF(ISNUMBER('Sensitivity Tests'!$C$30),'Sensitivity Tests'!$C$30,IF((VLOOKUP($A132,AffordabilityRatio!$A$2:$I$321,9,FALSE))="",AN132,VLOOKUP($A132,AffordabilityRatio!$A$2:$I$321,9,FALSE)))</f>
        <v>8.24</v>
      </c>
      <c r="AP132" s="268">
        <f>IF(ISNUMBER('Sensitivity Tests'!$C$30),'Sensitivity Tests'!$C$30,IF((VLOOKUP($A132,AffordabilityRatio!$A$2:$I$321,9,FALSE))="",AO132,VLOOKUP($A132,AffordabilityRatio!$A$2:$I$321,9,FALSE)))</f>
        <v>8.24</v>
      </c>
      <c r="AQ132" s="267">
        <f t="shared" si="104"/>
        <v>273</v>
      </c>
      <c r="AR132" s="267">
        <f t="shared" si="104"/>
        <v>273</v>
      </c>
      <c r="AS132" s="267">
        <f t="shared" si="104"/>
        <v>263</v>
      </c>
      <c r="AT132" s="267">
        <f t="shared" si="103"/>
        <v>308</v>
      </c>
      <c r="AU132" s="267">
        <f t="shared" si="103"/>
        <v>312</v>
      </c>
      <c r="AV132" s="267">
        <f t="shared" si="103"/>
        <v>302</v>
      </c>
      <c r="AW132" s="267">
        <f t="shared" si="103"/>
        <v>293</v>
      </c>
      <c r="AX132" s="267">
        <f t="shared" si="95"/>
        <v>288</v>
      </c>
      <c r="AY132" s="267">
        <f t="shared" si="71"/>
        <v>273</v>
      </c>
      <c r="AZ132" s="267">
        <f t="shared" si="72"/>
        <v>273</v>
      </c>
      <c r="BA132" s="267">
        <f t="shared" si="73"/>
        <v>263</v>
      </c>
      <c r="BB132" s="267">
        <f t="shared" si="74"/>
        <v>308</v>
      </c>
      <c r="BC132" s="267">
        <f t="shared" si="75"/>
        <v>312</v>
      </c>
      <c r="BD132" s="267">
        <f t="shared" si="76"/>
        <v>302</v>
      </c>
      <c r="BE132" s="267">
        <f t="shared" si="77"/>
        <v>293</v>
      </c>
      <c r="BF132" s="267">
        <f t="shared" si="78"/>
        <v>288</v>
      </c>
      <c r="BG132" s="269">
        <f>AY132*VLOOKUP($B132,'Major Cities &amp; Towns'!$A$28:$B$345,2,FALSE)</f>
        <v>273</v>
      </c>
      <c r="BH132" s="269">
        <f>AZ132*VLOOKUP($B132,'Major Cities &amp; Towns'!$A$28:$B$345,2,FALSE)</f>
        <v>273</v>
      </c>
      <c r="BI132" s="269">
        <f>BA132*VLOOKUP($B132,'Major Cities &amp; Towns'!$A$28:$B$345,2,FALSE)</f>
        <v>263</v>
      </c>
      <c r="BJ132" s="269">
        <f>BB132*VLOOKUP($B132,'Major Cities &amp; Towns'!$A$28:$B$345,2,FALSE)</f>
        <v>308</v>
      </c>
      <c r="BK132" s="269">
        <f>BC132*VLOOKUP($B132,'Major Cities &amp; Towns'!$A$28:$B$345,2,FALSE)</f>
        <v>312</v>
      </c>
      <c r="BL132" s="269">
        <f>BD132*VLOOKUP($B132,'Major Cities &amp; Towns'!$A$28:$B$345,2,FALSE)</f>
        <v>302</v>
      </c>
      <c r="BM132" s="269">
        <f>BE132*VLOOKUP($B132,'Major Cities &amp; Towns'!$A$28:$B$345,2,FALSE)</f>
        <v>293</v>
      </c>
      <c r="BN132" s="269">
        <f>BF132*VLOOKUP($B132,'Major Cities &amp; Towns'!$A$28:$B$345,2,FALSE)</f>
        <v>288</v>
      </c>
      <c r="BO132" s="270">
        <f t="shared" si="79"/>
        <v>273</v>
      </c>
      <c r="BP132" s="270">
        <f t="shared" si="100"/>
        <v>273</v>
      </c>
      <c r="BQ132" s="270">
        <f t="shared" si="100"/>
        <v>263</v>
      </c>
      <c r="BR132" s="270">
        <f t="shared" si="100"/>
        <v>308</v>
      </c>
      <c r="BS132" s="270">
        <f t="shared" si="100"/>
        <v>312</v>
      </c>
      <c r="BT132" s="270">
        <f t="shared" si="100"/>
        <v>302</v>
      </c>
      <c r="BU132" s="270">
        <f t="shared" si="100"/>
        <v>293</v>
      </c>
      <c r="BV132" s="270">
        <f t="shared" si="99"/>
        <v>288</v>
      </c>
      <c r="BW132" s="39">
        <f>VLOOKUP($A132,NetAdditions!$A$2:$H$336,6,FALSE)</f>
        <v>386</v>
      </c>
      <c r="BX132" s="39">
        <f>VLOOKUP($A132,NetAdditions!$A$2:$H$336,7,FALSE)</f>
        <v>311</v>
      </c>
      <c r="BY132" s="39">
        <f>IF((VLOOKUP($C132,NetAdditions!$A$2:$H$336,8,FALSE))="",(AVERAGE(VLOOKUP($C132,NetAdditions!$A$2:$H$336,5,FALSE),VLOOKUP($C132,NetAdditions!$A$2:$H$336,6,FALSE),VLOOKUP($C132,NetAdditions!$A$2:$H$336,7,FALSE))),VLOOKUP($C132,NetAdditions!$A$2:$H$336,8,FALSE))</f>
        <v>245</v>
      </c>
      <c r="BZ132" s="39">
        <f t="shared" si="105"/>
        <v>314</v>
      </c>
      <c r="CA132" s="39">
        <f t="shared" si="105"/>
        <v>290</v>
      </c>
      <c r="CB132" s="39">
        <f t="shared" si="105"/>
        <v>283</v>
      </c>
      <c r="CC132" s="39">
        <f t="shared" si="105"/>
        <v>295.66666666666669</v>
      </c>
      <c r="CD132" s="39">
        <f t="shared" si="105"/>
        <v>289.5555555555556</v>
      </c>
      <c r="CE132" s="276">
        <f t="shared" si="55"/>
        <v>809</v>
      </c>
      <c r="CF132" s="276">
        <f t="shared" si="56"/>
        <v>844</v>
      </c>
      <c r="CG132" s="276">
        <f t="shared" si="57"/>
        <v>883</v>
      </c>
      <c r="CH132" s="276">
        <f t="shared" si="58"/>
        <v>922</v>
      </c>
      <c r="CI132" s="276">
        <f t="shared" si="59"/>
        <v>907</v>
      </c>
      <c r="CJ132" s="276">
        <f t="shared" si="60"/>
        <v>883</v>
      </c>
      <c r="CK132" s="276">
        <f t="shared" si="80"/>
        <v>696.63888888888891</v>
      </c>
      <c r="CL132" s="276">
        <f t="shared" si="81"/>
        <v>726.77777777777783</v>
      </c>
      <c r="CM132" s="276">
        <f t="shared" si="82"/>
        <v>809.41666666666663</v>
      </c>
      <c r="CN132" s="276">
        <f t="shared" si="83"/>
        <v>922</v>
      </c>
      <c r="CO132" s="276">
        <f t="shared" si="83"/>
        <v>907</v>
      </c>
      <c r="CP132" s="276">
        <f t="shared" si="83"/>
        <v>883</v>
      </c>
      <c r="CQ132" s="39">
        <f t="shared" si="61"/>
        <v>942</v>
      </c>
      <c r="CR132" s="39">
        <f t="shared" si="62"/>
        <v>870</v>
      </c>
      <c r="CS132" s="277">
        <f t="shared" si="63"/>
        <v>849</v>
      </c>
      <c r="CT132" s="39">
        <f t="shared" si="64"/>
        <v>887</v>
      </c>
      <c r="CU132" s="39">
        <f t="shared" si="65"/>
        <v>868.66666666666674</v>
      </c>
      <c r="CV132" s="39">
        <f t="shared" si="66"/>
        <v>868.2222222222224</v>
      </c>
      <c r="CW132" s="297">
        <f t="shared" si="67"/>
        <v>1.3522070257984768</v>
      </c>
      <c r="CX132" s="279" t="str">
        <f t="shared" si="84"/>
        <v>Pass</v>
      </c>
      <c r="CY132" s="278">
        <f t="shared" si="68"/>
        <v>1.1970646690108546</v>
      </c>
      <c r="CZ132" s="279" t="str">
        <f t="shared" si="85"/>
        <v>Pass</v>
      </c>
      <c r="DA132" s="278">
        <f t="shared" si="69"/>
        <v>1.0489035313497375</v>
      </c>
      <c r="DB132" s="292" t="str">
        <f t="shared" si="86"/>
        <v>Pass</v>
      </c>
      <c r="DC132" s="299">
        <f t="shared" si="87"/>
        <v>0.96203904555314534</v>
      </c>
      <c r="DD132" s="293" t="str">
        <f t="shared" si="88"/>
        <v>Pass</v>
      </c>
      <c r="DE132" s="299">
        <f t="shared" si="89"/>
        <v>0.95773612642410888</v>
      </c>
      <c r="DF132" s="293" t="str">
        <f t="shared" si="90"/>
        <v>Pass</v>
      </c>
      <c r="DG132" s="299">
        <f t="shared" si="91"/>
        <v>0.98326412482697889</v>
      </c>
      <c r="DH132" s="293" t="str">
        <f t="shared" si="92"/>
        <v>Pass</v>
      </c>
    </row>
    <row r="133" spans="1:112" customFormat="1" ht="15.5" thickTop="1" thickBot="1">
      <c r="A133" s="3" t="s">
        <v>376</v>
      </c>
      <c r="B133" s="3" t="s">
        <v>377</v>
      </c>
      <c r="C133" s="3" t="s">
        <v>376</v>
      </c>
      <c r="D133" s="3" t="s">
        <v>131</v>
      </c>
      <c r="E133" s="3" t="str">
        <f>VLOOKUP(C133,PoliticalControl!A:K,11,FALSE)</f>
        <v>CON</v>
      </c>
      <c r="F133" s="3" t="str">
        <f>VLOOKUP(C133,UrbanRuralClassification!A:N,13,FALSE)</f>
        <v>Urban with Major Conurbation</v>
      </c>
      <c r="G133" s="3" t="str">
        <f>VLOOKUP(C133,UrbanRuralClassification!A:N,14,FALSE)</f>
        <v>Predominantly Urban</v>
      </c>
      <c r="H133" s="262">
        <f>IF(ISBLANK((VLOOKUP($A133,'local-plan-data'!$C$1:$AD$566,27,FALSE)))=TRUE,"",VLOOKUP($A133,'local-plan-data'!$C$1:$AD$566,27,FALSE))</f>
        <v>41221</v>
      </c>
      <c r="I133" s="263">
        <f>VLOOKUP($A133,'local-plan-data'!$C$1:$AD$566,28,FALSE)</f>
        <v>425</v>
      </c>
      <c r="J133" s="264">
        <f t="shared" si="70"/>
        <v>425</v>
      </c>
      <c r="K133" s="259" t="str">
        <f t="shared" si="96"/>
        <v>-</v>
      </c>
      <c r="L133" s="259" t="str">
        <f t="shared" si="101"/>
        <v>-</v>
      </c>
      <c r="M133" s="259" t="str">
        <f t="shared" si="101"/>
        <v>-</v>
      </c>
      <c r="N133" s="259" t="str">
        <f t="shared" si="101"/>
        <v>-</v>
      </c>
      <c r="O133" s="259" t="str">
        <f t="shared" si="101"/>
        <v>-</v>
      </c>
      <c r="P133" s="259" t="str">
        <f t="shared" si="101"/>
        <v>-</v>
      </c>
      <c r="Q133" s="259" t="str">
        <f t="shared" si="101"/>
        <v>-</v>
      </c>
      <c r="R133" s="259" t="str">
        <f t="shared" si="101"/>
        <v>-</v>
      </c>
      <c r="S133" s="259">
        <f t="shared" si="97"/>
        <v>-144</v>
      </c>
      <c r="T133" s="259">
        <f t="shared" si="102"/>
        <v>-509</v>
      </c>
      <c r="U133" s="259">
        <f t="shared" si="102"/>
        <v>-875</v>
      </c>
      <c r="V133" s="259">
        <f t="shared" si="102"/>
        <v>-1240</v>
      </c>
      <c r="W133" s="259">
        <f t="shared" si="102"/>
        <v>-1605</v>
      </c>
      <c r="X133" s="259">
        <f t="shared" si="102"/>
        <v>-1970</v>
      </c>
      <c r="Y133" s="259">
        <f t="shared" si="102"/>
        <v>-2336</v>
      </c>
      <c r="Z133" s="259">
        <f t="shared" si="102"/>
        <v>-2701</v>
      </c>
      <c r="AA133" s="267">
        <f>(VLOOKUP(A133,Hshldprojections2014!$A$2:$AW$319,40, FALSE)-VLOOKUP(A133,Hshldprojections2014!$A$2:$AW$319,30, FALSE))/10</f>
        <v>1950.3</v>
      </c>
      <c r="AB133" s="267">
        <f>(VLOOKUP(A133,Hshldprojections2014!$A$2:$AW$319,41, FALSE)-VLOOKUP(A133,Hshldprojections2014!$A$2:$AW$319,31, FALSE))/10</f>
        <v>1940.8</v>
      </c>
      <c r="AC133" s="267">
        <f>(VLOOKUP(A133,Hshldprojections2014!$A$2:$AW$319,42, FALSE)-VLOOKUP(A133,Hshldprojections2014!$A$2:$AW$319,32, FALSE))/10</f>
        <v>1931.8</v>
      </c>
      <c r="AD133" s="267">
        <f>IF(IndividualLATest!$J$7=2014,(VLOOKUP($A133,Hshldprojections2014!$A$2:$AY$326,43,FALSE)-VLOOKUP($A133,Hshldprojections2014!$A$2:$AY$326,33,FALSE))/10,IF(IndividualLATest!$J$7=2016,(VLOOKUP($A133,Hshldprojections2016!$A$1:$AQ$322,33,FALSE)-VLOOKUP($A133,Hshldprojections2016!$A$1:$AQ$322,23,FALSE))/10,(VLOOKUP($A133,Hshldprojections2018!$A$1:$AQ$327,33,FALSE)-VLOOKUP($A133,Hshldprojections2018!$A$1:$AQ$327,23,FALSE))/10))</f>
        <v>790.4</v>
      </c>
      <c r="AE133" s="267">
        <f>IF(IndividualLATest!$J$7=2014,(VLOOKUP($A133,Hshldprojections2014!$A$2:$AY$326,44,FALSE)-VLOOKUP($A133,Hshldprojections2014!$A$2:$AY$326,34,FALSE))/10,IF(IndividualLATest!$J$7=2016,(VLOOKUP($A133,Hshldprojections2016!$A$1:$AQ$322,34,FALSE)-VLOOKUP($A133,Hshldprojections2016!$A$1:$AQ$322,24,FALSE))/10,(VLOOKUP($A133,Hshldprojections2018!$A$1:$AQ$327,34,FALSE)-VLOOKUP($A133,Hshldprojections2018!$A$1:$AQ$327,24,FALSE))/10))</f>
        <v>757.8</v>
      </c>
      <c r="AF133" s="267">
        <f>IF(IndividualLATest!$J$7=2014,(VLOOKUP($A133,Hshldprojections2014!$A$2:$AY$326,45,FALSE)-VLOOKUP($A133,Hshldprojections2014!$A$2:$AY$326,35,FALSE))/10,IF(IndividualLATest!$J$7=2016,(VLOOKUP($A133,Hshldprojections2016!$A$1:$AQ$322,35,FALSE)-VLOOKUP($A133,Hshldprojections2016!$A$1:$AQ$322,25,FALSE))/10,(VLOOKUP($A133,Hshldprojections2018!$A$1:$AQ$327,35,FALSE)-VLOOKUP($A133,Hshldprojections2018!$A$1:$AQ$327,25,FALSE))/10))</f>
        <v>729.9</v>
      </c>
      <c r="AG133" s="267">
        <f>IF(IndividualLATest!$J$7=2014,(VLOOKUP($A133,Hshldprojections2014!$A$2:$AY$326,46,FALSE)-VLOOKUP($A133,Hshldprojections2014!$A$2:$AY$326,36,FALSE))/10,IF(IndividualLATest!$J$7=2016,(VLOOKUP($A133,Hshldprojections2016!$A$1:$AQ$322,36,FALSE)-VLOOKUP($A133,Hshldprojections2016!$A$1:$AQ$322,26,FALSE))/10,(VLOOKUP($A133,Hshldprojections2018!$A$1:$AQ$327,36,FALSE)-VLOOKUP($A133,Hshldprojections2018!$A$1:$AQ$327,26,FALSE))/10))</f>
        <v>706.3</v>
      </c>
      <c r="AH133" s="267">
        <f>IF(IndividualLATest!$J$7=2014,(VLOOKUP($A133,Hshldprojections2014!$A$2:$AY$326,47,FALSE)-VLOOKUP($A133,Hshldprojections2014!$A$2:$AY$326,37,FALSE))/10,IF(IndividualLATest!$J$7=2016,(VLOOKUP($A133,Hshldprojections2016!$A$1:$AQ$322,37,FALSE)-VLOOKUP($A133,Hshldprojections2016!$A$1:$AQ$322,27,FALSE))/10,(VLOOKUP($A133,Hshldprojections2018!$A$1:$AQ$327,37,FALSE)-VLOOKUP($A133,Hshldprojections2018!$A$1:$AQ$327,27,FALSE))/10))</f>
        <v>686.7</v>
      </c>
      <c r="AI133" s="268">
        <f>IF(ISNUMBER('Sensitivity Tests'!$C$30),'Sensitivity Tests'!$C$30,VLOOKUP($A133,AffordabilityRatio!$A$2:$I$321,5,FALSE))</f>
        <v>12.35</v>
      </c>
      <c r="AJ133" s="268">
        <f>IF(ISNUMBER('Sensitivity Tests'!$C$30),'Sensitivity Tests'!$C$30,VLOOKUP($A133,AffordabilityRatio!$A$2:$I$321,6,FALSE))</f>
        <v>13.02</v>
      </c>
      <c r="AK133" s="268">
        <f>IF(ISNUMBER('Sensitivity Tests'!$C$30),'Sensitivity Tests'!$C$30,VLOOKUP($A133,AffordabilityRatio!$A$2:$I$321,7,FALSE))</f>
        <v>11.65</v>
      </c>
      <c r="AL133" s="268">
        <f>IF(ISNUMBER('Sensitivity Tests'!$C$30),'Sensitivity Tests'!$C$30,IF((VLOOKUP($A133,AffordabilityRatio!$A$2:$I$321,8,FALSE))="",AK133,VLOOKUP($A133,AffordabilityRatio!$A$2:$I$321,8,FALSE)))</f>
        <v>11.18</v>
      </c>
      <c r="AM133" s="268">
        <f>IF(ISNUMBER('Sensitivity Tests'!$C$30),'Sensitivity Tests'!$C$30,IF((VLOOKUP($A133,AffordabilityRatio!$A$2:$I$321,9,FALSE))="",AL133,VLOOKUP($A133,AffordabilityRatio!$A$2:$I$321,9,FALSE)))</f>
        <v>13.56</v>
      </c>
      <c r="AN133" s="268">
        <f>IF(ISNUMBER('Sensitivity Tests'!$C$30),'Sensitivity Tests'!$C$30,IF((VLOOKUP($A133,AffordabilityRatio!$A$2:$I$321,9,FALSE))="",AM133,VLOOKUP($A133,AffordabilityRatio!$A$2:$I$321,9,FALSE)))</f>
        <v>13.56</v>
      </c>
      <c r="AO133" s="268">
        <f>IF(ISNUMBER('Sensitivity Tests'!$C$30),'Sensitivity Tests'!$C$30,IF((VLOOKUP($A133,AffordabilityRatio!$A$2:$I$321,9,FALSE))="",AN133,VLOOKUP($A133,AffordabilityRatio!$A$2:$I$321,9,FALSE)))</f>
        <v>13.56</v>
      </c>
      <c r="AP133" s="268">
        <f>IF(ISNUMBER('Sensitivity Tests'!$C$30),'Sensitivity Tests'!$C$30,IF((VLOOKUP($A133,AffordabilityRatio!$A$2:$I$321,9,FALSE))="",AO133,VLOOKUP($A133,AffordabilityRatio!$A$2:$I$321,9,FALSE)))</f>
        <v>13.56</v>
      </c>
      <c r="AQ133" s="267">
        <f t="shared" si="104"/>
        <v>2968</v>
      </c>
      <c r="AR133" s="267">
        <f t="shared" si="104"/>
        <v>3035</v>
      </c>
      <c r="AS133" s="267">
        <f t="shared" si="104"/>
        <v>2855</v>
      </c>
      <c r="AT133" s="267">
        <f t="shared" si="103"/>
        <v>1145</v>
      </c>
      <c r="AU133" s="267">
        <f t="shared" si="103"/>
        <v>1211</v>
      </c>
      <c r="AV133" s="267">
        <f t="shared" si="103"/>
        <v>1166</v>
      </c>
      <c r="AW133" s="267">
        <f t="shared" si="103"/>
        <v>1128</v>
      </c>
      <c r="AX133" s="267">
        <f t="shared" si="95"/>
        <v>1097</v>
      </c>
      <c r="AY133" s="267">
        <f t="shared" si="71"/>
        <v>2730.42</v>
      </c>
      <c r="AZ133" s="267">
        <f t="shared" si="72"/>
        <v>2717.12</v>
      </c>
      <c r="BA133" s="267">
        <f t="shared" si="73"/>
        <v>2704.52</v>
      </c>
      <c r="BB133" s="267">
        <f t="shared" si="74"/>
        <v>1106.56</v>
      </c>
      <c r="BC133" s="267">
        <f t="shared" si="75"/>
        <v>1060.92</v>
      </c>
      <c r="BD133" s="267">
        <f t="shared" si="76"/>
        <v>1021.8599999999999</v>
      </c>
      <c r="BE133" s="267">
        <f t="shared" si="77"/>
        <v>988.81999999999994</v>
      </c>
      <c r="BF133" s="267">
        <f t="shared" si="78"/>
        <v>961.38000000000011</v>
      </c>
      <c r="BG133" s="269">
        <f>AY133*VLOOKUP($B133,'Major Cities &amp; Towns'!$A$28:$B$345,2,FALSE)</f>
        <v>3686.0670000000005</v>
      </c>
      <c r="BH133" s="269">
        <f>AZ133*VLOOKUP($B133,'Major Cities &amp; Towns'!$A$28:$B$345,2,FALSE)</f>
        <v>3668.1120000000001</v>
      </c>
      <c r="BI133" s="269">
        <f>BA133*VLOOKUP($B133,'Major Cities &amp; Towns'!$A$28:$B$345,2,FALSE)</f>
        <v>3651.1020000000003</v>
      </c>
      <c r="BJ133" s="269">
        <f>BB133*VLOOKUP($B133,'Major Cities &amp; Towns'!$A$28:$B$345,2,FALSE)</f>
        <v>1493.856</v>
      </c>
      <c r="BK133" s="269">
        <f>BC133*VLOOKUP($B133,'Major Cities &amp; Towns'!$A$28:$B$345,2,FALSE)</f>
        <v>1432.2420000000002</v>
      </c>
      <c r="BL133" s="269">
        <f>BD133*VLOOKUP($B133,'Major Cities &amp; Towns'!$A$28:$B$345,2,FALSE)</f>
        <v>1379.511</v>
      </c>
      <c r="BM133" s="269">
        <f>BE133*VLOOKUP($B133,'Major Cities &amp; Towns'!$A$28:$B$345,2,FALSE)</f>
        <v>1334.9069999999999</v>
      </c>
      <c r="BN133" s="269">
        <f>BF133*VLOOKUP($B133,'Major Cities &amp; Towns'!$A$28:$B$345,2,FALSE)</f>
        <v>1297.8630000000003</v>
      </c>
      <c r="BO133" s="270">
        <f t="shared" si="79"/>
        <v>2968</v>
      </c>
      <c r="BP133" s="270">
        <f t="shared" si="100"/>
        <v>3035</v>
      </c>
      <c r="BQ133" s="270">
        <f t="shared" si="100"/>
        <v>2855</v>
      </c>
      <c r="BR133" s="270">
        <f t="shared" si="100"/>
        <v>1145</v>
      </c>
      <c r="BS133" s="270">
        <f t="shared" si="100"/>
        <v>1211</v>
      </c>
      <c r="BT133" s="270">
        <f t="shared" si="100"/>
        <v>1166</v>
      </c>
      <c r="BU133" s="270">
        <f t="shared" si="100"/>
        <v>1128</v>
      </c>
      <c r="BV133" s="270">
        <f t="shared" si="99"/>
        <v>1097</v>
      </c>
      <c r="BW133" s="39">
        <f>VLOOKUP($A133,NetAdditions!$A$2:$H$336,6,FALSE)</f>
        <v>957</v>
      </c>
      <c r="BX133" s="39">
        <f>VLOOKUP($A133,NetAdditions!$A$2:$H$336,7,FALSE)</f>
        <v>1646</v>
      </c>
      <c r="BY133" s="39">
        <f>IF((VLOOKUP($C133,NetAdditions!$A$2:$H$336,8,FALSE))="",(AVERAGE(VLOOKUP($C133,NetAdditions!$A$2:$H$336,5,FALSE),VLOOKUP($C133,NetAdditions!$A$2:$H$336,6,FALSE),VLOOKUP($C133,NetAdditions!$A$2:$H$336,7,FALSE))),VLOOKUP($C133,NetAdditions!$A$2:$H$336,8,FALSE))</f>
        <v>718</v>
      </c>
      <c r="BZ133" s="39">
        <f t="shared" si="105"/>
        <v>1107</v>
      </c>
      <c r="CA133" s="39">
        <f t="shared" si="105"/>
        <v>1157</v>
      </c>
      <c r="CB133" s="39">
        <f t="shared" si="105"/>
        <v>994</v>
      </c>
      <c r="CC133" s="39">
        <f t="shared" si="105"/>
        <v>1086</v>
      </c>
      <c r="CD133" s="39">
        <f t="shared" si="105"/>
        <v>1079</v>
      </c>
      <c r="CE133" s="276">
        <f t="shared" ref="CE133:CE196" si="106">SUM(BO133:BQ133)</f>
        <v>8858</v>
      </c>
      <c r="CF133" s="276">
        <f t="shared" ref="CF133:CF196" si="107">SUM(BP133:BR133)</f>
        <v>7035</v>
      </c>
      <c r="CG133" s="276">
        <f t="shared" ref="CG133:CG196" si="108">SUM(BQ133:BS133)</f>
        <v>5211</v>
      </c>
      <c r="CH133" s="276">
        <f t="shared" ref="CH133:CH196" si="109">SUM(BR133:BT133)</f>
        <v>3522</v>
      </c>
      <c r="CI133" s="276">
        <f t="shared" ref="CI133:CI196" si="110">SUM(BS133:BU133)</f>
        <v>3505</v>
      </c>
      <c r="CJ133" s="276">
        <f t="shared" ref="CJ133:CJ196" si="111">SUM(BT133:BV133)</f>
        <v>3391</v>
      </c>
      <c r="CK133" s="276">
        <f t="shared" si="80"/>
        <v>7627.7222222222226</v>
      </c>
      <c r="CL133" s="276">
        <f t="shared" si="81"/>
        <v>6057.916666666667</v>
      </c>
      <c r="CM133" s="276">
        <f t="shared" si="82"/>
        <v>4776.75</v>
      </c>
      <c r="CN133" s="276">
        <f t="shared" si="83"/>
        <v>3522</v>
      </c>
      <c r="CO133" s="276">
        <f t="shared" si="83"/>
        <v>3505</v>
      </c>
      <c r="CP133" s="276">
        <f t="shared" si="83"/>
        <v>3391</v>
      </c>
      <c r="CQ133" s="39">
        <f t="shared" ref="CQ133:CQ196" si="112">SUM(BW133:BY133)</f>
        <v>3321</v>
      </c>
      <c r="CR133" s="39">
        <f t="shared" ref="CR133:CR196" si="113">SUM(BX133:BZ133)</f>
        <v>3471</v>
      </c>
      <c r="CS133" s="277">
        <f t="shared" ref="CS133:CS196" si="114">SUM(BY133:CA133)</f>
        <v>2982</v>
      </c>
      <c r="CT133" s="39">
        <f t="shared" ref="CT133:CT196" si="115">SUM(BZ133:CB133)</f>
        <v>3258</v>
      </c>
      <c r="CU133" s="39">
        <f t="shared" ref="CU133:CU196" si="116">SUM(CA133:CC133)</f>
        <v>3237</v>
      </c>
      <c r="CV133" s="39">
        <f t="shared" ref="CV133:CV196" si="117">SUM(CB133:CD133)</f>
        <v>3159</v>
      </c>
      <c r="CW133" s="297">
        <f t="shared" ref="CW133:CW196" si="118">IFERROR(CQ133/CK133,"-")</f>
        <v>0.43538554541548008</v>
      </c>
      <c r="CX133" s="279" t="str">
        <f t="shared" si="84"/>
        <v>Buffer and Action Plan</v>
      </c>
      <c r="CY133" s="278">
        <f t="shared" ref="CY133:CY196" si="119">IFERROR(CR133/CL133,"-")</f>
        <v>0.57296925510695373</v>
      </c>
      <c r="CZ133" s="279" t="str">
        <f t="shared" si="85"/>
        <v>Buffer and Action Plan</v>
      </c>
      <c r="DA133" s="278">
        <f t="shared" ref="DA133:DA196" si="120">IFERROR(CS133/CM133,"-")</f>
        <v>0.62427382634636519</v>
      </c>
      <c r="DB133" s="292" t="str">
        <f t="shared" si="86"/>
        <v>Presumption</v>
      </c>
      <c r="DC133" s="299">
        <f t="shared" si="87"/>
        <v>0.92504258943781947</v>
      </c>
      <c r="DD133" s="293" t="str">
        <f t="shared" si="88"/>
        <v>Action Plan</v>
      </c>
      <c r="DE133" s="299">
        <f t="shared" si="89"/>
        <v>0.92353780313837375</v>
      </c>
      <c r="DF133" s="293" t="str">
        <f t="shared" si="90"/>
        <v>Action Plan</v>
      </c>
      <c r="DG133" s="299">
        <f t="shared" si="91"/>
        <v>0.93158360365673842</v>
      </c>
      <c r="DH133" s="293" t="str">
        <f t="shared" si="92"/>
        <v>Action Plan</v>
      </c>
    </row>
    <row r="134" spans="1:112" ht="15" thickTop="1" thickBot="1">
      <c r="A134" s="38" t="s">
        <v>378</v>
      </c>
      <c r="B134" s="38" t="s">
        <v>379</v>
      </c>
      <c r="C134" s="38" t="s">
        <v>378</v>
      </c>
      <c r="D134" s="38" t="s">
        <v>119</v>
      </c>
      <c r="E134" s="38" t="str">
        <f>VLOOKUP(C134,PoliticalControl!A:K,11,FALSE)</f>
        <v>LD</v>
      </c>
      <c r="F134" s="38" t="str">
        <f>VLOOKUP(C134,UrbanRuralClassification!A:N,13,FALSE)</f>
        <v xml:space="preserve">Largely Rural (rural including hub towns 50-79%) </v>
      </c>
      <c r="G134" s="38" t="str">
        <f>VLOOKUP(C134,UrbanRuralClassification!A:N,14,FALSE)</f>
        <v>Predominantly Rural</v>
      </c>
      <c r="H134" s="258">
        <f>IF(ISBLANK((VLOOKUP($A134,'local-plan-data'!$C$1:$AD$566,27,FALSE)))=TRUE,"",VLOOKUP($A134,'local-plan-data'!$C$1:$AD$566,27,FALSE))</f>
        <v>40162</v>
      </c>
      <c r="I134" s="259">
        <f>VLOOKUP($A134,'local-plan-data'!$C$1:$AD$566,28,FALSE)</f>
        <v>450</v>
      </c>
      <c r="J134" s="260">
        <f t="shared" ref="J134:J197" si="121">IFERROR(IF(ISNUMBER(I134),I134,VALUE(LEFT(I134,FIND("-",I134)-1))),"-")</f>
        <v>450</v>
      </c>
      <c r="K134" s="259" t="str">
        <f t="shared" si="96"/>
        <v>-</v>
      </c>
      <c r="L134" s="259" t="str">
        <f t="shared" si="101"/>
        <v>-</v>
      </c>
      <c r="M134" s="259" t="str">
        <f t="shared" si="101"/>
        <v>-</v>
      </c>
      <c r="N134" s="259" t="str">
        <f t="shared" si="101"/>
        <v>-</v>
      </c>
      <c r="O134" s="259" t="str">
        <f t="shared" si="101"/>
        <v>-</v>
      </c>
      <c r="P134" s="259" t="str">
        <f t="shared" si="101"/>
        <v>-</v>
      </c>
      <c r="Q134" s="259" t="str">
        <f t="shared" si="101"/>
        <v>-</v>
      </c>
      <c r="R134" s="259" t="str">
        <f t="shared" si="101"/>
        <v>-</v>
      </c>
      <c r="S134" s="259">
        <f t="shared" si="97"/>
        <v>-1203</v>
      </c>
      <c r="T134" s="259">
        <f t="shared" si="102"/>
        <v>-1568</v>
      </c>
      <c r="U134" s="259">
        <f t="shared" si="102"/>
        <v>-1934</v>
      </c>
      <c r="V134" s="259">
        <f t="shared" si="102"/>
        <v>-2299</v>
      </c>
      <c r="W134" s="259">
        <f t="shared" si="102"/>
        <v>-2664</v>
      </c>
      <c r="X134" s="259">
        <f t="shared" si="102"/>
        <v>-3029</v>
      </c>
      <c r="Y134" s="259">
        <f t="shared" si="102"/>
        <v>-3395</v>
      </c>
      <c r="Z134" s="259">
        <f t="shared" si="102"/>
        <v>-3760</v>
      </c>
      <c r="AA134" s="267">
        <f>(VLOOKUP(A134,Hshldprojections2014!$A$2:$AW$319,40, FALSE)-VLOOKUP(A134,Hshldprojections2014!$A$2:$AW$319,30, FALSE))/10</f>
        <v>387</v>
      </c>
      <c r="AB134" s="267">
        <f>(VLOOKUP(A134,Hshldprojections2014!$A$2:$AW$319,41, FALSE)-VLOOKUP(A134,Hshldprojections2014!$A$2:$AW$319,31, FALSE))/10</f>
        <v>382</v>
      </c>
      <c r="AC134" s="267">
        <f>(VLOOKUP(A134,Hshldprojections2014!$A$2:$AW$319,42, FALSE)-VLOOKUP(A134,Hshldprojections2014!$A$2:$AW$319,32, FALSE))/10</f>
        <v>377.7</v>
      </c>
      <c r="AD134" s="267">
        <f>IF(IndividualLATest!$J$7=2014,(VLOOKUP($A134,Hshldprojections2014!$A$2:$AY$326,43,FALSE)-VLOOKUP($A134,Hshldprojections2014!$A$2:$AY$326,33,FALSE))/10,IF(IndividualLATest!$J$7=2016,(VLOOKUP($A134,Hshldprojections2016!$A$1:$AQ$322,33,FALSE)-VLOOKUP($A134,Hshldprojections2016!$A$1:$AQ$322,23,FALSE))/10,(VLOOKUP($A134,Hshldprojections2018!$A$1:$AQ$327,33,FALSE)-VLOOKUP($A134,Hshldprojections2018!$A$1:$AQ$327,23,FALSE))/10))</f>
        <v>605.4</v>
      </c>
      <c r="AE134" s="267">
        <f>IF(IndividualLATest!$J$7=2014,(VLOOKUP($A134,Hshldprojections2014!$A$2:$AY$326,44,FALSE)-VLOOKUP($A134,Hshldprojections2014!$A$2:$AY$326,34,FALSE))/10,IF(IndividualLATest!$J$7=2016,(VLOOKUP($A134,Hshldprojections2016!$A$1:$AQ$322,34,FALSE)-VLOOKUP($A134,Hshldprojections2016!$A$1:$AQ$322,24,FALSE))/10,(VLOOKUP($A134,Hshldprojections2018!$A$1:$AQ$327,34,FALSE)-VLOOKUP($A134,Hshldprojections2018!$A$1:$AQ$327,24,FALSE))/10))</f>
        <v>596.4</v>
      </c>
      <c r="AF134" s="267">
        <f>IF(IndividualLATest!$J$7=2014,(VLOOKUP($A134,Hshldprojections2014!$A$2:$AY$326,45,FALSE)-VLOOKUP($A134,Hshldprojections2014!$A$2:$AY$326,35,FALSE))/10,IF(IndividualLATest!$J$7=2016,(VLOOKUP($A134,Hshldprojections2016!$A$1:$AQ$322,35,FALSE)-VLOOKUP($A134,Hshldprojections2016!$A$1:$AQ$322,25,FALSE))/10,(VLOOKUP($A134,Hshldprojections2018!$A$1:$AQ$327,35,FALSE)-VLOOKUP($A134,Hshldprojections2018!$A$1:$AQ$327,25,FALSE))/10))</f>
        <v>586.9</v>
      </c>
      <c r="AG134" s="267">
        <f>IF(IndividualLATest!$J$7=2014,(VLOOKUP($A134,Hshldprojections2014!$A$2:$AY$326,46,FALSE)-VLOOKUP($A134,Hshldprojections2014!$A$2:$AY$326,36,FALSE))/10,IF(IndividualLATest!$J$7=2016,(VLOOKUP($A134,Hshldprojections2016!$A$1:$AQ$322,36,FALSE)-VLOOKUP($A134,Hshldprojections2016!$A$1:$AQ$322,26,FALSE))/10,(VLOOKUP($A134,Hshldprojections2018!$A$1:$AQ$327,36,FALSE)-VLOOKUP($A134,Hshldprojections2018!$A$1:$AQ$327,26,FALSE))/10))</f>
        <v>573.1</v>
      </c>
      <c r="AH134" s="267">
        <f>IF(IndividualLATest!$J$7=2014,(VLOOKUP($A134,Hshldprojections2014!$A$2:$AY$326,47,FALSE)-VLOOKUP($A134,Hshldprojections2014!$A$2:$AY$326,37,FALSE))/10,IF(IndividualLATest!$J$7=2016,(VLOOKUP($A134,Hshldprojections2016!$A$1:$AQ$322,37,FALSE)-VLOOKUP($A134,Hshldprojections2016!$A$1:$AQ$322,27,FALSE))/10,(VLOOKUP($A134,Hshldprojections2018!$A$1:$AQ$327,37,FALSE)-VLOOKUP($A134,Hshldprojections2018!$A$1:$AQ$327,27,FALSE))/10))</f>
        <v>562.70000000000005</v>
      </c>
      <c r="AI134" s="268">
        <f>IF(ISNUMBER('Sensitivity Tests'!$C$30),'Sensitivity Tests'!$C$30,VLOOKUP($A134,AffordabilityRatio!$A$2:$I$321,5,FALSE))</f>
        <v>7.26</v>
      </c>
      <c r="AJ134" s="268">
        <f>IF(ISNUMBER('Sensitivity Tests'!$C$30),'Sensitivity Tests'!$C$30,VLOOKUP($A134,AffordabilityRatio!$A$2:$I$321,6,FALSE))</f>
        <v>7.17</v>
      </c>
      <c r="AK134" s="268">
        <f>IF(ISNUMBER('Sensitivity Tests'!$C$30),'Sensitivity Tests'!$C$30,VLOOKUP($A134,AffordabilityRatio!$A$2:$I$321,7,FALSE))</f>
        <v>7.3</v>
      </c>
      <c r="AL134" s="268">
        <f>IF(ISNUMBER('Sensitivity Tests'!$C$30),'Sensitivity Tests'!$C$30,IF((VLOOKUP($A134,AffordabilityRatio!$A$2:$I$321,8,FALSE))="",AK134,VLOOKUP($A134,AffordabilityRatio!$A$2:$I$321,8,FALSE)))</f>
        <v>7.21</v>
      </c>
      <c r="AM134" s="268">
        <f>IF(ISNUMBER('Sensitivity Tests'!$C$30),'Sensitivity Tests'!$C$30,IF((VLOOKUP($A134,AffordabilityRatio!$A$2:$I$321,9,FALSE))="",AL134,VLOOKUP($A134,AffordabilityRatio!$A$2:$I$321,9,FALSE)))</f>
        <v>8.3800000000000008</v>
      </c>
      <c r="AN134" s="268">
        <f>IF(ISNUMBER('Sensitivity Tests'!$C$30),'Sensitivity Tests'!$C$30,IF((VLOOKUP($A134,AffordabilityRatio!$A$2:$I$321,9,FALSE))="",AM134,VLOOKUP($A134,AffordabilityRatio!$A$2:$I$321,9,FALSE)))</f>
        <v>8.3800000000000008</v>
      </c>
      <c r="AO134" s="268">
        <f>IF(ISNUMBER('Sensitivity Tests'!$C$30),'Sensitivity Tests'!$C$30,IF((VLOOKUP($A134,AffordabilityRatio!$A$2:$I$321,9,FALSE))="",AN134,VLOOKUP($A134,AffordabilityRatio!$A$2:$I$321,9,FALSE)))</f>
        <v>8.3800000000000008</v>
      </c>
      <c r="AP134" s="268">
        <f>IF(ISNUMBER('Sensitivity Tests'!$C$30),'Sensitivity Tests'!$C$30,IF((VLOOKUP($A134,AffordabilityRatio!$A$2:$I$321,9,FALSE))="",AO134,VLOOKUP($A134,AffordabilityRatio!$A$2:$I$321,9,FALSE)))</f>
        <v>8.3800000000000008</v>
      </c>
      <c r="AQ134" s="267">
        <f t="shared" si="104"/>
        <v>466</v>
      </c>
      <c r="AR134" s="267">
        <f t="shared" si="104"/>
        <v>458</v>
      </c>
      <c r="AS134" s="267">
        <f t="shared" si="104"/>
        <v>456</v>
      </c>
      <c r="AT134" s="267">
        <f t="shared" si="103"/>
        <v>727</v>
      </c>
      <c r="AU134" s="267">
        <f t="shared" si="103"/>
        <v>760</v>
      </c>
      <c r="AV134" s="267">
        <f t="shared" si="103"/>
        <v>748</v>
      </c>
      <c r="AW134" s="267">
        <f t="shared" si="103"/>
        <v>730</v>
      </c>
      <c r="AX134" s="267">
        <f t="shared" si="95"/>
        <v>717</v>
      </c>
      <c r="AY134" s="267">
        <f t="shared" ref="AY134:AY197" si="122">IF(AA134&lt;0,0,IF(K134="-",MIN((MAX(J134, AA134)+((MAX(J134, AA134))*0.4)),AQ134),MIN(K134+(K134*0.4),AQ134)))</f>
        <v>466</v>
      </c>
      <c r="AZ134" s="267">
        <f t="shared" ref="AZ134:AZ197" si="123">IF(AB134&lt;0,0,IF(L134="-",MIN((MAX(J134, AB134)+((MAX(J134, AB134))*0.4)),AR134),MIN(L134+(L134*0.4),AR134)))</f>
        <v>458</v>
      </c>
      <c r="BA134" s="267">
        <f t="shared" ref="BA134:BA197" si="124">IF(AC134&lt;0,0,IF(M134="-",MIN((MAX(J134, AC134)+((MAX(J134, AC134))*0.4)),AS134),MIN(M134+(M134*0.4),AS134)))</f>
        <v>456</v>
      </c>
      <c r="BB134" s="267">
        <f t="shared" ref="BB134:BB197" si="125">IF(AD134&lt;0,0,IF(N134="-",MIN((MAX(J134, AD134)+((MAX(J134, AD134))*0.4)),AT134),MIN(N134+(N134*0.4),AT134)))</f>
        <v>727</v>
      </c>
      <c r="BC134" s="267">
        <f t="shared" ref="BC134:BC197" si="126">IF(AE134&lt;0,0,IF(O134="-",MIN((MAX(J134, AE134)+((MAX(J134, AE134))*0.4)),AU134),MIN(O134+(O134*0.4),AU134)))</f>
        <v>760</v>
      </c>
      <c r="BD134" s="267">
        <f t="shared" ref="BD134:BD197" si="127">IF(AF134&lt;0,0,IF(P134="-",MIN((MAX(J134, AF134)+((MAX(J134, AF134))*0.4)),AV134),MIN(P134+(P134*0.4),AV134)))</f>
        <v>748</v>
      </c>
      <c r="BE134" s="267">
        <f t="shared" ref="BE134:BE197" si="128">IF(AG134&lt;0,0,IF(Q134="-",MIN((MAX(J134, AG134)+((MAX(J134, AG134))*0.4)),AW134),MIN(Q134+(Q134*0.4),AW134)))</f>
        <v>730</v>
      </c>
      <c r="BF134" s="267">
        <f t="shared" ref="BF134:BF197" si="129">IF(AH134&lt;0,0,IF(R134="-",MIN((MAX(J134, AH134)+((MAX(J134, AH134))*0.4)),AX134),MIN(R134+(R134*0.4),AX134)))</f>
        <v>717</v>
      </c>
      <c r="BG134" s="269">
        <f>AY134*VLOOKUP($B134,'Major Cities &amp; Towns'!$A$28:$B$345,2,FALSE)</f>
        <v>466</v>
      </c>
      <c r="BH134" s="269">
        <f>AZ134*VLOOKUP($B134,'Major Cities &amp; Towns'!$A$28:$B$345,2,FALSE)</f>
        <v>458</v>
      </c>
      <c r="BI134" s="269">
        <f>BA134*VLOOKUP($B134,'Major Cities &amp; Towns'!$A$28:$B$345,2,FALSE)</f>
        <v>456</v>
      </c>
      <c r="BJ134" s="269">
        <f>BB134*VLOOKUP($B134,'Major Cities &amp; Towns'!$A$28:$B$345,2,FALSE)</f>
        <v>727</v>
      </c>
      <c r="BK134" s="269">
        <f>BC134*VLOOKUP($B134,'Major Cities &amp; Towns'!$A$28:$B$345,2,FALSE)</f>
        <v>760</v>
      </c>
      <c r="BL134" s="269">
        <f>BD134*VLOOKUP($B134,'Major Cities &amp; Towns'!$A$28:$B$345,2,FALSE)</f>
        <v>748</v>
      </c>
      <c r="BM134" s="269">
        <f>BE134*VLOOKUP($B134,'Major Cities &amp; Towns'!$A$28:$B$345,2,FALSE)</f>
        <v>730</v>
      </c>
      <c r="BN134" s="269">
        <f>BF134*VLOOKUP($B134,'Major Cities &amp; Towns'!$A$28:$B$345,2,FALSE)</f>
        <v>717</v>
      </c>
      <c r="BO134" s="270">
        <f t="shared" ref="BO134:BO197" si="130">IFERROR(IF(AND(S134&lt;365,S134&gt;0),SUM(((S134/365)*(MIN(K134,BG134)))+(((365-S134)/365)*AQ134)),(MIN(K134,AQ134))),AQ134)</f>
        <v>466</v>
      </c>
      <c r="BP134" s="270">
        <f t="shared" si="100"/>
        <v>458</v>
      </c>
      <c r="BQ134" s="270">
        <f t="shared" si="100"/>
        <v>456</v>
      </c>
      <c r="BR134" s="270">
        <f t="shared" si="100"/>
        <v>727</v>
      </c>
      <c r="BS134" s="270">
        <f t="shared" si="100"/>
        <v>760</v>
      </c>
      <c r="BT134" s="270">
        <f t="shared" si="100"/>
        <v>748</v>
      </c>
      <c r="BU134" s="270">
        <f t="shared" si="100"/>
        <v>730</v>
      </c>
      <c r="BV134" s="270">
        <f t="shared" si="99"/>
        <v>717</v>
      </c>
      <c r="BW134" s="39">
        <f>VLOOKUP($A134,NetAdditions!$A$2:$H$336,6,FALSE)</f>
        <v>425</v>
      </c>
      <c r="BX134" s="39">
        <f>VLOOKUP($A134,NetAdditions!$A$2:$H$336,7,FALSE)</f>
        <v>285</v>
      </c>
      <c r="BY134" s="39">
        <f>IF((VLOOKUP($C134,NetAdditions!$A$2:$H$336,8,FALSE))="",(AVERAGE(VLOOKUP($C134,NetAdditions!$A$2:$H$336,5,FALSE),VLOOKUP($C134,NetAdditions!$A$2:$H$336,6,FALSE),VLOOKUP($C134,NetAdditions!$A$2:$H$336,7,FALSE))),VLOOKUP($C134,NetAdditions!$A$2:$H$336,8,FALSE))</f>
        <v>267</v>
      </c>
      <c r="BZ134" s="39">
        <f t="shared" si="105"/>
        <v>325.66666666666669</v>
      </c>
      <c r="CA134" s="39">
        <f t="shared" si="105"/>
        <v>292.5555555555556</v>
      </c>
      <c r="CB134" s="39">
        <f t="shared" si="105"/>
        <v>295.07407407407413</v>
      </c>
      <c r="CC134" s="39">
        <f t="shared" si="105"/>
        <v>304.43209876543216</v>
      </c>
      <c r="CD134" s="39">
        <f t="shared" si="105"/>
        <v>297.35390946502065</v>
      </c>
      <c r="CE134" s="276">
        <f t="shared" si="106"/>
        <v>1380</v>
      </c>
      <c r="CF134" s="276">
        <f t="shared" si="107"/>
        <v>1641</v>
      </c>
      <c r="CG134" s="276">
        <f t="shared" si="108"/>
        <v>1943</v>
      </c>
      <c r="CH134" s="276">
        <f t="shared" si="109"/>
        <v>2235</v>
      </c>
      <c r="CI134" s="276">
        <f t="shared" si="110"/>
        <v>2238</v>
      </c>
      <c r="CJ134" s="276">
        <f t="shared" si="111"/>
        <v>2195</v>
      </c>
      <c r="CK134" s="276">
        <f t="shared" ref="CK134:CK197" si="131">CE134*((24+7)/36)</f>
        <v>1188.3333333333335</v>
      </c>
      <c r="CL134" s="276">
        <f t="shared" ref="CL134:CL197" si="132">CF134*((24+7)/36)</f>
        <v>1413.0833333333335</v>
      </c>
      <c r="CM134" s="276">
        <f t="shared" ref="CM134:CM197" si="133">CG134*((24+9)/36)</f>
        <v>1781.0833333333333</v>
      </c>
      <c r="CN134" s="276">
        <f t="shared" ref="CN134:CP197" si="134">CH134</f>
        <v>2235</v>
      </c>
      <c r="CO134" s="276">
        <f t="shared" si="134"/>
        <v>2238</v>
      </c>
      <c r="CP134" s="276">
        <f t="shared" si="134"/>
        <v>2195</v>
      </c>
      <c r="CQ134" s="39">
        <f t="shared" si="112"/>
        <v>977</v>
      </c>
      <c r="CR134" s="39">
        <f t="shared" si="113"/>
        <v>877.66666666666674</v>
      </c>
      <c r="CS134" s="277">
        <f t="shared" si="114"/>
        <v>885.2222222222224</v>
      </c>
      <c r="CT134" s="39">
        <f t="shared" si="115"/>
        <v>913.29629629629642</v>
      </c>
      <c r="CU134" s="39">
        <f t="shared" si="116"/>
        <v>892.06172839506189</v>
      </c>
      <c r="CV134" s="39">
        <f t="shared" si="117"/>
        <v>896.86008230452694</v>
      </c>
      <c r="CW134" s="297">
        <f t="shared" si="118"/>
        <v>0.82215988779803639</v>
      </c>
      <c r="CX134" s="279" t="str">
        <f t="shared" ref="CX134:CX197" si="135">IF(CW134&lt;0.25, "Presumption", IF(CW134&lt;0.85, "Buffer and Action Plan", IF(CW134&lt;0.95, "Action Plan", "Pass")))</f>
        <v>Buffer and Action Plan</v>
      </c>
      <c r="CY134" s="278">
        <f t="shared" si="119"/>
        <v>0.6211004305006782</v>
      </c>
      <c r="CZ134" s="279" t="str">
        <f t="shared" ref="CZ134:CZ197" si="136">IF(CY134&lt;0.45, "Presumption", IF(CY134&lt;0.85, "Buffer and Action Plan", IF(CY134&lt;0.95, "Action Plan", "Pass")))</f>
        <v>Buffer and Action Plan</v>
      </c>
      <c r="DA134" s="278">
        <f t="shared" si="120"/>
        <v>0.49701336577301591</v>
      </c>
      <c r="DB134" s="292" t="str">
        <f t="shared" ref="DB134:DB197" si="137">IF(DA134&lt;0.75, "Presumption", IF(DA134&lt;0.85, "Buffer and Action Plan", IF(DA134&lt;0.95, "Action Plan", "Pass")))</f>
        <v>Presumption</v>
      </c>
      <c r="DC134" s="299">
        <f t="shared" ref="DC134:DC197" si="138">IFERROR(CT134/CN134,"-")</f>
        <v>0.40863368961802971</v>
      </c>
      <c r="DD134" s="293" t="str">
        <f t="shared" ref="DD134:DD197" si="139">IF(DC134&lt;0.75, "Presumption", IF(DC134&lt;0.85, "Buffer and Action Plan", IF(DC134&lt;0.95, "Action Plan", "Pass")))</f>
        <v>Presumption</v>
      </c>
      <c r="DE134" s="299">
        <f t="shared" ref="DE134:DE197" si="140">IFERROR(CU134/CO134,"-")</f>
        <v>0.39859773386731989</v>
      </c>
      <c r="DF134" s="293" t="str">
        <f t="shared" ref="DF134:DF197" si="141">IF(DE134&lt;0.75, "Presumption", IF(DE134&lt;0.85, "Buffer and Action Plan", IF(DE134&lt;0.95, "Action Plan", "Pass")))</f>
        <v>Presumption</v>
      </c>
      <c r="DG134" s="299">
        <f t="shared" ref="DG134:DG197" si="142">IFERROR(CV134/CP134,"-")</f>
        <v>0.40859229262165236</v>
      </c>
      <c r="DH134" s="293" t="str">
        <f t="shared" ref="DH134:DH197" si="143">IF(DG134&lt;0.75, "Presumption", IF(DG134&lt;0.85, "Buffer and Action Plan", IF(DG134&lt;0.95, "Action Plan", "Pass")))</f>
        <v>Presumption</v>
      </c>
    </row>
    <row r="135" spans="1:112" ht="15" thickTop="1" thickBot="1">
      <c r="A135" s="38" t="s">
        <v>380</v>
      </c>
      <c r="B135" s="38" t="s">
        <v>381</v>
      </c>
      <c r="C135" s="38" t="s">
        <v>380</v>
      </c>
      <c r="D135" s="38" t="s">
        <v>113</v>
      </c>
      <c r="E135" s="38" t="str">
        <f>VLOOKUP(C135,PoliticalControl!A:K,11,FALSE)</f>
        <v>CON</v>
      </c>
      <c r="F135" s="38" t="str">
        <f>VLOOKUP(C135,UrbanRuralClassification!A:N,13,FALSE)</f>
        <v xml:space="preserve">Largely Rural (rural including hub towns 50-79%) </v>
      </c>
      <c r="G135" s="38" t="str">
        <f>VLOOKUP(C135,UrbanRuralClassification!A:N,14,FALSE)</f>
        <v>Predominantly Rural</v>
      </c>
      <c r="H135" s="258">
        <f>IF(ISBLANK((VLOOKUP($A135,'local-plan-data'!$C$1:$AD$566,27,FALSE)))=TRUE,"",VLOOKUP($A135,'local-plan-data'!$C$1:$AD$566,27,FALSE))</f>
        <v>42335</v>
      </c>
      <c r="I135" s="259">
        <f>VLOOKUP($A135,'local-plan-data'!$C$1:$AD$566,28,FALSE)</f>
        <v>800</v>
      </c>
      <c r="J135" s="260">
        <f t="shared" si="121"/>
        <v>800</v>
      </c>
      <c r="K135" s="259">
        <f t="shared" si="96"/>
        <v>800</v>
      </c>
      <c r="L135" s="259">
        <f t="shared" si="101"/>
        <v>800</v>
      </c>
      <c r="M135" s="259">
        <f t="shared" si="101"/>
        <v>800</v>
      </c>
      <c r="N135" s="259" t="str">
        <f t="shared" si="101"/>
        <v>-</v>
      </c>
      <c r="O135" s="259" t="str">
        <f t="shared" si="101"/>
        <v>-</v>
      </c>
      <c r="P135" s="259" t="str">
        <f t="shared" si="101"/>
        <v>-</v>
      </c>
      <c r="Q135" s="259" t="str">
        <f t="shared" si="101"/>
        <v>-</v>
      </c>
      <c r="R135" s="259" t="str">
        <f t="shared" si="101"/>
        <v>-</v>
      </c>
      <c r="S135" s="259">
        <f t="shared" si="97"/>
        <v>971</v>
      </c>
      <c r="T135" s="259">
        <f t="shared" si="102"/>
        <v>606</v>
      </c>
      <c r="U135" s="259">
        <f t="shared" si="102"/>
        <v>240</v>
      </c>
      <c r="V135" s="259">
        <f t="shared" si="102"/>
        <v>-125</v>
      </c>
      <c r="W135" s="259">
        <f t="shared" si="102"/>
        <v>-490</v>
      </c>
      <c r="X135" s="259">
        <f t="shared" si="102"/>
        <v>-855</v>
      </c>
      <c r="Y135" s="259">
        <f t="shared" si="102"/>
        <v>-1221</v>
      </c>
      <c r="Z135" s="259">
        <f t="shared" si="102"/>
        <v>-1586</v>
      </c>
      <c r="AA135" s="267">
        <f>(VLOOKUP(A135,Hshldprojections2014!$A$2:$AW$319,40, FALSE)-VLOOKUP(A135,Hshldprojections2014!$A$2:$AW$319,30, FALSE))/10</f>
        <v>603.9</v>
      </c>
      <c r="AB135" s="267">
        <f>(VLOOKUP(A135,Hshldprojections2014!$A$2:$AW$319,41, FALSE)-VLOOKUP(A135,Hshldprojections2014!$A$2:$AW$319,31, FALSE))/10</f>
        <v>597.20000000000005</v>
      </c>
      <c r="AC135" s="267">
        <f>(VLOOKUP(A135,Hshldprojections2014!$A$2:$AW$319,42, FALSE)-VLOOKUP(A135,Hshldprojections2014!$A$2:$AW$319,32, FALSE))/10</f>
        <v>591.6</v>
      </c>
      <c r="AD135" s="267">
        <f>IF(IndividualLATest!$J$7=2014,(VLOOKUP($A135,Hshldprojections2014!$A$2:$AY$326,43,FALSE)-VLOOKUP($A135,Hshldprojections2014!$A$2:$AY$326,33,FALSE))/10,IF(IndividualLATest!$J$7=2016,(VLOOKUP($A135,Hshldprojections2016!$A$1:$AQ$322,33,FALSE)-VLOOKUP($A135,Hshldprojections2016!$A$1:$AQ$322,23,FALSE))/10,(VLOOKUP($A135,Hshldprojections2018!$A$1:$AQ$327,33,FALSE)-VLOOKUP($A135,Hshldprojections2018!$A$1:$AQ$327,23,FALSE))/10))</f>
        <v>750.4</v>
      </c>
      <c r="AE135" s="267">
        <f>IF(IndividualLATest!$J$7=2014,(VLOOKUP($A135,Hshldprojections2014!$A$2:$AY$326,44,FALSE)-VLOOKUP($A135,Hshldprojections2014!$A$2:$AY$326,34,FALSE))/10,IF(IndividualLATest!$J$7=2016,(VLOOKUP($A135,Hshldprojections2016!$A$1:$AQ$322,34,FALSE)-VLOOKUP($A135,Hshldprojections2016!$A$1:$AQ$322,24,FALSE))/10,(VLOOKUP($A135,Hshldprojections2018!$A$1:$AQ$327,34,FALSE)-VLOOKUP($A135,Hshldprojections2018!$A$1:$AQ$327,24,FALSE))/10))</f>
        <v>727.7</v>
      </c>
      <c r="AF135" s="267">
        <f>IF(IndividualLATest!$J$7=2014,(VLOOKUP($A135,Hshldprojections2014!$A$2:$AY$326,45,FALSE)-VLOOKUP($A135,Hshldprojections2014!$A$2:$AY$326,35,FALSE))/10,IF(IndividualLATest!$J$7=2016,(VLOOKUP($A135,Hshldprojections2016!$A$1:$AQ$322,35,FALSE)-VLOOKUP($A135,Hshldprojections2016!$A$1:$AQ$322,25,FALSE))/10,(VLOOKUP($A135,Hshldprojections2018!$A$1:$AQ$327,35,FALSE)-VLOOKUP($A135,Hshldprojections2018!$A$1:$AQ$327,25,FALSE))/10))</f>
        <v>705.4</v>
      </c>
      <c r="AG135" s="267">
        <f>IF(IndividualLATest!$J$7=2014,(VLOOKUP($A135,Hshldprojections2014!$A$2:$AY$326,46,FALSE)-VLOOKUP($A135,Hshldprojections2014!$A$2:$AY$326,36,FALSE))/10,IF(IndividualLATest!$J$7=2016,(VLOOKUP($A135,Hshldprojections2016!$A$1:$AQ$322,36,FALSE)-VLOOKUP($A135,Hshldprojections2016!$A$1:$AQ$322,26,FALSE))/10,(VLOOKUP($A135,Hshldprojections2018!$A$1:$AQ$327,36,FALSE)-VLOOKUP($A135,Hshldprojections2018!$A$1:$AQ$327,26,FALSE))/10))</f>
        <v>686.3</v>
      </c>
      <c r="AH135" s="267">
        <f>IF(IndividualLATest!$J$7=2014,(VLOOKUP($A135,Hshldprojections2014!$A$2:$AY$326,47,FALSE)-VLOOKUP($A135,Hshldprojections2014!$A$2:$AY$326,37,FALSE))/10,IF(IndividualLATest!$J$7=2016,(VLOOKUP($A135,Hshldprojections2016!$A$1:$AQ$322,37,FALSE)-VLOOKUP($A135,Hshldprojections2016!$A$1:$AQ$322,27,FALSE))/10,(VLOOKUP($A135,Hshldprojections2018!$A$1:$AQ$327,37,FALSE)-VLOOKUP($A135,Hshldprojections2018!$A$1:$AQ$327,27,FALSE))/10))</f>
        <v>669.3</v>
      </c>
      <c r="AI135" s="268">
        <f>IF(ISNUMBER('Sensitivity Tests'!$C$30),'Sensitivity Tests'!$C$30,VLOOKUP($A135,AffordabilityRatio!$A$2:$I$321,5,FALSE))</f>
        <v>13.8</v>
      </c>
      <c r="AJ135" s="268">
        <f>IF(ISNUMBER('Sensitivity Tests'!$C$30),'Sensitivity Tests'!$C$30,VLOOKUP($A135,AffordabilityRatio!$A$2:$I$321,6,FALSE))</f>
        <v>13.87</v>
      </c>
      <c r="AK135" s="268">
        <f>IF(ISNUMBER('Sensitivity Tests'!$C$30),'Sensitivity Tests'!$C$30,VLOOKUP($A135,AffordabilityRatio!$A$2:$I$321,7,FALSE))</f>
        <v>12.76</v>
      </c>
      <c r="AL135" s="268">
        <f>IF(ISNUMBER('Sensitivity Tests'!$C$30),'Sensitivity Tests'!$C$30,IF((VLOOKUP($A135,AffordabilityRatio!$A$2:$I$321,8,FALSE))="",AK135,VLOOKUP($A135,AffordabilityRatio!$A$2:$I$321,8,FALSE)))</f>
        <v>12.47</v>
      </c>
      <c r="AM135" s="268">
        <f>IF(ISNUMBER('Sensitivity Tests'!$C$30),'Sensitivity Tests'!$C$30,IF((VLOOKUP($A135,AffordabilityRatio!$A$2:$I$321,9,FALSE))="",AL135,VLOOKUP($A135,AffordabilityRatio!$A$2:$I$321,9,FALSE)))</f>
        <v>13.93</v>
      </c>
      <c r="AN135" s="268">
        <f>IF(ISNUMBER('Sensitivity Tests'!$C$30),'Sensitivity Tests'!$C$30,IF((VLOOKUP($A135,AffordabilityRatio!$A$2:$I$321,9,FALSE))="",AM135,VLOOKUP($A135,AffordabilityRatio!$A$2:$I$321,9,FALSE)))</f>
        <v>13.93</v>
      </c>
      <c r="AO135" s="268">
        <f>IF(ISNUMBER('Sensitivity Tests'!$C$30),'Sensitivity Tests'!$C$30,IF((VLOOKUP($A135,AffordabilityRatio!$A$2:$I$321,9,FALSE))="",AN135,VLOOKUP($A135,AffordabilityRatio!$A$2:$I$321,9,FALSE)))</f>
        <v>13.93</v>
      </c>
      <c r="AP135" s="268">
        <f>IF(ISNUMBER('Sensitivity Tests'!$C$30),'Sensitivity Tests'!$C$30,IF((VLOOKUP($A135,AffordabilityRatio!$A$2:$I$321,9,FALSE))="",AO135,VLOOKUP($A135,AffordabilityRatio!$A$2:$I$321,9,FALSE)))</f>
        <v>13.93</v>
      </c>
      <c r="AQ135" s="267">
        <f t="shared" si="104"/>
        <v>974</v>
      </c>
      <c r="AR135" s="267">
        <f t="shared" si="104"/>
        <v>966</v>
      </c>
      <c r="AS135" s="267">
        <f t="shared" si="104"/>
        <v>916</v>
      </c>
      <c r="AT135" s="267">
        <f t="shared" si="103"/>
        <v>1148</v>
      </c>
      <c r="AU135" s="267">
        <f t="shared" si="103"/>
        <v>1179</v>
      </c>
      <c r="AV135" s="267">
        <f t="shared" si="103"/>
        <v>1143</v>
      </c>
      <c r="AW135" s="267">
        <f t="shared" si="103"/>
        <v>1112</v>
      </c>
      <c r="AX135" s="267">
        <f t="shared" si="95"/>
        <v>1085</v>
      </c>
      <c r="AY135" s="267">
        <f t="shared" si="122"/>
        <v>974</v>
      </c>
      <c r="AZ135" s="267">
        <f t="shared" si="123"/>
        <v>966</v>
      </c>
      <c r="BA135" s="267">
        <f t="shared" si="124"/>
        <v>916</v>
      </c>
      <c r="BB135" s="267">
        <f t="shared" si="125"/>
        <v>1120</v>
      </c>
      <c r="BC135" s="267">
        <f t="shared" si="126"/>
        <v>1120</v>
      </c>
      <c r="BD135" s="267">
        <f t="shared" si="127"/>
        <v>1120</v>
      </c>
      <c r="BE135" s="267">
        <f t="shared" si="128"/>
        <v>1112</v>
      </c>
      <c r="BF135" s="267">
        <f t="shared" si="129"/>
        <v>1085</v>
      </c>
      <c r="BG135" s="269">
        <f>AY135*VLOOKUP($B135,'Major Cities &amp; Towns'!$A$28:$B$345,2,FALSE)</f>
        <v>974</v>
      </c>
      <c r="BH135" s="269">
        <f>AZ135*VLOOKUP($B135,'Major Cities &amp; Towns'!$A$28:$B$345,2,FALSE)</f>
        <v>966</v>
      </c>
      <c r="BI135" s="269">
        <f>BA135*VLOOKUP($B135,'Major Cities &amp; Towns'!$A$28:$B$345,2,FALSE)</f>
        <v>916</v>
      </c>
      <c r="BJ135" s="269">
        <f>BB135*VLOOKUP($B135,'Major Cities &amp; Towns'!$A$28:$B$345,2,FALSE)</f>
        <v>1120</v>
      </c>
      <c r="BK135" s="269">
        <f>BC135*VLOOKUP($B135,'Major Cities &amp; Towns'!$A$28:$B$345,2,FALSE)</f>
        <v>1120</v>
      </c>
      <c r="BL135" s="269">
        <f>BD135*VLOOKUP($B135,'Major Cities &amp; Towns'!$A$28:$B$345,2,FALSE)</f>
        <v>1120</v>
      </c>
      <c r="BM135" s="269">
        <f>BE135*VLOOKUP($B135,'Major Cities &amp; Towns'!$A$28:$B$345,2,FALSE)</f>
        <v>1112</v>
      </c>
      <c r="BN135" s="269">
        <f>BF135*VLOOKUP($B135,'Major Cities &amp; Towns'!$A$28:$B$345,2,FALSE)</f>
        <v>1085</v>
      </c>
      <c r="BO135" s="270">
        <f t="shared" si="130"/>
        <v>800</v>
      </c>
      <c r="BP135" s="270">
        <f t="shared" si="100"/>
        <v>800</v>
      </c>
      <c r="BQ135" s="270">
        <f t="shared" si="100"/>
        <v>839.72602739726017</v>
      </c>
      <c r="BR135" s="270">
        <f t="shared" si="100"/>
        <v>1148</v>
      </c>
      <c r="BS135" s="270">
        <f t="shared" si="100"/>
        <v>1179</v>
      </c>
      <c r="BT135" s="270">
        <f t="shared" si="100"/>
        <v>1143</v>
      </c>
      <c r="BU135" s="270">
        <f t="shared" si="100"/>
        <v>1112</v>
      </c>
      <c r="BV135" s="270">
        <f t="shared" si="99"/>
        <v>1085</v>
      </c>
      <c r="BW135" s="39">
        <f>VLOOKUP($A135,NetAdditions!$A$2:$H$336,6,FALSE)</f>
        <v>1392</v>
      </c>
      <c r="BX135" s="39">
        <f>VLOOKUP($A135,NetAdditions!$A$2:$H$336,7,FALSE)</f>
        <v>955</v>
      </c>
      <c r="BY135" s="39">
        <f>IF((VLOOKUP($C135,NetAdditions!$A$2:$H$336,8,FALSE))="",(AVERAGE(VLOOKUP($C135,NetAdditions!$A$2:$H$336,5,FALSE),VLOOKUP($C135,NetAdditions!$A$2:$H$336,6,FALSE),VLOOKUP($C135,NetAdditions!$A$2:$H$336,7,FALSE))),VLOOKUP($C135,NetAdditions!$A$2:$H$336,8,FALSE))</f>
        <v>771</v>
      </c>
      <c r="BZ135" s="39">
        <f t="shared" si="105"/>
        <v>1039.3333333333333</v>
      </c>
      <c r="CA135" s="39">
        <f t="shared" si="105"/>
        <v>921.77777777777771</v>
      </c>
      <c r="CB135" s="39">
        <f t="shared" si="105"/>
        <v>910.70370370370358</v>
      </c>
      <c r="CC135" s="39">
        <f t="shared" si="105"/>
        <v>957.27160493827148</v>
      </c>
      <c r="CD135" s="39">
        <f t="shared" si="105"/>
        <v>929.917695473251</v>
      </c>
      <c r="CE135" s="276">
        <f t="shared" si="106"/>
        <v>2439.7260273972602</v>
      </c>
      <c r="CF135" s="276">
        <f t="shared" si="107"/>
        <v>2787.7260273972602</v>
      </c>
      <c r="CG135" s="276">
        <f t="shared" si="108"/>
        <v>3166.7260273972602</v>
      </c>
      <c r="CH135" s="276">
        <f t="shared" si="109"/>
        <v>3470</v>
      </c>
      <c r="CI135" s="276">
        <f t="shared" si="110"/>
        <v>3434</v>
      </c>
      <c r="CJ135" s="276">
        <f t="shared" si="111"/>
        <v>3340</v>
      </c>
      <c r="CK135" s="276">
        <f t="shared" si="131"/>
        <v>2100.8751902587519</v>
      </c>
      <c r="CL135" s="276">
        <f t="shared" si="132"/>
        <v>2400.5418569254184</v>
      </c>
      <c r="CM135" s="276">
        <f t="shared" si="133"/>
        <v>2902.8321917808216</v>
      </c>
      <c r="CN135" s="276">
        <f t="shared" si="134"/>
        <v>3470</v>
      </c>
      <c r="CO135" s="276">
        <f t="shared" si="134"/>
        <v>3434</v>
      </c>
      <c r="CP135" s="276">
        <f t="shared" si="134"/>
        <v>3340</v>
      </c>
      <c r="CQ135" s="39">
        <f t="shared" si="112"/>
        <v>3118</v>
      </c>
      <c r="CR135" s="39">
        <f t="shared" si="113"/>
        <v>2765.333333333333</v>
      </c>
      <c r="CS135" s="277">
        <f t="shared" si="114"/>
        <v>2732.1111111111109</v>
      </c>
      <c r="CT135" s="39">
        <f t="shared" si="115"/>
        <v>2871.8148148148143</v>
      </c>
      <c r="CU135" s="39">
        <f t="shared" si="116"/>
        <v>2789.7530864197529</v>
      </c>
      <c r="CV135" s="39">
        <f t="shared" si="117"/>
        <v>2797.8930041152262</v>
      </c>
      <c r="CW135" s="297">
        <f t="shared" si="118"/>
        <v>1.4841433772255528</v>
      </c>
      <c r="CX135" s="279" t="str">
        <f t="shared" si="135"/>
        <v>Pass</v>
      </c>
      <c r="CY135" s="278">
        <f t="shared" si="119"/>
        <v>1.1519621394459394</v>
      </c>
      <c r="CZ135" s="279" t="str">
        <f t="shared" si="136"/>
        <v>Pass</v>
      </c>
      <c r="DA135" s="278">
        <f t="shared" si="120"/>
        <v>0.94118809859106001</v>
      </c>
      <c r="DB135" s="292" t="str">
        <f t="shared" si="137"/>
        <v>Action Plan</v>
      </c>
      <c r="DC135" s="299">
        <f t="shared" si="138"/>
        <v>0.82761233856334704</v>
      </c>
      <c r="DD135" s="293" t="str">
        <f t="shared" si="139"/>
        <v>Buffer and Action Plan</v>
      </c>
      <c r="DE135" s="299">
        <f t="shared" si="140"/>
        <v>0.81239169668600841</v>
      </c>
      <c r="DF135" s="293" t="str">
        <f t="shared" si="141"/>
        <v>Buffer and Action Plan</v>
      </c>
      <c r="DG135" s="299">
        <f t="shared" si="142"/>
        <v>0.83769251620216356</v>
      </c>
      <c r="DH135" s="293" t="str">
        <f t="shared" si="143"/>
        <v>Buffer and Action Plan</v>
      </c>
    </row>
    <row r="136" spans="1:112" customFormat="1" ht="15.5" thickTop="1" thickBot="1">
      <c r="A136" s="3" t="s">
        <v>382</v>
      </c>
      <c r="B136" s="3" t="s">
        <v>383</v>
      </c>
      <c r="C136" s="3" t="s">
        <v>382</v>
      </c>
      <c r="D136" s="3" t="s">
        <v>131</v>
      </c>
      <c r="E136" s="3" t="str">
        <f>VLOOKUP(C136,PoliticalControl!A:K,11,FALSE)</f>
        <v>LAB</v>
      </c>
      <c r="F136" s="3" t="str">
        <f>VLOOKUP(C136,UrbanRuralClassification!A:N,13,FALSE)</f>
        <v>Urban with Major Conurbation</v>
      </c>
      <c r="G136" s="3" t="str">
        <f>VLOOKUP(C136,UrbanRuralClassification!A:N,14,FALSE)</f>
        <v>Predominantly Urban</v>
      </c>
      <c r="H136" s="262">
        <f>IF(ISBLANK((VLOOKUP($A136,'local-plan-data'!$C$1:$AD$566,27,FALSE)))=TRUE,"",VLOOKUP($A136,'local-plan-data'!$C$1:$AD$566,27,FALSE))</f>
        <v>42262</v>
      </c>
      <c r="I136" s="263">
        <f>VLOOKUP($A136,'local-plan-data'!$C$1:$AD$566,28,FALSE)</f>
        <v>822</v>
      </c>
      <c r="J136" s="264">
        <f t="shared" si="121"/>
        <v>822</v>
      </c>
      <c r="K136" s="259">
        <f t="shared" si="96"/>
        <v>822</v>
      </c>
      <c r="L136" s="259">
        <f t="shared" si="101"/>
        <v>822</v>
      </c>
      <c r="M136" s="259">
        <f t="shared" si="101"/>
        <v>822</v>
      </c>
      <c r="N136" s="259" t="str">
        <f t="shared" si="101"/>
        <v>-</v>
      </c>
      <c r="O136" s="259" t="str">
        <f t="shared" si="101"/>
        <v>-</v>
      </c>
      <c r="P136" s="259" t="str">
        <f t="shared" si="101"/>
        <v>-</v>
      </c>
      <c r="Q136" s="259" t="str">
        <f t="shared" si="101"/>
        <v>-</v>
      </c>
      <c r="R136" s="259" t="str">
        <f t="shared" si="101"/>
        <v>-</v>
      </c>
      <c r="S136" s="259">
        <f t="shared" si="97"/>
        <v>898</v>
      </c>
      <c r="T136" s="259">
        <f t="shared" si="102"/>
        <v>533</v>
      </c>
      <c r="U136" s="259">
        <f t="shared" si="102"/>
        <v>167</v>
      </c>
      <c r="V136" s="259">
        <f t="shared" si="102"/>
        <v>-198</v>
      </c>
      <c r="W136" s="259">
        <f t="shared" si="102"/>
        <v>-563</v>
      </c>
      <c r="X136" s="259">
        <f t="shared" si="102"/>
        <v>-928</v>
      </c>
      <c r="Y136" s="259">
        <f t="shared" si="102"/>
        <v>-1294</v>
      </c>
      <c r="Z136" s="259">
        <f t="shared" si="102"/>
        <v>-1659</v>
      </c>
      <c r="AA136" s="267">
        <f>(VLOOKUP(A136,Hshldprojections2014!$A$2:$AW$319,40, FALSE)-VLOOKUP(A136,Hshldprojections2014!$A$2:$AW$319,30, FALSE))/10</f>
        <v>1859.3</v>
      </c>
      <c r="AB136" s="267">
        <f>(VLOOKUP(A136,Hshldprojections2014!$A$2:$AW$319,41, FALSE)-VLOOKUP(A136,Hshldprojections2014!$A$2:$AW$319,31, FALSE))/10</f>
        <v>1823.8</v>
      </c>
      <c r="AC136" s="267">
        <f>(VLOOKUP(A136,Hshldprojections2014!$A$2:$AW$319,42, FALSE)-VLOOKUP(A136,Hshldprojections2014!$A$2:$AW$319,32, FALSE))/10</f>
        <v>1788.9</v>
      </c>
      <c r="AD136" s="267">
        <f>IF(IndividualLATest!$J$7=2014,(VLOOKUP($A136,Hshldprojections2014!$A$2:$AY$326,43,FALSE)-VLOOKUP($A136,Hshldprojections2014!$A$2:$AY$326,33,FALSE))/10,IF(IndividualLATest!$J$7=2016,(VLOOKUP($A136,Hshldprojections2016!$A$1:$AQ$322,33,FALSE)-VLOOKUP($A136,Hshldprojections2016!$A$1:$AQ$322,23,FALSE))/10,(VLOOKUP($A136,Hshldprojections2018!$A$1:$AQ$327,33,FALSE)-VLOOKUP($A136,Hshldprojections2018!$A$1:$AQ$327,23,FALSE))/10))</f>
        <v>583.5</v>
      </c>
      <c r="AE136" s="267">
        <f>IF(IndividualLATest!$J$7=2014,(VLOOKUP($A136,Hshldprojections2014!$A$2:$AY$326,44,FALSE)-VLOOKUP($A136,Hshldprojections2014!$A$2:$AY$326,34,FALSE))/10,IF(IndividualLATest!$J$7=2016,(VLOOKUP($A136,Hshldprojections2016!$A$1:$AQ$322,34,FALSE)-VLOOKUP($A136,Hshldprojections2016!$A$1:$AQ$322,24,FALSE))/10,(VLOOKUP($A136,Hshldprojections2018!$A$1:$AQ$327,34,FALSE)-VLOOKUP($A136,Hshldprojections2018!$A$1:$AQ$327,24,FALSE))/10))</f>
        <v>562</v>
      </c>
      <c r="AF136" s="267">
        <f>IF(IndividualLATest!$J$7=2014,(VLOOKUP($A136,Hshldprojections2014!$A$2:$AY$326,45,FALSE)-VLOOKUP($A136,Hshldprojections2014!$A$2:$AY$326,35,FALSE))/10,IF(IndividualLATest!$J$7=2016,(VLOOKUP($A136,Hshldprojections2016!$A$1:$AQ$322,35,FALSE)-VLOOKUP($A136,Hshldprojections2016!$A$1:$AQ$322,25,FALSE))/10,(VLOOKUP($A136,Hshldprojections2018!$A$1:$AQ$327,35,FALSE)-VLOOKUP($A136,Hshldprojections2018!$A$1:$AQ$327,25,FALSE))/10))</f>
        <v>542.6</v>
      </c>
      <c r="AG136" s="267">
        <f>IF(IndividualLATest!$J$7=2014,(VLOOKUP($A136,Hshldprojections2014!$A$2:$AY$326,46,FALSE)-VLOOKUP($A136,Hshldprojections2014!$A$2:$AY$326,36,FALSE))/10,IF(IndividualLATest!$J$7=2016,(VLOOKUP($A136,Hshldprojections2016!$A$1:$AQ$322,36,FALSE)-VLOOKUP($A136,Hshldprojections2016!$A$1:$AQ$322,26,FALSE))/10,(VLOOKUP($A136,Hshldprojections2018!$A$1:$AQ$327,36,FALSE)-VLOOKUP($A136,Hshldprojections2018!$A$1:$AQ$327,26,FALSE))/10))</f>
        <v>527.5</v>
      </c>
      <c r="AH136" s="267">
        <f>IF(IndividualLATest!$J$7=2014,(VLOOKUP($A136,Hshldprojections2014!$A$2:$AY$326,47,FALSE)-VLOOKUP($A136,Hshldprojections2014!$A$2:$AY$326,37,FALSE))/10,IF(IndividualLATest!$J$7=2016,(VLOOKUP($A136,Hshldprojections2016!$A$1:$AQ$322,37,FALSE)-VLOOKUP($A136,Hshldprojections2016!$A$1:$AQ$322,27,FALSE))/10,(VLOOKUP($A136,Hshldprojections2018!$A$1:$AQ$327,37,FALSE)-VLOOKUP($A136,Hshldprojections2018!$A$1:$AQ$327,27,FALSE))/10))</f>
        <v>513.4</v>
      </c>
      <c r="AI136" s="268">
        <f>IF(ISNUMBER('Sensitivity Tests'!$C$30),'Sensitivity Tests'!$C$30,VLOOKUP($A136,AffordabilityRatio!$A$2:$I$321,5,FALSE))</f>
        <v>11.14</v>
      </c>
      <c r="AJ136" s="268">
        <f>IF(ISNUMBER('Sensitivity Tests'!$C$30),'Sensitivity Tests'!$C$30,VLOOKUP($A136,AffordabilityRatio!$A$2:$I$321,6,FALSE))</f>
        <v>11.41</v>
      </c>
      <c r="AK136" s="268">
        <f>IF(ISNUMBER('Sensitivity Tests'!$C$30),'Sensitivity Tests'!$C$30,VLOOKUP($A136,AffordabilityRatio!$A$2:$I$321,7,FALSE))</f>
        <v>11.18</v>
      </c>
      <c r="AL136" s="268">
        <f>IF(ISNUMBER('Sensitivity Tests'!$C$30),'Sensitivity Tests'!$C$30,IF((VLOOKUP($A136,AffordabilityRatio!$A$2:$I$321,8,FALSE))="",AK136,VLOOKUP($A136,AffordabilityRatio!$A$2:$I$321,8,FALSE)))</f>
        <v>11.47</v>
      </c>
      <c r="AM136" s="268">
        <f>IF(ISNUMBER('Sensitivity Tests'!$C$30),'Sensitivity Tests'!$C$30,IF((VLOOKUP($A136,AffordabilityRatio!$A$2:$I$321,9,FALSE))="",AL136,VLOOKUP($A136,AffordabilityRatio!$A$2:$I$321,9,FALSE)))</f>
        <v>12.13</v>
      </c>
      <c r="AN136" s="268">
        <f>IF(ISNUMBER('Sensitivity Tests'!$C$30),'Sensitivity Tests'!$C$30,IF((VLOOKUP($A136,AffordabilityRatio!$A$2:$I$321,9,FALSE))="",AM136,VLOOKUP($A136,AffordabilityRatio!$A$2:$I$321,9,FALSE)))</f>
        <v>12.13</v>
      </c>
      <c r="AO136" s="268">
        <f>IF(ISNUMBER('Sensitivity Tests'!$C$30),'Sensitivity Tests'!$C$30,IF((VLOOKUP($A136,AffordabilityRatio!$A$2:$I$321,9,FALSE))="",AN136,VLOOKUP($A136,AffordabilityRatio!$A$2:$I$321,9,FALSE)))</f>
        <v>12.13</v>
      </c>
      <c r="AP136" s="268">
        <f>IF(ISNUMBER('Sensitivity Tests'!$C$30),'Sensitivity Tests'!$C$30,IF((VLOOKUP($A136,AffordabilityRatio!$A$2:$I$321,9,FALSE))="",AO136,VLOOKUP($A136,AffordabilityRatio!$A$2:$I$321,9,FALSE)))</f>
        <v>12.13</v>
      </c>
      <c r="AQ136" s="267">
        <f t="shared" si="104"/>
        <v>2689</v>
      </c>
      <c r="AR136" s="267">
        <f t="shared" si="104"/>
        <v>2668</v>
      </c>
      <c r="AS136" s="267">
        <f t="shared" si="104"/>
        <v>2592</v>
      </c>
      <c r="AT136" s="267">
        <f t="shared" si="103"/>
        <v>856</v>
      </c>
      <c r="AU136" s="267">
        <f t="shared" si="103"/>
        <v>848</v>
      </c>
      <c r="AV136" s="267">
        <f t="shared" si="103"/>
        <v>818</v>
      </c>
      <c r="AW136" s="267">
        <f t="shared" si="103"/>
        <v>796</v>
      </c>
      <c r="AX136" s="267">
        <f t="shared" si="95"/>
        <v>774</v>
      </c>
      <c r="AY136" s="267">
        <f t="shared" si="122"/>
        <v>1150.8</v>
      </c>
      <c r="AZ136" s="267">
        <f t="shared" si="123"/>
        <v>1150.8</v>
      </c>
      <c r="BA136" s="267">
        <f t="shared" si="124"/>
        <v>1150.8</v>
      </c>
      <c r="BB136" s="267">
        <f t="shared" si="125"/>
        <v>856</v>
      </c>
      <c r="BC136" s="267">
        <f t="shared" si="126"/>
        <v>848</v>
      </c>
      <c r="BD136" s="267">
        <f t="shared" si="127"/>
        <v>818</v>
      </c>
      <c r="BE136" s="267">
        <f t="shared" si="128"/>
        <v>796</v>
      </c>
      <c r="BF136" s="267">
        <f t="shared" si="129"/>
        <v>774</v>
      </c>
      <c r="BG136" s="269">
        <f>AY136*VLOOKUP($B136,'Major Cities &amp; Towns'!$A$28:$B$345,2,FALSE)</f>
        <v>1553.58</v>
      </c>
      <c r="BH136" s="269">
        <f>AZ136*VLOOKUP($B136,'Major Cities &amp; Towns'!$A$28:$B$345,2,FALSE)</f>
        <v>1553.58</v>
      </c>
      <c r="BI136" s="269">
        <f>BA136*VLOOKUP($B136,'Major Cities &amp; Towns'!$A$28:$B$345,2,FALSE)</f>
        <v>1553.58</v>
      </c>
      <c r="BJ136" s="269">
        <f>BB136*VLOOKUP($B136,'Major Cities &amp; Towns'!$A$28:$B$345,2,FALSE)</f>
        <v>1155.6000000000001</v>
      </c>
      <c r="BK136" s="269">
        <f>BC136*VLOOKUP($B136,'Major Cities &amp; Towns'!$A$28:$B$345,2,FALSE)</f>
        <v>1144.8000000000002</v>
      </c>
      <c r="BL136" s="269">
        <f>BD136*VLOOKUP($B136,'Major Cities &amp; Towns'!$A$28:$B$345,2,FALSE)</f>
        <v>1104.3000000000002</v>
      </c>
      <c r="BM136" s="269">
        <f>BE136*VLOOKUP($B136,'Major Cities &amp; Towns'!$A$28:$B$345,2,FALSE)</f>
        <v>1074.6000000000001</v>
      </c>
      <c r="BN136" s="269">
        <f>BF136*VLOOKUP($B136,'Major Cities &amp; Towns'!$A$28:$B$345,2,FALSE)</f>
        <v>1044.9000000000001</v>
      </c>
      <c r="BO136" s="270">
        <f t="shared" si="130"/>
        <v>822</v>
      </c>
      <c r="BP136" s="270">
        <f t="shared" si="100"/>
        <v>822</v>
      </c>
      <c r="BQ136" s="270">
        <f t="shared" si="100"/>
        <v>1782.1643835616437</v>
      </c>
      <c r="BR136" s="270">
        <f t="shared" si="100"/>
        <v>856</v>
      </c>
      <c r="BS136" s="270">
        <f t="shared" si="100"/>
        <v>848</v>
      </c>
      <c r="BT136" s="270">
        <f t="shared" si="100"/>
        <v>818</v>
      </c>
      <c r="BU136" s="270">
        <f t="shared" si="100"/>
        <v>796</v>
      </c>
      <c r="BV136" s="270">
        <f t="shared" si="99"/>
        <v>774</v>
      </c>
      <c r="BW136" s="39">
        <f>VLOOKUP($A136,NetAdditions!$A$2:$H$336,6,FALSE)</f>
        <v>1264</v>
      </c>
      <c r="BX136" s="39">
        <f>VLOOKUP($A136,NetAdditions!$A$2:$H$336,7,FALSE)</f>
        <v>1545</v>
      </c>
      <c r="BY136" s="39">
        <f>IF((VLOOKUP($C136,NetAdditions!$A$2:$H$336,8,FALSE))="",(AVERAGE(VLOOKUP($C136,NetAdditions!$A$2:$H$336,5,FALSE),VLOOKUP($C136,NetAdditions!$A$2:$H$336,6,FALSE),VLOOKUP($C136,NetAdditions!$A$2:$H$336,7,FALSE))),VLOOKUP($C136,NetAdditions!$A$2:$H$336,8,FALSE))</f>
        <v>1562</v>
      </c>
      <c r="BZ136" s="39">
        <f t="shared" si="105"/>
        <v>1457</v>
      </c>
      <c r="CA136" s="39">
        <f t="shared" si="105"/>
        <v>1521.3333333333333</v>
      </c>
      <c r="CB136" s="39">
        <f t="shared" si="105"/>
        <v>1513.4444444444443</v>
      </c>
      <c r="CC136" s="39">
        <f t="shared" si="105"/>
        <v>1497.2592592592591</v>
      </c>
      <c r="CD136" s="39">
        <f t="shared" si="105"/>
        <v>1510.6790123456788</v>
      </c>
      <c r="CE136" s="276">
        <f t="shared" si="106"/>
        <v>3426.1643835616437</v>
      </c>
      <c r="CF136" s="276">
        <f t="shared" si="107"/>
        <v>3460.1643835616437</v>
      </c>
      <c r="CG136" s="276">
        <f t="shared" si="108"/>
        <v>3486.1643835616437</v>
      </c>
      <c r="CH136" s="276">
        <f t="shared" si="109"/>
        <v>2522</v>
      </c>
      <c r="CI136" s="276">
        <f t="shared" si="110"/>
        <v>2462</v>
      </c>
      <c r="CJ136" s="276">
        <f t="shared" si="111"/>
        <v>2388</v>
      </c>
      <c r="CK136" s="276">
        <f t="shared" si="131"/>
        <v>2950.3082191780823</v>
      </c>
      <c r="CL136" s="276">
        <f t="shared" si="132"/>
        <v>2979.5859969558601</v>
      </c>
      <c r="CM136" s="276">
        <f t="shared" si="133"/>
        <v>3195.6506849315065</v>
      </c>
      <c r="CN136" s="276">
        <f t="shared" si="134"/>
        <v>2522</v>
      </c>
      <c r="CO136" s="276">
        <f t="shared" si="134"/>
        <v>2462</v>
      </c>
      <c r="CP136" s="276">
        <f t="shared" si="134"/>
        <v>2388</v>
      </c>
      <c r="CQ136" s="39">
        <f t="shared" si="112"/>
        <v>4371</v>
      </c>
      <c r="CR136" s="39">
        <f t="shared" si="113"/>
        <v>4564</v>
      </c>
      <c r="CS136" s="277">
        <f t="shared" si="114"/>
        <v>4540.333333333333</v>
      </c>
      <c r="CT136" s="39">
        <f t="shared" si="115"/>
        <v>4491.7777777777774</v>
      </c>
      <c r="CU136" s="39">
        <f t="shared" si="116"/>
        <v>4532.0370370370365</v>
      </c>
      <c r="CV136" s="39">
        <f t="shared" si="117"/>
        <v>4521.382716049382</v>
      </c>
      <c r="CW136" s="297">
        <f t="shared" si="118"/>
        <v>1.4815401223461677</v>
      </c>
      <c r="CX136" s="279" t="str">
        <f t="shared" si="135"/>
        <v>Pass</v>
      </c>
      <c r="CY136" s="278">
        <f t="shared" si="119"/>
        <v>1.531756426786433</v>
      </c>
      <c r="CZ136" s="279" t="str">
        <f t="shared" si="136"/>
        <v>Pass</v>
      </c>
      <c r="DA136" s="278">
        <f t="shared" si="120"/>
        <v>1.4207852424992589</v>
      </c>
      <c r="DB136" s="292" t="str">
        <f t="shared" si="137"/>
        <v>Pass</v>
      </c>
      <c r="DC136" s="299">
        <f t="shared" si="138"/>
        <v>1.7810379769142655</v>
      </c>
      <c r="DD136" s="293" t="str">
        <f t="shared" si="139"/>
        <v>Pass</v>
      </c>
      <c r="DE136" s="299">
        <f t="shared" si="140"/>
        <v>1.8407948972530612</v>
      </c>
      <c r="DF136" s="293" t="str">
        <f t="shared" si="141"/>
        <v>Pass</v>
      </c>
      <c r="DG136" s="299">
        <f t="shared" si="142"/>
        <v>1.8933763467543476</v>
      </c>
      <c r="DH136" s="293" t="str">
        <f t="shared" si="143"/>
        <v>Pass</v>
      </c>
    </row>
    <row r="137" spans="1:112" ht="15" thickTop="1" thickBot="1">
      <c r="A137" s="38" t="s">
        <v>384</v>
      </c>
      <c r="B137" s="38" t="s">
        <v>385</v>
      </c>
      <c r="C137" s="38" t="s">
        <v>384</v>
      </c>
      <c r="D137" s="38" t="s">
        <v>128</v>
      </c>
      <c r="E137" s="38" t="str">
        <f>VLOOKUP(C137,PoliticalControl!A:K,11,FALSE)</f>
        <v>CON</v>
      </c>
      <c r="F137" s="38" t="str">
        <f>VLOOKUP(C137,UrbanRuralClassification!A:N,13,FALSE)</f>
        <v xml:space="preserve">Mainly Rural (rural including hub towns &gt;=80%) </v>
      </c>
      <c r="G137" s="38" t="str">
        <f>VLOOKUP(C137,UrbanRuralClassification!A:N,14,FALSE)</f>
        <v>Predominantly Rural</v>
      </c>
      <c r="H137" s="258">
        <f>IF(ISBLANK((VLOOKUP($A137,'local-plan-data'!$C$1:$AD$566,27,FALSE)))=TRUE,"",VLOOKUP($A137,'local-plan-data'!$C$1:$AD$566,27,FALSE))</f>
        <v>43600</v>
      </c>
      <c r="I137" s="259">
        <f>VLOOKUP($A137,'local-plan-data'!$C$1:$AD$566,28,FALSE)</f>
        <v>804</v>
      </c>
      <c r="J137" s="260">
        <f t="shared" si="121"/>
        <v>804</v>
      </c>
      <c r="K137" s="259">
        <f t="shared" si="96"/>
        <v>804</v>
      </c>
      <c r="L137" s="259">
        <f t="shared" si="101"/>
        <v>804</v>
      </c>
      <c r="M137" s="259">
        <f t="shared" si="101"/>
        <v>804</v>
      </c>
      <c r="N137" s="259">
        <f t="shared" si="101"/>
        <v>804</v>
      </c>
      <c r="O137" s="259">
        <f t="shared" si="101"/>
        <v>804</v>
      </c>
      <c r="P137" s="259">
        <f t="shared" si="101"/>
        <v>804</v>
      </c>
      <c r="Q137" s="259">
        <f t="shared" si="101"/>
        <v>804</v>
      </c>
      <c r="R137" s="259" t="str">
        <f t="shared" si="101"/>
        <v>-</v>
      </c>
      <c r="S137" s="259">
        <f t="shared" si="97"/>
        <v>2236</v>
      </c>
      <c r="T137" s="259">
        <f t="shared" si="102"/>
        <v>1871</v>
      </c>
      <c r="U137" s="259">
        <f t="shared" si="102"/>
        <v>1505</v>
      </c>
      <c r="V137" s="259">
        <f t="shared" si="102"/>
        <v>1140</v>
      </c>
      <c r="W137" s="259">
        <f t="shared" si="102"/>
        <v>775</v>
      </c>
      <c r="X137" s="259">
        <f t="shared" si="102"/>
        <v>410</v>
      </c>
      <c r="Y137" s="259">
        <f t="shared" si="102"/>
        <v>44</v>
      </c>
      <c r="Z137" s="259">
        <f t="shared" si="102"/>
        <v>-321</v>
      </c>
      <c r="AA137" s="267">
        <f>(VLOOKUP(A137,Hshldprojections2014!$A$2:$AW$319,40, FALSE)-VLOOKUP(A137,Hshldprojections2014!$A$2:$AW$319,30, FALSE))/10</f>
        <v>765.3</v>
      </c>
      <c r="AB137" s="267">
        <f>(VLOOKUP(A137,Hshldprojections2014!$A$2:$AW$319,41, FALSE)-VLOOKUP(A137,Hshldprojections2014!$A$2:$AW$319,31, FALSE))/10</f>
        <v>748.1</v>
      </c>
      <c r="AC137" s="267">
        <f>(VLOOKUP(A137,Hshldprojections2014!$A$2:$AW$319,42, FALSE)-VLOOKUP(A137,Hshldprojections2014!$A$2:$AW$319,32, FALSE))/10</f>
        <v>732.7</v>
      </c>
      <c r="AD137" s="267">
        <f>IF(IndividualLATest!$J$7=2014,(VLOOKUP($A137,Hshldprojections2014!$A$2:$AY$326,43,FALSE)-VLOOKUP($A137,Hshldprojections2014!$A$2:$AY$326,33,FALSE))/10,IF(IndividualLATest!$J$7=2016,(VLOOKUP($A137,Hshldprojections2016!$A$1:$AQ$322,33,FALSE)-VLOOKUP($A137,Hshldprojections2016!$A$1:$AQ$322,23,FALSE))/10,(VLOOKUP($A137,Hshldprojections2018!$A$1:$AQ$327,33,FALSE)-VLOOKUP($A137,Hshldprojections2018!$A$1:$AQ$327,23,FALSE))/10))</f>
        <v>488.3</v>
      </c>
      <c r="AE137" s="267">
        <f>IF(IndividualLATest!$J$7=2014,(VLOOKUP($A137,Hshldprojections2014!$A$2:$AY$326,44,FALSE)-VLOOKUP($A137,Hshldprojections2014!$A$2:$AY$326,34,FALSE))/10,IF(IndividualLATest!$J$7=2016,(VLOOKUP($A137,Hshldprojections2016!$A$1:$AQ$322,34,FALSE)-VLOOKUP($A137,Hshldprojections2016!$A$1:$AQ$322,24,FALSE))/10,(VLOOKUP($A137,Hshldprojections2018!$A$1:$AQ$327,34,FALSE)-VLOOKUP($A137,Hshldprojections2018!$A$1:$AQ$327,24,FALSE))/10))</f>
        <v>469</v>
      </c>
      <c r="AF137" s="267">
        <f>IF(IndividualLATest!$J$7=2014,(VLOOKUP($A137,Hshldprojections2014!$A$2:$AY$326,45,FALSE)-VLOOKUP($A137,Hshldprojections2014!$A$2:$AY$326,35,FALSE))/10,IF(IndividualLATest!$J$7=2016,(VLOOKUP($A137,Hshldprojections2016!$A$1:$AQ$322,35,FALSE)-VLOOKUP($A137,Hshldprojections2016!$A$1:$AQ$322,25,FALSE))/10,(VLOOKUP($A137,Hshldprojections2018!$A$1:$AQ$327,35,FALSE)-VLOOKUP($A137,Hshldprojections2018!$A$1:$AQ$327,25,FALSE))/10))</f>
        <v>455.3</v>
      </c>
      <c r="AG137" s="267">
        <f>IF(IndividualLATest!$J$7=2014,(VLOOKUP($A137,Hshldprojections2014!$A$2:$AY$326,46,FALSE)-VLOOKUP($A137,Hshldprojections2014!$A$2:$AY$326,36,FALSE))/10,IF(IndividualLATest!$J$7=2016,(VLOOKUP($A137,Hshldprojections2016!$A$1:$AQ$322,36,FALSE)-VLOOKUP($A137,Hshldprojections2016!$A$1:$AQ$322,26,FALSE))/10,(VLOOKUP($A137,Hshldprojections2018!$A$1:$AQ$327,36,FALSE)-VLOOKUP($A137,Hshldprojections2018!$A$1:$AQ$327,26,FALSE))/10))</f>
        <v>441.7</v>
      </c>
      <c r="AH137" s="267">
        <f>IF(IndividualLATest!$J$7=2014,(VLOOKUP($A137,Hshldprojections2014!$A$2:$AY$326,47,FALSE)-VLOOKUP($A137,Hshldprojections2014!$A$2:$AY$326,37,FALSE))/10,IF(IndividualLATest!$J$7=2016,(VLOOKUP($A137,Hshldprojections2016!$A$1:$AQ$322,37,FALSE)-VLOOKUP($A137,Hshldprojections2016!$A$1:$AQ$322,27,FALSE))/10,(VLOOKUP($A137,Hshldprojections2018!$A$1:$AQ$327,37,FALSE)-VLOOKUP($A137,Hshldprojections2018!$A$1:$AQ$327,27,FALSE))/10))</f>
        <v>432.4</v>
      </c>
      <c r="AI137" s="268">
        <f>IF(ISNUMBER('Sensitivity Tests'!$C$30),'Sensitivity Tests'!$C$30,VLOOKUP($A137,AffordabilityRatio!$A$2:$I$321,5,FALSE))</f>
        <v>8.82</v>
      </c>
      <c r="AJ137" s="268">
        <f>IF(ISNUMBER('Sensitivity Tests'!$C$30),'Sensitivity Tests'!$C$30,VLOOKUP($A137,AffordabilityRatio!$A$2:$I$321,6,FALSE))</f>
        <v>9.36</v>
      </c>
      <c r="AK137" s="268">
        <f>IF(ISNUMBER('Sensitivity Tests'!$C$30),'Sensitivity Tests'!$C$30,VLOOKUP($A137,AffordabilityRatio!$A$2:$I$321,7,FALSE))</f>
        <v>9.3000000000000007</v>
      </c>
      <c r="AL137" s="268">
        <f>IF(ISNUMBER('Sensitivity Tests'!$C$30),'Sensitivity Tests'!$C$30,IF((VLOOKUP($A137,AffordabilityRatio!$A$2:$I$321,8,FALSE))="",AK137,VLOOKUP($A137,AffordabilityRatio!$A$2:$I$321,8,FALSE)))</f>
        <v>9.2899999999999991</v>
      </c>
      <c r="AM137" s="268">
        <f>IF(ISNUMBER('Sensitivity Tests'!$C$30),'Sensitivity Tests'!$C$30,IF((VLOOKUP($A137,AffordabilityRatio!$A$2:$I$321,9,FALSE))="",AL137,VLOOKUP($A137,AffordabilityRatio!$A$2:$I$321,9,FALSE)))</f>
        <v>9.6199999999999992</v>
      </c>
      <c r="AN137" s="268">
        <f>IF(ISNUMBER('Sensitivity Tests'!$C$30),'Sensitivity Tests'!$C$30,IF((VLOOKUP($A137,AffordabilityRatio!$A$2:$I$321,9,FALSE))="",AM137,VLOOKUP($A137,AffordabilityRatio!$A$2:$I$321,9,FALSE)))</f>
        <v>9.6199999999999992</v>
      </c>
      <c r="AO137" s="268">
        <f>IF(ISNUMBER('Sensitivity Tests'!$C$30),'Sensitivity Tests'!$C$30,IF((VLOOKUP($A137,AffordabilityRatio!$A$2:$I$321,9,FALSE))="",AN137,VLOOKUP($A137,AffordabilityRatio!$A$2:$I$321,9,FALSE)))</f>
        <v>9.6199999999999992</v>
      </c>
      <c r="AP137" s="268">
        <f>IF(ISNUMBER('Sensitivity Tests'!$C$30),'Sensitivity Tests'!$C$30,IF((VLOOKUP($A137,AffordabilityRatio!$A$2:$I$321,9,FALSE))="",AO137,VLOOKUP($A137,AffordabilityRatio!$A$2:$I$321,9,FALSE)))</f>
        <v>9.6199999999999992</v>
      </c>
      <c r="AQ137" s="267">
        <f t="shared" si="104"/>
        <v>996</v>
      </c>
      <c r="AR137" s="267">
        <f t="shared" si="104"/>
        <v>999</v>
      </c>
      <c r="AS137" s="267">
        <f t="shared" si="104"/>
        <v>975</v>
      </c>
      <c r="AT137" s="267">
        <f t="shared" si="103"/>
        <v>650</v>
      </c>
      <c r="AU137" s="267">
        <f t="shared" si="103"/>
        <v>634</v>
      </c>
      <c r="AV137" s="267">
        <f t="shared" si="103"/>
        <v>615</v>
      </c>
      <c r="AW137" s="267">
        <f t="shared" si="103"/>
        <v>597</v>
      </c>
      <c r="AX137" s="267">
        <f t="shared" si="95"/>
        <v>584</v>
      </c>
      <c r="AY137" s="267">
        <f t="shared" si="122"/>
        <v>996</v>
      </c>
      <c r="AZ137" s="267">
        <f t="shared" si="123"/>
        <v>999</v>
      </c>
      <c r="BA137" s="267">
        <f t="shared" si="124"/>
        <v>975</v>
      </c>
      <c r="BB137" s="267">
        <f t="shared" si="125"/>
        <v>650</v>
      </c>
      <c r="BC137" s="267">
        <f t="shared" si="126"/>
        <v>634</v>
      </c>
      <c r="BD137" s="267">
        <f t="shared" si="127"/>
        <v>615</v>
      </c>
      <c r="BE137" s="267">
        <f t="shared" si="128"/>
        <v>597</v>
      </c>
      <c r="BF137" s="267">
        <f t="shared" si="129"/>
        <v>584</v>
      </c>
      <c r="BG137" s="269">
        <f>AY137*VLOOKUP($B137,'Major Cities &amp; Towns'!$A$28:$B$345,2,FALSE)</f>
        <v>996</v>
      </c>
      <c r="BH137" s="269">
        <f>AZ137*VLOOKUP($B137,'Major Cities &amp; Towns'!$A$28:$B$345,2,FALSE)</f>
        <v>999</v>
      </c>
      <c r="BI137" s="269">
        <f>BA137*VLOOKUP($B137,'Major Cities &amp; Towns'!$A$28:$B$345,2,FALSE)</f>
        <v>975</v>
      </c>
      <c r="BJ137" s="269">
        <f>BB137*VLOOKUP($B137,'Major Cities &amp; Towns'!$A$28:$B$345,2,FALSE)</f>
        <v>650</v>
      </c>
      <c r="BK137" s="269">
        <f>BC137*VLOOKUP($B137,'Major Cities &amp; Towns'!$A$28:$B$345,2,FALSE)</f>
        <v>634</v>
      </c>
      <c r="BL137" s="269">
        <f>BD137*VLOOKUP($B137,'Major Cities &amp; Towns'!$A$28:$B$345,2,FALSE)</f>
        <v>615</v>
      </c>
      <c r="BM137" s="269">
        <f>BE137*VLOOKUP($B137,'Major Cities &amp; Towns'!$A$28:$B$345,2,FALSE)</f>
        <v>597</v>
      </c>
      <c r="BN137" s="269">
        <f>BF137*VLOOKUP($B137,'Major Cities &amp; Towns'!$A$28:$B$345,2,FALSE)</f>
        <v>584</v>
      </c>
      <c r="BO137" s="270">
        <f t="shared" si="130"/>
        <v>804</v>
      </c>
      <c r="BP137" s="270">
        <f t="shared" si="100"/>
        <v>804</v>
      </c>
      <c r="BQ137" s="270">
        <f t="shared" si="100"/>
        <v>804</v>
      </c>
      <c r="BR137" s="270">
        <f t="shared" si="100"/>
        <v>650</v>
      </c>
      <c r="BS137" s="270">
        <f t="shared" si="100"/>
        <v>634</v>
      </c>
      <c r="BT137" s="270">
        <f t="shared" si="100"/>
        <v>615</v>
      </c>
      <c r="BU137" s="270">
        <f t="shared" si="100"/>
        <v>597</v>
      </c>
      <c r="BV137" s="270">
        <f t="shared" si="99"/>
        <v>584</v>
      </c>
      <c r="BW137" s="39">
        <f>VLOOKUP($A137,NetAdditions!$A$2:$H$336,6,FALSE)</f>
        <v>1040</v>
      </c>
      <c r="BX137" s="39">
        <f>VLOOKUP($A137,NetAdditions!$A$2:$H$336,7,FALSE)</f>
        <v>1010</v>
      </c>
      <c r="BY137" s="39">
        <f>IF((VLOOKUP($C137,NetAdditions!$A$2:$H$336,8,FALSE))="",(AVERAGE(VLOOKUP($C137,NetAdditions!$A$2:$H$336,5,FALSE),VLOOKUP($C137,NetAdditions!$A$2:$H$336,6,FALSE),VLOOKUP($C137,NetAdditions!$A$2:$H$336,7,FALSE))),VLOOKUP($C137,NetAdditions!$A$2:$H$336,8,FALSE))</f>
        <v>1041</v>
      </c>
      <c r="BZ137" s="39">
        <f t="shared" si="105"/>
        <v>1030.3333333333333</v>
      </c>
      <c r="CA137" s="39">
        <f t="shared" si="105"/>
        <v>1027.1111111111111</v>
      </c>
      <c r="CB137" s="39">
        <f t="shared" si="105"/>
        <v>1032.8148148148148</v>
      </c>
      <c r="CC137" s="39">
        <f t="shared" si="105"/>
        <v>1030.0864197530864</v>
      </c>
      <c r="CD137" s="39">
        <f t="shared" si="105"/>
        <v>1030.0041152263375</v>
      </c>
      <c r="CE137" s="276">
        <f t="shared" si="106"/>
        <v>2412</v>
      </c>
      <c r="CF137" s="276">
        <f t="shared" si="107"/>
        <v>2258</v>
      </c>
      <c r="CG137" s="276">
        <f t="shared" si="108"/>
        <v>2088</v>
      </c>
      <c r="CH137" s="276">
        <f t="shared" si="109"/>
        <v>1899</v>
      </c>
      <c r="CI137" s="276">
        <f t="shared" si="110"/>
        <v>1846</v>
      </c>
      <c r="CJ137" s="276">
        <f t="shared" si="111"/>
        <v>1796</v>
      </c>
      <c r="CK137" s="276">
        <f t="shared" si="131"/>
        <v>2077</v>
      </c>
      <c r="CL137" s="276">
        <f t="shared" si="132"/>
        <v>1944.3888888888889</v>
      </c>
      <c r="CM137" s="276">
        <f t="shared" si="133"/>
        <v>1914</v>
      </c>
      <c r="CN137" s="276">
        <f t="shared" si="134"/>
        <v>1899</v>
      </c>
      <c r="CO137" s="276">
        <f t="shared" si="134"/>
        <v>1846</v>
      </c>
      <c r="CP137" s="276">
        <f t="shared" si="134"/>
        <v>1796</v>
      </c>
      <c r="CQ137" s="39">
        <f t="shared" si="112"/>
        <v>3091</v>
      </c>
      <c r="CR137" s="39">
        <f t="shared" si="113"/>
        <v>3081.333333333333</v>
      </c>
      <c r="CS137" s="277">
        <f t="shared" si="114"/>
        <v>3098.4444444444443</v>
      </c>
      <c r="CT137" s="39">
        <f t="shared" si="115"/>
        <v>3090.2592592592591</v>
      </c>
      <c r="CU137" s="39">
        <f t="shared" si="116"/>
        <v>3090.0123456790125</v>
      </c>
      <c r="CV137" s="39">
        <f t="shared" si="117"/>
        <v>3092.9053497942386</v>
      </c>
      <c r="CW137" s="297">
        <f t="shared" si="118"/>
        <v>1.4882041405873856</v>
      </c>
      <c r="CX137" s="279" t="str">
        <f t="shared" si="135"/>
        <v>Pass</v>
      </c>
      <c r="CY137" s="278">
        <f t="shared" si="119"/>
        <v>1.584730992314066</v>
      </c>
      <c r="CZ137" s="279" t="str">
        <f t="shared" si="136"/>
        <v>Pass</v>
      </c>
      <c r="DA137" s="278">
        <f t="shared" si="120"/>
        <v>1.6188319981423429</v>
      </c>
      <c r="DB137" s="292" t="str">
        <f t="shared" si="137"/>
        <v>Pass</v>
      </c>
      <c r="DC137" s="299">
        <f t="shared" si="138"/>
        <v>1.6273087199890781</v>
      </c>
      <c r="DD137" s="293" t="str">
        <f t="shared" si="139"/>
        <v>Pass</v>
      </c>
      <c r="DE137" s="299">
        <f t="shared" si="140"/>
        <v>1.6738961785910142</v>
      </c>
      <c r="DF137" s="293" t="str">
        <f t="shared" si="141"/>
        <v>Pass</v>
      </c>
      <c r="DG137" s="299">
        <f t="shared" si="142"/>
        <v>1.722107655787438</v>
      </c>
      <c r="DH137" s="293" t="str">
        <f t="shared" si="143"/>
        <v>Pass</v>
      </c>
    </row>
    <row r="138" spans="1:112" ht="15" thickTop="1" thickBot="1">
      <c r="A138" s="38" t="s">
        <v>386</v>
      </c>
      <c r="B138" s="38" t="s">
        <v>387</v>
      </c>
      <c r="C138" s="38" t="s">
        <v>386</v>
      </c>
      <c r="D138" s="38" t="s">
        <v>116</v>
      </c>
      <c r="E138" s="38" t="str">
        <f>VLOOKUP(C138,PoliticalControl!A:K,11,FALSE)</f>
        <v>LAB</v>
      </c>
      <c r="F138" s="38" t="str">
        <f>VLOOKUP(C138,UrbanRuralClassification!A:N,13,FALSE)</f>
        <v>Urban with City and Town</v>
      </c>
      <c r="G138" s="38" t="str">
        <f>VLOOKUP(C138,UrbanRuralClassification!A:N,14,FALSE)</f>
        <v>Predominantly Urban</v>
      </c>
      <c r="H138" s="258">
        <f>IF(ISBLANK((VLOOKUP($A138,'local-plan-data'!$C$1:$AD$566,27,FALSE)))=TRUE,"",VLOOKUP($A138,'local-plan-data'!$C$1:$AD$566,27,FALSE))</f>
        <v>40927</v>
      </c>
      <c r="I138" s="259">
        <f>VLOOKUP($A138,'local-plan-data'!$C$1:$AD$566,28,FALSE)</f>
        <v>213.33333333333334</v>
      </c>
      <c r="J138" s="260">
        <f t="shared" si="121"/>
        <v>213.33333333333334</v>
      </c>
      <c r="K138" s="259" t="str">
        <f t="shared" si="96"/>
        <v>-</v>
      </c>
      <c r="L138" s="259" t="str">
        <f t="shared" si="101"/>
        <v>-</v>
      </c>
      <c r="M138" s="259" t="str">
        <f t="shared" si="101"/>
        <v>-</v>
      </c>
      <c r="N138" s="259" t="str">
        <f t="shared" si="101"/>
        <v>-</v>
      </c>
      <c r="O138" s="259" t="str">
        <f t="shared" si="101"/>
        <v>-</v>
      </c>
      <c r="P138" s="259" t="str">
        <f t="shared" si="101"/>
        <v>-</v>
      </c>
      <c r="Q138" s="259" t="str">
        <f t="shared" si="101"/>
        <v>-</v>
      </c>
      <c r="R138" s="259" t="str">
        <f t="shared" si="101"/>
        <v>-</v>
      </c>
      <c r="S138" s="259">
        <f t="shared" si="97"/>
        <v>-437</v>
      </c>
      <c r="T138" s="259">
        <f t="shared" si="102"/>
        <v>-802</v>
      </c>
      <c r="U138" s="259">
        <f t="shared" si="102"/>
        <v>-1168</v>
      </c>
      <c r="V138" s="259">
        <f t="shared" si="102"/>
        <v>-1533</v>
      </c>
      <c r="W138" s="259">
        <f t="shared" si="102"/>
        <v>-1898</v>
      </c>
      <c r="X138" s="259">
        <f t="shared" si="102"/>
        <v>-2263</v>
      </c>
      <c r="Y138" s="259">
        <f t="shared" si="102"/>
        <v>-2629</v>
      </c>
      <c r="Z138" s="259">
        <f t="shared" si="102"/>
        <v>-2994</v>
      </c>
      <c r="AA138" s="267">
        <f>(VLOOKUP(A138,Hshldprojections2014!$A$2:$AW$319,40, FALSE)-VLOOKUP(A138,Hshldprojections2014!$A$2:$AW$319,30, FALSE))/10</f>
        <v>59.9</v>
      </c>
      <c r="AB138" s="267">
        <f>(VLOOKUP(A138,Hshldprojections2014!$A$2:$AW$319,41, FALSE)-VLOOKUP(A138,Hshldprojections2014!$A$2:$AW$319,31, FALSE))/10</f>
        <v>57.2</v>
      </c>
      <c r="AC138" s="267">
        <f>(VLOOKUP(A138,Hshldprojections2014!$A$2:$AW$319,42, FALSE)-VLOOKUP(A138,Hshldprojections2014!$A$2:$AW$319,32, FALSE))/10</f>
        <v>56.3</v>
      </c>
      <c r="AD138" s="267">
        <f>IF(IndividualLATest!$J$7=2014,(VLOOKUP($A138,Hshldprojections2014!$A$2:$AY$326,43,FALSE)-VLOOKUP($A138,Hshldprojections2014!$A$2:$AY$326,33,FALSE))/10,IF(IndividualLATest!$J$7=2016,(VLOOKUP($A138,Hshldprojections2016!$A$1:$AQ$322,33,FALSE)-VLOOKUP($A138,Hshldprojections2016!$A$1:$AQ$322,23,FALSE))/10,(VLOOKUP($A138,Hshldprojections2018!$A$1:$AQ$327,33,FALSE)-VLOOKUP($A138,Hshldprojections2018!$A$1:$AQ$327,23,FALSE))/10))</f>
        <v>107.2</v>
      </c>
      <c r="AE138" s="267">
        <f>IF(IndividualLATest!$J$7=2014,(VLOOKUP($A138,Hshldprojections2014!$A$2:$AY$326,44,FALSE)-VLOOKUP($A138,Hshldprojections2014!$A$2:$AY$326,34,FALSE))/10,IF(IndividualLATest!$J$7=2016,(VLOOKUP($A138,Hshldprojections2016!$A$1:$AQ$322,34,FALSE)-VLOOKUP($A138,Hshldprojections2016!$A$1:$AQ$322,24,FALSE))/10,(VLOOKUP($A138,Hshldprojections2018!$A$1:$AQ$327,34,FALSE)-VLOOKUP($A138,Hshldprojections2018!$A$1:$AQ$327,24,FALSE))/10))</f>
        <v>107.3</v>
      </c>
      <c r="AF138" s="267">
        <f>IF(IndividualLATest!$J$7=2014,(VLOOKUP($A138,Hshldprojections2014!$A$2:$AY$326,45,FALSE)-VLOOKUP($A138,Hshldprojections2014!$A$2:$AY$326,35,FALSE))/10,IF(IndividualLATest!$J$7=2016,(VLOOKUP($A138,Hshldprojections2016!$A$1:$AQ$322,35,FALSE)-VLOOKUP($A138,Hshldprojections2016!$A$1:$AQ$322,25,FALSE))/10,(VLOOKUP($A138,Hshldprojections2018!$A$1:$AQ$327,35,FALSE)-VLOOKUP($A138,Hshldprojections2018!$A$1:$AQ$327,25,FALSE))/10))</f>
        <v>107.3</v>
      </c>
      <c r="AG138" s="267">
        <f>IF(IndividualLATest!$J$7=2014,(VLOOKUP($A138,Hshldprojections2014!$A$2:$AY$326,46,FALSE)-VLOOKUP($A138,Hshldprojections2014!$A$2:$AY$326,36,FALSE))/10,IF(IndividualLATest!$J$7=2016,(VLOOKUP($A138,Hshldprojections2016!$A$1:$AQ$322,36,FALSE)-VLOOKUP($A138,Hshldprojections2016!$A$1:$AQ$322,26,FALSE))/10,(VLOOKUP($A138,Hshldprojections2018!$A$1:$AQ$327,36,FALSE)-VLOOKUP($A138,Hshldprojections2018!$A$1:$AQ$327,26,FALSE))/10))</f>
        <v>106.4</v>
      </c>
      <c r="AH138" s="267">
        <f>IF(IndividualLATest!$J$7=2014,(VLOOKUP($A138,Hshldprojections2014!$A$2:$AY$326,47,FALSE)-VLOOKUP($A138,Hshldprojections2014!$A$2:$AY$326,37,FALSE))/10,IF(IndividualLATest!$J$7=2016,(VLOOKUP($A138,Hshldprojections2016!$A$1:$AQ$322,37,FALSE)-VLOOKUP($A138,Hshldprojections2016!$A$1:$AQ$322,27,FALSE))/10,(VLOOKUP($A138,Hshldprojections2018!$A$1:$AQ$327,37,FALSE)-VLOOKUP($A138,Hshldprojections2018!$A$1:$AQ$327,27,FALSE))/10))</f>
        <v>106.9</v>
      </c>
      <c r="AI138" s="268">
        <f>IF(ISNUMBER('Sensitivity Tests'!$C$30),'Sensitivity Tests'!$C$30,VLOOKUP($A138,AffordabilityRatio!$A$2:$I$321,5,FALSE))</f>
        <v>4.1399999999999997</v>
      </c>
      <c r="AJ138" s="268">
        <f>IF(ISNUMBER('Sensitivity Tests'!$C$30),'Sensitivity Tests'!$C$30,VLOOKUP($A138,AffordabilityRatio!$A$2:$I$321,6,FALSE))</f>
        <v>4.2300000000000004</v>
      </c>
      <c r="AK138" s="268">
        <f>IF(ISNUMBER('Sensitivity Tests'!$C$30),'Sensitivity Tests'!$C$30,VLOOKUP($A138,AffordabilityRatio!$A$2:$I$321,7,FALSE))</f>
        <v>3.74</v>
      </c>
      <c r="AL138" s="268">
        <f>IF(ISNUMBER('Sensitivity Tests'!$C$30),'Sensitivity Tests'!$C$30,IF((VLOOKUP($A138,AffordabilityRatio!$A$2:$I$321,8,FALSE))="",AK138,VLOOKUP($A138,AffordabilityRatio!$A$2:$I$321,8,FALSE)))</f>
        <v>3.68</v>
      </c>
      <c r="AM138" s="268">
        <f>IF(ISNUMBER('Sensitivity Tests'!$C$30),'Sensitivity Tests'!$C$30,IF((VLOOKUP($A138,AffordabilityRatio!$A$2:$I$321,9,FALSE))="",AL138,VLOOKUP($A138,AffordabilityRatio!$A$2:$I$321,9,FALSE)))</f>
        <v>4.26</v>
      </c>
      <c r="AN138" s="268">
        <f>IF(ISNUMBER('Sensitivity Tests'!$C$30),'Sensitivity Tests'!$C$30,IF((VLOOKUP($A138,AffordabilityRatio!$A$2:$I$321,9,FALSE))="",AM138,VLOOKUP($A138,AffordabilityRatio!$A$2:$I$321,9,FALSE)))</f>
        <v>4.26</v>
      </c>
      <c r="AO138" s="268">
        <f>IF(ISNUMBER('Sensitivity Tests'!$C$30),'Sensitivity Tests'!$C$30,IF((VLOOKUP($A138,AffordabilityRatio!$A$2:$I$321,9,FALSE))="",AN138,VLOOKUP($A138,AffordabilityRatio!$A$2:$I$321,9,FALSE)))</f>
        <v>4.26</v>
      </c>
      <c r="AP138" s="268">
        <f>IF(ISNUMBER('Sensitivity Tests'!$C$30),'Sensitivity Tests'!$C$30,IF((VLOOKUP($A138,AffordabilityRatio!$A$2:$I$321,9,FALSE))="",AO138,VLOOKUP($A138,AffordabilityRatio!$A$2:$I$321,9,FALSE)))</f>
        <v>4.26</v>
      </c>
      <c r="AQ138" s="267">
        <f t="shared" si="104"/>
        <v>60</v>
      </c>
      <c r="AR138" s="267">
        <f t="shared" si="104"/>
        <v>58</v>
      </c>
      <c r="AS138" s="267">
        <f t="shared" si="104"/>
        <v>56.3</v>
      </c>
      <c r="AT138" s="267">
        <f t="shared" si="103"/>
        <v>107.2</v>
      </c>
      <c r="AU138" s="267">
        <f t="shared" si="103"/>
        <v>109</v>
      </c>
      <c r="AV138" s="267">
        <f t="shared" si="103"/>
        <v>109</v>
      </c>
      <c r="AW138" s="267">
        <f t="shared" si="103"/>
        <v>108</v>
      </c>
      <c r="AX138" s="267">
        <f t="shared" si="95"/>
        <v>109</v>
      </c>
      <c r="AY138" s="267">
        <f t="shared" si="122"/>
        <v>60</v>
      </c>
      <c r="AZ138" s="267">
        <f t="shared" si="123"/>
        <v>58</v>
      </c>
      <c r="BA138" s="267">
        <f t="shared" si="124"/>
        <v>56.3</v>
      </c>
      <c r="BB138" s="267">
        <f t="shared" si="125"/>
        <v>107.2</v>
      </c>
      <c r="BC138" s="267">
        <f t="shared" si="126"/>
        <v>109</v>
      </c>
      <c r="BD138" s="267">
        <f t="shared" si="127"/>
        <v>109</v>
      </c>
      <c r="BE138" s="267">
        <f t="shared" si="128"/>
        <v>108</v>
      </c>
      <c r="BF138" s="267">
        <f t="shared" si="129"/>
        <v>109</v>
      </c>
      <c r="BG138" s="269">
        <f>AY138*VLOOKUP($B138,'Major Cities &amp; Towns'!$A$28:$B$345,2,FALSE)</f>
        <v>60</v>
      </c>
      <c r="BH138" s="269">
        <f>AZ138*VLOOKUP($B138,'Major Cities &amp; Towns'!$A$28:$B$345,2,FALSE)</f>
        <v>58</v>
      </c>
      <c r="BI138" s="269">
        <f>BA138*VLOOKUP($B138,'Major Cities &amp; Towns'!$A$28:$B$345,2,FALSE)</f>
        <v>56.3</v>
      </c>
      <c r="BJ138" s="269">
        <f>BB138*VLOOKUP($B138,'Major Cities &amp; Towns'!$A$28:$B$345,2,FALSE)</f>
        <v>107.2</v>
      </c>
      <c r="BK138" s="269">
        <f>BC138*VLOOKUP($B138,'Major Cities &amp; Towns'!$A$28:$B$345,2,FALSE)</f>
        <v>109</v>
      </c>
      <c r="BL138" s="269">
        <f>BD138*VLOOKUP($B138,'Major Cities &amp; Towns'!$A$28:$B$345,2,FALSE)</f>
        <v>109</v>
      </c>
      <c r="BM138" s="269">
        <f>BE138*VLOOKUP($B138,'Major Cities &amp; Towns'!$A$28:$B$345,2,FALSE)</f>
        <v>108</v>
      </c>
      <c r="BN138" s="269">
        <f>BF138*VLOOKUP($B138,'Major Cities &amp; Towns'!$A$28:$B$345,2,FALSE)</f>
        <v>109</v>
      </c>
      <c r="BO138" s="270">
        <f t="shared" si="130"/>
        <v>60</v>
      </c>
      <c r="BP138" s="270">
        <f t="shared" si="100"/>
        <v>58</v>
      </c>
      <c r="BQ138" s="270">
        <f t="shared" si="100"/>
        <v>56.3</v>
      </c>
      <c r="BR138" s="270">
        <f t="shared" si="100"/>
        <v>107.2</v>
      </c>
      <c r="BS138" s="270">
        <f t="shared" si="100"/>
        <v>109</v>
      </c>
      <c r="BT138" s="270">
        <f t="shared" si="100"/>
        <v>109</v>
      </c>
      <c r="BU138" s="270">
        <f t="shared" si="100"/>
        <v>108</v>
      </c>
      <c r="BV138" s="270">
        <f t="shared" si="99"/>
        <v>109</v>
      </c>
      <c r="BW138" s="39">
        <f>VLOOKUP($A138,NetAdditions!$A$2:$H$336,6,FALSE)</f>
        <v>155</v>
      </c>
      <c r="BX138" s="39">
        <f>VLOOKUP($A138,NetAdditions!$A$2:$H$336,7,FALSE)</f>
        <v>162</v>
      </c>
      <c r="BY138" s="39">
        <f>IF((VLOOKUP($C138,NetAdditions!$A$2:$H$336,8,FALSE))="",(AVERAGE(VLOOKUP($C138,NetAdditions!$A$2:$H$336,5,FALSE),VLOOKUP($C138,NetAdditions!$A$2:$H$336,6,FALSE),VLOOKUP($C138,NetAdditions!$A$2:$H$336,7,FALSE))),VLOOKUP($C138,NetAdditions!$A$2:$H$336,8,FALSE))</f>
        <v>180</v>
      </c>
      <c r="BZ138" s="39">
        <f t="shared" si="105"/>
        <v>165.66666666666666</v>
      </c>
      <c r="CA138" s="39">
        <f t="shared" si="105"/>
        <v>169.2222222222222</v>
      </c>
      <c r="CB138" s="39">
        <f t="shared" si="105"/>
        <v>171.62962962962959</v>
      </c>
      <c r="CC138" s="39">
        <f t="shared" si="105"/>
        <v>168.83950617283949</v>
      </c>
      <c r="CD138" s="39">
        <f t="shared" si="105"/>
        <v>169.89711934156375</v>
      </c>
      <c r="CE138" s="276">
        <f t="shared" si="106"/>
        <v>174.3</v>
      </c>
      <c r="CF138" s="276">
        <f t="shared" si="107"/>
        <v>221.5</v>
      </c>
      <c r="CG138" s="276">
        <f t="shared" si="108"/>
        <v>272.5</v>
      </c>
      <c r="CH138" s="276">
        <f t="shared" si="109"/>
        <v>325.2</v>
      </c>
      <c r="CI138" s="276">
        <f t="shared" si="110"/>
        <v>326</v>
      </c>
      <c r="CJ138" s="276">
        <f t="shared" si="111"/>
        <v>326</v>
      </c>
      <c r="CK138" s="276">
        <f t="shared" si="131"/>
        <v>150.0916666666667</v>
      </c>
      <c r="CL138" s="276">
        <f t="shared" si="132"/>
        <v>190.73611111111111</v>
      </c>
      <c r="CM138" s="276">
        <f t="shared" si="133"/>
        <v>249.79166666666666</v>
      </c>
      <c r="CN138" s="276">
        <f t="shared" si="134"/>
        <v>325.2</v>
      </c>
      <c r="CO138" s="276">
        <f t="shared" si="134"/>
        <v>326</v>
      </c>
      <c r="CP138" s="276">
        <f t="shared" si="134"/>
        <v>326</v>
      </c>
      <c r="CQ138" s="39">
        <f t="shared" si="112"/>
        <v>497</v>
      </c>
      <c r="CR138" s="39">
        <f t="shared" si="113"/>
        <v>507.66666666666663</v>
      </c>
      <c r="CS138" s="277">
        <f t="shared" si="114"/>
        <v>514.8888888888888</v>
      </c>
      <c r="CT138" s="39">
        <f t="shared" si="115"/>
        <v>506.51851851851848</v>
      </c>
      <c r="CU138" s="39">
        <f t="shared" si="116"/>
        <v>509.69135802469128</v>
      </c>
      <c r="CV138" s="39">
        <f t="shared" si="117"/>
        <v>510.36625514403283</v>
      </c>
      <c r="CW138" s="297">
        <f t="shared" si="118"/>
        <v>3.31130975514963</v>
      </c>
      <c r="CX138" s="279" t="str">
        <f t="shared" si="135"/>
        <v>Pass</v>
      </c>
      <c r="CY138" s="278">
        <f t="shared" si="119"/>
        <v>2.6616180004369037</v>
      </c>
      <c r="CZ138" s="279" t="str">
        <f t="shared" si="136"/>
        <v>Pass</v>
      </c>
      <c r="DA138" s="278">
        <f t="shared" si="120"/>
        <v>2.0612732832916318</v>
      </c>
      <c r="DB138" s="292" t="str">
        <f t="shared" si="137"/>
        <v>Pass</v>
      </c>
      <c r="DC138" s="299">
        <f t="shared" si="138"/>
        <v>1.5575600200446449</v>
      </c>
      <c r="DD138" s="293" t="str">
        <f t="shared" si="139"/>
        <v>Pass</v>
      </c>
      <c r="DE138" s="299">
        <f t="shared" si="140"/>
        <v>1.5634704233886236</v>
      </c>
      <c r="DF138" s="293" t="str">
        <f t="shared" si="141"/>
        <v>Pass</v>
      </c>
      <c r="DG138" s="299">
        <f t="shared" si="142"/>
        <v>1.5655406599510209</v>
      </c>
      <c r="DH138" s="293" t="str">
        <f t="shared" si="143"/>
        <v>Pass</v>
      </c>
    </row>
    <row r="139" spans="1:112" ht="15" thickTop="1" thickBot="1">
      <c r="A139" s="38" t="s">
        <v>388</v>
      </c>
      <c r="B139" s="38" t="s">
        <v>389</v>
      </c>
      <c r="C139" s="38" t="s">
        <v>388</v>
      </c>
      <c r="D139" s="38" t="s">
        <v>128</v>
      </c>
      <c r="E139" s="38" t="str">
        <f>VLOOKUP(C139,PoliticalControl!A:K,11,FALSE)</f>
        <v>LAB</v>
      </c>
      <c r="F139" s="38" t="str">
        <f>VLOOKUP(C139,UrbanRuralClassification!A:N,13,FALSE)</f>
        <v>Urban with City and Town</v>
      </c>
      <c r="G139" s="38" t="str">
        <f>VLOOKUP(C139,UrbanRuralClassification!A:N,14,FALSE)</f>
        <v>Predominantly Urban</v>
      </c>
      <c r="H139" s="258">
        <f>IF(ISBLANK((VLOOKUP($A139,'local-plan-data'!$C$1:$AD$566,27,FALSE)))=TRUE,"",VLOOKUP($A139,'local-plan-data'!$C$1:$AD$566,27,FALSE))</f>
        <v>42788</v>
      </c>
      <c r="I139" s="259">
        <f>VLOOKUP($A139,'local-plan-data'!$C$1:$AD$566,28,FALSE)</f>
        <v>488.85</v>
      </c>
      <c r="J139" s="260">
        <f t="shared" si="121"/>
        <v>488.85</v>
      </c>
      <c r="K139" s="259">
        <f t="shared" si="96"/>
        <v>488.85</v>
      </c>
      <c r="L139" s="259">
        <f t="shared" si="101"/>
        <v>488.85</v>
      </c>
      <c r="M139" s="259">
        <f t="shared" si="101"/>
        <v>488.85</v>
      </c>
      <c r="N139" s="259">
        <f t="shared" si="101"/>
        <v>488.85</v>
      </c>
      <c r="O139" s="259" t="str">
        <f t="shared" si="101"/>
        <v>-</v>
      </c>
      <c r="P139" s="259" t="str">
        <f t="shared" si="101"/>
        <v>-</v>
      </c>
      <c r="Q139" s="259" t="str">
        <f t="shared" si="101"/>
        <v>-</v>
      </c>
      <c r="R139" s="259" t="str">
        <f t="shared" si="101"/>
        <v>-</v>
      </c>
      <c r="S139" s="259">
        <f t="shared" si="97"/>
        <v>1423</v>
      </c>
      <c r="T139" s="259">
        <f t="shared" si="102"/>
        <v>1058</v>
      </c>
      <c r="U139" s="259">
        <f t="shared" si="102"/>
        <v>692</v>
      </c>
      <c r="V139" s="259">
        <f t="shared" si="102"/>
        <v>327</v>
      </c>
      <c r="W139" s="259">
        <f t="shared" si="102"/>
        <v>-38</v>
      </c>
      <c r="X139" s="259">
        <f t="shared" si="102"/>
        <v>-403</v>
      </c>
      <c r="Y139" s="259">
        <f t="shared" si="102"/>
        <v>-769</v>
      </c>
      <c r="Z139" s="259">
        <f t="shared" si="102"/>
        <v>-1134</v>
      </c>
      <c r="AA139" s="267">
        <f>(VLOOKUP(A139,Hshldprojections2014!$A$2:$AW$319,40, FALSE)-VLOOKUP(A139,Hshldprojections2014!$A$2:$AW$319,30, FALSE))/10</f>
        <v>379.3</v>
      </c>
      <c r="AB139" s="267">
        <f>(VLOOKUP(A139,Hshldprojections2014!$A$2:$AW$319,41, FALSE)-VLOOKUP(A139,Hshldprojections2014!$A$2:$AW$319,31, FALSE))/10</f>
        <v>378.2</v>
      </c>
      <c r="AC139" s="267">
        <f>(VLOOKUP(A139,Hshldprojections2014!$A$2:$AW$319,42, FALSE)-VLOOKUP(A139,Hshldprojections2014!$A$2:$AW$319,32, FALSE))/10</f>
        <v>377.9</v>
      </c>
      <c r="AD139" s="267">
        <f>IF(IndividualLATest!$J$7=2014,(VLOOKUP($A139,Hshldprojections2014!$A$2:$AY$326,43,FALSE)-VLOOKUP($A139,Hshldprojections2014!$A$2:$AY$326,33,FALSE))/10,IF(IndividualLATest!$J$7=2016,(VLOOKUP($A139,Hshldprojections2016!$A$1:$AQ$322,33,FALSE)-VLOOKUP($A139,Hshldprojections2016!$A$1:$AQ$322,23,FALSE))/10,(VLOOKUP($A139,Hshldprojections2018!$A$1:$AQ$327,33,FALSE)-VLOOKUP($A139,Hshldprojections2018!$A$1:$AQ$327,23,FALSE))/10))</f>
        <v>73.099999999999994</v>
      </c>
      <c r="AE139" s="267">
        <f>IF(IndividualLATest!$J$7=2014,(VLOOKUP($A139,Hshldprojections2014!$A$2:$AY$326,44,FALSE)-VLOOKUP($A139,Hshldprojections2014!$A$2:$AY$326,34,FALSE))/10,IF(IndividualLATest!$J$7=2016,(VLOOKUP($A139,Hshldprojections2016!$A$1:$AQ$322,34,FALSE)-VLOOKUP($A139,Hshldprojections2016!$A$1:$AQ$322,24,FALSE))/10,(VLOOKUP($A139,Hshldprojections2018!$A$1:$AQ$327,34,FALSE)-VLOOKUP($A139,Hshldprojections2018!$A$1:$AQ$327,24,FALSE))/10))</f>
        <v>82.4</v>
      </c>
      <c r="AF139" s="267">
        <f>IF(IndividualLATest!$J$7=2014,(VLOOKUP($A139,Hshldprojections2014!$A$2:$AY$326,45,FALSE)-VLOOKUP($A139,Hshldprojections2014!$A$2:$AY$326,35,FALSE))/10,IF(IndividualLATest!$J$7=2016,(VLOOKUP($A139,Hshldprojections2016!$A$1:$AQ$322,35,FALSE)-VLOOKUP($A139,Hshldprojections2016!$A$1:$AQ$322,25,FALSE))/10,(VLOOKUP($A139,Hshldprojections2018!$A$1:$AQ$327,35,FALSE)-VLOOKUP($A139,Hshldprojections2018!$A$1:$AQ$327,25,FALSE))/10))</f>
        <v>95</v>
      </c>
      <c r="AG139" s="267">
        <f>IF(IndividualLATest!$J$7=2014,(VLOOKUP($A139,Hshldprojections2014!$A$2:$AY$326,46,FALSE)-VLOOKUP($A139,Hshldprojections2014!$A$2:$AY$326,36,FALSE))/10,IF(IndividualLATest!$J$7=2016,(VLOOKUP($A139,Hshldprojections2016!$A$1:$AQ$322,36,FALSE)-VLOOKUP($A139,Hshldprojections2016!$A$1:$AQ$322,26,FALSE))/10,(VLOOKUP($A139,Hshldprojections2018!$A$1:$AQ$327,36,FALSE)-VLOOKUP($A139,Hshldprojections2018!$A$1:$AQ$327,26,FALSE))/10))</f>
        <v>104.6</v>
      </c>
      <c r="AH139" s="267">
        <f>IF(IndividualLATest!$J$7=2014,(VLOOKUP($A139,Hshldprojections2014!$A$2:$AY$326,47,FALSE)-VLOOKUP($A139,Hshldprojections2014!$A$2:$AY$326,37,FALSE))/10,IF(IndividualLATest!$J$7=2016,(VLOOKUP($A139,Hshldprojections2016!$A$1:$AQ$322,37,FALSE)-VLOOKUP($A139,Hshldprojections2016!$A$1:$AQ$322,27,FALSE))/10,(VLOOKUP($A139,Hshldprojections2018!$A$1:$AQ$327,37,FALSE)-VLOOKUP($A139,Hshldprojections2018!$A$1:$AQ$327,27,FALSE))/10))</f>
        <v>114.5</v>
      </c>
      <c r="AI139" s="268">
        <f>IF(ISNUMBER('Sensitivity Tests'!$C$30),'Sensitivity Tests'!$C$30,VLOOKUP($A139,AffordabilityRatio!$A$2:$I$321,5,FALSE))</f>
        <v>6.74</v>
      </c>
      <c r="AJ139" s="268">
        <f>IF(ISNUMBER('Sensitivity Tests'!$C$30),'Sensitivity Tests'!$C$30,VLOOKUP($A139,AffordabilityRatio!$A$2:$I$321,6,FALSE))</f>
        <v>6.82</v>
      </c>
      <c r="AK139" s="268">
        <f>IF(ISNUMBER('Sensitivity Tests'!$C$30),'Sensitivity Tests'!$C$30,VLOOKUP($A139,AffordabilityRatio!$A$2:$I$321,7,FALSE))</f>
        <v>7.44</v>
      </c>
      <c r="AL139" s="268">
        <f>IF(ISNUMBER('Sensitivity Tests'!$C$30),'Sensitivity Tests'!$C$30,IF((VLOOKUP($A139,AffordabilityRatio!$A$2:$I$321,8,FALSE))="",AK139,VLOOKUP($A139,AffordabilityRatio!$A$2:$I$321,8,FALSE)))</f>
        <v>7.16</v>
      </c>
      <c r="AM139" s="268">
        <f>IF(ISNUMBER('Sensitivity Tests'!$C$30),'Sensitivity Tests'!$C$30,IF((VLOOKUP($A139,AffordabilityRatio!$A$2:$I$321,9,FALSE))="",AL139,VLOOKUP($A139,AffordabilityRatio!$A$2:$I$321,9,FALSE)))</f>
        <v>7.97</v>
      </c>
      <c r="AN139" s="268">
        <f>IF(ISNUMBER('Sensitivity Tests'!$C$30),'Sensitivity Tests'!$C$30,IF((VLOOKUP($A139,AffordabilityRatio!$A$2:$I$321,9,FALSE))="",AM139,VLOOKUP($A139,AffordabilityRatio!$A$2:$I$321,9,FALSE)))</f>
        <v>7.97</v>
      </c>
      <c r="AO139" s="268">
        <f>IF(ISNUMBER('Sensitivity Tests'!$C$30),'Sensitivity Tests'!$C$30,IF((VLOOKUP($A139,AffordabilityRatio!$A$2:$I$321,9,FALSE))="",AN139,VLOOKUP($A139,AffordabilityRatio!$A$2:$I$321,9,FALSE)))</f>
        <v>7.97</v>
      </c>
      <c r="AP139" s="268">
        <f>IF(ISNUMBER('Sensitivity Tests'!$C$30),'Sensitivity Tests'!$C$30,IF((VLOOKUP($A139,AffordabilityRatio!$A$2:$I$321,9,FALSE))="",AO139,VLOOKUP($A139,AffordabilityRatio!$A$2:$I$321,9,FALSE)))</f>
        <v>7.97</v>
      </c>
      <c r="AQ139" s="267">
        <f t="shared" si="104"/>
        <v>444</v>
      </c>
      <c r="AR139" s="267">
        <f t="shared" si="104"/>
        <v>445</v>
      </c>
      <c r="AS139" s="267">
        <f t="shared" si="104"/>
        <v>459</v>
      </c>
      <c r="AT139" s="267">
        <f t="shared" si="103"/>
        <v>88</v>
      </c>
      <c r="AU139" s="267">
        <f t="shared" si="103"/>
        <v>103</v>
      </c>
      <c r="AV139" s="267">
        <f t="shared" si="103"/>
        <v>119</v>
      </c>
      <c r="AW139" s="267">
        <f t="shared" si="103"/>
        <v>131</v>
      </c>
      <c r="AX139" s="267">
        <f t="shared" si="95"/>
        <v>143</v>
      </c>
      <c r="AY139" s="267">
        <f t="shared" si="122"/>
        <v>444</v>
      </c>
      <c r="AZ139" s="267">
        <f t="shared" si="123"/>
        <v>445</v>
      </c>
      <c r="BA139" s="267">
        <f t="shared" si="124"/>
        <v>459</v>
      </c>
      <c r="BB139" s="267">
        <f t="shared" si="125"/>
        <v>88</v>
      </c>
      <c r="BC139" s="267">
        <f t="shared" si="126"/>
        <v>103</v>
      </c>
      <c r="BD139" s="267">
        <f t="shared" si="127"/>
        <v>119</v>
      </c>
      <c r="BE139" s="267">
        <f t="shared" si="128"/>
        <v>131</v>
      </c>
      <c r="BF139" s="267">
        <f t="shared" si="129"/>
        <v>143</v>
      </c>
      <c r="BG139" s="269">
        <f>AY139*VLOOKUP($B139,'Major Cities &amp; Towns'!$A$28:$B$345,2,FALSE)</f>
        <v>444</v>
      </c>
      <c r="BH139" s="269">
        <f>AZ139*VLOOKUP($B139,'Major Cities &amp; Towns'!$A$28:$B$345,2,FALSE)</f>
        <v>445</v>
      </c>
      <c r="BI139" s="269">
        <f>BA139*VLOOKUP($B139,'Major Cities &amp; Towns'!$A$28:$B$345,2,FALSE)</f>
        <v>459</v>
      </c>
      <c r="BJ139" s="269">
        <f>BB139*VLOOKUP($B139,'Major Cities &amp; Towns'!$A$28:$B$345,2,FALSE)</f>
        <v>88</v>
      </c>
      <c r="BK139" s="269">
        <f>BC139*VLOOKUP($B139,'Major Cities &amp; Towns'!$A$28:$B$345,2,FALSE)</f>
        <v>103</v>
      </c>
      <c r="BL139" s="269">
        <f>BD139*VLOOKUP($B139,'Major Cities &amp; Towns'!$A$28:$B$345,2,FALSE)</f>
        <v>119</v>
      </c>
      <c r="BM139" s="269">
        <f>BE139*VLOOKUP($B139,'Major Cities &amp; Towns'!$A$28:$B$345,2,FALSE)</f>
        <v>131</v>
      </c>
      <c r="BN139" s="269">
        <f>BF139*VLOOKUP($B139,'Major Cities &amp; Towns'!$A$28:$B$345,2,FALSE)</f>
        <v>143</v>
      </c>
      <c r="BO139" s="270">
        <f t="shared" si="130"/>
        <v>444</v>
      </c>
      <c r="BP139" s="270">
        <f t="shared" si="100"/>
        <v>445</v>
      </c>
      <c r="BQ139" s="270">
        <f t="shared" si="100"/>
        <v>459</v>
      </c>
      <c r="BR139" s="270">
        <f t="shared" si="100"/>
        <v>88</v>
      </c>
      <c r="BS139" s="270">
        <f t="shared" si="100"/>
        <v>103</v>
      </c>
      <c r="BT139" s="270">
        <f t="shared" si="100"/>
        <v>119</v>
      </c>
      <c r="BU139" s="270">
        <f t="shared" si="100"/>
        <v>131</v>
      </c>
      <c r="BV139" s="270">
        <f t="shared" si="99"/>
        <v>143</v>
      </c>
      <c r="BW139" s="39">
        <f>VLOOKUP($A139,NetAdditions!$A$2:$H$336,6,FALSE)</f>
        <v>223</v>
      </c>
      <c r="BX139" s="39">
        <f>VLOOKUP($A139,NetAdditions!$A$2:$H$336,7,FALSE)</f>
        <v>421</v>
      </c>
      <c r="BY139" s="39">
        <f>IF((VLOOKUP($C139,NetAdditions!$A$2:$H$336,8,FALSE))="",(AVERAGE(VLOOKUP($C139,NetAdditions!$A$2:$H$336,5,FALSE),VLOOKUP($C139,NetAdditions!$A$2:$H$336,6,FALSE),VLOOKUP($C139,NetAdditions!$A$2:$H$336,7,FALSE))),VLOOKUP($C139,NetAdditions!$A$2:$H$336,8,FALSE))</f>
        <v>243</v>
      </c>
      <c r="BZ139" s="39">
        <f t="shared" si="105"/>
        <v>295.66666666666669</v>
      </c>
      <c r="CA139" s="39">
        <f t="shared" si="105"/>
        <v>319.88888888888891</v>
      </c>
      <c r="CB139" s="39">
        <f t="shared" si="105"/>
        <v>286.18518518518522</v>
      </c>
      <c r="CC139" s="39">
        <f t="shared" si="105"/>
        <v>300.58024691358031</v>
      </c>
      <c r="CD139" s="39">
        <f t="shared" si="105"/>
        <v>302.21810699588485</v>
      </c>
      <c r="CE139" s="276">
        <f t="shared" si="106"/>
        <v>1348</v>
      </c>
      <c r="CF139" s="276">
        <f t="shared" si="107"/>
        <v>992</v>
      </c>
      <c r="CG139" s="276">
        <f t="shared" si="108"/>
        <v>650</v>
      </c>
      <c r="CH139" s="276">
        <f t="shared" si="109"/>
        <v>310</v>
      </c>
      <c r="CI139" s="276">
        <f t="shared" si="110"/>
        <v>353</v>
      </c>
      <c r="CJ139" s="276">
        <f t="shared" si="111"/>
        <v>393</v>
      </c>
      <c r="CK139" s="276">
        <f t="shared" si="131"/>
        <v>1160.7777777777778</v>
      </c>
      <c r="CL139" s="276">
        <f t="shared" si="132"/>
        <v>854.22222222222229</v>
      </c>
      <c r="CM139" s="276">
        <f t="shared" si="133"/>
        <v>595.83333333333326</v>
      </c>
      <c r="CN139" s="276">
        <f t="shared" si="134"/>
        <v>310</v>
      </c>
      <c r="CO139" s="276">
        <f t="shared" si="134"/>
        <v>353</v>
      </c>
      <c r="CP139" s="276">
        <f t="shared" si="134"/>
        <v>393</v>
      </c>
      <c r="CQ139" s="39">
        <f t="shared" si="112"/>
        <v>887</v>
      </c>
      <c r="CR139" s="39">
        <f t="shared" si="113"/>
        <v>959.66666666666674</v>
      </c>
      <c r="CS139" s="277">
        <f t="shared" si="114"/>
        <v>858.55555555555566</v>
      </c>
      <c r="CT139" s="39">
        <f t="shared" si="115"/>
        <v>901.74074074074088</v>
      </c>
      <c r="CU139" s="39">
        <f t="shared" si="116"/>
        <v>906.6543209876545</v>
      </c>
      <c r="CV139" s="39">
        <f t="shared" si="117"/>
        <v>888.9835390946505</v>
      </c>
      <c r="CW139" s="297">
        <f t="shared" si="118"/>
        <v>0.76414281611946011</v>
      </c>
      <c r="CX139" s="279" t="str">
        <f t="shared" si="135"/>
        <v>Buffer and Action Plan</v>
      </c>
      <c r="CY139" s="278">
        <f t="shared" si="119"/>
        <v>1.1234391259105099</v>
      </c>
      <c r="CZ139" s="279" t="str">
        <f t="shared" si="136"/>
        <v>Pass</v>
      </c>
      <c r="DA139" s="278">
        <f t="shared" si="120"/>
        <v>1.4409324009324014</v>
      </c>
      <c r="DB139" s="292" t="str">
        <f t="shared" si="137"/>
        <v>Pass</v>
      </c>
      <c r="DC139" s="299">
        <f t="shared" si="138"/>
        <v>2.9088410991636802</v>
      </c>
      <c r="DD139" s="293" t="str">
        <f t="shared" si="139"/>
        <v>Pass</v>
      </c>
      <c r="DE139" s="299">
        <f t="shared" si="140"/>
        <v>2.568425838491939</v>
      </c>
      <c r="DF139" s="293" t="str">
        <f t="shared" si="141"/>
        <v>Pass</v>
      </c>
      <c r="DG139" s="299">
        <f t="shared" si="142"/>
        <v>2.2620446287395688</v>
      </c>
      <c r="DH139" s="293" t="str">
        <f t="shared" si="143"/>
        <v>Pass</v>
      </c>
    </row>
    <row r="140" spans="1:112" ht="15" thickTop="1" thickBot="1">
      <c r="A140" s="38" t="s">
        <v>390</v>
      </c>
      <c r="B140" s="38" t="s">
        <v>391</v>
      </c>
      <c r="C140" s="38" t="s">
        <v>390</v>
      </c>
      <c r="D140" s="38" t="s">
        <v>113</v>
      </c>
      <c r="E140" s="38" t="str">
        <f>VLOOKUP(C140,PoliticalControl!A:K,11,FALSE)</f>
        <v>NOC</v>
      </c>
      <c r="F140" s="38" t="str">
        <f>VLOOKUP(C140,UrbanRuralClassification!A:N,13,FALSE)</f>
        <v xml:space="preserve">Mainly Rural (rural including hub towns &gt;=80%) </v>
      </c>
      <c r="G140" s="38" t="str">
        <f>VLOOKUP(C140,UrbanRuralClassification!A:N,14,FALSE)</f>
        <v>Predominantly Rural</v>
      </c>
      <c r="H140" s="258">
        <f>IF(ISBLANK((VLOOKUP($A140,'local-plan-data'!$C$1:$AD$566,27,FALSE)))=TRUE,"",VLOOKUP($A140,'local-plan-data'!$C$1:$AD$566,27,FALSE))</f>
        <v>40989</v>
      </c>
      <c r="I140" s="259">
        <f>VLOOKUP($A140,'local-plan-data'!$C$1:$AD$566,28,FALSE)</f>
        <v>520</v>
      </c>
      <c r="J140" s="260">
        <f t="shared" si="121"/>
        <v>520</v>
      </c>
      <c r="K140" s="259" t="str">
        <f t="shared" si="96"/>
        <v>-</v>
      </c>
      <c r="L140" s="259" t="str">
        <f t="shared" si="101"/>
        <v>-</v>
      </c>
      <c r="M140" s="259" t="str">
        <f t="shared" si="101"/>
        <v>-</v>
      </c>
      <c r="N140" s="259" t="str">
        <f t="shared" si="101"/>
        <v>-</v>
      </c>
      <c r="O140" s="259" t="str">
        <f t="shared" si="101"/>
        <v>-</v>
      </c>
      <c r="P140" s="259" t="str">
        <f t="shared" si="101"/>
        <v>-</v>
      </c>
      <c r="Q140" s="259" t="str">
        <f t="shared" si="101"/>
        <v>-</v>
      </c>
      <c r="R140" s="259" t="str">
        <f t="shared" si="101"/>
        <v>-</v>
      </c>
      <c r="S140" s="259">
        <f t="shared" si="97"/>
        <v>-376</v>
      </c>
      <c r="T140" s="259">
        <f t="shared" si="102"/>
        <v>-741</v>
      </c>
      <c r="U140" s="259">
        <f t="shared" si="102"/>
        <v>-1107</v>
      </c>
      <c r="V140" s="259">
        <f t="shared" si="102"/>
        <v>-1472</v>
      </c>
      <c r="W140" s="259">
        <f t="shared" si="102"/>
        <v>-1837</v>
      </c>
      <c r="X140" s="259">
        <f t="shared" si="102"/>
        <v>-2202</v>
      </c>
      <c r="Y140" s="259">
        <f t="shared" si="102"/>
        <v>-2568</v>
      </c>
      <c r="Z140" s="259">
        <f t="shared" si="102"/>
        <v>-2933</v>
      </c>
      <c r="AA140" s="267">
        <f>(VLOOKUP(A140,Hshldprojections2014!$A$2:$AW$319,40, FALSE)-VLOOKUP(A140,Hshldprojections2014!$A$2:$AW$319,30, FALSE))/10</f>
        <v>534.79999999999995</v>
      </c>
      <c r="AB140" s="267">
        <f>(VLOOKUP(A140,Hshldprojections2014!$A$2:$AW$319,41, FALSE)-VLOOKUP(A140,Hshldprojections2014!$A$2:$AW$319,31, FALSE))/10</f>
        <v>532.70000000000005</v>
      </c>
      <c r="AC140" s="267">
        <f>(VLOOKUP(A140,Hshldprojections2014!$A$2:$AW$319,42, FALSE)-VLOOKUP(A140,Hshldprojections2014!$A$2:$AW$319,32, FALSE))/10</f>
        <v>535.29999999999995</v>
      </c>
      <c r="AD140" s="267">
        <f>IF(IndividualLATest!$J$7=2014,(VLOOKUP($A140,Hshldprojections2014!$A$2:$AY$326,43,FALSE)-VLOOKUP($A140,Hshldprojections2014!$A$2:$AY$326,33,FALSE))/10,IF(IndividualLATest!$J$7=2016,(VLOOKUP($A140,Hshldprojections2016!$A$1:$AQ$322,33,FALSE)-VLOOKUP($A140,Hshldprojections2016!$A$1:$AQ$322,23,FALSE))/10,(VLOOKUP($A140,Hshldprojections2018!$A$1:$AQ$327,33,FALSE)-VLOOKUP($A140,Hshldprojections2018!$A$1:$AQ$327,23,FALSE))/10))</f>
        <v>604.79999999999995</v>
      </c>
      <c r="AE140" s="267">
        <f>IF(IndividualLATest!$J$7=2014,(VLOOKUP($A140,Hshldprojections2014!$A$2:$AY$326,44,FALSE)-VLOOKUP($A140,Hshldprojections2014!$A$2:$AY$326,34,FALSE))/10,IF(IndividualLATest!$J$7=2016,(VLOOKUP($A140,Hshldprojections2016!$A$1:$AQ$322,34,FALSE)-VLOOKUP($A140,Hshldprojections2016!$A$1:$AQ$322,24,FALSE))/10,(VLOOKUP($A140,Hshldprojections2018!$A$1:$AQ$327,34,FALSE)-VLOOKUP($A140,Hshldprojections2018!$A$1:$AQ$327,24,FALSE))/10))</f>
        <v>587.9</v>
      </c>
      <c r="AF140" s="267">
        <f>IF(IndividualLATest!$J$7=2014,(VLOOKUP($A140,Hshldprojections2014!$A$2:$AY$326,45,FALSE)-VLOOKUP($A140,Hshldprojections2014!$A$2:$AY$326,35,FALSE))/10,IF(IndividualLATest!$J$7=2016,(VLOOKUP($A140,Hshldprojections2016!$A$1:$AQ$322,35,FALSE)-VLOOKUP($A140,Hshldprojections2016!$A$1:$AQ$322,25,FALSE))/10,(VLOOKUP($A140,Hshldprojections2018!$A$1:$AQ$327,35,FALSE)-VLOOKUP($A140,Hshldprojections2018!$A$1:$AQ$327,25,FALSE))/10))</f>
        <v>571.5</v>
      </c>
      <c r="AG140" s="267">
        <f>IF(IndividualLATest!$J$7=2014,(VLOOKUP($A140,Hshldprojections2014!$A$2:$AY$326,46,FALSE)-VLOOKUP($A140,Hshldprojections2014!$A$2:$AY$326,36,FALSE))/10,IF(IndividualLATest!$J$7=2016,(VLOOKUP($A140,Hshldprojections2016!$A$1:$AQ$322,36,FALSE)-VLOOKUP($A140,Hshldprojections2016!$A$1:$AQ$322,26,FALSE))/10,(VLOOKUP($A140,Hshldprojections2018!$A$1:$AQ$327,36,FALSE)-VLOOKUP($A140,Hshldprojections2018!$A$1:$AQ$327,26,FALSE))/10))</f>
        <v>553.6</v>
      </c>
      <c r="AH140" s="267">
        <f>IF(IndividualLATest!$J$7=2014,(VLOOKUP($A140,Hshldprojections2014!$A$2:$AY$326,47,FALSE)-VLOOKUP($A140,Hshldprojections2014!$A$2:$AY$326,37,FALSE))/10,IF(IndividualLATest!$J$7=2016,(VLOOKUP($A140,Hshldprojections2016!$A$1:$AQ$322,37,FALSE)-VLOOKUP($A140,Hshldprojections2016!$A$1:$AQ$322,27,FALSE))/10,(VLOOKUP($A140,Hshldprojections2018!$A$1:$AQ$327,37,FALSE)-VLOOKUP($A140,Hshldprojections2018!$A$1:$AQ$327,27,FALSE))/10))</f>
        <v>541</v>
      </c>
      <c r="AI140" s="268">
        <f>IF(ISNUMBER('Sensitivity Tests'!$C$30),'Sensitivity Tests'!$C$30,VLOOKUP($A140,AffordabilityRatio!$A$2:$I$321,5,FALSE))</f>
        <v>8.19</v>
      </c>
      <c r="AJ140" s="268">
        <f>IF(ISNUMBER('Sensitivity Tests'!$C$30),'Sensitivity Tests'!$C$30,VLOOKUP($A140,AffordabilityRatio!$A$2:$I$321,6,FALSE))</f>
        <v>8.23</v>
      </c>
      <c r="AK140" s="268">
        <f>IF(ISNUMBER('Sensitivity Tests'!$C$30),'Sensitivity Tests'!$C$30,VLOOKUP($A140,AffordabilityRatio!$A$2:$I$321,7,FALSE))</f>
        <v>8.48</v>
      </c>
      <c r="AL140" s="268">
        <f>IF(ISNUMBER('Sensitivity Tests'!$C$30),'Sensitivity Tests'!$C$30,IF((VLOOKUP($A140,AffordabilityRatio!$A$2:$I$321,8,FALSE))="",AK140,VLOOKUP($A140,AffordabilityRatio!$A$2:$I$321,8,FALSE)))</f>
        <v>8.09</v>
      </c>
      <c r="AM140" s="268">
        <f>IF(ISNUMBER('Sensitivity Tests'!$C$30),'Sensitivity Tests'!$C$30,IF((VLOOKUP($A140,AffordabilityRatio!$A$2:$I$321,9,FALSE))="",AL140,VLOOKUP($A140,AffordabilityRatio!$A$2:$I$321,9,FALSE)))</f>
        <v>10</v>
      </c>
      <c r="AN140" s="268">
        <f>IF(ISNUMBER('Sensitivity Tests'!$C$30),'Sensitivity Tests'!$C$30,IF((VLOOKUP($A140,AffordabilityRatio!$A$2:$I$321,9,FALSE))="",AM140,VLOOKUP($A140,AffordabilityRatio!$A$2:$I$321,9,FALSE)))</f>
        <v>10</v>
      </c>
      <c r="AO140" s="268">
        <f>IF(ISNUMBER('Sensitivity Tests'!$C$30),'Sensitivity Tests'!$C$30,IF((VLOOKUP($A140,AffordabilityRatio!$A$2:$I$321,9,FALSE))="",AN140,VLOOKUP($A140,AffordabilityRatio!$A$2:$I$321,9,FALSE)))</f>
        <v>10</v>
      </c>
      <c r="AP140" s="268">
        <f>IF(ISNUMBER('Sensitivity Tests'!$C$30),'Sensitivity Tests'!$C$30,IF((VLOOKUP($A140,AffordabilityRatio!$A$2:$I$321,9,FALSE))="",AO140,VLOOKUP($A140,AffordabilityRatio!$A$2:$I$321,9,FALSE)))</f>
        <v>10</v>
      </c>
      <c r="AQ140" s="267">
        <f t="shared" si="104"/>
        <v>675</v>
      </c>
      <c r="AR140" s="267">
        <f t="shared" si="104"/>
        <v>674</v>
      </c>
      <c r="AS140" s="267">
        <f t="shared" si="104"/>
        <v>685</v>
      </c>
      <c r="AT140" s="267">
        <f t="shared" si="103"/>
        <v>759</v>
      </c>
      <c r="AU140" s="267">
        <f t="shared" si="103"/>
        <v>808</v>
      </c>
      <c r="AV140" s="267">
        <f t="shared" si="103"/>
        <v>786</v>
      </c>
      <c r="AW140" s="267">
        <f t="shared" si="103"/>
        <v>761</v>
      </c>
      <c r="AX140" s="267">
        <f t="shared" si="95"/>
        <v>744</v>
      </c>
      <c r="AY140" s="267">
        <f t="shared" si="122"/>
        <v>675</v>
      </c>
      <c r="AZ140" s="267">
        <f t="shared" si="123"/>
        <v>674</v>
      </c>
      <c r="BA140" s="267">
        <f t="shared" si="124"/>
        <v>685</v>
      </c>
      <c r="BB140" s="267">
        <f t="shared" si="125"/>
        <v>759</v>
      </c>
      <c r="BC140" s="267">
        <f t="shared" si="126"/>
        <v>808</v>
      </c>
      <c r="BD140" s="267">
        <f t="shared" si="127"/>
        <v>786</v>
      </c>
      <c r="BE140" s="267">
        <f t="shared" si="128"/>
        <v>761</v>
      </c>
      <c r="BF140" s="267">
        <f t="shared" si="129"/>
        <v>744</v>
      </c>
      <c r="BG140" s="269">
        <f>AY140*VLOOKUP($B140,'Major Cities &amp; Towns'!$A$28:$B$345,2,FALSE)</f>
        <v>675</v>
      </c>
      <c r="BH140" s="269">
        <f>AZ140*VLOOKUP($B140,'Major Cities &amp; Towns'!$A$28:$B$345,2,FALSE)</f>
        <v>674</v>
      </c>
      <c r="BI140" s="269">
        <f>BA140*VLOOKUP($B140,'Major Cities &amp; Towns'!$A$28:$B$345,2,FALSE)</f>
        <v>685</v>
      </c>
      <c r="BJ140" s="269">
        <f>BB140*VLOOKUP($B140,'Major Cities &amp; Towns'!$A$28:$B$345,2,FALSE)</f>
        <v>759</v>
      </c>
      <c r="BK140" s="269">
        <f>BC140*VLOOKUP($B140,'Major Cities &amp; Towns'!$A$28:$B$345,2,FALSE)</f>
        <v>808</v>
      </c>
      <c r="BL140" s="269">
        <f>BD140*VLOOKUP($B140,'Major Cities &amp; Towns'!$A$28:$B$345,2,FALSE)</f>
        <v>786</v>
      </c>
      <c r="BM140" s="269">
        <f>BE140*VLOOKUP($B140,'Major Cities &amp; Towns'!$A$28:$B$345,2,FALSE)</f>
        <v>761</v>
      </c>
      <c r="BN140" s="269">
        <f>BF140*VLOOKUP($B140,'Major Cities &amp; Towns'!$A$28:$B$345,2,FALSE)</f>
        <v>744</v>
      </c>
      <c r="BO140" s="270">
        <f t="shared" si="130"/>
        <v>675</v>
      </c>
      <c r="BP140" s="270">
        <f t="shared" si="100"/>
        <v>674</v>
      </c>
      <c r="BQ140" s="270">
        <f t="shared" si="100"/>
        <v>685</v>
      </c>
      <c r="BR140" s="270">
        <f t="shared" si="100"/>
        <v>759</v>
      </c>
      <c r="BS140" s="270">
        <f t="shared" si="100"/>
        <v>808</v>
      </c>
      <c r="BT140" s="270">
        <f t="shared" si="100"/>
        <v>786</v>
      </c>
      <c r="BU140" s="270">
        <f t="shared" si="100"/>
        <v>761</v>
      </c>
      <c r="BV140" s="270">
        <f t="shared" si="99"/>
        <v>744</v>
      </c>
      <c r="BW140" s="39">
        <f>VLOOKUP($A140,NetAdditions!$A$2:$H$336,6,FALSE)</f>
        <v>350</v>
      </c>
      <c r="BX140" s="39">
        <f>VLOOKUP($A140,NetAdditions!$A$2:$H$336,7,FALSE)</f>
        <v>253</v>
      </c>
      <c r="BY140" s="39">
        <f>IF((VLOOKUP($C140,NetAdditions!$A$2:$H$336,8,FALSE))="",(AVERAGE(VLOOKUP($C140,NetAdditions!$A$2:$H$336,5,FALSE),VLOOKUP($C140,NetAdditions!$A$2:$H$336,6,FALSE),VLOOKUP($C140,NetAdditions!$A$2:$H$336,7,FALSE))),VLOOKUP($C140,NetAdditions!$A$2:$H$336,8,FALSE))</f>
        <v>445</v>
      </c>
      <c r="BZ140" s="39">
        <f t="shared" si="105"/>
        <v>349.33333333333331</v>
      </c>
      <c r="CA140" s="39">
        <f t="shared" si="105"/>
        <v>349.11111111111109</v>
      </c>
      <c r="CB140" s="39">
        <f t="shared" si="105"/>
        <v>381.1481481481481</v>
      </c>
      <c r="CC140" s="39">
        <f t="shared" si="105"/>
        <v>359.86419753086415</v>
      </c>
      <c r="CD140" s="39">
        <f t="shared" si="105"/>
        <v>363.37448559670776</v>
      </c>
      <c r="CE140" s="276">
        <f t="shared" si="106"/>
        <v>2034</v>
      </c>
      <c r="CF140" s="276">
        <f t="shared" si="107"/>
        <v>2118</v>
      </c>
      <c r="CG140" s="276">
        <f t="shared" si="108"/>
        <v>2252</v>
      </c>
      <c r="CH140" s="276">
        <f t="shared" si="109"/>
        <v>2353</v>
      </c>
      <c r="CI140" s="276">
        <f t="shared" si="110"/>
        <v>2355</v>
      </c>
      <c r="CJ140" s="276">
        <f t="shared" si="111"/>
        <v>2291</v>
      </c>
      <c r="CK140" s="276">
        <f t="shared" si="131"/>
        <v>1751.5</v>
      </c>
      <c r="CL140" s="276">
        <f t="shared" si="132"/>
        <v>1823.8333333333335</v>
      </c>
      <c r="CM140" s="276">
        <f t="shared" si="133"/>
        <v>2064.333333333333</v>
      </c>
      <c r="CN140" s="276">
        <f t="shared" si="134"/>
        <v>2353</v>
      </c>
      <c r="CO140" s="276">
        <f t="shared" si="134"/>
        <v>2355</v>
      </c>
      <c r="CP140" s="276">
        <f t="shared" si="134"/>
        <v>2291</v>
      </c>
      <c r="CQ140" s="39">
        <f t="shared" si="112"/>
        <v>1048</v>
      </c>
      <c r="CR140" s="39">
        <f t="shared" si="113"/>
        <v>1047.3333333333333</v>
      </c>
      <c r="CS140" s="277">
        <f t="shared" si="114"/>
        <v>1143.4444444444443</v>
      </c>
      <c r="CT140" s="39">
        <f t="shared" si="115"/>
        <v>1079.5925925925924</v>
      </c>
      <c r="CU140" s="39">
        <f t="shared" si="116"/>
        <v>1090.1234567901233</v>
      </c>
      <c r="CV140" s="39">
        <f t="shared" si="117"/>
        <v>1104.3868312757199</v>
      </c>
      <c r="CW140" s="297">
        <f t="shared" si="118"/>
        <v>0.59834427633457032</v>
      </c>
      <c r="CX140" s="279" t="str">
        <f t="shared" si="135"/>
        <v>Buffer and Action Plan</v>
      </c>
      <c r="CY140" s="278">
        <f t="shared" si="119"/>
        <v>0.57424837795851225</v>
      </c>
      <c r="CZ140" s="279" t="str">
        <f t="shared" si="136"/>
        <v>Buffer and Action Plan</v>
      </c>
      <c r="DA140" s="278">
        <f t="shared" si="120"/>
        <v>0.55390494644491095</v>
      </c>
      <c r="DB140" s="292" t="str">
        <f t="shared" si="137"/>
        <v>Presumption</v>
      </c>
      <c r="DC140" s="299">
        <f t="shared" si="138"/>
        <v>0.4588153814673151</v>
      </c>
      <c r="DD140" s="293" t="str">
        <f t="shared" si="139"/>
        <v>Presumption</v>
      </c>
      <c r="DE140" s="299">
        <f t="shared" si="140"/>
        <v>0.46289743388115639</v>
      </c>
      <c r="DF140" s="293" t="str">
        <f t="shared" si="141"/>
        <v>Presumption</v>
      </c>
      <c r="DG140" s="299">
        <f t="shared" si="142"/>
        <v>0.48205448768036663</v>
      </c>
      <c r="DH140" s="293" t="str">
        <f t="shared" si="143"/>
        <v>Presumption</v>
      </c>
    </row>
    <row r="141" spans="1:112" ht="15" thickTop="1" thickBot="1">
      <c r="A141" s="38" t="s">
        <v>392</v>
      </c>
      <c r="B141" s="38" t="s">
        <v>393</v>
      </c>
      <c r="C141" s="38" t="s">
        <v>392</v>
      </c>
      <c r="D141" s="38" t="s">
        <v>147</v>
      </c>
      <c r="E141" s="38" t="str">
        <f>VLOOKUP(C141,PoliticalControl!A:K,11,FALSE)</f>
        <v>IND/OTHER</v>
      </c>
      <c r="F141" s="38" t="str">
        <f>VLOOKUP(C141,UrbanRuralClassification!A:N,13,FALSE)</f>
        <v xml:space="preserve">Mainly Rural (rural including hub towns &gt;=80%) </v>
      </c>
      <c r="G141" s="38" t="str">
        <f>VLOOKUP(C141,UrbanRuralClassification!A:N,14,FALSE)</f>
        <v>Predominantly Rural</v>
      </c>
      <c r="H141" s="258">
        <f>IF(ISBLANK((VLOOKUP($A141,'local-plan-data'!$C$1:$AD$566,27,FALSE)))=TRUE,"",VLOOKUP($A141,'local-plan-data'!$C$1:$AD$566,27,FALSE))</f>
        <v>44280</v>
      </c>
      <c r="I141" s="259">
        <f>VLOOKUP($A141,'local-plan-data'!$C$1:$AD$566,28,FALSE)</f>
        <v>7</v>
      </c>
      <c r="J141" s="260">
        <f t="shared" si="121"/>
        <v>7</v>
      </c>
      <c r="K141" s="259">
        <f t="shared" si="96"/>
        <v>7</v>
      </c>
      <c r="L141" s="259">
        <f t="shared" si="101"/>
        <v>7</v>
      </c>
      <c r="M141" s="259">
        <f t="shared" si="101"/>
        <v>7</v>
      </c>
      <c r="N141" s="259">
        <f t="shared" si="101"/>
        <v>7</v>
      </c>
      <c r="O141" s="259">
        <f t="shared" si="101"/>
        <v>7</v>
      </c>
      <c r="P141" s="259">
        <f t="shared" si="101"/>
        <v>7</v>
      </c>
      <c r="Q141" s="259">
        <f t="shared" si="101"/>
        <v>7</v>
      </c>
      <c r="R141" s="259">
        <f t="shared" si="101"/>
        <v>7</v>
      </c>
      <c r="S141" s="259">
        <f t="shared" si="97"/>
        <v>2915</v>
      </c>
      <c r="T141" s="259">
        <f t="shared" si="102"/>
        <v>2550</v>
      </c>
      <c r="U141" s="259">
        <f t="shared" si="102"/>
        <v>2184</v>
      </c>
      <c r="V141" s="259">
        <f t="shared" si="102"/>
        <v>1819</v>
      </c>
      <c r="W141" s="259">
        <f t="shared" si="102"/>
        <v>1454</v>
      </c>
      <c r="X141" s="259">
        <f t="shared" si="102"/>
        <v>1089</v>
      </c>
      <c r="Y141" s="259">
        <f t="shared" si="102"/>
        <v>723</v>
      </c>
      <c r="Z141" s="259">
        <f t="shared" si="102"/>
        <v>358</v>
      </c>
      <c r="AA141" s="267" t="e">
        <f>(VLOOKUP(A141,Hshldprojections2014!$A$2:$AW$319,40, FALSE)-VLOOKUP(A141,Hshldprojections2014!$A$2:$AW$319,30, FALSE))/10</f>
        <v>#VALUE!</v>
      </c>
      <c r="AB141" s="267" t="e">
        <f>(VLOOKUP(A141,Hshldprojections2014!$A$2:$AW$319,41, FALSE)-VLOOKUP(A141,Hshldprojections2014!$A$2:$AW$319,31, FALSE))/10</f>
        <v>#VALUE!</v>
      </c>
      <c r="AC141" s="267" t="e">
        <f>(VLOOKUP(A141,Hshldprojections2014!$A$2:$AW$319,42, FALSE)-VLOOKUP(A141,Hshldprojections2014!$A$2:$AW$319,32, FALSE))/10</f>
        <v>#VALUE!</v>
      </c>
      <c r="AD141" s="267">
        <f>IF(IndividualLATest!$J$7=2014,(VLOOKUP($A141,Hshldprojections2014!$A$2:$AY$326,43,FALSE)-VLOOKUP($A141,Hshldprojections2014!$A$2:$AY$326,33,FALSE))/10,IF(IndividualLATest!$J$7=2016,(VLOOKUP($A141,Hshldprojections2016!$A$1:$AQ$322,33,FALSE)-VLOOKUP($A141,Hshldprojections2016!$A$1:$AQ$322,23,FALSE))/10,(VLOOKUP($A141,Hshldprojections2018!$A$1:$AQ$327,33,FALSE)-VLOOKUP($A141,Hshldprojections2018!$A$1:$AQ$327,23,FALSE))/10))</f>
        <v>-18.899999999999999</v>
      </c>
      <c r="AE141" s="267">
        <f>IF(IndividualLATest!$J$7=2014,(VLOOKUP($A141,Hshldprojections2014!$A$2:$AY$326,44,FALSE)-VLOOKUP($A141,Hshldprojections2014!$A$2:$AY$326,34,FALSE))/10,IF(IndividualLATest!$J$7=2016,(VLOOKUP($A141,Hshldprojections2016!$A$1:$AQ$322,34,FALSE)-VLOOKUP($A141,Hshldprojections2016!$A$1:$AQ$322,24,FALSE))/10,(VLOOKUP($A141,Hshldprojections2018!$A$1:$AQ$327,34,FALSE)-VLOOKUP($A141,Hshldprojections2018!$A$1:$AQ$327,24,FALSE))/10))</f>
        <v>-17.2</v>
      </c>
      <c r="AF141" s="267">
        <f>IF(IndividualLATest!$J$7=2014,(VLOOKUP($A141,Hshldprojections2014!$A$2:$AY$326,45,FALSE)-VLOOKUP($A141,Hshldprojections2014!$A$2:$AY$326,35,FALSE))/10,IF(IndividualLATest!$J$7=2016,(VLOOKUP($A141,Hshldprojections2016!$A$1:$AQ$322,35,FALSE)-VLOOKUP($A141,Hshldprojections2016!$A$1:$AQ$322,25,FALSE))/10,(VLOOKUP($A141,Hshldprojections2018!$A$1:$AQ$327,35,FALSE)-VLOOKUP($A141,Hshldprojections2018!$A$1:$AQ$327,25,FALSE))/10))</f>
        <v>-15.3</v>
      </c>
      <c r="AG141" s="267">
        <f>IF(IndividualLATest!$J$7=2014,(VLOOKUP($A141,Hshldprojections2014!$A$2:$AY$326,46,FALSE)-VLOOKUP($A141,Hshldprojections2014!$A$2:$AY$326,36,FALSE))/10,IF(IndividualLATest!$J$7=2016,(VLOOKUP($A141,Hshldprojections2016!$A$1:$AQ$322,36,FALSE)-VLOOKUP($A141,Hshldprojections2016!$A$1:$AQ$322,26,FALSE))/10,(VLOOKUP($A141,Hshldprojections2018!$A$1:$AQ$327,36,FALSE)-VLOOKUP($A141,Hshldprojections2018!$A$1:$AQ$327,26,FALSE))/10))</f>
        <v>-14.1</v>
      </c>
      <c r="AH141" s="267">
        <f>IF(IndividualLATest!$J$7=2014,(VLOOKUP($A141,Hshldprojections2014!$A$2:$AY$326,47,FALSE)-VLOOKUP($A141,Hshldprojections2014!$A$2:$AY$326,37,FALSE))/10,IF(IndividualLATest!$J$7=2016,(VLOOKUP($A141,Hshldprojections2016!$A$1:$AQ$322,37,FALSE)-VLOOKUP($A141,Hshldprojections2016!$A$1:$AQ$322,27,FALSE))/10,(VLOOKUP($A141,Hshldprojections2018!$A$1:$AQ$327,37,FALSE)-VLOOKUP($A141,Hshldprojections2018!$A$1:$AQ$327,27,FALSE))/10))</f>
        <v>-12.9</v>
      </c>
      <c r="AI141" s="268" t="str">
        <f>IF(ISNUMBER('Sensitivity Tests'!$C$30),'Sensitivity Tests'!$C$30,VLOOKUP($A141,AffordabilityRatio!$A$2:$I$321,5,FALSE))</f>
        <v>:</v>
      </c>
      <c r="AJ141" s="268" t="str">
        <f>IF(ISNUMBER('Sensitivity Tests'!$C$30),'Sensitivity Tests'!$C$30,VLOOKUP($A141,AffordabilityRatio!$A$2:$I$321,6,FALSE))</f>
        <v>:</v>
      </c>
      <c r="AK141" s="268">
        <f>IF(ISNUMBER('Sensitivity Tests'!$C$30),'Sensitivity Tests'!$C$30,VLOOKUP($A141,AffordabilityRatio!$A$2:$I$321,7,FALSE))</f>
        <v>16.96</v>
      </c>
      <c r="AL141" s="268" t="str">
        <f>IF(ISNUMBER('Sensitivity Tests'!$C$30),'Sensitivity Tests'!$C$30,IF((VLOOKUP($A141,AffordabilityRatio!$A$2:$I$321,8,FALSE))="",AK141,VLOOKUP($A141,AffordabilityRatio!$A$2:$I$321,8,FALSE)))</f>
        <v>:</v>
      </c>
      <c r="AM141" s="268" t="str">
        <f>IF(ISNUMBER('Sensitivity Tests'!$C$30),'Sensitivity Tests'!$C$30,IF((VLOOKUP($A141,AffordabilityRatio!$A$2:$I$321,9,FALSE))="",AL141,VLOOKUP($A141,AffordabilityRatio!$A$2:$I$321,9,FALSE)))</f>
        <v>:</v>
      </c>
      <c r="AN141" s="268" t="str">
        <f>IF(ISNUMBER('Sensitivity Tests'!$C$30),'Sensitivity Tests'!$C$30,IF((VLOOKUP($A141,AffordabilityRatio!$A$2:$I$321,9,FALSE))="",AM141,VLOOKUP($A141,AffordabilityRatio!$A$2:$I$321,9,FALSE)))</f>
        <v>:</v>
      </c>
      <c r="AO141" s="268" t="str">
        <f>IF(ISNUMBER('Sensitivity Tests'!$C$30),'Sensitivity Tests'!$C$30,IF((VLOOKUP($A141,AffordabilityRatio!$A$2:$I$321,9,FALSE))="",AN141,VLOOKUP($A141,AffordabilityRatio!$A$2:$I$321,9,FALSE)))</f>
        <v>:</v>
      </c>
      <c r="AP141" s="268" t="str">
        <f>IF(ISNUMBER('Sensitivity Tests'!$C$30),'Sensitivity Tests'!$C$30,IF((VLOOKUP($A141,AffordabilityRatio!$A$2:$I$321,9,FALSE))="",AO141,VLOOKUP($A141,AffordabilityRatio!$A$2:$I$321,9,FALSE)))</f>
        <v>:</v>
      </c>
      <c r="AQ141" s="267" t="e">
        <f t="shared" si="104"/>
        <v>#VALUE!</v>
      </c>
      <c r="AR141" s="267" t="e">
        <f t="shared" si="104"/>
        <v>#VALUE!</v>
      </c>
      <c r="AS141" s="267" t="e">
        <f t="shared" si="104"/>
        <v>#VALUE!</v>
      </c>
      <c r="AT141" s="267">
        <f t="shared" si="103"/>
        <v>0</v>
      </c>
      <c r="AU141" s="267">
        <f t="shared" si="103"/>
        <v>0</v>
      </c>
      <c r="AV141" s="267">
        <f t="shared" si="103"/>
        <v>0</v>
      </c>
      <c r="AW141" s="267">
        <f t="shared" si="103"/>
        <v>0</v>
      </c>
      <c r="AX141" s="267">
        <f t="shared" si="95"/>
        <v>0</v>
      </c>
      <c r="AY141" s="267" t="e">
        <f t="shared" si="122"/>
        <v>#VALUE!</v>
      </c>
      <c r="AZ141" s="267" t="e">
        <f t="shared" si="123"/>
        <v>#VALUE!</v>
      </c>
      <c r="BA141" s="267" t="e">
        <f t="shared" si="124"/>
        <v>#VALUE!</v>
      </c>
      <c r="BB141" s="267">
        <f t="shared" si="125"/>
        <v>0</v>
      </c>
      <c r="BC141" s="267">
        <f t="shared" si="126"/>
        <v>0</v>
      </c>
      <c r="BD141" s="267">
        <f t="shared" si="127"/>
        <v>0</v>
      </c>
      <c r="BE141" s="267">
        <f t="shared" si="128"/>
        <v>0</v>
      </c>
      <c r="BF141" s="267">
        <f t="shared" si="129"/>
        <v>0</v>
      </c>
      <c r="BG141" s="269" t="e">
        <f>AY141*VLOOKUP($B141,'Major Cities &amp; Towns'!$A$28:$B$345,2,FALSE)</f>
        <v>#VALUE!</v>
      </c>
      <c r="BH141" s="269" t="e">
        <f>AZ141*VLOOKUP($B141,'Major Cities &amp; Towns'!$A$28:$B$345,2,FALSE)</f>
        <v>#VALUE!</v>
      </c>
      <c r="BI141" s="269" t="e">
        <f>BA141*VLOOKUP($B141,'Major Cities &amp; Towns'!$A$28:$B$345,2,FALSE)</f>
        <v>#VALUE!</v>
      </c>
      <c r="BJ141" s="269">
        <f>BB141*VLOOKUP($B141,'Major Cities &amp; Towns'!$A$28:$B$345,2,FALSE)</f>
        <v>0</v>
      </c>
      <c r="BK141" s="269">
        <f>BC141*VLOOKUP($B141,'Major Cities &amp; Towns'!$A$28:$B$345,2,FALSE)</f>
        <v>0</v>
      </c>
      <c r="BL141" s="269">
        <f>BD141*VLOOKUP($B141,'Major Cities &amp; Towns'!$A$28:$B$345,2,FALSE)</f>
        <v>0</v>
      </c>
      <c r="BM141" s="269">
        <f>BE141*VLOOKUP($B141,'Major Cities &amp; Towns'!$A$28:$B$345,2,FALSE)</f>
        <v>0</v>
      </c>
      <c r="BN141" s="269">
        <f>BF141*VLOOKUP($B141,'Major Cities &amp; Towns'!$A$28:$B$345,2,FALSE)</f>
        <v>0</v>
      </c>
      <c r="BO141" s="270" t="e">
        <f t="shared" si="130"/>
        <v>#VALUE!</v>
      </c>
      <c r="BP141" s="270" t="e">
        <f t="shared" si="100"/>
        <v>#VALUE!</v>
      </c>
      <c r="BQ141" s="270" t="e">
        <f t="shared" si="100"/>
        <v>#VALUE!</v>
      </c>
      <c r="BR141" s="270">
        <f t="shared" si="100"/>
        <v>0</v>
      </c>
      <c r="BS141" s="270">
        <f t="shared" si="100"/>
        <v>0</v>
      </c>
      <c r="BT141" s="270">
        <f t="shared" si="100"/>
        <v>0</v>
      </c>
      <c r="BU141" s="270">
        <f t="shared" si="100"/>
        <v>0</v>
      </c>
      <c r="BV141" s="270">
        <f t="shared" si="99"/>
        <v>0</v>
      </c>
      <c r="BW141" s="39">
        <f>VLOOKUP($A141,NetAdditions!$A$2:$H$336,6,FALSE)</f>
        <v>0</v>
      </c>
      <c r="BX141" s="39">
        <f>VLOOKUP($A141,NetAdditions!$A$2:$H$336,7,FALSE)</f>
        <v>0</v>
      </c>
      <c r="BY141" s="39">
        <f>IF((VLOOKUP($C141,NetAdditions!$A$2:$H$336,8,FALSE))="",(AVERAGE(VLOOKUP($C141,NetAdditions!$A$2:$H$336,5,FALSE),VLOOKUP($C141,NetAdditions!$A$2:$H$336,6,FALSE),VLOOKUP($C141,NetAdditions!$A$2:$H$336,7,FALSE))),VLOOKUP($C141,NetAdditions!$A$2:$H$336,8,FALSE))</f>
        <v>0</v>
      </c>
      <c r="BZ141" s="39">
        <f t="shared" si="105"/>
        <v>0</v>
      </c>
      <c r="CA141" s="39">
        <f t="shared" si="105"/>
        <v>0</v>
      </c>
      <c r="CB141" s="39">
        <f t="shared" si="105"/>
        <v>0</v>
      </c>
      <c r="CC141" s="39">
        <f t="shared" si="105"/>
        <v>0</v>
      </c>
      <c r="CD141" s="39">
        <f t="shared" si="105"/>
        <v>0</v>
      </c>
      <c r="CE141" s="276" t="e">
        <f t="shared" si="106"/>
        <v>#VALUE!</v>
      </c>
      <c r="CF141" s="276" t="e">
        <f t="shared" si="107"/>
        <v>#VALUE!</v>
      </c>
      <c r="CG141" s="276" t="e">
        <f t="shared" si="108"/>
        <v>#VALUE!</v>
      </c>
      <c r="CH141" s="276">
        <f t="shared" si="109"/>
        <v>0</v>
      </c>
      <c r="CI141" s="276">
        <f t="shared" si="110"/>
        <v>0</v>
      </c>
      <c r="CJ141" s="276">
        <f t="shared" si="111"/>
        <v>0</v>
      </c>
      <c r="CK141" s="276" t="e">
        <f t="shared" si="131"/>
        <v>#VALUE!</v>
      </c>
      <c r="CL141" s="276" t="e">
        <f t="shared" si="132"/>
        <v>#VALUE!</v>
      </c>
      <c r="CM141" s="276" t="e">
        <f t="shared" si="133"/>
        <v>#VALUE!</v>
      </c>
      <c r="CN141" s="276">
        <f t="shared" si="134"/>
        <v>0</v>
      </c>
      <c r="CO141" s="276">
        <f t="shared" si="134"/>
        <v>0</v>
      </c>
      <c r="CP141" s="276">
        <f t="shared" si="134"/>
        <v>0</v>
      </c>
      <c r="CQ141" s="39">
        <f t="shared" si="112"/>
        <v>0</v>
      </c>
      <c r="CR141" s="39">
        <f t="shared" si="113"/>
        <v>0</v>
      </c>
      <c r="CS141" s="277">
        <f t="shared" si="114"/>
        <v>0</v>
      </c>
      <c r="CT141" s="39">
        <f t="shared" si="115"/>
        <v>0</v>
      </c>
      <c r="CU141" s="39">
        <f t="shared" si="116"/>
        <v>0</v>
      </c>
      <c r="CV141" s="39">
        <f t="shared" si="117"/>
        <v>0</v>
      </c>
      <c r="CW141" s="297" t="str">
        <f t="shared" si="118"/>
        <v>-</v>
      </c>
      <c r="CX141" s="279" t="str">
        <f t="shared" si="135"/>
        <v>Pass</v>
      </c>
      <c r="CY141" s="278" t="str">
        <f t="shared" si="119"/>
        <v>-</v>
      </c>
      <c r="CZ141" s="279" t="str">
        <f t="shared" si="136"/>
        <v>Pass</v>
      </c>
      <c r="DA141" s="278" t="str">
        <f t="shared" si="120"/>
        <v>-</v>
      </c>
      <c r="DB141" s="292" t="str">
        <f t="shared" si="137"/>
        <v>Pass</v>
      </c>
      <c r="DC141" s="299" t="str">
        <f t="shared" si="138"/>
        <v>-</v>
      </c>
      <c r="DD141" s="293" t="str">
        <f t="shared" si="139"/>
        <v>Pass</v>
      </c>
      <c r="DE141" s="299" t="str">
        <f t="shared" si="140"/>
        <v>-</v>
      </c>
      <c r="DF141" s="293" t="str">
        <f t="shared" si="141"/>
        <v>Pass</v>
      </c>
      <c r="DG141" s="299" t="str">
        <f t="shared" si="142"/>
        <v>-</v>
      </c>
      <c r="DH141" s="293" t="str">
        <f t="shared" si="143"/>
        <v>Pass</v>
      </c>
    </row>
    <row r="142" spans="1:112" customFormat="1" ht="15.5" thickTop="1" thickBot="1">
      <c r="A142" s="3" t="s">
        <v>394</v>
      </c>
      <c r="B142" s="3" t="s">
        <v>395</v>
      </c>
      <c r="C142" s="3" t="s">
        <v>394</v>
      </c>
      <c r="D142" s="3" t="s">
        <v>131</v>
      </c>
      <c r="E142" s="3" t="str">
        <f>VLOOKUP(C142,PoliticalControl!A:K,11,FALSE)</f>
        <v>LAB</v>
      </c>
      <c r="F142" s="3" t="str">
        <f>VLOOKUP(C142,UrbanRuralClassification!A:N,13,FALSE)</f>
        <v>Urban with Major Conurbation</v>
      </c>
      <c r="G142" s="3" t="str">
        <f>VLOOKUP(C142,UrbanRuralClassification!A:N,14,FALSE)</f>
        <v>Predominantly Urban</v>
      </c>
      <c r="H142" s="262">
        <f>IF(ISBLANK((VLOOKUP($A142,'local-plan-data'!$C$1:$AD$566,27,FALSE)))=TRUE,"",VLOOKUP($A142,'local-plan-data'!$C$1:$AD$566,27,FALSE))</f>
        <v>40591</v>
      </c>
      <c r="I142" s="263">
        <f>VLOOKUP($A142,'local-plan-data'!$C$1:$AD$566,28,FALSE)</f>
        <v>1169</v>
      </c>
      <c r="J142" s="264">
        <f t="shared" si="121"/>
        <v>1169</v>
      </c>
      <c r="K142" s="259" t="str">
        <f t="shared" si="96"/>
        <v>-</v>
      </c>
      <c r="L142" s="259" t="str">
        <f t="shared" si="101"/>
        <v>-</v>
      </c>
      <c r="M142" s="259" t="str">
        <f t="shared" si="101"/>
        <v>-</v>
      </c>
      <c r="N142" s="259" t="str">
        <f t="shared" si="101"/>
        <v>-</v>
      </c>
      <c r="O142" s="259" t="str">
        <f t="shared" si="101"/>
        <v>-</v>
      </c>
      <c r="P142" s="259" t="str">
        <f t="shared" si="101"/>
        <v>-</v>
      </c>
      <c r="Q142" s="259" t="str">
        <f t="shared" si="101"/>
        <v>-</v>
      </c>
      <c r="R142" s="259" t="str">
        <f t="shared" si="101"/>
        <v>-</v>
      </c>
      <c r="S142" s="259">
        <f t="shared" si="97"/>
        <v>-774</v>
      </c>
      <c r="T142" s="259">
        <f t="shared" si="102"/>
        <v>-1139</v>
      </c>
      <c r="U142" s="259">
        <f t="shared" si="102"/>
        <v>-1505</v>
      </c>
      <c r="V142" s="259">
        <f t="shared" si="102"/>
        <v>-1870</v>
      </c>
      <c r="W142" s="259">
        <f t="shared" si="102"/>
        <v>-2235</v>
      </c>
      <c r="X142" s="259">
        <f t="shared" si="102"/>
        <v>-2600</v>
      </c>
      <c r="Y142" s="259">
        <f t="shared" si="102"/>
        <v>-2966</v>
      </c>
      <c r="Z142" s="259">
        <f t="shared" si="102"/>
        <v>-3331</v>
      </c>
      <c r="AA142" s="267">
        <f>(VLOOKUP(A142,Hshldprojections2014!$A$2:$AW$319,40, FALSE)-VLOOKUP(A142,Hshldprojections2014!$A$2:$AW$319,30, FALSE))/10</f>
        <v>1728.8</v>
      </c>
      <c r="AB142" s="267">
        <f>(VLOOKUP(A142,Hshldprojections2014!$A$2:$AW$319,41, FALSE)-VLOOKUP(A142,Hshldprojections2014!$A$2:$AW$319,31, FALSE))/10</f>
        <v>1685</v>
      </c>
      <c r="AC142" s="267">
        <f>(VLOOKUP(A142,Hshldprojections2014!$A$2:$AW$319,42, FALSE)-VLOOKUP(A142,Hshldprojections2014!$A$2:$AW$319,32, FALSE))/10</f>
        <v>1649.2</v>
      </c>
      <c r="AD142" s="267">
        <f>IF(IndividualLATest!$J$7=2014,(VLOOKUP($A142,Hshldprojections2014!$A$2:$AY$326,43,FALSE)-VLOOKUP($A142,Hshldprojections2014!$A$2:$AY$326,33,FALSE))/10,IF(IndividualLATest!$J$7=2016,(VLOOKUP($A142,Hshldprojections2016!$A$1:$AQ$322,33,FALSE)-VLOOKUP($A142,Hshldprojections2016!$A$1:$AQ$322,23,FALSE))/10,(VLOOKUP($A142,Hshldprojections2018!$A$1:$AQ$327,33,FALSE)-VLOOKUP($A142,Hshldprojections2018!$A$1:$AQ$327,23,FALSE))/10))</f>
        <v>746.2</v>
      </c>
      <c r="AE142" s="267">
        <f>IF(IndividualLATest!$J$7=2014,(VLOOKUP($A142,Hshldprojections2014!$A$2:$AY$326,44,FALSE)-VLOOKUP($A142,Hshldprojections2014!$A$2:$AY$326,34,FALSE))/10,IF(IndividualLATest!$J$7=2016,(VLOOKUP($A142,Hshldprojections2016!$A$1:$AQ$322,34,FALSE)-VLOOKUP($A142,Hshldprojections2016!$A$1:$AQ$322,24,FALSE))/10,(VLOOKUP($A142,Hshldprojections2018!$A$1:$AQ$327,34,FALSE)-VLOOKUP($A142,Hshldprojections2018!$A$1:$AQ$327,24,FALSE))/10))</f>
        <v>733.9</v>
      </c>
      <c r="AF142" s="267">
        <f>IF(IndividualLATest!$J$7=2014,(VLOOKUP($A142,Hshldprojections2014!$A$2:$AY$326,45,FALSE)-VLOOKUP($A142,Hshldprojections2014!$A$2:$AY$326,35,FALSE))/10,IF(IndividualLATest!$J$7=2016,(VLOOKUP($A142,Hshldprojections2016!$A$1:$AQ$322,35,FALSE)-VLOOKUP($A142,Hshldprojections2016!$A$1:$AQ$322,25,FALSE))/10,(VLOOKUP($A142,Hshldprojections2018!$A$1:$AQ$327,35,FALSE)-VLOOKUP($A142,Hshldprojections2018!$A$1:$AQ$327,25,FALSE))/10))</f>
        <v>732.9</v>
      </c>
      <c r="AG142" s="267">
        <f>IF(IndividualLATest!$J$7=2014,(VLOOKUP($A142,Hshldprojections2014!$A$2:$AY$326,46,FALSE)-VLOOKUP($A142,Hshldprojections2014!$A$2:$AY$326,36,FALSE))/10,IF(IndividualLATest!$J$7=2016,(VLOOKUP($A142,Hshldprojections2016!$A$1:$AQ$322,36,FALSE)-VLOOKUP($A142,Hshldprojections2016!$A$1:$AQ$322,26,FALSE))/10,(VLOOKUP($A142,Hshldprojections2018!$A$1:$AQ$327,36,FALSE)-VLOOKUP($A142,Hshldprojections2018!$A$1:$AQ$327,26,FALSE))/10))</f>
        <v>733.6</v>
      </c>
      <c r="AH142" s="267">
        <f>IF(IndividualLATest!$J$7=2014,(VLOOKUP($A142,Hshldprojections2014!$A$2:$AY$326,47,FALSE)-VLOOKUP($A142,Hshldprojections2014!$A$2:$AY$326,37,FALSE))/10,IF(IndividualLATest!$J$7=2016,(VLOOKUP($A142,Hshldprojections2016!$A$1:$AQ$322,37,FALSE)-VLOOKUP($A142,Hshldprojections2016!$A$1:$AQ$322,27,FALSE))/10,(VLOOKUP($A142,Hshldprojections2018!$A$1:$AQ$327,37,FALSE)-VLOOKUP($A142,Hshldprojections2018!$A$1:$AQ$327,27,FALSE))/10))</f>
        <v>741.8</v>
      </c>
      <c r="AI142" s="268">
        <f>IF(ISNUMBER('Sensitivity Tests'!$C$30),'Sensitivity Tests'!$C$30,VLOOKUP($A142,AffordabilityRatio!$A$2:$I$321,5,FALSE))</f>
        <v>15.67</v>
      </c>
      <c r="AJ142" s="268">
        <f>IF(ISNUMBER('Sensitivity Tests'!$C$30),'Sensitivity Tests'!$C$30,VLOOKUP($A142,AffordabilityRatio!$A$2:$I$321,6,FALSE))</f>
        <v>14.73</v>
      </c>
      <c r="AK142" s="268">
        <f>IF(ISNUMBER('Sensitivity Tests'!$C$30),'Sensitivity Tests'!$C$30,VLOOKUP($A142,AffordabilityRatio!$A$2:$I$321,7,FALSE))</f>
        <v>14.56</v>
      </c>
      <c r="AL142" s="268">
        <f>IF(ISNUMBER('Sensitivity Tests'!$C$30),'Sensitivity Tests'!$C$30,IF((VLOOKUP($A142,AffordabilityRatio!$A$2:$I$321,8,FALSE))="",AK142,VLOOKUP($A142,AffordabilityRatio!$A$2:$I$321,8,FALSE)))</f>
        <v>15.44</v>
      </c>
      <c r="AM142" s="268">
        <f>IF(ISNUMBER('Sensitivity Tests'!$C$30),'Sensitivity Tests'!$C$30,IF((VLOOKUP($A142,AffordabilityRatio!$A$2:$I$321,9,FALSE))="",AL142,VLOOKUP($A142,AffordabilityRatio!$A$2:$I$321,9,FALSE)))</f>
        <v>14.73</v>
      </c>
      <c r="AN142" s="268">
        <f>IF(ISNUMBER('Sensitivity Tests'!$C$30),'Sensitivity Tests'!$C$30,IF((VLOOKUP($A142,AffordabilityRatio!$A$2:$I$321,9,FALSE))="",AM142,VLOOKUP($A142,AffordabilityRatio!$A$2:$I$321,9,FALSE)))</f>
        <v>14.73</v>
      </c>
      <c r="AO142" s="268">
        <f>IF(ISNUMBER('Sensitivity Tests'!$C$30),'Sensitivity Tests'!$C$30,IF((VLOOKUP($A142,AffordabilityRatio!$A$2:$I$321,9,FALSE))="",AN142,VLOOKUP($A142,AffordabilityRatio!$A$2:$I$321,9,FALSE)))</f>
        <v>14.73</v>
      </c>
      <c r="AP142" s="268">
        <f>IF(ISNUMBER('Sensitivity Tests'!$C$30),'Sensitivity Tests'!$C$30,IF((VLOOKUP($A142,AffordabilityRatio!$A$2:$I$321,9,FALSE))="",AO142,VLOOKUP($A142,AffordabilityRatio!$A$2:$I$321,9,FALSE)))</f>
        <v>14.73</v>
      </c>
      <c r="AQ142" s="267">
        <f t="shared" si="104"/>
        <v>2990</v>
      </c>
      <c r="AR142" s="267">
        <f t="shared" si="104"/>
        <v>2815</v>
      </c>
      <c r="AS142" s="267">
        <f t="shared" si="104"/>
        <v>2738</v>
      </c>
      <c r="AT142" s="267">
        <f t="shared" si="103"/>
        <v>1280</v>
      </c>
      <c r="AU142" s="267">
        <f t="shared" si="103"/>
        <v>1226</v>
      </c>
      <c r="AV142" s="267">
        <f t="shared" si="103"/>
        <v>1224</v>
      </c>
      <c r="AW142" s="267">
        <f t="shared" si="103"/>
        <v>1226</v>
      </c>
      <c r="AX142" s="267">
        <f t="shared" si="95"/>
        <v>1239</v>
      </c>
      <c r="AY142" s="267">
        <f t="shared" si="122"/>
        <v>2420.3199999999997</v>
      </c>
      <c r="AZ142" s="267">
        <f t="shared" si="123"/>
        <v>2359</v>
      </c>
      <c r="BA142" s="267">
        <f t="shared" si="124"/>
        <v>2308.88</v>
      </c>
      <c r="BB142" s="267">
        <f t="shared" si="125"/>
        <v>1280</v>
      </c>
      <c r="BC142" s="267">
        <f t="shared" si="126"/>
        <v>1226</v>
      </c>
      <c r="BD142" s="267">
        <f t="shared" si="127"/>
        <v>1224</v>
      </c>
      <c r="BE142" s="267">
        <f t="shared" si="128"/>
        <v>1226</v>
      </c>
      <c r="BF142" s="267">
        <f t="shared" si="129"/>
        <v>1239</v>
      </c>
      <c r="BG142" s="269">
        <f>AY142*VLOOKUP($B142,'Major Cities &amp; Towns'!$A$28:$B$345,2,FALSE)</f>
        <v>3267.4319999999998</v>
      </c>
      <c r="BH142" s="269">
        <f>AZ142*VLOOKUP($B142,'Major Cities &amp; Towns'!$A$28:$B$345,2,FALSE)</f>
        <v>3184.65</v>
      </c>
      <c r="BI142" s="269">
        <f>BA142*VLOOKUP($B142,'Major Cities &amp; Towns'!$A$28:$B$345,2,FALSE)</f>
        <v>3116.9880000000003</v>
      </c>
      <c r="BJ142" s="269">
        <f>BB142*VLOOKUP($B142,'Major Cities &amp; Towns'!$A$28:$B$345,2,FALSE)</f>
        <v>1728</v>
      </c>
      <c r="BK142" s="269">
        <f>BC142*VLOOKUP($B142,'Major Cities &amp; Towns'!$A$28:$B$345,2,FALSE)</f>
        <v>1655.1000000000001</v>
      </c>
      <c r="BL142" s="269">
        <f>BD142*VLOOKUP($B142,'Major Cities &amp; Towns'!$A$28:$B$345,2,FALSE)</f>
        <v>1652.4</v>
      </c>
      <c r="BM142" s="269">
        <f>BE142*VLOOKUP($B142,'Major Cities &amp; Towns'!$A$28:$B$345,2,FALSE)</f>
        <v>1655.1000000000001</v>
      </c>
      <c r="BN142" s="269">
        <f>BF142*VLOOKUP($B142,'Major Cities &amp; Towns'!$A$28:$B$345,2,FALSE)</f>
        <v>1672.65</v>
      </c>
      <c r="BO142" s="270">
        <f t="shared" si="130"/>
        <v>2990</v>
      </c>
      <c r="BP142" s="270">
        <f t="shared" si="100"/>
        <v>2815</v>
      </c>
      <c r="BQ142" s="270">
        <f t="shared" si="100"/>
        <v>2738</v>
      </c>
      <c r="BR142" s="270">
        <f t="shared" si="100"/>
        <v>1280</v>
      </c>
      <c r="BS142" s="270">
        <f t="shared" si="100"/>
        <v>1226</v>
      </c>
      <c r="BT142" s="270">
        <f t="shared" si="100"/>
        <v>1224</v>
      </c>
      <c r="BU142" s="270">
        <f t="shared" si="100"/>
        <v>1226</v>
      </c>
      <c r="BV142" s="270">
        <f t="shared" si="99"/>
        <v>1239</v>
      </c>
      <c r="BW142" s="39">
        <f>VLOOKUP($A142,NetAdditions!$A$2:$H$336,6,FALSE)</f>
        <v>916</v>
      </c>
      <c r="BX142" s="39">
        <f>VLOOKUP($A142,NetAdditions!$A$2:$H$336,7,FALSE)</f>
        <v>757</v>
      </c>
      <c r="BY142" s="39">
        <f>IF((VLOOKUP($C142,NetAdditions!$A$2:$H$336,8,FALSE))="",(AVERAGE(VLOOKUP($C142,NetAdditions!$A$2:$H$336,5,FALSE),VLOOKUP($C142,NetAdditions!$A$2:$H$336,6,FALSE),VLOOKUP($C142,NetAdditions!$A$2:$H$336,7,FALSE))),VLOOKUP($C142,NetAdditions!$A$2:$H$336,8,FALSE))</f>
        <v>651</v>
      </c>
      <c r="BZ142" s="39">
        <f t="shared" si="105"/>
        <v>774.66666666666663</v>
      </c>
      <c r="CA142" s="39">
        <f t="shared" si="105"/>
        <v>727.55555555555554</v>
      </c>
      <c r="CB142" s="39">
        <f t="shared" si="105"/>
        <v>717.74074074074076</v>
      </c>
      <c r="CC142" s="39">
        <f t="shared" si="105"/>
        <v>739.98765432098764</v>
      </c>
      <c r="CD142" s="39">
        <f t="shared" si="105"/>
        <v>728.42798353909473</v>
      </c>
      <c r="CE142" s="276">
        <f t="shared" si="106"/>
        <v>8543</v>
      </c>
      <c r="CF142" s="276">
        <f t="shared" si="107"/>
        <v>6833</v>
      </c>
      <c r="CG142" s="276">
        <f t="shared" si="108"/>
        <v>5244</v>
      </c>
      <c r="CH142" s="276">
        <f t="shared" si="109"/>
        <v>3730</v>
      </c>
      <c r="CI142" s="276">
        <f t="shared" si="110"/>
        <v>3676</v>
      </c>
      <c r="CJ142" s="276">
        <f t="shared" si="111"/>
        <v>3689</v>
      </c>
      <c r="CK142" s="276">
        <f t="shared" si="131"/>
        <v>7356.4722222222226</v>
      </c>
      <c r="CL142" s="276">
        <f t="shared" si="132"/>
        <v>5883.9722222222226</v>
      </c>
      <c r="CM142" s="276">
        <f t="shared" si="133"/>
        <v>4807</v>
      </c>
      <c r="CN142" s="276">
        <f t="shared" si="134"/>
        <v>3730</v>
      </c>
      <c r="CO142" s="276">
        <f t="shared" si="134"/>
        <v>3676</v>
      </c>
      <c r="CP142" s="276">
        <f t="shared" si="134"/>
        <v>3689</v>
      </c>
      <c r="CQ142" s="39">
        <f t="shared" si="112"/>
        <v>2324</v>
      </c>
      <c r="CR142" s="39">
        <f t="shared" si="113"/>
        <v>2182.6666666666665</v>
      </c>
      <c r="CS142" s="277">
        <f t="shared" si="114"/>
        <v>2153.2222222222222</v>
      </c>
      <c r="CT142" s="39">
        <f t="shared" si="115"/>
        <v>2219.962962962963</v>
      </c>
      <c r="CU142" s="39">
        <f t="shared" si="116"/>
        <v>2185.2839506172841</v>
      </c>
      <c r="CV142" s="39">
        <f t="shared" si="117"/>
        <v>2186.1563786008232</v>
      </c>
      <c r="CW142" s="297">
        <f t="shared" si="118"/>
        <v>0.3159122918971578</v>
      </c>
      <c r="CX142" s="279" t="str">
        <f t="shared" si="135"/>
        <v>Buffer and Action Plan</v>
      </c>
      <c r="CY142" s="278">
        <f t="shared" si="119"/>
        <v>0.37095121870618386</v>
      </c>
      <c r="CZ142" s="279" t="str">
        <f t="shared" si="136"/>
        <v>Presumption</v>
      </c>
      <c r="DA142" s="278">
        <f t="shared" si="120"/>
        <v>0.44793472482259666</v>
      </c>
      <c r="DB142" s="292" t="str">
        <f t="shared" si="137"/>
        <v>Presumption</v>
      </c>
      <c r="DC142" s="299">
        <f t="shared" si="138"/>
        <v>0.59516433323403839</v>
      </c>
      <c r="DD142" s="293" t="str">
        <f t="shared" si="139"/>
        <v>Presumption</v>
      </c>
      <c r="DE142" s="299">
        <f t="shared" si="140"/>
        <v>0.59447332715377699</v>
      </c>
      <c r="DF142" s="293" t="str">
        <f t="shared" si="141"/>
        <v>Presumption</v>
      </c>
      <c r="DG142" s="299">
        <f t="shared" si="142"/>
        <v>0.59261490338867528</v>
      </c>
      <c r="DH142" s="293" t="str">
        <f t="shared" si="143"/>
        <v>Presumption</v>
      </c>
    </row>
    <row r="143" spans="1:112" customFormat="1" ht="15.5" thickTop="1" thickBot="1">
      <c r="A143" s="3" t="s">
        <v>396</v>
      </c>
      <c r="B143" s="3" t="s">
        <v>397</v>
      </c>
      <c r="C143" s="3" t="s">
        <v>396</v>
      </c>
      <c r="D143" s="3" t="s">
        <v>131</v>
      </c>
      <c r="E143" s="3" t="str">
        <f>VLOOKUP(C143,PoliticalControl!A:K,11,FALSE)</f>
        <v>CON</v>
      </c>
      <c r="F143" s="3" t="str">
        <f>VLOOKUP(C143,UrbanRuralClassification!A:N,13,FALSE)</f>
        <v>Urban with Major Conurbation</v>
      </c>
      <c r="G143" s="3" t="str">
        <f>VLOOKUP(C143,UrbanRuralClassification!A:N,14,FALSE)</f>
        <v>Predominantly Urban</v>
      </c>
      <c r="H143" s="262">
        <f>IF(ISBLANK((VLOOKUP($A143,'local-plan-data'!$C$1:$AD$566,27,FALSE)))=TRUE,"",VLOOKUP($A143,'local-plan-data'!$C$1:$AD$566,27,FALSE))</f>
        <v>43719</v>
      </c>
      <c r="I143" s="263">
        <f>VLOOKUP($A143,'local-plan-data'!$C$1:$AD$566,28,FALSE)</f>
        <v>733</v>
      </c>
      <c r="J143" s="264">
        <f t="shared" si="121"/>
        <v>733</v>
      </c>
      <c r="K143" s="259">
        <f t="shared" si="96"/>
        <v>733</v>
      </c>
      <c r="L143" s="259">
        <f t="shared" si="101"/>
        <v>733</v>
      </c>
      <c r="M143" s="259">
        <f t="shared" si="101"/>
        <v>733</v>
      </c>
      <c r="N143" s="259">
        <f t="shared" si="101"/>
        <v>733</v>
      </c>
      <c r="O143" s="259">
        <f t="shared" si="101"/>
        <v>733</v>
      </c>
      <c r="P143" s="259">
        <f t="shared" si="101"/>
        <v>733</v>
      </c>
      <c r="Q143" s="259">
        <f t="shared" si="101"/>
        <v>733</v>
      </c>
      <c r="R143" s="259" t="str">
        <f t="shared" si="101"/>
        <v>-</v>
      </c>
      <c r="S143" s="259">
        <f t="shared" si="97"/>
        <v>2355</v>
      </c>
      <c r="T143" s="259">
        <f t="shared" si="102"/>
        <v>1990</v>
      </c>
      <c r="U143" s="259">
        <f t="shared" si="102"/>
        <v>1624</v>
      </c>
      <c r="V143" s="259">
        <f t="shared" si="102"/>
        <v>1259</v>
      </c>
      <c r="W143" s="259">
        <f t="shared" si="102"/>
        <v>894</v>
      </c>
      <c r="X143" s="259">
        <f t="shared" si="102"/>
        <v>529</v>
      </c>
      <c r="Y143" s="259">
        <f t="shared" si="102"/>
        <v>163</v>
      </c>
      <c r="Z143" s="259">
        <f t="shared" si="102"/>
        <v>-202</v>
      </c>
      <c r="AA143" s="267">
        <f>(VLOOKUP(A143,Hshldprojections2014!$A$2:$AW$319,40, FALSE)-VLOOKUP(A143,Hshldprojections2014!$A$2:$AW$319,30, FALSE))/10</f>
        <v>282.3</v>
      </c>
      <c r="AB143" s="267">
        <f>(VLOOKUP(A143,Hshldprojections2014!$A$2:$AW$319,41, FALSE)-VLOOKUP(A143,Hshldprojections2014!$A$2:$AW$319,31, FALSE))/10</f>
        <v>293.89999999999998</v>
      </c>
      <c r="AC143" s="267">
        <f>(VLOOKUP(A143,Hshldprojections2014!$A$2:$AW$319,42, FALSE)-VLOOKUP(A143,Hshldprojections2014!$A$2:$AW$319,32, FALSE))/10</f>
        <v>309.3</v>
      </c>
      <c r="AD143" s="267">
        <f>IF(IndividualLATest!$J$7=2014,(VLOOKUP($A143,Hshldprojections2014!$A$2:$AY$326,43,FALSE)-VLOOKUP($A143,Hshldprojections2014!$A$2:$AY$326,33,FALSE))/10,IF(IndividualLATest!$J$7=2016,(VLOOKUP($A143,Hshldprojections2016!$A$1:$AQ$322,33,FALSE)-VLOOKUP($A143,Hshldprojections2016!$A$1:$AQ$322,23,FALSE))/10,(VLOOKUP($A143,Hshldprojections2018!$A$1:$AQ$327,33,FALSE)-VLOOKUP($A143,Hshldprojections2018!$A$1:$AQ$327,23,FALSE))/10))</f>
        <v>193.2</v>
      </c>
      <c r="AE143" s="267">
        <f>IF(IndividualLATest!$J$7=2014,(VLOOKUP($A143,Hshldprojections2014!$A$2:$AY$326,44,FALSE)-VLOOKUP($A143,Hshldprojections2014!$A$2:$AY$326,34,FALSE))/10,IF(IndividualLATest!$J$7=2016,(VLOOKUP($A143,Hshldprojections2016!$A$1:$AQ$322,34,FALSE)-VLOOKUP($A143,Hshldprojections2016!$A$1:$AQ$322,24,FALSE))/10,(VLOOKUP($A143,Hshldprojections2018!$A$1:$AQ$327,34,FALSE)-VLOOKUP($A143,Hshldprojections2018!$A$1:$AQ$327,24,FALSE))/10))</f>
        <v>208</v>
      </c>
      <c r="AF143" s="267">
        <f>IF(IndividualLATest!$J$7=2014,(VLOOKUP($A143,Hshldprojections2014!$A$2:$AY$326,45,FALSE)-VLOOKUP($A143,Hshldprojections2014!$A$2:$AY$326,35,FALSE))/10,IF(IndividualLATest!$J$7=2016,(VLOOKUP($A143,Hshldprojections2016!$A$1:$AQ$322,35,FALSE)-VLOOKUP($A143,Hshldprojections2016!$A$1:$AQ$322,25,FALSE))/10,(VLOOKUP($A143,Hshldprojections2018!$A$1:$AQ$327,35,FALSE)-VLOOKUP($A143,Hshldprojections2018!$A$1:$AQ$327,25,FALSE))/10))</f>
        <v>220.7</v>
      </c>
      <c r="AG143" s="267">
        <f>IF(IndividualLATest!$J$7=2014,(VLOOKUP($A143,Hshldprojections2014!$A$2:$AY$326,46,FALSE)-VLOOKUP($A143,Hshldprojections2014!$A$2:$AY$326,36,FALSE))/10,IF(IndividualLATest!$J$7=2016,(VLOOKUP($A143,Hshldprojections2016!$A$1:$AQ$322,36,FALSE)-VLOOKUP($A143,Hshldprojections2016!$A$1:$AQ$322,26,FALSE))/10,(VLOOKUP($A143,Hshldprojections2018!$A$1:$AQ$327,36,FALSE)-VLOOKUP($A143,Hshldprojections2018!$A$1:$AQ$327,26,FALSE))/10))</f>
        <v>233.3</v>
      </c>
      <c r="AH143" s="267">
        <f>IF(IndividualLATest!$J$7=2014,(VLOOKUP($A143,Hshldprojections2014!$A$2:$AY$326,47,FALSE)-VLOOKUP($A143,Hshldprojections2014!$A$2:$AY$326,37,FALSE))/10,IF(IndividualLATest!$J$7=2016,(VLOOKUP($A143,Hshldprojections2016!$A$1:$AQ$322,37,FALSE)-VLOOKUP($A143,Hshldprojections2016!$A$1:$AQ$322,27,FALSE))/10,(VLOOKUP($A143,Hshldprojections2018!$A$1:$AQ$327,37,FALSE)-VLOOKUP($A143,Hshldprojections2018!$A$1:$AQ$327,27,FALSE))/10))</f>
        <v>246.5</v>
      </c>
      <c r="AI143" s="268">
        <f>IF(ISNUMBER('Sensitivity Tests'!$C$30),'Sensitivity Tests'!$C$30,VLOOKUP($A143,AffordabilityRatio!$A$2:$I$321,5,FALSE))</f>
        <v>41.04</v>
      </c>
      <c r="AJ143" s="268">
        <f>IF(ISNUMBER('Sensitivity Tests'!$C$30),'Sensitivity Tests'!$C$30,VLOOKUP($A143,AffordabilityRatio!$A$2:$I$321,6,FALSE))</f>
        <v>43.97</v>
      </c>
      <c r="AK143" s="268">
        <f>IF(ISNUMBER('Sensitivity Tests'!$C$30),'Sensitivity Tests'!$C$30,VLOOKUP($A143,AffordabilityRatio!$A$2:$I$321,7,FALSE))</f>
        <v>39.39</v>
      </c>
      <c r="AL143" s="268">
        <f>IF(ISNUMBER('Sensitivity Tests'!$C$30),'Sensitivity Tests'!$C$30,IF((VLOOKUP($A143,AffordabilityRatio!$A$2:$I$321,8,FALSE))="",AK143,VLOOKUP($A143,AffordabilityRatio!$A$2:$I$321,8,FALSE)))</f>
        <v>35.56</v>
      </c>
      <c r="AM143" s="268">
        <f>IF(ISNUMBER('Sensitivity Tests'!$C$30),'Sensitivity Tests'!$C$30,IF((VLOOKUP($A143,AffordabilityRatio!$A$2:$I$321,9,FALSE))="",AL143,VLOOKUP($A143,AffordabilityRatio!$A$2:$I$321,9,FALSE)))</f>
        <v>36.520000000000003</v>
      </c>
      <c r="AN143" s="268">
        <f>IF(ISNUMBER('Sensitivity Tests'!$C$30),'Sensitivity Tests'!$C$30,IF((VLOOKUP($A143,AffordabilityRatio!$A$2:$I$321,9,FALSE))="",AM143,VLOOKUP($A143,AffordabilityRatio!$A$2:$I$321,9,FALSE)))</f>
        <v>36.520000000000003</v>
      </c>
      <c r="AO143" s="268">
        <f>IF(ISNUMBER('Sensitivity Tests'!$C$30),'Sensitivity Tests'!$C$30,IF((VLOOKUP($A143,AffordabilityRatio!$A$2:$I$321,9,FALSE))="",AN143,VLOOKUP($A143,AffordabilityRatio!$A$2:$I$321,9,FALSE)))</f>
        <v>36.520000000000003</v>
      </c>
      <c r="AP143" s="268">
        <f>IF(ISNUMBER('Sensitivity Tests'!$C$30),'Sensitivity Tests'!$C$30,IF((VLOOKUP($A143,AffordabilityRatio!$A$2:$I$321,9,FALSE))="",AO143,VLOOKUP($A143,AffordabilityRatio!$A$2:$I$321,9,FALSE)))</f>
        <v>36.520000000000003</v>
      </c>
      <c r="AQ143" s="267">
        <f t="shared" si="104"/>
        <v>936</v>
      </c>
      <c r="AR143" s="267">
        <f t="shared" si="104"/>
        <v>1028</v>
      </c>
      <c r="AS143" s="267">
        <f t="shared" si="104"/>
        <v>993</v>
      </c>
      <c r="AT143" s="267">
        <f t="shared" si="103"/>
        <v>574</v>
      </c>
      <c r="AU143" s="267">
        <f t="shared" si="103"/>
        <v>631</v>
      </c>
      <c r="AV143" s="267">
        <f t="shared" si="103"/>
        <v>669</v>
      </c>
      <c r="AW143" s="267">
        <f t="shared" si="103"/>
        <v>707</v>
      </c>
      <c r="AX143" s="267">
        <f t="shared" si="95"/>
        <v>748</v>
      </c>
      <c r="AY143" s="267">
        <f t="shared" si="122"/>
        <v>936</v>
      </c>
      <c r="AZ143" s="267">
        <f t="shared" si="123"/>
        <v>1026.2</v>
      </c>
      <c r="BA143" s="267">
        <f t="shared" si="124"/>
        <v>993</v>
      </c>
      <c r="BB143" s="267">
        <f t="shared" si="125"/>
        <v>574</v>
      </c>
      <c r="BC143" s="267">
        <f t="shared" si="126"/>
        <v>631</v>
      </c>
      <c r="BD143" s="267">
        <f t="shared" si="127"/>
        <v>669</v>
      </c>
      <c r="BE143" s="267">
        <f t="shared" si="128"/>
        <v>707</v>
      </c>
      <c r="BF143" s="267">
        <f t="shared" si="129"/>
        <v>748</v>
      </c>
      <c r="BG143" s="269">
        <f>AY143*VLOOKUP($B143,'Major Cities &amp; Towns'!$A$28:$B$345,2,FALSE)</f>
        <v>1263.6000000000001</v>
      </c>
      <c r="BH143" s="269">
        <f>AZ143*VLOOKUP($B143,'Major Cities &amp; Towns'!$A$28:$B$345,2,FALSE)</f>
        <v>1385.3700000000001</v>
      </c>
      <c r="BI143" s="269">
        <f>BA143*VLOOKUP($B143,'Major Cities &amp; Towns'!$A$28:$B$345,2,FALSE)</f>
        <v>1340.5500000000002</v>
      </c>
      <c r="BJ143" s="269">
        <f>BB143*VLOOKUP($B143,'Major Cities &amp; Towns'!$A$28:$B$345,2,FALSE)</f>
        <v>774.90000000000009</v>
      </c>
      <c r="BK143" s="269">
        <f>BC143*VLOOKUP($B143,'Major Cities &amp; Towns'!$A$28:$B$345,2,FALSE)</f>
        <v>851.85</v>
      </c>
      <c r="BL143" s="269">
        <f>BD143*VLOOKUP($B143,'Major Cities &amp; Towns'!$A$28:$B$345,2,FALSE)</f>
        <v>903.15000000000009</v>
      </c>
      <c r="BM143" s="269">
        <f>BE143*VLOOKUP($B143,'Major Cities &amp; Towns'!$A$28:$B$345,2,FALSE)</f>
        <v>954.45</v>
      </c>
      <c r="BN143" s="269">
        <f>BF143*VLOOKUP($B143,'Major Cities &amp; Towns'!$A$28:$B$345,2,FALSE)</f>
        <v>1009.8000000000001</v>
      </c>
      <c r="BO143" s="270">
        <f t="shared" si="130"/>
        <v>733</v>
      </c>
      <c r="BP143" s="270">
        <f t="shared" si="100"/>
        <v>733</v>
      </c>
      <c r="BQ143" s="270">
        <f t="shared" si="100"/>
        <v>733</v>
      </c>
      <c r="BR143" s="270">
        <f t="shared" si="100"/>
        <v>574</v>
      </c>
      <c r="BS143" s="270">
        <f t="shared" si="100"/>
        <v>631</v>
      </c>
      <c r="BT143" s="270">
        <f t="shared" si="100"/>
        <v>669</v>
      </c>
      <c r="BU143" s="270">
        <f t="shared" si="100"/>
        <v>718.61095890410957</v>
      </c>
      <c r="BV143" s="270">
        <f t="shared" si="99"/>
        <v>748</v>
      </c>
      <c r="BW143" s="39">
        <f>VLOOKUP($A143,NetAdditions!$A$2:$H$336,6,FALSE)</f>
        <v>115</v>
      </c>
      <c r="BX143" s="39">
        <f>VLOOKUP($A143,NetAdditions!$A$2:$H$336,7,FALSE)</f>
        <v>511</v>
      </c>
      <c r="BY143" s="39">
        <f>IF((VLOOKUP($C143,NetAdditions!$A$2:$H$336,8,FALSE))="",(AVERAGE(VLOOKUP($C143,NetAdditions!$A$2:$H$336,5,FALSE),VLOOKUP($C143,NetAdditions!$A$2:$H$336,6,FALSE),VLOOKUP($C143,NetAdditions!$A$2:$H$336,7,FALSE))),VLOOKUP($C143,NetAdditions!$A$2:$H$336,8,FALSE))</f>
        <v>267</v>
      </c>
      <c r="BZ143" s="39">
        <f t="shared" si="105"/>
        <v>297.66666666666669</v>
      </c>
      <c r="CA143" s="39">
        <f t="shared" si="105"/>
        <v>358.5555555555556</v>
      </c>
      <c r="CB143" s="39">
        <f t="shared" si="105"/>
        <v>307.74074074074082</v>
      </c>
      <c r="CC143" s="39">
        <f t="shared" si="105"/>
        <v>321.32098765432102</v>
      </c>
      <c r="CD143" s="39">
        <f t="shared" si="105"/>
        <v>329.2057613168725</v>
      </c>
      <c r="CE143" s="276">
        <f t="shared" si="106"/>
        <v>2199</v>
      </c>
      <c r="CF143" s="276">
        <f t="shared" si="107"/>
        <v>2040</v>
      </c>
      <c r="CG143" s="276">
        <f t="shared" si="108"/>
        <v>1938</v>
      </c>
      <c r="CH143" s="276">
        <f t="shared" si="109"/>
        <v>1874</v>
      </c>
      <c r="CI143" s="276">
        <f t="shared" si="110"/>
        <v>2018.6109589041096</v>
      </c>
      <c r="CJ143" s="276">
        <f t="shared" si="111"/>
        <v>2135.6109589041098</v>
      </c>
      <c r="CK143" s="276">
        <f t="shared" si="131"/>
        <v>1893.5833333333335</v>
      </c>
      <c r="CL143" s="276">
        <f t="shared" si="132"/>
        <v>1756.6666666666667</v>
      </c>
      <c r="CM143" s="276">
        <f t="shared" si="133"/>
        <v>1776.5</v>
      </c>
      <c r="CN143" s="276">
        <f t="shared" si="134"/>
        <v>1874</v>
      </c>
      <c r="CO143" s="276">
        <f t="shared" si="134"/>
        <v>2018.6109589041096</v>
      </c>
      <c r="CP143" s="276">
        <f t="shared" si="134"/>
        <v>2135.6109589041098</v>
      </c>
      <c r="CQ143" s="39">
        <f t="shared" si="112"/>
        <v>893</v>
      </c>
      <c r="CR143" s="39">
        <f t="shared" si="113"/>
        <v>1075.6666666666667</v>
      </c>
      <c r="CS143" s="277">
        <f t="shared" si="114"/>
        <v>923.2222222222224</v>
      </c>
      <c r="CT143" s="39">
        <f t="shared" si="115"/>
        <v>963.96296296296305</v>
      </c>
      <c r="CU143" s="39">
        <f t="shared" si="116"/>
        <v>987.61728395061743</v>
      </c>
      <c r="CV143" s="39">
        <f t="shared" si="117"/>
        <v>958.26748971193433</v>
      </c>
      <c r="CW143" s="297">
        <f t="shared" si="118"/>
        <v>0.47159265941997092</v>
      </c>
      <c r="CX143" s="279" t="str">
        <f t="shared" si="135"/>
        <v>Buffer and Action Plan</v>
      </c>
      <c r="CY143" s="278">
        <f t="shared" si="119"/>
        <v>0.61233396584440225</v>
      </c>
      <c r="CZ143" s="279" t="str">
        <f t="shared" si="136"/>
        <v>Buffer and Action Plan</v>
      </c>
      <c r="DA143" s="278">
        <f t="shared" si="120"/>
        <v>0.51968602432998723</v>
      </c>
      <c r="DB143" s="292" t="str">
        <f t="shared" si="137"/>
        <v>Presumption</v>
      </c>
      <c r="DC143" s="299">
        <f t="shared" si="138"/>
        <v>0.51438792047116488</v>
      </c>
      <c r="DD143" s="293" t="str">
        <f t="shared" si="139"/>
        <v>Presumption</v>
      </c>
      <c r="DE143" s="299">
        <f t="shared" si="140"/>
        <v>0.48925588142392146</v>
      </c>
      <c r="DF143" s="293" t="str">
        <f t="shared" si="141"/>
        <v>Presumption</v>
      </c>
      <c r="DG143" s="299">
        <f t="shared" si="142"/>
        <v>0.44870882766197734</v>
      </c>
      <c r="DH143" s="293" t="str">
        <f t="shared" si="143"/>
        <v>Presumption</v>
      </c>
    </row>
    <row r="144" spans="1:112" ht="15" thickTop="1" thickBot="1">
      <c r="A144" s="38" t="s">
        <v>398</v>
      </c>
      <c r="B144" s="38" t="s">
        <v>399</v>
      </c>
      <c r="C144" s="38" t="s">
        <v>398</v>
      </c>
      <c r="D144" s="38" t="s">
        <v>119</v>
      </c>
      <c r="E144" s="38" t="str">
        <f>VLOOKUP(C144,PoliticalControl!A:K,11,FALSE)</f>
        <v>CON</v>
      </c>
      <c r="F144" s="38" t="str">
        <f>VLOOKUP(C144,UrbanRuralClassification!A:N,13,FALSE)</f>
        <v>Urban with City and Town</v>
      </c>
      <c r="G144" s="38" t="str">
        <f>VLOOKUP(C144,UrbanRuralClassification!A:N,14,FALSE)</f>
        <v>Predominantly Urban</v>
      </c>
      <c r="H144" s="258">
        <f>IF(ISBLANK((VLOOKUP($A144,'local-plan-data'!$C$1:$AD$566,27,FALSE)))=TRUE,"",VLOOKUP($A144,'local-plan-data'!$C$1:$AD$566,27,FALSE))</f>
        <v>42565</v>
      </c>
      <c r="I144" s="259">
        <f>VLOOKUP($A144,'local-plan-data'!$C$1:$AD$566,28,FALSE)</f>
        <v>520</v>
      </c>
      <c r="J144" s="260">
        <f t="shared" si="121"/>
        <v>520</v>
      </c>
      <c r="K144" s="259">
        <f t="shared" si="96"/>
        <v>520</v>
      </c>
      <c r="L144" s="259">
        <f t="shared" si="101"/>
        <v>520</v>
      </c>
      <c r="M144" s="259">
        <f t="shared" si="101"/>
        <v>520</v>
      </c>
      <c r="N144" s="259">
        <f t="shared" si="101"/>
        <v>520</v>
      </c>
      <c r="O144" s="259" t="str">
        <f t="shared" si="101"/>
        <v>-</v>
      </c>
      <c r="P144" s="259" t="str">
        <f t="shared" si="101"/>
        <v>-</v>
      </c>
      <c r="Q144" s="259" t="str">
        <f t="shared" si="101"/>
        <v>-</v>
      </c>
      <c r="R144" s="259" t="str">
        <f t="shared" si="101"/>
        <v>-</v>
      </c>
      <c r="S144" s="259">
        <f t="shared" si="97"/>
        <v>1200</v>
      </c>
      <c r="T144" s="259">
        <f t="shared" si="102"/>
        <v>835</v>
      </c>
      <c r="U144" s="259">
        <f t="shared" si="102"/>
        <v>469</v>
      </c>
      <c r="V144" s="259">
        <f t="shared" si="102"/>
        <v>104</v>
      </c>
      <c r="W144" s="259">
        <f t="shared" si="102"/>
        <v>-261</v>
      </c>
      <c r="X144" s="259">
        <f t="shared" si="102"/>
        <v>-626</v>
      </c>
      <c r="Y144" s="259">
        <f t="shared" si="102"/>
        <v>-992</v>
      </c>
      <c r="Z144" s="259">
        <f t="shared" si="102"/>
        <v>-1357</v>
      </c>
      <c r="AA144" s="267">
        <f>(VLOOKUP(A144,Hshldprojections2014!$A$2:$AW$319,40, FALSE)-VLOOKUP(A144,Hshldprojections2014!$A$2:$AW$319,30, FALSE))/10</f>
        <v>442.8</v>
      </c>
      <c r="AB144" s="267">
        <f>(VLOOKUP(A144,Hshldprojections2014!$A$2:$AW$319,41, FALSE)-VLOOKUP(A144,Hshldprojections2014!$A$2:$AW$319,31, FALSE))/10</f>
        <v>436.9</v>
      </c>
      <c r="AC144" s="267">
        <f>(VLOOKUP(A144,Hshldprojections2014!$A$2:$AW$319,42, FALSE)-VLOOKUP(A144,Hshldprojections2014!$A$2:$AW$319,32, FALSE))/10</f>
        <v>433</v>
      </c>
      <c r="AD144" s="267">
        <f>IF(IndividualLATest!$J$7=2014,(VLOOKUP($A144,Hshldprojections2014!$A$2:$AY$326,43,FALSE)-VLOOKUP($A144,Hshldprojections2014!$A$2:$AY$326,33,FALSE))/10,IF(IndividualLATest!$J$7=2016,(VLOOKUP($A144,Hshldprojections2016!$A$1:$AQ$322,33,FALSE)-VLOOKUP($A144,Hshldprojections2016!$A$1:$AQ$322,23,FALSE))/10,(VLOOKUP($A144,Hshldprojections2018!$A$1:$AQ$327,33,FALSE)-VLOOKUP($A144,Hshldprojections2018!$A$1:$AQ$327,23,FALSE))/10))</f>
        <v>509.1</v>
      </c>
      <c r="AE144" s="267">
        <f>IF(IndividualLATest!$J$7=2014,(VLOOKUP($A144,Hshldprojections2014!$A$2:$AY$326,44,FALSE)-VLOOKUP($A144,Hshldprojections2014!$A$2:$AY$326,34,FALSE))/10,IF(IndividualLATest!$J$7=2016,(VLOOKUP($A144,Hshldprojections2016!$A$1:$AQ$322,34,FALSE)-VLOOKUP($A144,Hshldprojections2016!$A$1:$AQ$322,24,FALSE))/10,(VLOOKUP($A144,Hshldprojections2018!$A$1:$AQ$327,34,FALSE)-VLOOKUP($A144,Hshldprojections2018!$A$1:$AQ$327,24,FALSE))/10))</f>
        <v>498.1</v>
      </c>
      <c r="AF144" s="267">
        <f>IF(IndividualLATest!$J$7=2014,(VLOOKUP($A144,Hshldprojections2014!$A$2:$AY$326,45,FALSE)-VLOOKUP($A144,Hshldprojections2014!$A$2:$AY$326,35,FALSE))/10,IF(IndividualLATest!$J$7=2016,(VLOOKUP($A144,Hshldprojections2016!$A$1:$AQ$322,35,FALSE)-VLOOKUP($A144,Hshldprojections2016!$A$1:$AQ$322,25,FALSE))/10,(VLOOKUP($A144,Hshldprojections2018!$A$1:$AQ$327,35,FALSE)-VLOOKUP($A144,Hshldprojections2018!$A$1:$AQ$327,25,FALSE))/10))</f>
        <v>487.5</v>
      </c>
      <c r="AG144" s="267">
        <f>IF(IndividualLATest!$J$7=2014,(VLOOKUP($A144,Hshldprojections2014!$A$2:$AY$326,46,FALSE)-VLOOKUP($A144,Hshldprojections2014!$A$2:$AY$326,36,FALSE))/10,IF(IndividualLATest!$J$7=2016,(VLOOKUP($A144,Hshldprojections2016!$A$1:$AQ$322,36,FALSE)-VLOOKUP($A144,Hshldprojections2016!$A$1:$AQ$322,26,FALSE))/10,(VLOOKUP($A144,Hshldprojections2018!$A$1:$AQ$327,36,FALSE)-VLOOKUP($A144,Hshldprojections2018!$A$1:$AQ$327,26,FALSE))/10))</f>
        <v>476.3</v>
      </c>
      <c r="AH144" s="267">
        <f>IF(IndividualLATest!$J$7=2014,(VLOOKUP($A144,Hshldprojections2014!$A$2:$AY$326,47,FALSE)-VLOOKUP($A144,Hshldprojections2014!$A$2:$AY$326,37,FALSE))/10,IF(IndividualLATest!$J$7=2016,(VLOOKUP($A144,Hshldprojections2016!$A$1:$AQ$322,37,FALSE)-VLOOKUP($A144,Hshldprojections2016!$A$1:$AQ$322,27,FALSE))/10,(VLOOKUP($A144,Hshldprojections2018!$A$1:$AQ$327,37,FALSE)-VLOOKUP($A144,Hshldprojections2018!$A$1:$AQ$327,27,FALSE))/10))</f>
        <v>467.8</v>
      </c>
      <c r="AI144" s="268">
        <f>IF(ISNUMBER('Sensitivity Tests'!$C$30),'Sensitivity Tests'!$C$30,VLOOKUP($A144,AffordabilityRatio!$A$2:$I$321,5,FALSE))</f>
        <v>7.02</v>
      </c>
      <c r="AJ144" s="268">
        <f>IF(ISNUMBER('Sensitivity Tests'!$C$30),'Sensitivity Tests'!$C$30,VLOOKUP($A144,AffordabilityRatio!$A$2:$I$321,6,FALSE))</f>
        <v>7.86</v>
      </c>
      <c r="AK144" s="268">
        <f>IF(ISNUMBER('Sensitivity Tests'!$C$30),'Sensitivity Tests'!$C$30,VLOOKUP($A144,AffordabilityRatio!$A$2:$I$321,7,FALSE))</f>
        <v>7.49</v>
      </c>
      <c r="AL144" s="268">
        <f>IF(ISNUMBER('Sensitivity Tests'!$C$30),'Sensitivity Tests'!$C$30,IF((VLOOKUP($A144,AffordabilityRatio!$A$2:$I$321,8,FALSE))="",AK144,VLOOKUP($A144,AffordabilityRatio!$A$2:$I$321,8,FALSE)))</f>
        <v>7.14</v>
      </c>
      <c r="AM144" s="268">
        <f>IF(ISNUMBER('Sensitivity Tests'!$C$30),'Sensitivity Tests'!$C$30,IF((VLOOKUP($A144,AffordabilityRatio!$A$2:$I$321,9,FALSE))="",AL144,VLOOKUP($A144,AffordabilityRatio!$A$2:$I$321,9,FALSE)))</f>
        <v>7.14</v>
      </c>
      <c r="AN144" s="268">
        <f>IF(ISNUMBER('Sensitivity Tests'!$C$30),'Sensitivity Tests'!$C$30,IF((VLOOKUP($A144,AffordabilityRatio!$A$2:$I$321,9,FALSE))="",AM144,VLOOKUP($A144,AffordabilityRatio!$A$2:$I$321,9,FALSE)))</f>
        <v>7.14</v>
      </c>
      <c r="AO144" s="268">
        <f>IF(ISNUMBER('Sensitivity Tests'!$C$30),'Sensitivity Tests'!$C$30,IF((VLOOKUP($A144,AffordabilityRatio!$A$2:$I$321,9,FALSE))="",AN144,VLOOKUP($A144,AffordabilityRatio!$A$2:$I$321,9,FALSE)))</f>
        <v>7.14</v>
      </c>
      <c r="AP144" s="268">
        <f>IF(ISNUMBER('Sensitivity Tests'!$C$30),'Sensitivity Tests'!$C$30,IF((VLOOKUP($A144,AffordabilityRatio!$A$2:$I$321,9,FALSE))="",AO144,VLOOKUP($A144,AffordabilityRatio!$A$2:$I$321,9,FALSE)))</f>
        <v>7.14</v>
      </c>
      <c r="AQ144" s="267">
        <f t="shared" si="104"/>
        <v>526</v>
      </c>
      <c r="AR144" s="267">
        <f t="shared" si="104"/>
        <v>542</v>
      </c>
      <c r="AS144" s="267">
        <f t="shared" si="104"/>
        <v>527</v>
      </c>
      <c r="AT144" s="267">
        <f t="shared" si="103"/>
        <v>609</v>
      </c>
      <c r="AU144" s="267">
        <f t="shared" si="103"/>
        <v>596</v>
      </c>
      <c r="AV144" s="267">
        <f t="shared" si="103"/>
        <v>583</v>
      </c>
      <c r="AW144" s="267">
        <f t="shared" si="103"/>
        <v>570</v>
      </c>
      <c r="AX144" s="267">
        <f t="shared" si="95"/>
        <v>560</v>
      </c>
      <c r="AY144" s="267">
        <f t="shared" si="122"/>
        <v>526</v>
      </c>
      <c r="AZ144" s="267">
        <f t="shared" si="123"/>
        <v>542</v>
      </c>
      <c r="BA144" s="267">
        <f t="shared" si="124"/>
        <v>527</v>
      </c>
      <c r="BB144" s="267">
        <f t="shared" si="125"/>
        <v>609</v>
      </c>
      <c r="BC144" s="267">
        <f t="shared" si="126"/>
        <v>596</v>
      </c>
      <c r="BD144" s="267">
        <f t="shared" si="127"/>
        <v>583</v>
      </c>
      <c r="BE144" s="267">
        <f t="shared" si="128"/>
        <v>570</v>
      </c>
      <c r="BF144" s="267">
        <f t="shared" si="129"/>
        <v>560</v>
      </c>
      <c r="BG144" s="269">
        <f>AY144*VLOOKUP($B144,'Major Cities &amp; Towns'!$A$28:$B$345,2,FALSE)</f>
        <v>526</v>
      </c>
      <c r="BH144" s="269">
        <f>AZ144*VLOOKUP($B144,'Major Cities &amp; Towns'!$A$28:$B$345,2,FALSE)</f>
        <v>542</v>
      </c>
      <c r="BI144" s="269">
        <f>BA144*VLOOKUP($B144,'Major Cities &amp; Towns'!$A$28:$B$345,2,FALSE)</f>
        <v>527</v>
      </c>
      <c r="BJ144" s="269">
        <f>BB144*VLOOKUP($B144,'Major Cities &amp; Towns'!$A$28:$B$345,2,FALSE)</f>
        <v>609</v>
      </c>
      <c r="BK144" s="269">
        <f>BC144*VLOOKUP($B144,'Major Cities &amp; Towns'!$A$28:$B$345,2,FALSE)</f>
        <v>596</v>
      </c>
      <c r="BL144" s="269">
        <f>BD144*VLOOKUP($B144,'Major Cities &amp; Towns'!$A$28:$B$345,2,FALSE)</f>
        <v>583</v>
      </c>
      <c r="BM144" s="269">
        <f>BE144*VLOOKUP($B144,'Major Cities &amp; Towns'!$A$28:$B$345,2,FALSE)</f>
        <v>570</v>
      </c>
      <c r="BN144" s="269">
        <f>BF144*VLOOKUP($B144,'Major Cities &amp; Towns'!$A$28:$B$345,2,FALSE)</f>
        <v>560</v>
      </c>
      <c r="BO144" s="270">
        <f t="shared" si="130"/>
        <v>520</v>
      </c>
      <c r="BP144" s="270">
        <f t="shared" si="100"/>
        <v>520</v>
      </c>
      <c r="BQ144" s="270">
        <f t="shared" si="100"/>
        <v>520</v>
      </c>
      <c r="BR144" s="270">
        <f t="shared" si="100"/>
        <v>583.64109589041095</v>
      </c>
      <c r="BS144" s="270">
        <f t="shared" si="100"/>
        <v>596</v>
      </c>
      <c r="BT144" s="270">
        <f t="shared" si="100"/>
        <v>583</v>
      </c>
      <c r="BU144" s="270">
        <f t="shared" si="100"/>
        <v>570</v>
      </c>
      <c r="BV144" s="270">
        <f t="shared" si="99"/>
        <v>560</v>
      </c>
      <c r="BW144" s="39">
        <f>VLOOKUP($A144,NetAdditions!$A$2:$H$336,6,FALSE)</f>
        <v>644</v>
      </c>
      <c r="BX144" s="39">
        <f>VLOOKUP($A144,NetAdditions!$A$2:$H$336,7,FALSE)</f>
        <v>350</v>
      </c>
      <c r="BY144" s="39">
        <f>IF((VLOOKUP($C144,NetAdditions!$A$2:$H$336,8,FALSE))="",(AVERAGE(VLOOKUP($C144,NetAdditions!$A$2:$H$336,5,FALSE),VLOOKUP($C144,NetAdditions!$A$2:$H$336,6,FALSE),VLOOKUP($C144,NetAdditions!$A$2:$H$336,7,FALSE))),VLOOKUP($C144,NetAdditions!$A$2:$H$336,8,FALSE))</f>
        <v>496.33333333333331</v>
      </c>
      <c r="BZ144" s="39">
        <f t="shared" si="105"/>
        <v>496.77777777777777</v>
      </c>
      <c r="CA144" s="39">
        <f t="shared" si="105"/>
        <v>447.7037037037037</v>
      </c>
      <c r="CB144" s="39">
        <f t="shared" si="105"/>
        <v>480.27160493827159</v>
      </c>
      <c r="CC144" s="39">
        <f t="shared" si="105"/>
        <v>474.91769547325106</v>
      </c>
      <c r="CD144" s="39">
        <f t="shared" si="105"/>
        <v>467.63100137174212</v>
      </c>
      <c r="CE144" s="276">
        <f t="shared" si="106"/>
        <v>1560</v>
      </c>
      <c r="CF144" s="276">
        <f t="shared" si="107"/>
        <v>1623.641095890411</v>
      </c>
      <c r="CG144" s="276">
        <f t="shared" si="108"/>
        <v>1699.641095890411</v>
      </c>
      <c r="CH144" s="276">
        <f t="shared" si="109"/>
        <v>1762.641095890411</v>
      </c>
      <c r="CI144" s="276">
        <f t="shared" si="110"/>
        <v>1749</v>
      </c>
      <c r="CJ144" s="276">
        <f t="shared" si="111"/>
        <v>1713</v>
      </c>
      <c r="CK144" s="276">
        <f t="shared" si="131"/>
        <v>1343.3333333333335</v>
      </c>
      <c r="CL144" s="276">
        <f t="shared" si="132"/>
        <v>1398.135388127854</v>
      </c>
      <c r="CM144" s="276">
        <f t="shared" si="133"/>
        <v>1558.0043378995433</v>
      </c>
      <c r="CN144" s="276">
        <f t="shared" si="134"/>
        <v>1762.641095890411</v>
      </c>
      <c r="CO144" s="276">
        <f t="shared" si="134"/>
        <v>1749</v>
      </c>
      <c r="CP144" s="276">
        <f t="shared" si="134"/>
        <v>1713</v>
      </c>
      <c r="CQ144" s="39">
        <f t="shared" si="112"/>
        <v>1490.3333333333333</v>
      </c>
      <c r="CR144" s="39">
        <f t="shared" si="113"/>
        <v>1343.1111111111111</v>
      </c>
      <c r="CS144" s="277">
        <f t="shared" si="114"/>
        <v>1440.8148148148148</v>
      </c>
      <c r="CT144" s="39">
        <f t="shared" si="115"/>
        <v>1424.7530864197531</v>
      </c>
      <c r="CU144" s="39">
        <f t="shared" si="116"/>
        <v>1402.8930041152264</v>
      </c>
      <c r="CV144" s="39">
        <f t="shared" si="117"/>
        <v>1422.8203017832648</v>
      </c>
      <c r="CW144" s="297">
        <f t="shared" si="118"/>
        <v>1.109429280397022</v>
      </c>
      <c r="CX144" s="279" t="str">
        <f t="shared" si="135"/>
        <v>Pass</v>
      </c>
      <c r="CY144" s="278">
        <f t="shared" si="119"/>
        <v>0.9606445287888592</v>
      </c>
      <c r="CZ144" s="279" t="str">
        <f t="shared" si="136"/>
        <v>Pass</v>
      </c>
      <c r="DA144" s="278">
        <f t="shared" si="120"/>
        <v>0.92478228703604248</v>
      </c>
      <c r="DB144" s="292" t="str">
        <f t="shared" si="137"/>
        <v>Action Plan</v>
      </c>
      <c r="DC144" s="299">
        <f t="shared" si="138"/>
        <v>0.80830583704280923</v>
      </c>
      <c r="DD144" s="293" t="str">
        <f t="shared" si="139"/>
        <v>Buffer and Action Plan</v>
      </c>
      <c r="DE144" s="299">
        <f t="shared" si="140"/>
        <v>0.80211149463420606</v>
      </c>
      <c r="DF144" s="293" t="str">
        <f t="shared" si="141"/>
        <v>Buffer and Action Plan</v>
      </c>
      <c r="DG144" s="299">
        <f t="shared" si="142"/>
        <v>0.8306014604689228</v>
      </c>
      <c r="DH144" s="293" t="str">
        <f t="shared" si="143"/>
        <v>Buffer and Action Plan</v>
      </c>
    </row>
    <row r="145" spans="1:112" ht="15" thickTop="1" thickBot="1">
      <c r="A145" s="38" t="s">
        <v>400</v>
      </c>
      <c r="B145" s="38" t="s">
        <v>401</v>
      </c>
      <c r="C145" s="38" t="s">
        <v>400</v>
      </c>
      <c r="D145" s="38" t="s">
        <v>128</v>
      </c>
      <c r="E145" s="38" t="str">
        <f>VLOOKUP(C145,PoliticalControl!A:K,11,FALSE)</f>
        <v>CON</v>
      </c>
      <c r="F145" s="38" t="str">
        <f>VLOOKUP(C145,UrbanRuralClassification!A:N,13,FALSE)</f>
        <v xml:space="preserve">Largely Rural (rural including hub towns 50-79%) </v>
      </c>
      <c r="G145" s="38" t="str">
        <f>VLOOKUP(C145,UrbanRuralClassification!A:N,14,FALSE)</f>
        <v>Predominantly Rural</v>
      </c>
      <c r="H145" s="258">
        <f>IF(ISBLANK((VLOOKUP($A145,'local-plan-data'!$C$1:$AD$566,27,FALSE)))=TRUE,"",VLOOKUP($A145,'local-plan-data'!$C$1:$AD$566,27,FALSE))</f>
        <v>40752</v>
      </c>
      <c r="I145" s="259">
        <f>VLOOKUP($A145,'local-plan-data'!$C$1:$AD$566,28,FALSE)</f>
        <v>660</v>
      </c>
      <c r="J145" s="260">
        <f t="shared" si="121"/>
        <v>660</v>
      </c>
      <c r="K145" s="259" t="str">
        <f t="shared" si="96"/>
        <v>-</v>
      </c>
      <c r="L145" s="259" t="str">
        <f t="shared" si="101"/>
        <v>-</v>
      </c>
      <c r="M145" s="259" t="str">
        <f t="shared" si="101"/>
        <v>-</v>
      </c>
      <c r="N145" s="259" t="str">
        <f t="shared" si="101"/>
        <v>-</v>
      </c>
      <c r="O145" s="259" t="str">
        <f t="shared" si="101"/>
        <v>-</v>
      </c>
      <c r="P145" s="259" t="str">
        <f t="shared" si="101"/>
        <v>-</v>
      </c>
      <c r="Q145" s="259" t="str">
        <f t="shared" si="101"/>
        <v>-</v>
      </c>
      <c r="R145" s="259" t="str">
        <f t="shared" si="101"/>
        <v>-</v>
      </c>
      <c r="S145" s="259">
        <f t="shared" si="97"/>
        <v>-612</v>
      </c>
      <c r="T145" s="259">
        <f t="shared" si="102"/>
        <v>-977</v>
      </c>
      <c r="U145" s="259">
        <f t="shared" si="102"/>
        <v>-1343</v>
      </c>
      <c r="V145" s="259">
        <f t="shared" si="102"/>
        <v>-1708</v>
      </c>
      <c r="W145" s="259">
        <f t="shared" si="102"/>
        <v>-2073</v>
      </c>
      <c r="X145" s="259">
        <f t="shared" si="102"/>
        <v>-2438</v>
      </c>
      <c r="Y145" s="259">
        <f t="shared" si="102"/>
        <v>-2804</v>
      </c>
      <c r="Z145" s="259">
        <f t="shared" si="102"/>
        <v>-3169</v>
      </c>
      <c r="AA145" s="267">
        <f>(VLOOKUP(A145,Hshldprojections2014!$A$2:$AW$319,40, FALSE)-VLOOKUP(A145,Hshldprojections2014!$A$2:$AW$319,30, FALSE))/10</f>
        <v>446.5</v>
      </c>
      <c r="AB145" s="267">
        <f>(VLOOKUP(A145,Hshldprojections2014!$A$2:$AW$319,41, FALSE)-VLOOKUP(A145,Hshldprojections2014!$A$2:$AW$319,31, FALSE))/10</f>
        <v>446.2</v>
      </c>
      <c r="AC145" s="267">
        <f>(VLOOKUP(A145,Hshldprojections2014!$A$2:$AW$319,42, FALSE)-VLOOKUP(A145,Hshldprojections2014!$A$2:$AW$319,32, FALSE))/10</f>
        <v>444.8</v>
      </c>
      <c r="AD145" s="267">
        <f>IF(IndividualLATest!$J$7=2014,(VLOOKUP($A145,Hshldprojections2014!$A$2:$AY$326,43,FALSE)-VLOOKUP($A145,Hshldprojections2014!$A$2:$AY$326,33,FALSE))/10,IF(IndividualLATest!$J$7=2016,(VLOOKUP($A145,Hshldprojections2016!$A$1:$AQ$322,33,FALSE)-VLOOKUP($A145,Hshldprojections2016!$A$1:$AQ$322,23,FALSE))/10,(VLOOKUP($A145,Hshldprojections2018!$A$1:$AQ$327,33,FALSE)-VLOOKUP($A145,Hshldprojections2018!$A$1:$AQ$327,23,FALSE))/10))</f>
        <v>302.39999999999998</v>
      </c>
      <c r="AE145" s="267">
        <f>IF(IndividualLATest!$J$7=2014,(VLOOKUP($A145,Hshldprojections2014!$A$2:$AY$326,44,FALSE)-VLOOKUP($A145,Hshldprojections2014!$A$2:$AY$326,34,FALSE))/10,IF(IndividualLATest!$J$7=2016,(VLOOKUP($A145,Hshldprojections2016!$A$1:$AQ$322,34,FALSE)-VLOOKUP($A145,Hshldprojections2016!$A$1:$AQ$322,24,FALSE))/10,(VLOOKUP($A145,Hshldprojections2018!$A$1:$AQ$327,34,FALSE)-VLOOKUP($A145,Hshldprojections2018!$A$1:$AQ$327,24,FALSE))/10))</f>
        <v>299.5</v>
      </c>
      <c r="AF145" s="267">
        <f>IF(IndividualLATest!$J$7=2014,(VLOOKUP($A145,Hshldprojections2014!$A$2:$AY$326,45,FALSE)-VLOOKUP($A145,Hshldprojections2014!$A$2:$AY$326,35,FALSE))/10,IF(IndividualLATest!$J$7=2016,(VLOOKUP($A145,Hshldprojections2016!$A$1:$AQ$322,35,FALSE)-VLOOKUP($A145,Hshldprojections2016!$A$1:$AQ$322,25,FALSE))/10,(VLOOKUP($A145,Hshldprojections2018!$A$1:$AQ$327,35,FALSE)-VLOOKUP($A145,Hshldprojections2018!$A$1:$AQ$327,25,FALSE))/10))</f>
        <v>298.60000000000002</v>
      </c>
      <c r="AG145" s="267">
        <f>IF(IndividualLATest!$J$7=2014,(VLOOKUP($A145,Hshldprojections2014!$A$2:$AY$326,46,FALSE)-VLOOKUP($A145,Hshldprojections2014!$A$2:$AY$326,36,FALSE))/10,IF(IndividualLATest!$J$7=2016,(VLOOKUP($A145,Hshldprojections2016!$A$1:$AQ$322,36,FALSE)-VLOOKUP($A145,Hshldprojections2016!$A$1:$AQ$322,26,FALSE))/10,(VLOOKUP($A145,Hshldprojections2018!$A$1:$AQ$327,36,FALSE)-VLOOKUP($A145,Hshldprojections2018!$A$1:$AQ$327,26,FALSE))/10))</f>
        <v>297.60000000000002</v>
      </c>
      <c r="AH145" s="267">
        <f>IF(IndividualLATest!$J$7=2014,(VLOOKUP($A145,Hshldprojections2014!$A$2:$AY$326,47,FALSE)-VLOOKUP($A145,Hshldprojections2014!$A$2:$AY$326,37,FALSE))/10,IF(IndividualLATest!$J$7=2016,(VLOOKUP($A145,Hshldprojections2016!$A$1:$AQ$322,37,FALSE)-VLOOKUP($A145,Hshldprojections2016!$A$1:$AQ$322,27,FALSE))/10,(VLOOKUP($A145,Hshldprojections2018!$A$1:$AQ$327,37,FALSE)-VLOOKUP($A145,Hshldprojections2018!$A$1:$AQ$327,27,FALSE))/10))</f>
        <v>298.89999999999998</v>
      </c>
      <c r="AI145" s="268">
        <f>IF(ISNUMBER('Sensitivity Tests'!$C$30),'Sensitivity Tests'!$C$30,VLOOKUP($A145,AffordabilityRatio!$A$2:$I$321,5,FALSE))</f>
        <v>7.91</v>
      </c>
      <c r="AJ145" s="268">
        <f>IF(ISNUMBER('Sensitivity Tests'!$C$30),'Sensitivity Tests'!$C$30,VLOOKUP($A145,AffordabilityRatio!$A$2:$I$321,6,FALSE))</f>
        <v>7.88</v>
      </c>
      <c r="AK145" s="268">
        <f>IF(ISNUMBER('Sensitivity Tests'!$C$30),'Sensitivity Tests'!$C$30,VLOOKUP($A145,AffordabilityRatio!$A$2:$I$321,7,FALSE))</f>
        <v>7.46</v>
      </c>
      <c r="AL145" s="268">
        <f>IF(ISNUMBER('Sensitivity Tests'!$C$30),'Sensitivity Tests'!$C$30,IF((VLOOKUP($A145,AffordabilityRatio!$A$2:$I$321,8,FALSE))="",AK145,VLOOKUP($A145,AffordabilityRatio!$A$2:$I$321,8,FALSE)))</f>
        <v>7.78</v>
      </c>
      <c r="AM145" s="268">
        <f>IF(ISNUMBER('Sensitivity Tests'!$C$30),'Sensitivity Tests'!$C$30,IF((VLOOKUP($A145,AffordabilityRatio!$A$2:$I$321,9,FALSE))="",AL145,VLOOKUP($A145,AffordabilityRatio!$A$2:$I$321,9,FALSE)))</f>
        <v>8.93</v>
      </c>
      <c r="AN145" s="268">
        <f>IF(ISNUMBER('Sensitivity Tests'!$C$30),'Sensitivity Tests'!$C$30,IF((VLOOKUP($A145,AffordabilityRatio!$A$2:$I$321,9,FALSE))="",AM145,VLOOKUP($A145,AffordabilityRatio!$A$2:$I$321,9,FALSE)))</f>
        <v>8.93</v>
      </c>
      <c r="AO145" s="268">
        <f>IF(ISNUMBER('Sensitivity Tests'!$C$30),'Sensitivity Tests'!$C$30,IF((VLOOKUP($A145,AffordabilityRatio!$A$2:$I$321,9,FALSE))="",AN145,VLOOKUP($A145,AffordabilityRatio!$A$2:$I$321,9,FALSE)))</f>
        <v>8.93</v>
      </c>
      <c r="AP145" s="268">
        <f>IF(ISNUMBER('Sensitivity Tests'!$C$30),'Sensitivity Tests'!$C$30,IF((VLOOKUP($A145,AffordabilityRatio!$A$2:$I$321,9,FALSE))="",AO145,VLOOKUP($A145,AffordabilityRatio!$A$2:$I$321,9,FALSE)))</f>
        <v>8.93</v>
      </c>
      <c r="AQ145" s="267">
        <f t="shared" si="104"/>
        <v>556</v>
      </c>
      <c r="AR145" s="267">
        <f t="shared" si="104"/>
        <v>554</v>
      </c>
      <c r="AS145" s="267">
        <f t="shared" si="104"/>
        <v>541</v>
      </c>
      <c r="AT145" s="267">
        <f t="shared" si="103"/>
        <v>374</v>
      </c>
      <c r="AU145" s="267">
        <f t="shared" si="103"/>
        <v>392</v>
      </c>
      <c r="AV145" s="267">
        <f t="shared" si="103"/>
        <v>391</v>
      </c>
      <c r="AW145" s="267">
        <f t="shared" si="103"/>
        <v>389</v>
      </c>
      <c r="AX145" s="267">
        <f t="shared" si="95"/>
        <v>391</v>
      </c>
      <c r="AY145" s="267">
        <f t="shared" si="122"/>
        <v>556</v>
      </c>
      <c r="AZ145" s="267">
        <f t="shared" si="123"/>
        <v>554</v>
      </c>
      <c r="BA145" s="267">
        <f t="shared" si="124"/>
        <v>541</v>
      </c>
      <c r="BB145" s="267">
        <f t="shared" si="125"/>
        <v>374</v>
      </c>
      <c r="BC145" s="267">
        <f t="shared" si="126"/>
        <v>392</v>
      </c>
      <c r="BD145" s="267">
        <f t="shared" si="127"/>
        <v>391</v>
      </c>
      <c r="BE145" s="267">
        <f t="shared" si="128"/>
        <v>389</v>
      </c>
      <c r="BF145" s="267">
        <f t="shared" si="129"/>
        <v>391</v>
      </c>
      <c r="BG145" s="269">
        <f>AY145*VLOOKUP($B145,'Major Cities &amp; Towns'!$A$28:$B$345,2,FALSE)</f>
        <v>556</v>
      </c>
      <c r="BH145" s="269">
        <f>AZ145*VLOOKUP($B145,'Major Cities &amp; Towns'!$A$28:$B$345,2,FALSE)</f>
        <v>554</v>
      </c>
      <c r="BI145" s="269">
        <f>BA145*VLOOKUP($B145,'Major Cities &amp; Towns'!$A$28:$B$345,2,FALSE)</f>
        <v>541</v>
      </c>
      <c r="BJ145" s="269">
        <f>BB145*VLOOKUP($B145,'Major Cities &amp; Towns'!$A$28:$B$345,2,FALSE)</f>
        <v>374</v>
      </c>
      <c r="BK145" s="269">
        <f>BC145*VLOOKUP($B145,'Major Cities &amp; Towns'!$A$28:$B$345,2,FALSE)</f>
        <v>392</v>
      </c>
      <c r="BL145" s="269">
        <f>BD145*VLOOKUP($B145,'Major Cities &amp; Towns'!$A$28:$B$345,2,FALSE)</f>
        <v>391</v>
      </c>
      <c r="BM145" s="269">
        <f>BE145*VLOOKUP($B145,'Major Cities &amp; Towns'!$A$28:$B$345,2,FALSE)</f>
        <v>389</v>
      </c>
      <c r="BN145" s="269">
        <f>BF145*VLOOKUP($B145,'Major Cities &amp; Towns'!$A$28:$B$345,2,FALSE)</f>
        <v>391</v>
      </c>
      <c r="BO145" s="270">
        <f t="shared" si="130"/>
        <v>556</v>
      </c>
      <c r="BP145" s="270">
        <f t="shared" si="100"/>
        <v>554</v>
      </c>
      <c r="BQ145" s="270">
        <f t="shared" si="100"/>
        <v>541</v>
      </c>
      <c r="BR145" s="270">
        <f t="shared" si="100"/>
        <v>374</v>
      </c>
      <c r="BS145" s="270">
        <f t="shared" si="100"/>
        <v>392</v>
      </c>
      <c r="BT145" s="270">
        <f t="shared" si="100"/>
        <v>391</v>
      </c>
      <c r="BU145" s="270">
        <f t="shared" si="100"/>
        <v>389</v>
      </c>
      <c r="BV145" s="270">
        <f t="shared" si="99"/>
        <v>391</v>
      </c>
      <c r="BW145" s="39">
        <f>VLOOKUP($A145,NetAdditions!$A$2:$H$336,6,FALSE)</f>
        <v>432</v>
      </c>
      <c r="BX145" s="39">
        <f>VLOOKUP($A145,NetAdditions!$A$2:$H$336,7,FALSE)</f>
        <v>591</v>
      </c>
      <c r="BY145" s="39">
        <f>IF((VLOOKUP($C145,NetAdditions!$A$2:$H$336,8,FALSE))="",(AVERAGE(VLOOKUP($C145,NetAdditions!$A$2:$H$336,5,FALSE),VLOOKUP($C145,NetAdditions!$A$2:$H$336,6,FALSE),VLOOKUP($C145,NetAdditions!$A$2:$H$336,7,FALSE))),VLOOKUP($C145,NetAdditions!$A$2:$H$336,8,FALSE))</f>
        <v>340</v>
      </c>
      <c r="BZ145" s="39">
        <f t="shared" si="105"/>
        <v>454.33333333333331</v>
      </c>
      <c r="CA145" s="39">
        <f t="shared" si="105"/>
        <v>461.77777777777777</v>
      </c>
      <c r="CB145" s="39">
        <f t="shared" si="105"/>
        <v>418.7037037037037</v>
      </c>
      <c r="CC145" s="39">
        <f t="shared" si="105"/>
        <v>444.93827160493828</v>
      </c>
      <c r="CD145" s="39">
        <f t="shared" si="105"/>
        <v>441.80658436213997</v>
      </c>
      <c r="CE145" s="276">
        <f t="shared" si="106"/>
        <v>1651</v>
      </c>
      <c r="CF145" s="276">
        <f t="shared" si="107"/>
        <v>1469</v>
      </c>
      <c r="CG145" s="276">
        <f t="shared" si="108"/>
        <v>1307</v>
      </c>
      <c r="CH145" s="276">
        <f t="shared" si="109"/>
        <v>1157</v>
      </c>
      <c r="CI145" s="276">
        <f t="shared" si="110"/>
        <v>1172</v>
      </c>
      <c r="CJ145" s="276">
        <f t="shared" si="111"/>
        <v>1171</v>
      </c>
      <c r="CK145" s="276">
        <f t="shared" si="131"/>
        <v>1421.6944444444446</v>
      </c>
      <c r="CL145" s="276">
        <f t="shared" si="132"/>
        <v>1264.9722222222224</v>
      </c>
      <c r="CM145" s="276">
        <f t="shared" si="133"/>
        <v>1198.0833333333333</v>
      </c>
      <c r="CN145" s="276">
        <f t="shared" si="134"/>
        <v>1157</v>
      </c>
      <c r="CO145" s="276">
        <f t="shared" si="134"/>
        <v>1172</v>
      </c>
      <c r="CP145" s="276">
        <f t="shared" si="134"/>
        <v>1171</v>
      </c>
      <c r="CQ145" s="39">
        <f t="shared" si="112"/>
        <v>1363</v>
      </c>
      <c r="CR145" s="39">
        <f t="shared" si="113"/>
        <v>1385.3333333333333</v>
      </c>
      <c r="CS145" s="277">
        <f t="shared" si="114"/>
        <v>1256.1111111111111</v>
      </c>
      <c r="CT145" s="39">
        <f t="shared" si="115"/>
        <v>1334.8148148148148</v>
      </c>
      <c r="CU145" s="39">
        <f t="shared" si="116"/>
        <v>1325.4197530864199</v>
      </c>
      <c r="CV145" s="39">
        <f t="shared" si="117"/>
        <v>1305.4485596707821</v>
      </c>
      <c r="CW145" s="297">
        <f t="shared" si="118"/>
        <v>0.95871514819952708</v>
      </c>
      <c r="CX145" s="279" t="str">
        <f t="shared" si="135"/>
        <v>Pass</v>
      </c>
      <c r="CY145" s="278">
        <f t="shared" si="119"/>
        <v>1.0951492127626867</v>
      </c>
      <c r="CZ145" s="279" t="str">
        <f t="shared" si="136"/>
        <v>Pass</v>
      </c>
      <c r="DA145" s="278">
        <f t="shared" si="120"/>
        <v>1.0484338410887761</v>
      </c>
      <c r="DB145" s="292" t="str">
        <f t="shared" si="137"/>
        <v>Pass</v>
      </c>
      <c r="DC145" s="299">
        <f t="shared" si="138"/>
        <v>1.1536860975063221</v>
      </c>
      <c r="DD145" s="293" t="str">
        <f t="shared" si="139"/>
        <v>Pass</v>
      </c>
      <c r="DE145" s="299">
        <f t="shared" si="140"/>
        <v>1.1309042261829521</v>
      </c>
      <c r="DF145" s="293" t="str">
        <f t="shared" si="141"/>
        <v>Pass</v>
      </c>
      <c r="DG145" s="299">
        <f t="shared" si="142"/>
        <v>1.1148151662431955</v>
      </c>
      <c r="DH145" s="293" t="str">
        <f t="shared" si="143"/>
        <v>Pass</v>
      </c>
    </row>
    <row r="146" spans="1:112" ht="15" thickTop="1" thickBot="1">
      <c r="A146" s="38" t="s">
        <v>402</v>
      </c>
      <c r="B146" s="38" t="s">
        <v>403</v>
      </c>
      <c r="C146" s="38" t="s">
        <v>402</v>
      </c>
      <c r="D146" s="38" t="s">
        <v>136</v>
      </c>
      <c r="E146" s="38" t="str">
        <f>VLOOKUP(C146,PoliticalControl!A:K,11,FALSE)</f>
        <v>LAB</v>
      </c>
      <c r="F146" s="38" t="str">
        <f>VLOOKUP(C146,UrbanRuralClassification!A:N,13,FALSE)</f>
        <v>Urban with City and Town</v>
      </c>
      <c r="G146" s="38" t="str">
        <f>VLOOKUP(C146,UrbanRuralClassification!A:N,14,FALSE)</f>
        <v>Predominantly Urban</v>
      </c>
      <c r="H146" s="258">
        <f>IF(ISBLANK((VLOOKUP($A146,'local-plan-data'!$C$1:$AD$566,27,FALSE)))=TRUE,"",VLOOKUP($A146,'local-plan-data'!$C$1:$AD$566,27,FALSE))</f>
        <v>43062</v>
      </c>
      <c r="I146" s="259">
        <f>VLOOKUP($A146,'local-plan-data'!$C$1:$AD$566,28,FALSE)</f>
        <v>620</v>
      </c>
      <c r="J146" s="260">
        <f t="shared" si="121"/>
        <v>620</v>
      </c>
      <c r="K146" s="259">
        <f t="shared" si="96"/>
        <v>620</v>
      </c>
      <c r="L146" s="259">
        <f t="shared" si="101"/>
        <v>620</v>
      </c>
      <c r="M146" s="259">
        <f t="shared" si="101"/>
        <v>620</v>
      </c>
      <c r="N146" s="259">
        <f t="shared" si="101"/>
        <v>620</v>
      </c>
      <c r="O146" s="259">
        <f t="shared" si="101"/>
        <v>620</v>
      </c>
      <c r="P146" s="259" t="str">
        <f t="shared" si="101"/>
        <v>-</v>
      </c>
      <c r="Q146" s="259" t="str">
        <f t="shared" si="101"/>
        <v>-</v>
      </c>
      <c r="R146" s="259" t="str">
        <f t="shared" si="101"/>
        <v>-</v>
      </c>
      <c r="S146" s="259">
        <f t="shared" si="97"/>
        <v>1697</v>
      </c>
      <c r="T146" s="259">
        <f t="shared" si="102"/>
        <v>1332</v>
      </c>
      <c r="U146" s="259">
        <f t="shared" si="102"/>
        <v>966</v>
      </c>
      <c r="V146" s="259">
        <f t="shared" si="102"/>
        <v>601</v>
      </c>
      <c r="W146" s="259">
        <f t="shared" si="102"/>
        <v>236</v>
      </c>
      <c r="X146" s="259">
        <f t="shared" si="102"/>
        <v>-129</v>
      </c>
      <c r="Y146" s="259">
        <f t="shared" si="102"/>
        <v>-495</v>
      </c>
      <c r="Z146" s="259">
        <f t="shared" si="102"/>
        <v>-860</v>
      </c>
      <c r="AA146" s="267">
        <f>(VLOOKUP(A146,Hshldprojections2014!$A$2:$AW$319,40, FALSE)-VLOOKUP(A146,Hshldprojections2014!$A$2:$AW$319,30, FALSE))/10</f>
        <v>390.4</v>
      </c>
      <c r="AB146" s="267">
        <f>(VLOOKUP(A146,Hshldprojections2014!$A$2:$AW$319,41, FALSE)-VLOOKUP(A146,Hshldprojections2014!$A$2:$AW$319,31, FALSE))/10</f>
        <v>385.7</v>
      </c>
      <c r="AC146" s="267">
        <f>(VLOOKUP(A146,Hshldprojections2014!$A$2:$AW$319,42, FALSE)-VLOOKUP(A146,Hshldprojections2014!$A$2:$AW$319,32, FALSE))/10</f>
        <v>388.4</v>
      </c>
      <c r="AD146" s="267">
        <f>IF(IndividualLATest!$J$7=2014,(VLOOKUP($A146,Hshldprojections2014!$A$2:$AY$326,43,FALSE)-VLOOKUP($A146,Hshldprojections2014!$A$2:$AY$326,33,FALSE))/10,IF(IndividualLATest!$J$7=2016,(VLOOKUP($A146,Hshldprojections2016!$A$1:$AQ$322,33,FALSE)-VLOOKUP($A146,Hshldprojections2016!$A$1:$AQ$322,23,FALSE))/10,(VLOOKUP($A146,Hshldprojections2018!$A$1:$AQ$327,33,FALSE)-VLOOKUP($A146,Hshldprojections2018!$A$1:$AQ$327,23,FALSE))/10))</f>
        <v>130.1</v>
      </c>
      <c r="AE146" s="267">
        <f>IF(IndividualLATest!$J$7=2014,(VLOOKUP($A146,Hshldprojections2014!$A$2:$AY$326,44,FALSE)-VLOOKUP($A146,Hshldprojections2014!$A$2:$AY$326,34,FALSE))/10,IF(IndividualLATest!$J$7=2016,(VLOOKUP($A146,Hshldprojections2016!$A$1:$AQ$322,34,FALSE)-VLOOKUP($A146,Hshldprojections2016!$A$1:$AQ$322,24,FALSE))/10,(VLOOKUP($A146,Hshldprojections2018!$A$1:$AQ$327,34,FALSE)-VLOOKUP($A146,Hshldprojections2018!$A$1:$AQ$327,24,FALSE))/10))</f>
        <v>152.4</v>
      </c>
      <c r="AF146" s="267">
        <f>IF(IndividualLATest!$J$7=2014,(VLOOKUP($A146,Hshldprojections2014!$A$2:$AY$326,45,FALSE)-VLOOKUP($A146,Hshldprojections2014!$A$2:$AY$326,35,FALSE))/10,IF(IndividualLATest!$J$7=2016,(VLOOKUP($A146,Hshldprojections2016!$A$1:$AQ$322,35,FALSE)-VLOOKUP($A146,Hshldprojections2016!$A$1:$AQ$322,25,FALSE))/10,(VLOOKUP($A146,Hshldprojections2018!$A$1:$AQ$327,35,FALSE)-VLOOKUP($A146,Hshldprojections2018!$A$1:$AQ$327,25,FALSE))/10))</f>
        <v>173.2</v>
      </c>
      <c r="AG146" s="267">
        <f>IF(IndividualLATest!$J$7=2014,(VLOOKUP($A146,Hshldprojections2014!$A$2:$AY$326,46,FALSE)-VLOOKUP($A146,Hshldprojections2014!$A$2:$AY$326,36,FALSE))/10,IF(IndividualLATest!$J$7=2016,(VLOOKUP($A146,Hshldprojections2016!$A$1:$AQ$322,36,FALSE)-VLOOKUP($A146,Hshldprojections2016!$A$1:$AQ$322,26,FALSE))/10,(VLOOKUP($A146,Hshldprojections2018!$A$1:$AQ$327,36,FALSE)-VLOOKUP($A146,Hshldprojections2018!$A$1:$AQ$327,26,FALSE))/10))</f>
        <v>185.7</v>
      </c>
      <c r="AH146" s="267">
        <f>IF(IndividualLATest!$J$7=2014,(VLOOKUP($A146,Hshldprojections2014!$A$2:$AY$326,47,FALSE)-VLOOKUP($A146,Hshldprojections2014!$A$2:$AY$326,37,FALSE))/10,IF(IndividualLATest!$J$7=2016,(VLOOKUP($A146,Hshldprojections2016!$A$1:$AQ$322,37,FALSE)-VLOOKUP($A146,Hshldprojections2016!$A$1:$AQ$322,27,FALSE))/10,(VLOOKUP($A146,Hshldprojections2018!$A$1:$AQ$327,37,FALSE)-VLOOKUP($A146,Hshldprojections2018!$A$1:$AQ$327,27,FALSE))/10))</f>
        <v>202.2</v>
      </c>
      <c r="AI146" s="268">
        <f>IF(ISNUMBER('Sensitivity Tests'!$C$30),'Sensitivity Tests'!$C$30,VLOOKUP($A146,AffordabilityRatio!$A$2:$I$321,5,FALSE))</f>
        <v>4.6100000000000003</v>
      </c>
      <c r="AJ146" s="268">
        <f>IF(ISNUMBER('Sensitivity Tests'!$C$30),'Sensitivity Tests'!$C$30,VLOOKUP($A146,AffordabilityRatio!$A$2:$I$321,6,FALSE))</f>
        <v>4.34</v>
      </c>
      <c r="AK146" s="268">
        <f>IF(ISNUMBER('Sensitivity Tests'!$C$30),'Sensitivity Tests'!$C$30,VLOOKUP($A146,AffordabilityRatio!$A$2:$I$321,7,FALSE))</f>
        <v>4.3600000000000003</v>
      </c>
      <c r="AL146" s="268">
        <f>IF(ISNUMBER('Sensitivity Tests'!$C$30),'Sensitivity Tests'!$C$30,IF((VLOOKUP($A146,AffordabilityRatio!$A$2:$I$321,8,FALSE))="",AK146,VLOOKUP($A146,AffordabilityRatio!$A$2:$I$321,8,FALSE)))</f>
        <v>4.29</v>
      </c>
      <c r="AM146" s="268">
        <f>IF(ISNUMBER('Sensitivity Tests'!$C$30),'Sensitivity Tests'!$C$30,IF((VLOOKUP($A146,AffordabilityRatio!$A$2:$I$321,9,FALSE))="",AL146,VLOOKUP($A146,AffordabilityRatio!$A$2:$I$321,9,FALSE)))</f>
        <v>4.3899999999999997</v>
      </c>
      <c r="AN146" s="268">
        <f>IF(ISNUMBER('Sensitivity Tests'!$C$30),'Sensitivity Tests'!$C$30,IF((VLOOKUP($A146,AffordabilityRatio!$A$2:$I$321,9,FALSE))="",AM146,VLOOKUP($A146,AffordabilityRatio!$A$2:$I$321,9,FALSE)))</f>
        <v>4.3899999999999997</v>
      </c>
      <c r="AO146" s="268">
        <f>IF(ISNUMBER('Sensitivity Tests'!$C$30),'Sensitivity Tests'!$C$30,IF((VLOOKUP($A146,AffordabilityRatio!$A$2:$I$321,9,FALSE))="",AN146,VLOOKUP($A146,AffordabilityRatio!$A$2:$I$321,9,FALSE)))</f>
        <v>4.3899999999999997</v>
      </c>
      <c r="AP146" s="268">
        <f>IF(ISNUMBER('Sensitivity Tests'!$C$30),'Sensitivity Tests'!$C$30,IF((VLOOKUP($A146,AffordabilityRatio!$A$2:$I$321,9,FALSE))="",AO146,VLOOKUP($A146,AffordabilityRatio!$A$2:$I$321,9,FALSE)))</f>
        <v>4.3899999999999997</v>
      </c>
      <c r="AQ146" s="267">
        <f t="shared" si="104"/>
        <v>405</v>
      </c>
      <c r="AR146" s="267">
        <f t="shared" si="104"/>
        <v>394</v>
      </c>
      <c r="AS146" s="267">
        <f t="shared" si="104"/>
        <v>397</v>
      </c>
      <c r="AT146" s="267">
        <f t="shared" si="103"/>
        <v>132</v>
      </c>
      <c r="AU146" s="267">
        <f t="shared" si="103"/>
        <v>156</v>
      </c>
      <c r="AV146" s="267">
        <f t="shared" si="103"/>
        <v>177</v>
      </c>
      <c r="AW146" s="267">
        <f t="shared" si="103"/>
        <v>190</v>
      </c>
      <c r="AX146" s="267">
        <f t="shared" si="103"/>
        <v>207</v>
      </c>
      <c r="AY146" s="267">
        <f t="shared" si="122"/>
        <v>405</v>
      </c>
      <c r="AZ146" s="267">
        <f t="shared" si="123"/>
        <v>394</v>
      </c>
      <c r="BA146" s="267">
        <f t="shared" si="124"/>
        <v>397</v>
      </c>
      <c r="BB146" s="267">
        <f t="shared" si="125"/>
        <v>132</v>
      </c>
      <c r="BC146" s="267">
        <f t="shared" si="126"/>
        <v>156</v>
      </c>
      <c r="BD146" s="267">
        <f t="shared" si="127"/>
        <v>177</v>
      </c>
      <c r="BE146" s="267">
        <f t="shared" si="128"/>
        <v>190</v>
      </c>
      <c r="BF146" s="267">
        <f t="shared" si="129"/>
        <v>207</v>
      </c>
      <c r="BG146" s="269">
        <f>AY146*VLOOKUP($B146,'Major Cities &amp; Towns'!$A$28:$B$345,2,FALSE)</f>
        <v>546.75</v>
      </c>
      <c r="BH146" s="269">
        <f>AZ146*VLOOKUP($B146,'Major Cities &amp; Towns'!$A$28:$B$345,2,FALSE)</f>
        <v>531.90000000000009</v>
      </c>
      <c r="BI146" s="269">
        <f>BA146*VLOOKUP($B146,'Major Cities &amp; Towns'!$A$28:$B$345,2,FALSE)</f>
        <v>535.95000000000005</v>
      </c>
      <c r="BJ146" s="269">
        <f>BB146*VLOOKUP($B146,'Major Cities &amp; Towns'!$A$28:$B$345,2,FALSE)</f>
        <v>178.20000000000002</v>
      </c>
      <c r="BK146" s="269">
        <f>BC146*VLOOKUP($B146,'Major Cities &amp; Towns'!$A$28:$B$345,2,FALSE)</f>
        <v>210.60000000000002</v>
      </c>
      <c r="BL146" s="269">
        <f>BD146*VLOOKUP($B146,'Major Cities &amp; Towns'!$A$28:$B$345,2,FALSE)</f>
        <v>238.95000000000002</v>
      </c>
      <c r="BM146" s="269">
        <f>BE146*VLOOKUP($B146,'Major Cities &amp; Towns'!$A$28:$B$345,2,FALSE)</f>
        <v>256.5</v>
      </c>
      <c r="BN146" s="269">
        <f>BF146*VLOOKUP($B146,'Major Cities &amp; Towns'!$A$28:$B$345,2,FALSE)</f>
        <v>279.45000000000005</v>
      </c>
      <c r="BO146" s="270">
        <f t="shared" si="130"/>
        <v>405</v>
      </c>
      <c r="BP146" s="270">
        <f t="shared" si="100"/>
        <v>394</v>
      </c>
      <c r="BQ146" s="270">
        <f t="shared" si="100"/>
        <v>397</v>
      </c>
      <c r="BR146" s="270">
        <f t="shared" si="100"/>
        <v>132</v>
      </c>
      <c r="BS146" s="270">
        <f t="shared" si="100"/>
        <v>191.30301369863017</v>
      </c>
      <c r="BT146" s="270">
        <f t="shared" si="100"/>
        <v>177</v>
      </c>
      <c r="BU146" s="270">
        <f t="shared" si="100"/>
        <v>190</v>
      </c>
      <c r="BV146" s="270">
        <f t="shared" si="99"/>
        <v>207</v>
      </c>
      <c r="BW146" s="39">
        <f>VLOOKUP($A146,NetAdditions!$A$2:$H$336,6,FALSE)</f>
        <v>684</v>
      </c>
      <c r="BX146" s="39">
        <f>VLOOKUP($A146,NetAdditions!$A$2:$H$336,7,FALSE)</f>
        <v>794</v>
      </c>
      <c r="BY146" s="39">
        <f>IF((VLOOKUP($C146,NetAdditions!$A$2:$H$336,8,FALSE))="",(AVERAGE(VLOOKUP($C146,NetAdditions!$A$2:$H$336,5,FALSE),VLOOKUP($C146,NetAdditions!$A$2:$H$336,6,FALSE),VLOOKUP($C146,NetAdditions!$A$2:$H$336,7,FALSE))),VLOOKUP($C146,NetAdditions!$A$2:$H$336,8,FALSE))</f>
        <v>581</v>
      </c>
      <c r="BZ146" s="39">
        <f t="shared" si="105"/>
        <v>686.33333333333337</v>
      </c>
      <c r="CA146" s="39">
        <f t="shared" si="105"/>
        <v>687.1111111111112</v>
      </c>
      <c r="CB146" s="39">
        <f t="shared" si="105"/>
        <v>651.48148148148164</v>
      </c>
      <c r="CC146" s="39">
        <f t="shared" si="105"/>
        <v>674.9753086419754</v>
      </c>
      <c r="CD146" s="39">
        <f t="shared" si="105"/>
        <v>671.18930041152271</v>
      </c>
      <c r="CE146" s="276">
        <f t="shared" si="106"/>
        <v>1196</v>
      </c>
      <c r="CF146" s="276">
        <f t="shared" si="107"/>
        <v>923</v>
      </c>
      <c r="CG146" s="276">
        <f t="shared" si="108"/>
        <v>720.30301369863014</v>
      </c>
      <c r="CH146" s="276">
        <f t="shared" si="109"/>
        <v>500.30301369863014</v>
      </c>
      <c r="CI146" s="276">
        <f t="shared" si="110"/>
        <v>558.30301369863014</v>
      </c>
      <c r="CJ146" s="276">
        <f t="shared" si="111"/>
        <v>574</v>
      </c>
      <c r="CK146" s="276">
        <f t="shared" si="131"/>
        <v>1029.8888888888889</v>
      </c>
      <c r="CL146" s="276">
        <f t="shared" si="132"/>
        <v>794.80555555555566</v>
      </c>
      <c r="CM146" s="276">
        <f t="shared" si="133"/>
        <v>660.27776255707761</v>
      </c>
      <c r="CN146" s="276">
        <f t="shared" si="134"/>
        <v>500.30301369863014</v>
      </c>
      <c r="CO146" s="276">
        <f t="shared" si="134"/>
        <v>558.30301369863014</v>
      </c>
      <c r="CP146" s="276">
        <f t="shared" si="134"/>
        <v>574</v>
      </c>
      <c r="CQ146" s="39">
        <f t="shared" si="112"/>
        <v>2059</v>
      </c>
      <c r="CR146" s="39">
        <f t="shared" si="113"/>
        <v>2061.3333333333335</v>
      </c>
      <c r="CS146" s="277">
        <f t="shared" si="114"/>
        <v>1954.4444444444448</v>
      </c>
      <c r="CT146" s="39">
        <f t="shared" si="115"/>
        <v>2024.9259259259261</v>
      </c>
      <c r="CU146" s="39">
        <f t="shared" si="116"/>
        <v>2013.5679012345681</v>
      </c>
      <c r="CV146" s="39">
        <f t="shared" si="117"/>
        <v>1997.6460905349797</v>
      </c>
      <c r="CW146" s="297">
        <f t="shared" si="118"/>
        <v>1.9992447944762111</v>
      </c>
      <c r="CX146" s="279" t="str">
        <f t="shared" si="135"/>
        <v>Pass</v>
      </c>
      <c r="CY146" s="278">
        <f t="shared" si="119"/>
        <v>2.5935064481179881</v>
      </c>
      <c r="CZ146" s="279" t="str">
        <f t="shared" si="136"/>
        <v>Pass</v>
      </c>
      <c r="DA146" s="278">
        <f t="shared" si="120"/>
        <v>2.9600337241033361</v>
      </c>
      <c r="DB146" s="292" t="str">
        <f t="shared" si="137"/>
        <v>Pass</v>
      </c>
      <c r="DC146" s="299">
        <f t="shared" si="138"/>
        <v>4.0473990171598091</v>
      </c>
      <c r="DD146" s="293" t="str">
        <f t="shared" si="139"/>
        <v>Pass</v>
      </c>
      <c r="DE146" s="299">
        <f t="shared" si="140"/>
        <v>3.6065861222835607</v>
      </c>
      <c r="DF146" s="293" t="str">
        <f t="shared" si="141"/>
        <v>Pass</v>
      </c>
      <c r="DG146" s="299">
        <f t="shared" si="142"/>
        <v>3.4802196699215675</v>
      </c>
      <c r="DH146" s="293" t="str">
        <f t="shared" si="143"/>
        <v>Pass</v>
      </c>
    </row>
    <row r="147" spans="1:112" customFormat="1" ht="15.5" thickTop="1" thickBot="1">
      <c r="A147" s="3" t="s">
        <v>404</v>
      </c>
      <c r="B147" s="3" t="s">
        <v>405</v>
      </c>
      <c r="C147" s="3" t="s">
        <v>404</v>
      </c>
      <c r="D147" s="3" t="s">
        <v>131</v>
      </c>
      <c r="E147" s="3" t="str">
        <f>VLOOKUP(C147,PoliticalControl!A:K,11,FALSE)</f>
        <v>LD</v>
      </c>
      <c r="F147" s="3" t="str">
        <f>VLOOKUP(C147,UrbanRuralClassification!A:N,13,FALSE)</f>
        <v>Urban with Major Conurbation</v>
      </c>
      <c r="G147" s="3" t="str">
        <f>VLOOKUP(C147,UrbanRuralClassification!A:N,14,FALSE)</f>
        <v>Predominantly Urban</v>
      </c>
      <c r="H147" s="262">
        <f>IF(ISBLANK((VLOOKUP($A147,'local-plan-data'!$C$1:$AD$566,27,FALSE)))=TRUE,"",VLOOKUP($A147,'local-plan-data'!$C$1:$AD$566,27,FALSE))</f>
        <v>41016</v>
      </c>
      <c r="I147" s="263">
        <f>VLOOKUP($A147,'local-plan-data'!$C$1:$AD$566,28,FALSE)</f>
        <v>375</v>
      </c>
      <c r="J147" s="264">
        <f t="shared" si="121"/>
        <v>375</v>
      </c>
      <c r="K147" s="259" t="str">
        <f t="shared" ref="K147:K210" si="144">IF(AND(ISNUMBER($H147),ISNUMBER($J147)),IF(($H147-K$1&gt;0),$J147,IF(DATEDIF($H147,K$1,"y")&lt;5,$J147,"-")),"-")</f>
        <v>-</v>
      </c>
      <c r="L147" s="259" t="str">
        <f t="shared" si="101"/>
        <v>-</v>
      </c>
      <c r="M147" s="259" t="str">
        <f t="shared" si="101"/>
        <v>-</v>
      </c>
      <c r="N147" s="259" t="str">
        <f t="shared" si="101"/>
        <v>-</v>
      </c>
      <c r="O147" s="259" t="str">
        <f t="shared" si="101"/>
        <v>-</v>
      </c>
      <c r="P147" s="259" t="str">
        <f t="shared" si="101"/>
        <v>-</v>
      </c>
      <c r="Q147" s="259" t="str">
        <f t="shared" si="101"/>
        <v>-</v>
      </c>
      <c r="R147" s="259" t="str">
        <f t="shared" si="101"/>
        <v>-</v>
      </c>
      <c r="S147" s="259">
        <f t="shared" ref="S147:S210" si="145">IFERROR((EDATE($H147,60))-S$1,"-")</f>
        <v>-349</v>
      </c>
      <c r="T147" s="259">
        <f t="shared" si="102"/>
        <v>-714</v>
      </c>
      <c r="U147" s="259">
        <f t="shared" si="102"/>
        <v>-1080</v>
      </c>
      <c r="V147" s="259">
        <f t="shared" si="102"/>
        <v>-1445</v>
      </c>
      <c r="W147" s="259">
        <f t="shared" si="102"/>
        <v>-1810</v>
      </c>
      <c r="X147" s="259">
        <f t="shared" si="102"/>
        <v>-2175</v>
      </c>
      <c r="Y147" s="259">
        <f t="shared" si="102"/>
        <v>-2541</v>
      </c>
      <c r="Z147" s="259">
        <f t="shared" si="102"/>
        <v>-2906</v>
      </c>
      <c r="AA147" s="267">
        <f>(VLOOKUP(A147,Hshldprojections2014!$A$2:$AW$319,40, FALSE)-VLOOKUP(A147,Hshldprojections2014!$A$2:$AW$319,30, FALSE))/10</f>
        <v>1081.0999999999999</v>
      </c>
      <c r="AB147" s="267">
        <f>(VLOOKUP(A147,Hshldprojections2014!$A$2:$AW$319,41, FALSE)-VLOOKUP(A147,Hshldprojections2014!$A$2:$AW$319,31, FALSE))/10</f>
        <v>1079.9000000000001</v>
      </c>
      <c r="AC147" s="267">
        <f>(VLOOKUP(A147,Hshldprojections2014!$A$2:$AW$319,42, FALSE)-VLOOKUP(A147,Hshldprojections2014!$A$2:$AW$319,32, FALSE))/10</f>
        <v>1078.4000000000001</v>
      </c>
      <c r="AD147" s="267">
        <f>IF(IndividualLATest!$J$7=2014,(VLOOKUP($A147,Hshldprojections2014!$A$2:$AY$326,43,FALSE)-VLOOKUP($A147,Hshldprojections2014!$A$2:$AY$326,33,FALSE))/10,IF(IndividualLATest!$J$7=2016,(VLOOKUP($A147,Hshldprojections2016!$A$1:$AQ$322,33,FALSE)-VLOOKUP($A147,Hshldprojections2016!$A$1:$AQ$322,23,FALSE))/10,(VLOOKUP($A147,Hshldprojections2018!$A$1:$AQ$327,33,FALSE)-VLOOKUP($A147,Hshldprojections2018!$A$1:$AQ$327,23,FALSE))/10))</f>
        <v>501.3</v>
      </c>
      <c r="AE147" s="267">
        <f>IF(IndividualLATest!$J$7=2014,(VLOOKUP($A147,Hshldprojections2014!$A$2:$AY$326,44,FALSE)-VLOOKUP($A147,Hshldprojections2014!$A$2:$AY$326,34,FALSE))/10,IF(IndividualLATest!$J$7=2016,(VLOOKUP($A147,Hshldprojections2016!$A$1:$AQ$322,34,FALSE)-VLOOKUP($A147,Hshldprojections2016!$A$1:$AQ$322,24,FALSE))/10,(VLOOKUP($A147,Hshldprojections2018!$A$1:$AQ$327,34,FALSE)-VLOOKUP($A147,Hshldprojections2018!$A$1:$AQ$327,24,FALSE))/10))</f>
        <v>486.3</v>
      </c>
      <c r="AF147" s="267">
        <f>IF(IndividualLATest!$J$7=2014,(VLOOKUP($A147,Hshldprojections2014!$A$2:$AY$326,45,FALSE)-VLOOKUP($A147,Hshldprojections2014!$A$2:$AY$326,35,FALSE))/10,IF(IndividualLATest!$J$7=2016,(VLOOKUP($A147,Hshldprojections2016!$A$1:$AQ$322,35,FALSE)-VLOOKUP($A147,Hshldprojections2016!$A$1:$AQ$322,25,FALSE))/10,(VLOOKUP($A147,Hshldprojections2018!$A$1:$AQ$327,35,FALSE)-VLOOKUP($A147,Hshldprojections2018!$A$1:$AQ$327,25,FALSE))/10))</f>
        <v>472</v>
      </c>
      <c r="AG147" s="267">
        <f>IF(IndividualLATest!$J$7=2014,(VLOOKUP($A147,Hshldprojections2014!$A$2:$AY$326,46,FALSE)-VLOOKUP($A147,Hshldprojections2014!$A$2:$AY$326,36,FALSE))/10,IF(IndividualLATest!$J$7=2016,(VLOOKUP($A147,Hshldprojections2016!$A$1:$AQ$322,36,FALSE)-VLOOKUP($A147,Hshldprojections2016!$A$1:$AQ$322,26,FALSE))/10,(VLOOKUP($A147,Hshldprojections2018!$A$1:$AQ$327,36,FALSE)-VLOOKUP($A147,Hshldprojections2018!$A$1:$AQ$327,26,FALSE))/10))</f>
        <v>458.9</v>
      </c>
      <c r="AH147" s="267">
        <f>IF(IndividualLATest!$J$7=2014,(VLOOKUP($A147,Hshldprojections2014!$A$2:$AY$326,47,FALSE)-VLOOKUP($A147,Hshldprojections2014!$A$2:$AY$326,37,FALSE))/10,IF(IndividualLATest!$J$7=2016,(VLOOKUP($A147,Hshldprojections2016!$A$1:$AQ$322,37,FALSE)-VLOOKUP($A147,Hshldprojections2016!$A$1:$AQ$322,27,FALSE))/10,(VLOOKUP($A147,Hshldprojections2018!$A$1:$AQ$327,37,FALSE)-VLOOKUP($A147,Hshldprojections2018!$A$1:$AQ$327,27,FALSE))/10))</f>
        <v>446.8</v>
      </c>
      <c r="AI147" s="268">
        <f>IF(ISNUMBER('Sensitivity Tests'!$C$30),'Sensitivity Tests'!$C$30,VLOOKUP($A147,AffordabilityRatio!$A$2:$I$321,5,FALSE))</f>
        <v>15.49</v>
      </c>
      <c r="AJ147" s="268">
        <f>IF(ISNUMBER('Sensitivity Tests'!$C$30),'Sensitivity Tests'!$C$30,VLOOKUP($A147,AffordabilityRatio!$A$2:$I$321,6,FALSE))</f>
        <v>15.79</v>
      </c>
      <c r="AK147" s="268">
        <f>IF(ISNUMBER('Sensitivity Tests'!$C$30),'Sensitivity Tests'!$C$30,VLOOKUP($A147,AffordabilityRatio!$A$2:$I$321,7,FALSE))</f>
        <v>15.19</v>
      </c>
      <c r="AL147" s="268">
        <f>IF(ISNUMBER('Sensitivity Tests'!$C$30),'Sensitivity Tests'!$C$30,IF((VLOOKUP($A147,AffordabilityRatio!$A$2:$I$321,8,FALSE))="",AK147,VLOOKUP($A147,AffordabilityRatio!$A$2:$I$321,8,FALSE)))</f>
        <v>14.04</v>
      </c>
      <c r="AM147" s="268">
        <f>IF(ISNUMBER('Sensitivity Tests'!$C$30),'Sensitivity Tests'!$C$30,IF((VLOOKUP($A147,AffordabilityRatio!$A$2:$I$321,9,FALSE))="",AL147,VLOOKUP($A147,AffordabilityRatio!$A$2:$I$321,9,FALSE)))</f>
        <v>15.22</v>
      </c>
      <c r="AN147" s="268">
        <f>IF(ISNUMBER('Sensitivity Tests'!$C$30),'Sensitivity Tests'!$C$30,IF((VLOOKUP($A147,AffordabilityRatio!$A$2:$I$321,9,FALSE))="",AM147,VLOOKUP($A147,AffordabilityRatio!$A$2:$I$321,9,FALSE)))</f>
        <v>15.22</v>
      </c>
      <c r="AO147" s="268">
        <f>IF(ISNUMBER('Sensitivity Tests'!$C$30),'Sensitivity Tests'!$C$30,IF((VLOOKUP($A147,AffordabilityRatio!$A$2:$I$321,9,FALSE))="",AN147,VLOOKUP($A147,AffordabilityRatio!$A$2:$I$321,9,FALSE)))</f>
        <v>15.22</v>
      </c>
      <c r="AP147" s="268">
        <f>IF(ISNUMBER('Sensitivity Tests'!$C$30),'Sensitivity Tests'!$C$30,IF((VLOOKUP($A147,AffordabilityRatio!$A$2:$I$321,9,FALSE))="",AO147,VLOOKUP($A147,AffordabilityRatio!$A$2:$I$321,9,FALSE)))</f>
        <v>15.22</v>
      </c>
      <c r="AQ147" s="267">
        <f t="shared" si="104"/>
        <v>1857</v>
      </c>
      <c r="AR147" s="267">
        <f t="shared" si="104"/>
        <v>1876</v>
      </c>
      <c r="AS147" s="267">
        <f t="shared" si="104"/>
        <v>1833</v>
      </c>
      <c r="AT147" s="267">
        <f t="shared" si="103"/>
        <v>816</v>
      </c>
      <c r="AU147" s="267">
        <f t="shared" si="103"/>
        <v>827</v>
      </c>
      <c r="AV147" s="267">
        <f t="shared" si="103"/>
        <v>803</v>
      </c>
      <c r="AW147" s="267">
        <f t="shared" si="103"/>
        <v>781</v>
      </c>
      <c r="AX147" s="267">
        <f t="shared" si="103"/>
        <v>760</v>
      </c>
      <c r="AY147" s="267">
        <f t="shared" si="122"/>
        <v>1513.54</v>
      </c>
      <c r="AZ147" s="267">
        <f t="shared" si="123"/>
        <v>1511.8600000000001</v>
      </c>
      <c r="BA147" s="267">
        <f t="shared" si="124"/>
        <v>1509.7600000000002</v>
      </c>
      <c r="BB147" s="267">
        <f t="shared" si="125"/>
        <v>701.82</v>
      </c>
      <c r="BC147" s="267">
        <f t="shared" si="126"/>
        <v>680.82</v>
      </c>
      <c r="BD147" s="267">
        <f t="shared" si="127"/>
        <v>660.8</v>
      </c>
      <c r="BE147" s="267">
        <f t="shared" si="128"/>
        <v>642.46</v>
      </c>
      <c r="BF147" s="267">
        <f t="shared" si="129"/>
        <v>625.52</v>
      </c>
      <c r="BG147" s="269">
        <f>AY147*VLOOKUP($B147,'Major Cities &amp; Towns'!$A$28:$B$345,2,FALSE)</f>
        <v>2043.279</v>
      </c>
      <c r="BH147" s="269">
        <f>AZ147*VLOOKUP($B147,'Major Cities &amp; Towns'!$A$28:$B$345,2,FALSE)</f>
        <v>2041.0110000000002</v>
      </c>
      <c r="BI147" s="269">
        <f>BA147*VLOOKUP($B147,'Major Cities &amp; Towns'!$A$28:$B$345,2,FALSE)</f>
        <v>2038.1760000000004</v>
      </c>
      <c r="BJ147" s="269">
        <f>BB147*VLOOKUP($B147,'Major Cities &amp; Towns'!$A$28:$B$345,2,FALSE)</f>
        <v>947.45700000000011</v>
      </c>
      <c r="BK147" s="269">
        <f>BC147*VLOOKUP($B147,'Major Cities &amp; Towns'!$A$28:$B$345,2,FALSE)</f>
        <v>919.10700000000008</v>
      </c>
      <c r="BL147" s="269">
        <f>BD147*VLOOKUP($B147,'Major Cities &amp; Towns'!$A$28:$B$345,2,FALSE)</f>
        <v>892.08</v>
      </c>
      <c r="BM147" s="269">
        <f>BE147*VLOOKUP($B147,'Major Cities &amp; Towns'!$A$28:$B$345,2,FALSE)</f>
        <v>867.32100000000014</v>
      </c>
      <c r="BN147" s="269">
        <f>BF147*VLOOKUP($B147,'Major Cities &amp; Towns'!$A$28:$B$345,2,FALSE)</f>
        <v>844.452</v>
      </c>
      <c r="BO147" s="270">
        <f t="shared" si="130"/>
        <v>1857</v>
      </c>
      <c r="BP147" s="270">
        <f t="shared" si="100"/>
        <v>1876</v>
      </c>
      <c r="BQ147" s="270">
        <f t="shared" si="100"/>
        <v>1833</v>
      </c>
      <c r="BR147" s="270">
        <f t="shared" si="100"/>
        <v>816</v>
      </c>
      <c r="BS147" s="270">
        <f t="shared" si="100"/>
        <v>827</v>
      </c>
      <c r="BT147" s="270">
        <f t="shared" si="100"/>
        <v>803</v>
      </c>
      <c r="BU147" s="270">
        <f t="shared" si="100"/>
        <v>781</v>
      </c>
      <c r="BV147" s="270">
        <f t="shared" si="99"/>
        <v>760</v>
      </c>
      <c r="BW147" s="39">
        <f>VLOOKUP($A147,NetAdditions!$A$2:$H$336,6,FALSE)</f>
        <v>501</v>
      </c>
      <c r="BX147" s="39">
        <f>VLOOKUP($A147,NetAdditions!$A$2:$H$336,7,FALSE)</f>
        <v>613</v>
      </c>
      <c r="BY147" s="39">
        <f>IF((VLOOKUP($C147,NetAdditions!$A$2:$H$336,8,FALSE))="",(AVERAGE(VLOOKUP($C147,NetAdditions!$A$2:$H$336,5,FALSE),VLOOKUP($C147,NetAdditions!$A$2:$H$336,6,FALSE),VLOOKUP($C147,NetAdditions!$A$2:$H$336,7,FALSE))),VLOOKUP($C147,NetAdditions!$A$2:$H$336,8,FALSE))</f>
        <v>479</v>
      </c>
      <c r="BZ147" s="39">
        <f t="shared" si="105"/>
        <v>531</v>
      </c>
      <c r="CA147" s="39">
        <f t="shared" si="105"/>
        <v>541</v>
      </c>
      <c r="CB147" s="39">
        <f t="shared" si="105"/>
        <v>517</v>
      </c>
      <c r="CC147" s="39">
        <f t="shared" si="105"/>
        <v>529.66666666666663</v>
      </c>
      <c r="CD147" s="39">
        <f t="shared" si="105"/>
        <v>529.22222222222217</v>
      </c>
      <c r="CE147" s="276">
        <f t="shared" si="106"/>
        <v>5566</v>
      </c>
      <c r="CF147" s="276">
        <f t="shared" si="107"/>
        <v>4525</v>
      </c>
      <c r="CG147" s="276">
        <f t="shared" si="108"/>
        <v>3476</v>
      </c>
      <c r="CH147" s="276">
        <f t="shared" si="109"/>
        <v>2446</v>
      </c>
      <c r="CI147" s="276">
        <f t="shared" si="110"/>
        <v>2411</v>
      </c>
      <c r="CJ147" s="276">
        <f t="shared" si="111"/>
        <v>2344</v>
      </c>
      <c r="CK147" s="276">
        <f t="shared" si="131"/>
        <v>4792.9444444444443</v>
      </c>
      <c r="CL147" s="276">
        <f t="shared" si="132"/>
        <v>3896.5277777777778</v>
      </c>
      <c r="CM147" s="276">
        <f t="shared" si="133"/>
        <v>3186.333333333333</v>
      </c>
      <c r="CN147" s="276">
        <f t="shared" si="134"/>
        <v>2446</v>
      </c>
      <c r="CO147" s="276">
        <f t="shared" si="134"/>
        <v>2411</v>
      </c>
      <c r="CP147" s="276">
        <f t="shared" si="134"/>
        <v>2344</v>
      </c>
      <c r="CQ147" s="39">
        <f t="shared" si="112"/>
        <v>1593</v>
      </c>
      <c r="CR147" s="39">
        <f t="shared" si="113"/>
        <v>1623</v>
      </c>
      <c r="CS147" s="277">
        <f t="shared" si="114"/>
        <v>1551</v>
      </c>
      <c r="CT147" s="39">
        <f t="shared" si="115"/>
        <v>1589</v>
      </c>
      <c r="CU147" s="39">
        <f t="shared" si="116"/>
        <v>1587.6666666666665</v>
      </c>
      <c r="CV147" s="39">
        <f t="shared" si="117"/>
        <v>1575.8888888888887</v>
      </c>
      <c r="CW147" s="297">
        <f t="shared" si="118"/>
        <v>0.33236354363474091</v>
      </c>
      <c r="CX147" s="279" t="str">
        <f t="shared" si="135"/>
        <v>Buffer and Action Plan</v>
      </c>
      <c r="CY147" s="278">
        <f t="shared" si="119"/>
        <v>0.4165246836571021</v>
      </c>
      <c r="CZ147" s="279" t="str">
        <f t="shared" si="136"/>
        <v>Presumption</v>
      </c>
      <c r="DA147" s="278">
        <f t="shared" si="120"/>
        <v>0.48676639815880329</v>
      </c>
      <c r="DB147" s="292" t="str">
        <f t="shared" si="137"/>
        <v>Presumption</v>
      </c>
      <c r="DC147" s="299">
        <f t="shared" si="138"/>
        <v>0.64963205233033527</v>
      </c>
      <c r="DD147" s="293" t="str">
        <f t="shared" si="139"/>
        <v>Presumption</v>
      </c>
      <c r="DE147" s="299">
        <f t="shared" si="140"/>
        <v>0.65850960873772979</v>
      </c>
      <c r="DF147" s="293" t="str">
        <f t="shared" si="141"/>
        <v>Presumption</v>
      </c>
      <c r="DG147" s="299">
        <f t="shared" si="142"/>
        <v>0.67230754645430402</v>
      </c>
      <c r="DH147" s="293" t="str">
        <f t="shared" si="143"/>
        <v>Presumption</v>
      </c>
    </row>
    <row r="148" spans="1:112" ht="15" thickTop="1" thickBot="1">
      <c r="A148" s="38" t="s">
        <v>406</v>
      </c>
      <c r="B148" s="38" t="s">
        <v>407</v>
      </c>
      <c r="C148" s="38" t="s">
        <v>406</v>
      </c>
      <c r="D148" s="38" t="s">
        <v>136</v>
      </c>
      <c r="E148" s="38" t="str">
        <f>VLOOKUP(C148,PoliticalControl!A:K,11,FALSE)</f>
        <v>NOC</v>
      </c>
      <c r="F148" s="38" t="str">
        <f>VLOOKUP(C148,UrbanRuralClassification!A:N,13,FALSE)</f>
        <v>Urban with Major Conurbation</v>
      </c>
      <c r="G148" s="38" t="str">
        <f>VLOOKUP(C148,UrbanRuralClassification!A:N,14,FALSE)</f>
        <v>Predominantly Urban</v>
      </c>
      <c r="H148" s="258">
        <f>IF(ISBLANK((VLOOKUP($A148,'local-plan-data'!$C$1:$AD$566,27,FALSE)))=TRUE,"",VLOOKUP($A148,'local-plan-data'!$C$1:$AD$566,27,FALSE))</f>
        <v>43523</v>
      </c>
      <c r="I148" s="259">
        <f>VLOOKUP($A148,'local-plan-data'!$C$1:$AD$566,28,FALSE)</f>
        <v>1730</v>
      </c>
      <c r="J148" s="260">
        <f t="shared" si="121"/>
        <v>1730</v>
      </c>
      <c r="K148" s="259">
        <f t="shared" si="144"/>
        <v>1730</v>
      </c>
      <c r="L148" s="259">
        <f t="shared" si="101"/>
        <v>1730</v>
      </c>
      <c r="M148" s="259">
        <f t="shared" si="101"/>
        <v>1730</v>
      </c>
      <c r="N148" s="259">
        <f t="shared" si="101"/>
        <v>1730</v>
      </c>
      <c r="O148" s="259">
        <f t="shared" si="101"/>
        <v>1730</v>
      </c>
      <c r="P148" s="259">
        <f t="shared" si="101"/>
        <v>1730</v>
      </c>
      <c r="Q148" s="259" t="str">
        <f t="shared" si="101"/>
        <v>-</v>
      </c>
      <c r="R148" s="259" t="str">
        <f t="shared" si="101"/>
        <v>-</v>
      </c>
      <c r="S148" s="259">
        <f t="shared" si="145"/>
        <v>2158</v>
      </c>
      <c r="T148" s="259">
        <f t="shared" si="102"/>
        <v>1793</v>
      </c>
      <c r="U148" s="259">
        <f t="shared" si="102"/>
        <v>1427</v>
      </c>
      <c r="V148" s="259">
        <f t="shared" si="102"/>
        <v>1062</v>
      </c>
      <c r="W148" s="259">
        <f t="shared" si="102"/>
        <v>697</v>
      </c>
      <c r="X148" s="259">
        <f t="shared" si="102"/>
        <v>332</v>
      </c>
      <c r="Y148" s="259">
        <f t="shared" si="102"/>
        <v>-34</v>
      </c>
      <c r="Z148" s="259">
        <f t="shared" si="102"/>
        <v>-399</v>
      </c>
      <c r="AA148" s="267">
        <f>(VLOOKUP(A148,Hshldprojections2014!$A$2:$AW$319,40, FALSE)-VLOOKUP(A148,Hshldprojections2014!$A$2:$AW$319,30, FALSE))/10</f>
        <v>1522.9</v>
      </c>
      <c r="AB148" s="267">
        <f>(VLOOKUP(A148,Hshldprojections2014!$A$2:$AW$319,41, FALSE)-VLOOKUP(A148,Hshldprojections2014!$A$2:$AW$319,31, FALSE))/10</f>
        <v>1510.5</v>
      </c>
      <c r="AC148" s="267">
        <f>(VLOOKUP(A148,Hshldprojections2014!$A$2:$AW$319,42, FALSE)-VLOOKUP(A148,Hshldprojections2014!$A$2:$AW$319,32, FALSE))/10</f>
        <v>1493.4</v>
      </c>
      <c r="AD148" s="267">
        <f>IF(IndividualLATest!$J$7=2014,(VLOOKUP($A148,Hshldprojections2014!$A$2:$AY$326,43,FALSE)-VLOOKUP($A148,Hshldprojections2014!$A$2:$AY$326,33,FALSE))/10,IF(IndividualLATest!$J$7=2016,(VLOOKUP($A148,Hshldprojections2016!$A$1:$AQ$322,33,FALSE)-VLOOKUP($A148,Hshldprojections2016!$A$1:$AQ$322,23,FALSE))/10,(VLOOKUP($A148,Hshldprojections2018!$A$1:$AQ$327,33,FALSE)-VLOOKUP($A148,Hshldprojections2018!$A$1:$AQ$327,23,FALSE))/10))</f>
        <v>904.8</v>
      </c>
      <c r="AE148" s="267">
        <f>IF(IndividualLATest!$J$7=2014,(VLOOKUP($A148,Hshldprojections2014!$A$2:$AY$326,44,FALSE)-VLOOKUP($A148,Hshldprojections2014!$A$2:$AY$326,34,FALSE))/10,IF(IndividualLATest!$J$7=2016,(VLOOKUP($A148,Hshldprojections2016!$A$1:$AQ$322,34,FALSE)-VLOOKUP($A148,Hshldprojections2016!$A$1:$AQ$322,24,FALSE))/10,(VLOOKUP($A148,Hshldprojections2018!$A$1:$AQ$327,34,FALSE)-VLOOKUP($A148,Hshldprojections2018!$A$1:$AQ$327,24,FALSE))/10))</f>
        <v>882.7</v>
      </c>
      <c r="AF148" s="267">
        <f>IF(IndividualLATest!$J$7=2014,(VLOOKUP($A148,Hshldprojections2014!$A$2:$AY$326,45,FALSE)-VLOOKUP($A148,Hshldprojections2014!$A$2:$AY$326,35,FALSE))/10,IF(IndividualLATest!$J$7=2016,(VLOOKUP($A148,Hshldprojections2016!$A$1:$AQ$322,35,FALSE)-VLOOKUP($A148,Hshldprojections2016!$A$1:$AQ$322,25,FALSE))/10,(VLOOKUP($A148,Hshldprojections2018!$A$1:$AQ$327,35,FALSE)-VLOOKUP($A148,Hshldprojections2018!$A$1:$AQ$327,25,FALSE))/10))</f>
        <v>866.2</v>
      </c>
      <c r="AG148" s="267">
        <f>IF(IndividualLATest!$J$7=2014,(VLOOKUP($A148,Hshldprojections2014!$A$2:$AY$326,46,FALSE)-VLOOKUP($A148,Hshldprojections2014!$A$2:$AY$326,36,FALSE))/10,IF(IndividualLATest!$J$7=2016,(VLOOKUP($A148,Hshldprojections2016!$A$1:$AQ$322,36,FALSE)-VLOOKUP($A148,Hshldprojections2016!$A$1:$AQ$322,26,FALSE))/10,(VLOOKUP($A148,Hshldprojections2018!$A$1:$AQ$327,36,FALSE)-VLOOKUP($A148,Hshldprojections2018!$A$1:$AQ$327,26,FALSE))/10))</f>
        <v>852.4</v>
      </c>
      <c r="AH148" s="267">
        <f>IF(IndividualLATest!$J$7=2014,(VLOOKUP($A148,Hshldprojections2014!$A$2:$AY$326,47,FALSE)-VLOOKUP($A148,Hshldprojections2014!$A$2:$AY$326,37,FALSE))/10,IF(IndividualLATest!$J$7=2016,(VLOOKUP($A148,Hshldprojections2016!$A$1:$AQ$322,37,FALSE)-VLOOKUP($A148,Hshldprojections2016!$A$1:$AQ$322,27,FALSE))/10,(VLOOKUP($A148,Hshldprojections2018!$A$1:$AQ$327,37,FALSE)-VLOOKUP($A148,Hshldprojections2018!$A$1:$AQ$327,27,FALSE))/10))</f>
        <v>837.4</v>
      </c>
      <c r="AI148" s="268">
        <f>IF(ISNUMBER('Sensitivity Tests'!$C$30),'Sensitivity Tests'!$C$30,VLOOKUP($A148,AffordabilityRatio!$A$2:$I$321,5,FALSE))</f>
        <v>5.69</v>
      </c>
      <c r="AJ148" s="268">
        <f>IF(ISNUMBER('Sensitivity Tests'!$C$30),'Sensitivity Tests'!$C$30,VLOOKUP($A148,AffordabilityRatio!$A$2:$I$321,6,FALSE))</f>
        <v>5.76</v>
      </c>
      <c r="AK148" s="268">
        <f>IF(ISNUMBER('Sensitivity Tests'!$C$30),'Sensitivity Tests'!$C$30,VLOOKUP($A148,AffordabilityRatio!$A$2:$I$321,7,FALSE))</f>
        <v>5.84</v>
      </c>
      <c r="AL148" s="268">
        <f>IF(ISNUMBER('Sensitivity Tests'!$C$30),'Sensitivity Tests'!$C$30,IF((VLOOKUP($A148,AffordabilityRatio!$A$2:$I$321,8,FALSE))="",AK148,VLOOKUP($A148,AffordabilityRatio!$A$2:$I$321,8,FALSE)))</f>
        <v>5.82</v>
      </c>
      <c r="AM148" s="268">
        <f>IF(ISNUMBER('Sensitivity Tests'!$C$30),'Sensitivity Tests'!$C$30,IF((VLOOKUP($A148,AffordabilityRatio!$A$2:$I$321,9,FALSE))="",AL148,VLOOKUP($A148,AffordabilityRatio!$A$2:$I$321,9,FALSE)))</f>
        <v>6.57</v>
      </c>
      <c r="AN148" s="268">
        <f>IF(ISNUMBER('Sensitivity Tests'!$C$30),'Sensitivity Tests'!$C$30,IF((VLOOKUP($A148,AffordabilityRatio!$A$2:$I$321,9,FALSE))="",AM148,VLOOKUP($A148,AffordabilityRatio!$A$2:$I$321,9,FALSE)))</f>
        <v>6.57</v>
      </c>
      <c r="AO148" s="268">
        <f>IF(ISNUMBER('Sensitivity Tests'!$C$30),'Sensitivity Tests'!$C$30,IF((VLOOKUP($A148,AffordabilityRatio!$A$2:$I$321,9,FALSE))="",AN148,VLOOKUP($A148,AffordabilityRatio!$A$2:$I$321,9,FALSE)))</f>
        <v>6.57</v>
      </c>
      <c r="AP148" s="268">
        <f>IF(ISNUMBER('Sensitivity Tests'!$C$30),'Sensitivity Tests'!$C$30,IF((VLOOKUP($A148,AffordabilityRatio!$A$2:$I$321,9,FALSE))="",AO148,VLOOKUP($A148,AffordabilityRatio!$A$2:$I$321,9,FALSE)))</f>
        <v>6.57</v>
      </c>
      <c r="AQ148" s="267">
        <f t="shared" si="104"/>
        <v>1684</v>
      </c>
      <c r="AR148" s="267">
        <f t="shared" si="104"/>
        <v>1677</v>
      </c>
      <c r="AS148" s="267">
        <f t="shared" si="104"/>
        <v>1665</v>
      </c>
      <c r="AT148" s="267">
        <f t="shared" si="103"/>
        <v>1008</v>
      </c>
      <c r="AU148" s="267">
        <f t="shared" si="103"/>
        <v>1024</v>
      </c>
      <c r="AV148" s="267">
        <f t="shared" si="103"/>
        <v>1005</v>
      </c>
      <c r="AW148" s="267">
        <f t="shared" si="103"/>
        <v>989</v>
      </c>
      <c r="AX148" s="267">
        <f t="shared" si="103"/>
        <v>972</v>
      </c>
      <c r="AY148" s="267">
        <f t="shared" si="122"/>
        <v>1684</v>
      </c>
      <c r="AZ148" s="267">
        <f t="shared" si="123"/>
        <v>1677</v>
      </c>
      <c r="BA148" s="267">
        <f t="shared" si="124"/>
        <v>1665</v>
      </c>
      <c r="BB148" s="267">
        <f t="shared" si="125"/>
        <v>1008</v>
      </c>
      <c r="BC148" s="267">
        <f t="shared" si="126"/>
        <v>1024</v>
      </c>
      <c r="BD148" s="267">
        <f t="shared" si="127"/>
        <v>1005</v>
      </c>
      <c r="BE148" s="267">
        <f t="shared" si="128"/>
        <v>989</v>
      </c>
      <c r="BF148" s="267">
        <f t="shared" si="129"/>
        <v>972</v>
      </c>
      <c r="BG148" s="269">
        <f>AY148*VLOOKUP($B148,'Major Cities &amp; Towns'!$A$28:$B$345,2,FALSE)</f>
        <v>1684</v>
      </c>
      <c r="BH148" s="269">
        <f>AZ148*VLOOKUP($B148,'Major Cities &amp; Towns'!$A$28:$B$345,2,FALSE)</f>
        <v>1677</v>
      </c>
      <c r="BI148" s="269">
        <f>BA148*VLOOKUP($B148,'Major Cities &amp; Towns'!$A$28:$B$345,2,FALSE)</f>
        <v>1665</v>
      </c>
      <c r="BJ148" s="269">
        <f>BB148*VLOOKUP($B148,'Major Cities &amp; Towns'!$A$28:$B$345,2,FALSE)</f>
        <v>1008</v>
      </c>
      <c r="BK148" s="269">
        <f>BC148*VLOOKUP($B148,'Major Cities &amp; Towns'!$A$28:$B$345,2,FALSE)</f>
        <v>1024</v>
      </c>
      <c r="BL148" s="269">
        <f>BD148*VLOOKUP($B148,'Major Cities &amp; Towns'!$A$28:$B$345,2,FALSE)</f>
        <v>1005</v>
      </c>
      <c r="BM148" s="269">
        <f>BE148*VLOOKUP($B148,'Major Cities &amp; Towns'!$A$28:$B$345,2,FALSE)</f>
        <v>989</v>
      </c>
      <c r="BN148" s="269">
        <f>BF148*VLOOKUP($B148,'Major Cities &amp; Towns'!$A$28:$B$345,2,FALSE)</f>
        <v>972</v>
      </c>
      <c r="BO148" s="270">
        <f t="shared" si="130"/>
        <v>1684</v>
      </c>
      <c r="BP148" s="270">
        <f t="shared" si="100"/>
        <v>1677</v>
      </c>
      <c r="BQ148" s="270">
        <f t="shared" si="100"/>
        <v>1665</v>
      </c>
      <c r="BR148" s="270">
        <f t="shared" si="100"/>
        <v>1008</v>
      </c>
      <c r="BS148" s="270">
        <f t="shared" si="100"/>
        <v>1024</v>
      </c>
      <c r="BT148" s="270">
        <f t="shared" si="100"/>
        <v>1005</v>
      </c>
      <c r="BU148" s="270">
        <f t="shared" si="100"/>
        <v>989</v>
      </c>
      <c r="BV148" s="270">
        <f t="shared" si="99"/>
        <v>972</v>
      </c>
      <c r="BW148" s="39">
        <f>VLOOKUP($A148,NetAdditions!$A$2:$H$336,6,FALSE)</f>
        <v>1550</v>
      </c>
      <c r="BX148" s="39">
        <f>VLOOKUP($A148,NetAdditions!$A$2:$H$336,7,FALSE)</f>
        <v>1131</v>
      </c>
      <c r="BY148" s="39">
        <f>IF((VLOOKUP($C148,NetAdditions!$A$2:$H$336,8,FALSE))="",(AVERAGE(VLOOKUP($C148,NetAdditions!$A$2:$H$336,5,FALSE),VLOOKUP($C148,NetAdditions!$A$2:$H$336,6,FALSE),VLOOKUP($C148,NetAdditions!$A$2:$H$336,7,FALSE))),VLOOKUP($C148,NetAdditions!$A$2:$H$336,8,FALSE))</f>
        <v>1021</v>
      </c>
      <c r="BZ148" s="39">
        <f t="shared" si="105"/>
        <v>1234</v>
      </c>
      <c r="CA148" s="39">
        <f t="shared" si="105"/>
        <v>1128.6666666666667</v>
      </c>
      <c r="CB148" s="39">
        <f t="shared" si="105"/>
        <v>1127.8888888888889</v>
      </c>
      <c r="CC148" s="39">
        <f t="shared" si="105"/>
        <v>1163.5185185185185</v>
      </c>
      <c r="CD148" s="39">
        <f t="shared" si="105"/>
        <v>1140.0246913580247</v>
      </c>
      <c r="CE148" s="276">
        <f t="shared" si="106"/>
        <v>5026</v>
      </c>
      <c r="CF148" s="276">
        <f t="shared" si="107"/>
        <v>4350</v>
      </c>
      <c r="CG148" s="276">
        <f t="shared" si="108"/>
        <v>3697</v>
      </c>
      <c r="CH148" s="276">
        <f t="shared" si="109"/>
        <v>3037</v>
      </c>
      <c r="CI148" s="276">
        <f t="shared" si="110"/>
        <v>3018</v>
      </c>
      <c r="CJ148" s="276">
        <f t="shared" si="111"/>
        <v>2966</v>
      </c>
      <c r="CK148" s="276">
        <f t="shared" si="131"/>
        <v>4327.9444444444443</v>
      </c>
      <c r="CL148" s="276">
        <f t="shared" si="132"/>
        <v>3745.8333333333335</v>
      </c>
      <c r="CM148" s="276">
        <f t="shared" si="133"/>
        <v>3388.9166666666665</v>
      </c>
      <c r="CN148" s="276">
        <f t="shared" si="134"/>
        <v>3037</v>
      </c>
      <c r="CO148" s="276">
        <f t="shared" si="134"/>
        <v>3018</v>
      </c>
      <c r="CP148" s="276">
        <f t="shared" si="134"/>
        <v>2966</v>
      </c>
      <c r="CQ148" s="39">
        <f t="shared" si="112"/>
        <v>3702</v>
      </c>
      <c r="CR148" s="39">
        <f t="shared" si="113"/>
        <v>3386</v>
      </c>
      <c r="CS148" s="277">
        <f t="shared" si="114"/>
        <v>3383.666666666667</v>
      </c>
      <c r="CT148" s="39">
        <f t="shared" si="115"/>
        <v>3490.5555555555557</v>
      </c>
      <c r="CU148" s="39">
        <f t="shared" si="116"/>
        <v>3420.0740740740739</v>
      </c>
      <c r="CV148" s="39">
        <f t="shared" si="117"/>
        <v>3431.4320987654319</v>
      </c>
      <c r="CW148" s="297">
        <f t="shared" si="118"/>
        <v>0.85537142343683814</v>
      </c>
      <c r="CX148" s="279" t="str">
        <f t="shared" si="135"/>
        <v>Action Plan</v>
      </c>
      <c r="CY148" s="278">
        <f t="shared" si="119"/>
        <v>0.90393770856507227</v>
      </c>
      <c r="CZ148" s="279" t="str">
        <f t="shared" si="136"/>
        <v>Action Plan</v>
      </c>
      <c r="DA148" s="278">
        <f t="shared" si="120"/>
        <v>0.99845083237022658</v>
      </c>
      <c r="DB148" s="292" t="str">
        <f t="shared" si="137"/>
        <v>Pass</v>
      </c>
      <c r="DC148" s="299">
        <f t="shared" si="138"/>
        <v>1.1493432846742033</v>
      </c>
      <c r="DD148" s="293" t="str">
        <f t="shared" si="139"/>
        <v>Pass</v>
      </c>
      <c r="DE148" s="299">
        <f t="shared" si="140"/>
        <v>1.1332253393220921</v>
      </c>
      <c r="DF148" s="293" t="str">
        <f t="shared" si="141"/>
        <v>Pass</v>
      </c>
      <c r="DG148" s="299">
        <f t="shared" si="142"/>
        <v>1.1569224877833553</v>
      </c>
      <c r="DH148" s="293" t="str">
        <f t="shared" si="143"/>
        <v>Pass</v>
      </c>
    </row>
    <row r="149" spans="1:112" ht="15" thickTop="1" thickBot="1">
      <c r="A149" s="38" t="s">
        <v>408</v>
      </c>
      <c r="B149" s="38" t="s">
        <v>409</v>
      </c>
      <c r="C149" s="38" t="s">
        <v>408</v>
      </c>
      <c r="D149" s="38" t="s">
        <v>116</v>
      </c>
      <c r="E149" s="38" t="str">
        <f>VLOOKUP(C149,PoliticalControl!A:K,11,FALSE)</f>
        <v>LAB</v>
      </c>
      <c r="F149" s="38" t="str">
        <f>VLOOKUP(C149,UrbanRuralClassification!A:N,13,FALSE)</f>
        <v>Urban with Major Conurbation</v>
      </c>
      <c r="G149" s="38" t="str">
        <f>VLOOKUP(C149,UrbanRuralClassification!A:N,14,FALSE)</f>
        <v>Predominantly Urban</v>
      </c>
      <c r="H149" s="258">
        <f>IF(ISBLANK((VLOOKUP($A149,'local-plan-data'!$C$1:$AD$566,27,FALSE)))=TRUE,"",VLOOKUP($A149,'local-plan-data'!$C$1:$AD$566,27,FALSE))</f>
        <v>42375</v>
      </c>
      <c r="I149" s="259">
        <f>VLOOKUP($A149,'local-plan-data'!$C$1:$AD$566,28,FALSE)</f>
        <v>450</v>
      </c>
      <c r="J149" s="260">
        <f t="shared" si="121"/>
        <v>450</v>
      </c>
      <c r="K149" s="259">
        <f t="shared" si="144"/>
        <v>450</v>
      </c>
      <c r="L149" s="259">
        <f t="shared" si="101"/>
        <v>450</v>
      </c>
      <c r="M149" s="259">
        <f t="shared" si="101"/>
        <v>450</v>
      </c>
      <c r="N149" s="259" t="str">
        <f t="shared" si="101"/>
        <v>-</v>
      </c>
      <c r="O149" s="259" t="str">
        <f t="shared" si="101"/>
        <v>-</v>
      </c>
      <c r="P149" s="259" t="str">
        <f t="shared" si="101"/>
        <v>-</v>
      </c>
      <c r="Q149" s="259" t="str">
        <f t="shared" si="101"/>
        <v>-</v>
      </c>
      <c r="R149" s="259" t="str">
        <f t="shared" si="101"/>
        <v>-</v>
      </c>
      <c r="S149" s="259">
        <f t="shared" si="145"/>
        <v>1011</v>
      </c>
      <c r="T149" s="259">
        <f t="shared" si="102"/>
        <v>646</v>
      </c>
      <c r="U149" s="259">
        <f t="shared" si="102"/>
        <v>280</v>
      </c>
      <c r="V149" s="259">
        <f t="shared" si="102"/>
        <v>-85</v>
      </c>
      <c r="W149" s="259">
        <f t="shared" si="102"/>
        <v>-450</v>
      </c>
      <c r="X149" s="259">
        <f t="shared" si="102"/>
        <v>-815</v>
      </c>
      <c r="Y149" s="259">
        <f t="shared" si="102"/>
        <v>-1181</v>
      </c>
      <c r="Z149" s="259">
        <f t="shared" si="102"/>
        <v>-1546</v>
      </c>
      <c r="AA149" s="267">
        <f>(VLOOKUP(A149,Hshldprojections2014!$A$2:$AW$319,40, FALSE)-VLOOKUP(A149,Hshldprojections2014!$A$2:$AW$319,30, FALSE))/10</f>
        <v>257.3</v>
      </c>
      <c r="AB149" s="267">
        <f>(VLOOKUP(A149,Hshldprojections2014!$A$2:$AW$319,41, FALSE)-VLOOKUP(A149,Hshldprojections2014!$A$2:$AW$319,31, FALSE))/10</f>
        <v>249.2</v>
      </c>
      <c r="AC149" s="267">
        <f>(VLOOKUP(A149,Hshldprojections2014!$A$2:$AW$319,42, FALSE)-VLOOKUP(A149,Hshldprojections2014!$A$2:$AW$319,32, FALSE))/10</f>
        <v>244.1</v>
      </c>
      <c r="AD149" s="267">
        <f>IF(IndividualLATest!$J$7=2014,(VLOOKUP($A149,Hshldprojections2014!$A$2:$AY$326,43,FALSE)-VLOOKUP($A149,Hshldprojections2014!$A$2:$AY$326,33,FALSE))/10,IF(IndividualLATest!$J$7=2016,(VLOOKUP($A149,Hshldprojections2016!$A$1:$AQ$322,33,FALSE)-VLOOKUP($A149,Hshldprojections2016!$A$1:$AQ$322,23,FALSE))/10,(VLOOKUP($A149,Hshldprojections2018!$A$1:$AQ$327,33,FALSE)-VLOOKUP($A149,Hshldprojections2018!$A$1:$AQ$327,23,FALSE))/10))</f>
        <v>308.7</v>
      </c>
      <c r="AE149" s="267">
        <f>IF(IndividualLATest!$J$7=2014,(VLOOKUP($A149,Hshldprojections2014!$A$2:$AY$326,44,FALSE)-VLOOKUP($A149,Hshldprojections2014!$A$2:$AY$326,34,FALSE))/10,IF(IndividualLATest!$J$7=2016,(VLOOKUP($A149,Hshldprojections2016!$A$1:$AQ$322,34,FALSE)-VLOOKUP($A149,Hshldprojections2016!$A$1:$AQ$322,24,FALSE))/10,(VLOOKUP($A149,Hshldprojections2018!$A$1:$AQ$327,34,FALSE)-VLOOKUP($A149,Hshldprojections2018!$A$1:$AQ$327,24,FALSE))/10))</f>
        <v>311.8</v>
      </c>
      <c r="AF149" s="267">
        <f>IF(IndividualLATest!$J$7=2014,(VLOOKUP($A149,Hshldprojections2014!$A$2:$AY$326,45,FALSE)-VLOOKUP($A149,Hshldprojections2014!$A$2:$AY$326,35,FALSE))/10,IF(IndividualLATest!$J$7=2016,(VLOOKUP($A149,Hshldprojections2016!$A$1:$AQ$322,35,FALSE)-VLOOKUP($A149,Hshldprojections2016!$A$1:$AQ$322,25,FALSE))/10,(VLOOKUP($A149,Hshldprojections2018!$A$1:$AQ$327,35,FALSE)-VLOOKUP($A149,Hshldprojections2018!$A$1:$AQ$327,25,FALSE))/10))</f>
        <v>317.5</v>
      </c>
      <c r="AG149" s="267">
        <f>IF(IndividualLATest!$J$7=2014,(VLOOKUP($A149,Hshldprojections2014!$A$2:$AY$326,46,FALSE)-VLOOKUP($A149,Hshldprojections2014!$A$2:$AY$326,36,FALSE))/10,IF(IndividualLATest!$J$7=2016,(VLOOKUP($A149,Hshldprojections2016!$A$1:$AQ$322,36,FALSE)-VLOOKUP($A149,Hshldprojections2016!$A$1:$AQ$322,26,FALSE))/10,(VLOOKUP($A149,Hshldprojections2018!$A$1:$AQ$327,36,FALSE)-VLOOKUP($A149,Hshldprojections2018!$A$1:$AQ$327,26,FALSE))/10))</f>
        <v>321.60000000000002</v>
      </c>
      <c r="AH149" s="267">
        <f>IF(IndividualLATest!$J$7=2014,(VLOOKUP($A149,Hshldprojections2014!$A$2:$AY$326,47,FALSE)-VLOOKUP($A149,Hshldprojections2014!$A$2:$AY$326,37,FALSE))/10,IF(IndividualLATest!$J$7=2016,(VLOOKUP($A149,Hshldprojections2016!$A$1:$AQ$322,37,FALSE)-VLOOKUP($A149,Hshldprojections2016!$A$1:$AQ$322,27,FALSE))/10,(VLOOKUP($A149,Hshldprojections2018!$A$1:$AQ$327,37,FALSE)-VLOOKUP($A149,Hshldprojections2018!$A$1:$AQ$327,27,FALSE))/10))</f>
        <v>330.7</v>
      </c>
      <c r="AI149" s="268">
        <f>IF(ISNUMBER('Sensitivity Tests'!$C$30),'Sensitivity Tests'!$C$30,VLOOKUP($A149,AffordabilityRatio!$A$2:$I$321,5,FALSE))</f>
        <v>4.57</v>
      </c>
      <c r="AJ149" s="268">
        <f>IF(ISNUMBER('Sensitivity Tests'!$C$30),'Sensitivity Tests'!$C$30,VLOOKUP($A149,AffordabilityRatio!$A$2:$I$321,6,FALSE))</f>
        <v>4.12</v>
      </c>
      <c r="AK149" s="268">
        <f>IF(ISNUMBER('Sensitivity Tests'!$C$30),'Sensitivity Tests'!$C$30,VLOOKUP($A149,AffordabilityRatio!$A$2:$I$321,7,FALSE))</f>
        <v>5.22</v>
      </c>
      <c r="AL149" s="268">
        <f>IF(ISNUMBER('Sensitivity Tests'!$C$30),'Sensitivity Tests'!$C$30,IF((VLOOKUP($A149,AffordabilityRatio!$A$2:$I$321,8,FALSE))="",AK149,VLOOKUP($A149,AffordabilityRatio!$A$2:$I$321,8,FALSE)))</f>
        <v>4.3099999999999996</v>
      </c>
      <c r="AM149" s="268">
        <f>IF(ISNUMBER('Sensitivity Tests'!$C$30),'Sensitivity Tests'!$C$30,IF((VLOOKUP($A149,AffordabilityRatio!$A$2:$I$321,9,FALSE))="",AL149,VLOOKUP($A149,AffordabilityRatio!$A$2:$I$321,9,FALSE)))</f>
        <v>5.21</v>
      </c>
      <c r="AN149" s="268">
        <f>IF(ISNUMBER('Sensitivity Tests'!$C$30),'Sensitivity Tests'!$C$30,IF((VLOOKUP($A149,AffordabilityRatio!$A$2:$I$321,9,FALSE))="",AM149,VLOOKUP($A149,AffordabilityRatio!$A$2:$I$321,9,FALSE)))</f>
        <v>5.21</v>
      </c>
      <c r="AO149" s="268">
        <f>IF(ISNUMBER('Sensitivity Tests'!$C$30),'Sensitivity Tests'!$C$30,IF((VLOOKUP($A149,AffordabilityRatio!$A$2:$I$321,9,FALSE))="",AN149,VLOOKUP($A149,AffordabilityRatio!$A$2:$I$321,9,FALSE)))</f>
        <v>5.21</v>
      </c>
      <c r="AP149" s="268">
        <f>IF(ISNUMBER('Sensitivity Tests'!$C$30),'Sensitivity Tests'!$C$30,IF((VLOOKUP($A149,AffordabilityRatio!$A$2:$I$321,9,FALSE))="",AO149,VLOOKUP($A149,AffordabilityRatio!$A$2:$I$321,9,FALSE)))</f>
        <v>5.21</v>
      </c>
      <c r="AQ149" s="267">
        <f t="shared" si="104"/>
        <v>266</v>
      </c>
      <c r="AR149" s="267">
        <f t="shared" si="104"/>
        <v>251</v>
      </c>
      <c r="AS149" s="267">
        <f t="shared" si="104"/>
        <v>263</v>
      </c>
      <c r="AT149" s="267">
        <f t="shared" si="103"/>
        <v>315</v>
      </c>
      <c r="AU149" s="267">
        <f t="shared" si="103"/>
        <v>335</v>
      </c>
      <c r="AV149" s="267">
        <f t="shared" si="103"/>
        <v>342</v>
      </c>
      <c r="AW149" s="267">
        <f t="shared" si="103"/>
        <v>346</v>
      </c>
      <c r="AX149" s="267">
        <f t="shared" si="103"/>
        <v>356</v>
      </c>
      <c r="AY149" s="267">
        <f t="shared" si="122"/>
        <v>266</v>
      </c>
      <c r="AZ149" s="267">
        <f t="shared" si="123"/>
        <v>251</v>
      </c>
      <c r="BA149" s="267">
        <f t="shared" si="124"/>
        <v>263</v>
      </c>
      <c r="BB149" s="267">
        <f t="shared" si="125"/>
        <v>315</v>
      </c>
      <c r="BC149" s="267">
        <f t="shared" si="126"/>
        <v>335</v>
      </c>
      <c r="BD149" s="267">
        <f t="shared" si="127"/>
        <v>342</v>
      </c>
      <c r="BE149" s="267">
        <f t="shared" si="128"/>
        <v>346</v>
      </c>
      <c r="BF149" s="267">
        <f t="shared" si="129"/>
        <v>356</v>
      </c>
      <c r="BG149" s="269">
        <f>AY149*VLOOKUP($B149,'Major Cities &amp; Towns'!$A$28:$B$345,2,FALSE)</f>
        <v>266</v>
      </c>
      <c r="BH149" s="269">
        <f>AZ149*VLOOKUP($B149,'Major Cities &amp; Towns'!$A$28:$B$345,2,FALSE)</f>
        <v>251</v>
      </c>
      <c r="BI149" s="269">
        <f>BA149*VLOOKUP($B149,'Major Cities &amp; Towns'!$A$28:$B$345,2,FALSE)</f>
        <v>263</v>
      </c>
      <c r="BJ149" s="269">
        <f>BB149*VLOOKUP($B149,'Major Cities &amp; Towns'!$A$28:$B$345,2,FALSE)</f>
        <v>315</v>
      </c>
      <c r="BK149" s="269">
        <f>BC149*VLOOKUP($B149,'Major Cities &amp; Towns'!$A$28:$B$345,2,FALSE)</f>
        <v>335</v>
      </c>
      <c r="BL149" s="269">
        <f>BD149*VLOOKUP($B149,'Major Cities &amp; Towns'!$A$28:$B$345,2,FALSE)</f>
        <v>342</v>
      </c>
      <c r="BM149" s="269">
        <f>BE149*VLOOKUP($B149,'Major Cities &amp; Towns'!$A$28:$B$345,2,FALSE)</f>
        <v>346</v>
      </c>
      <c r="BN149" s="269">
        <f>BF149*VLOOKUP($B149,'Major Cities &amp; Towns'!$A$28:$B$345,2,FALSE)</f>
        <v>356</v>
      </c>
      <c r="BO149" s="270">
        <f t="shared" si="130"/>
        <v>266</v>
      </c>
      <c r="BP149" s="270">
        <f t="shared" si="100"/>
        <v>251</v>
      </c>
      <c r="BQ149" s="270">
        <f t="shared" si="100"/>
        <v>263</v>
      </c>
      <c r="BR149" s="270">
        <f t="shared" si="100"/>
        <v>315</v>
      </c>
      <c r="BS149" s="270">
        <f t="shared" ref="BS149:BV212" si="146">IFERROR(IF(AND(W149&lt;365,W149&gt;0),SUM(((W149/365)*(MIN(O149,BK149)))+(((365-W149)/365)*AU149)),(MIN(O149,AU149))),AU149)</f>
        <v>335</v>
      </c>
      <c r="BT149" s="270">
        <f t="shared" si="146"/>
        <v>342</v>
      </c>
      <c r="BU149" s="270">
        <f t="shared" si="146"/>
        <v>346</v>
      </c>
      <c r="BV149" s="270">
        <f t="shared" si="99"/>
        <v>356</v>
      </c>
      <c r="BW149" s="39">
        <f>VLOOKUP($A149,NetAdditions!$A$2:$H$336,6,FALSE)</f>
        <v>840</v>
      </c>
      <c r="BX149" s="39">
        <f>VLOOKUP($A149,NetAdditions!$A$2:$H$336,7,FALSE)</f>
        <v>1097</v>
      </c>
      <c r="BY149" s="39">
        <f>IF((VLOOKUP($C149,NetAdditions!$A$2:$H$336,8,FALSE))="",(AVERAGE(VLOOKUP($C149,NetAdditions!$A$2:$H$336,5,FALSE),VLOOKUP($C149,NetAdditions!$A$2:$H$336,6,FALSE),VLOOKUP($C149,NetAdditions!$A$2:$H$336,7,FALSE))),VLOOKUP($C149,NetAdditions!$A$2:$H$336,8,FALSE))</f>
        <v>810</v>
      </c>
      <c r="BZ149" s="39">
        <f t="shared" si="105"/>
        <v>915.66666666666663</v>
      </c>
      <c r="CA149" s="39">
        <f t="shared" si="105"/>
        <v>940.8888888888888</v>
      </c>
      <c r="CB149" s="39">
        <f t="shared" si="105"/>
        <v>888.85185185185173</v>
      </c>
      <c r="CC149" s="39">
        <f t="shared" si="105"/>
        <v>915.13580246913568</v>
      </c>
      <c r="CD149" s="39">
        <f t="shared" si="105"/>
        <v>914.95884773662544</v>
      </c>
      <c r="CE149" s="276">
        <f t="shared" si="106"/>
        <v>780</v>
      </c>
      <c r="CF149" s="276">
        <f t="shared" si="107"/>
        <v>829</v>
      </c>
      <c r="CG149" s="276">
        <f t="shared" si="108"/>
        <v>913</v>
      </c>
      <c r="CH149" s="276">
        <f t="shared" si="109"/>
        <v>992</v>
      </c>
      <c r="CI149" s="276">
        <f t="shared" si="110"/>
        <v>1023</v>
      </c>
      <c r="CJ149" s="276">
        <f t="shared" si="111"/>
        <v>1044</v>
      </c>
      <c r="CK149" s="276">
        <f t="shared" si="131"/>
        <v>671.66666666666674</v>
      </c>
      <c r="CL149" s="276">
        <f t="shared" si="132"/>
        <v>713.8611111111112</v>
      </c>
      <c r="CM149" s="276">
        <f t="shared" si="133"/>
        <v>836.91666666666663</v>
      </c>
      <c r="CN149" s="276">
        <f t="shared" si="134"/>
        <v>992</v>
      </c>
      <c r="CO149" s="276">
        <f t="shared" si="134"/>
        <v>1023</v>
      </c>
      <c r="CP149" s="276">
        <f t="shared" si="134"/>
        <v>1044</v>
      </c>
      <c r="CQ149" s="39">
        <f t="shared" si="112"/>
        <v>2747</v>
      </c>
      <c r="CR149" s="39">
        <f t="shared" si="113"/>
        <v>2822.6666666666665</v>
      </c>
      <c r="CS149" s="277">
        <f t="shared" si="114"/>
        <v>2666.5555555555552</v>
      </c>
      <c r="CT149" s="39">
        <f t="shared" si="115"/>
        <v>2745.4074074074069</v>
      </c>
      <c r="CU149" s="39">
        <f t="shared" si="116"/>
        <v>2744.8765432098762</v>
      </c>
      <c r="CV149" s="39">
        <f t="shared" si="117"/>
        <v>2718.9465020576131</v>
      </c>
      <c r="CW149" s="297">
        <f t="shared" si="118"/>
        <v>4.0898263027295281</v>
      </c>
      <c r="CX149" s="279" t="str">
        <f t="shared" si="135"/>
        <v>Pass</v>
      </c>
      <c r="CY149" s="278">
        <f t="shared" si="119"/>
        <v>3.9540838164909133</v>
      </c>
      <c r="CZ149" s="279" t="str">
        <f t="shared" si="136"/>
        <v>Pass</v>
      </c>
      <c r="DA149" s="278">
        <f t="shared" si="120"/>
        <v>3.186166152212154</v>
      </c>
      <c r="DB149" s="292" t="str">
        <f t="shared" si="137"/>
        <v>Pass</v>
      </c>
      <c r="DC149" s="299">
        <f t="shared" si="138"/>
        <v>2.7675477897252088</v>
      </c>
      <c r="DD149" s="293" t="str">
        <f t="shared" si="139"/>
        <v>Pass</v>
      </c>
      <c r="DE149" s="299">
        <f t="shared" si="140"/>
        <v>2.6831637763537404</v>
      </c>
      <c r="DF149" s="293" t="str">
        <f t="shared" si="141"/>
        <v>Pass</v>
      </c>
      <c r="DG149" s="299">
        <f t="shared" si="142"/>
        <v>2.6043548870283648</v>
      </c>
      <c r="DH149" s="293" t="str">
        <f t="shared" si="143"/>
        <v>Pass</v>
      </c>
    </row>
    <row r="150" spans="1:112" customFormat="1" ht="15.5" thickTop="1" thickBot="1">
      <c r="A150" s="3" t="s">
        <v>410</v>
      </c>
      <c r="B150" s="3" t="s">
        <v>411</v>
      </c>
      <c r="C150" s="3" t="s">
        <v>410</v>
      </c>
      <c r="D150" s="3" t="s">
        <v>131</v>
      </c>
      <c r="E150" s="3" t="str">
        <f>VLOOKUP(C150,PoliticalControl!A:K,11,FALSE)</f>
        <v>LAB</v>
      </c>
      <c r="F150" s="3" t="str">
        <f>VLOOKUP(C150,UrbanRuralClassification!A:N,13,FALSE)</f>
        <v>Urban with Major Conurbation</v>
      </c>
      <c r="G150" s="3" t="str">
        <f>VLOOKUP(C150,UrbanRuralClassification!A:N,14,FALSE)</f>
        <v>Predominantly Urban</v>
      </c>
      <c r="H150" s="262">
        <f>IF(ISBLANK((VLOOKUP($A150,'local-plan-data'!$C$1:$AD$566,27,FALSE)))=TRUE,"",VLOOKUP($A150,'local-plan-data'!$C$1:$AD$566,27,FALSE))</f>
        <v>44461</v>
      </c>
      <c r="I150" s="263">
        <f>VLOOKUP($A150,'local-plan-data'!$C$1:$AD$566,28,FALSE)</f>
        <v>1227.7333333333333</v>
      </c>
      <c r="J150" s="264">
        <f t="shared" si="121"/>
        <v>1227.7333333333333</v>
      </c>
      <c r="K150" s="259">
        <f t="shared" si="144"/>
        <v>1227.7333333333333</v>
      </c>
      <c r="L150" s="259">
        <f t="shared" si="101"/>
        <v>1227.7333333333333</v>
      </c>
      <c r="M150" s="259">
        <f t="shared" si="101"/>
        <v>1227.7333333333333</v>
      </c>
      <c r="N150" s="259">
        <f t="shared" si="101"/>
        <v>1227.7333333333333</v>
      </c>
      <c r="O150" s="259">
        <f t="shared" si="101"/>
        <v>1227.7333333333333</v>
      </c>
      <c r="P150" s="259">
        <f t="shared" si="101"/>
        <v>1227.7333333333333</v>
      </c>
      <c r="Q150" s="259">
        <f t="shared" si="101"/>
        <v>1227.7333333333333</v>
      </c>
      <c r="R150" s="259">
        <f t="shared" si="101"/>
        <v>1227.7333333333333</v>
      </c>
      <c r="S150" s="259">
        <f t="shared" si="145"/>
        <v>3096</v>
      </c>
      <c r="T150" s="259">
        <f t="shared" si="102"/>
        <v>2731</v>
      </c>
      <c r="U150" s="259">
        <f t="shared" si="102"/>
        <v>2365</v>
      </c>
      <c r="V150" s="259">
        <f t="shared" si="102"/>
        <v>2000</v>
      </c>
      <c r="W150" s="259">
        <f t="shared" si="102"/>
        <v>1635</v>
      </c>
      <c r="X150" s="259">
        <f t="shared" si="102"/>
        <v>1270</v>
      </c>
      <c r="Y150" s="259">
        <f t="shared" si="102"/>
        <v>904</v>
      </c>
      <c r="Z150" s="259">
        <f t="shared" si="102"/>
        <v>539</v>
      </c>
      <c r="AA150" s="267">
        <f>(VLOOKUP(A150,Hshldprojections2014!$A$2:$AW$319,40, FALSE)-VLOOKUP(A150,Hshldprojections2014!$A$2:$AW$319,30, FALSE))/10</f>
        <v>1792.4</v>
      </c>
      <c r="AB150" s="267">
        <f>(VLOOKUP(A150,Hshldprojections2014!$A$2:$AW$319,41, FALSE)-VLOOKUP(A150,Hshldprojections2014!$A$2:$AW$319,31, FALSE))/10</f>
        <v>1754.7</v>
      </c>
      <c r="AC150" s="267">
        <f>(VLOOKUP(A150,Hshldprojections2014!$A$2:$AW$319,42, FALSE)-VLOOKUP(A150,Hshldprojections2014!$A$2:$AW$319,32, FALSE))/10</f>
        <v>1724.6</v>
      </c>
      <c r="AD150" s="267">
        <f>IF(IndividualLATest!$J$7=2014,(VLOOKUP($A150,Hshldprojections2014!$A$2:$AY$326,43,FALSE)-VLOOKUP($A150,Hshldprojections2014!$A$2:$AY$326,33,FALSE))/10,IF(IndividualLATest!$J$7=2016,(VLOOKUP($A150,Hshldprojections2016!$A$1:$AQ$322,33,FALSE)-VLOOKUP($A150,Hshldprojections2016!$A$1:$AQ$322,23,FALSE))/10,(VLOOKUP($A150,Hshldprojections2018!$A$1:$AQ$327,33,FALSE)-VLOOKUP($A150,Hshldprojections2018!$A$1:$AQ$327,23,FALSE))/10))</f>
        <v>721.4</v>
      </c>
      <c r="AE150" s="267">
        <f>IF(IndividualLATest!$J$7=2014,(VLOOKUP($A150,Hshldprojections2014!$A$2:$AY$326,44,FALSE)-VLOOKUP($A150,Hshldprojections2014!$A$2:$AY$326,34,FALSE))/10,IF(IndividualLATest!$J$7=2016,(VLOOKUP($A150,Hshldprojections2016!$A$1:$AQ$322,34,FALSE)-VLOOKUP($A150,Hshldprojections2016!$A$1:$AQ$322,24,FALSE))/10,(VLOOKUP($A150,Hshldprojections2018!$A$1:$AQ$327,34,FALSE)-VLOOKUP($A150,Hshldprojections2018!$A$1:$AQ$327,24,FALSE))/10))</f>
        <v>709.4</v>
      </c>
      <c r="AF150" s="267">
        <f>IF(IndividualLATest!$J$7=2014,(VLOOKUP($A150,Hshldprojections2014!$A$2:$AY$326,45,FALSE)-VLOOKUP($A150,Hshldprojections2014!$A$2:$AY$326,35,FALSE))/10,IF(IndividualLATest!$J$7=2016,(VLOOKUP($A150,Hshldprojections2016!$A$1:$AQ$322,35,FALSE)-VLOOKUP($A150,Hshldprojections2016!$A$1:$AQ$322,25,FALSE))/10,(VLOOKUP($A150,Hshldprojections2018!$A$1:$AQ$327,35,FALSE)-VLOOKUP($A150,Hshldprojections2018!$A$1:$AQ$327,25,FALSE))/10))</f>
        <v>711.3</v>
      </c>
      <c r="AG150" s="267">
        <f>IF(IndividualLATest!$J$7=2014,(VLOOKUP($A150,Hshldprojections2014!$A$2:$AY$326,46,FALSE)-VLOOKUP($A150,Hshldprojections2014!$A$2:$AY$326,36,FALSE))/10,IF(IndividualLATest!$J$7=2016,(VLOOKUP($A150,Hshldprojections2016!$A$1:$AQ$322,36,FALSE)-VLOOKUP($A150,Hshldprojections2016!$A$1:$AQ$322,26,FALSE))/10,(VLOOKUP($A150,Hshldprojections2018!$A$1:$AQ$327,36,FALSE)-VLOOKUP($A150,Hshldprojections2018!$A$1:$AQ$327,26,FALSE))/10))</f>
        <v>727.9</v>
      </c>
      <c r="AH150" s="267">
        <f>IF(IndividualLATest!$J$7=2014,(VLOOKUP($A150,Hshldprojections2014!$A$2:$AY$326,47,FALSE)-VLOOKUP($A150,Hshldprojections2014!$A$2:$AY$326,37,FALSE))/10,IF(IndividualLATest!$J$7=2016,(VLOOKUP($A150,Hshldprojections2016!$A$1:$AQ$322,37,FALSE)-VLOOKUP($A150,Hshldprojections2016!$A$1:$AQ$322,27,FALSE))/10,(VLOOKUP($A150,Hshldprojections2018!$A$1:$AQ$327,37,FALSE)-VLOOKUP($A150,Hshldprojections2018!$A$1:$AQ$327,27,FALSE))/10))</f>
        <v>752.7</v>
      </c>
      <c r="AI150" s="268">
        <f>IF(ISNUMBER('Sensitivity Tests'!$C$30),'Sensitivity Tests'!$C$30,VLOOKUP($A150,AffordabilityRatio!$A$2:$I$321,5,FALSE))</f>
        <v>14.7</v>
      </c>
      <c r="AJ150" s="268">
        <f>IF(ISNUMBER('Sensitivity Tests'!$C$30),'Sensitivity Tests'!$C$30,VLOOKUP($A150,AffordabilityRatio!$A$2:$I$321,6,FALSE))</f>
        <v>14.5</v>
      </c>
      <c r="AK150" s="268">
        <f>IF(ISNUMBER('Sensitivity Tests'!$C$30),'Sensitivity Tests'!$C$30,VLOOKUP($A150,AffordabilityRatio!$A$2:$I$321,7,FALSE))</f>
        <v>14.29</v>
      </c>
      <c r="AL150" s="268">
        <f>IF(ISNUMBER('Sensitivity Tests'!$C$30),'Sensitivity Tests'!$C$30,IF((VLOOKUP($A150,AffordabilityRatio!$A$2:$I$321,8,FALSE))="",AK150,VLOOKUP($A150,AffordabilityRatio!$A$2:$I$321,8,FALSE)))</f>
        <v>14.64</v>
      </c>
      <c r="AM150" s="268">
        <f>IF(ISNUMBER('Sensitivity Tests'!$C$30),'Sensitivity Tests'!$C$30,IF((VLOOKUP($A150,AffordabilityRatio!$A$2:$I$321,9,FALSE))="",AL150,VLOOKUP($A150,AffordabilityRatio!$A$2:$I$321,9,FALSE)))</f>
        <v>15.63</v>
      </c>
      <c r="AN150" s="268">
        <f>IF(ISNUMBER('Sensitivity Tests'!$C$30),'Sensitivity Tests'!$C$30,IF((VLOOKUP($A150,AffordabilityRatio!$A$2:$I$321,9,FALSE))="",AM150,VLOOKUP($A150,AffordabilityRatio!$A$2:$I$321,9,FALSE)))</f>
        <v>15.63</v>
      </c>
      <c r="AO150" s="268">
        <f>IF(ISNUMBER('Sensitivity Tests'!$C$30),'Sensitivity Tests'!$C$30,IF((VLOOKUP($A150,AffordabilityRatio!$A$2:$I$321,9,FALSE))="",AN150,VLOOKUP($A150,AffordabilityRatio!$A$2:$I$321,9,FALSE)))</f>
        <v>15.63</v>
      </c>
      <c r="AP150" s="268">
        <f>IF(ISNUMBER('Sensitivity Tests'!$C$30),'Sensitivity Tests'!$C$30,IF((VLOOKUP($A150,AffordabilityRatio!$A$2:$I$321,9,FALSE))="",AO150,VLOOKUP($A150,AffordabilityRatio!$A$2:$I$321,9,FALSE)))</f>
        <v>15.63</v>
      </c>
      <c r="AQ150" s="267">
        <f t="shared" si="104"/>
        <v>2991</v>
      </c>
      <c r="AR150" s="267">
        <f t="shared" si="104"/>
        <v>2906</v>
      </c>
      <c r="AS150" s="267">
        <f t="shared" si="104"/>
        <v>2834</v>
      </c>
      <c r="AT150" s="267">
        <f t="shared" si="103"/>
        <v>1201</v>
      </c>
      <c r="AU150" s="267">
        <f t="shared" si="103"/>
        <v>1225</v>
      </c>
      <c r="AV150" s="267">
        <f t="shared" si="103"/>
        <v>1228</v>
      </c>
      <c r="AW150" s="267">
        <f t="shared" si="103"/>
        <v>1257</v>
      </c>
      <c r="AX150" s="267">
        <f t="shared" si="103"/>
        <v>1300</v>
      </c>
      <c r="AY150" s="267">
        <f t="shared" si="122"/>
        <v>1718.8266666666668</v>
      </c>
      <c r="AZ150" s="267">
        <f t="shared" si="123"/>
        <v>1718.8266666666668</v>
      </c>
      <c r="BA150" s="267">
        <f t="shared" si="124"/>
        <v>1718.8266666666668</v>
      </c>
      <c r="BB150" s="267">
        <f t="shared" si="125"/>
        <v>1201</v>
      </c>
      <c r="BC150" s="267">
        <f t="shared" si="126"/>
        <v>1225</v>
      </c>
      <c r="BD150" s="267">
        <f t="shared" si="127"/>
        <v>1228</v>
      </c>
      <c r="BE150" s="267">
        <f t="shared" si="128"/>
        <v>1257</v>
      </c>
      <c r="BF150" s="267">
        <f t="shared" si="129"/>
        <v>1300</v>
      </c>
      <c r="BG150" s="269">
        <f>AY150*VLOOKUP($B150,'Major Cities &amp; Towns'!$A$28:$B$345,2,FALSE)</f>
        <v>2320.4160000000002</v>
      </c>
      <c r="BH150" s="269">
        <f>AZ150*VLOOKUP($B150,'Major Cities &amp; Towns'!$A$28:$B$345,2,FALSE)</f>
        <v>2320.4160000000002</v>
      </c>
      <c r="BI150" s="269">
        <f>BA150*VLOOKUP($B150,'Major Cities &amp; Towns'!$A$28:$B$345,2,FALSE)</f>
        <v>2320.4160000000002</v>
      </c>
      <c r="BJ150" s="269">
        <f>BB150*VLOOKUP($B150,'Major Cities &amp; Towns'!$A$28:$B$345,2,FALSE)</f>
        <v>1621.3500000000001</v>
      </c>
      <c r="BK150" s="269">
        <f>BC150*VLOOKUP($B150,'Major Cities &amp; Towns'!$A$28:$B$345,2,FALSE)</f>
        <v>1653.75</v>
      </c>
      <c r="BL150" s="269">
        <f>BD150*VLOOKUP($B150,'Major Cities &amp; Towns'!$A$28:$B$345,2,FALSE)</f>
        <v>1657.8000000000002</v>
      </c>
      <c r="BM150" s="269">
        <f>BE150*VLOOKUP($B150,'Major Cities &amp; Towns'!$A$28:$B$345,2,FALSE)</f>
        <v>1696.95</v>
      </c>
      <c r="BN150" s="269">
        <f>BF150*VLOOKUP($B150,'Major Cities &amp; Towns'!$A$28:$B$345,2,FALSE)</f>
        <v>1755.0000000000002</v>
      </c>
      <c r="BO150" s="270">
        <f t="shared" si="130"/>
        <v>1227.7333333333333</v>
      </c>
      <c r="BP150" s="270">
        <f t="shared" ref="BP150:BV213" si="147">IFERROR(IF(AND(T150&lt;365,T150&gt;0),SUM(((T150/365)*(MIN(L150,BH150)))+(((365-T150)/365)*AR150)),(MIN(L150,AR150))),AR150)</f>
        <v>1227.7333333333333</v>
      </c>
      <c r="BQ150" s="270">
        <f t="shared" si="147"/>
        <v>1227.7333333333333</v>
      </c>
      <c r="BR150" s="270">
        <f t="shared" si="147"/>
        <v>1201</v>
      </c>
      <c r="BS150" s="270">
        <f t="shared" si="146"/>
        <v>1225</v>
      </c>
      <c r="BT150" s="270">
        <f t="shared" si="146"/>
        <v>1227.7333333333333</v>
      </c>
      <c r="BU150" s="270">
        <f t="shared" si="146"/>
        <v>1227.7333333333333</v>
      </c>
      <c r="BV150" s="270">
        <f t="shared" si="99"/>
        <v>1227.7333333333333</v>
      </c>
      <c r="BW150" s="39">
        <f>VLOOKUP($A150,NetAdditions!$A$2:$H$336,6,FALSE)</f>
        <v>1219</v>
      </c>
      <c r="BX150" s="39">
        <f>VLOOKUP($A150,NetAdditions!$A$2:$H$336,7,FALSE)</f>
        <v>1517</v>
      </c>
      <c r="BY150" s="39">
        <f>IF((VLOOKUP($C150,NetAdditions!$A$2:$H$336,8,FALSE))="",(AVERAGE(VLOOKUP($C150,NetAdditions!$A$2:$H$336,5,FALSE),VLOOKUP($C150,NetAdditions!$A$2:$H$336,6,FALSE),VLOOKUP($C150,NetAdditions!$A$2:$H$336,7,FALSE))),VLOOKUP($C150,NetAdditions!$A$2:$H$336,8,FALSE))</f>
        <v>1198</v>
      </c>
      <c r="BZ150" s="39">
        <f t="shared" si="105"/>
        <v>1311.3333333333333</v>
      </c>
      <c r="CA150" s="39">
        <f t="shared" si="105"/>
        <v>1342.1111111111111</v>
      </c>
      <c r="CB150" s="39">
        <f t="shared" si="105"/>
        <v>1283.8148148148148</v>
      </c>
      <c r="CC150" s="39">
        <f t="shared" si="105"/>
        <v>1312.4197530864196</v>
      </c>
      <c r="CD150" s="39">
        <f t="shared" si="105"/>
        <v>1312.7818930041151</v>
      </c>
      <c r="CE150" s="276">
        <f t="shared" si="106"/>
        <v>3683.2</v>
      </c>
      <c r="CF150" s="276">
        <f t="shared" si="107"/>
        <v>3656.4666666666667</v>
      </c>
      <c r="CG150" s="276">
        <f t="shared" si="108"/>
        <v>3653.7333333333336</v>
      </c>
      <c r="CH150" s="276">
        <f t="shared" si="109"/>
        <v>3653.7333333333336</v>
      </c>
      <c r="CI150" s="276">
        <f t="shared" si="110"/>
        <v>3680.4666666666672</v>
      </c>
      <c r="CJ150" s="276">
        <f t="shared" si="111"/>
        <v>3683.2</v>
      </c>
      <c r="CK150" s="276">
        <f t="shared" si="131"/>
        <v>3171.6444444444446</v>
      </c>
      <c r="CL150" s="276">
        <f t="shared" si="132"/>
        <v>3148.6240740740741</v>
      </c>
      <c r="CM150" s="276">
        <f t="shared" si="133"/>
        <v>3349.2555555555555</v>
      </c>
      <c r="CN150" s="276">
        <f t="shared" si="134"/>
        <v>3653.7333333333336</v>
      </c>
      <c r="CO150" s="276">
        <f t="shared" si="134"/>
        <v>3680.4666666666672</v>
      </c>
      <c r="CP150" s="276">
        <f t="shared" si="134"/>
        <v>3683.2</v>
      </c>
      <c r="CQ150" s="39">
        <f t="shared" si="112"/>
        <v>3934</v>
      </c>
      <c r="CR150" s="39">
        <f t="shared" si="113"/>
        <v>4026.333333333333</v>
      </c>
      <c r="CS150" s="277">
        <f t="shared" si="114"/>
        <v>3851.4444444444443</v>
      </c>
      <c r="CT150" s="39">
        <f t="shared" si="115"/>
        <v>3937.2592592592591</v>
      </c>
      <c r="CU150" s="39">
        <f t="shared" si="116"/>
        <v>3938.3456790123455</v>
      </c>
      <c r="CV150" s="39">
        <f t="shared" si="117"/>
        <v>3909.016460905349</v>
      </c>
      <c r="CW150" s="297">
        <f t="shared" si="118"/>
        <v>1.2403660211316947</v>
      </c>
      <c r="CX150" s="279" t="str">
        <f t="shared" si="135"/>
        <v>Pass</v>
      </c>
      <c r="CY150" s="278">
        <f t="shared" si="119"/>
        <v>1.2787596228099634</v>
      </c>
      <c r="CZ150" s="279" t="str">
        <f t="shared" si="136"/>
        <v>Pass</v>
      </c>
      <c r="DA150" s="278">
        <f t="shared" si="120"/>
        <v>1.1499404511118556</v>
      </c>
      <c r="DB150" s="292" t="str">
        <f t="shared" si="137"/>
        <v>Pass</v>
      </c>
      <c r="DC150" s="299">
        <f t="shared" si="138"/>
        <v>1.0775989652390046</v>
      </c>
      <c r="DD150" s="293" t="str">
        <f t="shared" si="139"/>
        <v>Pass</v>
      </c>
      <c r="DE150" s="299">
        <f t="shared" si="140"/>
        <v>1.070066933272686</v>
      </c>
      <c r="DF150" s="293" t="str">
        <f t="shared" si="141"/>
        <v>Pass</v>
      </c>
      <c r="DG150" s="299">
        <f t="shared" si="142"/>
        <v>1.0613098558061873</v>
      </c>
      <c r="DH150" s="293" t="str">
        <f t="shared" si="143"/>
        <v>Pass</v>
      </c>
    </row>
    <row r="151" spans="1:112" ht="15" thickTop="1" thickBot="1">
      <c r="A151" s="38" t="s">
        <v>412</v>
      </c>
      <c r="B151" s="38" t="s">
        <v>413</v>
      </c>
      <c r="C151" s="38" t="s">
        <v>412</v>
      </c>
      <c r="D151" s="38" t="s">
        <v>116</v>
      </c>
      <c r="E151" s="38" t="str">
        <f>VLOOKUP(C151,PoliticalControl!A:K,11,FALSE)</f>
        <v>NOC</v>
      </c>
      <c r="F151" s="38" t="str">
        <f>VLOOKUP(C151,UrbanRuralClassification!A:N,13,FALSE)</f>
        <v>Urban with Significant Rural (rural including hub towns 26-49%)</v>
      </c>
      <c r="G151" s="38" t="str">
        <f>VLOOKUP(C151,UrbanRuralClassification!A:N,14,FALSE)</f>
        <v>Urban with Significant Rural</v>
      </c>
      <c r="H151" s="258">
        <f>IF(ISBLANK((VLOOKUP($A151,'local-plan-data'!$C$1:$AD$566,27,FALSE)))=TRUE,"",VLOOKUP($A151,'local-plan-data'!$C$1:$AD$566,27,FALSE))</f>
        <v>44042</v>
      </c>
      <c r="I151" s="259">
        <f>VLOOKUP($A151,'local-plan-data'!$C$1:$AD$566,28,FALSE)</f>
        <v>522</v>
      </c>
      <c r="J151" s="260">
        <f t="shared" si="121"/>
        <v>522</v>
      </c>
      <c r="K151" s="259">
        <f t="shared" si="144"/>
        <v>522</v>
      </c>
      <c r="L151" s="259">
        <f t="shared" si="101"/>
        <v>522</v>
      </c>
      <c r="M151" s="259">
        <f t="shared" si="101"/>
        <v>522</v>
      </c>
      <c r="N151" s="259">
        <f t="shared" si="101"/>
        <v>522</v>
      </c>
      <c r="O151" s="259">
        <f t="shared" si="101"/>
        <v>522</v>
      </c>
      <c r="P151" s="259">
        <f t="shared" si="101"/>
        <v>522</v>
      </c>
      <c r="Q151" s="259">
        <f t="shared" si="101"/>
        <v>522</v>
      </c>
      <c r="R151" s="259">
        <f t="shared" si="101"/>
        <v>522</v>
      </c>
      <c r="S151" s="259">
        <f t="shared" si="145"/>
        <v>2677</v>
      </c>
      <c r="T151" s="259">
        <f t="shared" si="102"/>
        <v>2312</v>
      </c>
      <c r="U151" s="259">
        <f t="shared" si="102"/>
        <v>1946</v>
      </c>
      <c r="V151" s="259">
        <f t="shared" si="102"/>
        <v>1581</v>
      </c>
      <c r="W151" s="259">
        <f t="shared" si="102"/>
        <v>1216</v>
      </c>
      <c r="X151" s="259">
        <f t="shared" si="102"/>
        <v>851</v>
      </c>
      <c r="Y151" s="259">
        <f t="shared" si="102"/>
        <v>485</v>
      </c>
      <c r="Z151" s="259">
        <f t="shared" si="102"/>
        <v>120</v>
      </c>
      <c r="AA151" s="267">
        <f>(VLOOKUP(A151,Hshldprojections2014!$A$2:$AW$319,40, FALSE)-VLOOKUP(A151,Hshldprojections2014!$A$2:$AW$319,30, FALSE))/10</f>
        <v>372.1</v>
      </c>
      <c r="AB151" s="267">
        <f>(VLOOKUP(A151,Hshldprojections2014!$A$2:$AW$319,41, FALSE)-VLOOKUP(A151,Hshldprojections2014!$A$2:$AW$319,31, FALSE))/10</f>
        <v>370.8</v>
      </c>
      <c r="AC151" s="267">
        <f>(VLOOKUP(A151,Hshldprojections2014!$A$2:$AW$319,42, FALSE)-VLOOKUP(A151,Hshldprojections2014!$A$2:$AW$319,32, FALSE))/10</f>
        <v>371.6</v>
      </c>
      <c r="AD151" s="267">
        <f>IF(IndividualLATest!$J$7=2014,(VLOOKUP($A151,Hshldprojections2014!$A$2:$AY$326,43,FALSE)-VLOOKUP($A151,Hshldprojections2014!$A$2:$AY$326,33,FALSE))/10,IF(IndividualLATest!$J$7=2016,(VLOOKUP($A151,Hshldprojections2016!$A$1:$AQ$322,33,FALSE)-VLOOKUP($A151,Hshldprojections2016!$A$1:$AQ$322,23,FALSE))/10,(VLOOKUP($A151,Hshldprojections2018!$A$1:$AQ$327,33,FALSE)-VLOOKUP($A151,Hshldprojections2018!$A$1:$AQ$327,23,FALSE))/10))</f>
        <v>346.7</v>
      </c>
      <c r="AE151" s="267">
        <f>IF(IndividualLATest!$J$7=2014,(VLOOKUP($A151,Hshldprojections2014!$A$2:$AY$326,44,FALSE)-VLOOKUP($A151,Hshldprojections2014!$A$2:$AY$326,34,FALSE))/10,IF(IndividualLATest!$J$7=2016,(VLOOKUP($A151,Hshldprojections2016!$A$1:$AQ$322,34,FALSE)-VLOOKUP($A151,Hshldprojections2016!$A$1:$AQ$322,24,FALSE))/10,(VLOOKUP($A151,Hshldprojections2018!$A$1:$AQ$327,34,FALSE)-VLOOKUP($A151,Hshldprojections2018!$A$1:$AQ$327,24,FALSE))/10))</f>
        <v>344.5</v>
      </c>
      <c r="AF151" s="267">
        <f>IF(IndividualLATest!$J$7=2014,(VLOOKUP($A151,Hshldprojections2014!$A$2:$AY$326,45,FALSE)-VLOOKUP($A151,Hshldprojections2014!$A$2:$AY$326,35,FALSE))/10,IF(IndividualLATest!$J$7=2016,(VLOOKUP($A151,Hshldprojections2016!$A$1:$AQ$322,35,FALSE)-VLOOKUP($A151,Hshldprojections2016!$A$1:$AQ$322,25,FALSE))/10,(VLOOKUP($A151,Hshldprojections2018!$A$1:$AQ$327,35,FALSE)-VLOOKUP($A151,Hshldprojections2018!$A$1:$AQ$327,25,FALSE))/10))</f>
        <v>343.6</v>
      </c>
      <c r="AG151" s="267">
        <f>IF(IndividualLATest!$J$7=2014,(VLOOKUP($A151,Hshldprojections2014!$A$2:$AY$326,46,FALSE)-VLOOKUP($A151,Hshldprojections2014!$A$2:$AY$326,36,FALSE))/10,IF(IndividualLATest!$J$7=2016,(VLOOKUP($A151,Hshldprojections2016!$A$1:$AQ$322,36,FALSE)-VLOOKUP($A151,Hshldprojections2016!$A$1:$AQ$322,26,FALSE))/10,(VLOOKUP($A151,Hshldprojections2018!$A$1:$AQ$327,36,FALSE)-VLOOKUP($A151,Hshldprojections2018!$A$1:$AQ$327,26,FALSE))/10))</f>
        <v>338.5</v>
      </c>
      <c r="AH151" s="267">
        <f>IF(IndividualLATest!$J$7=2014,(VLOOKUP($A151,Hshldprojections2014!$A$2:$AY$326,47,FALSE)-VLOOKUP($A151,Hshldprojections2014!$A$2:$AY$326,37,FALSE))/10,IF(IndividualLATest!$J$7=2016,(VLOOKUP($A151,Hshldprojections2016!$A$1:$AQ$322,37,FALSE)-VLOOKUP($A151,Hshldprojections2016!$A$1:$AQ$322,27,FALSE))/10,(VLOOKUP($A151,Hshldprojections2018!$A$1:$AQ$327,37,FALSE)-VLOOKUP($A151,Hshldprojections2018!$A$1:$AQ$327,27,FALSE))/10))</f>
        <v>333.8</v>
      </c>
      <c r="AI151" s="268">
        <f>IF(ISNUMBER('Sensitivity Tests'!$C$30),'Sensitivity Tests'!$C$30,VLOOKUP($A151,AffordabilityRatio!$A$2:$I$321,5,FALSE))</f>
        <v>5.42</v>
      </c>
      <c r="AJ151" s="268">
        <f>IF(ISNUMBER('Sensitivity Tests'!$C$30),'Sensitivity Tests'!$C$30,VLOOKUP($A151,AffordabilityRatio!$A$2:$I$321,6,FALSE))</f>
        <v>5.72</v>
      </c>
      <c r="AK151" s="268">
        <f>IF(ISNUMBER('Sensitivity Tests'!$C$30),'Sensitivity Tests'!$C$30,VLOOKUP($A151,AffordabilityRatio!$A$2:$I$321,7,FALSE))</f>
        <v>5.67</v>
      </c>
      <c r="AL151" s="268">
        <f>IF(ISNUMBER('Sensitivity Tests'!$C$30),'Sensitivity Tests'!$C$30,IF((VLOOKUP($A151,AffordabilityRatio!$A$2:$I$321,8,FALSE))="",AK151,VLOOKUP($A151,AffordabilityRatio!$A$2:$I$321,8,FALSE)))</f>
        <v>5.43</v>
      </c>
      <c r="AM151" s="268">
        <f>IF(ISNUMBER('Sensitivity Tests'!$C$30),'Sensitivity Tests'!$C$30,IF((VLOOKUP($A151,AffordabilityRatio!$A$2:$I$321,9,FALSE))="",AL151,VLOOKUP($A151,AffordabilityRatio!$A$2:$I$321,9,FALSE)))</f>
        <v>6.34</v>
      </c>
      <c r="AN151" s="268">
        <f>IF(ISNUMBER('Sensitivity Tests'!$C$30),'Sensitivity Tests'!$C$30,IF((VLOOKUP($A151,AffordabilityRatio!$A$2:$I$321,9,FALSE))="",AM151,VLOOKUP($A151,AffordabilityRatio!$A$2:$I$321,9,FALSE)))</f>
        <v>6.34</v>
      </c>
      <c r="AO151" s="268">
        <f>IF(ISNUMBER('Sensitivity Tests'!$C$30),'Sensitivity Tests'!$C$30,IF((VLOOKUP($A151,AffordabilityRatio!$A$2:$I$321,9,FALSE))="",AN151,VLOOKUP($A151,AffordabilityRatio!$A$2:$I$321,9,FALSE)))</f>
        <v>6.34</v>
      </c>
      <c r="AP151" s="268">
        <f>IF(ISNUMBER('Sensitivity Tests'!$C$30),'Sensitivity Tests'!$C$30,IF((VLOOKUP($A151,AffordabilityRatio!$A$2:$I$321,9,FALSE))="",AO151,VLOOKUP($A151,AffordabilityRatio!$A$2:$I$321,9,FALSE)))</f>
        <v>6.34</v>
      </c>
      <c r="AQ151" s="267">
        <f t="shared" si="104"/>
        <v>405</v>
      </c>
      <c r="AR151" s="267">
        <f t="shared" si="104"/>
        <v>411</v>
      </c>
      <c r="AS151" s="267">
        <f t="shared" si="104"/>
        <v>410</v>
      </c>
      <c r="AT151" s="267">
        <f t="shared" si="103"/>
        <v>378</v>
      </c>
      <c r="AU151" s="267">
        <f t="shared" si="103"/>
        <v>395</v>
      </c>
      <c r="AV151" s="267">
        <f t="shared" si="103"/>
        <v>394</v>
      </c>
      <c r="AW151" s="267">
        <f t="shared" si="103"/>
        <v>388</v>
      </c>
      <c r="AX151" s="267">
        <f t="shared" si="103"/>
        <v>383</v>
      </c>
      <c r="AY151" s="267">
        <f t="shared" si="122"/>
        <v>405</v>
      </c>
      <c r="AZ151" s="267">
        <f t="shared" si="123"/>
        <v>411</v>
      </c>
      <c r="BA151" s="267">
        <f t="shared" si="124"/>
        <v>410</v>
      </c>
      <c r="BB151" s="267">
        <f t="shared" si="125"/>
        <v>378</v>
      </c>
      <c r="BC151" s="267">
        <f t="shared" si="126"/>
        <v>395</v>
      </c>
      <c r="BD151" s="267">
        <f t="shared" si="127"/>
        <v>394</v>
      </c>
      <c r="BE151" s="267">
        <f t="shared" si="128"/>
        <v>388</v>
      </c>
      <c r="BF151" s="267">
        <f t="shared" si="129"/>
        <v>383</v>
      </c>
      <c r="BG151" s="269">
        <f>AY151*VLOOKUP($B151,'Major Cities &amp; Towns'!$A$28:$B$345,2,FALSE)</f>
        <v>405</v>
      </c>
      <c r="BH151" s="269">
        <f>AZ151*VLOOKUP($B151,'Major Cities &amp; Towns'!$A$28:$B$345,2,FALSE)</f>
        <v>411</v>
      </c>
      <c r="BI151" s="269">
        <f>BA151*VLOOKUP($B151,'Major Cities &amp; Towns'!$A$28:$B$345,2,FALSE)</f>
        <v>410</v>
      </c>
      <c r="BJ151" s="269">
        <f>BB151*VLOOKUP($B151,'Major Cities &amp; Towns'!$A$28:$B$345,2,FALSE)</f>
        <v>378</v>
      </c>
      <c r="BK151" s="269">
        <f>BC151*VLOOKUP($B151,'Major Cities &amp; Towns'!$A$28:$B$345,2,FALSE)</f>
        <v>395</v>
      </c>
      <c r="BL151" s="269">
        <f>BD151*VLOOKUP($B151,'Major Cities &amp; Towns'!$A$28:$B$345,2,FALSE)</f>
        <v>394</v>
      </c>
      <c r="BM151" s="269">
        <f>BE151*VLOOKUP($B151,'Major Cities &amp; Towns'!$A$28:$B$345,2,FALSE)</f>
        <v>388</v>
      </c>
      <c r="BN151" s="269">
        <f>BF151*VLOOKUP($B151,'Major Cities &amp; Towns'!$A$28:$B$345,2,FALSE)</f>
        <v>383</v>
      </c>
      <c r="BO151" s="270">
        <f t="shared" si="130"/>
        <v>405</v>
      </c>
      <c r="BP151" s="270">
        <f t="shared" si="147"/>
        <v>411</v>
      </c>
      <c r="BQ151" s="270">
        <f t="shared" si="147"/>
        <v>410</v>
      </c>
      <c r="BR151" s="270">
        <f t="shared" si="147"/>
        <v>378</v>
      </c>
      <c r="BS151" s="270">
        <f t="shared" si="146"/>
        <v>395</v>
      </c>
      <c r="BT151" s="270">
        <f t="shared" si="146"/>
        <v>394</v>
      </c>
      <c r="BU151" s="270">
        <f t="shared" si="146"/>
        <v>388</v>
      </c>
      <c r="BV151" s="270">
        <f t="shared" si="99"/>
        <v>383</v>
      </c>
      <c r="BW151" s="39">
        <f>VLOOKUP($A151,NetAdditions!$A$2:$H$336,6,FALSE)</f>
        <v>303</v>
      </c>
      <c r="BX151" s="39">
        <f>VLOOKUP($A151,NetAdditions!$A$2:$H$336,7,FALSE)</f>
        <v>701</v>
      </c>
      <c r="BY151" s="39">
        <f>IF((VLOOKUP($C151,NetAdditions!$A$2:$H$336,8,FALSE))="",(AVERAGE(VLOOKUP($C151,NetAdditions!$A$2:$H$336,5,FALSE),VLOOKUP($C151,NetAdditions!$A$2:$H$336,6,FALSE),VLOOKUP($C151,NetAdditions!$A$2:$H$336,7,FALSE))),VLOOKUP($C151,NetAdditions!$A$2:$H$336,8,FALSE))</f>
        <v>430</v>
      </c>
      <c r="BZ151" s="39">
        <f t="shared" si="105"/>
        <v>478</v>
      </c>
      <c r="CA151" s="39">
        <f t="shared" si="105"/>
        <v>536.33333333333337</v>
      </c>
      <c r="CB151" s="39">
        <f t="shared" si="105"/>
        <v>481.44444444444451</v>
      </c>
      <c r="CC151" s="39">
        <f t="shared" si="105"/>
        <v>498.59259259259261</v>
      </c>
      <c r="CD151" s="39">
        <f t="shared" si="105"/>
        <v>505.45679012345681</v>
      </c>
      <c r="CE151" s="276">
        <f t="shared" si="106"/>
        <v>1226</v>
      </c>
      <c r="CF151" s="276">
        <f t="shared" si="107"/>
        <v>1199</v>
      </c>
      <c r="CG151" s="276">
        <f t="shared" si="108"/>
        <v>1183</v>
      </c>
      <c r="CH151" s="276">
        <f t="shared" si="109"/>
        <v>1167</v>
      </c>
      <c r="CI151" s="276">
        <f t="shared" si="110"/>
        <v>1177</v>
      </c>
      <c r="CJ151" s="276">
        <f t="shared" si="111"/>
        <v>1165</v>
      </c>
      <c r="CK151" s="276">
        <f t="shared" si="131"/>
        <v>1055.7222222222222</v>
      </c>
      <c r="CL151" s="276">
        <f t="shared" si="132"/>
        <v>1032.4722222222222</v>
      </c>
      <c r="CM151" s="276">
        <f t="shared" si="133"/>
        <v>1084.4166666666665</v>
      </c>
      <c r="CN151" s="276">
        <f t="shared" si="134"/>
        <v>1167</v>
      </c>
      <c r="CO151" s="276">
        <f t="shared" si="134"/>
        <v>1177</v>
      </c>
      <c r="CP151" s="276">
        <f t="shared" si="134"/>
        <v>1165</v>
      </c>
      <c r="CQ151" s="39">
        <f t="shared" si="112"/>
        <v>1434</v>
      </c>
      <c r="CR151" s="39">
        <f t="shared" si="113"/>
        <v>1609</v>
      </c>
      <c r="CS151" s="277">
        <f t="shared" si="114"/>
        <v>1444.3333333333335</v>
      </c>
      <c r="CT151" s="39">
        <f t="shared" si="115"/>
        <v>1495.7777777777778</v>
      </c>
      <c r="CU151" s="39">
        <f t="shared" si="116"/>
        <v>1516.3703703703704</v>
      </c>
      <c r="CV151" s="39">
        <f t="shared" si="117"/>
        <v>1485.493827160494</v>
      </c>
      <c r="CW151" s="297">
        <f t="shared" si="118"/>
        <v>1.3583118454980794</v>
      </c>
      <c r="CX151" s="279" t="str">
        <f t="shared" si="135"/>
        <v>Pass</v>
      </c>
      <c r="CY151" s="278">
        <f t="shared" si="119"/>
        <v>1.5583954370577633</v>
      </c>
      <c r="CZ151" s="279" t="str">
        <f t="shared" si="136"/>
        <v>Pass</v>
      </c>
      <c r="DA151" s="278">
        <f t="shared" si="120"/>
        <v>1.3318988703604091</v>
      </c>
      <c r="DB151" s="292" t="str">
        <f t="shared" si="137"/>
        <v>Pass</v>
      </c>
      <c r="DC151" s="299">
        <f t="shared" si="138"/>
        <v>1.2817290298010093</v>
      </c>
      <c r="DD151" s="293" t="str">
        <f t="shared" si="139"/>
        <v>Pass</v>
      </c>
      <c r="DE151" s="299">
        <f t="shared" si="140"/>
        <v>1.2883350640359987</v>
      </c>
      <c r="DF151" s="293" t="str">
        <f t="shared" si="141"/>
        <v>Pass</v>
      </c>
      <c r="DG151" s="299">
        <f t="shared" si="142"/>
        <v>1.2751019975626559</v>
      </c>
      <c r="DH151" s="293" t="str">
        <f t="shared" si="143"/>
        <v>Pass</v>
      </c>
    </row>
    <row r="152" spans="1:112" ht="15" thickTop="1" thickBot="1">
      <c r="A152" s="38" t="s">
        <v>414</v>
      </c>
      <c r="B152" s="38" t="s">
        <v>415</v>
      </c>
      <c r="C152" s="38" t="s">
        <v>414</v>
      </c>
      <c r="D152" s="38" t="s">
        <v>136</v>
      </c>
      <c r="E152" s="38" t="str">
        <f>VLOOKUP(C152,PoliticalControl!A:K,11,FALSE)</f>
        <v>LAB</v>
      </c>
      <c r="F152" s="38" t="str">
        <f>VLOOKUP(C152,UrbanRuralClassification!A:N,13,FALSE)</f>
        <v>Urban with Major Conurbation</v>
      </c>
      <c r="G152" s="38" t="str">
        <f>VLOOKUP(C152,UrbanRuralClassification!A:N,14,FALSE)</f>
        <v>Predominantly Urban</v>
      </c>
      <c r="H152" s="258">
        <f>IF(ISBLANK((VLOOKUP($A152,'local-plan-data'!$C$1:$AD$566,27,FALSE)))=TRUE,"",VLOOKUP($A152,'local-plan-data'!$C$1:$AD$566,27,FALSE))</f>
        <v>41955</v>
      </c>
      <c r="I152" s="259">
        <f>VLOOKUP($A152,'local-plan-data'!$C$1:$AD$566,28,FALSE)</f>
        <v>4375</v>
      </c>
      <c r="J152" s="260">
        <f t="shared" si="121"/>
        <v>4375</v>
      </c>
      <c r="K152" s="259">
        <f t="shared" si="144"/>
        <v>4375</v>
      </c>
      <c r="L152" s="259">
        <f t="shared" si="101"/>
        <v>4375</v>
      </c>
      <c r="M152" s="259" t="str">
        <f t="shared" si="101"/>
        <v>-</v>
      </c>
      <c r="N152" s="259" t="str">
        <f t="shared" si="101"/>
        <v>-</v>
      </c>
      <c r="O152" s="259" t="str">
        <f t="shared" si="101"/>
        <v>-</v>
      </c>
      <c r="P152" s="259" t="str">
        <f t="shared" si="101"/>
        <v>-</v>
      </c>
      <c r="Q152" s="259" t="str">
        <f t="shared" si="101"/>
        <v>-</v>
      </c>
      <c r="R152" s="259" t="str">
        <f t="shared" si="101"/>
        <v>-</v>
      </c>
      <c r="S152" s="259">
        <f t="shared" si="145"/>
        <v>590</v>
      </c>
      <c r="T152" s="259">
        <f t="shared" si="102"/>
        <v>225</v>
      </c>
      <c r="U152" s="259">
        <f t="shared" si="102"/>
        <v>-141</v>
      </c>
      <c r="V152" s="259">
        <f t="shared" si="102"/>
        <v>-506</v>
      </c>
      <c r="W152" s="259">
        <f t="shared" si="102"/>
        <v>-871</v>
      </c>
      <c r="X152" s="259">
        <f t="shared" si="102"/>
        <v>-1236</v>
      </c>
      <c r="Y152" s="259">
        <f t="shared" si="102"/>
        <v>-1602</v>
      </c>
      <c r="Z152" s="259">
        <f t="shared" si="102"/>
        <v>-1967</v>
      </c>
      <c r="AA152" s="267">
        <f>(VLOOKUP(A152,Hshldprojections2014!$A$2:$AW$319,40, FALSE)-VLOOKUP(A152,Hshldprojections2014!$A$2:$AW$319,30, FALSE))/10</f>
        <v>2397.9</v>
      </c>
      <c r="AB152" s="267">
        <f>(VLOOKUP(A152,Hshldprojections2014!$A$2:$AW$319,41, FALSE)-VLOOKUP(A152,Hshldprojections2014!$A$2:$AW$319,31, FALSE))/10</f>
        <v>2422.8000000000002</v>
      </c>
      <c r="AC152" s="267">
        <f>(VLOOKUP(A152,Hshldprojections2014!$A$2:$AW$319,42, FALSE)-VLOOKUP(A152,Hshldprojections2014!$A$2:$AW$319,32, FALSE))/10</f>
        <v>2456.9</v>
      </c>
      <c r="AD152" s="267">
        <f>IF(IndividualLATest!$J$7=2014,(VLOOKUP($A152,Hshldprojections2014!$A$2:$AY$326,43,FALSE)-VLOOKUP($A152,Hshldprojections2014!$A$2:$AY$326,33,FALSE))/10,IF(IndividualLATest!$J$7=2016,(VLOOKUP($A152,Hshldprojections2016!$A$1:$AQ$322,33,FALSE)-VLOOKUP($A152,Hshldprojections2016!$A$1:$AQ$322,23,FALSE))/10,(VLOOKUP($A152,Hshldprojections2018!$A$1:$AQ$327,33,FALSE)-VLOOKUP($A152,Hshldprojections2018!$A$1:$AQ$327,23,FALSE))/10))</f>
        <v>994</v>
      </c>
      <c r="AE152" s="267">
        <f>IF(IndividualLATest!$J$7=2014,(VLOOKUP($A152,Hshldprojections2014!$A$2:$AY$326,44,FALSE)-VLOOKUP($A152,Hshldprojections2014!$A$2:$AY$326,34,FALSE))/10,IF(IndividualLATest!$J$7=2016,(VLOOKUP($A152,Hshldprojections2016!$A$1:$AQ$322,34,FALSE)-VLOOKUP($A152,Hshldprojections2016!$A$1:$AQ$322,24,FALSE))/10,(VLOOKUP($A152,Hshldprojections2018!$A$1:$AQ$327,34,FALSE)-VLOOKUP($A152,Hshldprojections2018!$A$1:$AQ$327,24,FALSE))/10))</f>
        <v>1038.2</v>
      </c>
      <c r="AF152" s="267">
        <f>IF(IndividualLATest!$J$7=2014,(VLOOKUP($A152,Hshldprojections2014!$A$2:$AY$326,45,FALSE)-VLOOKUP($A152,Hshldprojections2014!$A$2:$AY$326,35,FALSE))/10,IF(IndividualLATest!$J$7=2016,(VLOOKUP($A152,Hshldprojections2016!$A$1:$AQ$322,35,FALSE)-VLOOKUP($A152,Hshldprojections2016!$A$1:$AQ$322,25,FALSE))/10,(VLOOKUP($A152,Hshldprojections2018!$A$1:$AQ$327,35,FALSE)-VLOOKUP($A152,Hshldprojections2018!$A$1:$AQ$327,25,FALSE))/10))</f>
        <v>1084.4000000000001</v>
      </c>
      <c r="AG152" s="267">
        <f>IF(IndividualLATest!$J$7=2014,(VLOOKUP($A152,Hshldprojections2014!$A$2:$AY$326,46,FALSE)-VLOOKUP($A152,Hshldprojections2014!$A$2:$AY$326,36,FALSE))/10,IF(IndividualLATest!$J$7=2016,(VLOOKUP($A152,Hshldprojections2016!$A$1:$AQ$322,36,FALSE)-VLOOKUP($A152,Hshldprojections2016!$A$1:$AQ$322,26,FALSE))/10,(VLOOKUP($A152,Hshldprojections2018!$A$1:$AQ$327,36,FALSE)-VLOOKUP($A152,Hshldprojections2018!$A$1:$AQ$327,26,FALSE))/10))</f>
        <v>1122.8</v>
      </c>
      <c r="AH152" s="267">
        <f>IF(IndividualLATest!$J$7=2014,(VLOOKUP($A152,Hshldprojections2014!$A$2:$AY$326,47,FALSE)-VLOOKUP($A152,Hshldprojections2014!$A$2:$AY$326,37,FALSE))/10,IF(IndividualLATest!$J$7=2016,(VLOOKUP($A152,Hshldprojections2016!$A$1:$AQ$322,37,FALSE)-VLOOKUP($A152,Hshldprojections2016!$A$1:$AQ$322,27,FALSE))/10,(VLOOKUP($A152,Hshldprojections2018!$A$1:$AQ$327,37,FALSE)-VLOOKUP($A152,Hshldprojections2018!$A$1:$AQ$327,27,FALSE))/10))</f>
        <v>1163.5999999999999</v>
      </c>
      <c r="AI152" s="268">
        <f>IF(ISNUMBER('Sensitivity Tests'!$C$30),'Sensitivity Tests'!$C$30,VLOOKUP($A152,AffordabilityRatio!$A$2:$I$321,5,FALSE))</f>
        <v>6</v>
      </c>
      <c r="AJ152" s="268">
        <f>IF(ISNUMBER('Sensitivity Tests'!$C$30),'Sensitivity Tests'!$C$30,VLOOKUP($A152,AffordabilityRatio!$A$2:$I$321,6,FALSE))</f>
        <v>6.24</v>
      </c>
      <c r="AK152" s="268">
        <f>IF(ISNUMBER('Sensitivity Tests'!$C$30),'Sensitivity Tests'!$C$30,VLOOKUP($A152,AffordabilityRatio!$A$2:$I$321,7,FALSE))</f>
        <v>6.14</v>
      </c>
      <c r="AL152" s="268">
        <f>IF(ISNUMBER('Sensitivity Tests'!$C$30),'Sensitivity Tests'!$C$30,IF((VLOOKUP($A152,AffordabilityRatio!$A$2:$I$321,8,FALSE))="",AK152,VLOOKUP($A152,AffordabilityRatio!$A$2:$I$321,8,FALSE)))</f>
        <v>6.36</v>
      </c>
      <c r="AM152" s="268">
        <f>IF(ISNUMBER('Sensitivity Tests'!$C$30),'Sensitivity Tests'!$C$30,IF((VLOOKUP($A152,AffordabilityRatio!$A$2:$I$321,9,FALSE))="",AL152,VLOOKUP($A152,AffordabilityRatio!$A$2:$I$321,9,FALSE)))</f>
        <v>7.08</v>
      </c>
      <c r="AN152" s="268">
        <f>IF(ISNUMBER('Sensitivity Tests'!$C$30),'Sensitivity Tests'!$C$30,IF((VLOOKUP($A152,AffordabilityRatio!$A$2:$I$321,9,FALSE))="",AM152,VLOOKUP($A152,AffordabilityRatio!$A$2:$I$321,9,FALSE)))</f>
        <v>7.08</v>
      </c>
      <c r="AO152" s="268">
        <f>IF(ISNUMBER('Sensitivity Tests'!$C$30),'Sensitivity Tests'!$C$30,IF((VLOOKUP($A152,AffordabilityRatio!$A$2:$I$321,9,FALSE))="",AN152,VLOOKUP($A152,AffordabilityRatio!$A$2:$I$321,9,FALSE)))</f>
        <v>7.08</v>
      </c>
      <c r="AP152" s="268">
        <f>IF(ISNUMBER('Sensitivity Tests'!$C$30),'Sensitivity Tests'!$C$30,IF((VLOOKUP($A152,AffordabilityRatio!$A$2:$I$321,9,FALSE))="",AO152,VLOOKUP($A152,AffordabilityRatio!$A$2:$I$321,9,FALSE)))</f>
        <v>7.08</v>
      </c>
      <c r="AQ152" s="267">
        <f t="shared" si="104"/>
        <v>2698</v>
      </c>
      <c r="AR152" s="267">
        <f t="shared" si="104"/>
        <v>2762</v>
      </c>
      <c r="AS152" s="267">
        <f t="shared" si="104"/>
        <v>2786</v>
      </c>
      <c r="AT152" s="267">
        <f t="shared" si="103"/>
        <v>1141</v>
      </c>
      <c r="AU152" s="267">
        <f t="shared" si="103"/>
        <v>1238</v>
      </c>
      <c r="AV152" s="267">
        <f t="shared" si="103"/>
        <v>1293</v>
      </c>
      <c r="AW152" s="267">
        <f t="shared" si="103"/>
        <v>1339</v>
      </c>
      <c r="AX152" s="267">
        <f t="shared" si="103"/>
        <v>1388</v>
      </c>
      <c r="AY152" s="267">
        <f t="shared" si="122"/>
        <v>2698</v>
      </c>
      <c r="AZ152" s="267">
        <f t="shared" si="123"/>
        <v>2762</v>
      </c>
      <c r="BA152" s="267">
        <f t="shared" si="124"/>
        <v>2786</v>
      </c>
      <c r="BB152" s="267">
        <f t="shared" si="125"/>
        <v>1141</v>
      </c>
      <c r="BC152" s="267">
        <f t="shared" si="126"/>
        <v>1238</v>
      </c>
      <c r="BD152" s="267">
        <f t="shared" si="127"/>
        <v>1293</v>
      </c>
      <c r="BE152" s="267">
        <f t="shared" si="128"/>
        <v>1339</v>
      </c>
      <c r="BF152" s="267">
        <f t="shared" si="129"/>
        <v>1388</v>
      </c>
      <c r="BG152" s="269">
        <f>AY152*VLOOKUP($B152,'Major Cities &amp; Towns'!$A$28:$B$345,2,FALSE)</f>
        <v>3642.3</v>
      </c>
      <c r="BH152" s="269">
        <f>AZ152*VLOOKUP($B152,'Major Cities &amp; Towns'!$A$28:$B$345,2,FALSE)</f>
        <v>3728.7000000000003</v>
      </c>
      <c r="BI152" s="269">
        <f>BA152*VLOOKUP($B152,'Major Cities &amp; Towns'!$A$28:$B$345,2,FALSE)</f>
        <v>3761.1000000000004</v>
      </c>
      <c r="BJ152" s="269">
        <f>BB152*VLOOKUP($B152,'Major Cities &amp; Towns'!$A$28:$B$345,2,FALSE)</f>
        <v>1540.3500000000001</v>
      </c>
      <c r="BK152" s="269">
        <f>BC152*VLOOKUP($B152,'Major Cities &amp; Towns'!$A$28:$B$345,2,FALSE)</f>
        <v>1671.3000000000002</v>
      </c>
      <c r="BL152" s="269">
        <f>BD152*VLOOKUP($B152,'Major Cities &amp; Towns'!$A$28:$B$345,2,FALSE)</f>
        <v>1745.5500000000002</v>
      </c>
      <c r="BM152" s="269">
        <f>BE152*VLOOKUP($B152,'Major Cities &amp; Towns'!$A$28:$B$345,2,FALSE)</f>
        <v>1807.65</v>
      </c>
      <c r="BN152" s="269">
        <f>BF152*VLOOKUP($B152,'Major Cities &amp; Towns'!$A$28:$B$345,2,FALSE)</f>
        <v>1873.8000000000002</v>
      </c>
      <c r="BO152" s="270">
        <f t="shared" si="130"/>
        <v>2698</v>
      </c>
      <c r="BP152" s="270">
        <f t="shared" si="147"/>
        <v>3357.91095890411</v>
      </c>
      <c r="BQ152" s="270">
        <f t="shared" si="147"/>
        <v>2786</v>
      </c>
      <c r="BR152" s="270">
        <f t="shared" si="147"/>
        <v>1141</v>
      </c>
      <c r="BS152" s="270">
        <f t="shared" si="146"/>
        <v>1238</v>
      </c>
      <c r="BT152" s="270">
        <f t="shared" si="146"/>
        <v>1293</v>
      </c>
      <c r="BU152" s="270">
        <f t="shared" si="146"/>
        <v>1339</v>
      </c>
      <c r="BV152" s="270">
        <f t="shared" si="99"/>
        <v>1388</v>
      </c>
      <c r="BW152" s="39">
        <f>VLOOKUP($A152,NetAdditions!$A$2:$H$336,6,FALSE)</f>
        <v>3427</v>
      </c>
      <c r="BX152" s="39">
        <f>VLOOKUP($A152,NetAdditions!$A$2:$H$336,7,FALSE)</f>
        <v>3333</v>
      </c>
      <c r="BY152" s="39">
        <f>IF((VLOOKUP($C152,NetAdditions!$A$2:$H$336,8,FALSE))="",(AVERAGE(VLOOKUP($C152,NetAdditions!$A$2:$H$336,5,FALSE),VLOOKUP($C152,NetAdditions!$A$2:$H$336,6,FALSE),VLOOKUP($C152,NetAdditions!$A$2:$H$336,7,FALSE))),VLOOKUP($C152,NetAdditions!$A$2:$H$336,8,FALSE))</f>
        <v>2950</v>
      </c>
      <c r="BZ152" s="39">
        <f t="shared" si="105"/>
        <v>3236.6666666666665</v>
      </c>
      <c r="CA152" s="39">
        <f t="shared" si="105"/>
        <v>3173.2222222222222</v>
      </c>
      <c r="CB152" s="39">
        <f t="shared" si="105"/>
        <v>3119.962962962963</v>
      </c>
      <c r="CC152" s="39">
        <f t="shared" si="105"/>
        <v>3176.6172839506175</v>
      </c>
      <c r="CD152" s="39">
        <f t="shared" si="105"/>
        <v>3156.6008230452676</v>
      </c>
      <c r="CE152" s="276">
        <f t="shared" si="106"/>
        <v>8841.9109589041109</v>
      </c>
      <c r="CF152" s="276">
        <f t="shared" si="107"/>
        <v>7284.91095890411</v>
      </c>
      <c r="CG152" s="276">
        <f t="shared" si="108"/>
        <v>5165</v>
      </c>
      <c r="CH152" s="276">
        <f t="shared" si="109"/>
        <v>3672</v>
      </c>
      <c r="CI152" s="276">
        <f t="shared" si="110"/>
        <v>3870</v>
      </c>
      <c r="CJ152" s="276">
        <f t="shared" si="111"/>
        <v>4020</v>
      </c>
      <c r="CK152" s="276">
        <f t="shared" si="131"/>
        <v>7613.8677701674296</v>
      </c>
      <c r="CL152" s="276">
        <f t="shared" si="132"/>
        <v>6273.1177701674287</v>
      </c>
      <c r="CM152" s="276">
        <f t="shared" si="133"/>
        <v>4734.583333333333</v>
      </c>
      <c r="CN152" s="276">
        <f t="shared" si="134"/>
        <v>3672</v>
      </c>
      <c r="CO152" s="276">
        <f t="shared" si="134"/>
        <v>3870</v>
      </c>
      <c r="CP152" s="276">
        <f t="shared" si="134"/>
        <v>4020</v>
      </c>
      <c r="CQ152" s="39">
        <f t="shared" si="112"/>
        <v>9710</v>
      </c>
      <c r="CR152" s="39">
        <f t="shared" si="113"/>
        <v>9519.6666666666661</v>
      </c>
      <c r="CS152" s="277">
        <f t="shared" si="114"/>
        <v>9359.8888888888887</v>
      </c>
      <c r="CT152" s="39">
        <f t="shared" si="115"/>
        <v>9529.8518518518522</v>
      </c>
      <c r="CU152" s="39">
        <f t="shared" si="116"/>
        <v>9469.8024691358023</v>
      </c>
      <c r="CV152" s="39">
        <f t="shared" si="117"/>
        <v>9453.1810699588477</v>
      </c>
      <c r="CW152" s="297">
        <f t="shared" si="118"/>
        <v>1.2753045223671484</v>
      </c>
      <c r="CX152" s="279" t="str">
        <f t="shared" si="135"/>
        <v>Pass</v>
      </c>
      <c r="CY152" s="278">
        <f t="shared" si="119"/>
        <v>1.5175335479812915</v>
      </c>
      <c r="CZ152" s="279" t="str">
        <f t="shared" si="136"/>
        <v>Pass</v>
      </c>
      <c r="DA152" s="278">
        <f t="shared" si="120"/>
        <v>1.9769192408108189</v>
      </c>
      <c r="DB152" s="292" t="str">
        <f t="shared" si="137"/>
        <v>Pass</v>
      </c>
      <c r="DC152" s="299">
        <f t="shared" si="138"/>
        <v>2.5952755587831842</v>
      </c>
      <c r="DD152" s="293" t="str">
        <f t="shared" si="139"/>
        <v>Pass</v>
      </c>
      <c r="DE152" s="299">
        <f t="shared" si="140"/>
        <v>2.4469773822056338</v>
      </c>
      <c r="DF152" s="293" t="str">
        <f t="shared" si="141"/>
        <v>Pass</v>
      </c>
      <c r="DG152" s="299">
        <f t="shared" si="142"/>
        <v>2.3515375795917532</v>
      </c>
      <c r="DH152" s="293" t="str">
        <f t="shared" si="143"/>
        <v>Pass</v>
      </c>
    </row>
    <row r="153" spans="1:112" ht="15" thickTop="1" thickBot="1">
      <c r="A153" s="38" t="s">
        <v>416</v>
      </c>
      <c r="B153" s="38" t="s">
        <v>417</v>
      </c>
      <c r="C153" s="38" t="s">
        <v>416</v>
      </c>
      <c r="D153" s="38" t="s">
        <v>119</v>
      </c>
      <c r="E153" s="38" t="str">
        <f>VLOOKUP(C153,PoliticalControl!A:K,11,FALSE)</f>
        <v>LAB</v>
      </c>
      <c r="F153" s="38" t="str">
        <f>VLOOKUP(C153,UrbanRuralClassification!A:N,13,FALSE)</f>
        <v>Urban with City and Town</v>
      </c>
      <c r="G153" s="38" t="str">
        <f>VLOOKUP(C153,UrbanRuralClassification!A:N,14,FALSE)</f>
        <v>Predominantly Urban</v>
      </c>
      <c r="H153" s="258">
        <f>IF(ISBLANK((VLOOKUP($A153,'local-plan-data'!$C$1:$AD$566,27,FALSE)))=TRUE,"",VLOOKUP($A153,'local-plan-data'!$C$1:$AD$566,27,FALSE))</f>
        <v>41809</v>
      </c>
      <c r="I153" s="259">
        <f>VLOOKUP($A153,'local-plan-data'!$C$1:$AD$566,28,FALSE)</f>
        <v>1280</v>
      </c>
      <c r="J153" s="260">
        <f t="shared" si="121"/>
        <v>1280</v>
      </c>
      <c r="K153" s="259">
        <f t="shared" si="144"/>
        <v>1280</v>
      </c>
      <c r="L153" s="259">
        <f t="shared" si="101"/>
        <v>1280</v>
      </c>
      <c r="M153" s="259" t="str">
        <f t="shared" si="101"/>
        <v>-</v>
      </c>
      <c r="N153" s="259" t="str">
        <f t="shared" si="101"/>
        <v>-</v>
      </c>
      <c r="O153" s="259" t="str">
        <f t="shared" si="101"/>
        <v>-</v>
      </c>
      <c r="P153" s="259" t="str">
        <f t="shared" si="101"/>
        <v>-</v>
      </c>
      <c r="Q153" s="259" t="str">
        <f t="shared" si="101"/>
        <v>-</v>
      </c>
      <c r="R153" s="259" t="str">
        <f t="shared" si="101"/>
        <v>-</v>
      </c>
      <c r="S153" s="259">
        <f t="shared" si="145"/>
        <v>444</v>
      </c>
      <c r="T153" s="259">
        <f t="shared" si="102"/>
        <v>79</v>
      </c>
      <c r="U153" s="259">
        <f t="shared" si="102"/>
        <v>-287</v>
      </c>
      <c r="V153" s="259">
        <f t="shared" si="102"/>
        <v>-652</v>
      </c>
      <c r="W153" s="259">
        <f t="shared" si="102"/>
        <v>-1017</v>
      </c>
      <c r="X153" s="259">
        <f t="shared" si="102"/>
        <v>-1382</v>
      </c>
      <c r="Y153" s="259">
        <f t="shared" si="102"/>
        <v>-1748</v>
      </c>
      <c r="Z153" s="259">
        <f t="shared" si="102"/>
        <v>-2113</v>
      </c>
      <c r="AA153" s="267">
        <f>(VLOOKUP(A153,Hshldprojections2014!$A$2:$AW$319,40, FALSE)-VLOOKUP(A153,Hshldprojections2014!$A$2:$AW$319,30, FALSE))/10</f>
        <v>1475.6</v>
      </c>
      <c r="AB153" s="267">
        <f>(VLOOKUP(A153,Hshldprojections2014!$A$2:$AW$319,41, FALSE)-VLOOKUP(A153,Hshldprojections2014!$A$2:$AW$319,31, FALSE))/10</f>
        <v>1474.8</v>
      </c>
      <c r="AC153" s="267">
        <f>(VLOOKUP(A153,Hshldprojections2014!$A$2:$AW$319,42, FALSE)-VLOOKUP(A153,Hshldprojections2014!$A$2:$AW$319,32, FALSE))/10</f>
        <v>1473.3</v>
      </c>
      <c r="AD153" s="267">
        <f>IF(IndividualLATest!$J$7=2014,(VLOOKUP($A153,Hshldprojections2014!$A$2:$AY$326,43,FALSE)-VLOOKUP($A153,Hshldprojections2014!$A$2:$AY$326,33,FALSE))/10,IF(IndividualLATest!$J$7=2016,(VLOOKUP($A153,Hshldprojections2016!$A$1:$AQ$322,33,FALSE)-VLOOKUP($A153,Hshldprojections2016!$A$1:$AQ$322,23,FALSE))/10,(VLOOKUP($A153,Hshldprojections2018!$A$1:$AQ$327,33,FALSE)-VLOOKUP($A153,Hshldprojections2018!$A$1:$AQ$327,23,FALSE))/10))</f>
        <v>770.9</v>
      </c>
      <c r="AE153" s="267">
        <f>IF(IndividualLATest!$J$7=2014,(VLOOKUP($A153,Hshldprojections2014!$A$2:$AY$326,44,FALSE)-VLOOKUP($A153,Hshldprojections2014!$A$2:$AY$326,34,FALSE))/10,IF(IndividualLATest!$J$7=2016,(VLOOKUP($A153,Hshldprojections2016!$A$1:$AQ$322,34,FALSE)-VLOOKUP($A153,Hshldprojections2016!$A$1:$AQ$322,24,FALSE))/10,(VLOOKUP($A153,Hshldprojections2018!$A$1:$AQ$327,34,FALSE)-VLOOKUP($A153,Hshldprojections2018!$A$1:$AQ$327,24,FALSE))/10))</f>
        <v>790.2</v>
      </c>
      <c r="AF153" s="267">
        <f>IF(IndividualLATest!$J$7=2014,(VLOOKUP($A153,Hshldprojections2014!$A$2:$AY$326,45,FALSE)-VLOOKUP($A153,Hshldprojections2014!$A$2:$AY$326,35,FALSE))/10,IF(IndividualLATest!$J$7=2016,(VLOOKUP($A153,Hshldprojections2016!$A$1:$AQ$322,35,FALSE)-VLOOKUP($A153,Hshldprojections2016!$A$1:$AQ$322,25,FALSE))/10,(VLOOKUP($A153,Hshldprojections2018!$A$1:$AQ$327,35,FALSE)-VLOOKUP($A153,Hshldprojections2018!$A$1:$AQ$327,25,FALSE))/10))</f>
        <v>798.4</v>
      </c>
      <c r="AG153" s="267">
        <f>IF(IndividualLATest!$J$7=2014,(VLOOKUP($A153,Hshldprojections2014!$A$2:$AY$326,46,FALSE)-VLOOKUP($A153,Hshldprojections2014!$A$2:$AY$326,36,FALSE))/10,IF(IndividualLATest!$J$7=2016,(VLOOKUP($A153,Hshldprojections2016!$A$1:$AQ$322,36,FALSE)-VLOOKUP($A153,Hshldprojections2016!$A$1:$AQ$322,26,FALSE))/10,(VLOOKUP($A153,Hshldprojections2018!$A$1:$AQ$327,36,FALSE)-VLOOKUP($A153,Hshldprojections2018!$A$1:$AQ$327,26,FALSE))/10))</f>
        <v>799.8</v>
      </c>
      <c r="AH153" s="267">
        <f>IF(IndividualLATest!$J$7=2014,(VLOOKUP($A153,Hshldprojections2014!$A$2:$AY$326,47,FALSE)-VLOOKUP($A153,Hshldprojections2014!$A$2:$AY$326,37,FALSE))/10,IF(IndividualLATest!$J$7=2016,(VLOOKUP($A153,Hshldprojections2016!$A$1:$AQ$322,37,FALSE)-VLOOKUP($A153,Hshldprojections2016!$A$1:$AQ$322,27,FALSE))/10,(VLOOKUP($A153,Hshldprojections2018!$A$1:$AQ$327,37,FALSE)-VLOOKUP($A153,Hshldprojections2018!$A$1:$AQ$327,27,FALSE))/10))</f>
        <v>802.2</v>
      </c>
      <c r="AI153" s="268">
        <f>IF(ISNUMBER('Sensitivity Tests'!$C$30),'Sensitivity Tests'!$C$30,VLOOKUP($A153,AffordabilityRatio!$A$2:$I$321,5,FALSE))</f>
        <v>6.03</v>
      </c>
      <c r="AJ153" s="268">
        <f>IF(ISNUMBER('Sensitivity Tests'!$C$30),'Sensitivity Tests'!$C$30,VLOOKUP($A153,AffordabilityRatio!$A$2:$I$321,6,FALSE))</f>
        <v>6.62</v>
      </c>
      <c r="AK153" s="268">
        <f>IF(ISNUMBER('Sensitivity Tests'!$C$30),'Sensitivity Tests'!$C$30,VLOOKUP($A153,AffordabilityRatio!$A$2:$I$321,7,FALSE))</f>
        <v>6.82</v>
      </c>
      <c r="AL153" s="268">
        <f>IF(ISNUMBER('Sensitivity Tests'!$C$30),'Sensitivity Tests'!$C$30,IF((VLOOKUP($A153,AffordabilityRatio!$A$2:$I$321,8,FALSE))="",AK153,VLOOKUP($A153,AffordabilityRatio!$A$2:$I$321,8,FALSE)))</f>
        <v>6.38</v>
      </c>
      <c r="AM153" s="268">
        <f>IF(ISNUMBER('Sensitivity Tests'!$C$30),'Sensitivity Tests'!$C$30,IF((VLOOKUP($A153,AffordabilityRatio!$A$2:$I$321,9,FALSE))="",AL153,VLOOKUP($A153,AffordabilityRatio!$A$2:$I$321,9,FALSE)))</f>
        <v>7.57</v>
      </c>
      <c r="AN153" s="268">
        <f>IF(ISNUMBER('Sensitivity Tests'!$C$30),'Sensitivity Tests'!$C$30,IF((VLOOKUP($A153,AffordabilityRatio!$A$2:$I$321,9,FALSE))="",AM153,VLOOKUP($A153,AffordabilityRatio!$A$2:$I$321,9,FALSE)))</f>
        <v>7.57</v>
      </c>
      <c r="AO153" s="268">
        <f>IF(ISNUMBER('Sensitivity Tests'!$C$30),'Sensitivity Tests'!$C$30,IF((VLOOKUP($A153,AffordabilityRatio!$A$2:$I$321,9,FALSE))="",AN153,VLOOKUP($A153,AffordabilityRatio!$A$2:$I$321,9,FALSE)))</f>
        <v>7.57</v>
      </c>
      <c r="AP153" s="268">
        <f>IF(ISNUMBER('Sensitivity Tests'!$C$30),'Sensitivity Tests'!$C$30,IF((VLOOKUP($A153,AffordabilityRatio!$A$2:$I$321,9,FALSE))="",AO153,VLOOKUP($A153,AffordabilityRatio!$A$2:$I$321,9,FALSE)))</f>
        <v>7.57</v>
      </c>
      <c r="AQ153" s="267">
        <f t="shared" si="104"/>
        <v>1663</v>
      </c>
      <c r="AR153" s="267">
        <f t="shared" si="104"/>
        <v>1716</v>
      </c>
      <c r="AS153" s="267">
        <f t="shared" si="104"/>
        <v>1733</v>
      </c>
      <c r="AT153" s="267">
        <f t="shared" si="103"/>
        <v>886</v>
      </c>
      <c r="AU153" s="267">
        <f t="shared" si="103"/>
        <v>967</v>
      </c>
      <c r="AV153" s="267">
        <f t="shared" si="103"/>
        <v>977</v>
      </c>
      <c r="AW153" s="267">
        <f t="shared" si="103"/>
        <v>978</v>
      </c>
      <c r="AX153" s="267">
        <f t="shared" si="103"/>
        <v>981</v>
      </c>
      <c r="AY153" s="267">
        <f t="shared" si="122"/>
        <v>1663</v>
      </c>
      <c r="AZ153" s="267">
        <f t="shared" si="123"/>
        <v>1716</v>
      </c>
      <c r="BA153" s="267">
        <f t="shared" si="124"/>
        <v>1733</v>
      </c>
      <c r="BB153" s="267">
        <f t="shared" si="125"/>
        <v>886</v>
      </c>
      <c r="BC153" s="267">
        <f t="shared" si="126"/>
        <v>967</v>
      </c>
      <c r="BD153" s="267">
        <f t="shared" si="127"/>
        <v>977</v>
      </c>
      <c r="BE153" s="267">
        <f t="shared" si="128"/>
        <v>978</v>
      </c>
      <c r="BF153" s="267">
        <f t="shared" si="129"/>
        <v>981</v>
      </c>
      <c r="BG153" s="269">
        <f>AY153*VLOOKUP($B153,'Major Cities &amp; Towns'!$A$28:$B$345,2,FALSE)</f>
        <v>2245.0500000000002</v>
      </c>
      <c r="BH153" s="269">
        <f>AZ153*VLOOKUP($B153,'Major Cities &amp; Towns'!$A$28:$B$345,2,FALSE)</f>
        <v>2316.6000000000004</v>
      </c>
      <c r="BI153" s="269">
        <f>BA153*VLOOKUP($B153,'Major Cities &amp; Towns'!$A$28:$B$345,2,FALSE)</f>
        <v>2339.5500000000002</v>
      </c>
      <c r="BJ153" s="269">
        <f>BB153*VLOOKUP($B153,'Major Cities &amp; Towns'!$A$28:$B$345,2,FALSE)</f>
        <v>1196.1000000000001</v>
      </c>
      <c r="BK153" s="269">
        <f>BC153*VLOOKUP($B153,'Major Cities &amp; Towns'!$A$28:$B$345,2,FALSE)</f>
        <v>1305.45</v>
      </c>
      <c r="BL153" s="269">
        <f>BD153*VLOOKUP($B153,'Major Cities &amp; Towns'!$A$28:$B$345,2,FALSE)</f>
        <v>1318.95</v>
      </c>
      <c r="BM153" s="269">
        <f>BE153*VLOOKUP($B153,'Major Cities &amp; Towns'!$A$28:$B$345,2,FALSE)</f>
        <v>1320.3000000000002</v>
      </c>
      <c r="BN153" s="269">
        <f>BF153*VLOOKUP($B153,'Major Cities &amp; Towns'!$A$28:$B$345,2,FALSE)</f>
        <v>1324.3500000000001</v>
      </c>
      <c r="BO153" s="270">
        <f t="shared" si="130"/>
        <v>1280</v>
      </c>
      <c r="BP153" s="270">
        <f t="shared" si="147"/>
        <v>1621.6328767123287</v>
      </c>
      <c r="BQ153" s="270">
        <f t="shared" si="147"/>
        <v>1733</v>
      </c>
      <c r="BR153" s="270">
        <f t="shared" si="147"/>
        <v>886</v>
      </c>
      <c r="BS153" s="270">
        <f t="shared" si="146"/>
        <v>967</v>
      </c>
      <c r="BT153" s="270">
        <f t="shared" si="146"/>
        <v>977</v>
      </c>
      <c r="BU153" s="270">
        <f t="shared" si="146"/>
        <v>978</v>
      </c>
      <c r="BV153" s="270">
        <f t="shared" si="99"/>
        <v>981</v>
      </c>
      <c r="BW153" s="39">
        <f>VLOOKUP($A153,NetAdditions!$A$2:$H$336,6,FALSE)</f>
        <v>1437</v>
      </c>
      <c r="BX153" s="39">
        <f>VLOOKUP($A153,NetAdditions!$A$2:$H$336,7,FALSE)</f>
        <v>1448</v>
      </c>
      <c r="BY153" s="39">
        <f>IF((VLOOKUP($C153,NetAdditions!$A$2:$H$336,8,FALSE))="",(AVERAGE(VLOOKUP($C153,NetAdditions!$A$2:$H$336,5,FALSE),VLOOKUP($C153,NetAdditions!$A$2:$H$336,6,FALSE),VLOOKUP($C153,NetAdditions!$A$2:$H$336,7,FALSE))),VLOOKUP($C153,NetAdditions!$A$2:$H$336,8,FALSE))</f>
        <v>1050</v>
      </c>
      <c r="BZ153" s="39">
        <f t="shared" si="105"/>
        <v>1311.6666666666667</v>
      </c>
      <c r="CA153" s="39">
        <f t="shared" si="105"/>
        <v>1269.8888888888889</v>
      </c>
      <c r="CB153" s="39">
        <f t="shared" si="105"/>
        <v>1210.5185185185185</v>
      </c>
      <c r="CC153" s="39">
        <f t="shared" si="105"/>
        <v>1264.0246913580247</v>
      </c>
      <c r="CD153" s="39">
        <f t="shared" si="105"/>
        <v>1248.1440329218105</v>
      </c>
      <c r="CE153" s="276">
        <f t="shared" si="106"/>
        <v>4634.6328767123287</v>
      </c>
      <c r="CF153" s="276">
        <f t="shared" si="107"/>
        <v>4240.6328767123287</v>
      </c>
      <c r="CG153" s="276">
        <f t="shared" si="108"/>
        <v>3586</v>
      </c>
      <c r="CH153" s="276">
        <f t="shared" si="109"/>
        <v>2830</v>
      </c>
      <c r="CI153" s="276">
        <f t="shared" si="110"/>
        <v>2922</v>
      </c>
      <c r="CJ153" s="276">
        <f t="shared" si="111"/>
        <v>2936</v>
      </c>
      <c r="CK153" s="276">
        <f t="shared" si="131"/>
        <v>3990.9338660578387</v>
      </c>
      <c r="CL153" s="276">
        <f t="shared" si="132"/>
        <v>3651.6560882800609</v>
      </c>
      <c r="CM153" s="276">
        <f t="shared" si="133"/>
        <v>3287.1666666666665</v>
      </c>
      <c r="CN153" s="276">
        <f t="shared" si="134"/>
        <v>2830</v>
      </c>
      <c r="CO153" s="276">
        <f t="shared" si="134"/>
        <v>2922</v>
      </c>
      <c r="CP153" s="276">
        <f t="shared" si="134"/>
        <v>2936</v>
      </c>
      <c r="CQ153" s="39">
        <f t="shared" si="112"/>
        <v>3935</v>
      </c>
      <c r="CR153" s="39">
        <f t="shared" si="113"/>
        <v>3809.666666666667</v>
      </c>
      <c r="CS153" s="277">
        <f t="shared" si="114"/>
        <v>3631.5555555555557</v>
      </c>
      <c r="CT153" s="39">
        <f t="shared" si="115"/>
        <v>3792.0740740740739</v>
      </c>
      <c r="CU153" s="39">
        <f t="shared" si="116"/>
        <v>3744.4320987654319</v>
      </c>
      <c r="CV153" s="39">
        <f t="shared" si="117"/>
        <v>3722.6872427983535</v>
      </c>
      <c r="CW153" s="297">
        <f t="shared" si="118"/>
        <v>0.98598476749175279</v>
      </c>
      <c r="CX153" s="279" t="str">
        <f t="shared" si="135"/>
        <v>Pass</v>
      </c>
      <c r="CY153" s="278">
        <f t="shared" si="119"/>
        <v>1.0432709364098494</v>
      </c>
      <c r="CZ153" s="279" t="str">
        <f t="shared" si="136"/>
        <v>Pass</v>
      </c>
      <c r="DA153" s="278">
        <f t="shared" si="120"/>
        <v>1.1047676993019995</v>
      </c>
      <c r="DB153" s="292" t="str">
        <f t="shared" si="137"/>
        <v>Pass</v>
      </c>
      <c r="DC153" s="299">
        <f t="shared" si="138"/>
        <v>1.3399555032063866</v>
      </c>
      <c r="DD153" s="293" t="str">
        <f t="shared" si="139"/>
        <v>Pass</v>
      </c>
      <c r="DE153" s="299">
        <f t="shared" si="140"/>
        <v>1.2814620461209554</v>
      </c>
      <c r="DF153" s="293" t="str">
        <f t="shared" si="141"/>
        <v>Pass</v>
      </c>
      <c r="DG153" s="299">
        <f t="shared" si="142"/>
        <v>1.2679452461847254</v>
      </c>
      <c r="DH153" s="293" t="str">
        <f t="shared" si="143"/>
        <v>Pass</v>
      </c>
    </row>
    <row r="154" spans="1:112" ht="15" thickTop="1" thickBot="1">
      <c r="A154" s="38" t="s">
        <v>418</v>
      </c>
      <c r="B154" s="38" t="s">
        <v>419</v>
      </c>
      <c r="C154" s="38" t="s">
        <v>418</v>
      </c>
      <c r="D154" s="38" t="s">
        <v>113</v>
      </c>
      <c r="E154" s="38" t="str">
        <f>VLOOKUP(C154,PoliticalControl!A:K,11,FALSE)</f>
        <v>NOC</v>
      </c>
      <c r="F154" s="38" t="str">
        <f>VLOOKUP(C154,UrbanRuralClassification!A:N,13,FALSE)</f>
        <v>Urban with Significant Rural (rural including hub towns 26-49%)</v>
      </c>
      <c r="G154" s="38" t="str">
        <f>VLOOKUP(C154,UrbanRuralClassification!A:N,14,FALSE)</f>
        <v>Urban with Significant Rural</v>
      </c>
      <c r="H154" s="258">
        <f>IF(ISBLANK((VLOOKUP($A154,'local-plan-data'!$C$1:$AD$566,27,FALSE)))=TRUE,"",VLOOKUP($A154,'local-plan-data'!$C$1:$AD$566,27,FALSE))</f>
        <v>42501</v>
      </c>
      <c r="I154" s="259">
        <f>VLOOKUP($A154,'local-plan-data'!$C$1:$AD$566,28,FALSE)</f>
        <v>274.7</v>
      </c>
      <c r="J154" s="260">
        <f t="shared" si="121"/>
        <v>274.7</v>
      </c>
      <c r="K154" s="259">
        <f t="shared" si="144"/>
        <v>274.7</v>
      </c>
      <c r="L154" s="259">
        <f t="shared" si="101"/>
        <v>274.7</v>
      </c>
      <c r="M154" s="259">
        <f t="shared" si="101"/>
        <v>274.7</v>
      </c>
      <c r="N154" s="259">
        <f t="shared" si="101"/>
        <v>274.7</v>
      </c>
      <c r="O154" s="259" t="str">
        <f t="shared" si="101"/>
        <v>-</v>
      </c>
      <c r="P154" s="259" t="str">
        <f t="shared" si="101"/>
        <v>-</v>
      </c>
      <c r="Q154" s="259" t="str">
        <f t="shared" si="101"/>
        <v>-</v>
      </c>
      <c r="R154" s="259" t="str">
        <f t="shared" si="101"/>
        <v>-</v>
      </c>
      <c r="S154" s="259">
        <f t="shared" si="145"/>
        <v>1136</v>
      </c>
      <c r="T154" s="259">
        <f t="shared" si="102"/>
        <v>771</v>
      </c>
      <c r="U154" s="259">
        <f t="shared" si="102"/>
        <v>405</v>
      </c>
      <c r="V154" s="259">
        <f t="shared" si="102"/>
        <v>40</v>
      </c>
      <c r="W154" s="259">
        <f t="shared" si="102"/>
        <v>-325</v>
      </c>
      <c r="X154" s="259">
        <f t="shared" si="102"/>
        <v>-690</v>
      </c>
      <c r="Y154" s="259">
        <f t="shared" si="102"/>
        <v>-1056</v>
      </c>
      <c r="Z154" s="259">
        <f t="shared" si="102"/>
        <v>-1421</v>
      </c>
      <c r="AA154" s="267">
        <f>(VLOOKUP(A154,Hshldprojections2014!$A$2:$AW$319,40, FALSE)-VLOOKUP(A154,Hshldprojections2014!$A$2:$AW$319,30, FALSE))/10</f>
        <v>548.1</v>
      </c>
      <c r="AB154" s="267">
        <f>(VLOOKUP(A154,Hshldprojections2014!$A$2:$AW$319,41, FALSE)-VLOOKUP(A154,Hshldprojections2014!$A$2:$AW$319,31, FALSE))/10</f>
        <v>552.1</v>
      </c>
      <c r="AC154" s="267">
        <f>(VLOOKUP(A154,Hshldprojections2014!$A$2:$AW$319,42, FALSE)-VLOOKUP(A154,Hshldprojections2014!$A$2:$AW$319,32, FALSE))/10</f>
        <v>556.79999999999995</v>
      </c>
      <c r="AD154" s="267">
        <f>IF(IndividualLATest!$J$7=2014,(VLOOKUP($A154,Hshldprojections2014!$A$2:$AY$326,43,FALSE)-VLOOKUP($A154,Hshldprojections2014!$A$2:$AY$326,33,FALSE))/10,IF(IndividualLATest!$J$7=2016,(VLOOKUP($A154,Hshldprojections2016!$A$1:$AQ$322,33,FALSE)-VLOOKUP($A154,Hshldprojections2016!$A$1:$AQ$322,23,FALSE))/10,(VLOOKUP($A154,Hshldprojections2018!$A$1:$AQ$327,33,FALSE)-VLOOKUP($A154,Hshldprojections2018!$A$1:$AQ$327,23,FALSE))/10))</f>
        <v>369.2</v>
      </c>
      <c r="AE154" s="267">
        <f>IF(IndividualLATest!$J$7=2014,(VLOOKUP($A154,Hshldprojections2014!$A$2:$AY$326,44,FALSE)-VLOOKUP($A154,Hshldprojections2014!$A$2:$AY$326,34,FALSE))/10,IF(IndividualLATest!$J$7=2016,(VLOOKUP($A154,Hshldprojections2016!$A$1:$AQ$322,34,FALSE)-VLOOKUP($A154,Hshldprojections2016!$A$1:$AQ$322,24,FALSE))/10,(VLOOKUP($A154,Hshldprojections2018!$A$1:$AQ$327,34,FALSE)-VLOOKUP($A154,Hshldprojections2018!$A$1:$AQ$327,24,FALSE))/10))</f>
        <v>360</v>
      </c>
      <c r="AF154" s="267">
        <f>IF(IndividualLATest!$J$7=2014,(VLOOKUP($A154,Hshldprojections2014!$A$2:$AY$326,45,FALSE)-VLOOKUP($A154,Hshldprojections2014!$A$2:$AY$326,35,FALSE))/10,IF(IndividualLATest!$J$7=2016,(VLOOKUP($A154,Hshldprojections2016!$A$1:$AQ$322,35,FALSE)-VLOOKUP($A154,Hshldprojections2016!$A$1:$AQ$322,25,FALSE))/10,(VLOOKUP($A154,Hshldprojections2018!$A$1:$AQ$327,35,FALSE)-VLOOKUP($A154,Hshldprojections2018!$A$1:$AQ$327,25,FALSE))/10))</f>
        <v>352.5</v>
      </c>
      <c r="AG154" s="267">
        <f>IF(IndividualLATest!$J$7=2014,(VLOOKUP($A154,Hshldprojections2014!$A$2:$AY$326,46,FALSE)-VLOOKUP($A154,Hshldprojections2014!$A$2:$AY$326,36,FALSE))/10,IF(IndividualLATest!$J$7=2016,(VLOOKUP($A154,Hshldprojections2016!$A$1:$AQ$322,36,FALSE)-VLOOKUP($A154,Hshldprojections2016!$A$1:$AQ$322,26,FALSE))/10,(VLOOKUP($A154,Hshldprojections2018!$A$1:$AQ$327,36,FALSE)-VLOOKUP($A154,Hshldprojections2018!$A$1:$AQ$327,26,FALSE))/10))</f>
        <v>345.9</v>
      </c>
      <c r="AH154" s="267">
        <f>IF(IndividualLATest!$J$7=2014,(VLOOKUP($A154,Hshldprojections2014!$A$2:$AY$326,47,FALSE)-VLOOKUP($A154,Hshldprojections2014!$A$2:$AY$326,37,FALSE))/10,IF(IndividualLATest!$J$7=2016,(VLOOKUP($A154,Hshldprojections2016!$A$1:$AQ$322,37,FALSE)-VLOOKUP($A154,Hshldprojections2016!$A$1:$AQ$322,27,FALSE))/10,(VLOOKUP($A154,Hshldprojections2018!$A$1:$AQ$327,37,FALSE)-VLOOKUP($A154,Hshldprojections2018!$A$1:$AQ$327,27,FALSE))/10))</f>
        <v>341.9</v>
      </c>
      <c r="AI154" s="268">
        <f>IF(ISNUMBER('Sensitivity Tests'!$C$30),'Sensitivity Tests'!$C$30,VLOOKUP($A154,AffordabilityRatio!$A$2:$I$321,5,FALSE))</f>
        <v>9.93</v>
      </c>
      <c r="AJ154" s="268">
        <f>IF(ISNUMBER('Sensitivity Tests'!$C$30),'Sensitivity Tests'!$C$30,VLOOKUP($A154,AffordabilityRatio!$A$2:$I$321,6,FALSE))</f>
        <v>9.8800000000000008</v>
      </c>
      <c r="AK154" s="268">
        <f>IF(ISNUMBER('Sensitivity Tests'!$C$30),'Sensitivity Tests'!$C$30,VLOOKUP($A154,AffordabilityRatio!$A$2:$I$321,7,FALSE))</f>
        <v>10.9</v>
      </c>
      <c r="AL154" s="268">
        <f>IF(ISNUMBER('Sensitivity Tests'!$C$30),'Sensitivity Tests'!$C$30,IF((VLOOKUP($A154,AffordabilityRatio!$A$2:$I$321,8,FALSE))="",AK154,VLOOKUP($A154,AffordabilityRatio!$A$2:$I$321,8,FALSE)))</f>
        <v>11.35</v>
      </c>
      <c r="AM154" s="268">
        <f>IF(ISNUMBER('Sensitivity Tests'!$C$30),'Sensitivity Tests'!$C$30,IF((VLOOKUP($A154,AffordabilityRatio!$A$2:$I$321,9,FALSE))="",AL154,VLOOKUP($A154,AffordabilityRatio!$A$2:$I$321,9,FALSE)))</f>
        <v>11.64</v>
      </c>
      <c r="AN154" s="268">
        <f>IF(ISNUMBER('Sensitivity Tests'!$C$30),'Sensitivity Tests'!$C$30,IF((VLOOKUP($A154,AffordabilityRatio!$A$2:$I$321,9,FALSE))="",AM154,VLOOKUP($A154,AffordabilityRatio!$A$2:$I$321,9,FALSE)))</f>
        <v>11.64</v>
      </c>
      <c r="AO154" s="268">
        <f>IF(ISNUMBER('Sensitivity Tests'!$C$30),'Sensitivity Tests'!$C$30,IF((VLOOKUP($A154,AffordabilityRatio!$A$2:$I$321,9,FALSE))="",AN154,VLOOKUP($A154,AffordabilityRatio!$A$2:$I$321,9,FALSE)))</f>
        <v>11.64</v>
      </c>
      <c r="AP154" s="268">
        <f>IF(ISNUMBER('Sensitivity Tests'!$C$30),'Sensitivity Tests'!$C$30,IF((VLOOKUP($A154,AffordabilityRatio!$A$2:$I$321,9,FALSE))="",AO154,VLOOKUP($A154,AffordabilityRatio!$A$2:$I$321,9,FALSE)))</f>
        <v>11.64</v>
      </c>
      <c r="AQ154" s="267">
        <f t="shared" si="104"/>
        <v>751</v>
      </c>
      <c r="AR154" s="267">
        <f t="shared" si="104"/>
        <v>755</v>
      </c>
      <c r="AS154" s="267">
        <f t="shared" si="104"/>
        <v>797</v>
      </c>
      <c r="AT154" s="267">
        <f t="shared" si="103"/>
        <v>539</v>
      </c>
      <c r="AU154" s="267">
        <f t="shared" si="103"/>
        <v>532</v>
      </c>
      <c r="AV154" s="267">
        <f t="shared" si="103"/>
        <v>521</v>
      </c>
      <c r="AW154" s="267">
        <f t="shared" si="103"/>
        <v>511</v>
      </c>
      <c r="AX154" s="267">
        <f t="shared" si="103"/>
        <v>505</v>
      </c>
      <c r="AY154" s="267">
        <f t="shared" si="122"/>
        <v>384.58</v>
      </c>
      <c r="AZ154" s="267">
        <f t="shared" si="123"/>
        <v>384.58</v>
      </c>
      <c r="BA154" s="267">
        <f t="shared" si="124"/>
        <v>384.58</v>
      </c>
      <c r="BB154" s="267">
        <f t="shared" si="125"/>
        <v>384.58</v>
      </c>
      <c r="BC154" s="267">
        <f t="shared" si="126"/>
        <v>504</v>
      </c>
      <c r="BD154" s="267">
        <f t="shared" si="127"/>
        <v>493.5</v>
      </c>
      <c r="BE154" s="267">
        <f t="shared" si="128"/>
        <v>484.26</v>
      </c>
      <c r="BF154" s="267">
        <f t="shared" si="129"/>
        <v>478.65999999999997</v>
      </c>
      <c r="BG154" s="269">
        <f>AY154*VLOOKUP($B154,'Major Cities &amp; Towns'!$A$28:$B$345,2,FALSE)</f>
        <v>384.58</v>
      </c>
      <c r="BH154" s="269">
        <f>AZ154*VLOOKUP($B154,'Major Cities &amp; Towns'!$A$28:$B$345,2,FALSE)</f>
        <v>384.58</v>
      </c>
      <c r="BI154" s="269">
        <f>BA154*VLOOKUP($B154,'Major Cities &amp; Towns'!$A$28:$B$345,2,FALSE)</f>
        <v>384.58</v>
      </c>
      <c r="BJ154" s="269">
        <f>BB154*VLOOKUP($B154,'Major Cities &amp; Towns'!$A$28:$B$345,2,FALSE)</f>
        <v>384.58</v>
      </c>
      <c r="BK154" s="269">
        <f>BC154*VLOOKUP($B154,'Major Cities &amp; Towns'!$A$28:$B$345,2,FALSE)</f>
        <v>504</v>
      </c>
      <c r="BL154" s="269">
        <f>BD154*VLOOKUP($B154,'Major Cities &amp; Towns'!$A$28:$B$345,2,FALSE)</f>
        <v>493.5</v>
      </c>
      <c r="BM154" s="269">
        <f>BE154*VLOOKUP($B154,'Major Cities &amp; Towns'!$A$28:$B$345,2,FALSE)</f>
        <v>484.26</v>
      </c>
      <c r="BN154" s="269">
        <f>BF154*VLOOKUP($B154,'Major Cities &amp; Towns'!$A$28:$B$345,2,FALSE)</f>
        <v>478.65999999999997</v>
      </c>
      <c r="BO154" s="270">
        <f t="shared" si="130"/>
        <v>274.7</v>
      </c>
      <c r="BP154" s="270">
        <f t="shared" si="147"/>
        <v>274.7</v>
      </c>
      <c r="BQ154" s="270">
        <f t="shared" si="147"/>
        <v>274.7</v>
      </c>
      <c r="BR154" s="270">
        <f t="shared" si="147"/>
        <v>510.03561643835621</v>
      </c>
      <c r="BS154" s="270">
        <f t="shared" si="146"/>
        <v>532</v>
      </c>
      <c r="BT154" s="270">
        <f t="shared" si="146"/>
        <v>521</v>
      </c>
      <c r="BU154" s="270">
        <f t="shared" si="146"/>
        <v>511</v>
      </c>
      <c r="BV154" s="270">
        <f t="shared" si="99"/>
        <v>505</v>
      </c>
      <c r="BW154" s="39">
        <f>VLOOKUP($A154,NetAdditions!$A$2:$H$336,6,FALSE)</f>
        <v>354</v>
      </c>
      <c r="BX154" s="39">
        <f>VLOOKUP($A154,NetAdditions!$A$2:$H$336,7,FALSE)</f>
        <v>282</v>
      </c>
      <c r="BY154" s="39">
        <f>IF((VLOOKUP($C154,NetAdditions!$A$2:$H$336,8,FALSE))="",(AVERAGE(VLOOKUP($C154,NetAdditions!$A$2:$H$336,5,FALSE),VLOOKUP($C154,NetAdditions!$A$2:$H$336,6,FALSE),VLOOKUP($C154,NetAdditions!$A$2:$H$336,7,FALSE))),VLOOKUP($C154,NetAdditions!$A$2:$H$336,8,FALSE))</f>
        <v>309</v>
      </c>
      <c r="BZ154" s="39">
        <f t="shared" si="105"/>
        <v>315</v>
      </c>
      <c r="CA154" s="39">
        <f t="shared" si="105"/>
        <v>302</v>
      </c>
      <c r="CB154" s="39">
        <f t="shared" si="105"/>
        <v>308.66666666666669</v>
      </c>
      <c r="CC154" s="39">
        <f t="shared" si="105"/>
        <v>308.5555555555556</v>
      </c>
      <c r="CD154" s="39">
        <f t="shared" si="105"/>
        <v>306.40740740740745</v>
      </c>
      <c r="CE154" s="276">
        <f t="shared" si="106"/>
        <v>824.09999999999991</v>
      </c>
      <c r="CF154" s="276">
        <f t="shared" si="107"/>
        <v>1059.4356164383562</v>
      </c>
      <c r="CG154" s="276">
        <f t="shared" si="108"/>
        <v>1316.7356164383561</v>
      </c>
      <c r="CH154" s="276">
        <f t="shared" si="109"/>
        <v>1563.0356164383561</v>
      </c>
      <c r="CI154" s="276">
        <f t="shared" si="110"/>
        <v>1564</v>
      </c>
      <c r="CJ154" s="276">
        <f t="shared" si="111"/>
        <v>1537</v>
      </c>
      <c r="CK154" s="276">
        <f t="shared" si="131"/>
        <v>709.64166666666665</v>
      </c>
      <c r="CL154" s="276">
        <f t="shared" si="132"/>
        <v>912.29178082191788</v>
      </c>
      <c r="CM154" s="276">
        <f t="shared" si="133"/>
        <v>1207.0076484018264</v>
      </c>
      <c r="CN154" s="276">
        <f t="shared" si="134"/>
        <v>1563.0356164383561</v>
      </c>
      <c r="CO154" s="276">
        <f t="shared" si="134"/>
        <v>1564</v>
      </c>
      <c r="CP154" s="276">
        <f t="shared" si="134"/>
        <v>1537</v>
      </c>
      <c r="CQ154" s="39">
        <f t="shared" si="112"/>
        <v>945</v>
      </c>
      <c r="CR154" s="39">
        <f t="shared" si="113"/>
        <v>906</v>
      </c>
      <c r="CS154" s="277">
        <f t="shared" si="114"/>
        <v>926</v>
      </c>
      <c r="CT154" s="39">
        <f t="shared" si="115"/>
        <v>925.66666666666674</v>
      </c>
      <c r="CU154" s="39">
        <f t="shared" si="116"/>
        <v>919.2222222222224</v>
      </c>
      <c r="CV154" s="39">
        <f t="shared" si="117"/>
        <v>923.62962962962979</v>
      </c>
      <c r="CW154" s="297">
        <f t="shared" si="118"/>
        <v>1.3316579964066373</v>
      </c>
      <c r="CX154" s="279" t="str">
        <f t="shared" si="135"/>
        <v>Pass</v>
      </c>
      <c r="CY154" s="278">
        <f t="shared" si="119"/>
        <v>0.99310332400863088</v>
      </c>
      <c r="CZ154" s="279" t="str">
        <f t="shared" si="136"/>
        <v>Pass</v>
      </c>
      <c r="DA154" s="278">
        <f t="shared" si="120"/>
        <v>0.76718652216172556</v>
      </c>
      <c r="DB154" s="292" t="str">
        <f t="shared" si="137"/>
        <v>Buffer and Action Plan</v>
      </c>
      <c r="DC154" s="299">
        <f t="shared" si="138"/>
        <v>0.59222365564257362</v>
      </c>
      <c r="DD154" s="293" t="str">
        <f t="shared" si="139"/>
        <v>Presumption</v>
      </c>
      <c r="DE154" s="299">
        <f t="shared" si="140"/>
        <v>0.587737993748224</v>
      </c>
      <c r="DF154" s="293" t="str">
        <f t="shared" si="141"/>
        <v>Presumption</v>
      </c>
      <c r="DG154" s="299">
        <f t="shared" si="142"/>
        <v>0.60093014289500957</v>
      </c>
      <c r="DH154" s="293" t="str">
        <f t="shared" si="143"/>
        <v>Presumption</v>
      </c>
    </row>
    <row r="155" spans="1:112" customFormat="1" ht="15.5" thickTop="1" thickBot="1">
      <c r="A155" s="3" t="s">
        <v>420</v>
      </c>
      <c r="B155" s="3" t="s">
        <v>421</v>
      </c>
      <c r="C155" s="3" t="s">
        <v>420</v>
      </c>
      <c r="D155" s="3" t="s">
        <v>131</v>
      </c>
      <c r="E155" s="3" t="str">
        <f>VLOOKUP(C155,PoliticalControl!A:K,11,FALSE)</f>
        <v>LAB</v>
      </c>
      <c r="F155" s="3" t="str">
        <f>VLOOKUP(C155,UrbanRuralClassification!A:N,13,FALSE)</f>
        <v>Urban with Major Conurbation</v>
      </c>
      <c r="G155" s="3" t="str">
        <f>VLOOKUP(C155,UrbanRuralClassification!A:N,14,FALSE)</f>
        <v>Predominantly Urban</v>
      </c>
      <c r="H155" s="262">
        <f>IF(ISBLANK((VLOOKUP($A155,'local-plan-data'!$C$1:$AD$566,27,FALSE)))=TRUE,"",VLOOKUP($A155,'local-plan-data'!$C$1:$AD$566,27,FALSE))</f>
        <v>40723</v>
      </c>
      <c r="I155" s="263">
        <f>VLOOKUP($A155,'local-plan-data'!$C$1:$AD$566,28,FALSE)</f>
        <v>1068.5294117647059</v>
      </c>
      <c r="J155" s="264">
        <f t="shared" si="121"/>
        <v>1068.5294117647059</v>
      </c>
      <c r="K155" s="259" t="str">
        <f t="shared" si="144"/>
        <v>-</v>
      </c>
      <c r="L155" s="259" t="str">
        <f t="shared" si="101"/>
        <v>-</v>
      </c>
      <c r="M155" s="259" t="str">
        <f t="shared" si="101"/>
        <v>-</v>
      </c>
      <c r="N155" s="259" t="str">
        <f t="shared" si="101"/>
        <v>-</v>
      </c>
      <c r="O155" s="259" t="str">
        <f t="shared" si="101"/>
        <v>-</v>
      </c>
      <c r="P155" s="259" t="str">
        <f t="shared" si="101"/>
        <v>-</v>
      </c>
      <c r="Q155" s="259" t="str">
        <f t="shared" ref="L155:R192" si="148">IF(AND(ISNUMBER($H155),ISNUMBER($J155)),IF(($H155-Q$1&gt;0),$J155,IF(DATEDIF($H155,Q$1,"y")&lt;5,$J155,"-")),"-")</f>
        <v>-</v>
      </c>
      <c r="R155" s="259" t="str">
        <f t="shared" si="148"/>
        <v>-</v>
      </c>
      <c r="S155" s="259">
        <f t="shared" si="145"/>
        <v>-641</v>
      </c>
      <c r="T155" s="259">
        <f t="shared" si="102"/>
        <v>-1006</v>
      </c>
      <c r="U155" s="259">
        <f t="shared" si="102"/>
        <v>-1372</v>
      </c>
      <c r="V155" s="259">
        <f t="shared" si="102"/>
        <v>-1737</v>
      </c>
      <c r="W155" s="259">
        <f t="shared" si="102"/>
        <v>-2102</v>
      </c>
      <c r="X155" s="259">
        <f t="shared" si="102"/>
        <v>-2467</v>
      </c>
      <c r="Y155" s="259">
        <f t="shared" ref="T155:Z192" si="149">IFERROR((EDATE($H155,60))-Y$1,"-")</f>
        <v>-2833</v>
      </c>
      <c r="Z155" s="259">
        <f t="shared" si="149"/>
        <v>-3198</v>
      </c>
      <c r="AA155" s="267">
        <f>(VLOOKUP(A155,Hshldprojections2014!$A$2:$AW$319,40, FALSE)-VLOOKUP(A155,Hshldprojections2014!$A$2:$AW$319,30, FALSE))/10</f>
        <v>2240.8000000000002</v>
      </c>
      <c r="AB155" s="267">
        <f>(VLOOKUP(A155,Hshldprojections2014!$A$2:$AW$319,41, FALSE)-VLOOKUP(A155,Hshldprojections2014!$A$2:$AW$319,31, FALSE))/10</f>
        <v>2225.6</v>
      </c>
      <c r="AC155" s="267">
        <f>(VLOOKUP(A155,Hshldprojections2014!$A$2:$AW$319,42, FALSE)-VLOOKUP(A155,Hshldprojections2014!$A$2:$AW$319,32, FALSE))/10</f>
        <v>2210.4</v>
      </c>
      <c r="AD155" s="267">
        <f>IF(IndividualLATest!$J$7=2014,(VLOOKUP($A155,Hshldprojections2014!$A$2:$AY$326,43,FALSE)-VLOOKUP($A155,Hshldprojections2014!$A$2:$AY$326,33,FALSE))/10,IF(IndividualLATest!$J$7=2016,(VLOOKUP($A155,Hshldprojections2016!$A$1:$AQ$322,33,FALSE)-VLOOKUP($A155,Hshldprojections2016!$A$1:$AQ$322,23,FALSE))/10,(VLOOKUP($A155,Hshldprojections2018!$A$1:$AQ$327,33,FALSE)-VLOOKUP($A155,Hshldprojections2018!$A$1:$AQ$327,23,FALSE))/10))</f>
        <v>1163.4000000000001</v>
      </c>
      <c r="AE155" s="267">
        <f>IF(IndividualLATest!$J$7=2014,(VLOOKUP($A155,Hshldprojections2014!$A$2:$AY$326,44,FALSE)-VLOOKUP($A155,Hshldprojections2014!$A$2:$AY$326,34,FALSE))/10,IF(IndividualLATest!$J$7=2016,(VLOOKUP($A155,Hshldprojections2016!$A$1:$AQ$322,34,FALSE)-VLOOKUP($A155,Hshldprojections2016!$A$1:$AQ$322,24,FALSE))/10,(VLOOKUP($A155,Hshldprojections2018!$A$1:$AQ$327,34,FALSE)-VLOOKUP($A155,Hshldprojections2018!$A$1:$AQ$327,24,FALSE))/10))</f>
        <v>1129</v>
      </c>
      <c r="AF155" s="267">
        <f>IF(IndividualLATest!$J$7=2014,(VLOOKUP($A155,Hshldprojections2014!$A$2:$AY$326,45,FALSE)-VLOOKUP($A155,Hshldprojections2014!$A$2:$AY$326,35,FALSE))/10,IF(IndividualLATest!$J$7=2016,(VLOOKUP($A155,Hshldprojections2016!$A$1:$AQ$322,35,FALSE)-VLOOKUP($A155,Hshldprojections2016!$A$1:$AQ$322,25,FALSE))/10,(VLOOKUP($A155,Hshldprojections2018!$A$1:$AQ$327,35,FALSE)-VLOOKUP($A155,Hshldprojections2018!$A$1:$AQ$327,25,FALSE))/10))</f>
        <v>1102.4000000000001</v>
      </c>
      <c r="AG155" s="267">
        <f>IF(IndividualLATest!$J$7=2014,(VLOOKUP($A155,Hshldprojections2014!$A$2:$AY$326,46,FALSE)-VLOOKUP($A155,Hshldprojections2014!$A$2:$AY$326,36,FALSE))/10,IF(IndividualLATest!$J$7=2016,(VLOOKUP($A155,Hshldprojections2016!$A$1:$AQ$322,36,FALSE)-VLOOKUP($A155,Hshldprojections2016!$A$1:$AQ$322,26,FALSE))/10,(VLOOKUP($A155,Hshldprojections2018!$A$1:$AQ$327,36,FALSE)-VLOOKUP($A155,Hshldprojections2018!$A$1:$AQ$327,26,FALSE))/10))</f>
        <v>1081.5</v>
      </c>
      <c r="AH155" s="267">
        <f>IF(IndividualLATest!$J$7=2014,(VLOOKUP($A155,Hshldprojections2014!$A$2:$AY$326,47,FALSE)-VLOOKUP($A155,Hshldprojections2014!$A$2:$AY$326,37,FALSE))/10,IF(IndividualLATest!$J$7=2016,(VLOOKUP($A155,Hshldprojections2016!$A$1:$AQ$322,37,FALSE)-VLOOKUP($A155,Hshldprojections2016!$A$1:$AQ$322,27,FALSE))/10,(VLOOKUP($A155,Hshldprojections2018!$A$1:$AQ$327,37,FALSE)-VLOOKUP($A155,Hshldprojections2018!$A$1:$AQ$327,27,FALSE))/10))</f>
        <v>1065.7</v>
      </c>
      <c r="AI155" s="268">
        <f>IF(ISNUMBER('Sensitivity Tests'!$C$30),'Sensitivity Tests'!$C$30,VLOOKUP($A155,AffordabilityRatio!$A$2:$I$321,5,FALSE))</f>
        <v>12.61</v>
      </c>
      <c r="AJ155" s="268">
        <f>IF(ISNUMBER('Sensitivity Tests'!$C$30),'Sensitivity Tests'!$C$30,VLOOKUP($A155,AffordabilityRatio!$A$2:$I$321,6,FALSE))</f>
        <v>13.66</v>
      </c>
      <c r="AK155" s="268">
        <f>IF(ISNUMBER('Sensitivity Tests'!$C$30),'Sensitivity Tests'!$C$30,VLOOKUP($A155,AffordabilityRatio!$A$2:$I$321,7,FALSE))</f>
        <v>13.27</v>
      </c>
      <c r="AL155" s="268">
        <f>IF(ISNUMBER('Sensitivity Tests'!$C$30),'Sensitivity Tests'!$C$30,IF((VLOOKUP($A155,AffordabilityRatio!$A$2:$I$321,8,FALSE))="",AK155,VLOOKUP($A155,AffordabilityRatio!$A$2:$I$321,8,FALSE)))</f>
        <v>12.5</v>
      </c>
      <c r="AM155" s="268">
        <f>IF(ISNUMBER('Sensitivity Tests'!$C$30),'Sensitivity Tests'!$C$30,IF((VLOOKUP($A155,AffordabilityRatio!$A$2:$I$321,9,FALSE))="",AL155,VLOOKUP($A155,AffordabilityRatio!$A$2:$I$321,9,FALSE)))</f>
        <v>14.23</v>
      </c>
      <c r="AN155" s="268">
        <f>IF(ISNUMBER('Sensitivity Tests'!$C$30),'Sensitivity Tests'!$C$30,IF((VLOOKUP($A155,AffordabilityRatio!$A$2:$I$321,9,FALSE))="",AM155,VLOOKUP($A155,AffordabilityRatio!$A$2:$I$321,9,FALSE)))</f>
        <v>14.23</v>
      </c>
      <c r="AO155" s="268">
        <f>IF(ISNUMBER('Sensitivity Tests'!$C$30),'Sensitivity Tests'!$C$30,IF((VLOOKUP($A155,AffordabilityRatio!$A$2:$I$321,9,FALSE))="",AN155,VLOOKUP($A155,AffordabilityRatio!$A$2:$I$321,9,FALSE)))</f>
        <v>14.23</v>
      </c>
      <c r="AP155" s="268">
        <f>IF(ISNUMBER('Sensitivity Tests'!$C$30),'Sensitivity Tests'!$C$30,IF((VLOOKUP($A155,AffordabilityRatio!$A$2:$I$321,9,FALSE))="",AO155,VLOOKUP($A155,AffordabilityRatio!$A$2:$I$321,9,FALSE)))</f>
        <v>14.23</v>
      </c>
      <c r="AQ155" s="267">
        <f t="shared" si="104"/>
        <v>3447</v>
      </c>
      <c r="AR155" s="267">
        <f t="shared" si="104"/>
        <v>3569</v>
      </c>
      <c r="AS155" s="267">
        <f t="shared" si="104"/>
        <v>3491</v>
      </c>
      <c r="AT155" s="267">
        <f t="shared" si="103"/>
        <v>1781</v>
      </c>
      <c r="AU155" s="267">
        <f t="shared" si="103"/>
        <v>1851</v>
      </c>
      <c r="AV155" s="267">
        <f t="shared" si="103"/>
        <v>1807</v>
      </c>
      <c r="AW155" s="267">
        <f t="shared" si="103"/>
        <v>1773</v>
      </c>
      <c r="AX155" s="267">
        <f t="shared" si="103"/>
        <v>1747</v>
      </c>
      <c r="AY155" s="267">
        <f t="shared" si="122"/>
        <v>3137.1200000000003</v>
      </c>
      <c r="AZ155" s="267">
        <f t="shared" si="123"/>
        <v>3115.84</v>
      </c>
      <c r="BA155" s="267">
        <f t="shared" si="124"/>
        <v>3094.5600000000004</v>
      </c>
      <c r="BB155" s="267">
        <f t="shared" si="125"/>
        <v>1628.7600000000002</v>
      </c>
      <c r="BC155" s="267">
        <f t="shared" si="126"/>
        <v>1580.6</v>
      </c>
      <c r="BD155" s="267">
        <f t="shared" si="127"/>
        <v>1543.3600000000001</v>
      </c>
      <c r="BE155" s="267">
        <f t="shared" si="128"/>
        <v>1514.1</v>
      </c>
      <c r="BF155" s="267">
        <f t="shared" si="129"/>
        <v>1495.9411764705883</v>
      </c>
      <c r="BG155" s="269">
        <f>AY155*VLOOKUP($B155,'Major Cities &amp; Towns'!$A$28:$B$345,2,FALSE)</f>
        <v>4235.112000000001</v>
      </c>
      <c r="BH155" s="269">
        <f>AZ155*VLOOKUP($B155,'Major Cities &amp; Towns'!$A$28:$B$345,2,FALSE)</f>
        <v>4206.3840000000009</v>
      </c>
      <c r="BI155" s="269">
        <f>BA155*VLOOKUP($B155,'Major Cities &amp; Towns'!$A$28:$B$345,2,FALSE)</f>
        <v>4177.6560000000009</v>
      </c>
      <c r="BJ155" s="269">
        <f>BB155*VLOOKUP($B155,'Major Cities &amp; Towns'!$A$28:$B$345,2,FALSE)</f>
        <v>2198.8260000000005</v>
      </c>
      <c r="BK155" s="269">
        <f>BC155*VLOOKUP($B155,'Major Cities &amp; Towns'!$A$28:$B$345,2,FALSE)</f>
        <v>2133.81</v>
      </c>
      <c r="BL155" s="269">
        <f>BD155*VLOOKUP($B155,'Major Cities &amp; Towns'!$A$28:$B$345,2,FALSE)</f>
        <v>2083.5360000000005</v>
      </c>
      <c r="BM155" s="269">
        <f>BE155*VLOOKUP($B155,'Major Cities &amp; Towns'!$A$28:$B$345,2,FALSE)</f>
        <v>2044.0350000000001</v>
      </c>
      <c r="BN155" s="269">
        <f>BF155*VLOOKUP($B155,'Major Cities &amp; Towns'!$A$28:$B$345,2,FALSE)</f>
        <v>2019.5205882352943</v>
      </c>
      <c r="BO155" s="270">
        <f t="shared" si="130"/>
        <v>3447</v>
      </c>
      <c r="BP155" s="270">
        <f t="shared" si="147"/>
        <v>3569</v>
      </c>
      <c r="BQ155" s="270">
        <f t="shared" si="147"/>
        <v>3491</v>
      </c>
      <c r="BR155" s="270">
        <f t="shared" si="147"/>
        <v>1781</v>
      </c>
      <c r="BS155" s="270">
        <f t="shared" si="146"/>
        <v>1851</v>
      </c>
      <c r="BT155" s="270">
        <f t="shared" si="146"/>
        <v>1807</v>
      </c>
      <c r="BU155" s="270">
        <f t="shared" si="146"/>
        <v>1773</v>
      </c>
      <c r="BV155" s="270">
        <f t="shared" si="99"/>
        <v>1747</v>
      </c>
      <c r="BW155" s="39">
        <f>VLOOKUP($A155,NetAdditions!$A$2:$H$336,6,FALSE)</f>
        <v>1628</v>
      </c>
      <c r="BX155" s="39">
        <f>VLOOKUP($A155,NetAdditions!$A$2:$H$336,7,FALSE)</f>
        <v>1251</v>
      </c>
      <c r="BY155" s="39">
        <f>IF((VLOOKUP($C155,NetAdditions!$A$2:$H$336,8,FALSE))="",(AVERAGE(VLOOKUP($C155,NetAdditions!$A$2:$H$336,5,FALSE),VLOOKUP($C155,NetAdditions!$A$2:$H$336,6,FALSE),VLOOKUP($C155,NetAdditions!$A$2:$H$336,7,FALSE))),VLOOKUP($C155,NetAdditions!$A$2:$H$336,8,FALSE))</f>
        <v>181</v>
      </c>
      <c r="BZ155" s="39">
        <f t="shared" si="105"/>
        <v>1020</v>
      </c>
      <c r="CA155" s="39">
        <f t="shared" si="105"/>
        <v>817.33333333333337</v>
      </c>
      <c r="CB155" s="39">
        <f t="shared" si="105"/>
        <v>672.77777777777783</v>
      </c>
      <c r="CC155" s="39">
        <f t="shared" si="105"/>
        <v>836.70370370370381</v>
      </c>
      <c r="CD155" s="39">
        <f t="shared" si="105"/>
        <v>775.60493827160508</v>
      </c>
      <c r="CE155" s="276">
        <f t="shared" si="106"/>
        <v>10507</v>
      </c>
      <c r="CF155" s="276">
        <f t="shared" si="107"/>
        <v>8841</v>
      </c>
      <c r="CG155" s="276">
        <f t="shared" si="108"/>
        <v>7123</v>
      </c>
      <c r="CH155" s="276">
        <f t="shared" si="109"/>
        <v>5439</v>
      </c>
      <c r="CI155" s="276">
        <f t="shared" si="110"/>
        <v>5431</v>
      </c>
      <c r="CJ155" s="276">
        <f t="shared" si="111"/>
        <v>5327</v>
      </c>
      <c r="CK155" s="276">
        <f t="shared" si="131"/>
        <v>9047.6944444444453</v>
      </c>
      <c r="CL155" s="276">
        <f t="shared" si="132"/>
        <v>7613.0833333333339</v>
      </c>
      <c r="CM155" s="276">
        <f t="shared" si="133"/>
        <v>6529.4166666666661</v>
      </c>
      <c r="CN155" s="276">
        <f t="shared" si="134"/>
        <v>5439</v>
      </c>
      <c r="CO155" s="276">
        <f t="shared" si="134"/>
        <v>5431</v>
      </c>
      <c r="CP155" s="276">
        <f t="shared" si="134"/>
        <v>5327</v>
      </c>
      <c r="CQ155" s="39">
        <f t="shared" si="112"/>
        <v>3060</v>
      </c>
      <c r="CR155" s="39">
        <f t="shared" si="113"/>
        <v>2452</v>
      </c>
      <c r="CS155" s="277">
        <f t="shared" si="114"/>
        <v>2018.3333333333335</v>
      </c>
      <c r="CT155" s="39">
        <f t="shared" si="115"/>
        <v>2510.1111111111113</v>
      </c>
      <c r="CU155" s="39">
        <f t="shared" si="116"/>
        <v>2326.8148148148152</v>
      </c>
      <c r="CV155" s="39">
        <f t="shared" si="117"/>
        <v>2285.0864197530868</v>
      </c>
      <c r="CW155" s="297">
        <f t="shared" si="118"/>
        <v>0.33820770791822347</v>
      </c>
      <c r="CX155" s="279" t="str">
        <f t="shared" si="135"/>
        <v>Buffer and Action Plan</v>
      </c>
      <c r="CY155" s="278">
        <f t="shared" si="119"/>
        <v>0.322077126000197</v>
      </c>
      <c r="CZ155" s="279" t="str">
        <f t="shared" si="136"/>
        <v>Presumption</v>
      </c>
      <c r="DA155" s="278">
        <f t="shared" si="120"/>
        <v>0.30911388204663515</v>
      </c>
      <c r="DB155" s="292" t="str">
        <f t="shared" si="137"/>
        <v>Presumption</v>
      </c>
      <c r="DC155" s="299">
        <f t="shared" si="138"/>
        <v>0.46150231864517582</v>
      </c>
      <c r="DD155" s="293" t="str">
        <f t="shared" si="139"/>
        <v>Presumption</v>
      </c>
      <c r="DE155" s="299">
        <f t="shared" si="140"/>
        <v>0.42843211467774173</v>
      </c>
      <c r="DF155" s="293" t="str">
        <f t="shared" si="141"/>
        <v>Presumption</v>
      </c>
      <c r="DG155" s="299">
        <f t="shared" si="142"/>
        <v>0.42896309738184474</v>
      </c>
      <c r="DH155" s="293" t="str">
        <f t="shared" si="143"/>
        <v>Presumption</v>
      </c>
    </row>
    <row r="156" spans="1:112" ht="15" thickTop="1" thickBot="1">
      <c r="A156" s="38" t="s">
        <v>422</v>
      </c>
      <c r="B156" s="38" t="s">
        <v>423</v>
      </c>
      <c r="C156" s="38" t="s">
        <v>422</v>
      </c>
      <c r="D156" s="38" t="s">
        <v>154</v>
      </c>
      <c r="E156" s="38" t="str">
        <f>VLOOKUP(C156,PoliticalControl!A:K,11,FALSE)</f>
        <v>CON</v>
      </c>
      <c r="F156" s="38" t="str">
        <f>VLOOKUP(C156,UrbanRuralClassification!A:N,13,FALSE)</f>
        <v>Urban with Significant Rural (rural including hub towns 26-49%)</v>
      </c>
      <c r="G156" s="38" t="str">
        <f>VLOOKUP(C156,UrbanRuralClassification!A:N,14,FALSE)</f>
        <v>Urban with Significant Rural</v>
      </c>
      <c r="H156" s="258">
        <f>IF(ISBLANK((VLOOKUP($A156,'local-plan-data'!$C$1:$AD$566,27,FALSE)))=TRUE,"",VLOOKUP($A156,'local-plan-data'!$C$1:$AD$566,27,FALSE))</f>
        <v>42052</v>
      </c>
      <c r="I156" s="259">
        <f>VLOOKUP($A156,'local-plan-data'!$C$1:$AD$566,28,FALSE)</f>
        <v>477.61904761904759</v>
      </c>
      <c r="J156" s="260">
        <f t="shared" si="121"/>
        <v>477.61904761904759</v>
      </c>
      <c r="K156" s="259">
        <f t="shared" si="144"/>
        <v>477.61904761904759</v>
      </c>
      <c r="L156" s="259">
        <f t="shared" si="148"/>
        <v>477.61904761904759</v>
      </c>
      <c r="M156" s="259" t="str">
        <f t="shared" si="148"/>
        <v>-</v>
      </c>
      <c r="N156" s="259" t="str">
        <f t="shared" si="148"/>
        <v>-</v>
      </c>
      <c r="O156" s="259" t="str">
        <f t="shared" si="148"/>
        <v>-</v>
      </c>
      <c r="P156" s="259" t="str">
        <f t="shared" si="148"/>
        <v>-</v>
      </c>
      <c r="Q156" s="259" t="str">
        <f t="shared" si="148"/>
        <v>-</v>
      </c>
      <c r="R156" s="259" t="str">
        <f t="shared" si="148"/>
        <v>-</v>
      </c>
      <c r="S156" s="259">
        <f t="shared" si="145"/>
        <v>687</v>
      </c>
      <c r="T156" s="259">
        <f t="shared" si="149"/>
        <v>322</v>
      </c>
      <c r="U156" s="259">
        <f t="shared" si="149"/>
        <v>-44</v>
      </c>
      <c r="V156" s="259">
        <f t="shared" si="149"/>
        <v>-409</v>
      </c>
      <c r="W156" s="259">
        <f t="shared" si="149"/>
        <v>-774</v>
      </c>
      <c r="X156" s="259">
        <f t="shared" si="149"/>
        <v>-1139</v>
      </c>
      <c r="Y156" s="259">
        <f t="shared" si="149"/>
        <v>-1505</v>
      </c>
      <c r="Z156" s="259">
        <f t="shared" si="149"/>
        <v>-1870</v>
      </c>
      <c r="AA156" s="267">
        <f>(VLOOKUP(A156,Hshldprojections2014!$A$2:$AW$319,40, FALSE)-VLOOKUP(A156,Hshldprojections2014!$A$2:$AW$319,30, FALSE))/10</f>
        <v>260.2</v>
      </c>
      <c r="AB156" s="267">
        <f>(VLOOKUP(A156,Hshldprojections2014!$A$2:$AW$319,41, FALSE)-VLOOKUP(A156,Hshldprojections2014!$A$2:$AW$319,31, FALSE))/10</f>
        <v>253.2</v>
      </c>
      <c r="AC156" s="267">
        <f>(VLOOKUP(A156,Hshldprojections2014!$A$2:$AW$319,42, FALSE)-VLOOKUP(A156,Hshldprojections2014!$A$2:$AW$319,32, FALSE))/10</f>
        <v>244.1</v>
      </c>
      <c r="AD156" s="267">
        <f>IF(IndividualLATest!$J$7=2014,(VLOOKUP($A156,Hshldprojections2014!$A$2:$AY$326,43,FALSE)-VLOOKUP($A156,Hshldprojections2014!$A$2:$AY$326,33,FALSE))/10,IF(IndividualLATest!$J$7=2016,(VLOOKUP($A156,Hshldprojections2016!$A$1:$AQ$322,33,FALSE)-VLOOKUP($A156,Hshldprojections2016!$A$1:$AQ$322,23,FALSE))/10,(VLOOKUP($A156,Hshldprojections2018!$A$1:$AQ$327,33,FALSE)-VLOOKUP($A156,Hshldprojections2018!$A$1:$AQ$327,23,FALSE))/10))</f>
        <v>191.9</v>
      </c>
      <c r="AE156" s="267">
        <f>IF(IndividualLATest!$J$7=2014,(VLOOKUP($A156,Hshldprojections2014!$A$2:$AY$326,44,FALSE)-VLOOKUP($A156,Hshldprojections2014!$A$2:$AY$326,34,FALSE))/10,IF(IndividualLATest!$J$7=2016,(VLOOKUP($A156,Hshldprojections2016!$A$1:$AQ$322,34,FALSE)-VLOOKUP($A156,Hshldprojections2016!$A$1:$AQ$322,24,FALSE))/10,(VLOOKUP($A156,Hshldprojections2018!$A$1:$AQ$327,34,FALSE)-VLOOKUP($A156,Hshldprojections2018!$A$1:$AQ$327,24,FALSE))/10))</f>
        <v>183.9</v>
      </c>
      <c r="AF156" s="267">
        <f>IF(IndividualLATest!$J$7=2014,(VLOOKUP($A156,Hshldprojections2014!$A$2:$AY$326,45,FALSE)-VLOOKUP($A156,Hshldprojections2014!$A$2:$AY$326,35,FALSE))/10,IF(IndividualLATest!$J$7=2016,(VLOOKUP($A156,Hshldprojections2016!$A$1:$AQ$322,35,FALSE)-VLOOKUP($A156,Hshldprojections2016!$A$1:$AQ$322,25,FALSE))/10,(VLOOKUP($A156,Hshldprojections2018!$A$1:$AQ$327,35,FALSE)-VLOOKUP($A156,Hshldprojections2018!$A$1:$AQ$327,25,FALSE))/10))</f>
        <v>178.8</v>
      </c>
      <c r="AG156" s="267">
        <f>IF(IndividualLATest!$J$7=2014,(VLOOKUP($A156,Hshldprojections2014!$A$2:$AY$326,46,FALSE)-VLOOKUP($A156,Hshldprojections2014!$A$2:$AY$326,36,FALSE))/10,IF(IndividualLATest!$J$7=2016,(VLOOKUP($A156,Hshldprojections2016!$A$1:$AQ$322,36,FALSE)-VLOOKUP($A156,Hshldprojections2016!$A$1:$AQ$322,26,FALSE))/10,(VLOOKUP($A156,Hshldprojections2018!$A$1:$AQ$327,36,FALSE)-VLOOKUP($A156,Hshldprojections2018!$A$1:$AQ$327,26,FALSE))/10))</f>
        <v>175.4</v>
      </c>
      <c r="AH156" s="267">
        <f>IF(IndividualLATest!$J$7=2014,(VLOOKUP($A156,Hshldprojections2014!$A$2:$AY$326,47,FALSE)-VLOOKUP($A156,Hshldprojections2014!$A$2:$AY$326,37,FALSE))/10,IF(IndividualLATest!$J$7=2016,(VLOOKUP($A156,Hshldprojections2016!$A$1:$AQ$322,37,FALSE)-VLOOKUP($A156,Hshldprojections2016!$A$1:$AQ$322,27,FALSE))/10,(VLOOKUP($A156,Hshldprojections2018!$A$1:$AQ$327,37,FALSE)-VLOOKUP($A156,Hshldprojections2018!$A$1:$AQ$327,27,FALSE))/10))</f>
        <v>174.9</v>
      </c>
      <c r="AI156" s="268">
        <f>IF(ISNUMBER('Sensitivity Tests'!$C$30),'Sensitivity Tests'!$C$30,VLOOKUP($A156,AffordabilityRatio!$A$2:$I$321,5,FALSE))</f>
        <v>8.4600000000000009</v>
      </c>
      <c r="AJ156" s="268">
        <f>IF(ISNUMBER('Sensitivity Tests'!$C$30),'Sensitivity Tests'!$C$30,VLOOKUP($A156,AffordabilityRatio!$A$2:$I$321,6,FALSE))</f>
        <v>8.92</v>
      </c>
      <c r="AK156" s="268">
        <f>IF(ISNUMBER('Sensitivity Tests'!$C$30),'Sensitivity Tests'!$C$30,VLOOKUP($A156,AffordabilityRatio!$A$2:$I$321,7,FALSE))</f>
        <v>9.07</v>
      </c>
      <c r="AL156" s="268">
        <f>IF(ISNUMBER('Sensitivity Tests'!$C$30),'Sensitivity Tests'!$C$30,IF((VLOOKUP($A156,AffordabilityRatio!$A$2:$I$321,8,FALSE))="",AK156,VLOOKUP($A156,AffordabilityRatio!$A$2:$I$321,8,FALSE)))</f>
        <v>9.33</v>
      </c>
      <c r="AM156" s="268">
        <f>IF(ISNUMBER('Sensitivity Tests'!$C$30),'Sensitivity Tests'!$C$30,IF((VLOOKUP($A156,AffordabilityRatio!$A$2:$I$321,9,FALSE))="",AL156,VLOOKUP($A156,AffordabilityRatio!$A$2:$I$321,9,FALSE)))</f>
        <v>10.6</v>
      </c>
      <c r="AN156" s="268">
        <f>IF(ISNUMBER('Sensitivity Tests'!$C$30),'Sensitivity Tests'!$C$30,IF((VLOOKUP($A156,AffordabilityRatio!$A$2:$I$321,9,FALSE))="",AM156,VLOOKUP($A156,AffordabilityRatio!$A$2:$I$321,9,FALSE)))</f>
        <v>10.6</v>
      </c>
      <c r="AO156" s="268">
        <f>IF(ISNUMBER('Sensitivity Tests'!$C$30),'Sensitivity Tests'!$C$30,IF((VLOOKUP($A156,AffordabilityRatio!$A$2:$I$321,9,FALSE))="",AN156,VLOOKUP($A156,AffordabilityRatio!$A$2:$I$321,9,FALSE)))</f>
        <v>10.6</v>
      </c>
      <c r="AP156" s="268">
        <f>IF(ISNUMBER('Sensitivity Tests'!$C$30),'Sensitivity Tests'!$C$30,IF((VLOOKUP($A156,AffordabilityRatio!$A$2:$I$321,9,FALSE))="",AO156,VLOOKUP($A156,AffordabilityRatio!$A$2:$I$321,9,FALSE)))</f>
        <v>10.6</v>
      </c>
      <c r="AQ156" s="267">
        <f t="shared" si="104"/>
        <v>333</v>
      </c>
      <c r="AR156" s="267">
        <f t="shared" si="104"/>
        <v>331</v>
      </c>
      <c r="AS156" s="267">
        <f t="shared" si="104"/>
        <v>321</v>
      </c>
      <c r="AT156" s="267">
        <f t="shared" si="103"/>
        <v>256</v>
      </c>
      <c r="AU156" s="267">
        <f t="shared" si="103"/>
        <v>260</v>
      </c>
      <c r="AV156" s="267">
        <f t="shared" si="103"/>
        <v>253</v>
      </c>
      <c r="AW156" s="267">
        <f t="shared" si="103"/>
        <v>248</v>
      </c>
      <c r="AX156" s="267">
        <f t="shared" si="103"/>
        <v>247</v>
      </c>
      <c r="AY156" s="267">
        <f t="shared" si="122"/>
        <v>333</v>
      </c>
      <c r="AZ156" s="267">
        <f t="shared" si="123"/>
        <v>331</v>
      </c>
      <c r="BA156" s="267">
        <f t="shared" si="124"/>
        <v>321</v>
      </c>
      <c r="BB156" s="267">
        <f t="shared" si="125"/>
        <v>256</v>
      </c>
      <c r="BC156" s="267">
        <f t="shared" si="126"/>
        <v>260</v>
      </c>
      <c r="BD156" s="267">
        <f t="shared" si="127"/>
        <v>253</v>
      </c>
      <c r="BE156" s="267">
        <f t="shared" si="128"/>
        <v>248</v>
      </c>
      <c r="BF156" s="267">
        <f t="shared" si="129"/>
        <v>247</v>
      </c>
      <c r="BG156" s="269">
        <f>AY156*VLOOKUP($B156,'Major Cities &amp; Towns'!$A$28:$B$345,2,FALSE)</f>
        <v>333</v>
      </c>
      <c r="BH156" s="269">
        <f>AZ156*VLOOKUP($B156,'Major Cities &amp; Towns'!$A$28:$B$345,2,FALSE)</f>
        <v>331</v>
      </c>
      <c r="BI156" s="269">
        <f>BA156*VLOOKUP($B156,'Major Cities &amp; Towns'!$A$28:$B$345,2,FALSE)</f>
        <v>321</v>
      </c>
      <c r="BJ156" s="269">
        <f>BB156*VLOOKUP($B156,'Major Cities &amp; Towns'!$A$28:$B$345,2,FALSE)</f>
        <v>256</v>
      </c>
      <c r="BK156" s="269">
        <f>BC156*VLOOKUP($B156,'Major Cities &amp; Towns'!$A$28:$B$345,2,FALSE)</f>
        <v>260</v>
      </c>
      <c r="BL156" s="269">
        <f>BD156*VLOOKUP($B156,'Major Cities &amp; Towns'!$A$28:$B$345,2,FALSE)</f>
        <v>253</v>
      </c>
      <c r="BM156" s="269">
        <f>BE156*VLOOKUP($B156,'Major Cities &amp; Towns'!$A$28:$B$345,2,FALSE)</f>
        <v>248</v>
      </c>
      <c r="BN156" s="269">
        <f>BF156*VLOOKUP($B156,'Major Cities &amp; Towns'!$A$28:$B$345,2,FALSE)</f>
        <v>247</v>
      </c>
      <c r="BO156" s="270">
        <f t="shared" si="130"/>
        <v>333</v>
      </c>
      <c r="BP156" s="270">
        <f t="shared" si="147"/>
        <v>331.00000000000006</v>
      </c>
      <c r="BQ156" s="270">
        <f t="shared" si="147"/>
        <v>321</v>
      </c>
      <c r="BR156" s="270">
        <f t="shared" si="147"/>
        <v>256</v>
      </c>
      <c r="BS156" s="270">
        <f t="shared" si="146"/>
        <v>260</v>
      </c>
      <c r="BT156" s="270">
        <f t="shared" si="146"/>
        <v>253</v>
      </c>
      <c r="BU156" s="270">
        <f t="shared" si="146"/>
        <v>248</v>
      </c>
      <c r="BV156" s="270">
        <f t="shared" si="99"/>
        <v>247</v>
      </c>
      <c r="BW156" s="39">
        <f>VLOOKUP($A156,NetAdditions!$A$2:$H$336,6,FALSE)</f>
        <v>740</v>
      </c>
      <c r="BX156" s="39">
        <f>VLOOKUP($A156,NetAdditions!$A$2:$H$336,7,FALSE)</f>
        <v>581</v>
      </c>
      <c r="BY156" s="39">
        <f>IF((VLOOKUP($C156,NetAdditions!$A$2:$H$336,8,FALSE))="",(AVERAGE(VLOOKUP($C156,NetAdditions!$A$2:$H$336,5,FALSE),VLOOKUP($C156,NetAdditions!$A$2:$H$336,6,FALSE),VLOOKUP($C156,NetAdditions!$A$2:$H$336,7,FALSE))),VLOOKUP($C156,NetAdditions!$A$2:$H$336,8,FALSE))</f>
        <v>548</v>
      </c>
      <c r="BZ156" s="39">
        <f t="shared" si="105"/>
        <v>623</v>
      </c>
      <c r="CA156" s="39">
        <f t="shared" si="105"/>
        <v>584</v>
      </c>
      <c r="CB156" s="39">
        <f t="shared" si="105"/>
        <v>585</v>
      </c>
      <c r="CC156" s="39">
        <f t="shared" si="105"/>
        <v>597.33333333333337</v>
      </c>
      <c r="CD156" s="39">
        <f t="shared" si="105"/>
        <v>588.77777777777783</v>
      </c>
      <c r="CE156" s="276">
        <f t="shared" si="106"/>
        <v>985</v>
      </c>
      <c r="CF156" s="276">
        <f t="shared" si="107"/>
        <v>908</v>
      </c>
      <c r="CG156" s="276">
        <f t="shared" si="108"/>
        <v>837</v>
      </c>
      <c r="CH156" s="276">
        <f t="shared" si="109"/>
        <v>769</v>
      </c>
      <c r="CI156" s="276">
        <f t="shared" si="110"/>
        <v>761</v>
      </c>
      <c r="CJ156" s="276">
        <f t="shared" si="111"/>
        <v>748</v>
      </c>
      <c r="CK156" s="276">
        <f t="shared" si="131"/>
        <v>848.19444444444446</v>
      </c>
      <c r="CL156" s="276">
        <f t="shared" si="132"/>
        <v>781.88888888888891</v>
      </c>
      <c r="CM156" s="276">
        <f t="shared" si="133"/>
        <v>767.25</v>
      </c>
      <c r="CN156" s="276">
        <f t="shared" si="134"/>
        <v>769</v>
      </c>
      <c r="CO156" s="276">
        <f t="shared" si="134"/>
        <v>761</v>
      </c>
      <c r="CP156" s="276">
        <f t="shared" si="134"/>
        <v>748</v>
      </c>
      <c r="CQ156" s="39">
        <f t="shared" si="112"/>
        <v>1869</v>
      </c>
      <c r="CR156" s="39">
        <f t="shared" si="113"/>
        <v>1752</v>
      </c>
      <c r="CS156" s="277">
        <f t="shared" si="114"/>
        <v>1755</v>
      </c>
      <c r="CT156" s="39">
        <f t="shared" si="115"/>
        <v>1792</v>
      </c>
      <c r="CU156" s="39">
        <f t="shared" si="116"/>
        <v>1766.3333333333335</v>
      </c>
      <c r="CV156" s="39">
        <f t="shared" si="117"/>
        <v>1771.1111111111113</v>
      </c>
      <c r="CW156" s="297">
        <f t="shared" si="118"/>
        <v>2.2035041755362696</v>
      </c>
      <c r="CX156" s="279" t="str">
        <f t="shared" si="135"/>
        <v>Pass</v>
      </c>
      <c r="CY156" s="278">
        <f t="shared" si="119"/>
        <v>2.2407275827767514</v>
      </c>
      <c r="CZ156" s="279" t="str">
        <f t="shared" si="136"/>
        <v>Pass</v>
      </c>
      <c r="DA156" s="278">
        <f t="shared" si="120"/>
        <v>2.2873900293255134</v>
      </c>
      <c r="DB156" s="292" t="str">
        <f t="shared" si="137"/>
        <v>Pass</v>
      </c>
      <c r="DC156" s="299">
        <f t="shared" si="138"/>
        <v>2.330299089726918</v>
      </c>
      <c r="DD156" s="293" t="str">
        <f t="shared" si="139"/>
        <v>Pass</v>
      </c>
      <c r="DE156" s="299">
        <f t="shared" si="140"/>
        <v>2.3210687691633818</v>
      </c>
      <c r="DF156" s="293" t="str">
        <f t="shared" si="141"/>
        <v>Pass</v>
      </c>
      <c r="DG156" s="299">
        <f t="shared" si="142"/>
        <v>2.3677956030897209</v>
      </c>
      <c r="DH156" s="293" t="str">
        <f t="shared" si="143"/>
        <v>Pass</v>
      </c>
    </row>
    <row r="157" spans="1:112" ht="15" thickTop="1" thickBot="1">
      <c r="A157" s="38" t="s">
        <v>424</v>
      </c>
      <c r="B157" s="38" t="s">
        <v>425</v>
      </c>
      <c r="C157" s="38" t="s">
        <v>424</v>
      </c>
      <c r="D157" s="38" t="s">
        <v>119</v>
      </c>
      <c r="E157" s="38" t="str">
        <f>VLOOKUP(C157,PoliticalControl!A:K,11,FALSE)</f>
        <v>LAB</v>
      </c>
      <c r="F157" s="38" t="str">
        <f>VLOOKUP(C157,UrbanRuralClassification!A:N,13,FALSE)</f>
        <v>Urban with City and Town</v>
      </c>
      <c r="G157" s="38" t="str">
        <f>VLOOKUP(C157,UrbanRuralClassification!A:N,14,FALSE)</f>
        <v>Predominantly Urban</v>
      </c>
      <c r="H157" s="258">
        <f>IF(ISBLANK((VLOOKUP($A157,'local-plan-data'!$C$1:$AD$566,27,FALSE)))=TRUE,"",VLOOKUP($A157,'local-plan-data'!$C$1:$AD$566,27,FALSE))</f>
        <v>42849</v>
      </c>
      <c r="I157" s="259">
        <f>VLOOKUP($A157,'local-plan-data'!$C$1:$AD$566,28,FALSE)</f>
        <v>1540</v>
      </c>
      <c r="J157" s="260">
        <f t="shared" si="121"/>
        <v>1540</v>
      </c>
      <c r="K157" s="259">
        <f t="shared" si="144"/>
        <v>1540</v>
      </c>
      <c r="L157" s="259">
        <f t="shared" si="148"/>
        <v>1540</v>
      </c>
      <c r="M157" s="259">
        <f t="shared" si="148"/>
        <v>1540</v>
      </c>
      <c r="N157" s="259">
        <f t="shared" si="148"/>
        <v>1540</v>
      </c>
      <c r="O157" s="259">
        <f t="shared" si="148"/>
        <v>1540</v>
      </c>
      <c r="P157" s="259" t="str">
        <f t="shared" si="148"/>
        <v>-</v>
      </c>
      <c r="Q157" s="259" t="str">
        <f t="shared" si="148"/>
        <v>-</v>
      </c>
      <c r="R157" s="259" t="str">
        <f t="shared" si="148"/>
        <v>-</v>
      </c>
      <c r="S157" s="259">
        <f t="shared" si="145"/>
        <v>1484</v>
      </c>
      <c r="T157" s="259">
        <f t="shared" si="149"/>
        <v>1119</v>
      </c>
      <c r="U157" s="259">
        <f t="shared" si="149"/>
        <v>753</v>
      </c>
      <c r="V157" s="259">
        <f t="shared" si="149"/>
        <v>388</v>
      </c>
      <c r="W157" s="259">
        <f t="shared" si="149"/>
        <v>23</v>
      </c>
      <c r="X157" s="259">
        <f t="shared" si="149"/>
        <v>-342</v>
      </c>
      <c r="Y157" s="259">
        <f t="shared" si="149"/>
        <v>-708</v>
      </c>
      <c r="Z157" s="259">
        <f t="shared" si="149"/>
        <v>-1073</v>
      </c>
      <c r="AA157" s="267">
        <f>(VLOOKUP(A157,Hshldprojections2014!$A$2:$AW$319,40, FALSE)-VLOOKUP(A157,Hshldprojections2014!$A$2:$AW$319,30, FALSE))/10</f>
        <v>260.7</v>
      </c>
      <c r="AB157" s="267">
        <f>(VLOOKUP(A157,Hshldprojections2014!$A$2:$AW$319,41, FALSE)-VLOOKUP(A157,Hshldprojections2014!$A$2:$AW$319,31, FALSE))/10</f>
        <v>263.7</v>
      </c>
      <c r="AC157" s="267">
        <f>(VLOOKUP(A157,Hshldprojections2014!$A$2:$AW$319,42, FALSE)-VLOOKUP(A157,Hshldprojections2014!$A$2:$AW$319,32, FALSE))/10</f>
        <v>267.5</v>
      </c>
      <c r="AD157" s="267">
        <f>IF(IndividualLATest!$J$7=2014,(VLOOKUP($A157,Hshldprojections2014!$A$2:$AY$326,43,FALSE)-VLOOKUP($A157,Hshldprojections2014!$A$2:$AY$326,33,FALSE))/10,IF(IndividualLATest!$J$7=2016,(VLOOKUP($A157,Hshldprojections2016!$A$1:$AQ$322,33,FALSE)-VLOOKUP($A157,Hshldprojections2016!$A$1:$AQ$322,23,FALSE))/10,(VLOOKUP($A157,Hshldprojections2018!$A$1:$AQ$327,33,FALSE)-VLOOKUP($A157,Hshldprojections2018!$A$1:$AQ$327,23,FALSE))/10))</f>
        <v>146.19999999999999</v>
      </c>
      <c r="AE157" s="267">
        <f>IF(IndividualLATest!$J$7=2014,(VLOOKUP($A157,Hshldprojections2014!$A$2:$AY$326,44,FALSE)-VLOOKUP($A157,Hshldprojections2014!$A$2:$AY$326,34,FALSE))/10,IF(IndividualLATest!$J$7=2016,(VLOOKUP($A157,Hshldprojections2016!$A$1:$AQ$322,34,FALSE)-VLOOKUP($A157,Hshldprojections2016!$A$1:$AQ$322,24,FALSE))/10,(VLOOKUP($A157,Hshldprojections2018!$A$1:$AQ$327,34,FALSE)-VLOOKUP($A157,Hshldprojections2018!$A$1:$AQ$327,24,FALSE))/10))</f>
        <v>164.7</v>
      </c>
      <c r="AF157" s="267">
        <f>IF(IndividualLATest!$J$7=2014,(VLOOKUP($A157,Hshldprojections2014!$A$2:$AY$326,45,FALSE)-VLOOKUP($A157,Hshldprojections2014!$A$2:$AY$326,35,FALSE))/10,IF(IndividualLATest!$J$7=2016,(VLOOKUP($A157,Hshldprojections2016!$A$1:$AQ$322,35,FALSE)-VLOOKUP($A157,Hshldprojections2016!$A$1:$AQ$322,25,FALSE))/10,(VLOOKUP($A157,Hshldprojections2018!$A$1:$AQ$327,35,FALSE)-VLOOKUP($A157,Hshldprojections2018!$A$1:$AQ$327,25,FALSE))/10))</f>
        <v>172.7</v>
      </c>
      <c r="AG157" s="267">
        <f>IF(IndividualLATest!$J$7=2014,(VLOOKUP($A157,Hshldprojections2014!$A$2:$AY$326,46,FALSE)-VLOOKUP($A157,Hshldprojections2014!$A$2:$AY$326,36,FALSE))/10,IF(IndividualLATest!$J$7=2016,(VLOOKUP($A157,Hshldprojections2016!$A$1:$AQ$322,36,FALSE)-VLOOKUP($A157,Hshldprojections2016!$A$1:$AQ$322,26,FALSE))/10,(VLOOKUP($A157,Hshldprojections2018!$A$1:$AQ$327,36,FALSE)-VLOOKUP($A157,Hshldprojections2018!$A$1:$AQ$327,26,FALSE))/10))</f>
        <v>173.6</v>
      </c>
      <c r="AH157" s="267">
        <f>IF(IndividualLATest!$J$7=2014,(VLOOKUP($A157,Hshldprojections2014!$A$2:$AY$326,47,FALSE)-VLOOKUP($A157,Hshldprojections2014!$A$2:$AY$326,37,FALSE))/10,IF(IndividualLATest!$J$7=2016,(VLOOKUP($A157,Hshldprojections2016!$A$1:$AQ$322,37,FALSE)-VLOOKUP($A157,Hshldprojections2016!$A$1:$AQ$322,27,FALSE))/10,(VLOOKUP($A157,Hshldprojections2018!$A$1:$AQ$327,37,FALSE)-VLOOKUP($A157,Hshldprojections2018!$A$1:$AQ$327,27,FALSE))/10))</f>
        <v>175.7</v>
      </c>
      <c r="AI157" s="268">
        <f>IF(ISNUMBER('Sensitivity Tests'!$C$30),'Sensitivity Tests'!$C$30,VLOOKUP($A157,AffordabilityRatio!$A$2:$I$321,5,FALSE))</f>
        <v>5.54</v>
      </c>
      <c r="AJ157" s="268">
        <f>IF(ISNUMBER('Sensitivity Tests'!$C$30),'Sensitivity Tests'!$C$30,VLOOKUP($A157,AffordabilityRatio!$A$2:$I$321,6,FALSE))</f>
        <v>5.41</v>
      </c>
      <c r="AK157" s="268">
        <f>IF(ISNUMBER('Sensitivity Tests'!$C$30),'Sensitivity Tests'!$C$30,VLOOKUP($A157,AffordabilityRatio!$A$2:$I$321,7,FALSE))</f>
        <v>5.81</v>
      </c>
      <c r="AL157" s="268">
        <f>IF(ISNUMBER('Sensitivity Tests'!$C$30),'Sensitivity Tests'!$C$30,IF((VLOOKUP($A157,AffordabilityRatio!$A$2:$I$321,8,FALSE))="",AK157,VLOOKUP($A157,AffordabilityRatio!$A$2:$I$321,8,FALSE)))</f>
        <v>5.56</v>
      </c>
      <c r="AM157" s="268">
        <f>IF(ISNUMBER('Sensitivity Tests'!$C$30),'Sensitivity Tests'!$C$30,IF((VLOOKUP($A157,AffordabilityRatio!$A$2:$I$321,9,FALSE))="",AL157,VLOOKUP($A157,AffordabilityRatio!$A$2:$I$321,9,FALSE)))</f>
        <v>5.97</v>
      </c>
      <c r="AN157" s="268">
        <f>IF(ISNUMBER('Sensitivity Tests'!$C$30),'Sensitivity Tests'!$C$30,IF((VLOOKUP($A157,AffordabilityRatio!$A$2:$I$321,9,FALSE))="",AM157,VLOOKUP($A157,AffordabilityRatio!$A$2:$I$321,9,FALSE)))</f>
        <v>5.97</v>
      </c>
      <c r="AO157" s="268">
        <f>IF(ISNUMBER('Sensitivity Tests'!$C$30),'Sensitivity Tests'!$C$30,IF((VLOOKUP($A157,AffordabilityRatio!$A$2:$I$321,9,FALSE))="",AN157,VLOOKUP($A157,AffordabilityRatio!$A$2:$I$321,9,FALSE)))</f>
        <v>5.97</v>
      </c>
      <c r="AP157" s="268">
        <f>IF(ISNUMBER('Sensitivity Tests'!$C$30),'Sensitivity Tests'!$C$30,IF((VLOOKUP($A157,AffordabilityRatio!$A$2:$I$321,9,FALSE))="",AO157,VLOOKUP($A157,AffordabilityRatio!$A$2:$I$321,9,FALSE)))</f>
        <v>5.97</v>
      </c>
      <c r="AQ157" s="267">
        <f t="shared" si="104"/>
        <v>286</v>
      </c>
      <c r="AR157" s="267">
        <f t="shared" si="104"/>
        <v>287</v>
      </c>
      <c r="AS157" s="267">
        <f t="shared" si="104"/>
        <v>298</v>
      </c>
      <c r="AT157" s="267">
        <f t="shared" si="103"/>
        <v>160</v>
      </c>
      <c r="AU157" s="267">
        <f t="shared" si="103"/>
        <v>185</v>
      </c>
      <c r="AV157" s="267">
        <f t="shared" si="103"/>
        <v>194</v>
      </c>
      <c r="AW157" s="267">
        <f t="shared" si="103"/>
        <v>195</v>
      </c>
      <c r="AX157" s="267">
        <f t="shared" si="103"/>
        <v>197</v>
      </c>
      <c r="AY157" s="267">
        <f t="shared" si="122"/>
        <v>286</v>
      </c>
      <c r="AZ157" s="267">
        <f t="shared" si="123"/>
        <v>287</v>
      </c>
      <c r="BA157" s="267">
        <f t="shared" si="124"/>
        <v>298</v>
      </c>
      <c r="BB157" s="267">
        <f t="shared" si="125"/>
        <v>160</v>
      </c>
      <c r="BC157" s="267">
        <f t="shared" si="126"/>
        <v>185</v>
      </c>
      <c r="BD157" s="267">
        <f t="shared" si="127"/>
        <v>194</v>
      </c>
      <c r="BE157" s="267">
        <f t="shared" si="128"/>
        <v>195</v>
      </c>
      <c r="BF157" s="267">
        <f t="shared" si="129"/>
        <v>197</v>
      </c>
      <c r="BG157" s="269">
        <f>AY157*VLOOKUP($B157,'Major Cities &amp; Towns'!$A$28:$B$345,2,FALSE)</f>
        <v>286</v>
      </c>
      <c r="BH157" s="269">
        <f>AZ157*VLOOKUP($B157,'Major Cities &amp; Towns'!$A$28:$B$345,2,FALSE)</f>
        <v>287</v>
      </c>
      <c r="BI157" s="269">
        <f>BA157*VLOOKUP($B157,'Major Cities &amp; Towns'!$A$28:$B$345,2,FALSE)</f>
        <v>298</v>
      </c>
      <c r="BJ157" s="269">
        <f>BB157*VLOOKUP($B157,'Major Cities &amp; Towns'!$A$28:$B$345,2,FALSE)</f>
        <v>160</v>
      </c>
      <c r="BK157" s="269">
        <f>BC157*VLOOKUP($B157,'Major Cities &amp; Towns'!$A$28:$B$345,2,FALSE)</f>
        <v>185</v>
      </c>
      <c r="BL157" s="269">
        <f>BD157*VLOOKUP($B157,'Major Cities &amp; Towns'!$A$28:$B$345,2,FALSE)</f>
        <v>194</v>
      </c>
      <c r="BM157" s="269">
        <f>BE157*VLOOKUP($B157,'Major Cities &amp; Towns'!$A$28:$B$345,2,FALSE)</f>
        <v>195</v>
      </c>
      <c r="BN157" s="269">
        <f>BF157*VLOOKUP($B157,'Major Cities &amp; Towns'!$A$28:$B$345,2,FALSE)</f>
        <v>197</v>
      </c>
      <c r="BO157" s="270">
        <f t="shared" si="130"/>
        <v>286</v>
      </c>
      <c r="BP157" s="270">
        <f t="shared" si="147"/>
        <v>287</v>
      </c>
      <c r="BQ157" s="270">
        <f t="shared" si="147"/>
        <v>298</v>
      </c>
      <c r="BR157" s="270">
        <f t="shared" si="147"/>
        <v>160</v>
      </c>
      <c r="BS157" s="270">
        <f t="shared" si="146"/>
        <v>185.00000000000003</v>
      </c>
      <c r="BT157" s="270">
        <f t="shared" si="146"/>
        <v>194</v>
      </c>
      <c r="BU157" s="270">
        <f t="shared" si="146"/>
        <v>195</v>
      </c>
      <c r="BV157" s="270">
        <f t="shared" si="99"/>
        <v>197</v>
      </c>
      <c r="BW157" s="39">
        <f>VLOOKUP($A157,NetAdditions!$A$2:$H$336,6,FALSE)</f>
        <v>366</v>
      </c>
      <c r="BX157" s="39">
        <f>VLOOKUP($A157,NetAdditions!$A$2:$H$336,7,FALSE)</f>
        <v>220</v>
      </c>
      <c r="BY157" s="39">
        <f>IF((VLOOKUP($C157,NetAdditions!$A$2:$H$336,8,FALSE))="",(AVERAGE(VLOOKUP($C157,NetAdditions!$A$2:$H$336,5,FALSE),VLOOKUP($C157,NetAdditions!$A$2:$H$336,6,FALSE),VLOOKUP($C157,NetAdditions!$A$2:$H$336,7,FALSE))),VLOOKUP($C157,NetAdditions!$A$2:$H$336,8,FALSE))</f>
        <v>171</v>
      </c>
      <c r="BZ157" s="39">
        <f t="shared" si="105"/>
        <v>252.33333333333334</v>
      </c>
      <c r="CA157" s="39">
        <f t="shared" si="105"/>
        <v>214.44444444444446</v>
      </c>
      <c r="CB157" s="39">
        <f t="shared" si="105"/>
        <v>212.59259259259261</v>
      </c>
      <c r="CC157" s="39">
        <f t="shared" si="105"/>
        <v>226.45679012345681</v>
      </c>
      <c r="CD157" s="39">
        <f t="shared" si="105"/>
        <v>217.83127572016463</v>
      </c>
      <c r="CE157" s="276">
        <f t="shared" si="106"/>
        <v>871</v>
      </c>
      <c r="CF157" s="276">
        <f t="shared" si="107"/>
        <v>745</v>
      </c>
      <c r="CG157" s="276">
        <f t="shared" si="108"/>
        <v>643</v>
      </c>
      <c r="CH157" s="276">
        <f t="shared" si="109"/>
        <v>539</v>
      </c>
      <c r="CI157" s="276">
        <f t="shared" si="110"/>
        <v>574</v>
      </c>
      <c r="CJ157" s="276">
        <f t="shared" si="111"/>
        <v>586</v>
      </c>
      <c r="CK157" s="276">
        <f t="shared" si="131"/>
        <v>750.02777777777783</v>
      </c>
      <c r="CL157" s="276">
        <f t="shared" si="132"/>
        <v>641.52777777777783</v>
      </c>
      <c r="CM157" s="276">
        <f t="shared" si="133"/>
        <v>589.41666666666663</v>
      </c>
      <c r="CN157" s="276">
        <f t="shared" si="134"/>
        <v>539</v>
      </c>
      <c r="CO157" s="276">
        <f t="shared" si="134"/>
        <v>574</v>
      </c>
      <c r="CP157" s="276">
        <f t="shared" si="134"/>
        <v>586</v>
      </c>
      <c r="CQ157" s="39">
        <f t="shared" si="112"/>
        <v>757</v>
      </c>
      <c r="CR157" s="39">
        <f t="shared" si="113"/>
        <v>643.33333333333337</v>
      </c>
      <c r="CS157" s="277">
        <f t="shared" si="114"/>
        <v>637.77777777777783</v>
      </c>
      <c r="CT157" s="39">
        <f t="shared" si="115"/>
        <v>679.37037037037044</v>
      </c>
      <c r="CU157" s="39">
        <f t="shared" si="116"/>
        <v>653.49382716049388</v>
      </c>
      <c r="CV157" s="39">
        <f t="shared" si="117"/>
        <v>656.88065843621405</v>
      </c>
      <c r="CW157" s="297">
        <f t="shared" si="118"/>
        <v>1.0092959520017777</v>
      </c>
      <c r="CX157" s="279" t="str">
        <f t="shared" si="135"/>
        <v>Pass</v>
      </c>
      <c r="CY157" s="278">
        <f t="shared" si="119"/>
        <v>1.002814462004763</v>
      </c>
      <c r="CZ157" s="279" t="str">
        <f t="shared" si="136"/>
        <v>Pass</v>
      </c>
      <c r="DA157" s="278">
        <f t="shared" si="120"/>
        <v>1.0820491069324663</v>
      </c>
      <c r="DB157" s="292" t="str">
        <f t="shared" si="137"/>
        <v>Pass</v>
      </c>
      <c r="DC157" s="299">
        <f t="shared" si="138"/>
        <v>1.2604274032845462</v>
      </c>
      <c r="DD157" s="293" t="str">
        <f t="shared" si="139"/>
        <v>Pass</v>
      </c>
      <c r="DE157" s="299">
        <f t="shared" si="140"/>
        <v>1.138490988084484</v>
      </c>
      <c r="DF157" s="293" t="str">
        <f t="shared" si="141"/>
        <v>Pass</v>
      </c>
      <c r="DG157" s="299">
        <f t="shared" si="142"/>
        <v>1.1209567550106041</v>
      </c>
      <c r="DH157" s="293" t="str">
        <f t="shared" si="143"/>
        <v>Pass</v>
      </c>
    </row>
    <row r="158" spans="1:112" ht="15" thickTop="1" thickBot="1">
      <c r="A158" s="38" t="s">
        <v>426</v>
      </c>
      <c r="B158" s="38" t="s">
        <v>427</v>
      </c>
      <c r="C158" s="38" t="s">
        <v>426</v>
      </c>
      <c r="D158" s="38" t="s">
        <v>116</v>
      </c>
      <c r="E158" s="38" t="str">
        <f>VLOOKUP(C158,PoliticalControl!A:K,11,FALSE)</f>
        <v>LAB</v>
      </c>
      <c r="F158" s="38" t="str">
        <f>VLOOKUP(C158,UrbanRuralClassification!A:N,13,FALSE)</f>
        <v>Urban with Major Conurbation</v>
      </c>
      <c r="G158" s="38" t="str">
        <f>VLOOKUP(C158,UrbanRuralClassification!A:N,14,FALSE)</f>
        <v>Predominantly Urban</v>
      </c>
      <c r="H158" s="258">
        <f>IF(ISBLANK((VLOOKUP($A158,'local-plan-data'!$C$1:$AD$566,27,FALSE)))=TRUE,"",VLOOKUP($A158,'local-plan-data'!$C$1:$AD$566,27,FALSE))</f>
        <v>44587</v>
      </c>
      <c r="I158" s="259">
        <f>VLOOKUP($A158,'local-plan-data'!$C$1:$AD$566,28,FALSE)</f>
        <v>1739</v>
      </c>
      <c r="J158" s="260">
        <f t="shared" si="121"/>
        <v>1739</v>
      </c>
      <c r="K158" s="259">
        <f t="shared" si="144"/>
        <v>1739</v>
      </c>
      <c r="L158" s="259">
        <f t="shared" si="148"/>
        <v>1739</v>
      </c>
      <c r="M158" s="259">
        <f t="shared" si="148"/>
        <v>1739</v>
      </c>
      <c r="N158" s="259">
        <f t="shared" si="148"/>
        <v>1739</v>
      </c>
      <c r="O158" s="259">
        <f t="shared" si="148"/>
        <v>1739</v>
      </c>
      <c r="P158" s="259">
        <f t="shared" si="148"/>
        <v>1739</v>
      </c>
      <c r="Q158" s="259">
        <f t="shared" si="148"/>
        <v>1739</v>
      </c>
      <c r="R158" s="259">
        <f t="shared" si="148"/>
        <v>1739</v>
      </c>
      <c r="S158" s="259">
        <f t="shared" si="145"/>
        <v>3222</v>
      </c>
      <c r="T158" s="259">
        <f t="shared" si="149"/>
        <v>2857</v>
      </c>
      <c r="U158" s="259">
        <f t="shared" si="149"/>
        <v>2491</v>
      </c>
      <c r="V158" s="259">
        <f t="shared" si="149"/>
        <v>2126</v>
      </c>
      <c r="W158" s="259">
        <f t="shared" si="149"/>
        <v>1761</v>
      </c>
      <c r="X158" s="259">
        <f t="shared" si="149"/>
        <v>1396</v>
      </c>
      <c r="Y158" s="259">
        <f t="shared" si="149"/>
        <v>1030</v>
      </c>
      <c r="Z158" s="259">
        <f t="shared" si="149"/>
        <v>665</v>
      </c>
      <c r="AA158" s="267">
        <f>(VLOOKUP(A158,Hshldprojections2014!$A$2:$AW$319,40, FALSE)-VLOOKUP(A158,Hshldprojections2014!$A$2:$AW$319,30, FALSE))/10</f>
        <v>1576.5</v>
      </c>
      <c r="AB158" s="267">
        <f>(VLOOKUP(A158,Hshldprojections2014!$A$2:$AW$319,41, FALSE)-VLOOKUP(A158,Hshldprojections2014!$A$2:$AW$319,31, FALSE))/10</f>
        <v>1556.4</v>
      </c>
      <c r="AC158" s="267">
        <f>(VLOOKUP(A158,Hshldprojections2014!$A$2:$AW$319,42, FALSE)-VLOOKUP(A158,Hshldprojections2014!$A$2:$AW$319,32, FALSE))/10</f>
        <v>1536.7</v>
      </c>
      <c r="AD158" s="267">
        <f>IF(IndividualLATest!$J$7=2014,(VLOOKUP($A158,Hshldprojections2014!$A$2:$AY$326,43,FALSE)-VLOOKUP($A158,Hshldprojections2014!$A$2:$AY$326,33,FALSE))/10,IF(IndividualLATest!$J$7=2016,(VLOOKUP($A158,Hshldprojections2016!$A$1:$AQ$322,33,FALSE)-VLOOKUP($A158,Hshldprojections2016!$A$1:$AQ$322,23,FALSE))/10,(VLOOKUP($A158,Hshldprojections2018!$A$1:$AQ$327,33,FALSE)-VLOOKUP($A158,Hshldprojections2018!$A$1:$AQ$327,23,FALSE))/10))</f>
        <v>1229.5999999999999</v>
      </c>
      <c r="AE158" s="267">
        <f>IF(IndividualLATest!$J$7=2014,(VLOOKUP($A158,Hshldprojections2014!$A$2:$AY$326,44,FALSE)-VLOOKUP($A158,Hshldprojections2014!$A$2:$AY$326,34,FALSE))/10,IF(IndividualLATest!$J$7=2016,(VLOOKUP($A158,Hshldprojections2016!$A$1:$AQ$322,34,FALSE)-VLOOKUP($A158,Hshldprojections2016!$A$1:$AQ$322,24,FALSE))/10,(VLOOKUP($A158,Hshldprojections2018!$A$1:$AQ$327,34,FALSE)-VLOOKUP($A158,Hshldprojections2018!$A$1:$AQ$327,24,FALSE))/10))</f>
        <v>1262.0999999999999</v>
      </c>
      <c r="AF158" s="267">
        <f>IF(IndividualLATest!$J$7=2014,(VLOOKUP($A158,Hshldprojections2014!$A$2:$AY$326,45,FALSE)-VLOOKUP($A158,Hshldprojections2014!$A$2:$AY$326,35,FALSE))/10,IF(IndividualLATest!$J$7=2016,(VLOOKUP($A158,Hshldprojections2016!$A$1:$AQ$322,35,FALSE)-VLOOKUP($A158,Hshldprojections2016!$A$1:$AQ$322,25,FALSE))/10,(VLOOKUP($A158,Hshldprojections2018!$A$1:$AQ$327,35,FALSE)-VLOOKUP($A158,Hshldprojections2018!$A$1:$AQ$327,25,FALSE))/10))</f>
        <v>1287.8</v>
      </c>
      <c r="AG158" s="267">
        <f>IF(IndividualLATest!$J$7=2014,(VLOOKUP($A158,Hshldprojections2014!$A$2:$AY$326,46,FALSE)-VLOOKUP($A158,Hshldprojections2014!$A$2:$AY$326,36,FALSE))/10,IF(IndividualLATest!$J$7=2016,(VLOOKUP($A158,Hshldprojections2016!$A$1:$AQ$322,36,FALSE)-VLOOKUP($A158,Hshldprojections2016!$A$1:$AQ$322,26,FALSE))/10,(VLOOKUP($A158,Hshldprojections2018!$A$1:$AQ$327,36,FALSE)-VLOOKUP($A158,Hshldprojections2018!$A$1:$AQ$327,26,FALSE))/10))</f>
        <v>1302.8</v>
      </c>
      <c r="AH158" s="267">
        <f>IF(IndividualLATest!$J$7=2014,(VLOOKUP($A158,Hshldprojections2014!$A$2:$AY$326,47,FALSE)-VLOOKUP($A158,Hshldprojections2014!$A$2:$AY$326,37,FALSE))/10,IF(IndividualLATest!$J$7=2016,(VLOOKUP($A158,Hshldprojections2016!$A$1:$AQ$322,37,FALSE)-VLOOKUP($A158,Hshldprojections2016!$A$1:$AQ$322,27,FALSE))/10,(VLOOKUP($A158,Hshldprojections2018!$A$1:$AQ$327,37,FALSE)-VLOOKUP($A158,Hshldprojections2018!$A$1:$AQ$327,27,FALSE))/10))</f>
        <v>1316.7</v>
      </c>
      <c r="AI158" s="268">
        <f>IF(ISNUMBER('Sensitivity Tests'!$C$30),'Sensitivity Tests'!$C$30,VLOOKUP($A158,AffordabilityRatio!$A$2:$I$321,5,FALSE))</f>
        <v>4.63</v>
      </c>
      <c r="AJ158" s="268">
        <f>IF(ISNUMBER('Sensitivity Tests'!$C$30),'Sensitivity Tests'!$C$30,VLOOKUP($A158,AffordabilityRatio!$A$2:$I$321,6,FALSE))</f>
        <v>4.66</v>
      </c>
      <c r="AK158" s="268">
        <f>IF(ISNUMBER('Sensitivity Tests'!$C$30),'Sensitivity Tests'!$C$30,VLOOKUP($A158,AffordabilityRatio!$A$2:$I$321,7,FALSE))</f>
        <v>4.29</v>
      </c>
      <c r="AL158" s="268">
        <f>IF(ISNUMBER('Sensitivity Tests'!$C$30),'Sensitivity Tests'!$C$30,IF((VLOOKUP($A158,AffordabilityRatio!$A$2:$I$321,8,FALSE))="",AK158,VLOOKUP($A158,AffordabilityRatio!$A$2:$I$321,8,FALSE)))</f>
        <v>4.1100000000000003</v>
      </c>
      <c r="AM158" s="268">
        <f>IF(ISNUMBER('Sensitivity Tests'!$C$30),'Sensitivity Tests'!$C$30,IF((VLOOKUP($A158,AffordabilityRatio!$A$2:$I$321,9,FALSE))="",AL158,VLOOKUP($A158,AffordabilityRatio!$A$2:$I$321,9,FALSE)))</f>
        <v>5.05</v>
      </c>
      <c r="AN158" s="268">
        <f>IF(ISNUMBER('Sensitivity Tests'!$C$30),'Sensitivity Tests'!$C$30,IF((VLOOKUP($A158,AffordabilityRatio!$A$2:$I$321,9,FALSE))="",AM158,VLOOKUP($A158,AffordabilityRatio!$A$2:$I$321,9,FALSE)))</f>
        <v>5.05</v>
      </c>
      <c r="AO158" s="268">
        <f>IF(ISNUMBER('Sensitivity Tests'!$C$30),'Sensitivity Tests'!$C$30,IF((VLOOKUP($A158,AffordabilityRatio!$A$2:$I$321,9,FALSE))="",AN158,VLOOKUP($A158,AffordabilityRatio!$A$2:$I$321,9,FALSE)))</f>
        <v>5.05</v>
      </c>
      <c r="AP158" s="268">
        <f>IF(ISNUMBER('Sensitivity Tests'!$C$30),'Sensitivity Tests'!$C$30,IF((VLOOKUP($A158,AffordabilityRatio!$A$2:$I$321,9,FALSE))="",AO158,VLOOKUP($A158,AffordabilityRatio!$A$2:$I$321,9,FALSE)))</f>
        <v>5.05</v>
      </c>
      <c r="AQ158" s="267">
        <f t="shared" si="104"/>
        <v>1639</v>
      </c>
      <c r="AR158" s="267">
        <f t="shared" si="104"/>
        <v>1621</v>
      </c>
      <c r="AS158" s="267">
        <f t="shared" si="104"/>
        <v>1565</v>
      </c>
      <c r="AT158" s="267">
        <f t="shared" si="103"/>
        <v>1238</v>
      </c>
      <c r="AU158" s="267">
        <f t="shared" si="103"/>
        <v>1345</v>
      </c>
      <c r="AV158" s="267">
        <f t="shared" si="103"/>
        <v>1372</v>
      </c>
      <c r="AW158" s="267">
        <f t="shared" si="103"/>
        <v>1388</v>
      </c>
      <c r="AX158" s="267">
        <f t="shared" si="103"/>
        <v>1403</v>
      </c>
      <c r="AY158" s="267">
        <f t="shared" si="122"/>
        <v>1639</v>
      </c>
      <c r="AZ158" s="267">
        <f t="shared" si="123"/>
        <v>1621</v>
      </c>
      <c r="BA158" s="267">
        <f t="shared" si="124"/>
        <v>1565</v>
      </c>
      <c r="BB158" s="267">
        <f t="shared" si="125"/>
        <v>1238</v>
      </c>
      <c r="BC158" s="267">
        <f t="shared" si="126"/>
        <v>1345</v>
      </c>
      <c r="BD158" s="267">
        <f t="shared" si="127"/>
        <v>1372</v>
      </c>
      <c r="BE158" s="267">
        <f t="shared" si="128"/>
        <v>1388</v>
      </c>
      <c r="BF158" s="267">
        <f t="shared" si="129"/>
        <v>1403</v>
      </c>
      <c r="BG158" s="269">
        <f>AY158*VLOOKUP($B158,'Major Cities &amp; Towns'!$A$28:$B$345,2,FALSE)</f>
        <v>2212.65</v>
      </c>
      <c r="BH158" s="269">
        <f>AZ158*VLOOKUP($B158,'Major Cities &amp; Towns'!$A$28:$B$345,2,FALSE)</f>
        <v>2188.3500000000004</v>
      </c>
      <c r="BI158" s="269">
        <f>BA158*VLOOKUP($B158,'Major Cities &amp; Towns'!$A$28:$B$345,2,FALSE)</f>
        <v>2112.75</v>
      </c>
      <c r="BJ158" s="269">
        <f>BB158*VLOOKUP($B158,'Major Cities &amp; Towns'!$A$28:$B$345,2,FALSE)</f>
        <v>1671.3000000000002</v>
      </c>
      <c r="BK158" s="269">
        <f>BC158*VLOOKUP($B158,'Major Cities &amp; Towns'!$A$28:$B$345,2,FALSE)</f>
        <v>1815.7500000000002</v>
      </c>
      <c r="BL158" s="269">
        <f>BD158*VLOOKUP($B158,'Major Cities &amp; Towns'!$A$28:$B$345,2,FALSE)</f>
        <v>1852.2</v>
      </c>
      <c r="BM158" s="269">
        <f>BE158*VLOOKUP($B158,'Major Cities &amp; Towns'!$A$28:$B$345,2,FALSE)</f>
        <v>1873.8000000000002</v>
      </c>
      <c r="BN158" s="269">
        <f>BF158*VLOOKUP($B158,'Major Cities &amp; Towns'!$A$28:$B$345,2,FALSE)</f>
        <v>1894.0500000000002</v>
      </c>
      <c r="BO158" s="270">
        <f t="shared" si="130"/>
        <v>1639</v>
      </c>
      <c r="BP158" s="270">
        <f t="shared" si="147"/>
        <v>1621</v>
      </c>
      <c r="BQ158" s="270">
        <f t="shared" si="147"/>
        <v>1565</v>
      </c>
      <c r="BR158" s="270">
        <f t="shared" si="147"/>
        <v>1238</v>
      </c>
      <c r="BS158" s="270">
        <f t="shared" si="146"/>
        <v>1345</v>
      </c>
      <c r="BT158" s="270">
        <f t="shared" si="146"/>
        <v>1372</v>
      </c>
      <c r="BU158" s="270">
        <f t="shared" si="146"/>
        <v>1388</v>
      </c>
      <c r="BV158" s="270">
        <f t="shared" si="99"/>
        <v>1403</v>
      </c>
      <c r="BW158" s="39">
        <f>VLOOKUP($A158,NetAdditions!$A$2:$H$336,6,FALSE)</f>
        <v>2217</v>
      </c>
      <c r="BX158" s="39">
        <f>VLOOKUP($A158,NetAdditions!$A$2:$H$336,7,FALSE)</f>
        <v>2536</v>
      </c>
      <c r="BY158" s="39">
        <f>IF((VLOOKUP($C158,NetAdditions!$A$2:$H$336,8,FALSE))="",(AVERAGE(VLOOKUP($C158,NetAdditions!$A$2:$H$336,5,FALSE),VLOOKUP($C158,NetAdditions!$A$2:$H$336,6,FALSE),VLOOKUP($C158,NetAdditions!$A$2:$H$336,7,FALSE))),VLOOKUP($C158,NetAdditions!$A$2:$H$336,8,FALSE))</f>
        <v>2363</v>
      </c>
      <c r="BZ158" s="39">
        <f t="shared" si="105"/>
        <v>2372</v>
      </c>
      <c r="CA158" s="39">
        <f t="shared" si="105"/>
        <v>2423.6666666666665</v>
      </c>
      <c r="CB158" s="39">
        <f t="shared" si="105"/>
        <v>2386.2222222222222</v>
      </c>
      <c r="CC158" s="39">
        <f t="shared" si="105"/>
        <v>2393.962962962963</v>
      </c>
      <c r="CD158" s="39">
        <f t="shared" si="105"/>
        <v>2401.2839506172841</v>
      </c>
      <c r="CE158" s="276">
        <f t="shared" si="106"/>
        <v>4825</v>
      </c>
      <c r="CF158" s="276">
        <f t="shared" si="107"/>
        <v>4424</v>
      </c>
      <c r="CG158" s="276">
        <f t="shared" si="108"/>
        <v>4148</v>
      </c>
      <c r="CH158" s="276">
        <f t="shared" si="109"/>
        <v>3955</v>
      </c>
      <c r="CI158" s="276">
        <f t="shared" si="110"/>
        <v>4105</v>
      </c>
      <c r="CJ158" s="276">
        <f t="shared" si="111"/>
        <v>4163</v>
      </c>
      <c r="CK158" s="276">
        <f t="shared" si="131"/>
        <v>4154.8611111111113</v>
      </c>
      <c r="CL158" s="276">
        <f t="shared" si="132"/>
        <v>3809.5555555555557</v>
      </c>
      <c r="CM158" s="276">
        <f t="shared" si="133"/>
        <v>3802.333333333333</v>
      </c>
      <c r="CN158" s="276">
        <f t="shared" si="134"/>
        <v>3955</v>
      </c>
      <c r="CO158" s="276">
        <f t="shared" si="134"/>
        <v>4105</v>
      </c>
      <c r="CP158" s="276">
        <f t="shared" si="134"/>
        <v>4163</v>
      </c>
      <c r="CQ158" s="39">
        <f t="shared" si="112"/>
        <v>7116</v>
      </c>
      <c r="CR158" s="39">
        <f t="shared" si="113"/>
        <v>7271</v>
      </c>
      <c r="CS158" s="277">
        <f t="shared" si="114"/>
        <v>7158.6666666666661</v>
      </c>
      <c r="CT158" s="39">
        <f t="shared" si="115"/>
        <v>7181.8888888888887</v>
      </c>
      <c r="CU158" s="39">
        <f t="shared" si="116"/>
        <v>7203.8518518518522</v>
      </c>
      <c r="CV158" s="39">
        <f t="shared" si="117"/>
        <v>7181.4691358024693</v>
      </c>
      <c r="CW158" s="297">
        <f t="shared" si="118"/>
        <v>1.7126926291158282</v>
      </c>
      <c r="CX158" s="279" t="str">
        <f t="shared" si="135"/>
        <v>Pass</v>
      </c>
      <c r="CY158" s="278">
        <f t="shared" si="119"/>
        <v>1.9086215948200431</v>
      </c>
      <c r="CZ158" s="279" t="str">
        <f t="shared" si="136"/>
        <v>Pass</v>
      </c>
      <c r="DA158" s="278">
        <f t="shared" si="120"/>
        <v>1.8827036030507582</v>
      </c>
      <c r="DB158" s="292" t="str">
        <f t="shared" si="137"/>
        <v>Pass</v>
      </c>
      <c r="DC158" s="299">
        <f t="shared" si="138"/>
        <v>1.8159011097064195</v>
      </c>
      <c r="DD158" s="293" t="str">
        <f t="shared" si="139"/>
        <v>Pass</v>
      </c>
      <c r="DE158" s="299">
        <f t="shared" si="140"/>
        <v>1.7548969188433257</v>
      </c>
      <c r="DF158" s="293" t="str">
        <f t="shared" si="141"/>
        <v>Pass</v>
      </c>
      <c r="DG158" s="299">
        <f t="shared" si="142"/>
        <v>1.7250706547687891</v>
      </c>
      <c r="DH158" s="293" t="str">
        <f t="shared" si="143"/>
        <v>Pass</v>
      </c>
    </row>
    <row r="159" spans="1:112" ht="15" thickTop="1" thickBot="1">
      <c r="A159" s="38" t="s">
        <v>428</v>
      </c>
      <c r="B159" s="38" t="s">
        <v>429</v>
      </c>
      <c r="C159" s="38" t="s">
        <v>428</v>
      </c>
      <c r="D159" s="38" t="s">
        <v>128</v>
      </c>
      <c r="E159" s="38" t="str">
        <f>VLOOKUP(C159,PoliticalControl!A:K,11,FALSE)</f>
        <v>LAB</v>
      </c>
      <c r="F159" s="38" t="str">
        <f>VLOOKUP(C159,UrbanRuralClassification!A:N,13,FALSE)</f>
        <v>Urban with City and Town</v>
      </c>
      <c r="G159" s="38" t="str">
        <f>VLOOKUP(C159,UrbanRuralClassification!A:N,14,FALSE)</f>
        <v>Predominantly Urban</v>
      </c>
      <c r="H159" s="258">
        <f>IF(ISBLANK((VLOOKUP($A159,'local-plan-data'!$C$1:$AD$566,27,FALSE)))=TRUE,"",VLOOKUP($A159,'local-plan-data'!$C$1:$AD$566,27,FALSE))</f>
        <v>43046</v>
      </c>
      <c r="I159" s="259">
        <f>VLOOKUP($A159,'local-plan-data'!$C$1:$AD$566,28,FALSE)</f>
        <v>425</v>
      </c>
      <c r="J159" s="260">
        <f t="shared" si="121"/>
        <v>425</v>
      </c>
      <c r="K159" s="259">
        <f t="shared" si="144"/>
        <v>425</v>
      </c>
      <c r="L159" s="259">
        <f t="shared" si="148"/>
        <v>425</v>
      </c>
      <c r="M159" s="259">
        <f t="shared" si="148"/>
        <v>425</v>
      </c>
      <c r="N159" s="259">
        <f t="shared" si="148"/>
        <v>425</v>
      </c>
      <c r="O159" s="259">
        <f t="shared" si="148"/>
        <v>425</v>
      </c>
      <c r="P159" s="259" t="str">
        <f t="shared" si="148"/>
        <v>-</v>
      </c>
      <c r="Q159" s="259" t="str">
        <f t="shared" si="148"/>
        <v>-</v>
      </c>
      <c r="R159" s="259" t="str">
        <f t="shared" si="148"/>
        <v>-</v>
      </c>
      <c r="S159" s="259">
        <f t="shared" si="145"/>
        <v>1681</v>
      </c>
      <c r="T159" s="259">
        <f t="shared" si="149"/>
        <v>1316</v>
      </c>
      <c r="U159" s="259">
        <f t="shared" si="149"/>
        <v>950</v>
      </c>
      <c r="V159" s="259">
        <f t="shared" si="149"/>
        <v>585</v>
      </c>
      <c r="W159" s="259">
        <f t="shared" si="149"/>
        <v>220</v>
      </c>
      <c r="X159" s="259">
        <f t="shared" si="149"/>
        <v>-145</v>
      </c>
      <c r="Y159" s="259">
        <f t="shared" si="149"/>
        <v>-511</v>
      </c>
      <c r="Z159" s="259">
        <f t="shared" si="149"/>
        <v>-876</v>
      </c>
      <c r="AA159" s="267">
        <f>(VLOOKUP(A159,Hshldprojections2014!$A$2:$AW$319,40, FALSE)-VLOOKUP(A159,Hshldprojections2014!$A$2:$AW$319,30, FALSE))/10</f>
        <v>1143.9000000000001</v>
      </c>
      <c r="AB159" s="267">
        <f>(VLOOKUP(A159,Hshldprojections2014!$A$2:$AW$319,41, FALSE)-VLOOKUP(A159,Hshldprojections2014!$A$2:$AW$319,31, FALSE))/10</f>
        <v>1132.3</v>
      </c>
      <c r="AC159" s="267">
        <f>(VLOOKUP(A159,Hshldprojections2014!$A$2:$AW$319,42, FALSE)-VLOOKUP(A159,Hshldprojections2014!$A$2:$AW$319,32, FALSE))/10</f>
        <v>1124.8</v>
      </c>
      <c r="AD159" s="267">
        <f>IF(IndividualLATest!$J$7=2014,(VLOOKUP($A159,Hshldprojections2014!$A$2:$AY$326,43,FALSE)-VLOOKUP($A159,Hshldprojections2014!$A$2:$AY$326,33,FALSE))/10,IF(IndividualLATest!$J$7=2016,(VLOOKUP($A159,Hshldprojections2016!$A$1:$AQ$322,33,FALSE)-VLOOKUP($A159,Hshldprojections2016!$A$1:$AQ$322,23,FALSE))/10,(VLOOKUP($A159,Hshldprojections2018!$A$1:$AQ$327,33,FALSE)-VLOOKUP($A159,Hshldprojections2018!$A$1:$AQ$327,23,FALSE))/10))</f>
        <v>45.8</v>
      </c>
      <c r="AE159" s="267">
        <f>IF(IndividualLATest!$J$7=2014,(VLOOKUP($A159,Hshldprojections2014!$A$2:$AY$326,44,FALSE)-VLOOKUP($A159,Hshldprojections2014!$A$2:$AY$326,34,FALSE))/10,IF(IndividualLATest!$J$7=2016,(VLOOKUP($A159,Hshldprojections2016!$A$1:$AQ$322,34,FALSE)-VLOOKUP($A159,Hshldprojections2016!$A$1:$AQ$322,24,FALSE))/10,(VLOOKUP($A159,Hshldprojections2018!$A$1:$AQ$327,34,FALSE)-VLOOKUP($A159,Hshldprojections2018!$A$1:$AQ$327,24,FALSE))/10))</f>
        <v>46.9</v>
      </c>
      <c r="AF159" s="267">
        <f>IF(IndividualLATest!$J$7=2014,(VLOOKUP($A159,Hshldprojections2014!$A$2:$AY$326,45,FALSE)-VLOOKUP($A159,Hshldprojections2014!$A$2:$AY$326,35,FALSE))/10,IF(IndividualLATest!$J$7=2016,(VLOOKUP($A159,Hshldprojections2016!$A$1:$AQ$322,35,FALSE)-VLOOKUP($A159,Hshldprojections2016!$A$1:$AQ$322,25,FALSE))/10,(VLOOKUP($A159,Hshldprojections2018!$A$1:$AQ$327,35,FALSE)-VLOOKUP($A159,Hshldprojections2018!$A$1:$AQ$327,25,FALSE))/10))</f>
        <v>51.1</v>
      </c>
      <c r="AG159" s="267">
        <f>IF(IndividualLATest!$J$7=2014,(VLOOKUP($A159,Hshldprojections2014!$A$2:$AY$326,46,FALSE)-VLOOKUP($A159,Hshldprojections2014!$A$2:$AY$326,36,FALSE))/10,IF(IndividualLATest!$J$7=2016,(VLOOKUP($A159,Hshldprojections2016!$A$1:$AQ$322,36,FALSE)-VLOOKUP($A159,Hshldprojections2016!$A$1:$AQ$322,26,FALSE))/10,(VLOOKUP($A159,Hshldprojections2018!$A$1:$AQ$327,36,FALSE)-VLOOKUP($A159,Hshldprojections2018!$A$1:$AQ$327,26,FALSE))/10))</f>
        <v>58.5</v>
      </c>
      <c r="AH159" s="267">
        <f>IF(IndividualLATest!$J$7=2014,(VLOOKUP($A159,Hshldprojections2014!$A$2:$AY$326,47,FALSE)-VLOOKUP($A159,Hshldprojections2014!$A$2:$AY$326,37,FALSE))/10,IF(IndividualLATest!$J$7=2016,(VLOOKUP($A159,Hshldprojections2016!$A$1:$AQ$322,37,FALSE)-VLOOKUP($A159,Hshldprojections2016!$A$1:$AQ$322,27,FALSE))/10,(VLOOKUP($A159,Hshldprojections2018!$A$1:$AQ$327,37,FALSE)-VLOOKUP($A159,Hshldprojections2018!$A$1:$AQ$327,27,FALSE))/10))</f>
        <v>66.400000000000006</v>
      </c>
      <c r="AI159" s="268">
        <f>IF(ISNUMBER('Sensitivity Tests'!$C$30),'Sensitivity Tests'!$C$30,VLOOKUP($A159,AffordabilityRatio!$A$2:$I$321,5,FALSE))</f>
        <v>7.36</v>
      </c>
      <c r="AJ159" s="268">
        <f>IF(ISNUMBER('Sensitivity Tests'!$C$30),'Sensitivity Tests'!$C$30,VLOOKUP($A159,AffordabilityRatio!$A$2:$I$321,6,FALSE))</f>
        <v>8.32</v>
      </c>
      <c r="AK159" s="268">
        <f>IF(ISNUMBER('Sensitivity Tests'!$C$30),'Sensitivity Tests'!$C$30,VLOOKUP($A159,AffordabilityRatio!$A$2:$I$321,7,FALSE))</f>
        <v>7.54</v>
      </c>
      <c r="AL159" s="268">
        <f>IF(ISNUMBER('Sensitivity Tests'!$C$30),'Sensitivity Tests'!$C$30,IF((VLOOKUP($A159,AffordabilityRatio!$A$2:$I$321,8,FALSE))="",AK159,VLOOKUP($A159,AffordabilityRatio!$A$2:$I$321,8,FALSE)))</f>
        <v>7.51</v>
      </c>
      <c r="AM159" s="268">
        <f>IF(ISNUMBER('Sensitivity Tests'!$C$30),'Sensitivity Tests'!$C$30,IF((VLOOKUP($A159,AffordabilityRatio!$A$2:$I$321,9,FALSE))="",AL159,VLOOKUP($A159,AffordabilityRatio!$A$2:$I$321,9,FALSE)))</f>
        <v>8.11</v>
      </c>
      <c r="AN159" s="268">
        <f>IF(ISNUMBER('Sensitivity Tests'!$C$30),'Sensitivity Tests'!$C$30,IF((VLOOKUP($A159,AffordabilityRatio!$A$2:$I$321,9,FALSE))="",AM159,VLOOKUP($A159,AffordabilityRatio!$A$2:$I$321,9,FALSE)))</f>
        <v>8.11</v>
      </c>
      <c r="AO159" s="268">
        <f>IF(ISNUMBER('Sensitivity Tests'!$C$30),'Sensitivity Tests'!$C$30,IF((VLOOKUP($A159,AffordabilityRatio!$A$2:$I$321,9,FALSE))="",AN159,VLOOKUP($A159,AffordabilityRatio!$A$2:$I$321,9,FALSE)))</f>
        <v>8.11</v>
      </c>
      <c r="AP159" s="268">
        <f>IF(ISNUMBER('Sensitivity Tests'!$C$30),'Sensitivity Tests'!$C$30,IF((VLOOKUP($A159,AffordabilityRatio!$A$2:$I$321,9,FALSE))="",AO159,VLOOKUP($A159,AffordabilityRatio!$A$2:$I$321,9,FALSE)))</f>
        <v>8.11</v>
      </c>
      <c r="AQ159" s="267">
        <f t="shared" si="104"/>
        <v>1384</v>
      </c>
      <c r="AR159" s="267">
        <f t="shared" si="104"/>
        <v>1438</v>
      </c>
      <c r="AS159" s="267">
        <f t="shared" si="104"/>
        <v>1374</v>
      </c>
      <c r="AT159" s="267">
        <f t="shared" si="103"/>
        <v>56</v>
      </c>
      <c r="AU159" s="267">
        <f t="shared" si="103"/>
        <v>59</v>
      </c>
      <c r="AV159" s="267">
        <f t="shared" si="103"/>
        <v>64</v>
      </c>
      <c r="AW159" s="267">
        <f t="shared" si="103"/>
        <v>74</v>
      </c>
      <c r="AX159" s="267">
        <f t="shared" si="103"/>
        <v>83</v>
      </c>
      <c r="AY159" s="267">
        <f t="shared" si="122"/>
        <v>595</v>
      </c>
      <c r="AZ159" s="267">
        <f t="shared" si="123"/>
        <v>595</v>
      </c>
      <c r="BA159" s="267">
        <f t="shared" si="124"/>
        <v>595</v>
      </c>
      <c r="BB159" s="267">
        <f t="shared" si="125"/>
        <v>56</v>
      </c>
      <c r="BC159" s="267">
        <f t="shared" si="126"/>
        <v>59</v>
      </c>
      <c r="BD159" s="267">
        <f t="shared" si="127"/>
        <v>64</v>
      </c>
      <c r="BE159" s="267">
        <f t="shared" si="128"/>
        <v>74</v>
      </c>
      <c r="BF159" s="267">
        <f t="shared" si="129"/>
        <v>83</v>
      </c>
      <c r="BG159" s="269">
        <f>AY159*VLOOKUP($B159,'Major Cities &amp; Towns'!$A$28:$B$345,2,FALSE)</f>
        <v>595</v>
      </c>
      <c r="BH159" s="269">
        <f>AZ159*VLOOKUP($B159,'Major Cities &amp; Towns'!$A$28:$B$345,2,FALSE)</f>
        <v>595</v>
      </c>
      <c r="BI159" s="269">
        <f>BA159*VLOOKUP($B159,'Major Cities &amp; Towns'!$A$28:$B$345,2,FALSE)</f>
        <v>595</v>
      </c>
      <c r="BJ159" s="269">
        <f>BB159*VLOOKUP($B159,'Major Cities &amp; Towns'!$A$28:$B$345,2,FALSE)</f>
        <v>56</v>
      </c>
      <c r="BK159" s="269">
        <f>BC159*VLOOKUP($B159,'Major Cities &amp; Towns'!$A$28:$B$345,2,FALSE)</f>
        <v>59</v>
      </c>
      <c r="BL159" s="269">
        <f>BD159*VLOOKUP($B159,'Major Cities &amp; Towns'!$A$28:$B$345,2,FALSE)</f>
        <v>64</v>
      </c>
      <c r="BM159" s="269">
        <f>BE159*VLOOKUP($B159,'Major Cities &amp; Towns'!$A$28:$B$345,2,FALSE)</f>
        <v>74</v>
      </c>
      <c r="BN159" s="269">
        <f>BF159*VLOOKUP($B159,'Major Cities &amp; Towns'!$A$28:$B$345,2,FALSE)</f>
        <v>83</v>
      </c>
      <c r="BO159" s="270">
        <f t="shared" si="130"/>
        <v>425</v>
      </c>
      <c r="BP159" s="270">
        <f t="shared" si="147"/>
        <v>425</v>
      </c>
      <c r="BQ159" s="270">
        <f t="shared" si="147"/>
        <v>425</v>
      </c>
      <c r="BR159" s="270">
        <f t="shared" si="147"/>
        <v>56</v>
      </c>
      <c r="BS159" s="270">
        <f t="shared" si="146"/>
        <v>59</v>
      </c>
      <c r="BT159" s="270">
        <f t="shared" si="146"/>
        <v>64</v>
      </c>
      <c r="BU159" s="270">
        <f t="shared" si="146"/>
        <v>74</v>
      </c>
      <c r="BV159" s="270">
        <f t="shared" si="99"/>
        <v>83</v>
      </c>
      <c r="BW159" s="39">
        <f>VLOOKUP($A159,NetAdditions!$A$2:$H$336,6,FALSE)</f>
        <v>627</v>
      </c>
      <c r="BX159" s="39">
        <f>VLOOKUP($A159,NetAdditions!$A$2:$H$336,7,FALSE)</f>
        <v>791</v>
      </c>
      <c r="BY159" s="39">
        <f>IF((VLOOKUP($C159,NetAdditions!$A$2:$H$336,8,FALSE))="",(AVERAGE(VLOOKUP($C159,NetAdditions!$A$2:$H$336,5,FALSE),VLOOKUP($C159,NetAdditions!$A$2:$H$336,6,FALSE),VLOOKUP($C159,NetAdditions!$A$2:$H$336,7,FALSE))),VLOOKUP($C159,NetAdditions!$A$2:$H$336,8,FALSE))</f>
        <v>474</v>
      </c>
      <c r="BZ159" s="39">
        <f t="shared" si="105"/>
        <v>630.66666666666663</v>
      </c>
      <c r="CA159" s="39">
        <f t="shared" si="105"/>
        <v>631.8888888888888</v>
      </c>
      <c r="CB159" s="39">
        <f t="shared" si="105"/>
        <v>578.85185185185173</v>
      </c>
      <c r="CC159" s="39">
        <f t="shared" si="105"/>
        <v>613.80246913580243</v>
      </c>
      <c r="CD159" s="39">
        <f t="shared" si="105"/>
        <v>608.18106995884762</v>
      </c>
      <c r="CE159" s="276">
        <f t="shared" si="106"/>
        <v>1275</v>
      </c>
      <c r="CF159" s="276">
        <f t="shared" si="107"/>
        <v>906</v>
      </c>
      <c r="CG159" s="276">
        <f t="shared" si="108"/>
        <v>540</v>
      </c>
      <c r="CH159" s="276">
        <f t="shared" si="109"/>
        <v>179</v>
      </c>
      <c r="CI159" s="276">
        <f t="shared" si="110"/>
        <v>197</v>
      </c>
      <c r="CJ159" s="276">
        <f t="shared" si="111"/>
        <v>221</v>
      </c>
      <c r="CK159" s="276">
        <f t="shared" si="131"/>
        <v>1097.9166666666667</v>
      </c>
      <c r="CL159" s="276">
        <f t="shared" si="132"/>
        <v>780.16666666666674</v>
      </c>
      <c r="CM159" s="276">
        <f t="shared" si="133"/>
        <v>495</v>
      </c>
      <c r="CN159" s="276">
        <f t="shared" si="134"/>
        <v>179</v>
      </c>
      <c r="CO159" s="276">
        <f t="shared" si="134"/>
        <v>197</v>
      </c>
      <c r="CP159" s="276">
        <f t="shared" si="134"/>
        <v>221</v>
      </c>
      <c r="CQ159" s="39">
        <f t="shared" si="112"/>
        <v>1892</v>
      </c>
      <c r="CR159" s="39">
        <f t="shared" si="113"/>
        <v>1895.6666666666665</v>
      </c>
      <c r="CS159" s="277">
        <f t="shared" si="114"/>
        <v>1736.5555555555552</v>
      </c>
      <c r="CT159" s="39">
        <f t="shared" si="115"/>
        <v>1841.4074074074072</v>
      </c>
      <c r="CU159" s="39">
        <f t="shared" si="116"/>
        <v>1824.5432098765427</v>
      </c>
      <c r="CV159" s="39">
        <f t="shared" si="117"/>
        <v>1800.8353909465018</v>
      </c>
      <c r="CW159" s="297">
        <f t="shared" si="118"/>
        <v>1.7232637571157494</v>
      </c>
      <c r="CX159" s="279" t="str">
        <f t="shared" si="135"/>
        <v>Pass</v>
      </c>
      <c r="CY159" s="278">
        <f t="shared" si="119"/>
        <v>2.4298226874599442</v>
      </c>
      <c r="CZ159" s="279" t="str">
        <f t="shared" si="136"/>
        <v>Pass</v>
      </c>
      <c r="DA159" s="278">
        <f t="shared" si="120"/>
        <v>3.5081930415263742</v>
      </c>
      <c r="DB159" s="292" t="str">
        <f t="shared" si="137"/>
        <v>Pass</v>
      </c>
      <c r="DC159" s="299">
        <f t="shared" si="138"/>
        <v>10.287192220153113</v>
      </c>
      <c r="DD159" s="293" t="str">
        <f t="shared" si="139"/>
        <v>Pass</v>
      </c>
      <c r="DE159" s="299">
        <f t="shared" si="140"/>
        <v>9.2616406592717908</v>
      </c>
      <c r="DF159" s="293" t="str">
        <f t="shared" si="141"/>
        <v>Pass</v>
      </c>
      <c r="DG159" s="299">
        <f t="shared" si="142"/>
        <v>8.1485764296221799</v>
      </c>
      <c r="DH159" s="293" t="str">
        <f t="shared" si="143"/>
        <v>Pass</v>
      </c>
    </row>
    <row r="160" spans="1:112" ht="15" thickTop="1" thickBot="1">
      <c r="A160" s="38" t="s">
        <v>430</v>
      </c>
      <c r="B160" s="38" t="s">
        <v>431</v>
      </c>
      <c r="C160" s="38" t="s">
        <v>430</v>
      </c>
      <c r="D160" s="38" t="s">
        <v>113</v>
      </c>
      <c r="E160" s="38" t="str">
        <f>VLOOKUP(C160,PoliticalControl!A:K,11,FALSE)</f>
        <v>CON</v>
      </c>
      <c r="F160" s="38" t="str">
        <f>VLOOKUP(C160,UrbanRuralClassification!A:N,13,FALSE)</f>
        <v>Urban with Significant Rural (rural including hub towns 26-49%)</v>
      </c>
      <c r="G160" s="38" t="str">
        <f>VLOOKUP(C160,UrbanRuralClassification!A:N,14,FALSE)</f>
        <v>Urban with Significant Rural</v>
      </c>
      <c r="H160" s="258">
        <f>IF(ISBLANK((VLOOKUP($A160,'local-plan-data'!$C$1:$AD$566,27,FALSE)))=TRUE,"",VLOOKUP($A160,'local-plan-data'!$C$1:$AD$566,27,FALSE))</f>
        <v>43033</v>
      </c>
      <c r="I160" s="259">
        <f>VLOOKUP($A160,'local-plan-data'!$C$1:$AD$566,28,FALSE)</f>
        <v>883</v>
      </c>
      <c r="J160" s="260">
        <f t="shared" si="121"/>
        <v>883</v>
      </c>
      <c r="K160" s="259">
        <f t="shared" si="144"/>
        <v>883</v>
      </c>
      <c r="L160" s="259">
        <f t="shared" si="148"/>
        <v>883</v>
      </c>
      <c r="M160" s="259">
        <f t="shared" si="148"/>
        <v>883</v>
      </c>
      <c r="N160" s="259">
        <f t="shared" si="148"/>
        <v>883</v>
      </c>
      <c r="O160" s="259">
        <f t="shared" si="148"/>
        <v>883</v>
      </c>
      <c r="P160" s="259" t="str">
        <f t="shared" si="148"/>
        <v>-</v>
      </c>
      <c r="Q160" s="259" t="str">
        <f t="shared" si="148"/>
        <v>-</v>
      </c>
      <c r="R160" s="259" t="str">
        <f t="shared" si="148"/>
        <v>-</v>
      </c>
      <c r="S160" s="259">
        <f t="shared" si="145"/>
        <v>1668</v>
      </c>
      <c r="T160" s="259">
        <f t="shared" si="149"/>
        <v>1303</v>
      </c>
      <c r="U160" s="259">
        <f t="shared" si="149"/>
        <v>937</v>
      </c>
      <c r="V160" s="259">
        <f t="shared" si="149"/>
        <v>572</v>
      </c>
      <c r="W160" s="259">
        <f t="shared" si="149"/>
        <v>207</v>
      </c>
      <c r="X160" s="259">
        <f t="shared" si="149"/>
        <v>-158</v>
      </c>
      <c r="Y160" s="259">
        <f t="shared" si="149"/>
        <v>-524</v>
      </c>
      <c r="Z160" s="259">
        <f t="shared" si="149"/>
        <v>-889</v>
      </c>
      <c r="AA160" s="267">
        <f>(VLOOKUP(A160,Hshldprojections2014!$A$2:$AW$319,40, FALSE)-VLOOKUP(A160,Hshldprojections2014!$A$2:$AW$319,30, FALSE))/10</f>
        <v>868</v>
      </c>
      <c r="AB160" s="267">
        <f>(VLOOKUP(A160,Hshldprojections2014!$A$2:$AW$319,41, FALSE)-VLOOKUP(A160,Hshldprojections2014!$A$2:$AW$319,31, FALSE))/10</f>
        <v>855.4</v>
      </c>
      <c r="AC160" s="267">
        <f>(VLOOKUP(A160,Hshldprojections2014!$A$2:$AW$319,42, FALSE)-VLOOKUP(A160,Hshldprojections2014!$A$2:$AW$319,32, FALSE))/10</f>
        <v>847.1</v>
      </c>
      <c r="AD160" s="267">
        <f>IF(IndividualLATest!$J$7=2014,(VLOOKUP($A160,Hshldprojections2014!$A$2:$AY$326,43,FALSE)-VLOOKUP($A160,Hshldprojections2014!$A$2:$AY$326,33,FALSE))/10,IF(IndividualLATest!$J$7=2016,(VLOOKUP($A160,Hshldprojections2016!$A$1:$AQ$322,33,FALSE)-VLOOKUP($A160,Hshldprojections2016!$A$1:$AQ$322,23,FALSE))/10,(VLOOKUP($A160,Hshldprojections2018!$A$1:$AQ$327,33,FALSE)-VLOOKUP($A160,Hshldprojections2018!$A$1:$AQ$327,23,FALSE))/10))</f>
        <v>719.4</v>
      </c>
      <c r="AE160" s="267">
        <f>IF(IndividualLATest!$J$7=2014,(VLOOKUP($A160,Hshldprojections2014!$A$2:$AY$326,44,FALSE)-VLOOKUP($A160,Hshldprojections2014!$A$2:$AY$326,34,FALSE))/10,IF(IndividualLATest!$J$7=2016,(VLOOKUP($A160,Hshldprojections2016!$A$1:$AQ$322,34,FALSE)-VLOOKUP($A160,Hshldprojections2016!$A$1:$AQ$322,24,FALSE))/10,(VLOOKUP($A160,Hshldprojections2018!$A$1:$AQ$327,34,FALSE)-VLOOKUP($A160,Hshldprojections2018!$A$1:$AQ$327,24,FALSE))/10))</f>
        <v>700.7</v>
      </c>
      <c r="AF160" s="267">
        <f>IF(IndividualLATest!$J$7=2014,(VLOOKUP($A160,Hshldprojections2014!$A$2:$AY$326,45,FALSE)-VLOOKUP($A160,Hshldprojections2014!$A$2:$AY$326,35,FALSE))/10,IF(IndividualLATest!$J$7=2016,(VLOOKUP($A160,Hshldprojections2016!$A$1:$AQ$322,35,FALSE)-VLOOKUP($A160,Hshldprojections2016!$A$1:$AQ$322,25,FALSE))/10,(VLOOKUP($A160,Hshldprojections2018!$A$1:$AQ$327,35,FALSE)-VLOOKUP($A160,Hshldprojections2018!$A$1:$AQ$327,25,FALSE))/10))</f>
        <v>686.2</v>
      </c>
      <c r="AG160" s="267">
        <f>IF(IndividualLATest!$J$7=2014,(VLOOKUP($A160,Hshldprojections2014!$A$2:$AY$326,46,FALSE)-VLOOKUP($A160,Hshldprojections2014!$A$2:$AY$326,36,FALSE))/10,IF(IndividualLATest!$J$7=2016,(VLOOKUP($A160,Hshldprojections2016!$A$1:$AQ$322,36,FALSE)-VLOOKUP($A160,Hshldprojections2016!$A$1:$AQ$322,26,FALSE))/10,(VLOOKUP($A160,Hshldprojections2018!$A$1:$AQ$327,36,FALSE)-VLOOKUP($A160,Hshldprojections2018!$A$1:$AQ$327,26,FALSE))/10))</f>
        <v>672.2</v>
      </c>
      <c r="AH160" s="267">
        <f>IF(IndividualLATest!$J$7=2014,(VLOOKUP($A160,Hshldprojections2014!$A$2:$AY$326,47,FALSE)-VLOOKUP($A160,Hshldprojections2014!$A$2:$AY$326,37,FALSE))/10,IF(IndividualLATest!$J$7=2016,(VLOOKUP($A160,Hshldprojections2016!$A$1:$AQ$322,37,FALSE)-VLOOKUP($A160,Hshldprojections2016!$A$1:$AQ$322,27,FALSE))/10,(VLOOKUP($A160,Hshldprojections2018!$A$1:$AQ$327,37,FALSE)-VLOOKUP($A160,Hshldprojections2018!$A$1:$AQ$327,27,FALSE))/10))</f>
        <v>664.6</v>
      </c>
      <c r="AI160" s="268">
        <f>IF(ISNUMBER('Sensitivity Tests'!$C$30),'Sensitivity Tests'!$C$30,VLOOKUP($A160,AffordabilityRatio!$A$2:$I$321,5,FALSE))</f>
        <v>10.3</v>
      </c>
      <c r="AJ160" s="268">
        <f>IF(ISNUMBER('Sensitivity Tests'!$C$30),'Sensitivity Tests'!$C$30,VLOOKUP($A160,AffordabilityRatio!$A$2:$I$321,6,FALSE))</f>
        <v>11.21</v>
      </c>
      <c r="AK160" s="268">
        <f>IF(ISNUMBER('Sensitivity Tests'!$C$30),'Sensitivity Tests'!$C$30,VLOOKUP($A160,AffordabilityRatio!$A$2:$I$321,7,FALSE))</f>
        <v>10.46</v>
      </c>
      <c r="AL160" s="268">
        <f>IF(ISNUMBER('Sensitivity Tests'!$C$30),'Sensitivity Tests'!$C$30,IF((VLOOKUP($A160,AffordabilityRatio!$A$2:$I$321,8,FALSE))="",AK160,VLOOKUP($A160,AffordabilityRatio!$A$2:$I$321,8,FALSE)))</f>
        <v>10.33</v>
      </c>
      <c r="AM160" s="268">
        <f>IF(ISNUMBER('Sensitivity Tests'!$C$30),'Sensitivity Tests'!$C$30,IF((VLOOKUP($A160,AffordabilityRatio!$A$2:$I$321,9,FALSE))="",AL160,VLOOKUP($A160,AffordabilityRatio!$A$2:$I$321,9,FALSE)))</f>
        <v>10.85</v>
      </c>
      <c r="AN160" s="268">
        <f>IF(ISNUMBER('Sensitivity Tests'!$C$30),'Sensitivity Tests'!$C$30,IF((VLOOKUP($A160,AffordabilityRatio!$A$2:$I$321,9,FALSE))="",AM160,VLOOKUP($A160,AffordabilityRatio!$A$2:$I$321,9,FALSE)))</f>
        <v>10.85</v>
      </c>
      <c r="AO160" s="268">
        <f>IF(ISNUMBER('Sensitivity Tests'!$C$30),'Sensitivity Tests'!$C$30,IF((VLOOKUP($A160,AffordabilityRatio!$A$2:$I$321,9,FALSE))="",AN160,VLOOKUP($A160,AffordabilityRatio!$A$2:$I$321,9,FALSE)))</f>
        <v>10.85</v>
      </c>
      <c r="AP160" s="268">
        <f>IF(ISNUMBER('Sensitivity Tests'!$C$30),'Sensitivity Tests'!$C$30,IF((VLOOKUP($A160,AffordabilityRatio!$A$2:$I$321,9,FALSE))="",AO160,VLOOKUP($A160,AffordabilityRatio!$A$2:$I$321,9,FALSE)))</f>
        <v>10.85</v>
      </c>
      <c r="AQ160" s="267">
        <f t="shared" si="104"/>
        <v>1210</v>
      </c>
      <c r="AR160" s="267">
        <f t="shared" si="104"/>
        <v>1241</v>
      </c>
      <c r="AS160" s="267">
        <f t="shared" si="104"/>
        <v>1189</v>
      </c>
      <c r="AT160" s="267">
        <f t="shared" si="103"/>
        <v>1004</v>
      </c>
      <c r="AU160" s="267">
        <f t="shared" si="103"/>
        <v>1001</v>
      </c>
      <c r="AV160" s="267">
        <f t="shared" si="103"/>
        <v>980</v>
      </c>
      <c r="AW160" s="267">
        <f t="shared" si="103"/>
        <v>960</v>
      </c>
      <c r="AX160" s="267">
        <f t="shared" si="103"/>
        <v>949</v>
      </c>
      <c r="AY160" s="267">
        <f t="shared" si="122"/>
        <v>1210</v>
      </c>
      <c r="AZ160" s="267">
        <f t="shared" si="123"/>
        <v>1236.2</v>
      </c>
      <c r="BA160" s="267">
        <f t="shared" si="124"/>
        <v>1189</v>
      </c>
      <c r="BB160" s="267">
        <f t="shared" si="125"/>
        <v>1004</v>
      </c>
      <c r="BC160" s="267">
        <f t="shared" si="126"/>
        <v>1001</v>
      </c>
      <c r="BD160" s="267">
        <f t="shared" si="127"/>
        <v>980</v>
      </c>
      <c r="BE160" s="267">
        <f t="shared" si="128"/>
        <v>960</v>
      </c>
      <c r="BF160" s="267">
        <f t="shared" si="129"/>
        <v>949</v>
      </c>
      <c r="BG160" s="269">
        <f>AY160*VLOOKUP($B160,'Major Cities &amp; Towns'!$A$28:$B$345,2,FALSE)</f>
        <v>1210</v>
      </c>
      <c r="BH160" s="269">
        <f>AZ160*VLOOKUP($B160,'Major Cities &amp; Towns'!$A$28:$B$345,2,FALSE)</f>
        <v>1236.2</v>
      </c>
      <c r="BI160" s="269">
        <f>BA160*VLOOKUP($B160,'Major Cities &amp; Towns'!$A$28:$B$345,2,FALSE)</f>
        <v>1189</v>
      </c>
      <c r="BJ160" s="269">
        <f>BB160*VLOOKUP($B160,'Major Cities &amp; Towns'!$A$28:$B$345,2,FALSE)</f>
        <v>1004</v>
      </c>
      <c r="BK160" s="269">
        <f>BC160*VLOOKUP($B160,'Major Cities &amp; Towns'!$A$28:$B$345,2,FALSE)</f>
        <v>1001</v>
      </c>
      <c r="BL160" s="269">
        <f>BD160*VLOOKUP($B160,'Major Cities &amp; Towns'!$A$28:$B$345,2,FALSE)</f>
        <v>980</v>
      </c>
      <c r="BM160" s="269">
        <f>BE160*VLOOKUP($B160,'Major Cities &amp; Towns'!$A$28:$B$345,2,FALSE)</f>
        <v>960</v>
      </c>
      <c r="BN160" s="269">
        <f>BF160*VLOOKUP($B160,'Major Cities &amp; Towns'!$A$28:$B$345,2,FALSE)</f>
        <v>949</v>
      </c>
      <c r="BO160" s="270">
        <f t="shared" si="130"/>
        <v>883</v>
      </c>
      <c r="BP160" s="270">
        <f t="shared" si="147"/>
        <v>883</v>
      </c>
      <c r="BQ160" s="270">
        <f t="shared" si="147"/>
        <v>883</v>
      </c>
      <c r="BR160" s="270">
        <f t="shared" si="147"/>
        <v>883</v>
      </c>
      <c r="BS160" s="270">
        <f t="shared" si="146"/>
        <v>934.0794520547945</v>
      </c>
      <c r="BT160" s="270">
        <f t="shared" si="146"/>
        <v>980</v>
      </c>
      <c r="BU160" s="270">
        <f t="shared" si="146"/>
        <v>960</v>
      </c>
      <c r="BV160" s="270">
        <f t="shared" si="99"/>
        <v>949</v>
      </c>
      <c r="BW160" s="39">
        <f>VLOOKUP($A160,NetAdditions!$A$2:$H$336,6,FALSE)</f>
        <v>1146</v>
      </c>
      <c r="BX160" s="39">
        <f>VLOOKUP($A160,NetAdditions!$A$2:$H$336,7,FALSE)</f>
        <v>1355</v>
      </c>
      <c r="BY160" s="39">
        <f>IF((VLOOKUP($C160,NetAdditions!$A$2:$H$336,8,FALSE))="",(AVERAGE(VLOOKUP($C160,NetAdditions!$A$2:$H$336,5,FALSE),VLOOKUP($C160,NetAdditions!$A$2:$H$336,6,FALSE),VLOOKUP($C160,NetAdditions!$A$2:$H$336,7,FALSE))),VLOOKUP($C160,NetAdditions!$A$2:$H$336,8,FALSE))</f>
        <v>1377</v>
      </c>
      <c r="BZ160" s="39">
        <f t="shared" si="105"/>
        <v>1292.6666666666667</v>
      </c>
      <c r="CA160" s="39">
        <f t="shared" si="105"/>
        <v>1341.5555555555557</v>
      </c>
      <c r="CB160" s="39">
        <f t="shared" si="105"/>
        <v>1337.0740740740741</v>
      </c>
      <c r="CC160" s="39">
        <f t="shared" si="105"/>
        <v>1323.7654320987656</v>
      </c>
      <c r="CD160" s="39">
        <f t="shared" si="105"/>
        <v>1334.1316872427985</v>
      </c>
      <c r="CE160" s="276">
        <f t="shared" si="106"/>
        <v>2649</v>
      </c>
      <c r="CF160" s="276">
        <f t="shared" si="107"/>
        <v>2649</v>
      </c>
      <c r="CG160" s="276">
        <f t="shared" si="108"/>
        <v>2700.0794520547943</v>
      </c>
      <c r="CH160" s="276">
        <f t="shared" si="109"/>
        <v>2797.0794520547943</v>
      </c>
      <c r="CI160" s="276">
        <f t="shared" si="110"/>
        <v>2874.0794520547943</v>
      </c>
      <c r="CJ160" s="276">
        <f t="shared" si="111"/>
        <v>2889</v>
      </c>
      <c r="CK160" s="276">
        <f t="shared" si="131"/>
        <v>2281.0833333333335</v>
      </c>
      <c r="CL160" s="276">
        <f t="shared" si="132"/>
        <v>2281.0833333333335</v>
      </c>
      <c r="CM160" s="276">
        <f t="shared" si="133"/>
        <v>2475.0728310502282</v>
      </c>
      <c r="CN160" s="276">
        <f t="shared" si="134"/>
        <v>2797.0794520547943</v>
      </c>
      <c r="CO160" s="276">
        <f t="shared" si="134"/>
        <v>2874.0794520547943</v>
      </c>
      <c r="CP160" s="276">
        <f t="shared" si="134"/>
        <v>2889</v>
      </c>
      <c r="CQ160" s="39">
        <f t="shared" si="112"/>
        <v>3878</v>
      </c>
      <c r="CR160" s="39">
        <f t="shared" si="113"/>
        <v>4024.666666666667</v>
      </c>
      <c r="CS160" s="277">
        <f t="shared" si="114"/>
        <v>4011.2222222222226</v>
      </c>
      <c r="CT160" s="39">
        <f t="shared" si="115"/>
        <v>3971.2962962962965</v>
      </c>
      <c r="CU160" s="39">
        <f t="shared" si="116"/>
        <v>4002.3950617283954</v>
      </c>
      <c r="CV160" s="39">
        <f t="shared" si="117"/>
        <v>3994.9711934156385</v>
      </c>
      <c r="CW160" s="297">
        <f t="shared" si="118"/>
        <v>1.700069411463851</v>
      </c>
      <c r="CX160" s="279" t="str">
        <f t="shared" si="135"/>
        <v>Pass</v>
      </c>
      <c r="CY160" s="278">
        <f t="shared" si="119"/>
        <v>1.764366346399737</v>
      </c>
      <c r="CZ160" s="279" t="str">
        <f t="shared" si="136"/>
        <v>Pass</v>
      </c>
      <c r="DA160" s="278">
        <f t="shared" si="120"/>
        <v>1.6206481570565228</v>
      </c>
      <c r="DB160" s="292" t="str">
        <f t="shared" si="137"/>
        <v>Pass</v>
      </c>
      <c r="DC160" s="299">
        <f t="shared" si="138"/>
        <v>1.4198010333166966</v>
      </c>
      <c r="DD160" s="293" t="str">
        <f t="shared" si="139"/>
        <v>Pass</v>
      </c>
      <c r="DE160" s="299">
        <f t="shared" si="140"/>
        <v>1.3925833048445906</v>
      </c>
      <c r="DF160" s="293" t="str">
        <f t="shared" si="141"/>
        <v>Pass</v>
      </c>
      <c r="DG160" s="299">
        <f t="shared" si="142"/>
        <v>1.3828214584339351</v>
      </c>
      <c r="DH160" s="293" t="str">
        <f t="shared" si="143"/>
        <v>Pass</v>
      </c>
    </row>
    <row r="161" spans="1:112" ht="15" thickTop="1" thickBot="1">
      <c r="A161" s="38" t="s">
        <v>432</v>
      </c>
      <c r="B161" s="38" t="s">
        <v>433</v>
      </c>
      <c r="C161" s="38" t="s">
        <v>432</v>
      </c>
      <c r="D161" s="38" t="s">
        <v>128</v>
      </c>
      <c r="E161" s="38" t="str">
        <f>VLOOKUP(C161,PoliticalControl!A:K,11,FALSE)</f>
        <v>NOC</v>
      </c>
      <c r="F161" s="38" t="str">
        <f>VLOOKUP(C161,UrbanRuralClassification!A:N,13,FALSE)</f>
        <v xml:space="preserve">Mainly Rural (rural including hub towns &gt;=80%) </v>
      </c>
      <c r="G161" s="38" t="str">
        <f>VLOOKUP(C161,UrbanRuralClassification!A:N,14,FALSE)</f>
        <v>Predominantly Rural</v>
      </c>
      <c r="H161" s="258">
        <f>IF(ISBLANK((VLOOKUP($A161,'local-plan-data'!$C$1:$AD$566,27,FALSE)))=TRUE,"",VLOOKUP($A161,'local-plan-data'!$C$1:$AD$566,27,FALSE))</f>
        <v>42937</v>
      </c>
      <c r="I161" s="259">
        <f>VLOOKUP($A161,'local-plan-data'!$C$1:$AD$566,28,FALSE)</f>
        <v>310</v>
      </c>
      <c r="J161" s="260">
        <f t="shared" si="121"/>
        <v>310</v>
      </c>
      <c r="K161" s="259">
        <f t="shared" si="144"/>
        <v>310</v>
      </c>
      <c r="L161" s="259">
        <f t="shared" si="148"/>
        <v>310</v>
      </c>
      <c r="M161" s="259">
        <f t="shared" si="148"/>
        <v>310</v>
      </c>
      <c r="N161" s="259">
        <f t="shared" si="148"/>
        <v>310</v>
      </c>
      <c r="O161" s="259">
        <f t="shared" si="148"/>
        <v>310</v>
      </c>
      <c r="P161" s="259" t="str">
        <f t="shared" si="148"/>
        <v>-</v>
      </c>
      <c r="Q161" s="259" t="str">
        <f t="shared" si="148"/>
        <v>-</v>
      </c>
      <c r="R161" s="259" t="str">
        <f t="shared" si="148"/>
        <v>-</v>
      </c>
      <c r="S161" s="259">
        <f t="shared" si="145"/>
        <v>1572</v>
      </c>
      <c r="T161" s="259">
        <f t="shared" si="149"/>
        <v>1207</v>
      </c>
      <c r="U161" s="259">
        <f t="shared" si="149"/>
        <v>841</v>
      </c>
      <c r="V161" s="259">
        <f t="shared" si="149"/>
        <v>476</v>
      </c>
      <c r="W161" s="259">
        <f t="shared" si="149"/>
        <v>111</v>
      </c>
      <c r="X161" s="259">
        <f t="shared" si="149"/>
        <v>-254</v>
      </c>
      <c r="Y161" s="259">
        <f t="shared" si="149"/>
        <v>-620</v>
      </c>
      <c r="Z161" s="259">
        <f t="shared" si="149"/>
        <v>-985</v>
      </c>
      <c r="AA161" s="267">
        <f>(VLOOKUP(A161,Hshldprojections2014!$A$2:$AW$319,40, FALSE)-VLOOKUP(A161,Hshldprojections2014!$A$2:$AW$319,30, FALSE))/10</f>
        <v>214.3</v>
      </c>
      <c r="AB161" s="267">
        <f>(VLOOKUP(A161,Hshldprojections2014!$A$2:$AW$319,41, FALSE)-VLOOKUP(A161,Hshldprojections2014!$A$2:$AW$319,31, FALSE))/10</f>
        <v>209.9</v>
      </c>
      <c r="AC161" s="267">
        <f>(VLOOKUP(A161,Hshldprojections2014!$A$2:$AW$319,42, FALSE)-VLOOKUP(A161,Hshldprojections2014!$A$2:$AW$319,32, FALSE))/10</f>
        <v>206.6</v>
      </c>
      <c r="AD161" s="267">
        <f>IF(IndividualLATest!$J$7=2014,(VLOOKUP($A161,Hshldprojections2014!$A$2:$AY$326,43,FALSE)-VLOOKUP($A161,Hshldprojections2014!$A$2:$AY$326,33,FALSE))/10,IF(IndividualLATest!$J$7=2016,(VLOOKUP($A161,Hshldprojections2016!$A$1:$AQ$322,33,FALSE)-VLOOKUP($A161,Hshldprojections2016!$A$1:$AQ$322,23,FALSE))/10,(VLOOKUP($A161,Hshldprojections2018!$A$1:$AQ$327,33,FALSE)-VLOOKUP($A161,Hshldprojections2018!$A$1:$AQ$327,23,FALSE))/10))</f>
        <v>245</v>
      </c>
      <c r="AE161" s="267">
        <f>IF(IndividualLATest!$J$7=2014,(VLOOKUP($A161,Hshldprojections2014!$A$2:$AY$326,44,FALSE)-VLOOKUP($A161,Hshldprojections2014!$A$2:$AY$326,34,FALSE))/10,IF(IndividualLATest!$J$7=2016,(VLOOKUP($A161,Hshldprojections2016!$A$1:$AQ$322,34,FALSE)-VLOOKUP($A161,Hshldprojections2016!$A$1:$AQ$322,24,FALSE))/10,(VLOOKUP($A161,Hshldprojections2018!$A$1:$AQ$327,34,FALSE)-VLOOKUP($A161,Hshldprojections2018!$A$1:$AQ$327,24,FALSE))/10))</f>
        <v>237.2</v>
      </c>
      <c r="AF161" s="267">
        <f>IF(IndividualLATest!$J$7=2014,(VLOOKUP($A161,Hshldprojections2014!$A$2:$AY$326,45,FALSE)-VLOOKUP($A161,Hshldprojections2014!$A$2:$AY$326,35,FALSE))/10,IF(IndividualLATest!$J$7=2016,(VLOOKUP($A161,Hshldprojections2016!$A$1:$AQ$322,35,FALSE)-VLOOKUP($A161,Hshldprojections2016!$A$1:$AQ$322,25,FALSE))/10,(VLOOKUP($A161,Hshldprojections2018!$A$1:$AQ$327,35,FALSE)-VLOOKUP($A161,Hshldprojections2018!$A$1:$AQ$327,25,FALSE))/10))</f>
        <v>231</v>
      </c>
      <c r="AG161" s="267">
        <f>IF(IndividualLATest!$J$7=2014,(VLOOKUP($A161,Hshldprojections2014!$A$2:$AY$326,46,FALSE)-VLOOKUP($A161,Hshldprojections2014!$A$2:$AY$326,36,FALSE))/10,IF(IndividualLATest!$J$7=2016,(VLOOKUP($A161,Hshldprojections2016!$A$1:$AQ$322,36,FALSE)-VLOOKUP($A161,Hshldprojections2016!$A$1:$AQ$322,26,FALSE))/10,(VLOOKUP($A161,Hshldprojections2018!$A$1:$AQ$327,36,FALSE)-VLOOKUP($A161,Hshldprojections2018!$A$1:$AQ$327,26,FALSE))/10))</f>
        <v>223.1</v>
      </c>
      <c r="AH161" s="267">
        <f>IF(IndividualLATest!$J$7=2014,(VLOOKUP($A161,Hshldprojections2014!$A$2:$AY$326,47,FALSE)-VLOOKUP($A161,Hshldprojections2014!$A$2:$AY$326,37,FALSE))/10,IF(IndividualLATest!$J$7=2016,(VLOOKUP($A161,Hshldprojections2016!$A$1:$AQ$322,37,FALSE)-VLOOKUP($A161,Hshldprojections2016!$A$1:$AQ$322,27,FALSE))/10,(VLOOKUP($A161,Hshldprojections2018!$A$1:$AQ$327,37,FALSE)-VLOOKUP($A161,Hshldprojections2018!$A$1:$AQ$327,27,FALSE))/10))</f>
        <v>217</v>
      </c>
      <c r="AI161" s="268">
        <f>IF(ISNUMBER('Sensitivity Tests'!$C$30),'Sensitivity Tests'!$C$30,VLOOKUP($A161,AffordabilityRatio!$A$2:$I$321,5,FALSE))</f>
        <v>10.83</v>
      </c>
      <c r="AJ161" s="268">
        <f>IF(ISNUMBER('Sensitivity Tests'!$C$30),'Sensitivity Tests'!$C$30,VLOOKUP($A161,AffordabilityRatio!$A$2:$I$321,6,FALSE))</f>
        <v>11.46</v>
      </c>
      <c r="AK161" s="268">
        <f>IF(ISNUMBER('Sensitivity Tests'!$C$30),'Sensitivity Tests'!$C$30,VLOOKUP($A161,AffordabilityRatio!$A$2:$I$321,7,FALSE))</f>
        <v>11.93</v>
      </c>
      <c r="AL161" s="268">
        <f>IF(ISNUMBER('Sensitivity Tests'!$C$30),'Sensitivity Tests'!$C$30,IF((VLOOKUP($A161,AffordabilityRatio!$A$2:$I$321,8,FALSE))="",AK161,VLOOKUP($A161,AffordabilityRatio!$A$2:$I$321,8,FALSE)))</f>
        <v>11.86</v>
      </c>
      <c r="AM161" s="268">
        <f>IF(ISNUMBER('Sensitivity Tests'!$C$30),'Sensitivity Tests'!$C$30,IF((VLOOKUP($A161,AffordabilityRatio!$A$2:$I$321,9,FALSE))="",AL161,VLOOKUP($A161,AffordabilityRatio!$A$2:$I$321,9,FALSE)))</f>
        <v>13.18</v>
      </c>
      <c r="AN161" s="268">
        <f>IF(ISNUMBER('Sensitivity Tests'!$C$30),'Sensitivity Tests'!$C$30,IF((VLOOKUP($A161,AffordabilityRatio!$A$2:$I$321,9,FALSE))="",AM161,VLOOKUP($A161,AffordabilityRatio!$A$2:$I$321,9,FALSE)))</f>
        <v>13.18</v>
      </c>
      <c r="AO161" s="268">
        <f>IF(ISNUMBER('Sensitivity Tests'!$C$30),'Sensitivity Tests'!$C$30,IF((VLOOKUP($A161,AffordabilityRatio!$A$2:$I$321,9,FALSE))="",AN161,VLOOKUP($A161,AffordabilityRatio!$A$2:$I$321,9,FALSE)))</f>
        <v>13.18</v>
      </c>
      <c r="AP161" s="268">
        <f>IF(ISNUMBER('Sensitivity Tests'!$C$30),'Sensitivity Tests'!$C$30,IF((VLOOKUP($A161,AffordabilityRatio!$A$2:$I$321,9,FALSE))="",AO161,VLOOKUP($A161,AffordabilityRatio!$A$2:$I$321,9,FALSE)))</f>
        <v>13.18</v>
      </c>
      <c r="AQ161" s="267">
        <f t="shared" si="104"/>
        <v>306</v>
      </c>
      <c r="AR161" s="267">
        <f t="shared" si="104"/>
        <v>308</v>
      </c>
      <c r="AS161" s="267">
        <f t="shared" si="104"/>
        <v>309</v>
      </c>
      <c r="AT161" s="267">
        <f t="shared" si="103"/>
        <v>365</v>
      </c>
      <c r="AU161" s="267">
        <f t="shared" si="103"/>
        <v>373</v>
      </c>
      <c r="AV161" s="267">
        <f t="shared" si="103"/>
        <v>364</v>
      </c>
      <c r="AW161" s="267">
        <f t="shared" si="103"/>
        <v>351</v>
      </c>
      <c r="AX161" s="267">
        <f t="shared" si="103"/>
        <v>342</v>
      </c>
      <c r="AY161" s="267">
        <f t="shared" si="122"/>
        <v>306</v>
      </c>
      <c r="AZ161" s="267">
        <f t="shared" si="123"/>
        <v>308</v>
      </c>
      <c r="BA161" s="267">
        <f t="shared" si="124"/>
        <v>309</v>
      </c>
      <c r="BB161" s="267">
        <f t="shared" si="125"/>
        <v>365</v>
      </c>
      <c r="BC161" s="267">
        <f t="shared" si="126"/>
        <v>373</v>
      </c>
      <c r="BD161" s="267">
        <f t="shared" si="127"/>
        <v>364</v>
      </c>
      <c r="BE161" s="267">
        <f t="shared" si="128"/>
        <v>351</v>
      </c>
      <c r="BF161" s="267">
        <f t="shared" si="129"/>
        <v>342</v>
      </c>
      <c r="BG161" s="269">
        <f>AY161*VLOOKUP($B161,'Major Cities &amp; Towns'!$A$28:$B$345,2,FALSE)</f>
        <v>306</v>
      </c>
      <c r="BH161" s="269">
        <f>AZ161*VLOOKUP($B161,'Major Cities &amp; Towns'!$A$28:$B$345,2,FALSE)</f>
        <v>308</v>
      </c>
      <c r="BI161" s="269">
        <f>BA161*VLOOKUP($B161,'Major Cities &amp; Towns'!$A$28:$B$345,2,FALSE)</f>
        <v>309</v>
      </c>
      <c r="BJ161" s="269">
        <f>BB161*VLOOKUP($B161,'Major Cities &amp; Towns'!$A$28:$B$345,2,FALSE)</f>
        <v>365</v>
      </c>
      <c r="BK161" s="269">
        <f>BC161*VLOOKUP($B161,'Major Cities &amp; Towns'!$A$28:$B$345,2,FALSE)</f>
        <v>373</v>
      </c>
      <c r="BL161" s="269">
        <f>BD161*VLOOKUP($B161,'Major Cities &amp; Towns'!$A$28:$B$345,2,FALSE)</f>
        <v>364</v>
      </c>
      <c r="BM161" s="269">
        <f>BE161*VLOOKUP($B161,'Major Cities &amp; Towns'!$A$28:$B$345,2,FALSE)</f>
        <v>351</v>
      </c>
      <c r="BN161" s="269">
        <f>BF161*VLOOKUP($B161,'Major Cities &amp; Towns'!$A$28:$B$345,2,FALSE)</f>
        <v>342</v>
      </c>
      <c r="BO161" s="270">
        <f t="shared" si="130"/>
        <v>306</v>
      </c>
      <c r="BP161" s="270">
        <f t="shared" si="147"/>
        <v>308</v>
      </c>
      <c r="BQ161" s="270">
        <f t="shared" si="147"/>
        <v>309</v>
      </c>
      <c r="BR161" s="270">
        <f t="shared" si="147"/>
        <v>310</v>
      </c>
      <c r="BS161" s="270">
        <f t="shared" si="146"/>
        <v>353.84109589041094</v>
      </c>
      <c r="BT161" s="270">
        <f t="shared" si="146"/>
        <v>364</v>
      </c>
      <c r="BU161" s="270">
        <f t="shared" si="146"/>
        <v>351</v>
      </c>
      <c r="BV161" s="270">
        <f t="shared" si="99"/>
        <v>342</v>
      </c>
      <c r="BW161" s="39">
        <f>VLOOKUP($A161,NetAdditions!$A$2:$H$336,6,FALSE)</f>
        <v>317</v>
      </c>
      <c r="BX161" s="39">
        <f>VLOOKUP($A161,NetAdditions!$A$2:$H$336,7,FALSE)</f>
        <v>467</v>
      </c>
      <c r="BY161" s="39">
        <f>IF((VLOOKUP($C161,NetAdditions!$A$2:$H$336,8,FALSE))="",(AVERAGE(VLOOKUP($C161,NetAdditions!$A$2:$H$336,5,FALSE),VLOOKUP($C161,NetAdditions!$A$2:$H$336,6,FALSE),VLOOKUP($C161,NetAdditions!$A$2:$H$336,7,FALSE))),VLOOKUP($C161,NetAdditions!$A$2:$H$336,8,FALSE))</f>
        <v>425</v>
      </c>
      <c r="BZ161" s="39">
        <f t="shared" si="105"/>
        <v>403</v>
      </c>
      <c r="CA161" s="39">
        <f t="shared" si="105"/>
        <v>431.66666666666669</v>
      </c>
      <c r="CB161" s="39">
        <f t="shared" si="105"/>
        <v>419.88888888888891</v>
      </c>
      <c r="CC161" s="39">
        <f t="shared" si="105"/>
        <v>418.18518518518522</v>
      </c>
      <c r="CD161" s="39">
        <f t="shared" si="105"/>
        <v>423.24691358024694</v>
      </c>
      <c r="CE161" s="276">
        <f t="shared" si="106"/>
        <v>923</v>
      </c>
      <c r="CF161" s="276">
        <f t="shared" si="107"/>
        <v>927</v>
      </c>
      <c r="CG161" s="276">
        <f t="shared" si="108"/>
        <v>972.841095890411</v>
      </c>
      <c r="CH161" s="276">
        <f t="shared" si="109"/>
        <v>1027.841095890411</v>
      </c>
      <c r="CI161" s="276">
        <f t="shared" si="110"/>
        <v>1068.841095890411</v>
      </c>
      <c r="CJ161" s="276">
        <f t="shared" si="111"/>
        <v>1057</v>
      </c>
      <c r="CK161" s="276">
        <f t="shared" si="131"/>
        <v>794.80555555555566</v>
      </c>
      <c r="CL161" s="276">
        <f t="shared" si="132"/>
        <v>798.25</v>
      </c>
      <c r="CM161" s="276">
        <f t="shared" si="133"/>
        <v>891.77100456621008</v>
      </c>
      <c r="CN161" s="276">
        <f t="shared" si="134"/>
        <v>1027.841095890411</v>
      </c>
      <c r="CO161" s="276">
        <f t="shared" si="134"/>
        <v>1068.841095890411</v>
      </c>
      <c r="CP161" s="276">
        <f t="shared" si="134"/>
        <v>1057</v>
      </c>
      <c r="CQ161" s="39">
        <f t="shared" si="112"/>
        <v>1209</v>
      </c>
      <c r="CR161" s="39">
        <f t="shared" si="113"/>
        <v>1295</v>
      </c>
      <c r="CS161" s="277">
        <f t="shared" si="114"/>
        <v>1259.6666666666667</v>
      </c>
      <c r="CT161" s="39">
        <f t="shared" si="115"/>
        <v>1254.5555555555557</v>
      </c>
      <c r="CU161" s="39">
        <f t="shared" si="116"/>
        <v>1269.7407407407409</v>
      </c>
      <c r="CV161" s="39">
        <f t="shared" si="117"/>
        <v>1261.320987654321</v>
      </c>
      <c r="CW161" s="297">
        <f t="shared" si="118"/>
        <v>1.52112676056338</v>
      </c>
      <c r="CX161" s="279" t="str">
        <f t="shared" si="135"/>
        <v>Pass</v>
      </c>
      <c r="CY161" s="278">
        <f t="shared" si="119"/>
        <v>1.6222987785781398</v>
      </c>
      <c r="CZ161" s="279" t="str">
        <f t="shared" si="136"/>
        <v>Pass</v>
      </c>
      <c r="DA161" s="278">
        <f t="shared" si="120"/>
        <v>1.412544992174773</v>
      </c>
      <c r="DB161" s="292" t="str">
        <f t="shared" si="137"/>
        <v>Pass</v>
      </c>
      <c r="DC161" s="299">
        <f t="shared" si="138"/>
        <v>1.2205734530090409</v>
      </c>
      <c r="DD161" s="293" t="str">
        <f t="shared" si="139"/>
        <v>Pass</v>
      </c>
      <c r="DE161" s="299">
        <f t="shared" si="140"/>
        <v>1.187960254917938</v>
      </c>
      <c r="DF161" s="293" t="str">
        <f t="shared" si="141"/>
        <v>Pass</v>
      </c>
      <c r="DG161" s="299">
        <f t="shared" si="142"/>
        <v>1.1933027319340785</v>
      </c>
      <c r="DH161" s="293" t="str">
        <f t="shared" si="143"/>
        <v>Pass</v>
      </c>
    </row>
    <row r="162" spans="1:112" ht="15" thickTop="1" thickBot="1">
      <c r="A162" s="38" t="s">
        <v>434</v>
      </c>
      <c r="B162" s="38" t="s">
        <v>435</v>
      </c>
      <c r="C162" s="38" t="s">
        <v>434</v>
      </c>
      <c r="D162" s="38" t="s">
        <v>154</v>
      </c>
      <c r="E162" s="38" t="str">
        <f>VLOOKUP(C162,PoliticalControl!A:K,11,FALSE)</f>
        <v>NOC</v>
      </c>
      <c r="F162" s="38" t="str">
        <f>VLOOKUP(C162,UrbanRuralClassification!A:N,13,FALSE)</f>
        <v xml:space="preserve">Largely Rural (rural including hub towns 50-79%) </v>
      </c>
      <c r="G162" s="38" t="str">
        <f>VLOOKUP(C162,UrbanRuralClassification!A:N,14,FALSE)</f>
        <v>Predominantly Rural</v>
      </c>
      <c r="H162" s="258">
        <f>IF(ISBLANK((VLOOKUP($A162,'local-plan-data'!$C$1:$AD$566,27,FALSE)))=TRUE,"",VLOOKUP($A162,'local-plan-data'!$C$1:$AD$566,27,FALSE))</f>
        <v>42425</v>
      </c>
      <c r="I162" s="259">
        <f>VLOOKUP($A162,'local-plan-data'!$C$1:$AD$566,28,FALSE)</f>
        <v>420.83333333333331</v>
      </c>
      <c r="J162" s="260">
        <f t="shared" si="121"/>
        <v>420.83333333333331</v>
      </c>
      <c r="K162" s="259">
        <f t="shared" si="144"/>
        <v>420.83333333333331</v>
      </c>
      <c r="L162" s="259">
        <f t="shared" si="148"/>
        <v>420.83333333333331</v>
      </c>
      <c r="M162" s="259">
        <f t="shared" si="148"/>
        <v>420.83333333333331</v>
      </c>
      <c r="N162" s="259" t="str">
        <f t="shared" si="148"/>
        <v>-</v>
      </c>
      <c r="O162" s="259" t="str">
        <f t="shared" si="148"/>
        <v>-</v>
      </c>
      <c r="P162" s="259" t="str">
        <f t="shared" si="148"/>
        <v>-</v>
      </c>
      <c r="Q162" s="259" t="str">
        <f t="shared" si="148"/>
        <v>-</v>
      </c>
      <c r="R162" s="259" t="str">
        <f t="shared" si="148"/>
        <v>-</v>
      </c>
      <c r="S162" s="259">
        <f t="shared" si="145"/>
        <v>1061</v>
      </c>
      <c r="T162" s="259">
        <f t="shared" si="149"/>
        <v>696</v>
      </c>
      <c r="U162" s="259">
        <f t="shared" si="149"/>
        <v>330</v>
      </c>
      <c r="V162" s="259">
        <f t="shared" si="149"/>
        <v>-35</v>
      </c>
      <c r="W162" s="259">
        <f t="shared" si="149"/>
        <v>-400</v>
      </c>
      <c r="X162" s="259">
        <f t="shared" si="149"/>
        <v>-765</v>
      </c>
      <c r="Y162" s="259">
        <f t="shared" si="149"/>
        <v>-1131</v>
      </c>
      <c r="Z162" s="259">
        <f t="shared" si="149"/>
        <v>-1496</v>
      </c>
      <c r="AA162" s="267">
        <f>(VLOOKUP(A162,Hshldprojections2014!$A$2:$AW$319,40, FALSE)-VLOOKUP(A162,Hshldprojections2014!$A$2:$AW$319,30, FALSE))/10</f>
        <v>279</v>
      </c>
      <c r="AB162" s="267">
        <f>(VLOOKUP(A162,Hshldprojections2014!$A$2:$AW$319,41, FALSE)-VLOOKUP(A162,Hshldprojections2014!$A$2:$AW$319,31, FALSE))/10</f>
        <v>277.10000000000002</v>
      </c>
      <c r="AC162" s="267">
        <f>(VLOOKUP(A162,Hshldprojections2014!$A$2:$AW$319,42, FALSE)-VLOOKUP(A162,Hshldprojections2014!$A$2:$AW$319,32, FALSE))/10</f>
        <v>277.7</v>
      </c>
      <c r="AD162" s="267">
        <f>IF(IndividualLATest!$J$7=2014,(VLOOKUP($A162,Hshldprojections2014!$A$2:$AY$326,43,FALSE)-VLOOKUP($A162,Hshldprojections2014!$A$2:$AY$326,33,FALSE))/10,IF(IndividualLATest!$J$7=2016,(VLOOKUP($A162,Hshldprojections2016!$A$1:$AQ$322,33,FALSE)-VLOOKUP($A162,Hshldprojections2016!$A$1:$AQ$322,23,FALSE))/10,(VLOOKUP($A162,Hshldprojections2018!$A$1:$AQ$327,33,FALSE)-VLOOKUP($A162,Hshldprojections2018!$A$1:$AQ$327,23,FALSE))/10))</f>
        <v>380.2</v>
      </c>
      <c r="AE162" s="267">
        <f>IF(IndividualLATest!$J$7=2014,(VLOOKUP($A162,Hshldprojections2014!$A$2:$AY$326,44,FALSE)-VLOOKUP($A162,Hshldprojections2014!$A$2:$AY$326,34,FALSE))/10,IF(IndividualLATest!$J$7=2016,(VLOOKUP($A162,Hshldprojections2016!$A$1:$AQ$322,34,FALSE)-VLOOKUP($A162,Hshldprojections2016!$A$1:$AQ$322,24,FALSE))/10,(VLOOKUP($A162,Hshldprojections2018!$A$1:$AQ$327,34,FALSE)-VLOOKUP($A162,Hshldprojections2018!$A$1:$AQ$327,24,FALSE))/10))</f>
        <v>370.9</v>
      </c>
      <c r="AF162" s="267">
        <f>IF(IndividualLATest!$J$7=2014,(VLOOKUP($A162,Hshldprojections2014!$A$2:$AY$326,45,FALSE)-VLOOKUP($A162,Hshldprojections2014!$A$2:$AY$326,35,FALSE))/10,IF(IndividualLATest!$J$7=2016,(VLOOKUP($A162,Hshldprojections2016!$A$1:$AQ$322,35,FALSE)-VLOOKUP($A162,Hshldprojections2016!$A$1:$AQ$322,25,FALSE))/10,(VLOOKUP($A162,Hshldprojections2018!$A$1:$AQ$327,35,FALSE)-VLOOKUP($A162,Hshldprojections2018!$A$1:$AQ$327,25,FALSE))/10))</f>
        <v>362.2</v>
      </c>
      <c r="AG162" s="267">
        <f>IF(IndividualLATest!$J$7=2014,(VLOOKUP($A162,Hshldprojections2014!$A$2:$AY$326,46,FALSE)-VLOOKUP($A162,Hshldprojections2014!$A$2:$AY$326,36,FALSE))/10,IF(IndividualLATest!$J$7=2016,(VLOOKUP($A162,Hshldprojections2016!$A$1:$AQ$322,36,FALSE)-VLOOKUP($A162,Hshldprojections2016!$A$1:$AQ$322,26,FALSE))/10,(VLOOKUP($A162,Hshldprojections2018!$A$1:$AQ$327,36,FALSE)-VLOOKUP($A162,Hshldprojections2018!$A$1:$AQ$327,26,FALSE))/10))</f>
        <v>353.7</v>
      </c>
      <c r="AH162" s="267">
        <f>IF(IndividualLATest!$J$7=2014,(VLOOKUP($A162,Hshldprojections2014!$A$2:$AY$326,47,FALSE)-VLOOKUP($A162,Hshldprojections2014!$A$2:$AY$326,37,FALSE))/10,IF(IndividualLATest!$J$7=2016,(VLOOKUP($A162,Hshldprojections2016!$A$1:$AQ$322,37,FALSE)-VLOOKUP($A162,Hshldprojections2016!$A$1:$AQ$322,27,FALSE))/10,(VLOOKUP($A162,Hshldprojections2018!$A$1:$AQ$327,37,FALSE)-VLOOKUP($A162,Hshldprojections2018!$A$1:$AQ$327,27,FALSE))/10))</f>
        <v>347.2</v>
      </c>
      <c r="AI162" s="268">
        <f>IF(ISNUMBER('Sensitivity Tests'!$C$30),'Sensitivity Tests'!$C$30,VLOOKUP($A162,AffordabilityRatio!$A$2:$I$321,5,FALSE))</f>
        <v>10.81</v>
      </c>
      <c r="AJ162" s="268">
        <f>IF(ISNUMBER('Sensitivity Tests'!$C$30),'Sensitivity Tests'!$C$30,VLOOKUP($A162,AffordabilityRatio!$A$2:$I$321,6,FALSE))</f>
        <v>11.41</v>
      </c>
      <c r="AK162" s="268">
        <f>IF(ISNUMBER('Sensitivity Tests'!$C$30),'Sensitivity Tests'!$C$30,VLOOKUP($A162,AffordabilityRatio!$A$2:$I$321,7,FALSE))</f>
        <v>11.16</v>
      </c>
      <c r="AL162" s="268">
        <f>IF(ISNUMBER('Sensitivity Tests'!$C$30),'Sensitivity Tests'!$C$30,IF((VLOOKUP($A162,AffordabilityRatio!$A$2:$I$321,8,FALSE))="",AK162,VLOOKUP($A162,AffordabilityRatio!$A$2:$I$321,8,FALSE)))</f>
        <v>11.8</v>
      </c>
      <c r="AM162" s="268">
        <f>IF(ISNUMBER('Sensitivity Tests'!$C$30),'Sensitivity Tests'!$C$30,IF((VLOOKUP($A162,AffordabilityRatio!$A$2:$I$321,9,FALSE))="",AL162,VLOOKUP($A162,AffordabilityRatio!$A$2:$I$321,9,FALSE)))</f>
        <v>11.9</v>
      </c>
      <c r="AN162" s="268">
        <f>IF(ISNUMBER('Sensitivity Tests'!$C$30),'Sensitivity Tests'!$C$30,IF((VLOOKUP($A162,AffordabilityRatio!$A$2:$I$321,9,FALSE))="",AM162,VLOOKUP($A162,AffordabilityRatio!$A$2:$I$321,9,FALSE)))</f>
        <v>11.9</v>
      </c>
      <c r="AO162" s="268">
        <f>IF(ISNUMBER('Sensitivity Tests'!$C$30),'Sensitivity Tests'!$C$30,IF((VLOOKUP($A162,AffordabilityRatio!$A$2:$I$321,9,FALSE))="",AN162,VLOOKUP($A162,AffordabilityRatio!$A$2:$I$321,9,FALSE)))</f>
        <v>11.9</v>
      </c>
      <c r="AP162" s="268">
        <f>IF(ISNUMBER('Sensitivity Tests'!$C$30),'Sensitivity Tests'!$C$30,IF((VLOOKUP($A162,AffordabilityRatio!$A$2:$I$321,9,FALSE))="",AO162,VLOOKUP($A162,AffordabilityRatio!$A$2:$I$321,9,FALSE)))</f>
        <v>11.9</v>
      </c>
      <c r="AQ162" s="267">
        <f t="shared" si="104"/>
        <v>398</v>
      </c>
      <c r="AR162" s="267">
        <f t="shared" si="104"/>
        <v>405</v>
      </c>
      <c r="AS162" s="267">
        <f t="shared" si="104"/>
        <v>402</v>
      </c>
      <c r="AT162" s="267">
        <f t="shared" si="103"/>
        <v>566</v>
      </c>
      <c r="AU162" s="267">
        <f t="shared" si="103"/>
        <v>554</v>
      </c>
      <c r="AV162" s="267">
        <f t="shared" si="103"/>
        <v>541</v>
      </c>
      <c r="AW162" s="267">
        <f t="shared" si="103"/>
        <v>528</v>
      </c>
      <c r="AX162" s="267">
        <f t="shared" si="103"/>
        <v>519</v>
      </c>
      <c r="AY162" s="267">
        <f t="shared" si="122"/>
        <v>398</v>
      </c>
      <c r="AZ162" s="267">
        <f t="shared" si="123"/>
        <v>405</v>
      </c>
      <c r="BA162" s="267">
        <f t="shared" si="124"/>
        <v>402</v>
      </c>
      <c r="BB162" s="267">
        <f t="shared" si="125"/>
        <v>566</v>
      </c>
      <c r="BC162" s="267">
        <f t="shared" si="126"/>
        <v>554</v>
      </c>
      <c r="BD162" s="267">
        <f t="shared" si="127"/>
        <v>541</v>
      </c>
      <c r="BE162" s="267">
        <f t="shared" si="128"/>
        <v>528</v>
      </c>
      <c r="BF162" s="267">
        <f t="shared" si="129"/>
        <v>519</v>
      </c>
      <c r="BG162" s="269">
        <f>AY162*VLOOKUP($B162,'Major Cities &amp; Towns'!$A$28:$B$345,2,FALSE)</f>
        <v>398</v>
      </c>
      <c r="BH162" s="269">
        <f>AZ162*VLOOKUP($B162,'Major Cities &amp; Towns'!$A$28:$B$345,2,FALSE)</f>
        <v>405</v>
      </c>
      <c r="BI162" s="269">
        <f>BA162*VLOOKUP($B162,'Major Cities &amp; Towns'!$A$28:$B$345,2,FALSE)</f>
        <v>402</v>
      </c>
      <c r="BJ162" s="269">
        <f>BB162*VLOOKUP($B162,'Major Cities &amp; Towns'!$A$28:$B$345,2,FALSE)</f>
        <v>566</v>
      </c>
      <c r="BK162" s="269">
        <f>BC162*VLOOKUP($B162,'Major Cities &amp; Towns'!$A$28:$B$345,2,FALSE)</f>
        <v>554</v>
      </c>
      <c r="BL162" s="269">
        <f>BD162*VLOOKUP($B162,'Major Cities &amp; Towns'!$A$28:$B$345,2,FALSE)</f>
        <v>541</v>
      </c>
      <c r="BM162" s="269">
        <f>BE162*VLOOKUP($B162,'Major Cities &amp; Towns'!$A$28:$B$345,2,FALSE)</f>
        <v>528</v>
      </c>
      <c r="BN162" s="269">
        <f>BF162*VLOOKUP($B162,'Major Cities &amp; Towns'!$A$28:$B$345,2,FALSE)</f>
        <v>519</v>
      </c>
      <c r="BO162" s="270">
        <f t="shared" si="130"/>
        <v>398</v>
      </c>
      <c r="BP162" s="270">
        <f t="shared" si="147"/>
        <v>405</v>
      </c>
      <c r="BQ162" s="270">
        <f t="shared" si="147"/>
        <v>401.99999999999994</v>
      </c>
      <c r="BR162" s="270">
        <f t="shared" si="147"/>
        <v>566</v>
      </c>
      <c r="BS162" s="270">
        <f t="shared" si="146"/>
        <v>554</v>
      </c>
      <c r="BT162" s="270">
        <f t="shared" si="146"/>
        <v>541</v>
      </c>
      <c r="BU162" s="270">
        <f t="shared" si="146"/>
        <v>528</v>
      </c>
      <c r="BV162" s="270">
        <f t="shared" si="99"/>
        <v>519</v>
      </c>
      <c r="BW162" s="39">
        <f>VLOOKUP($A162,NetAdditions!$A$2:$H$336,6,FALSE)</f>
        <v>577</v>
      </c>
      <c r="BX162" s="39">
        <f>VLOOKUP($A162,NetAdditions!$A$2:$H$336,7,FALSE)</f>
        <v>392</v>
      </c>
      <c r="BY162" s="39">
        <f>IF((VLOOKUP($C162,NetAdditions!$A$2:$H$336,8,FALSE))="",(AVERAGE(VLOOKUP($C162,NetAdditions!$A$2:$H$336,5,FALSE),VLOOKUP($C162,NetAdditions!$A$2:$H$336,6,FALSE),VLOOKUP($C162,NetAdditions!$A$2:$H$336,7,FALSE))),VLOOKUP($C162,NetAdditions!$A$2:$H$336,8,FALSE))</f>
        <v>463</v>
      </c>
      <c r="BZ162" s="39">
        <f t="shared" si="105"/>
        <v>477.33333333333331</v>
      </c>
      <c r="CA162" s="39">
        <f t="shared" si="105"/>
        <v>444.11111111111109</v>
      </c>
      <c r="CB162" s="39">
        <f t="shared" si="105"/>
        <v>461.48148148148147</v>
      </c>
      <c r="CC162" s="39">
        <f t="shared" si="105"/>
        <v>460.97530864197529</v>
      </c>
      <c r="CD162" s="39">
        <f t="shared" si="105"/>
        <v>455.52263374485597</v>
      </c>
      <c r="CE162" s="276">
        <f t="shared" si="106"/>
        <v>1205</v>
      </c>
      <c r="CF162" s="276">
        <f t="shared" si="107"/>
        <v>1373</v>
      </c>
      <c r="CG162" s="276">
        <f t="shared" si="108"/>
        <v>1522</v>
      </c>
      <c r="CH162" s="276">
        <f t="shared" si="109"/>
        <v>1661</v>
      </c>
      <c r="CI162" s="276">
        <f t="shared" si="110"/>
        <v>1623</v>
      </c>
      <c r="CJ162" s="276">
        <f t="shared" si="111"/>
        <v>1588</v>
      </c>
      <c r="CK162" s="276">
        <f t="shared" si="131"/>
        <v>1037.6388888888889</v>
      </c>
      <c r="CL162" s="276">
        <f t="shared" si="132"/>
        <v>1182.3055555555557</v>
      </c>
      <c r="CM162" s="276">
        <f t="shared" si="133"/>
        <v>1395.1666666666665</v>
      </c>
      <c r="CN162" s="276">
        <f t="shared" si="134"/>
        <v>1661</v>
      </c>
      <c r="CO162" s="276">
        <f t="shared" si="134"/>
        <v>1623</v>
      </c>
      <c r="CP162" s="276">
        <f t="shared" si="134"/>
        <v>1588</v>
      </c>
      <c r="CQ162" s="39">
        <f t="shared" si="112"/>
        <v>1432</v>
      </c>
      <c r="CR162" s="39">
        <f t="shared" si="113"/>
        <v>1332.3333333333333</v>
      </c>
      <c r="CS162" s="277">
        <f t="shared" si="114"/>
        <v>1384.4444444444443</v>
      </c>
      <c r="CT162" s="39">
        <f t="shared" si="115"/>
        <v>1382.9259259259259</v>
      </c>
      <c r="CU162" s="39">
        <f t="shared" si="116"/>
        <v>1366.5679012345679</v>
      </c>
      <c r="CV162" s="39">
        <f t="shared" si="117"/>
        <v>1377.9794238683128</v>
      </c>
      <c r="CW162" s="297">
        <f t="shared" si="118"/>
        <v>1.3800562173738455</v>
      </c>
      <c r="CX162" s="279" t="str">
        <f t="shared" si="135"/>
        <v>Pass</v>
      </c>
      <c r="CY162" s="278">
        <f t="shared" si="119"/>
        <v>1.1268942508751731</v>
      </c>
      <c r="CZ162" s="279" t="str">
        <f t="shared" si="136"/>
        <v>Pass</v>
      </c>
      <c r="DA162" s="278">
        <f t="shared" si="120"/>
        <v>0.9923147373870107</v>
      </c>
      <c r="DB162" s="292" t="str">
        <f t="shared" si="137"/>
        <v>Pass</v>
      </c>
      <c r="DC162" s="299">
        <f t="shared" si="138"/>
        <v>0.83258634914264051</v>
      </c>
      <c r="DD162" s="293" t="str">
        <f t="shared" si="139"/>
        <v>Buffer and Action Plan</v>
      </c>
      <c r="DE162" s="299">
        <f t="shared" si="140"/>
        <v>0.84200117143226616</v>
      </c>
      <c r="DF162" s="293" t="str">
        <f t="shared" si="141"/>
        <v>Buffer and Action Plan</v>
      </c>
      <c r="DG162" s="299">
        <f t="shared" si="142"/>
        <v>0.8677452291362171</v>
      </c>
      <c r="DH162" s="293" t="str">
        <f t="shared" si="143"/>
        <v>Action Plan</v>
      </c>
    </row>
    <row r="163" spans="1:112" ht="15" thickTop="1" thickBot="1">
      <c r="A163" s="38" t="s">
        <v>436</v>
      </c>
      <c r="B163" s="38" t="s">
        <v>437</v>
      </c>
      <c r="C163" s="38" t="s">
        <v>436</v>
      </c>
      <c r="D163" s="38" t="s">
        <v>116</v>
      </c>
      <c r="E163" s="38" t="str">
        <f>VLOOKUP(C163,PoliticalControl!A:K,11,FALSE)</f>
        <v>LAB</v>
      </c>
      <c r="F163" s="38" t="str">
        <f>VLOOKUP(C163,UrbanRuralClassification!A:N,13,FALSE)</f>
        <v>Urban with Major Conurbation</v>
      </c>
      <c r="G163" s="38" t="str">
        <f>VLOOKUP(C163,UrbanRuralClassification!A:N,14,FALSE)</f>
        <v>Predominantly Urban</v>
      </c>
      <c r="H163" s="258">
        <f>IF(ISBLANK((VLOOKUP($A163,'local-plan-data'!$C$1:$AD$566,27,FALSE)))=TRUE,"",VLOOKUP($A163,'local-plan-data'!$C$1:$AD$566,27,FALSE))</f>
        <v>41101</v>
      </c>
      <c r="I163" s="259">
        <f>VLOOKUP($A163,'local-plan-data'!$C$1:$AD$566,28,FALSE)</f>
        <v>3333.3333333333335</v>
      </c>
      <c r="J163" s="260">
        <f t="shared" si="121"/>
        <v>3333.3333333333335</v>
      </c>
      <c r="K163" s="259" t="str">
        <f t="shared" si="144"/>
        <v>-</v>
      </c>
      <c r="L163" s="259" t="str">
        <f t="shared" si="148"/>
        <v>-</v>
      </c>
      <c r="M163" s="259" t="str">
        <f t="shared" si="148"/>
        <v>-</v>
      </c>
      <c r="N163" s="259" t="str">
        <f t="shared" si="148"/>
        <v>-</v>
      </c>
      <c r="O163" s="259" t="str">
        <f t="shared" si="148"/>
        <v>-</v>
      </c>
      <c r="P163" s="259" t="str">
        <f t="shared" si="148"/>
        <v>-</v>
      </c>
      <c r="Q163" s="259" t="str">
        <f t="shared" si="148"/>
        <v>-</v>
      </c>
      <c r="R163" s="259" t="str">
        <f t="shared" si="148"/>
        <v>-</v>
      </c>
      <c r="S163" s="259">
        <f t="shared" si="145"/>
        <v>-264</v>
      </c>
      <c r="T163" s="259">
        <f t="shared" si="149"/>
        <v>-629</v>
      </c>
      <c r="U163" s="259">
        <f t="shared" si="149"/>
        <v>-995</v>
      </c>
      <c r="V163" s="259">
        <f t="shared" si="149"/>
        <v>-1360</v>
      </c>
      <c r="W163" s="259">
        <f t="shared" si="149"/>
        <v>-1725</v>
      </c>
      <c r="X163" s="259">
        <f t="shared" si="149"/>
        <v>-2090</v>
      </c>
      <c r="Y163" s="259">
        <f t="shared" si="149"/>
        <v>-2456</v>
      </c>
      <c r="Z163" s="259">
        <f t="shared" si="149"/>
        <v>-2821</v>
      </c>
      <c r="AA163" s="267">
        <f>(VLOOKUP(A163,Hshldprojections2014!$A$2:$AW$319,40, FALSE)-VLOOKUP(A163,Hshldprojections2014!$A$2:$AW$319,30, FALSE))/10</f>
        <v>2382.6</v>
      </c>
      <c r="AB163" s="267">
        <f>(VLOOKUP(A163,Hshldprojections2014!$A$2:$AW$319,41, FALSE)-VLOOKUP(A163,Hshldprojections2014!$A$2:$AW$319,31, FALSE))/10</f>
        <v>2356.6</v>
      </c>
      <c r="AC163" s="267">
        <f>(VLOOKUP(A163,Hshldprojections2014!$A$2:$AW$319,42, FALSE)-VLOOKUP(A163,Hshldprojections2014!$A$2:$AW$319,32, FALSE))/10</f>
        <v>2339.4</v>
      </c>
      <c r="AD163" s="267">
        <f>IF(IndividualLATest!$J$7=2014,(VLOOKUP($A163,Hshldprojections2014!$A$2:$AY$326,43,FALSE)-VLOOKUP($A163,Hshldprojections2014!$A$2:$AY$326,33,FALSE))/10,IF(IndividualLATest!$J$7=2016,(VLOOKUP($A163,Hshldprojections2016!$A$1:$AQ$322,33,FALSE)-VLOOKUP($A163,Hshldprojections2016!$A$1:$AQ$322,23,FALSE))/10,(VLOOKUP($A163,Hshldprojections2018!$A$1:$AQ$327,33,FALSE)-VLOOKUP($A163,Hshldprojections2018!$A$1:$AQ$327,23,FALSE))/10))</f>
        <v>1118.0999999999999</v>
      </c>
      <c r="AE163" s="267">
        <f>IF(IndividualLATest!$J$7=2014,(VLOOKUP($A163,Hshldprojections2014!$A$2:$AY$326,44,FALSE)-VLOOKUP($A163,Hshldprojections2014!$A$2:$AY$326,34,FALSE))/10,IF(IndividualLATest!$J$7=2016,(VLOOKUP($A163,Hshldprojections2016!$A$1:$AQ$322,34,FALSE)-VLOOKUP($A163,Hshldprojections2016!$A$1:$AQ$322,24,FALSE))/10,(VLOOKUP($A163,Hshldprojections2018!$A$1:$AQ$327,34,FALSE)-VLOOKUP($A163,Hshldprojections2018!$A$1:$AQ$327,24,FALSE))/10))</f>
        <v>1151.5999999999999</v>
      </c>
      <c r="AF163" s="267">
        <f>IF(IndividualLATest!$J$7=2014,(VLOOKUP($A163,Hshldprojections2014!$A$2:$AY$326,45,FALSE)-VLOOKUP($A163,Hshldprojections2014!$A$2:$AY$326,35,FALSE))/10,IF(IndividualLATest!$J$7=2016,(VLOOKUP($A163,Hshldprojections2016!$A$1:$AQ$322,35,FALSE)-VLOOKUP($A163,Hshldprojections2016!$A$1:$AQ$322,25,FALSE))/10,(VLOOKUP($A163,Hshldprojections2018!$A$1:$AQ$327,35,FALSE)-VLOOKUP($A163,Hshldprojections2018!$A$1:$AQ$327,25,FALSE))/10))</f>
        <v>1179</v>
      </c>
      <c r="AG163" s="267">
        <f>IF(IndividualLATest!$J$7=2014,(VLOOKUP($A163,Hshldprojections2014!$A$2:$AY$326,46,FALSE)-VLOOKUP($A163,Hshldprojections2014!$A$2:$AY$326,36,FALSE))/10,IF(IndividualLATest!$J$7=2016,(VLOOKUP($A163,Hshldprojections2016!$A$1:$AQ$322,36,FALSE)-VLOOKUP($A163,Hshldprojections2016!$A$1:$AQ$322,26,FALSE))/10,(VLOOKUP($A163,Hshldprojections2018!$A$1:$AQ$327,36,FALSE)-VLOOKUP($A163,Hshldprojections2018!$A$1:$AQ$327,26,FALSE))/10))</f>
        <v>1205.2</v>
      </c>
      <c r="AH163" s="267">
        <f>IF(IndividualLATest!$J$7=2014,(VLOOKUP($A163,Hshldprojections2014!$A$2:$AY$326,47,FALSE)-VLOOKUP($A163,Hshldprojections2014!$A$2:$AY$326,37,FALSE))/10,IF(IndividualLATest!$J$7=2016,(VLOOKUP($A163,Hshldprojections2016!$A$1:$AQ$322,37,FALSE)-VLOOKUP($A163,Hshldprojections2016!$A$1:$AQ$322,27,FALSE))/10,(VLOOKUP($A163,Hshldprojections2018!$A$1:$AQ$327,37,FALSE)-VLOOKUP($A163,Hshldprojections2018!$A$1:$AQ$327,27,FALSE))/10))</f>
        <v>1228.7</v>
      </c>
      <c r="AI163" s="268">
        <f>IF(ISNUMBER('Sensitivity Tests'!$C$30),'Sensitivity Tests'!$C$30,VLOOKUP($A163,AffordabilityRatio!$A$2:$I$321,5,FALSE))</f>
        <v>5.36</v>
      </c>
      <c r="AJ163" s="268">
        <f>IF(ISNUMBER('Sensitivity Tests'!$C$30),'Sensitivity Tests'!$C$30,VLOOKUP($A163,AffordabilityRatio!$A$2:$I$321,6,FALSE))</f>
        <v>5.67</v>
      </c>
      <c r="AK163" s="268">
        <f>IF(ISNUMBER('Sensitivity Tests'!$C$30),'Sensitivity Tests'!$C$30,VLOOKUP($A163,AffordabilityRatio!$A$2:$I$321,7,FALSE))</f>
        <v>5.84</v>
      </c>
      <c r="AL163" s="268">
        <f>IF(ISNUMBER('Sensitivity Tests'!$C$30),'Sensitivity Tests'!$C$30,IF((VLOOKUP($A163,AffordabilityRatio!$A$2:$I$321,8,FALSE))="",AK163,VLOOKUP($A163,AffordabilityRatio!$A$2:$I$321,8,FALSE)))</f>
        <v>6.11</v>
      </c>
      <c r="AM163" s="268">
        <f>IF(ISNUMBER('Sensitivity Tests'!$C$30),'Sensitivity Tests'!$C$30,IF((VLOOKUP($A163,AffordabilityRatio!$A$2:$I$321,9,FALSE))="",AL163,VLOOKUP($A163,AffordabilityRatio!$A$2:$I$321,9,FALSE)))</f>
        <v>6.67</v>
      </c>
      <c r="AN163" s="268">
        <f>IF(ISNUMBER('Sensitivity Tests'!$C$30),'Sensitivity Tests'!$C$30,IF((VLOOKUP($A163,AffordabilityRatio!$A$2:$I$321,9,FALSE))="",AM163,VLOOKUP($A163,AffordabilityRatio!$A$2:$I$321,9,FALSE)))</f>
        <v>6.67</v>
      </c>
      <c r="AO163" s="268">
        <f>IF(ISNUMBER('Sensitivity Tests'!$C$30),'Sensitivity Tests'!$C$30,IF((VLOOKUP($A163,AffordabilityRatio!$A$2:$I$321,9,FALSE))="",AN163,VLOOKUP($A163,AffordabilityRatio!$A$2:$I$321,9,FALSE)))</f>
        <v>6.67</v>
      </c>
      <c r="AP163" s="268">
        <f>IF(ISNUMBER('Sensitivity Tests'!$C$30),'Sensitivity Tests'!$C$30,IF((VLOOKUP($A163,AffordabilityRatio!$A$2:$I$321,9,FALSE))="",AO163,VLOOKUP($A163,AffordabilityRatio!$A$2:$I$321,9,FALSE)))</f>
        <v>6.67</v>
      </c>
      <c r="AQ163" s="267">
        <f t="shared" si="104"/>
        <v>2585</v>
      </c>
      <c r="AR163" s="267">
        <f t="shared" si="104"/>
        <v>2603</v>
      </c>
      <c r="AS163" s="267">
        <f t="shared" si="104"/>
        <v>2608</v>
      </c>
      <c r="AT163" s="267">
        <f t="shared" si="103"/>
        <v>1266</v>
      </c>
      <c r="AU163" s="267">
        <f t="shared" si="103"/>
        <v>1344</v>
      </c>
      <c r="AV163" s="267">
        <f t="shared" si="103"/>
        <v>1376</v>
      </c>
      <c r="AW163" s="267">
        <f t="shared" si="103"/>
        <v>1406</v>
      </c>
      <c r="AX163" s="267">
        <f t="shared" si="103"/>
        <v>1434</v>
      </c>
      <c r="AY163" s="267">
        <f t="shared" si="122"/>
        <v>2585</v>
      </c>
      <c r="AZ163" s="267">
        <f t="shared" si="123"/>
        <v>2603</v>
      </c>
      <c r="BA163" s="267">
        <f t="shared" si="124"/>
        <v>2608</v>
      </c>
      <c r="BB163" s="267">
        <f t="shared" si="125"/>
        <v>1266</v>
      </c>
      <c r="BC163" s="267">
        <f t="shared" si="126"/>
        <v>1344</v>
      </c>
      <c r="BD163" s="267">
        <f t="shared" si="127"/>
        <v>1376</v>
      </c>
      <c r="BE163" s="267">
        <f t="shared" si="128"/>
        <v>1406</v>
      </c>
      <c r="BF163" s="267">
        <f t="shared" si="129"/>
        <v>1434</v>
      </c>
      <c r="BG163" s="269">
        <f>AY163*VLOOKUP($B163,'Major Cities &amp; Towns'!$A$28:$B$345,2,FALSE)</f>
        <v>3489.7500000000005</v>
      </c>
      <c r="BH163" s="269">
        <f>AZ163*VLOOKUP($B163,'Major Cities &amp; Towns'!$A$28:$B$345,2,FALSE)</f>
        <v>3514.05</v>
      </c>
      <c r="BI163" s="269">
        <f>BA163*VLOOKUP($B163,'Major Cities &amp; Towns'!$A$28:$B$345,2,FALSE)</f>
        <v>3520.8</v>
      </c>
      <c r="BJ163" s="269">
        <f>BB163*VLOOKUP($B163,'Major Cities &amp; Towns'!$A$28:$B$345,2,FALSE)</f>
        <v>1709.1000000000001</v>
      </c>
      <c r="BK163" s="269">
        <f>BC163*VLOOKUP($B163,'Major Cities &amp; Towns'!$A$28:$B$345,2,FALSE)</f>
        <v>1814.4</v>
      </c>
      <c r="BL163" s="269">
        <f>BD163*VLOOKUP($B163,'Major Cities &amp; Towns'!$A$28:$B$345,2,FALSE)</f>
        <v>1857.6000000000001</v>
      </c>
      <c r="BM163" s="269">
        <f>BE163*VLOOKUP($B163,'Major Cities &amp; Towns'!$A$28:$B$345,2,FALSE)</f>
        <v>1898.1000000000001</v>
      </c>
      <c r="BN163" s="269">
        <f>BF163*VLOOKUP($B163,'Major Cities &amp; Towns'!$A$28:$B$345,2,FALSE)</f>
        <v>1935.9</v>
      </c>
      <c r="BO163" s="270">
        <f t="shared" si="130"/>
        <v>2585</v>
      </c>
      <c r="BP163" s="270">
        <f t="shared" si="147"/>
        <v>2603</v>
      </c>
      <c r="BQ163" s="270">
        <f t="shared" si="147"/>
        <v>2608</v>
      </c>
      <c r="BR163" s="270">
        <f t="shared" si="147"/>
        <v>1266</v>
      </c>
      <c r="BS163" s="270">
        <f t="shared" si="146"/>
        <v>1344</v>
      </c>
      <c r="BT163" s="270">
        <f t="shared" si="146"/>
        <v>1376</v>
      </c>
      <c r="BU163" s="270">
        <f t="shared" si="146"/>
        <v>1406</v>
      </c>
      <c r="BV163" s="270">
        <f t="shared" si="99"/>
        <v>1434</v>
      </c>
      <c r="BW163" s="39">
        <f>VLOOKUP($A163,NetAdditions!$A$2:$H$336,6,FALSE)</f>
        <v>2344</v>
      </c>
      <c r="BX163" s="39">
        <f>VLOOKUP($A163,NetAdditions!$A$2:$H$336,7,FALSE)</f>
        <v>4005</v>
      </c>
      <c r="BY163" s="39">
        <f>IF((VLOOKUP($C163,NetAdditions!$A$2:$H$336,8,FALSE))="",(AVERAGE(VLOOKUP($C163,NetAdditions!$A$2:$H$336,5,FALSE),VLOOKUP($C163,NetAdditions!$A$2:$H$336,6,FALSE),VLOOKUP($C163,NetAdditions!$A$2:$H$336,7,FALSE))),VLOOKUP($C163,NetAdditions!$A$2:$H$336,8,FALSE))</f>
        <v>4024</v>
      </c>
      <c r="BZ163" s="39">
        <f t="shared" si="105"/>
        <v>3457.6666666666665</v>
      </c>
      <c r="CA163" s="39">
        <f t="shared" si="105"/>
        <v>3828.8888888888887</v>
      </c>
      <c r="CB163" s="39">
        <f t="shared" si="105"/>
        <v>3770.1851851851848</v>
      </c>
      <c r="CC163" s="39">
        <f t="shared" si="105"/>
        <v>3685.5802469135797</v>
      </c>
      <c r="CD163" s="39">
        <f t="shared" si="105"/>
        <v>3761.5514403292177</v>
      </c>
      <c r="CE163" s="276">
        <f t="shared" si="106"/>
        <v>7796</v>
      </c>
      <c r="CF163" s="276">
        <f t="shared" si="107"/>
        <v>6477</v>
      </c>
      <c r="CG163" s="276">
        <f t="shared" si="108"/>
        <v>5218</v>
      </c>
      <c r="CH163" s="276">
        <f t="shared" si="109"/>
        <v>3986</v>
      </c>
      <c r="CI163" s="276">
        <f t="shared" si="110"/>
        <v>4126</v>
      </c>
      <c r="CJ163" s="276">
        <f t="shared" si="111"/>
        <v>4216</v>
      </c>
      <c r="CK163" s="276">
        <f t="shared" si="131"/>
        <v>6713.2222222222226</v>
      </c>
      <c r="CL163" s="276">
        <f t="shared" si="132"/>
        <v>5577.416666666667</v>
      </c>
      <c r="CM163" s="276">
        <f t="shared" si="133"/>
        <v>4783.1666666666661</v>
      </c>
      <c r="CN163" s="276">
        <f t="shared" si="134"/>
        <v>3986</v>
      </c>
      <c r="CO163" s="276">
        <f t="shared" si="134"/>
        <v>4126</v>
      </c>
      <c r="CP163" s="276">
        <f t="shared" si="134"/>
        <v>4216</v>
      </c>
      <c r="CQ163" s="39">
        <f t="shared" si="112"/>
        <v>10373</v>
      </c>
      <c r="CR163" s="39">
        <f t="shared" si="113"/>
        <v>11486.666666666666</v>
      </c>
      <c r="CS163" s="277">
        <f t="shared" si="114"/>
        <v>11310.555555555555</v>
      </c>
      <c r="CT163" s="39">
        <f t="shared" si="115"/>
        <v>11056.740740740739</v>
      </c>
      <c r="CU163" s="39">
        <f t="shared" si="116"/>
        <v>11284.654320987653</v>
      </c>
      <c r="CV163" s="39">
        <f t="shared" si="117"/>
        <v>11217.316872427982</v>
      </c>
      <c r="CW163" s="297">
        <f t="shared" si="118"/>
        <v>1.5451596352140882</v>
      </c>
      <c r="CX163" s="279" t="str">
        <f t="shared" si="135"/>
        <v>Pass</v>
      </c>
      <c r="CY163" s="278">
        <f t="shared" si="119"/>
        <v>2.0594958836976494</v>
      </c>
      <c r="CZ163" s="279" t="str">
        <f t="shared" si="136"/>
        <v>Pass</v>
      </c>
      <c r="DA163" s="278">
        <f t="shared" si="120"/>
        <v>2.3646584666132386</v>
      </c>
      <c r="DB163" s="292" t="str">
        <f t="shared" si="137"/>
        <v>Pass</v>
      </c>
      <c r="DC163" s="299">
        <f t="shared" si="138"/>
        <v>2.7738938135325486</v>
      </c>
      <c r="DD163" s="293" t="str">
        <f t="shared" si="139"/>
        <v>Pass</v>
      </c>
      <c r="DE163" s="299">
        <f t="shared" si="140"/>
        <v>2.7350107418777636</v>
      </c>
      <c r="DF163" s="293" t="str">
        <f t="shared" si="141"/>
        <v>Pass</v>
      </c>
      <c r="DG163" s="299">
        <f t="shared" si="142"/>
        <v>2.6606539071223865</v>
      </c>
      <c r="DH163" s="293" t="str">
        <f t="shared" si="143"/>
        <v>Pass</v>
      </c>
    </row>
    <row r="164" spans="1:112" ht="15" thickTop="1" thickBot="1">
      <c r="A164" s="38" t="s">
        <v>438</v>
      </c>
      <c r="B164" s="38" t="s">
        <v>439</v>
      </c>
      <c r="C164" s="38" t="s">
        <v>438</v>
      </c>
      <c r="D164" s="38" t="s">
        <v>119</v>
      </c>
      <c r="E164" s="38" t="str">
        <f>VLOOKUP(C164,PoliticalControl!A:K,11,FALSE)</f>
        <v>IND/OTHER</v>
      </c>
      <c r="F164" s="38" t="str">
        <f>VLOOKUP(C164,UrbanRuralClassification!A:N,13,FALSE)</f>
        <v>Urban with City and Town</v>
      </c>
      <c r="G164" s="38" t="str">
        <f>VLOOKUP(C164,UrbanRuralClassification!A:N,14,FALSE)</f>
        <v>Predominantly Urban</v>
      </c>
      <c r="H164" s="258">
        <f>IF(ISBLANK((VLOOKUP($A164,'local-plan-data'!$C$1:$AD$566,27,FALSE)))=TRUE,"",VLOOKUP($A164,'local-plan-data'!$C$1:$AD$566,27,FALSE))</f>
        <v>44082</v>
      </c>
      <c r="I164" s="259">
        <f>VLOOKUP($A164,'local-plan-data'!$C$1:$AD$566,28,FALSE)</f>
        <v>325</v>
      </c>
      <c r="J164" s="260">
        <f t="shared" si="121"/>
        <v>325</v>
      </c>
      <c r="K164" s="259">
        <f t="shared" si="144"/>
        <v>325</v>
      </c>
      <c r="L164" s="259">
        <f t="shared" si="148"/>
        <v>325</v>
      </c>
      <c r="M164" s="259">
        <f t="shared" si="148"/>
        <v>325</v>
      </c>
      <c r="N164" s="259">
        <f t="shared" si="148"/>
        <v>325</v>
      </c>
      <c r="O164" s="259">
        <f t="shared" si="148"/>
        <v>325</v>
      </c>
      <c r="P164" s="259">
        <f t="shared" si="148"/>
        <v>325</v>
      </c>
      <c r="Q164" s="259">
        <f t="shared" si="148"/>
        <v>325</v>
      </c>
      <c r="R164" s="259">
        <f t="shared" si="148"/>
        <v>325</v>
      </c>
      <c r="S164" s="259">
        <f t="shared" si="145"/>
        <v>2717</v>
      </c>
      <c r="T164" s="259">
        <f t="shared" si="149"/>
        <v>2352</v>
      </c>
      <c r="U164" s="259">
        <f t="shared" si="149"/>
        <v>1986</v>
      </c>
      <c r="V164" s="259">
        <f t="shared" si="149"/>
        <v>1621</v>
      </c>
      <c r="W164" s="259">
        <f t="shared" si="149"/>
        <v>1256</v>
      </c>
      <c r="X164" s="259">
        <f t="shared" si="149"/>
        <v>891</v>
      </c>
      <c r="Y164" s="259">
        <f t="shared" si="149"/>
        <v>525</v>
      </c>
      <c r="Z164" s="259">
        <f t="shared" si="149"/>
        <v>160</v>
      </c>
      <c r="AA164" s="267">
        <f>(VLOOKUP(A164,Hshldprojections2014!$A$2:$AW$319,40, FALSE)-VLOOKUP(A164,Hshldprojections2014!$A$2:$AW$319,30, FALSE))/10</f>
        <v>246.9</v>
      </c>
      <c r="AB164" s="267">
        <f>(VLOOKUP(A164,Hshldprojections2014!$A$2:$AW$319,41, FALSE)-VLOOKUP(A164,Hshldprojections2014!$A$2:$AW$319,31, FALSE))/10</f>
        <v>242.8</v>
      </c>
      <c r="AC164" s="267">
        <f>(VLOOKUP(A164,Hshldprojections2014!$A$2:$AW$319,42, FALSE)-VLOOKUP(A164,Hshldprojections2014!$A$2:$AW$319,32, FALSE))/10</f>
        <v>240.8</v>
      </c>
      <c r="AD164" s="267">
        <f>IF(IndividualLATest!$J$7=2014,(VLOOKUP($A164,Hshldprojections2014!$A$2:$AY$326,43,FALSE)-VLOOKUP($A164,Hshldprojections2014!$A$2:$AY$326,33,FALSE))/10,IF(IndividualLATest!$J$7=2016,(VLOOKUP($A164,Hshldprojections2016!$A$1:$AQ$322,33,FALSE)-VLOOKUP($A164,Hshldprojections2016!$A$1:$AQ$322,23,FALSE))/10,(VLOOKUP($A164,Hshldprojections2018!$A$1:$AQ$327,33,FALSE)-VLOOKUP($A164,Hshldprojections2018!$A$1:$AQ$327,23,FALSE))/10))</f>
        <v>374.2</v>
      </c>
      <c r="AE164" s="267">
        <f>IF(IndividualLATest!$J$7=2014,(VLOOKUP($A164,Hshldprojections2014!$A$2:$AY$326,44,FALSE)-VLOOKUP($A164,Hshldprojections2014!$A$2:$AY$326,34,FALSE))/10,IF(IndividualLATest!$J$7=2016,(VLOOKUP($A164,Hshldprojections2016!$A$1:$AQ$322,34,FALSE)-VLOOKUP($A164,Hshldprojections2016!$A$1:$AQ$322,24,FALSE))/10,(VLOOKUP($A164,Hshldprojections2018!$A$1:$AQ$327,34,FALSE)-VLOOKUP($A164,Hshldprojections2018!$A$1:$AQ$327,24,FALSE))/10))</f>
        <v>372.4</v>
      </c>
      <c r="AF164" s="267">
        <f>IF(IndividualLATest!$J$7=2014,(VLOOKUP($A164,Hshldprojections2014!$A$2:$AY$326,45,FALSE)-VLOOKUP($A164,Hshldprojections2014!$A$2:$AY$326,35,FALSE))/10,IF(IndividualLATest!$J$7=2016,(VLOOKUP($A164,Hshldprojections2016!$A$1:$AQ$322,35,FALSE)-VLOOKUP($A164,Hshldprojections2016!$A$1:$AQ$322,25,FALSE))/10,(VLOOKUP($A164,Hshldprojections2018!$A$1:$AQ$327,35,FALSE)-VLOOKUP($A164,Hshldprojections2018!$A$1:$AQ$327,25,FALSE))/10))</f>
        <v>370</v>
      </c>
      <c r="AG164" s="267">
        <f>IF(IndividualLATest!$J$7=2014,(VLOOKUP($A164,Hshldprojections2014!$A$2:$AY$326,46,FALSE)-VLOOKUP($A164,Hshldprojections2014!$A$2:$AY$326,36,FALSE))/10,IF(IndividualLATest!$J$7=2016,(VLOOKUP($A164,Hshldprojections2016!$A$1:$AQ$322,36,FALSE)-VLOOKUP($A164,Hshldprojections2016!$A$1:$AQ$322,26,FALSE))/10,(VLOOKUP($A164,Hshldprojections2018!$A$1:$AQ$327,36,FALSE)-VLOOKUP($A164,Hshldprojections2018!$A$1:$AQ$327,26,FALSE))/10))</f>
        <v>367.5</v>
      </c>
      <c r="AH164" s="267">
        <f>IF(IndividualLATest!$J$7=2014,(VLOOKUP($A164,Hshldprojections2014!$A$2:$AY$326,47,FALSE)-VLOOKUP($A164,Hshldprojections2014!$A$2:$AY$326,37,FALSE))/10,IF(IndividualLATest!$J$7=2016,(VLOOKUP($A164,Hshldprojections2016!$A$1:$AQ$322,37,FALSE)-VLOOKUP($A164,Hshldprojections2016!$A$1:$AQ$322,27,FALSE))/10,(VLOOKUP($A164,Hshldprojections2018!$A$1:$AQ$327,37,FALSE)-VLOOKUP($A164,Hshldprojections2018!$A$1:$AQ$327,27,FALSE))/10))</f>
        <v>367.7</v>
      </c>
      <c r="AI164" s="268">
        <f>IF(ISNUMBER('Sensitivity Tests'!$C$30),'Sensitivity Tests'!$C$30,VLOOKUP($A164,AffordabilityRatio!$A$2:$I$321,5,FALSE))</f>
        <v>6.03</v>
      </c>
      <c r="AJ164" s="268">
        <f>IF(ISNUMBER('Sensitivity Tests'!$C$30),'Sensitivity Tests'!$C$30,VLOOKUP($A164,AffordabilityRatio!$A$2:$I$321,6,FALSE))</f>
        <v>5.98</v>
      </c>
      <c r="AK164" s="268">
        <f>IF(ISNUMBER('Sensitivity Tests'!$C$30),'Sensitivity Tests'!$C$30,VLOOKUP($A164,AffordabilityRatio!$A$2:$I$321,7,FALSE))</f>
        <v>6.26</v>
      </c>
      <c r="AL164" s="268">
        <f>IF(ISNUMBER('Sensitivity Tests'!$C$30),'Sensitivity Tests'!$C$30,IF((VLOOKUP($A164,AffordabilityRatio!$A$2:$I$321,8,FALSE))="",AK164,VLOOKUP($A164,AffordabilityRatio!$A$2:$I$321,8,FALSE)))</f>
        <v>5.85</v>
      </c>
      <c r="AM164" s="268">
        <f>IF(ISNUMBER('Sensitivity Tests'!$C$30),'Sensitivity Tests'!$C$30,IF((VLOOKUP($A164,AffordabilityRatio!$A$2:$I$321,9,FALSE))="",AL164,VLOOKUP($A164,AffordabilityRatio!$A$2:$I$321,9,FALSE)))</f>
        <v>6.2</v>
      </c>
      <c r="AN164" s="268">
        <f>IF(ISNUMBER('Sensitivity Tests'!$C$30),'Sensitivity Tests'!$C$30,IF((VLOOKUP($A164,AffordabilityRatio!$A$2:$I$321,9,FALSE))="",AM164,VLOOKUP($A164,AffordabilityRatio!$A$2:$I$321,9,FALSE)))</f>
        <v>6.2</v>
      </c>
      <c r="AO164" s="268">
        <f>IF(ISNUMBER('Sensitivity Tests'!$C$30),'Sensitivity Tests'!$C$30,IF((VLOOKUP($A164,AffordabilityRatio!$A$2:$I$321,9,FALSE))="",AN164,VLOOKUP($A164,AffordabilityRatio!$A$2:$I$321,9,FALSE)))</f>
        <v>6.2</v>
      </c>
      <c r="AP164" s="268">
        <f>IF(ISNUMBER('Sensitivity Tests'!$C$30),'Sensitivity Tests'!$C$30,IF((VLOOKUP($A164,AffordabilityRatio!$A$2:$I$321,9,FALSE))="",AO164,VLOOKUP($A164,AffordabilityRatio!$A$2:$I$321,9,FALSE)))</f>
        <v>6.2</v>
      </c>
      <c r="AQ164" s="267">
        <f t="shared" si="104"/>
        <v>278</v>
      </c>
      <c r="AR164" s="267">
        <f t="shared" si="104"/>
        <v>273</v>
      </c>
      <c r="AS164" s="267">
        <f t="shared" si="104"/>
        <v>275</v>
      </c>
      <c r="AT164" s="267">
        <f t="shared" si="103"/>
        <v>417</v>
      </c>
      <c r="AU164" s="267">
        <f t="shared" si="103"/>
        <v>424</v>
      </c>
      <c r="AV164" s="267">
        <f t="shared" si="103"/>
        <v>421</v>
      </c>
      <c r="AW164" s="267">
        <f t="shared" si="103"/>
        <v>418</v>
      </c>
      <c r="AX164" s="267">
        <f t="shared" si="103"/>
        <v>418</v>
      </c>
      <c r="AY164" s="267">
        <f t="shared" si="122"/>
        <v>278</v>
      </c>
      <c r="AZ164" s="267">
        <f t="shared" si="123"/>
        <v>273</v>
      </c>
      <c r="BA164" s="267">
        <f t="shared" si="124"/>
        <v>275</v>
      </c>
      <c r="BB164" s="267">
        <f t="shared" si="125"/>
        <v>417</v>
      </c>
      <c r="BC164" s="267">
        <f t="shared" si="126"/>
        <v>424</v>
      </c>
      <c r="BD164" s="267">
        <f t="shared" si="127"/>
        <v>421</v>
      </c>
      <c r="BE164" s="267">
        <f t="shared" si="128"/>
        <v>418</v>
      </c>
      <c r="BF164" s="267">
        <f t="shared" si="129"/>
        <v>418</v>
      </c>
      <c r="BG164" s="269">
        <f>AY164*VLOOKUP($B164,'Major Cities &amp; Towns'!$A$28:$B$345,2,FALSE)</f>
        <v>278</v>
      </c>
      <c r="BH164" s="269">
        <f>AZ164*VLOOKUP($B164,'Major Cities &amp; Towns'!$A$28:$B$345,2,FALSE)</f>
        <v>273</v>
      </c>
      <c r="BI164" s="269">
        <f>BA164*VLOOKUP($B164,'Major Cities &amp; Towns'!$A$28:$B$345,2,FALSE)</f>
        <v>275</v>
      </c>
      <c r="BJ164" s="269">
        <f>BB164*VLOOKUP($B164,'Major Cities &amp; Towns'!$A$28:$B$345,2,FALSE)</f>
        <v>417</v>
      </c>
      <c r="BK164" s="269">
        <f>BC164*VLOOKUP($B164,'Major Cities &amp; Towns'!$A$28:$B$345,2,FALSE)</f>
        <v>424</v>
      </c>
      <c r="BL164" s="269">
        <f>BD164*VLOOKUP($B164,'Major Cities &amp; Towns'!$A$28:$B$345,2,FALSE)</f>
        <v>421</v>
      </c>
      <c r="BM164" s="269">
        <f>BE164*VLOOKUP($B164,'Major Cities &amp; Towns'!$A$28:$B$345,2,FALSE)</f>
        <v>418</v>
      </c>
      <c r="BN164" s="269">
        <f>BF164*VLOOKUP($B164,'Major Cities &amp; Towns'!$A$28:$B$345,2,FALSE)</f>
        <v>418</v>
      </c>
      <c r="BO164" s="270">
        <f t="shared" si="130"/>
        <v>278</v>
      </c>
      <c r="BP164" s="270">
        <f t="shared" si="147"/>
        <v>273</v>
      </c>
      <c r="BQ164" s="270">
        <f t="shared" si="147"/>
        <v>275</v>
      </c>
      <c r="BR164" s="270">
        <f t="shared" si="147"/>
        <v>325</v>
      </c>
      <c r="BS164" s="270">
        <f t="shared" si="146"/>
        <v>325</v>
      </c>
      <c r="BT164" s="270">
        <f t="shared" si="146"/>
        <v>325</v>
      </c>
      <c r="BU164" s="270">
        <f t="shared" si="146"/>
        <v>325</v>
      </c>
      <c r="BV164" s="270">
        <f t="shared" si="99"/>
        <v>377.23287671232879</v>
      </c>
      <c r="BW164" s="39">
        <f>VLOOKUP($A164,NetAdditions!$A$2:$H$336,6,FALSE)</f>
        <v>391</v>
      </c>
      <c r="BX164" s="39">
        <f>VLOOKUP($A164,NetAdditions!$A$2:$H$336,7,FALSE)</f>
        <v>402</v>
      </c>
      <c r="BY164" s="39">
        <f>IF((VLOOKUP($C164,NetAdditions!$A$2:$H$336,8,FALSE))="",(AVERAGE(VLOOKUP($C164,NetAdditions!$A$2:$H$336,5,FALSE),VLOOKUP($C164,NetAdditions!$A$2:$H$336,6,FALSE),VLOOKUP($C164,NetAdditions!$A$2:$H$336,7,FALSE))),VLOOKUP($C164,NetAdditions!$A$2:$H$336,8,FALSE))</f>
        <v>474</v>
      </c>
      <c r="BZ164" s="39">
        <f t="shared" si="105"/>
        <v>422.33333333333331</v>
      </c>
      <c r="CA164" s="39">
        <f t="shared" si="105"/>
        <v>432.77777777777777</v>
      </c>
      <c r="CB164" s="39">
        <f t="shared" si="105"/>
        <v>443.03703703703701</v>
      </c>
      <c r="CC164" s="39">
        <f t="shared" si="105"/>
        <v>432.71604938271599</v>
      </c>
      <c r="CD164" s="39">
        <f t="shared" si="105"/>
        <v>436.17695473251024</v>
      </c>
      <c r="CE164" s="276">
        <f t="shared" si="106"/>
        <v>826</v>
      </c>
      <c r="CF164" s="276">
        <f t="shared" si="107"/>
        <v>873</v>
      </c>
      <c r="CG164" s="276">
        <f t="shared" si="108"/>
        <v>925</v>
      </c>
      <c r="CH164" s="276">
        <f t="shared" si="109"/>
        <v>975</v>
      </c>
      <c r="CI164" s="276">
        <f t="shared" si="110"/>
        <v>975</v>
      </c>
      <c r="CJ164" s="276">
        <f t="shared" si="111"/>
        <v>1027.2328767123288</v>
      </c>
      <c r="CK164" s="276">
        <f t="shared" si="131"/>
        <v>711.27777777777783</v>
      </c>
      <c r="CL164" s="276">
        <f t="shared" si="132"/>
        <v>751.75</v>
      </c>
      <c r="CM164" s="276">
        <f t="shared" si="133"/>
        <v>847.91666666666663</v>
      </c>
      <c r="CN164" s="276">
        <f t="shared" si="134"/>
        <v>975</v>
      </c>
      <c r="CO164" s="276">
        <f t="shared" si="134"/>
        <v>975</v>
      </c>
      <c r="CP164" s="276">
        <f t="shared" si="134"/>
        <v>1027.2328767123288</v>
      </c>
      <c r="CQ164" s="39">
        <f t="shared" si="112"/>
        <v>1267</v>
      </c>
      <c r="CR164" s="39">
        <f t="shared" si="113"/>
        <v>1298.3333333333333</v>
      </c>
      <c r="CS164" s="277">
        <f t="shared" si="114"/>
        <v>1329.1111111111111</v>
      </c>
      <c r="CT164" s="39">
        <f t="shared" si="115"/>
        <v>1298.148148148148</v>
      </c>
      <c r="CU164" s="39">
        <f t="shared" si="116"/>
        <v>1308.5308641975307</v>
      </c>
      <c r="CV164" s="39">
        <f t="shared" si="117"/>
        <v>1311.9300411522631</v>
      </c>
      <c r="CW164" s="297">
        <f t="shared" si="118"/>
        <v>1.7813012575177691</v>
      </c>
      <c r="CX164" s="279" t="str">
        <f t="shared" si="135"/>
        <v>Pass</v>
      </c>
      <c r="CY164" s="278">
        <f t="shared" si="119"/>
        <v>1.7270812548497949</v>
      </c>
      <c r="CZ164" s="279" t="str">
        <f t="shared" si="136"/>
        <v>Pass</v>
      </c>
      <c r="DA164" s="278">
        <f t="shared" si="120"/>
        <v>1.5675020475020476</v>
      </c>
      <c r="DB164" s="292" t="str">
        <f t="shared" si="137"/>
        <v>Pass</v>
      </c>
      <c r="DC164" s="299">
        <f t="shared" si="138"/>
        <v>1.3314339981006647</v>
      </c>
      <c r="DD164" s="293" t="str">
        <f t="shared" si="139"/>
        <v>Pass</v>
      </c>
      <c r="DE164" s="299">
        <f t="shared" si="140"/>
        <v>1.3420829376384931</v>
      </c>
      <c r="DF164" s="293" t="str">
        <f t="shared" si="141"/>
        <v>Pass</v>
      </c>
      <c r="DG164" s="299">
        <f t="shared" si="142"/>
        <v>1.2771495839883076</v>
      </c>
      <c r="DH164" s="293" t="str">
        <f t="shared" si="143"/>
        <v>Pass</v>
      </c>
    </row>
    <row r="165" spans="1:112" ht="15" thickTop="1" thickBot="1">
      <c r="A165" s="38" t="s">
        <v>440</v>
      </c>
      <c r="B165" s="38" t="s">
        <v>441</v>
      </c>
      <c r="C165" s="38" t="s">
        <v>440</v>
      </c>
      <c r="D165" s="38" t="s">
        <v>113</v>
      </c>
      <c r="E165" s="38" t="str">
        <f>VLOOKUP(C165,PoliticalControl!A:K,11,FALSE)</f>
        <v>CON</v>
      </c>
      <c r="F165" s="38" t="str">
        <f>VLOOKUP(C165,UrbanRuralClassification!A:N,13,FALSE)</f>
        <v>Urban with City and Town</v>
      </c>
      <c r="G165" s="38" t="str">
        <f>VLOOKUP(C165,UrbanRuralClassification!A:N,14,FALSE)</f>
        <v>Predominantly Urban</v>
      </c>
      <c r="H165" s="258" t="str">
        <f>IF(ISBLANK((VLOOKUP($A165,'local-plan-data'!$C$1:$AD$566,27,FALSE)))=TRUE,"",VLOOKUP($A165,'local-plan-data'!$C$1:$AD$566,27,FALSE))</f>
        <v/>
      </c>
      <c r="I165" s="259" t="str">
        <f>VLOOKUP($A165,'local-plan-data'!$C$1:$AD$566,28,FALSE)</f>
        <v/>
      </c>
      <c r="J165" s="260" t="str">
        <f t="shared" si="121"/>
        <v>-</v>
      </c>
      <c r="K165" s="259" t="str">
        <f t="shared" si="144"/>
        <v>-</v>
      </c>
      <c r="L165" s="259" t="str">
        <f t="shared" si="148"/>
        <v>-</v>
      </c>
      <c r="M165" s="259" t="str">
        <f t="shared" si="148"/>
        <v>-</v>
      </c>
      <c r="N165" s="259" t="str">
        <f t="shared" si="148"/>
        <v>-</v>
      </c>
      <c r="O165" s="259" t="str">
        <f t="shared" si="148"/>
        <v>-</v>
      </c>
      <c r="P165" s="259" t="str">
        <f t="shared" si="148"/>
        <v>-</v>
      </c>
      <c r="Q165" s="259" t="str">
        <f t="shared" si="148"/>
        <v>-</v>
      </c>
      <c r="R165" s="259" t="str">
        <f t="shared" si="148"/>
        <v>-</v>
      </c>
      <c r="S165" s="259" t="str">
        <f t="shared" si="145"/>
        <v>-</v>
      </c>
      <c r="T165" s="259" t="str">
        <f t="shared" si="149"/>
        <v>-</v>
      </c>
      <c r="U165" s="259" t="str">
        <f t="shared" si="149"/>
        <v>-</v>
      </c>
      <c r="V165" s="259" t="str">
        <f t="shared" si="149"/>
        <v>-</v>
      </c>
      <c r="W165" s="259" t="str">
        <f t="shared" si="149"/>
        <v>-</v>
      </c>
      <c r="X165" s="259" t="str">
        <f t="shared" si="149"/>
        <v>-</v>
      </c>
      <c r="Y165" s="259" t="str">
        <f t="shared" si="149"/>
        <v>-</v>
      </c>
      <c r="Z165" s="259" t="str">
        <f t="shared" si="149"/>
        <v>-</v>
      </c>
      <c r="AA165" s="267">
        <f>(VLOOKUP(A165,Hshldprojections2014!$A$2:$AW$319,40, FALSE)-VLOOKUP(A165,Hshldprojections2014!$A$2:$AW$319,30, FALSE))/10</f>
        <v>1321.1</v>
      </c>
      <c r="AB165" s="267">
        <f>(VLOOKUP(A165,Hshldprojections2014!$A$2:$AW$319,41, FALSE)-VLOOKUP(A165,Hshldprojections2014!$A$2:$AW$319,31, FALSE))/10</f>
        <v>1310.7</v>
      </c>
      <c r="AC165" s="267">
        <f>(VLOOKUP(A165,Hshldprojections2014!$A$2:$AW$319,42, FALSE)-VLOOKUP(A165,Hshldprojections2014!$A$2:$AW$319,32, FALSE))/10</f>
        <v>1302.9000000000001</v>
      </c>
      <c r="AD165" s="267">
        <f>IF(IndividualLATest!$J$7=2014,(VLOOKUP($A165,Hshldprojections2014!$A$2:$AY$326,43,FALSE)-VLOOKUP($A165,Hshldprojections2014!$A$2:$AY$326,33,FALSE))/10,IF(IndividualLATest!$J$7=2016,(VLOOKUP($A165,Hshldprojections2016!$A$1:$AQ$322,33,FALSE)-VLOOKUP($A165,Hshldprojections2016!$A$1:$AQ$322,23,FALSE))/10,(VLOOKUP($A165,Hshldprojections2018!$A$1:$AQ$327,33,FALSE)-VLOOKUP($A165,Hshldprojections2018!$A$1:$AQ$327,23,FALSE))/10))</f>
        <v>428.7</v>
      </c>
      <c r="AE165" s="267">
        <f>IF(IndividualLATest!$J$7=2014,(VLOOKUP($A165,Hshldprojections2014!$A$2:$AY$326,44,FALSE)-VLOOKUP($A165,Hshldprojections2014!$A$2:$AY$326,34,FALSE))/10,IF(IndividualLATest!$J$7=2016,(VLOOKUP($A165,Hshldprojections2016!$A$1:$AQ$322,34,FALSE)-VLOOKUP($A165,Hshldprojections2016!$A$1:$AQ$322,24,FALSE))/10,(VLOOKUP($A165,Hshldprojections2018!$A$1:$AQ$327,34,FALSE)-VLOOKUP($A165,Hshldprojections2018!$A$1:$AQ$327,24,FALSE))/10))</f>
        <v>422.1</v>
      </c>
      <c r="AF165" s="267">
        <f>IF(IndividualLATest!$J$7=2014,(VLOOKUP($A165,Hshldprojections2014!$A$2:$AY$326,45,FALSE)-VLOOKUP($A165,Hshldprojections2014!$A$2:$AY$326,35,FALSE))/10,IF(IndividualLATest!$J$7=2016,(VLOOKUP($A165,Hshldprojections2016!$A$1:$AQ$322,35,FALSE)-VLOOKUP($A165,Hshldprojections2016!$A$1:$AQ$322,25,FALSE))/10,(VLOOKUP($A165,Hshldprojections2018!$A$1:$AQ$327,35,FALSE)-VLOOKUP($A165,Hshldprojections2018!$A$1:$AQ$327,25,FALSE))/10))</f>
        <v>424.5</v>
      </c>
      <c r="AG165" s="267">
        <f>IF(IndividualLATest!$J$7=2014,(VLOOKUP($A165,Hshldprojections2014!$A$2:$AY$326,46,FALSE)-VLOOKUP($A165,Hshldprojections2014!$A$2:$AY$326,36,FALSE))/10,IF(IndividualLATest!$J$7=2016,(VLOOKUP($A165,Hshldprojections2016!$A$1:$AQ$322,36,FALSE)-VLOOKUP($A165,Hshldprojections2016!$A$1:$AQ$322,26,FALSE))/10,(VLOOKUP($A165,Hshldprojections2018!$A$1:$AQ$327,36,FALSE)-VLOOKUP($A165,Hshldprojections2018!$A$1:$AQ$327,26,FALSE))/10))</f>
        <v>425.6</v>
      </c>
      <c r="AH165" s="267">
        <f>IF(IndividualLATest!$J$7=2014,(VLOOKUP($A165,Hshldprojections2014!$A$2:$AY$326,47,FALSE)-VLOOKUP($A165,Hshldprojections2014!$A$2:$AY$326,37,FALSE))/10,IF(IndividualLATest!$J$7=2016,(VLOOKUP($A165,Hshldprojections2016!$A$1:$AQ$322,37,FALSE)-VLOOKUP($A165,Hshldprojections2016!$A$1:$AQ$322,27,FALSE))/10,(VLOOKUP($A165,Hshldprojections2018!$A$1:$AQ$327,37,FALSE)-VLOOKUP($A165,Hshldprojections2018!$A$1:$AQ$327,27,FALSE))/10))</f>
        <v>430.8</v>
      </c>
      <c r="AI165" s="268">
        <f>IF(ISNUMBER('Sensitivity Tests'!$C$30),'Sensitivity Tests'!$C$30,VLOOKUP($A165,AffordabilityRatio!$A$2:$I$321,5,FALSE))</f>
        <v>8.2799999999999994</v>
      </c>
      <c r="AJ165" s="268">
        <f>IF(ISNUMBER('Sensitivity Tests'!$C$30),'Sensitivity Tests'!$C$30,VLOOKUP($A165,AffordabilityRatio!$A$2:$I$321,6,FALSE))</f>
        <v>8.67</v>
      </c>
      <c r="AK165" s="268">
        <f>IF(ISNUMBER('Sensitivity Tests'!$C$30),'Sensitivity Tests'!$C$30,VLOOKUP($A165,AffordabilityRatio!$A$2:$I$321,7,FALSE))</f>
        <v>8.41</v>
      </c>
      <c r="AL165" s="268">
        <f>IF(ISNUMBER('Sensitivity Tests'!$C$30),'Sensitivity Tests'!$C$30,IF((VLOOKUP($A165,AffordabilityRatio!$A$2:$I$321,8,FALSE))="",AK165,VLOOKUP($A165,AffordabilityRatio!$A$2:$I$321,8,FALSE)))</f>
        <v>7.69</v>
      </c>
      <c r="AM165" s="268">
        <f>IF(ISNUMBER('Sensitivity Tests'!$C$30),'Sensitivity Tests'!$C$30,IF((VLOOKUP($A165,AffordabilityRatio!$A$2:$I$321,9,FALSE))="",AL165,VLOOKUP($A165,AffordabilityRatio!$A$2:$I$321,9,FALSE)))</f>
        <v>8.7200000000000006</v>
      </c>
      <c r="AN165" s="268">
        <f>IF(ISNUMBER('Sensitivity Tests'!$C$30),'Sensitivity Tests'!$C$30,IF((VLOOKUP($A165,AffordabilityRatio!$A$2:$I$321,9,FALSE))="",AM165,VLOOKUP($A165,AffordabilityRatio!$A$2:$I$321,9,FALSE)))</f>
        <v>8.7200000000000006</v>
      </c>
      <c r="AO165" s="268">
        <f>IF(ISNUMBER('Sensitivity Tests'!$C$30),'Sensitivity Tests'!$C$30,IF((VLOOKUP($A165,AffordabilityRatio!$A$2:$I$321,9,FALSE))="",AN165,VLOOKUP($A165,AffordabilityRatio!$A$2:$I$321,9,FALSE)))</f>
        <v>8.7200000000000006</v>
      </c>
      <c r="AP165" s="268">
        <f>IF(ISNUMBER('Sensitivity Tests'!$C$30),'Sensitivity Tests'!$C$30,IF((VLOOKUP($A165,AffordabilityRatio!$A$2:$I$321,9,FALSE))="",AO165,VLOOKUP($A165,AffordabilityRatio!$A$2:$I$321,9,FALSE)))</f>
        <v>8.7200000000000006</v>
      </c>
      <c r="AQ165" s="267">
        <f t="shared" si="104"/>
        <v>1674</v>
      </c>
      <c r="AR165" s="267">
        <f t="shared" si="104"/>
        <v>1693</v>
      </c>
      <c r="AS165" s="267">
        <f t="shared" si="104"/>
        <v>1662</v>
      </c>
      <c r="AT165" s="267">
        <f t="shared" si="103"/>
        <v>528</v>
      </c>
      <c r="AU165" s="267">
        <f t="shared" si="103"/>
        <v>547</v>
      </c>
      <c r="AV165" s="267">
        <f t="shared" si="103"/>
        <v>550</v>
      </c>
      <c r="AW165" s="267">
        <f t="shared" si="103"/>
        <v>551</v>
      </c>
      <c r="AX165" s="267">
        <f t="shared" si="103"/>
        <v>558</v>
      </c>
      <c r="AY165" s="267">
        <f t="shared" si="122"/>
        <v>1674</v>
      </c>
      <c r="AZ165" s="267">
        <f t="shared" si="123"/>
        <v>1693</v>
      </c>
      <c r="BA165" s="267">
        <f t="shared" si="124"/>
        <v>1662</v>
      </c>
      <c r="BB165" s="267">
        <f t="shared" si="125"/>
        <v>528</v>
      </c>
      <c r="BC165" s="267">
        <f t="shared" si="126"/>
        <v>547</v>
      </c>
      <c r="BD165" s="267">
        <f t="shared" si="127"/>
        <v>550</v>
      </c>
      <c r="BE165" s="267">
        <f t="shared" si="128"/>
        <v>551</v>
      </c>
      <c r="BF165" s="267">
        <f t="shared" si="129"/>
        <v>558</v>
      </c>
      <c r="BG165" s="269">
        <f>AY165*VLOOKUP($B165,'Major Cities &amp; Towns'!$A$28:$B$345,2,FALSE)</f>
        <v>1674</v>
      </c>
      <c r="BH165" s="269">
        <f>AZ165*VLOOKUP($B165,'Major Cities &amp; Towns'!$A$28:$B$345,2,FALSE)</f>
        <v>1693</v>
      </c>
      <c r="BI165" s="269">
        <f>BA165*VLOOKUP($B165,'Major Cities &amp; Towns'!$A$28:$B$345,2,FALSE)</f>
        <v>1662</v>
      </c>
      <c r="BJ165" s="269">
        <f>BB165*VLOOKUP($B165,'Major Cities &amp; Towns'!$A$28:$B$345,2,FALSE)</f>
        <v>528</v>
      </c>
      <c r="BK165" s="269">
        <f>BC165*VLOOKUP($B165,'Major Cities &amp; Towns'!$A$28:$B$345,2,FALSE)</f>
        <v>547</v>
      </c>
      <c r="BL165" s="269">
        <f>BD165*VLOOKUP($B165,'Major Cities &amp; Towns'!$A$28:$B$345,2,FALSE)</f>
        <v>550</v>
      </c>
      <c r="BM165" s="269">
        <f>BE165*VLOOKUP($B165,'Major Cities &amp; Towns'!$A$28:$B$345,2,FALSE)</f>
        <v>551</v>
      </c>
      <c r="BN165" s="269">
        <f>BF165*VLOOKUP($B165,'Major Cities &amp; Towns'!$A$28:$B$345,2,FALSE)</f>
        <v>558</v>
      </c>
      <c r="BO165" s="270">
        <f t="shared" si="130"/>
        <v>1674</v>
      </c>
      <c r="BP165" s="270">
        <f t="shared" si="147"/>
        <v>1693</v>
      </c>
      <c r="BQ165" s="270">
        <f t="shared" si="147"/>
        <v>1662</v>
      </c>
      <c r="BR165" s="270">
        <f t="shared" si="147"/>
        <v>528</v>
      </c>
      <c r="BS165" s="270">
        <f t="shared" si="146"/>
        <v>547</v>
      </c>
      <c r="BT165" s="270">
        <f t="shared" si="146"/>
        <v>550</v>
      </c>
      <c r="BU165" s="270">
        <f t="shared" si="146"/>
        <v>551</v>
      </c>
      <c r="BV165" s="270">
        <f t="shared" si="99"/>
        <v>558</v>
      </c>
      <c r="BW165" s="39">
        <f>VLOOKUP($A165,NetAdditions!$A$2:$H$336,6,FALSE)</f>
        <v>649</v>
      </c>
      <c r="BX165" s="39">
        <f>VLOOKUP($A165,NetAdditions!$A$2:$H$336,7,FALSE)</f>
        <v>1134</v>
      </c>
      <c r="BY165" s="39">
        <f>IF((VLOOKUP($C165,NetAdditions!$A$2:$H$336,8,FALSE))="",(AVERAGE(VLOOKUP($C165,NetAdditions!$A$2:$H$336,5,FALSE),VLOOKUP($C165,NetAdditions!$A$2:$H$336,6,FALSE),VLOOKUP($C165,NetAdditions!$A$2:$H$336,7,FALSE))),VLOOKUP($C165,NetAdditions!$A$2:$H$336,8,FALSE))</f>
        <v>1079</v>
      </c>
      <c r="BZ165" s="39">
        <f t="shared" si="105"/>
        <v>954</v>
      </c>
      <c r="CA165" s="39">
        <f t="shared" si="105"/>
        <v>1055.6666666666667</v>
      </c>
      <c r="CB165" s="39">
        <f t="shared" si="105"/>
        <v>1029.5555555555557</v>
      </c>
      <c r="CC165" s="39">
        <f t="shared" si="105"/>
        <v>1013.0740740740742</v>
      </c>
      <c r="CD165" s="39">
        <f t="shared" si="105"/>
        <v>1032.7654320987656</v>
      </c>
      <c r="CE165" s="276">
        <f t="shared" si="106"/>
        <v>5029</v>
      </c>
      <c r="CF165" s="276">
        <f t="shared" si="107"/>
        <v>3883</v>
      </c>
      <c r="CG165" s="276">
        <f t="shared" si="108"/>
        <v>2737</v>
      </c>
      <c r="CH165" s="276">
        <f t="shared" si="109"/>
        <v>1625</v>
      </c>
      <c r="CI165" s="276">
        <f t="shared" si="110"/>
        <v>1648</v>
      </c>
      <c r="CJ165" s="276">
        <f t="shared" si="111"/>
        <v>1659</v>
      </c>
      <c r="CK165" s="276">
        <f t="shared" si="131"/>
        <v>4330.5277777777783</v>
      </c>
      <c r="CL165" s="276">
        <f t="shared" si="132"/>
        <v>3343.6944444444448</v>
      </c>
      <c r="CM165" s="276">
        <f t="shared" si="133"/>
        <v>2508.9166666666665</v>
      </c>
      <c r="CN165" s="276">
        <f t="shared" si="134"/>
        <v>1625</v>
      </c>
      <c r="CO165" s="276">
        <f t="shared" si="134"/>
        <v>1648</v>
      </c>
      <c r="CP165" s="276">
        <f t="shared" si="134"/>
        <v>1659</v>
      </c>
      <c r="CQ165" s="39">
        <f t="shared" si="112"/>
        <v>2862</v>
      </c>
      <c r="CR165" s="39">
        <f t="shared" si="113"/>
        <v>3167</v>
      </c>
      <c r="CS165" s="277">
        <f t="shared" si="114"/>
        <v>3088.666666666667</v>
      </c>
      <c r="CT165" s="39">
        <f t="shared" si="115"/>
        <v>3039.2222222222226</v>
      </c>
      <c r="CU165" s="39">
        <f t="shared" si="116"/>
        <v>3098.296296296297</v>
      </c>
      <c r="CV165" s="39">
        <f t="shared" si="117"/>
        <v>3075.3950617283954</v>
      </c>
      <c r="CW165" s="297">
        <f t="shared" si="118"/>
        <v>0.66088942199757528</v>
      </c>
      <c r="CX165" s="279" t="str">
        <f t="shared" si="135"/>
        <v>Buffer and Action Plan</v>
      </c>
      <c r="CY165" s="278">
        <f t="shared" si="119"/>
        <v>0.94715592367059043</v>
      </c>
      <c r="CZ165" s="279" t="str">
        <f t="shared" si="136"/>
        <v>Action Plan</v>
      </c>
      <c r="DA165" s="278">
        <f t="shared" si="120"/>
        <v>1.2310758295413029</v>
      </c>
      <c r="DB165" s="292" t="str">
        <f t="shared" si="137"/>
        <v>Pass</v>
      </c>
      <c r="DC165" s="299">
        <f t="shared" si="138"/>
        <v>1.8702905982905986</v>
      </c>
      <c r="DD165" s="293" t="str">
        <f t="shared" si="139"/>
        <v>Pass</v>
      </c>
      <c r="DE165" s="299">
        <f t="shared" si="140"/>
        <v>1.8800341603739665</v>
      </c>
      <c r="DF165" s="293" t="str">
        <f t="shared" si="141"/>
        <v>Pass</v>
      </c>
      <c r="DG165" s="299">
        <f t="shared" si="142"/>
        <v>1.8537643530611183</v>
      </c>
      <c r="DH165" s="293" t="str">
        <f t="shared" si="143"/>
        <v>Pass</v>
      </c>
    </row>
    <row r="166" spans="1:112" ht="15" thickTop="1" thickBot="1">
      <c r="A166" s="38" t="s">
        <v>442</v>
      </c>
      <c r="B166" s="38" t="s">
        <v>443</v>
      </c>
      <c r="C166" s="38" t="s">
        <v>442</v>
      </c>
      <c r="D166" s="38" t="s">
        <v>119</v>
      </c>
      <c r="E166" s="38" t="str">
        <f>VLOOKUP(C166,PoliticalControl!A:K,11,FALSE)</f>
        <v>CON</v>
      </c>
      <c r="F166" s="38" t="str">
        <f>VLOOKUP(C166,UrbanRuralClassification!A:N,13,FALSE)</f>
        <v xml:space="preserve">Mainly Rural (rural including hub towns &gt;=80%) </v>
      </c>
      <c r="G166" s="38" t="str">
        <f>VLOOKUP(C166,UrbanRuralClassification!A:N,14,FALSE)</f>
        <v>Predominantly Rural</v>
      </c>
      <c r="H166" s="258">
        <f>IF(ISBLANK((VLOOKUP($A166,'local-plan-data'!$C$1:$AD$566,27,FALSE)))=TRUE,"",VLOOKUP($A166,'local-plan-data'!$C$1:$AD$566,27,FALSE))</f>
        <v>43383</v>
      </c>
      <c r="I166" s="259">
        <f>VLOOKUP($A166,'local-plan-data'!$C$1:$AD$566,28,FALSE)</f>
        <v>245</v>
      </c>
      <c r="J166" s="260">
        <f t="shared" si="121"/>
        <v>245</v>
      </c>
      <c r="K166" s="259">
        <f t="shared" si="144"/>
        <v>245</v>
      </c>
      <c r="L166" s="259">
        <f t="shared" si="148"/>
        <v>245</v>
      </c>
      <c r="M166" s="259">
        <f t="shared" si="148"/>
        <v>245</v>
      </c>
      <c r="N166" s="259">
        <f t="shared" si="148"/>
        <v>245</v>
      </c>
      <c r="O166" s="259">
        <f t="shared" si="148"/>
        <v>245</v>
      </c>
      <c r="P166" s="259">
        <f t="shared" si="148"/>
        <v>245</v>
      </c>
      <c r="Q166" s="259" t="str">
        <f t="shared" si="148"/>
        <v>-</v>
      </c>
      <c r="R166" s="259" t="str">
        <f t="shared" si="148"/>
        <v>-</v>
      </c>
      <c r="S166" s="259">
        <f t="shared" si="145"/>
        <v>2018</v>
      </c>
      <c r="T166" s="259">
        <f t="shared" si="149"/>
        <v>1653</v>
      </c>
      <c r="U166" s="259">
        <f t="shared" si="149"/>
        <v>1287</v>
      </c>
      <c r="V166" s="259">
        <f t="shared" si="149"/>
        <v>922</v>
      </c>
      <c r="W166" s="259">
        <f t="shared" si="149"/>
        <v>557</v>
      </c>
      <c r="X166" s="259">
        <f t="shared" si="149"/>
        <v>192</v>
      </c>
      <c r="Y166" s="259">
        <f t="shared" si="149"/>
        <v>-174</v>
      </c>
      <c r="Z166" s="259">
        <f t="shared" si="149"/>
        <v>-539</v>
      </c>
      <c r="AA166" s="267">
        <f>(VLOOKUP(A166,Hshldprojections2014!$A$2:$AW$319,40, FALSE)-VLOOKUP(A166,Hshldprojections2014!$A$2:$AW$319,30, FALSE))/10</f>
        <v>162.69999999999999</v>
      </c>
      <c r="AB166" s="267">
        <f>(VLOOKUP(A166,Hshldprojections2014!$A$2:$AW$319,41, FALSE)-VLOOKUP(A166,Hshldprojections2014!$A$2:$AW$319,31, FALSE))/10</f>
        <v>159.9</v>
      </c>
      <c r="AC166" s="267">
        <f>(VLOOKUP(A166,Hshldprojections2014!$A$2:$AW$319,42, FALSE)-VLOOKUP(A166,Hshldprojections2014!$A$2:$AW$319,32, FALSE))/10</f>
        <v>156.30000000000001</v>
      </c>
      <c r="AD166" s="267">
        <f>IF(IndividualLATest!$J$7=2014,(VLOOKUP($A166,Hshldprojections2014!$A$2:$AY$326,43,FALSE)-VLOOKUP($A166,Hshldprojections2014!$A$2:$AY$326,33,FALSE))/10,IF(IndividualLATest!$J$7=2016,(VLOOKUP($A166,Hshldprojections2016!$A$1:$AQ$322,33,FALSE)-VLOOKUP($A166,Hshldprojections2016!$A$1:$AQ$322,23,FALSE))/10,(VLOOKUP($A166,Hshldprojections2018!$A$1:$AQ$327,33,FALSE)-VLOOKUP($A166,Hshldprojections2018!$A$1:$AQ$327,23,FALSE))/10))</f>
        <v>115.3</v>
      </c>
      <c r="AE166" s="267">
        <f>IF(IndividualLATest!$J$7=2014,(VLOOKUP($A166,Hshldprojections2014!$A$2:$AY$326,44,FALSE)-VLOOKUP($A166,Hshldprojections2014!$A$2:$AY$326,34,FALSE))/10,IF(IndividualLATest!$J$7=2016,(VLOOKUP($A166,Hshldprojections2016!$A$1:$AQ$322,34,FALSE)-VLOOKUP($A166,Hshldprojections2016!$A$1:$AQ$322,24,FALSE))/10,(VLOOKUP($A166,Hshldprojections2018!$A$1:$AQ$327,34,FALSE)-VLOOKUP($A166,Hshldprojections2018!$A$1:$AQ$327,24,FALSE))/10))</f>
        <v>115.6</v>
      </c>
      <c r="AF166" s="267">
        <f>IF(IndividualLATest!$J$7=2014,(VLOOKUP($A166,Hshldprojections2014!$A$2:$AY$326,45,FALSE)-VLOOKUP($A166,Hshldprojections2014!$A$2:$AY$326,35,FALSE))/10,IF(IndividualLATest!$J$7=2016,(VLOOKUP($A166,Hshldprojections2016!$A$1:$AQ$322,35,FALSE)-VLOOKUP($A166,Hshldprojections2016!$A$1:$AQ$322,25,FALSE))/10,(VLOOKUP($A166,Hshldprojections2018!$A$1:$AQ$327,35,FALSE)-VLOOKUP($A166,Hshldprojections2018!$A$1:$AQ$327,25,FALSE))/10))</f>
        <v>114.8</v>
      </c>
      <c r="AG166" s="267">
        <f>IF(IndividualLATest!$J$7=2014,(VLOOKUP($A166,Hshldprojections2014!$A$2:$AY$326,46,FALSE)-VLOOKUP($A166,Hshldprojections2014!$A$2:$AY$326,36,FALSE))/10,IF(IndividualLATest!$J$7=2016,(VLOOKUP($A166,Hshldprojections2016!$A$1:$AQ$322,36,FALSE)-VLOOKUP($A166,Hshldprojections2016!$A$1:$AQ$322,26,FALSE))/10,(VLOOKUP($A166,Hshldprojections2018!$A$1:$AQ$327,36,FALSE)-VLOOKUP($A166,Hshldprojections2018!$A$1:$AQ$327,26,FALSE))/10))</f>
        <v>114.9</v>
      </c>
      <c r="AH166" s="267">
        <f>IF(IndividualLATest!$J$7=2014,(VLOOKUP($A166,Hshldprojections2014!$A$2:$AY$326,47,FALSE)-VLOOKUP($A166,Hshldprojections2014!$A$2:$AY$326,37,FALSE))/10,IF(IndividualLATest!$J$7=2016,(VLOOKUP($A166,Hshldprojections2016!$A$1:$AQ$322,37,FALSE)-VLOOKUP($A166,Hshldprojections2016!$A$1:$AQ$322,27,FALSE))/10,(VLOOKUP($A166,Hshldprojections2018!$A$1:$AQ$327,37,FALSE)-VLOOKUP($A166,Hshldprojections2018!$A$1:$AQ$327,27,FALSE))/10))</f>
        <v>115.7</v>
      </c>
      <c r="AI166" s="268">
        <f>IF(ISNUMBER('Sensitivity Tests'!$C$30),'Sensitivity Tests'!$C$30,VLOOKUP($A166,AffordabilityRatio!$A$2:$I$321,5,FALSE))</f>
        <v>7.73</v>
      </c>
      <c r="AJ166" s="268">
        <f>IF(ISNUMBER('Sensitivity Tests'!$C$30),'Sensitivity Tests'!$C$30,VLOOKUP($A166,AffordabilityRatio!$A$2:$I$321,6,FALSE))</f>
        <v>8.35</v>
      </c>
      <c r="AK166" s="268">
        <f>IF(ISNUMBER('Sensitivity Tests'!$C$30),'Sensitivity Tests'!$C$30,VLOOKUP($A166,AffordabilityRatio!$A$2:$I$321,7,FALSE))</f>
        <v>8.64</v>
      </c>
      <c r="AL166" s="268">
        <f>IF(ISNUMBER('Sensitivity Tests'!$C$30),'Sensitivity Tests'!$C$30,IF((VLOOKUP($A166,AffordabilityRatio!$A$2:$I$321,8,FALSE))="",AK166,VLOOKUP($A166,AffordabilityRatio!$A$2:$I$321,8,FALSE)))</f>
        <v>8.8699999999999992</v>
      </c>
      <c r="AM166" s="268">
        <f>IF(ISNUMBER('Sensitivity Tests'!$C$30),'Sensitivity Tests'!$C$30,IF((VLOOKUP($A166,AffordabilityRatio!$A$2:$I$321,9,FALSE))="",AL166,VLOOKUP($A166,AffordabilityRatio!$A$2:$I$321,9,FALSE)))</f>
        <v>12.27</v>
      </c>
      <c r="AN166" s="268">
        <f>IF(ISNUMBER('Sensitivity Tests'!$C$30),'Sensitivity Tests'!$C$30,IF((VLOOKUP($A166,AffordabilityRatio!$A$2:$I$321,9,FALSE))="",AM166,VLOOKUP($A166,AffordabilityRatio!$A$2:$I$321,9,FALSE)))</f>
        <v>12.27</v>
      </c>
      <c r="AO166" s="268">
        <f>IF(ISNUMBER('Sensitivity Tests'!$C$30),'Sensitivity Tests'!$C$30,IF((VLOOKUP($A166,AffordabilityRatio!$A$2:$I$321,9,FALSE))="",AN166,VLOOKUP($A166,AffordabilityRatio!$A$2:$I$321,9,FALSE)))</f>
        <v>12.27</v>
      </c>
      <c r="AP166" s="268">
        <f>IF(ISNUMBER('Sensitivity Tests'!$C$30),'Sensitivity Tests'!$C$30,IF((VLOOKUP($A166,AffordabilityRatio!$A$2:$I$321,9,FALSE))="",AO166,VLOOKUP($A166,AffordabilityRatio!$A$2:$I$321,9,FALSE)))</f>
        <v>12.27</v>
      </c>
      <c r="AQ166" s="267">
        <f t="shared" si="104"/>
        <v>201</v>
      </c>
      <c r="AR166" s="267">
        <f t="shared" si="104"/>
        <v>203</v>
      </c>
      <c r="AS166" s="267">
        <f t="shared" si="104"/>
        <v>202</v>
      </c>
      <c r="AT166" s="267">
        <f t="shared" si="103"/>
        <v>150</v>
      </c>
      <c r="AU166" s="267">
        <f t="shared" si="103"/>
        <v>175</v>
      </c>
      <c r="AV166" s="267">
        <f t="shared" si="103"/>
        <v>174</v>
      </c>
      <c r="AW166" s="267">
        <f t="shared" si="103"/>
        <v>174</v>
      </c>
      <c r="AX166" s="267">
        <f t="shared" si="103"/>
        <v>176</v>
      </c>
      <c r="AY166" s="267">
        <f t="shared" si="122"/>
        <v>201</v>
      </c>
      <c r="AZ166" s="267">
        <f t="shared" si="123"/>
        <v>203</v>
      </c>
      <c r="BA166" s="267">
        <f t="shared" si="124"/>
        <v>202</v>
      </c>
      <c r="BB166" s="267">
        <f t="shared" si="125"/>
        <v>150</v>
      </c>
      <c r="BC166" s="267">
        <f t="shared" si="126"/>
        <v>175</v>
      </c>
      <c r="BD166" s="267">
        <f t="shared" si="127"/>
        <v>174</v>
      </c>
      <c r="BE166" s="267">
        <f t="shared" si="128"/>
        <v>174</v>
      </c>
      <c r="BF166" s="267">
        <f t="shared" si="129"/>
        <v>176</v>
      </c>
      <c r="BG166" s="269">
        <f>AY166*VLOOKUP($B166,'Major Cities &amp; Towns'!$A$28:$B$345,2,FALSE)</f>
        <v>201</v>
      </c>
      <c r="BH166" s="269">
        <f>AZ166*VLOOKUP($B166,'Major Cities &amp; Towns'!$A$28:$B$345,2,FALSE)</f>
        <v>203</v>
      </c>
      <c r="BI166" s="269">
        <f>BA166*VLOOKUP($B166,'Major Cities &amp; Towns'!$A$28:$B$345,2,FALSE)</f>
        <v>202</v>
      </c>
      <c r="BJ166" s="269">
        <f>BB166*VLOOKUP($B166,'Major Cities &amp; Towns'!$A$28:$B$345,2,FALSE)</f>
        <v>150</v>
      </c>
      <c r="BK166" s="269">
        <f>BC166*VLOOKUP($B166,'Major Cities &amp; Towns'!$A$28:$B$345,2,FALSE)</f>
        <v>175</v>
      </c>
      <c r="BL166" s="269">
        <f>BD166*VLOOKUP($B166,'Major Cities &amp; Towns'!$A$28:$B$345,2,FALSE)</f>
        <v>174</v>
      </c>
      <c r="BM166" s="269">
        <f>BE166*VLOOKUP($B166,'Major Cities &amp; Towns'!$A$28:$B$345,2,FALSE)</f>
        <v>174</v>
      </c>
      <c r="BN166" s="269">
        <f>BF166*VLOOKUP($B166,'Major Cities &amp; Towns'!$A$28:$B$345,2,FALSE)</f>
        <v>176</v>
      </c>
      <c r="BO166" s="270">
        <f t="shared" si="130"/>
        <v>201</v>
      </c>
      <c r="BP166" s="270">
        <f t="shared" si="147"/>
        <v>203</v>
      </c>
      <c r="BQ166" s="270">
        <f t="shared" si="147"/>
        <v>202</v>
      </c>
      <c r="BR166" s="270">
        <f t="shared" si="147"/>
        <v>150</v>
      </c>
      <c r="BS166" s="270">
        <f t="shared" si="146"/>
        <v>175</v>
      </c>
      <c r="BT166" s="270">
        <f t="shared" si="146"/>
        <v>174</v>
      </c>
      <c r="BU166" s="270">
        <f t="shared" si="146"/>
        <v>174</v>
      </c>
      <c r="BV166" s="270">
        <f t="shared" si="99"/>
        <v>176</v>
      </c>
      <c r="BW166" s="39">
        <f>VLOOKUP($A166,NetAdditions!$A$2:$H$336,6,FALSE)</f>
        <v>222</v>
      </c>
      <c r="BX166" s="39">
        <f>VLOOKUP($A166,NetAdditions!$A$2:$H$336,7,FALSE)</f>
        <v>334</v>
      </c>
      <c r="BY166" s="39">
        <f>IF((VLOOKUP($C166,NetAdditions!$A$2:$H$336,8,FALSE))="",(AVERAGE(VLOOKUP($C166,NetAdditions!$A$2:$H$336,5,FALSE),VLOOKUP($C166,NetAdditions!$A$2:$H$336,6,FALSE),VLOOKUP($C166,NetAdditions!$A$2:$H$336,7,FALSE))),VLOOKUP($C166,NetAdditions!$A$2:$H$336,8,FALSE))</f>
        <v>310</v>
      </c>
      <c r="BZ166" s="39">
        <f t="shared" si="105"/>
        <v>288.66666666666669</v>
      </c>
      <c r="CA166" s="39">
        <f t="shared" si="105"/>
        <v>310.88888888888891</v>
      </c>
      <c r="CB166" s="39">
        <f t="shared" si="105"/>
        <v>303.18518518518522</v>
      </c>
      <c r="CC166" s="39">
        <f t="shared" si="105"/>
        <v>300.91358024691363</v>
      </c>
      <c r="CD166" s="39">
        <f t="shared" si="105"/>
        <v>304.99588477366257</v>
      </c>
      <c r="CE166" s="276">
        <f t="shared" si="106"/>
        <v>606</v>
      </c>
      <c r="CF166" s="276">
        <f t="shared" si="107"/>
        <v>555</v>
      </c>
      <c r="CG166" s="276">
        <f t="shared" si="108"/>
        <v>527</v>
      </c>
      <c r="CH166" s="276">
        <f t="shared" si="109"/>
        <v>499</v>
      </c>
      <c r="CI166" s="276">
        <f t="shared" si="110"/>
        <v>523</v>
      </c>
      <c r="CJ166" s="276">
        <f t="shared" si="111"/>
        <v>524</v>
      </c>
      <c r="CK166" s="276">
        <f t="shared" si="131"/>
        <v>521.83333333333337</v>
      </c>
      <c r="CL166" s="276">
        <f t="shared" si="132"/>
        <v>477.91666666666669</v>
      </c>
      <c r="CM166" s="276">
        <f t="shared" si="133"/>
        <v>483.08333333333331</v>
      </c>
      <c r="CN166" s="276">
        <f t="shared" si="134"/>
        <v>499</v>
      </c>
      <c r="CO166" s="276">
        <f t="shared" si="134"/>
        <v>523</v>
      </c>
      <c r="CP166" s="276">
        <f t="shared" si="134"/>
        <v>524</v>
      </c>
      <c r="CQ166" s="39">
        <f t="shared" si="112"/>
        <v>866</v>
      </c>
      <c r="CR166" s="39">
        <f t="shared" si="113"/>
        <v>932.66666666666674</v>
      </c>
      <c r="CS166" s="277">
        <f t="shared" si="114"/>
        <v>909.55555555555566</v>
      </c>
      <c r="CT166" s="39">
        <f t="shared" si="115"/>
        <v>902.74074074074088</v>
      </c>
      <c r="CU166" s="39">
        <f t="shared" si="116"/>
        <v>914.98765432098776</v>
      </c>
      <c r="CV166" s="39">
        <f t="shared" si="117"/>
        <v>909.09465020576135</v>
      </c>
      <c r="CW166" s="297">
        <f t="shared" si="118"/>
        <v>1.6595336953050142</v>
      </c>
      <c r="CX166" s="279" t="str">
        <f t="shared" si="135"/>
        <v>Pass</v>
      </c>
      <c r="CY166" s="278">
        <f t="shared" si="119"/>
        <v>1.9515257192676547</v>
      </c>
      <c r="CZ166" s="279" t="str">
        <f t="shared" si="136"/>
        <v>Pass</v>
      </c>
      <c r="DA166" s="278">
        <f t="shared" si="120"/>
        <v>1.8828129492266117</v>
      </c>
      <c r="DB166" s="292" t="str">
        <f t="shared" si="137"/>
        <v>Pass</v>
      </c>
      <c r="DC166" s="299">
        <f t="shared" si="138"/>
        <v>1.8090996808431681</v>
      </c>
      <c r="DD166" s="293" t="str">
        <f t="shared" si="139"/>
        <v>Pass</v>
      </c>
      <c r="DE166" s="299">
        <f t="shared" si="140"/>
        <v>1.7494983830229212</v>
      </c>
      <c r="DF166" s="293" t="str">
        <f t="shared" si="141"/>
        <v>Pass</v>
      </c>
      <c r="DG166" s="299">
        <f t="shared" si="142"/>
        <v>1.7349134545911475</v>
      </c>
      <c r="DH166" s="293" t="str">
        <f t="shared" si="143"/>
        <v>Pass</v>
      </c>
    </row>
    <row r="167" spans="1:112" ht="15" thickTop="1" thickBot="1">
      <c r="A167" s="38" t="s">
        <v>444</v>
      </c>
      <c r="B167" s="38" t="s">
        <v>445</v>
      </c>
      <c r="C167" s="38" t="s">
        <v>444</v>
      </c>
      <c r="D167" s="38" t="s">
        <v>147</v>
      </c>
      <c r="E167" s="38" t="str">
        <f>VLOOKUP(C167,PoliticalControl!A:K,11,FALSE)</f>
        <v>NOC</v>
      </c>
      <c r="F167" s="38" t="str">
        <f>VLOOKUP(C167,UrbanRuralClassification!A:N,13,FALSE)</f>
        <v xml:space="preserve">Mainly Rural (rural including hub towns &gt;=80%) </v>
      </c>
      <c r="G167" s="38" t="str">
        <f>VLOOKUP(C167,UrbanRuralClassification!A:N,14,FALSE)</f>
        <v>Predominantly Rural</v>
      </c>
      <c r="H167" s="258">
        <f>IF(ISBLANK((VLOOKUP($A167,'local-plan-data'!$C$1:$AD$566,27,FALSE)))=TRUE,"",VLOOKUP($A167,'local-plan-data'!$C$1:$AD$566,27,FALSE))</f>
        <v>41988</v>
      </c>
      <c r="I167" s="259">
        <f>VLOOKUP($A167,'local-plan-data'!$C$1:$AD$566,28,FALSE)</f>
        <v>418.91304347826087</v>
      </c>
      <c r="J167" s="260">
        <f t="shared" si="121"/>
        <v>418.91304347826087</v>
      </c>
      <c r="K167" s="259">
        <f t="shared" si="144"/>
        <v>418.91304347826087</v>
      </c>
      <c r="L167" s="259">
        <f t="shared" si="148"/>
        <v>418.91304347826087</v>
      </c>
      <c r="M167" s="259" t="str">
        <f t="shared" si="148"/>
        <v>-</v>
      </c>
      <c r="N167" s="259" t="str">
        <f t="shared" si="148"/>
        <v>-</v>
      </c>
      <c r="O167" s="259" t="str">
        <f t="shared" si="148"/>
        <v>-</v>
      </c>
      <c r="P167" s="259" t="str">
        <f t="shared" si="148"/>
        <v>-</v>
      </c>
      <c r="Q167" s="259" t="str">
        <f t="shared" si="148"/>
        <v>-</v>
      </c>
      <c r="R167" s="259" t="str">
        <f t="shared" si="148"/>
        <v>-</v>
      </c>
      <c r="S167" s="259">
        <f t="shared" si="145"/>
        <v>623</v>
      </c>
      <c r="T167" s="259">
        <f t="shared" si="149"/>
        <v>258</v>
      </c>
      <c r="U167" s="259">
        <f t="shared" si="149"/>
        <v>-108</v>
      </c>
      <c r="V167" s="259">
        <f t="shared" si="149"/>
        <v>-473</v>
      </c>
      <c r="W167" s="259">
        <f t="shared" si="149"/>
        <v>-838</v>
      </c>
      <c r="X167" s="259">
        <f t="shared" si="149"/>
        <v>-1203</v>
      </c>
      <c r="Y167" s="259">
        <f t="shared" si="149"/>
        <v>-1569</v>
      </c>
      <c r="Z167" s="259">
        <f t="shared" si="149"/>
        <v>-1934</v>
      </c>
      <c r="AA167" s="267">
        <f>(VLOOKUP(A167,Hshldprojections2014!$A$2:$AW$319,40, FALSE)-VLOOKUP(A167,Hshldprojections2014!$A$2:$AW$319,30, FALSE))/10</f>
        <v>437.8</v>
      </c>
      <c r="AB167" s="267">
        <f>(VLOOKUP(A167,Hshldprojections2014!$A$2:$AW$319,41, FALSE)-VLOOKUP(A167,Hshldprojections2014!$A$2:$AW$319,31, FALSE))/10</f>
        <v>432.1</v>
      </c>
      <c r="AC167" s="267">
        <f>(VLOOKUP(A167,Hshldprojections2014!$A$2:$AW$319,42, FALSE)-VLOOKUP(A167,Hshldprojections2014!$A$2:$AW$319,32, FALSE))/10</f>
        <v>427.7</v>
      </c>
      <c r="AD167" s="267">
        <f>IF(IndividualLATest!$J$7=2014,(VLOOKUP($A167,Hshldprojections2014!$A$2:$AY$326,43,FALSE)-VLOOKUP($A167,Hshldprojections2014!$A$2:$AY$326,33,FALSE))/10,IF(IndividualLATest!$J$7=2016,(VLOOKUP($A167,Hshldprojections2016!$A$1:$AQ$322,33,FALSE)-VLOOKUP($A167,Hshldprojections2016!$A$1:$AQ$322,23,FALSE))/10,(VLOOKUP($A167,Hshldprojections2018!$A$1:$AQ$327,33,FALSE)-VLOOKUP($A167,Hshldprojections2018!$A$1:$AQ$327,23,FALSE))/10))</f>
        <v>485.6</v>
      </c>
      <c r="AE167" s="267">
        <f>IF(IndividualLATest!$J$7=2014,(VLOOKUP($A167,Hshldprojections2014!$A$2:$AY$326,44,FALSE)-VLOOKUP($A167,Hshldprojections2014!$A$2:$AY$326,34,FALSE))/10,IF(IndividualLATest!$J$7=2016,(VLOOKUP($A167,Hshldprojections2016!$A$1:$AQ$322,34,FALSE)-VLOOKUP($A167,Hshldprojections2016!$A$1:$AQ$322,24,FALSE))/10,(VLOOKUP($A167,Hshldprojections2018!$A$1:$AQ$327,34,FALSE)-VLOOKUP($A167,Hshldprojections2018!$A$1:$AQ$327,24,FALSE))/10))</f>
        <v>471.9</v>
      </c>
      <c r="AF167" s="267">
        <f>IF(IndividualLATest!$J$7=2014,(VLOOKUP($A167,Hshldprojections2014!$A$2:$AY$326,45,FALSE)-VLOOKUP($A167,Hshldprojections2014!$A$2:$AY$326,35,FALSE))/10,IF(IndividualLATest!$J$7=2016,(VLOOKUP($A167,Hshldprojections2016!$A$1:$AQ$322,35,FALSE)-VLOOKUP($A167,Hshldprojections2016!$A$1:$AQ$322,25,FALSE))/10,(VLOOKUP($A167,Hshldprojections2018!$A$1:$AQ$327,35,FALSE)-VLOOKUP($A167,Hshldprojections2018!$A$1:$AQ$327,25,FALSE))/10))</f>
        <v>459.8</v>
      </c>
      <c r="AG167" s="267">
        <f>IF(IndividualLATest!$J$7=2014,(VLOOKUP($A167,Hshldprojections2014!$A$2:$AY$326,46,FALSE)-VLOOKUP($A167,Hshldprojections2014!$A$2:$AY$326,36,FALSE))/10,IF(IndividualLATest!$J$7=2016,(VLOOKUP($A167,Hshldprojections2016!$A$1:$AQ$322,36,FALSE)-VLOOKUP($A167,Hshldprojections2016!$A$1:$AQ$322,26,FALSE))/10,(VLOOKUP($A167,Hshldprojections2018!$A$1:$AQ$327,36,FALSE)-VLOOKUP($A167,Hshldprojections2018!$A$1:$AQ$327,26,FALSE))/10))</f>
        <v>448</v>
      </c>
      <c r="AH167" s="267">
        <f>IF(IndividualLATest!$J$7=2014,(VLOOKUP($A167,Hshldprojections2014!$A$2:$AY$326,47,FALSE)-VLOOKUP($A167,Hshldprojections2014!$A$2:$AY$326,37,FALSE))/10,IF(IndividualLATest!$J$7=2016,(VLOOKUP($A167,Hshldprojections2016!$A$1:$AQ$322,37,FALSE)-VLOOKUP($A167,Hshldprojections2016!$A$1:$AQ$322,27,FALSE))/10,(VLOOKUP($A167,Hshldprojections2018!$A$1:$AQ$327,37,FALSE)-VLOOKUP($A167,Hshldprojections2018!$A$1:$AQ$327,27,FALSE))/10))</f>
        <v>438.2</v>
      </c>
      <c r="AI167" s="268">
        <f>IF(ISNUMBER('Sensitivity Tests'!$C$30),'Sensitivity Tests'!$C$30,VLOOKUP($A167,AffordabilityRatio!$A$2:$I$321,5,FALSE))</f>
        <v>10.29</v>
      </c>
      <c r="AJ167" s="268">
        <f>IF(ISNUMBER('Sensitivity Tests'!$C$30),'Sensitivity Tests'!$C$30,VLOOKUP($A167,AffordabilityRatio!$A$2:$I$321,6,FALSE))</f>
        <v>10.98</v>
      </c>
      <c r="AK167" s="268">
        <f>IF(ISNUMBER('Sensitivity Tests'!$C$30),'Sensitivity Tests'!$C$30,VLOOKUP($A167,AffordabilityRatio!$A$2:$I$321,7,FALSE))</f>
        <v>10.94</v>
      </c>
      <c r="AL167" s="268">
        <f>IF(ISNUMBER('Sensitivity Tests'!$C$30),'Sensitivity Tests'!$C$30,IF((VLOOKUP($A167,AffordabilityRatio!$A$2:$I$321,8,FALSE))="",AK167,VLOOKUP($A167,AffordabilityRatio!$A$2:$I$321,8,FALSE)))</f>
        <v>9.61</v>
      </c>
      <c r="AM167" s="268">
        <f>IF(ISNUMBER('Sensitivity Tests'!$C$30),'Sensitivity Tests'!$C$30,IF((VLOOKUP($A167,AffordabilityRatio!$A$2:$I$321,9,FALSE))="",AL167,VLOOKUP($A167,AffordabilityRatio!$A$2:$I$321,9,FALSE)))</f>
        <v>11.22</v>
      </c>
      <c r="AN167" s="268">
        <f>IF(ISNUMBER('Sensitivity Tests'!$C$30),'Sensitivity Tests'!$C$30,IF((VLOOKUP($A167,AffordabilityRatio!$A$2:$I$321,9,FALSE))="",AM167,VLOOKUP($A167,AffordabilityRatio!$A$2:$I$321,9,FALSE)))</f>
        <v>11.22</v>
      </c>
      <c r="AO167" s="268">
        <f>IF(ISNUMBER('Sensitivity Tests'!$C$30),'Sensitivity Tests'!$C$30,IF((VLOOKUP($A167,AffordabilityRatio!$A$2:$I$321,9,FALSE))="",AN167,VLOOKUP($A167,AffordabilityRatio!$A$2:$I$321,9,FALSE)))</f>
        <v>11.22</v>
      </c>
      <c r="AP167" s="268">
        <f>IF(ISNUMBER('Sensitivity Tests'!$C$30),'Sensitivity Tests'!$C$30,IF((VLOOKUP($A167,AffordabilityRatio!$A$2:$I$321,9,FALSE))="",AO167,VLOOKUP($A167,AffordabilityRatio!$A$2:$I$321,9,FALSE)))</f>
        <v>11.22</v>
      </c>
      <c r="AQ167" s="267">
        <f t="shared" si="104"/>
        <v>610</v>
      </c>
      <c r="AR167" s="267">
        <f t="shared" si="104"/>
        <v>621</v>
      </c>
      <c r="AS167" s="267">
        <f t="shared" si="104"/>
        <v>613</v>
      </c>
      <c r="AT167" s="267">
        <f t="shared" si="103"/>
        <v>656</v>
      </c>
      <c r="AU167" s="267">
        <f t="shared" si="103"/>
        <v>685</v>
      </c>
      <c r="AV167" s="267">
        <f t="shared" si="103"/>
        <v>667</v>
      </c>
      <c r="AW167" s="267">
        <f t="shared" si="103"/>
        <v>650</v>
      </c>
      <c r="AX167" s="267">
        <f t="shared" si="103"/>
        <v>636</v>
      </c>
      <c r="AY167" s="267">
        <f t="shared" si="122"/>
        <v>586.47826086956525</v>
      </c>
      <c r="AZ167" s="267">
        <f t="shared" si="123"/>
        <v>586.47826086956525</v>
      </c>
      <c r="BA167" s="267">
        <f t="shared" si="124"/>
        <v>598.78</v>
      </c>
      <c r="BB167" s="267">
        <f t="shared" si="125"/>
        <v>656</v>
      </c>
      <c r="BC167" s="267">
        <f t="shared" si="126"/>
        <v>660.66</v>
      </c>
      <c r="BD167" s="267">
        <f t="shared" si="127"/>
        <v>643.72</v>
      </c>
      <c r="BE167" s="267">
        <f t="shared" si="128"/>
        <v>627.20000000000005</v>
      </c>
      <c r="BF167" s="267">
        <f t="shared" si="129"/>
        <v>613.48</v>
      </c>
      <c r="BG167" s="269">
        <f>AY167*VLOOKUP($B167,'Major Cities &amp; Towns'!$A$28:$B$345,2,FALSE)</f>
        <v>586.47826086956525</v>
      </c>
      <c r="BH167" s="269">
        <f>AZ167*VLOOKUP($B167,'Major Cities &amp; Towns'!$A$28:$B$345,2,FALSE)</f>
        <v>586.47826086956525</v>
      </c>
      <c r="BI167" s="269">
        <f>BA167*VLOOKUP($B167,'Major Cities &amp; Towns'!$A$28:$B$345,2,FALSE)</f>
        <v>598.78</v>
      </c>
      <c r="BJ167" s="269">
        <f>BB167*VLOOKUP($B167,'Major Cities &amp; Towns'!$A$28:$B$345,2,FALSE)</f>
        <v>656</v>
      </c>
      <c r="BK167" s="269">
        <f>BC167*VLOOKUP($B167,'Major Cities &amp; Towns'!$A$28:$B$345,2,FALSE)</f>
        <v>660.66</v>
      </c>
      <c r="BL167" s="269">
        <f>BD167*VLOOKUP($B167,'Major Cities &amp; Towns'!$A$28:$B$345,2,FALSE)</f>
        <v>643.72</v>
      </c>
      <c r="BM167" s="269">
        <f>BE167*VLOOKUP($B167,'Major Cities &amp; Towns'!$A$28:$B$345,2,FALSE)</f>
        <v>627.20000000000005</v>
      </c>
      <c r="BN167" s="269">
        <f>BF167*VLOOKUP($B167,'Major Cities &amp; Towns'!$A$28:$B$345,2,FALSE)</f>
        <v>613.48</v>
      </c>
      <c r="BO167" s="270">
        <f t="shared" si="130"/>
        <v>418.91304347826087</v>
      </c>
      <c r="BP167" s="270">
        <f t="shared" si="147"/>
        <v>478.15497319833236</v>
      </c>
      <c r="BQ167" s="270">
        <f t="shared" si="147"/>
        <v>613</v>
      </c>
      <c r="BR167" s="270">
        <f t="shared" si="147"/>
        <v>656</v>
      </c>
      <c r="BS167" s="270">
        <f t="shared" si="146"/>
        <v>685</v>
      </c>
      <c r="BT167" s="270">
        <f t="shared" si="146"/>
        <v>667</v>
      </c>
      <c r="BU167" s="270">
        <f t="shared" si="146"/>
        <v>650</v>
      </c>
      <c r="BV167" s="270">
        <f t="shared" si="99"/>
        <v>636</v>
      </c>
      <c r="BW167" s="39">
        <f>VLOOKUP($A167,NetAdditions!$A$2:$H$336,6,FALSE)</f>
        <v>512</v>
      </c>
      <c r="BX167" s="39">
        <f>VLOOKUP($A167,NetAdditions!$A$2:$H$336,7,FALSE)</f>
        <v>387</v>
      </c>
      <c r="BY167" s="39">
        <f>IF((VLOOKUP($C167,NetAdditions!$A$2:$H$336,8,FALSE))="",(AVERAGE(VLOOKUP($C167,NetAdditions!$A$2:$H$336,5,FALSE),VLOOKUP($C167,NetAdditions!$A$2:$H$336,6,FALSE),VLOOKUP($C167,NetAdditions!$A$2:$H$336,7,FALSE))),VLOOKUP($C167,NetAdditions!$A$2:$H$336,8,FALSE))</f>
        <v>321</v>
      </c>
      <c r="BZ167" s="39">
        <f t="shared" si="105"/>
        <v>406.66666666666669</v>
      </c>
      <c r="CA167" s="39">
        <f t="shared" si="105"/>
        <v>371.5555555555556</v>
      </c>
      <c r="CB167" s="39">
        <f t="shared" si="105"/>
        <v>366.40740740740745</v>
      </c>
      <c r="CC167" s="39">
        <f t="shared" si="105"/>
        <v>381.54320987654324</v>
      </c>
      <c r="CD167" s="39">
        <f t="shared" si="105"/>
        <v>373.16872427983543</v>
      </c>
      <c r="CE167" s="276">
        <f t="shared" si="106"/>
        <v>1510.0680166765933</v>
      </c>
      <c r="CF167" s="276">
        <f t="shared" si="107"/>
        <v>1747.1549731983323</v>
      </c>
      <c r="CG167" s="276">
        <f t="shared" si="108"/>
        <v>1954</v>
      </c>
      <c r="CH167" s="276">
        <f t="shared" si="109"/>
        <v>2008</v>
      </c>
      <c r="CI167" s="276">
        <f t="shared" si="110"/>
        <v>2002</v>
      </c>
      <c r="CJ167" s="276">
        <f t="shared" si="111"/>
        <v>1953</v>
      </c>
      <c r="CK167" s="276">
        <f t="shared" si="131"/>
        <v>1300.3363476937332</v>
      </c>
      <c r="CL167" s="276">
        <f t="shared" si="132"/>
        <v>1504.4945602541195</v>
      </c>
      <c r="CM167" s="276">
        <f t="shared" si="133"/>
        <v>1791.1666666666665</v>
      </c>
      <c r="CN167" s="276">
        <f t="shared" si="134"/>
        <v>2008</v>
      </c>
      <c r="CO167" s="276">
        <f t="shared" si="134"/>
        <v>2002</v>
      </c>
      <c r="CP167" s="276">
        <f t="shared" si="134"/>
        <v>1953</v>
      </c>
      <c r="CQ167" s="39">
        <f t="shared" si="112"/>
        <v>1220</v>
      </c>
      <c r="CR167" s="39">
        <f t="shared" si="113"/>
        <v>1114.6666666666667</v>
      </c>
      <c r="CS167" s="277">
        <f t="shared" si="114"/>
        <v>1099.2222222222224</v>
      </c>
      <c r="CT167" s="39">
        <f t="shared" si="115"/>
        <v>1144.6296296296298</v>
      </c>
      <c r="CU167" s="39">
        <f t="shared" si="116"/>
        <v>1119.5061728395062</v>
      </c>
      <c r="CV167" s="39">
        <f t="shared" si="117"/>
        <v>1121.1193415637861</v>
      </c>
      <c r="CW167" s="297">
        <f t="shared" si="118"/>
        <v>0.93821879405569408</v>
      </c>
      <c r="CX167" s="279" t="str">
        <f t="shared" si="135"/>
        <v>Action Plan</v>
      </c>
      <c r="CY167" s="278">
        <f t="shared" si="119"/>
        <v>0.74089112457700868</v>
      </c>
      <c r="CZ167" s="279" t="str">
        <f t="shared" si="136"/>
        <v>Buffer and Action Plan</v>
      </c>
      <c r="DA167" s="278">
        <f t="shared" si="120"/>
        <v>0.61369064234980319</v>
      </c>
      <c r="DB167" s="292" t="str">
        <f t="shared" si="137"/>
        <v>Presumption</v>
      </c>
      <c r="DC167" s="299">
        <f t="shared" si="138"/>
        <v>0.5700346761103734</v>
      </c>
      <c r="DD167" s="293" t="str">
        <f t="shared" si="139"/>
        <v>Presumption</v>
      </c>
      <c r="DE167" s="299">
        <f t="shared" si="140"/>
        <v>0.55919389252722584</v>
      </c>
      <c r="DF167" s="293" t="str">
        <f t="shared" si="141"/>
        <v>Presumption</v>
      </c>
      <c r="DG167" s="299">
        <f t="shared" si="142"/>
        <v>0.57404984207055099</v>
      </c>
      <c r="DH167" s="293" t="str">
        <f t="shared" si="143"/>
        <v>Presumption</v>
      </c>
    </row>
    <row r="168" spans="1:112" customFormat="1" ht="15.5" thickTop="1" thickBot="1">
      <c r="A168" s="3" t="s">
        <v>446</v>
      </c>
      <c r="B168" s="3" t="s">
        <v>447</v>
      </c>
      <c r="C168" s="3" t="s">
        <v>446</v>
      </c>
      <c r="D168" s="3" t="s">
        <v>131</v>
      </c>
      <c r="E168" s="3" t="str">
        <f>VLOOKUP(C168,PoliticalControl!A:K,11,FALSE)</f>
        <v>LAB</v>
      </c>
      <c r="F168" s="3" t="str">
        <f>VLOOKUP(C168,UrbanRuralClassification!A:N,13,FALSE)</f>
        <v>Urban with Major Conurbation</v>
      </c>
      <c r="G168" s="3" t="str">
        <f>VLOOKUP(C168,UrbanRuralClassification!A:N,14,FALSE)</f>
        <v>Predominantly Urban</v>
      </c>
      <c r="H168" s="262">
        <f>IF(ISBLANK((VLOOKUP($A168,'local-plan-data'!$C$1:$AD$566,27,FALSE)))=TRUE,"",VLOOKUP($A168,'local-plan-data'!$C$1:$AD$566,27,FALSE))</f>
        <v>40737</v>
      </c>
      <c r="I168" s="263">
        <f>VLOOKUP($A168,'local-plan-data'!$C$1:$AD$566,28,FALSE)</f>
        <v>320</v>
      </c>
      <c r="J168" s="264">
        <f t="shared" si="121"/>
        <v>320</v>
      </c>
      <c r="K168" s="259" t="str">
        <f t="shared" si="144"/>
        <v>-</v>
      </c>
      <c r="L168" s="259" t="str">
        <f t="shared" si="148"/>
        <v>-</v>
      </c>
      <c r="M168" s="259" t="str">
        <f t="shared" si="148"/>
        <v>-</v>
      </c>
      <c r="N168" s="259" t="str">
        <f t="shared" si="148"/>
        <v>-</v>
      </c>
      <c r="O168" s="259" t="str">
        <f t="shared" si="148"/>
        <v>-</v>
      </c>
      <c r="P168" s="259" t="str">
        <f t="shared" si="148"/>
        <v>-</v>
      </c>
      <c r="Q168" s="259" t="str">
        <f t="shared" si="148"/>
        <v>-</v>
      </c>
      <c r="R168" s="259" t="str">
        <f t="shared" si="148"/>
        <v>-</v>
      </c>
      <c r="S168" s="259">
        <f t="shared" si="145"/>
        <v>-627</v>
      </c>
      <c r="T168" s="259">
        <f t="shared" si="149"/>
        <v>-992</v>
      </c>
      <c r="U168" s="259">
        <f t="shared" si="149"/>
        <v>-1358</v>
      </c>
      <c r="V168" s="259">
        <f t="shared" si="149"/>
        <v>-1723</v>
      </c>
      <c r="W168" s="259">
        <f t="shared" si="149"/>
        <v>-2088</v>
      </c>
      <c r="X168" s="259">
        <f t="shared" si="149"/>
        <v>-2453</v>
      </c>
      <c r="Y168" s="259">
        <f t="shared" si="149"/>
        <v>-2819</v>
      </c>
      <c r="Z168" s="259">
        <f t="shared" si="149"/>
        <v>-3184</v>
      </c>
      <c r="AA168" s="267">
        <f>(VLOOKUP(A168,Hshldprojections2014!$A$2:$AW$319,40, FALSE)-VLOOKUP(A168,Hshldprojections2014!$A$2:$AW$319,30, FALSE))/10</f>
        <v>1107.0999999999999</v>
      </c>
      <c r="AB168" s="267">
        <f>(VLOOKUP(A168,Hshldprojections2014!$A$2:$AW$319,41, FALSE)-VLOOKUP(A168,Hshldprojections2014!$A$2:$AW$319,31, FALSE))/10</f>
        <v>1096</v>
      </c>
      <c r="AC168" s="267">
        <f>(VLOOKUP(A168,Hshldprojections2014!$A$2:$AW$319,42, FALSE)-VLOOKUP(A168,Hshldprojections2014!$A$2:$AW$319,32, FALSE))/10</f>
        <v>1085.3</v>
      </c>
      <c r="AD168" s="267">
        <f>IF(IndividualLATest!$J$7=2014,(VLOOKUP($A168,Hshldprojections2014!$A$2:$AY$326,43,FALSE)-VLOOKUP($A168,Hshldprojections2014!$A$2:$AY$326,33,FALSE))/10,IF(IndividualLATest!$J$7=2016,(VLOOKUP($A168,Hshldprojections2016!$A$1:$AQ$322,33,FALSE)-VLOOKUP($A168,Hshldprojections2016!$A$1:$AQ$322,23,FALSE))/10,(VLOOKUP($A168,Hshldprojections2018!$A$1:$AQ$327,33,FALSE)-VLOOKUP($A168,Hshldprojections2018!$A$1:$AQ$327,23,FALSE))/10))</f>
        <v>324.2</v>
      </c>
      <c r="AE168" s="267">
        <f>IF(IndividualLATest!$J$7=2014,(VLOOKUP($A168,Hshldprojections2014!$A$2:$AY$326,44,FALSE)-VLOOKUP($A168,Hshldprojections2014!$A$2:$AY$326,34,FALSE))/10,IF(IndividualLATest!$J$7=2016,(VLOOKUP($A168,Hshldprojections2016!$A$1:$AQ$322,34,FALSE)-VLOOKUP($A168,Hshldprojections2016!$A$1:$AQ$322,24,FALSE))/10,(VLOOKUP($A168,Hshldprojections2018!$A$1:$AQ$327,34,FALSE)-VLOOKUP($A168,Hshldprojections2018!$A$1:$AQ$327,24,FALSE))/10))</f>
        <v>323.10000000000002</v>
      </c>
      <c r="AF168" s="267">
        <f>IF(IndividualLATest!$J$7=2014,(VLOOKUP($A168,Hshldprojections2014!$A$2:$AY$326,45,FALSE)-VLOOKUP($A168,Hshldprojections2014!$A$2:$AY$326,35,FALSE))/10,IF(IndividualLATest!$J$7=2016,(VLOOKUP($A168,Hshldprojections2016!$A$1:$AQ$322,35,FALSE)-VLOOKUP($A168,Hshldprojections2016!$A$1:$AQ$322,25,FALSE))/10,(VLOOKUP($A168,Hshldprojections2018!$A$1:$AQ$327,35,FALSE)-VLOOKUP($A168,Hshldprojections2018!$A$1:$AQ$327,25,FALSE))/10))</f>
        <v>323.2</v>
      </c>
      <c r="AG168" s="267">
        <f>IF(IndividualLATest!$J$7=2014,(VLOOKUP($A168,Hshldprojections2014!$A$2:$AY$326,46,FALSE)-VLOOKUP($A168,Hshldprojections2014!$A$2:$AY$326,36,FALSE))/10,IF(IndividualLATest!$J$7=2016,(VLOOKUP($A168,Hshldprojections2016!$A$1:$AQ$322,36,FALSE)-VLOOKUP($A168,Hshldprojections2016!$A$1:$AQ$322,26,FALSE))/10,(VLOOKUP($A168,Hshldprojections2018!$A$1:$AQ$327,36,FALSE)-VLOOKUP($A168,Hshldprojections2018!$A$1:$AQ$327,26,FALSE))/10))</f>
        <v>325.7</v>
      </c>
      <c r="AH168" s="267">
        <f>IF(IndividualLATest!$J$7=2014,(VLOOKUP($A168,Hshldprojections2014!$A$2:$AY$326,47,FALSE)-VLOOKUP($A168,Hshldprojections2014!$A$2:$AY$326,37,FALSE))/10,IF(IndividualLATest!$J$7=2016,(VLOOKUP($A168,Hshldprojections2016!$A$1:$AQ$322,37,FALSE)-VLOOKUP($A168,Hshldprojections2016!$A$1:$AQ$322,27,FALSE))/10,(VLOOKUP($A168,Hshldprojections2018!$A$1:$AQ$327,37,FALSE)-VLOOKUP($A168,Hshldprojections2018!$A$1:$AQ$327,27,FALSE))/10))</f>
        <v>328.3</v>
      </c>
      <c r="AI168" s="268">
        <f>IF(ISNUMBER('Sensitivity Tests'!$C$30),'Sensitivity Tests'!$C$30,VLOOKUP($A168,AffordabilityRatio!$A$2:$I$321,5,FALSE))</f>
        <v>15.45</v>
      </c>
      <c r="AJ168" s="268">
        <f>IF(ISNUMBER('Sensitivity Tests'!$C$30),'Sensitivity Tests'!$C$30,VLOOKUP($A168,AffordabilityRatio!$A$2:$I$321,6,FALSE))</f>
        <v>15.36</v>
      </c>
      <c r="AK168" s="268">
        <f>IF(ISNUMBER('Sensitivity Tests'!$C$30),'Sensitivity Tests'!$C$30,VLOOKUP($A168,AffordabilityRatio!$A$2:$I$321,7,FALSE))</f>
        <v>14.81</v>
      </c>
      <c r="AL168" s="268">
        <f>IF(ISNUMBER('Sensitivity Tests'!$C$30),'Sensitivity Tests'!$C$30,IF((VLOOKUP($A168,AffordabilityRatio!$A$2:$I$321,8,FALSE))="",AK168,VLOOKUP($A168,AffordabilityRatio!$A$2:$I$321,8,FALSE)))</f>
        <v>14.65</v>
      </c>
      <c r="AM168" s="268">
        <f>IF(ISNUMBER('Sensitivity Tests'!$C$30),'Sensitivity Tests'!$C$30,IF((VLOOKUP($A168,AffordabilityRatio!$A$2:$I$321,9,FALSE))="",AL168,VLOOKUP($A168,AffordabilityRatio!$A$2:$I$321,9,FALSE)))</f>
        <v>15.89</v>
      </c>
      <c r="AN168" s="268">
        <f>IF(ISNUMBER('Sensitivity Tests'!$C$30),'Sensitivity Tests'!$C$30,IF((VLOOKUP($A168,AffordabilityRatio!$A$2:$I$321,9,FALSE))="",AM168,VLOOKUP($A168,AffordabilityRatio!$A$2:$I$321,9,FALSE)))</f>
        <v>15.89</v>
      </c>
      <c r="AO168" s="268">
        <f>IF(ISNUMBER('Sensitivity Tests'!$C$30),'Sensitivity Tests'!$C$30,IF((VLOOKUP($A168,AffordabilityRatio!$A$2:$I$321,9,FALSE))="",AN168,VLOOKUP($A168,AffordabilityRatio!$A$2:$I$321,9,FALSE)))</f>
        <v>15.89</v>
      </c>
      <c r="AP168" s="268">
        <f>IF(ISNUMBER('Sensitivity Tests'!$C$30),'Sensitivity Tests'!$C$30,IF((VLOOKUP($A168,AffordabilityRatio!$A$2:$I$321,9,FALSE))="",AO168,VLOOKUP($A168,AffordabilityRatio!$A$2:$I$321,9,FALSE)))</f>
        <v>15.89</v>
      </c>
      <c r="AQ168" s="267">
        <f t="shared" si="104"/>
        <v>1899</v>
      </c>
      <c r="AR168" s="267">
        <f t="shared" si="104"/>
        <v>1874</v>
      </c>
      <c r="AS168" s="267">
        <f t="shared" si="104"/>
        <v>1819</v>
      </c>
      <c r="AT168" s="267">
        <f t="shared" si="103"/>
        <v>540</v>
      </c>
      <c r="AU168" s="267">
        <f t="shared" si="103"/>
        <v>563</v>
      </c>
      <c r="AV168" s="267">
        <f t="shared" si="103"/>
        <v>563</v>
      </c>
      <c r="AW168" s="267">
        <f t="shared" si="103"/>
        <v>568</v>
      </c>
      <c r="AX168" s="267">
        <f t="shared" si="103"/>
        <v>572</v>
      </c>
      <c r="AY168" s="267">
        <f t="shared" si="122"/>
        <v>1549.9399999999998</v>
      </c>
      <c r="AZ168" s="267">
        <f t="shared" si="123"/>
        <v>1534.4</v>
      </c>
      <c r="BA168" s="267">
        <f t="shared" si="124"/>
        <v>1519.42</v>
      </c>
      <c r="BB168" s="267">
        <f t="shared" si="125"/>
        <v>453.88</v>
      </c>
      <c r="BC168" s="267">
        <f t="shared" si="126"/>
        <v>452.34000000000003</v>
      </c>
      <c r="BD168" s="267">
        <f t="shared" si="127"/>
        <v>452.48</v>
      </c>
      <c r="BE168" s="267">
        <f t="shared" si="128"/>
        <v>455.98</v>
      </c>
      <c r="BF168" s="267">
        <f t="shared" si="129"/>
        <v>459.62</v>
      </c>
      <c r="BG168" s="269">
        <f>AY168*VLOOKUP($B168,'Major Cities &amp; Towns'!$A$28:$B$345,2,FALSE)</f>
        <v>2092.4189999999999</v>
      </c>
      <c r="BH168" s="269">
        <f>AZ168*VLOOKUP($B168,'Major Cities &amp; Towns'!$A$28:$B$345,2,FALSE)</f>
        <v>2071.44</v>
      </c>
      <c r="BI168" s="269">
        <f>BA168*VLOOKUP($B168,'Major Cities &amp; Towns'!$A$28:$B$345,2,FALSE)</f>
        <v>2051.2170000000001</v>
      </c>
      <c r="BJ168" s="269">
        <f>BB168*VLOOKUP($B168,'Major Cities &amp; Towns'!$A$28:$B$345,2,FALSE)</f>
        <v>612.73800000000006</v>
      </c>
      <c r="BK168" s="269">
        <f>BC168*VLOOKUP($B168,'Major Cities &amp; Towns'!$A$28:$B$345,2,FALSE)</f>
        <v>610.65900000000011</v>
      </c>
      <c r="BL168" s="269">
        <f>BD168*VLOOKUP($B168,'Major Cities &amp; Towns'!$A$28:$B$345,2,FALSE)</f>
        <v>610.84800000000007</v>
      </c>
      <c r="BM168" s="269">
        <f>BE168*VLOOKUP($B168,'Major Cities &amp; Towns'!$A$28:$B$345,2,FALSE)</f>
        <v>615.57300000000009</v>
      </c>
      <c r="BN168" s="269">
        <f>BF168*VLOOKUP($B168,'Major Cities &amp; Towns'!$A$28:$B$345,2,FALSE)</f>
        <v>620.48700000000008</v>
      </c>
      <c r="BO168" s="270">
        <f t="shared" si="130"/>
        <v>1899</v>
      </c>
      <c r="BP168" s="270">
        <f t="shared" si="147"/>
        <v>1874</v>
      </c>
      <c r="BQ168" s="270">
        <f t="shared" si="147"/>
        <v>1819</v>
      </c>
      <c r="BR168" s="270">
        <f t="shared" si="147"/>
        <v>540</v>
      </c>
      <c r="BS168" s="270">
        <f t="shared" si="146"/>
        <v>563</v>
      </c>
      <c r="BT168" s="270">
        <f t="shared" si="146"/>
        <v>563</v>
      </c>
      <c r="BU168" s="270">
        <f t="shared" si="146"/>
        <v>568</v>
      </c>
      <c r="BV168" s="270">
        <f t="shared" si="99"/>
        <v>572</v>
      </c>
      <c r="BW168" s="39">
        <f>VLOOKUP($A168,NetAdditions!$A$2:$H$336,6,FALSE)</f>
        <v>273</v>
      </c>
      <c r="BX168" s="39">
        <f>VLOOKUP($A168,NetAdditions!$A$2:$H$336,7,FALSE)</f>
        <v>346</v>
      </c>
      <c r="BY168" s="39">
        <f>IF((VLOOKUP($C168,NetAdditions!$A$2:$H$336,8,FALSE))="",(AVERAGE(VLOOKUP($C168,NetAdditions!$A$2:$H$336,5,FALSE),VLOOKUP($C168,NetAdditions!$A$2:$H$336,6,FALSE),VLOOKUP($C168,NetAdditions!$A$2:$H$336,7,FALSE))),VLOOKUP($C168,NetAdditions!$A$2:$H$336,8,FALSE))</f>
        <v>643</v>
      </c>
      <c r="BZ168" s="39">
        <f t="shared" si="105"/>
        <v>420.66666666666669</v>
      </c>
      <c r="CA168" s="39">
        <f t="shared" si="105"/>
        <v>469.88888888888891</v>
      </c>
      <c r="CB168" s="39">
        <f t="shared" si="105"/>
        <v>511.18518518518522</v>
      </c>
      <c r="CC168" s="39">
        <f t="shared" si="105"/>
        <v>467.24691358024694</v>
      </c>
      <c r="CD168" s="39">
        <f t="shared" si="105"/>
        <v>482.77366255144034</v>
      </c>
      <c r="CE168" s="276">
        <f t="shared" si="106"/>
        <v>5592</v>
      </c>
      <c r="CF168" s="276">
        <f t="shared" si="107"/>
        <v>4233</v>
      </c>
      <c r="CG168" s="276">
        <f t="shared" si="108"/>
        <v>2922</v>
      </c>
      <c r="CH168" s="276">
        <f t="shared" si="109"/>
        <v>1666</v>
      </c>
      <c r="CI168" s="276">
        <f t="shared" si="110"/>
        <v>1694</v>
      </c>
      <c r="CJ168" s="276">
        <f t="shared" si="111"/>
        <v>1703</v>
      </c>
      <c r="CK168" s="276">
        <f t="shared" si="131"/>
        <v>4815.3333333333339</v>
      </c>
      <c r="CL168" s="276">
        <f t="shared" si="132"/>
        <v>3645.0833333333335</v>
      </c>
      <c r="CM168" s="276">
        <f t="shared" si="133"/>
        <v>2678.5</v>
      </c>
      <c r="CN168" s="276">
        <f t="shared" si="134"/>
        <v>1666</v>
      </c>
      <c r="CO168" s="276">
        <f t="shared" si="134"/>
        <v>1694</v>
      </c>
      <c r="CP168" s="276">
        <f t="shared" si="134"/>
        <v>1703</v>
      </c>
      <c r="CQ168" s="39">
        <f t="shared" si="112"/>
        <v>1262</v>
      </c>
      <c r="CR168" s="39">
        <f t="shared" si="113"/>
        <v>1409.6666666666667</v>
      </c>
      <c r="CS168" s="277">
        <f t="shared" si="114"/>
        <v>1533.5555555555557</v>
      </c>
      <c r="CT168" s="39">
        <f t="shared" si="115"/>
        <v>1401.7407407407409</v>
      </c>
      <c r="CU168" s="39">
        <f t="shared" si="116"/>
        <v>1448.320987654321</v>
      </c>
      <c r="CV168" s="39">
        <f t="shared" si="117"/>
        <v>1461.2057613168724</v>
      </c>
      <c r="CW168" s="297">
        <f t="shared" si="118"/>
        <v>0.26207946836494528</v>
      </c>
      <c r="CX168" s="279" t="str">
        <f t="shared" si="135"/>
        <v>Buffer and Action Plan</v>
      </c>
      <c r="CY168" s="278">
        <f t="shared" si="119"/>
        <v>0.3867309846597014</v>
      </c>
      <c r="CZ168" s="279" t="str">
        <f t="shared" si="136"/>
        <v>Presumption</v>
      </c>
      <c r="DA168" s="278">
        <f t="shared" si="120"/>
        <v>0.5725426752120798</v>
      </c>
      <c r="DB168" s="292" t="str">
        <f t="shared" si="137"/>
        <v>Presumption</v>
      </c>
      <c r="DC168" s="299">
        <f t="shared" si="138"/>
        <v>0.84138099684318179</v>
      </c>
      <c r="DD168" s="293" t="str">
        <f t="shared" si="139"/>
        <v>Buffer and Action Plan</v>
      </c>
      <c r="DE168" s="299">
        <f t="shared" si="140"/>
        <v>0.85497106709227921</v>
      </c>
      <c r="DF168" s="293" t="str">
        <f t="shared" si="141"/>
        <v>Action Plan</v>
      </c>
      <c r="DG168" s="299">
        <f t="shared" si="142"/>
        <v>0.85801865021542711</v>
      </c>
      <c r="DH168" s="293" t="str">
        <f t="shared" si="143"/>
        <v>Action Plan</v>
      </c>
    </row>
    <row r="169" spans="1:112" ht="15" thickTop="1" thickBot="1">
      <c r="A169" s="38" t="s">
        <v>448</v>
      </c>
      <c r="B169" s="38" t="s">
        <v>449</v>
      </c>
      <c r="C169" s="38" t="s">
        <v>448</v>
      </c>
      <c r="D169" s="38" t="s">
        <v>147</v>
      </c>
      <c r="E169" s="38" t="str">
        <f>VLOOKUP(C169,PoliticalControl!A:K,11,FALSE)</f>
        <v>NOC</v>
      </c>
      <c r="F169" s="38" t="str">
        <f>VLOOKUP(C169,UrbanRuralClassification!A:N,13,FALSE)</f>
        <v xml:space="preserve">Mainly Rural (rural including hub towns &gt;=80%) </v>
      </c>
      <c r="G169" s="38" t="str">
        <f>VLOOKUP(C169,UrbanRuralClassification!A:N,14,FALSE)</f>
        <v>Predominantly Rural</v>
      </c>
      <c r="H169" s="258">
        <f>IF(ISBLANK((VLOOKUP($A169,'local-plan-data'!$C$1:$AD$566,27,FALSE)))=TRUE,"",VLOOKUP($A169,'local-plan-data'!$C$1:$AD$566,27,FALSE))</f>
        <v>44041</v>
      </c>
      <c r="I169" s="259">
        <f>VLOOKUP($A169,'local-plan-data'!$C$1:$AD$566,28,FALSE)</f>
        <v>393</v>
      </c>
      <c r="J169" s="260">
        <f t="shared" si="121"/>
        <v>393</v>
      </c>
      <c r="K169" s="259">
        <f t="shared" si="144"/>
        <v>393</v>
      </c>
      <c r="L169" s="259">
        <f t="shared" si="148"/>
        <v>393</v>
      </c>
      <c r="M169" s="259">
        <f t="shared" si="148"/>
        <v>393</v>
      </c>
      <c r="N169" s="259">
        <f t="shared" si="148"/>
        <v>393</v>
      </c>
      <c r="O169" s="259">
        <f t="shared" si="148"/>
        <v>393</v>
      </c>
      <c r="P169" s="259">
        <f t="shared" si="148"/>
        <v>393</v>
      </c>
      <c r="Q169" s="259">
        <f t="shared" si="148"/>
        <v>393</v>
      </c>
      <c r="R169" s="259">
        <f t="shared" si="148"/>
        <v>393</v>
      </c>
      <c r="S169" s="259">
        <f t="shared" si="145"/>
        <v>2676</v>
      </c>
      <c r="T169" s="259">
        <f t="shared" si="149"/>
        <v>2311</v>
      </c>
      <c r="U169" s="259">
        <f t="shared" si="149"/>
        <v>1945</v>
      </c>
      <c r="V169" s="259">
        <f t="shared" si="149"/>
        <v>1580</v>
      </c>
      <c r="W169" s="259">
        <f t="shared" si="149"/>
        <v>1215</v>
      </c>
      <c r="X169" s="259">
        <f t="shared" si="149"/>
        <v>850</v>
      </c>
      <c r="Y169" s="259">
        <f t="shared" si="149"/>
        <v>484</v>
      </c>
      <c r="Z169" s="259">
        <f t="shared" si="149"/>
        <v>119</v>
      </c>
      <c r="AA169" s="267">
        <f>(VLOOKUP(A169,Hshldprojections2014!$A$2:$AW$319,40, FALSE)-VLOOKUP(A169,Hshldprojections2014!$A$2:$AW$319,30, FALSE))/10</f>
        <v>283.10000000000002</v>
      </c>
      <c r="AB169" s="267">
        <f>(VLOOKUP(A169,Hshldprojections2014!$A$2:$AW$319,41, FALSE)-VLOOKUP(A169,Hshldprojections2014!$A$2:$AW$319,31, FALSE))/10</f>
        <v>278.3</v>
      </c>
      <c r="AC169" s="267">
        <f>(VLOOKUP(A169,Hshldprojections2014!$A$2:$AW$319,42, FALSE)-VLOOKUP(A169,Hshldprojections2014!$A$2:$AW$319,32, FALSE))/10</f>
        <v>276.3</v>
      </c>
      <c r="AD169" s="267">
        <f>IF(IndividualLATest!$J$7=2014,(VLOOKUP($A169,Hshldprojections2014!$A$2:$AY$326,43,FALSE)-VLOOKUP($A169,Hshldprojections2014!$A$2:$AY$326,33,FALSE))/10,IF(IndividualLATest!$J$7=2016,(VLOOKUP($A169,Hshldprojections2016!$A$1:$AQ$322,33,FALSE)-VLOOKUP($A169,Hshldprojections2016!$A$1:$AQ$322,23,FALSE))/10,(VLOOKUP($A169,Hshldprojections2018!$A$1:$AQ$327,33,FALSE)-VLOOKUP($A169,Hshldprojections2018!$A$1:$AQ$327,23,FALSE))/10))</f>
        <v>377.9</v>
      </c>
      <c r="AE169" s="267">
        <f>IF(IndividualLATest!$J$7=2014,(VLOOKUP($A169,Hshldprojections2014!$A$2:$AY$326,44,FALSE)-VLOOKUP($A169,Hshldprojections2014!$A$2:$AY$326,34,FALSE))/10,IF(IndividualLATest!$J$7=2016,(VLOOKUP($A169,Hshldprojections2016!$A$1:$AQ$322,34,FALSE)-VLOOKUP($A169,Hshldprojections2016!$A$1:$AQ$322,24,FALSE))/10,(VLOOKUP($A169,Hshldprojections2018!$A$1:$AQ$327,34,FALSE)-VLOOKUP($A169,Hshldprojections2018!$A$1:$AQ$327,24,FALSE))/10))</f>
        <v>371.9</v>
      </c>
      <c r="AF169" s="267">
        <f>IF(IndividualLATest!$J$7=2014,(VLOOKUP($A169,Hshldprojections2014!$A$2:$AY$326,45,FALSE)-VLOOKUP($A169,Hshldprojections2014!$A$2:$AY$326,35,FALSE))/10,IF(IndividualLATest!$J$7=2016,(VLOOKUP($A169,Hshldprojections2016!$A$1:$AQ$322,35,FALSE)-VLOOKUP($A169,Hshldprojections2016!$A$1:$AQ$322,25,FALSE))/10,(VLOOKUP($A169,Hshldprojections2018!$A$1:$AQ$327,35,FALSE)-VLOOKUP($A169,Hshldprojections2018!$A$1:$AQ$327,25,FALSE))/10))</f>
        <v>365.4</v>
      </c>
      <c r="AG169" s="267">
        <f>IF(IndividualLATest!$J$7=2014,(VLOOKUP($A169,Hshldprojections2014!$A$2:$AY$326,46,FALSE)-VLOOKUP($A169,Hshldprojections2014!$A$2:$AY$326,36,FALSE))/10,IF(IndividualLATest!$J$7=2016,(VLOOKUP($A169,Hshldprojections2016!$A$1:$AQ$322,36,FALSE)-VLOOKUP($A169,Hshldprojections2016!$A$1:$AQ$322,26,FALSE))/10,(VLOOKUP($A169,Hshldprojections2018!$A$1:$AQ$327,36,FALSE)-VLOOKUP($A169,Hshldprojections2018!$A$1:$AQ$327,26,FALSE))/10))</f>
        <v>359.5</v>
      </c>
      <c r="AH169" s="267">
        <f>IF(IndividualLATest!$J$7=2014,(VLOOKUP($A169,Hshldprojections2014!$A$2:$AY$326,47,FALSE)-VLOOKUP($A169,Hshldprojections2014!$A$2:$AY$326,37,FALSE))/10,IF(IndividualLATest!$J$7=2016,(VLOOKUP($A169,Hshldprojections2016!$A$1:$AQ$322,37,FALSE)-VLOOKUP($A169,Hshldprojections2016!$A$1:$AQ$322,27,FALSE))/10,(VLOOKUP($A169,Hshldprojections2018!$A$1:$AQ$327,37,FALSE)-VLOOKUP($A169,Hshldprojections2018!$A$1:$AQ$327,27,FALSE))/10))</f>
        <v>355.4</v>
      </c>
      <c r="AI169" s="268">
        <f>IF(ISNUMBER('Sensitivity Tests'!$C$30),'Sensitivity Tests'!$C$30,VLOOKUP($A169,AffordabilityRatio!$A$2:$I$321,5,FALSE))</f>
        <v>8.74</v>
      </c>
      <c r="AJ169" s="268">
        <f>IF(ISNUMBER('Sensitivity Tests'!$C$30),'Sensitivity Tests'!$C$30,VLOOKUP($A169,AffordabilityRatio!$A$2:$I$321,6,FALSE))</f>
        <v>9.09</v>
      </c>
      <c r="AK169" s="268">
        <f>IF(ISNUMBER('Sensitivity Tests'!$C$30),'Sensitivity Tests'!$C$30,VLOOKUP($A169,AffordabilityRatio!$A$2:$I$321,7,FALSE))</f>
        <v>9.25</v>
      </c>
      <c r="AL169" s="268">
        <f>IF(ISNUMBER('Sensitivity Tests'!$C$30),'Sensitivity Tests'!$C$30,IF((VLOOKUP($A169,AffordabilityRatio!$A$2:$I$321,8,FALSE))="",AK169,VLOOKUP($A169,AffordabilityRatio!$A$2:$I$321,8,FALSE)))</f>
        <v>9.41</v>
      </c>
      <c r="AM169" s="268">
        <f>IF(ISNUMBER('Sensitivity Tests'!$C$30),'Sensitivity Tests'!$C$30,IF((VLOOKUP($A169,AffordabilityRatio!$A$2:$I$321,9,FALSE))="",AL169,VLOOKUP($A169,AffordabilityRatio!$A$2:$I$321,9,FALSE)))</f>
        <v>9.2899999999999991</v>
      </c>
      <c r="AN169" s="268">
        <f>IF(ISNUMBER('Sensitivity Tests'!$C$30),'Sensitivity Tests'!$C$30,IF((VLOOKUP($A169,AffordabilityRatio!$A$2:$I$321,9,FALSE))="",AM169,VLOOKUP($A169,AffordabilityRatio!$A$2:$I$321,9,FALSE)))</f>
        <v>9.2899999999999991</v>
      </c>
      <c r="AO169" s="268">
        <f>IF(ISNUMBER('Sensitivity Tests'!$C$30),'Sensitivity Tests'!$C$30,IF((VLOOKUP($A169,AffordabilityRatio!$A$2:$I$321,9,FALSE))="",AN169,VLOOKUP($A169,AffordabilityRatio!$A$2:$I$321,9,FALSE)))</f>
        <v>9.2899999999999991</v>
      </c>
      <c r="AP169" s="268">
        <f>IF(ISNUMBER('Sensitivity Tests'!$C$30),'Sensitivity Tests'!$C$30,IF((VLOOKUP($A169,AffordabilityRatio!$A$2:$I$321,9,FALSE))="",AO169,VLOOKUP($A169,AffordabilityRatio!$A$2:$I$321,9,FALSE)))</f>
        <v>9.2899999999999991</v>
      </c>
      <c r="AQ169" s="267">
        <f t="shared" si="104"/>
        <v>367</v>
      </c>
      <c r="AR169" s="267">
        <f t="shared" si="104"/>
        <v>367</v>
      </c>
      <c r="AS169" s="267">
        <f t="shared" si="104"/>
        <v>367</v>
      </c>
      <c r="AT169" s="267">
        <f t="shared" si="103"/>
        <v>506</v>
      </c>
      <c r="AU169" s="267">
        <f t="shared" si="103"/>
        <v>495</v>
      </c>
      <c r="AV169" s="267">
        <f t="shared" si="103"/>
        <v>486</v>
      </c>
      <c r="AW169" s="267">
        <f t="shared" si="103"/>
        <v>478</v>
      </c>
      <c r="AX169" s="267">
        <f t="shared" si="103"/>
        <v>473</v>
      </c>
      <c r="AY169" s="267">
        <f t="shared" si="122"/>
        <v>367</v>
      </c>
      <c r="AZ169" s="267">
        <f t="shared" si="123"/>
        <v>367</v>
      </c>
      <c r="BA169" s="267">
        <f t="shared" si="124"/>
        <v>367</v>
      </c>
      <c r="BB169" s="267">
        <f t="shared" si="125"/>
        <v>506</v>
      </c>
      <c r="BC169" s="267">
        <f t="shared" si="126"/>
        <v>495</v>
      </c>
      <c r="BD169" s="267">
        <f t="shared" si="127"/>
        <v>486</v>
      </c>
      <c r="BE169" s="267">
        <f t="shared" si="128"/>
        <v>478</v>
      </c>
      <c r="BF169" s="267">
        <f t="shared" si="129"/>
        <v>473</v>
      </c>
      <c r="BG169" s="269">
        <f>AY169*VLOOKUP($B169,'Major Cities &amp; Towns'!$A$28:$B$345,2,FALSE)</f>
        <v>367</v>
      </c>
      <c r="BH169" s="269">
        <f>AZ169*VLOOKUP($B169,'Major Cities &amp; Towns'!$A$28:$B$345,2,FALSE)</f>
        <v>367</v>
      </c>
      <c r="BI169" s="269">
        <f>BA169*VLOOKUP($B169,'Major Cities &amp; Towns'!$A$28:$B$345,2,FALSE)</f>
        <v>367</v>
      </c>
      <c r="BJ169" s="269">
        <f>BB169*VLOOKUP($B169,'Major Cities &amp; Towns'!$A$28:$B$345,2,FALSE)</f>
        <v>506</v>
      </c>
      <c r="BK169" s="269">
        <f>BC169*VLOOKUP($B169,'Major Cities &amp; Towns'!$A$28:$B$345,2,FALSE)</f>
        <v>495</v>
      </c>
      <c r="BL169" s="269">
        <f>BD169*VLOOKUP($B169,'Major Cities &amp; Towns'!$A$28:$B$345,2,FALSE)</f>
        <v>486</v>
      </c>
      <c r="BM169" s="269">
        <f>BE169*VLOOKUP($B169,'Major Cities &amp; Towns'!$A$28:$B$345,2,FALSE)</f>
        <v>478</v>
      </c>
      <c r="BN169" s="269">
        <f>BF169*VLOOKUP($B169,'Major Cities &amp; Towns'!$A$28:$B$345,2,FALSE)</f>
        <v>473</v>
      </c>
      <c r="BO169" s="270">
        <f t="shared" si="130"/>
        <v>367</v>
      </c>
      <c r="BP169" s="270">
        <f t="shared" si="147"/>
        <v>367</v>
      </c>
      <c r="BQ169" s="270">
        <f t="shared" si="147"/>
        <v>367</v>
      </c>
      <c r="BR169" s="270">
        <f t="shared" si="147"/>
        <v>393</v>
      </c>
      <c r="BS169" s="270">
        <f t="shared" si="146"/>
        <v>393</v>
      </c>
      <c r="BT169" s="270">
        <f t="shared" si="146"/>
        <v>393</v>
      </c>
      <c r="BU169" s="270">
        <f t="shared" si="146"/>
        <v>393</v>
      </c>
      <c r="BV169" s="270">
        <f t="shared" si="146"/>
        <v>446.91780821917808</v>
      </c>
      <c r="BW169" s="39">
        <f>VLOOKUP($A169,NetAdditions!$A$2:$H$336,6,FALSE)</f>
        <v>432</v>
      </c>
      <c r="BX169" s="39">
        <f>VLOOKUP($A169,NetAdditions!$A$2:$H$336,7,FALSE)</f>
        <v>425</v>
      </c>
      <c r="BY169" s="39">
        <f>IF((VLOOKUP($C169,NetAdditions!$A$2:$H$336,8,FALSE))="",(AVERAGE(VLOOKUP($C169,NetAdditions!$A$2:$H$336,5,FALSE),VLOOKUP($C169,NetAdditions!$A$2:$H$336,6,FALSE),VLOOKUP($C169,NetAdditions!$A$2:$H$336,7,FALSE))),VLOOKUP($C169,NetAdditions!$A$2:$H$336,8,FALSE))</f>
        <v>335</v>
      </c>
      <c r="BZ169" s="39">
        <f t="shared" si="105"/>
        <v>397.33333333333331</v>
      </c>
      <c r="CA169" s="39">
        <f t="shared" si="105"/>
        <v>385.77777777777777</v>
      </c>
      <c r="CB169" s="39">
        <f t="shared" si="105"/>
        <v>372.7037037037037</v>
      </c>
      <c r="CC169" s="39">
        <f t="shared" si="105"/>
        <v>385.27160493827159</v>
      </c>
      <c r="CD169" s="39">
        <f t="shared" si="105"/>
        <v>381.25102880658437</v>
      </c>
      <c r="CE169" s="276">
        <f t="shared" si="106"/>
        <v>1101</v>
      </c>
      <c r="CF169" s="276">
        <f t="shared" si="107"/>
        <v>1127</v>
      </c>
      <c r="CG169" s="276">
        <f t="shared" si="108"/>
        <v>1153</v>
      </c>
      <c r="CH169" s="276">
        <f t="shared" si="109"/>
        <v>1179</v>
      </c>
      <c r="CI169" s="276">
        <f t="shared" si="110"/>
        <v>1179</v>
      </c>
      <c r="CJ169" s="276">
        <f t="shared" si="111"/>
        <v>1232.9178082191781</v>
      </c>
      <c r="CK169" s="276">
        <f t="shared" si="131"/>
        <v>948.08333333333337</v>
      </c>
      <c r="CL169" s="276">
        <f t="shared" si="132"/>
        <v>970.47222222222229</v>
      </c>
      <c r="CM169" s="276">
        <f t="shared" si="133"/>
        <v>1056.9166666666665</v>
      </c>
      <c r="CN169" s="276">
        <f t="shared" si="134"/>
        <v>1179</v>
      </c>
      <c r="CO169" s="276">
        <f t="shared" si="134"/>
        <v>1179</v>
      </c>
      <c r="CP169" s="276">
        <f t="shared" si="134"/>
        <v>1232.9178082191781</v>
      </c>
      <c r="CQ169" s="39">
        <f t="shared" si="112"/>
        <v>1192</v>
      </c>
      <c r="CR169" s="39">
        <f t="shared" si="113"/>
        <v>1157.3333333333333</v>
      </c>
      <c r="CS169" s="277">
        <f t="shared" si="114"/>
        <v>1118.1111111111111</v>
      </c>
      <c r="CT169" s="39">
        <f t="shared" si="115"/>
        <v>1155.8148148148148</v>
      </c>
      <c r="CU169" s="39">
        <f t="shared" si="116"/>
        <v>1143.7530864197531</v>
      </c>
      <c r="CV169" s="39">
        <f t="shared" si="117"/>
        <v>1139.2263374485597</v>
      </c>
      <c r="CW169" s="297">
        <f t="shared" si="118"/>
        <v>1.2572734464270019</v>
      </c>
      <c r="CX169" s="279" t="str">
        <f t="shared" si="135"/>
        <v>Pass</v>
      </c>
      <c r="CY169" s="278">
        <f t="shared" si="119"/>
        <v>1.1925465838509315</v>
      </c>
      <c r="CZ169" s="279" t="str">
        <f t="shared" si="136"/>
        <v>Pass</v>
      </c>
      <c r="DA169" s="278">
        <f t="shared" si="120"/>
        <v>1.057899024941523</v>
      </c>
      <c r="DB169" s="292" t="str">
        <f t="shared" si="137"/>
        <v>Pass</v>
      </c>
      <c r="DC169" s="299">
        <f t="shared" si="138"/>
        <v>0.98033487261646712</v>
      </c>
      <c r="DD169" s="293" t="str">
        <f t="shared" si="139"/>
        <v>Pass</v>
      </c>
      <c r="DE169" s="299">
        <f t="shared" si="140"/>
        <v>0.97010439899894241</v>
      </c>
      <c r="DF169" s="293" t="str">
        <f t="shared" si="141"/>
        <v>Pass</v>
      </c>
      <c r="DG169" s="299">
        <f t="shared" si="142"/>
        <v>0.92400834009693955</v>
      </c>
      <c r="DH169" s="293" t="str">
        <f t="shared" si="143"/>
        <v>Action Plan</v>
      </c>
    </row>
    <row r="170" spans="1:112" ht="15" thickTop="1" thickBot="1">
      <c r="A170" s="38" t="s">
        <v>450</v>
      </c>
      <c r="B170" s="38" t="s">
        <v>451</v>
      </c>
      <c r="C170" s="38" t="s">
        <v>450</v>
      </c>
      <c r="D170" s="38" t="s">
        <v>128</v>
      </c>
      <c r="E170" s="38" t="str">
        <f>VLOOKUP(C170,PoliticalControl!A:K,11,FALSE)</f>
        <v>NOC</v>
      </c>
      <c r="F170" s="38" t="str">
        <f>VLOOKUP(C170,UrbanRuralClassification!A:N,13,FALSE)</f>
        <v xml:space="preserve">Mainly Rural (rural including hub towns &gt;=80%) </v>
      </c>
      <c r="G170" s="38" t="str">
        <f>VLOOKUP(C170,UrbanRuralClassification!A:N,14,FALSE)</f>
        <v>Predominantly Rural</v>
      </c>
      <c r="H170" s="258">
        <f>IF(ISBLANK((VLOOKUP($A170,'local-plan-data'!$C$1:$AD$566,27,FALSE)))=TRUE,"",VLOOKUP($A170,'local-plan-data'!$C$1:$AD$566,27,FALSE))</f>
        <v>41263</v>
      </c>
      <c r="I170" s="259">
        <f>VLOOKUP($A170,'local-plan-data'!$C$1:$AD$566,28,FALSE)</f>
        <v>426.66666666666669</v>
      </c>
      <c r="J170" s="260">
        <f t="shared" si="121"/>
        <v>426.66666666666669</v>
      </c>
      <c r="K170" s="259" t="str">
        <f t="shared" si="144"/>
        <v>-</v>
      </c>
      <c r="L170" s="259" t="str">
        <f t="shared" si="148"/>
        <v>-</v>
      </c>
      <c r="M170" s="259" t="str">
        <f t="shared" si="148"/>
        <v>-</v>
      </c>
      <c r="N170" s="259" t="str">
        <f t="shared" si="148"/>
        <v>-</v>
      </c>
      <c r="O170" s="259" t="str">
        <f t="shared" si="148"/>
        <v>-</v>
      </c>
      <c r="P170" s="259" t="str">
        <f t="shared" si="148"/>
        <v>-</v>
      </c>
      <c r="Q170" s="259" t="str">
        <f t="shared" si="148"/>
        <v>-</v>
      </c>
      <c r="R170" s="259" t="str">
        <f t="shared" si="148"/>
        <v>-</v>
      </c>
      <c r="S170" s="259">
        <f t="shared" si="145"/>
        <v>-102</v>
      </c>
      <c r="T170" s="259">
        <f t="shared" si="149"/>
        <v>-467</v>
      </c>
      <c r="U170" s="259">
        <f t="shared" si="149"/>
        <v>-833</v>
      </c>
      <c r="V170" s="259">
        <f t="shared" si="149"/>
        <v>-1198</v>
      </c>
      <c r="W170" s="259">
        <f t="shared" si="149"/>
        <v>-1563</v>
      </c>
      <c r="X170" s="259">
        <f t="shared" si="149"/>
        <v>-1928</v>
      </c>
      <c r="Y170" s="259">
        <f t="shared" si="149"/>
        <v>-2294</v>
      </c>
      <c r="Z170" s="259">
        <f t="shared" si="149"/>
        <v>-2659</v>
      </c>
      <c r="AA170" s="267">
        <f>(VLOOKUP(A170,Hshldprojections2014!$A$2:$AW$319,40, FALSE)-VLOOKUP(A170,Hshldprojections2014!$A$2:$AW$319,30, FALSE))/10</f>
        <v>422.1</v>
      </c>
      <c r="AB170" s="267">
        <f>(VLOOKUP(A170,Hshldprojections2014!$A$2:$AW$319,41, FALSE)-VLOOKUP(A170,Hshldprojections2014!$A$2:$AW$319,31, FALSE))/10</f>
        <v>414.8</v>
      </c>
      <c r="AC170" s="267">
        <f>(VLOOKUP(A170,Hshldprojections2014!$A$2:$AW$319,42, FALSE)-VLOOKUP(A170,Hshldprojections2014!$A$2:$AW$319,32, FALSE))/10</f>
        <v>408.1</v>
      </c>
      <c r="AD170" s="267">
        <f>IF(IndividualLATest!$J$7=2014,(VLOOKUP($A170,Hshldprojections2014!$A$2:$AY$326,43,FALSE)-VLOOKUP($A170,Hshldprojections2014!$A$2:$AY$326,33,FALSE))/10,IF(IndividualLATest!$J$7=2016,(VLOOKUP($A170,Hshldprojections2016!$A$1:$AQ$322,33,FALSE)-VLOOKUP($A170,Hshldprojections2016!$A$1:$AQ$322,23,FALSE))/10,(VLOOKUP($A170,Hshldprojections2018!$A$1:$AQ$327,33,FALSE)-VLOOKUP($A170,Hshldprojections2018!$A$1:$AQ$327,23,FALSE))/10))</f>
        <v>445.5</v>
      </c>
      <c r="AE170" s="267">
        <f>IF(IndividualLATest!$J$7=2014,(VLOOKUP($A170,Hshldprojections2014!$A$2:$AY$326,44,FALSE)-VLOOKUP($A170,Hshldprojections2014!$A$2:$AY$326,34,FALSE))/10,IF(IndividualLATest!$J$7=2016,(VLOOKUP($A170,Hshldprojections2016!$A$1:$AQ$322,34,FALSE)-VLOOKUP($A170,Hshldprojections2016!$A$1:$AQ$322,24,FALSE))/10,(VLOOKUP($A170,Hshldprojections2018!$A$1:$AQ$327,34,FALSE)-VLOOKUP($A170,Hshldprojections2018!$A$1:$AQ$327,24,FALSE))/10))</f>
        <v>427.6</v>
      </c>
      <c r="AF170" s="267">
        <f>IF(IndividualLATest!$J$7=2014,(VLOOKUP($A170,Hshldprojections2014!$A$2:$AY$326,45,FALSE)-VLOOKUP($A170,Hshldprojections2014!$A$2:$AY$326,35,FALSE))/10,IF(IndividualLATest!$J$7=2016,(VLOOKUP($A170,Hshldprojections2016!$A$1:$AQ$322,35,FALSE)-VLOOKUP($A170,Hshldprojections2016!$A$1:$AQ$322,25,FALSE))/10,(VLOOKUP($A170,Hshldprojections2018!$A$1:$AQ$327,35,FALSE)-VLOOKUP($A170,Hshldprojections2018!$A$1:$AQ$327,25,FALSE))/10))</f>
        <v>412.9</v>
      </c>
      <c r="AG170" s="267">
        <f>IF(IndividualLATest!$J$7=2014,(VLOOKUP($A170,Hshldprojections2014!$A$2:$AY$326,46,FALSE)-VLOOKUP($A170,Hshldprojections2014!$A$2:$AY$326,36,FALSE))/10,IF(IndividualLATest!$J$7=2016,(VLOOKUP($A170,Hshldprojections2016!$A$1:$AQ$322,36,FALSE)-VLOOKUP($A170,Hshldprojections2016!$A$1:$AQ$322,26,FALSE))/10,(VLOOKUP($A170,Hshldprojections2018!$A$1:$AQ$327,36,FALSE)-VLOOKUP($A170,Hshldprojections2018!$A$1:$AQ$327,26,FALSE))/10))</f>
        <v>397.8</v>
      </c>
      <c r="AH170" s="267">
        <f>IF(IndividualLATest!$J$7=2014,(VLOOKUP($A170,Hshldprojections2014!$A$2:$AY$326,47,FALSE)-VLOOKUP($A170,Hshldprojections2014!$A$2:$AY$326,37,FALSE))/10,IF(IndividualLATest!$J$7=2016,(VLOOKUP($A170,Hshldprojections2016!$A$1:$AQ$322,37,FALSE)-VLOOKUP($A170,Hshldprojections2016!$A$1:$AQ$322,27,FALSE))/10,(VLOOKUP($A170,Hshldprojections2018!$A$1:$AQ$327,37,FALSE)-VLOOKUP($A170,Hshldprojections2018!$A$1:$AQ$327,27,FALSE))/10))</f>
        <v>386.7</v>
      </c>
      <c r="AI170" s="268">
        <f>IF(ISNUMBER('Sensitivity Tests'!$C$30),'Sensitivity Tests'!$C$30,VLOOKUP($A170,AffordabilityRatio!$A$2:$I$321,5,FALSE))</f>
        <v>10.199999999999999</v>
      </c>
      <c r="AJ170" s="268">
        <f>IF(ISNUMBER('Sensitivity Tests'!$C$30),'Sensitivity Tests'!$C$30,VLOOKUP($A170,AffordabilityRatio!$A$2:$I$321,6,FALSE))</f>
        <v>9.43</v>
      </c>
      <c r="AK170" s="268">
        <f>IF(ISNUMBER('Sensitivity Tests'!$C$30),'Sensitivity Tests'!$C$30,VLOOKUP($A170,AffordabilityRatio!$A$2:$I$321,7,FALSE))</f>
        <v>8.98</v>
      </c>
      <c r="AL170" s="268">
        <f>IF(ISNUMBER('Sensitivity Tests'!$C$30),'Sensitivity Tests'!$C$30,IF((VLOOKUP($A170,AffordabilityRatio!$A$2:$I$321,8,FALSE))="",AK170,VLOOKUP($A170,AffordabilityRatio!$A$2:$I$321,8,FALSE)))</f>
        <v>8.6999999999999993</v>
      </c>
      <c r="AM170" s="268">
        <f>IF(ISNUMBER('Sensitivity Tests'!$C$30),'Sensitivity Tests'!$C$30,IF((VLOOKUP($A170,AffordabilityRatio!$A$2:$I$321,9,FALSE))="",AL170,VLOOKUP($A170,AffordabilityRatio!$A$2:$I$321,9,FALSE)))</f>
        <v>9.6199999999999992</v>
      </c>
      <c r="AN170" s="268">
        <f>IF(ISNUMBER('Sensitivity Tests'!$C$30),'Sensitivity Tests'!$C$30,IF((VLOOKUP($A170,AffordabilityRatio!$A$2:$I$321,9,FALSE))="",AM170,VLOOKUP($A170,AffordabilityRatio!$A$2:$I$321,9,FALSE)))</f>
        <v>9.6199999999999992</v>
      </c>
      <c r="AO170" s="268">
        <f>IF(ISNUMBER('Sensitivity Tests'!$C$30),'Sensitivity Tests'!$C$30,IF((VLOOKUP($A170,AffordabilityRatio!$A$2:$I$321,9,FALSE))="",AN170,VLOOKUP($A170,AffordabilityRatio!$A$2:$I$321,9,FALSE)))</f>
        <v>9.6199999999999992</v>
      </c>
      <c r="AP170" s="268">
        <f>IF(ISNUMBER('Sensitivity Tests'!$C$30),'Sensitivity Tests'!$C$30,IF((VLOOKUP($A170,AffordabilityRatio!$A$2:$I$321,9,FALSE))="",AO170,VLOOKUP($A170,AffordabilityRatio!$A$2:$I$321,9,FALSE)))</f>
        <v>9.6199999999999992</v>
      </c>
      <c r="AQ170" s="267">
        <f t="shared" si="104"/>
        <v>586</v>
      </c>
      <c r="AR170" s="267">
        <f t="shared" si="104"/>
        <v>556</v>
      </c>
      <c r="AS170" s="267">
        <f t="shared" si="104"/>
        <v>535</v>
      </c>
      <c r="AT170" s="267">
        <f t="shared" si="103"/>
        <v>576</v>
      </c>
      <c r="AU170" s="267">
        <f t="shared" si="103"/>
        <v>578</v>
      </c>
      <c r="AV170" s="267">
        <f t="shared" si="103"/>
        <v>558</v>
      </c>
      <c r="AW170" s="267">
        <f t="shared" si="103"/>
        <v>538</v>
      </c>
      <c r="AX170" s="267">
        <f t="shared" si="103"/>
        <v>523</v>
      </c>
      <c r="AY170" s="267">
        <f t="shared" si="122"/>
        <v>586</v>
      </c>
      <c r="AZ170" s="267">
        <f t="shared" si="123"/>
        <v>556</v>
      </c>
      <c r="BA170" s="267">
        <f t="shared" si="124"/>
        <v>535</v>
      </c>
      <c r="BB170" s="267">
        <f t="shared" si="125"/>
        <v>576</v>
      </c>
      <c r="BC170" s="267">
        <f t="shared" si="126"/>
        <v>578</v>
      </c>
      <c r="BD170" s="267">
        <f t="shared" si="127"/>
        <v>558</v>
      </c>
      <c r="BE170" s="267">
        <f t="shared" si="128"/>
        <v>538</v>
      </c>
      <c r="BF170" s="267">
        <f t="shared" si="129"/>
        <v>523</v>
      </c>
      <c r="BG170" s="269">
        <f>AY170*VLOOKUP($B170,'Major Cities &amp; Towns'!$A$28:$B$345,2,FALSE)</f>
        <v>586</v>
      </c>
      <c r="BH170" s="269">
        <f>AZ170*VLOOKUP($B170,'Major Cities &amp; Towns'!$A$28:$B$345,2,FALSE)</f>
        <v>556</v>
      </c>
      <c r="BI170" s="269">
        <f>BA170*VLOOKUP($B170,'Major Cities &amp; Towns'!$A$28:$B$345,2,FALSE)</f>
        <v>535</v>
      </c>
      <c r="BJ170" s="269">
        <f>BB170*VLOOKUP($B170,'Major Cities &amp; Towns'!$A$28:$B$345,2,FALSE)</f>
        <v>576</v>
      </c>
      <c r="BK170" s="269">
        <f>BC170*VLOOKUP($B170,'Major Cities &amp; Towns'!$A$28:$B$345,2,FALSE)</f>
        <v>578</v>
      </c>
      <c r="BL170" s="269">
        <f>BD170*VLOOKUP($B170,'Major Cities &amp; Towns'!$A$28:$B$345,2,FALSE)</f>
        <v>558</v>
      </c>
      <c r="BM170" s="269">
        <f>BE170*VLOOKUP($B170,'Major Cities &amp; Towns'!$A$28:$B$345,2,FALSE)</f>
        <v>538</v>
      </c>
      <c r="BN170" s="269">
        <f>BF170*VLOOKUP($B170,'Major Cities &amp; Towns'!$A$28:$B$345,2,FALSE)</f>
        <v>523</v>
      </c>
      <c r="BO170" s="270">
        <f t="shared" si="130"/>
        <v>586</v>
      </c>
      <c r="BP170" s="270">
        <f t="shared" si="147"/>
        <v>556</v>
      </c>
      <c r="BQ170" s="270">
        <f t="shared" si="147"/>
        <v>535</v>
      </c>
      <c r="BR170" s="270">
        <f t="shared" si="147"/>
        <v>576</v>
      </c>
      <c r="BS170" s="270">
        <f t="shared" si="146"/>
        <v>578</v>
      </c>
      <c r="BT170" s="270">
        <f t="shared" si="146"/>
        <v>558</v>
      </c>
      <c r="BU170" s="270">
        <f t="shared" si="146"/>
        <v>538</v>
      </c>
      <c r="BV170" s="270">
        <f t="shared" si="146"/>
        <v>523</v>
      </c>
      <c r="BW170" s="39">
        <f>VLOOKUP($A170,NetAdditions!$A$2:$H$336,6,FALSE)</f>
        <v>690</v>
      </c>
      <c r="BX170" s="39">
        <f>VLOOKUP($A170,NetAdditions!$A$2:$H$336,7,FALSE)</f>
        <v>451</v>
      </c>
      <c r="BY170" s="39">
        <f>IF((VLOOKUP($C170,NetAdditions!$A$2:$H$336,8,FALSE))="",(AVERAGE(VLOOKUP($C170,NetAdditions!$A$2:$H$336,5,FALSE),VLOOKUP($C170,NetAdditions!$A$2:$H$336,6,FALSE),VLOOKUP($C170,NetAdditions!$A$2:$H$336,7,FALSE))),VLOOKUP($C170,NetAdditions!$A$2:$H$336,8,FALSE))</f>
        <v>844</v>
      </c>
      <c r="BZ170" s="39">
        <f t="shared" si="105"/>
        <v>661.66666666666663</v>
      </c>
      <c r="CA170" s="39">
        <f t="shared" si="105"/>
        <v>652.22222222222217</v>
      </c>
      <c r="CB170" s="39">
        <f t="shared" si="105"/>
        <v>719.29629629629619</v>
      </c>
      <c r="CC170" s="39">
        <f t="shared" si="105"/>
        <v>677.72839506172829</v>
      </c>
      <c r="CD170" s="39">
        <f t="shared" si="105"/>
        <v>683.08230452674889</v>
      </c>
      <c r="CE170" s="276">
        <f t="shared" si="106"/>
        <v>1677</v>
      </c>
      <c r="CF170" s="276">
        <f t="shared" si="107"/>
        <v>1667</v>
      </c>
      <c r="CG170" s="276">
        <f t="shared" si="108"/>
        <v>1689</v>
      </c>
      <c r="CH170" s="276">
        <f t="shared" si="109"/>
        <v>1712</v>
      </c>
      <c r="CI170" s="276">
        <f t="shared" si="110"/>
        <v>1674</v>
      </c>
      <c r="CJ170" s="276">
        <f t="shared" si="111"/>
        <v>1619</v>
      </c>
      <c r="CK170" s="276">
        <f t="shared" si="131"/>
        <v>1444.0833333333335</v>
      </c>
      <c r="CL170" s="276">
        <f t="shared" si="132"/>
        <v>1435.4722222222224</v>
      </c>
      <c r="CM170" s="276">
        <f t="shared" si="133"/>
        <v>1548.25</v>
      </c>
      <c r="CN170" s="276">
        <f t="shared" si="134"/>
        <v>1712</v>
      </c>
      <c r="CO170" s="276">
        <f t="shared" si="134"/>
        <v>1674</v>
      </c>
      <c r="CP170" s="276">
        <f t="shared" si="134"/>
        <v>1619</v>
      </c>
      <c r="CQ170" s="39">
        <f t="shared" si="112"/>
        <v>1985</v>
      </c>
      <c r="CR170" s="39">
        <f t="shared" si="113"/>
        <v>1956.6666666666665</v>
      </c>
      <c r="CS170" s="277">
        <f t="shared" si="114"/>
        <v>2157.8888888888887</v>
      </c>
      <c r="CT170" s="39">
        <f t="shared" si="115"/>
        <v>2033.1851851851848</v>
      </c>
      <c r="CU170" s="39">
        <f t="shared" si="116"/>
        <v>2049.2469135802467</v>
      </c>
      <c r="CV170" s="39">
        <f t="shared" si="117"/>
        <v>2080.1069958847734</v>
      </c>
      <c r="CW170" s="297">
        <f t="shared" si="118"/>
        <v>1.3745744128339776</v>
      </c>
      <c r="CX170" s="279" t="str">
        <f t="shared" si="135"/>
        <v>Pass</v>
      </c>
      <c r="CY170" s="278">
        <f t="shared" si="119"/>
        <v>1.3630822222652241</v>
      </c>
      <c r="CZ170" s="279" t="str">
        <f t="shared" si="136"/>
        <v>Pass</v>
      </c>
      <c r="DA170" s="278">
        <f t="shared" si="120"/>
        <v>1.3937599799056282</v>
      </c>
      <c r="DB170" s="292" t="str">
        <f t="shared" si="137"/>
        <v>Pass</v>
      </c>
      <c r="DC170" s="299">
        <f t="shared" si="138"/>
        <v>1.1876081689165798</v>
      </c>
      <c r="DD170" s="293" t="str">
        <f t="shared" si="139"/>
        <v>Pass</v>
      </c>
      <c r="DE170" s="299">
        <f t="shared" si="140"/>
        <v>1.2241618360694424</v>
      </c>
      <c r="DF170" s="293" t="str">
        <f t="shared" si="141"/>
        <v>Pass</v>
      </c>
      <c r="DG170" s="299">
        <f t="shared" si="142"/>
        <v>1.2848097565687298</v>
      </c>
      <c r="DH170" s="293" t="str">
        <f t="shared" si="143"/>
        <v>Pass</v>
      </c>
    </row>
    <row r="171" spans="1:112" ht="15" thickTop="1" thickBot="1">
      <c r="A171" s="38" t="s">
        <v>452</v>
      </c>
      <c r="B171" s="38" t="s">
        <v>453</v>
      </c>
      <c r="C171" s="38" t="s">
        <v>452</v>
      </c>
      <c r="D171" s="38" t="s">
        <v>113</v>
      </c>
      <c r="E171" s="38" t="str">
        <f>VLOOKUP(C171,PoliticalControl!A:K,11,FALSE)</f>
        <v>CON</v>
      </c>
      <c r="F171" s="38" t="str">
        <f>VLOOKUP(C171,UrbanRuralClassification!A:N,13,FALSE)</f>
        <v>Urban with City and Town</v>
      </c>
      <c r="G171" s="38" t="str">
        <f>VLOOKUP(C171,UrbanRuralClassification!A:N,14,FALSE)</f>
        <v>Predominantly Urban</v>
      </c>
      <c r="H171" s="258">
        <f>IF(ISBLANK((VLOOKUP($A171,'local-plan-data'!$C$1:$AD$566,27,FALSE)))=TRUE,"",VLOOKUP($A171,'local-plan-data'!$C$1:$AD$566,27,FALSE))</f>
        <v>43187</v>
      </c>
      <c r="I171" s="259">
        <f>VLOOKUP($A171,'local-plan-data'!$C$1:$AD$566,28,FALSE)</f>
        <v>964.11764705882354</v>
      </c>
      <c r="J171" s="260">
        <f t="shared" si="121"/>
        <v>964.11764705882354</v>
      </c>
      <c r="K171" s="259">
        <f t="shared" si="144"/>
        <v>964.11764705882354</v>
      </c>
      <c r="L171" s="259">
        <f t="shared" si="148"/>
        <v>964.11764705882354</v>
      </c>
      <c r="M171" s="259">
        <f t="shared" si="148"/>
        <v>964.11764705882354</v>
      </c>
      <c r="N171" s="259">
        <f t="shared" si="148"/>
        <v>964.11764705882354</v>
      </c>
      <c r="O171" s="259">
        <f t="shared" si="148"/>
        <v>964.11764705882354</v>
      </c>
      <c r="P171" s="259" t="str">
        <f t="shared" si="148"/>
        <v>-</v>
      </c>
      <c r="Q171" s="259" t="str">
        <f t="shared" si="148"/>
        <v>-</v>
      </c>
      <c r="R171" s="259" t="str">
        <f t="shared" si="148"/>
        <v>-</v>
      </c>
      <c r="S171" s="259">
        <f t="shared" si="145"/>
        <v>1822</v>
      </c>
      <c r="T171" s="259">
        <f t="shared" si="149"/>
        <v>1457</v>
      </c>
      <c r="U171" s="259">
        <f t="shared" si="149"/>
        <v>1091</v>
      </c>
      <c r="V171" s="259">
        <f t="shared" si="149"/>
        <v>726</v>
      </c>
      <c r="W171" s="259">
        <f t="shared" si="149"/>
        <v>361</v>
      </c>
      <c r="X171" s="259">
        <f t="shared" si="149"/>
        <v>-4</v>
      </c>
      <c r="Y171" s="259">
        <f t="shared" si="149"/>
        <v>-370</v>
      </c>
      <c r="Z171" s="259">
        <f t="shared" si="149"/>
        <v>-735</v>
      </c>
      <c r="AA171" s="267">
        <f>(VLOOKUP(A171,Hshldprojections2014!$A$2:$AW$319,40, FALSE)-VLOOKUP(A171,Hshldprojections2014!$A$2:$AW$319,30, FALSE))/10</f>
        <v>720</v>
      </c>
      <c r="AB171" s="267">
        <f>(VLOOKUP(A171,Hshldprojections2014!$A$2:$AW$319,41, FALSE)-VLOOKUP(A171,Hshldprojections2014!$A$2:$AW$319,31, FALSE))/10</f>
        <v>714.1</v>
      </c>
      <c r="AC171" s="267">
        <f>(VLOOKUP(A171,Hshldprojections2014!$A$2:$AW$319,42, FALSE)-VLOOKUP(A171,Hshldprojections2014!$A$2:$AW$319,32, FALSE))/10</f>
        <v>712.7</v>
      </c>
      <c r="AD171" s="267">
        <f>IF(IndividualLATest!$J$7=2014,(VLOOKUP($A171,Hshldprojections2014!$A$2:$AY$326,43,FALSE)-VLOOKUP($A171,Hshldprojections2014!$A$2:$AY$326,33,FALSE))/10,IF(IndividualLATest!$J$7=2016,(VLOOKUP($A171,Hshldprojections2016!$A$1:$AQ$322,33,FALSE)-VLOOKUP($A171,Hshldprojections2016!$A$1:$AQ$322,23,FALSE))/10,(VLOOKUP($A171,Hshldprojections2018!$A$1:$AQ$327,33,FALSE)-VLOOKUP($A171,Hshldprojections2018!$A$1:$AQ$327,23,FALSE))/10))</f>
        <v>494.8</v>
      </c>
      <c r="AE171" s="267">
        <f>IF(IndividualLATest!$J$7=2014,(VLOOKUP($A171,Hshldprojections2014!$A$2:$AY$326,44,FALSE)-VLOOKUP($A171,Hshldprojections2014!$A$2:$AY$326,34,FALSE))/10,IF(IndividualLATest!$J$7=2016,(VLOOKUP($A171,Hshldprojections2016!$A$1:$AQ$322,34,FALSE)-VLOOKUP($A171,Hshldprojections2016!$A$1:$AQ$322,24,FALSE))/10,(VLOOKUP($A171,Hshldprojections2018!$A$1:$AQ$327,34,FALSE)-VLOOKUP($A171,Hshldprojections2018!$A$1:$AQ$327,24,FALSE))/10))</f>
        <v>478.3</v>
      </c>
      <c r="AF171" s="267">
        <f>IF(IndividualLATest!$J$7=2014,(VLOOKUP($A171,Hshldprojections2014!$A$2:$AY$326,45,FALSE)-VLOOKUP($A171,Hshldprojections2014!$A$2:$AY$326,35,FALSE))/10,IF(IndividualLATest!$J$7=2016,(VLOOKUP($A171,Hshldprojections2016!$A$1:$AQ$322,35,FALSE)-VLOOKUP($A171,Hshldprojections2016!$A$1:$AQ$322,25,FALSE))/10,(VLOOKUP($A171,Hshldprojections2018!$A$1:$AQ$327,35,FALSE)-VLOOKUP($A171,Hshldprojections2018!$A$1:$AQ$327,25,FALSE))/10))</f>
        <v>462.5</v>
      </c>
      <c r="AG171" s="267">
        <f>IF(IndividualLATest!$J$7=2014,(VLOOKUP($A171,Hshldprojections2014!$A$2:$AY$326,46,FALSE)-VLOOKUP($A171,Hshldprojections2014!$A$2:$AY$326,36,FALSE))/10,IF(IndividualLATest!$J$7=2016,(VLOOKUP($A171,Hshldprojections2016!$A$1:$AQ$322,36,FALSE)-VLOOKUP($A171,Hshldprojections2016!$A$1:$AQ$322,26,FALSE))/10,(VLOOKUP($A171,Hshldprojections2018!$A$1:$AQ$327,36,FALSE)-VLOOKUP($A171,Hshldprojections2018!$A$1:$AQ$327,26,FALSE))/10))</f>
        <v>445.9</v>
      </c>
      <c r="AH171" s="267">
        <f>IF(IndividualLATest!$J$7=2014,(VLOOKUP($A171,Hshldprojections2014!$A$2:$AY$326,47,FALSE)-VLOOKUP($A171,Hshldprojections2014!$A$2:$AY$326,37,FALSE))/10,IF(IndividualLATest!$J$7=2016,(VLOOKUP($A171,Hshldprojections2016!$A$1:$AQ$322,37,FALSE)-VLOOKUP($A171,Hshldprojections2016!$A$1:$AQ$322,27,FALSE))/10,(VLOOKUP($A171,Hshldprojections2018!$A$1:$AQ$327,37,FALSE)-VLOOKUP($A171,Hshldprojections2018!$A$1:$AQ$327,27,FALSE))/10))</f>
        <v>433.4</v>
      </c>
      <c r="AI171" s="268">
        <f>IF(ISNUMBER('Sensitivity Tests'!$C$30),'Sensitivity Tests'!$C$30,VLOOKUP($A171,AffordabilityRatio!$A$2:$I$321,5,FALSE))</f>
        <v>12.6</v>
      </c>
      <c r="AJ171" s="268">
        <f>IF(ISNUMBER('Sensitivity Tests'!$C$30),'Sensitivity Tests'!$C$30,VLOOKUP($A171,AffordabilityRatio!$A$2:$I$321,6,FALSE))</f>
        <v>12.68</v>
      </c>
      <c r="AK171" s="268">
        <f>IF(ISNUMBER('Sensitivity Tests'!$C$30),'Sensitivity Tests'!$C$30,VLOOKUP($A171,AffordabilityRatio!$A$2:$I$321,7,FALSE))</f>
        <v>12.84</v>
      </c>
      <c r="AL171" s="268">
        <f>IF(ISNUMBER('Sensitivity Tests'!$C$30),'Sensitivity Tests'!$C$30,IF((VLOOKUP($A171,AffordabilityRatio!$A$2:$I$321,8,FALSE))="",AK171,VLOOKUP($A171,AffordabilityRatio!$A$2:$I$321,8,FALSE)))</f>
        <v>12.48</v>
      </c>
      <c r="AM171" s="268">
        <f>IF(ISNUMBER('Sensitivity Tests'!$C$30),'Sensitivity Tests'!$C$30,IF((VLOOKUP($A171,AffordabilityRatio!$A$2:$I$321,9,FALSE))="",AL171,VLOOKUP($A171,AffordabilityRatio!$A$2:$I$321,9,FALSE)))</f>
        <v>13.39</v>
      </c>
      <c r="AN171" s="268">
        <f>IF(ISNUMBER('Sensitivity Tests'!$C$30),'Sensitivity Tests'!$C$30,IF((VLOOKUP($A171,AffordabilityRatio!$A$2:$I$321,9,FALSE))="",AM171,VLOOKUP($A171,AffordabilityRatio!$A$2:$I$321,9,FALSE)))</f>
        <v>13.39</v>
      </c>
      <c r="AO171" s="268">
        <f>IF(ISNUMBER('Sensitivity Tests'!$C$30),'Sensitivity Tests'!$C$30,IF((VLOOKUP($A171,AffordabilityRatio!$A$2:$I$321,9,FALSE))="",AN171,VLOOKUP($A171,AffordabilityRatio!$A$2:$I$321,9,FALSE)))</f>
        <v>13.39</v>
      </c>
      <c r="AP171" s="268">
        <f>IF(ISNUMBER('Sensitivity Tests'!$C$30),'Sensitivity Tests'!$C$30,IF((VLOOKUP($A171,AffordabilityRatio!$A$2:$I$321,9,FALSE))="",AO171,VLOOKUP($A171,AffordabilityRatio!$A$2:$I$321,9,FALSE)))</f>
        <v>13.39</v>
      </c>
      <c r="AQ171" s="267">
        <f t="shared" si="104"/>
        <v>1107</v>
      </c>
      <c r="AR171" s="267">
        <f t="shared" si="104"/>
        <v>1101</v>
      </c>
      <c r="AS171" s="267">
        <f t="shared" si="104"/>
        <v>1106</v>
      </c>
      <c r="AT171" s="267">
        <f t="shared" si="103"/>
        <v>757</v>
      </c>
      <c r="AU171" s="267">
        <f t="shared" si="103"/>
        <v>759</v>
      </c>
      <c r="AV171" s="267">
        <f t="shared" si="103"/>
        <v>734</v>
      </c>
      <c r="AW171" s="267">
        <f t="shared" si="103"/>
        <v>708</v>
      </c>
      <c r="AX171" s="267">
        <f t="shared" si="103"/>
        <v>688</v>
      </c>
      <c r="AY171" s="267">
        <f t="shared" si="122"/>
        <v>1107</v>
      </c>
      <c r="AZ171" s="267">
        <f t="shared" si="123"/>
        <v>1101</v>
      </c>
      <c r="BA171" s="267">
        <f t="shared" si="124"/>
        <v>1106</v>
      </c>
      <c r="BB171" s="267">
        <f t="shared" si="125"/>
        <v>757</v>
      </c>
      <c r="BC171" s="267">
        <f t="shared" si="126"/>
        <v>759</v>
      </c>
      <c r="BD171" s="267">
        <f t="shared" si="127"/>
        <v>734</v>
      </c>
      <c r="BE171" s="267">
        <f t="shared" si="128"/>
        <v>708</v>
      </c>
      <c r="BF171" s="267">
        <f t="shared" si="129"/>
        <v>688</v>
      </c>
      <c r="BG171" s="269">
        <f>AY171*VLOOKUP($B171,'Major Cities &amp; Towns'!$A$28:$B$345,2,FALSE)</f>
        <v>1107</v>
      </c>
      <c r="BH171" s="269">
        <f>AZ171*VLOOKUP($B171,'Major Cities &amp; Towns'!$A$28:$B$345,2,FALSE)</f>
        <v>1101</v>
      </c>
      <c r="BI171" s="269">
        <f>BA171*VLOOKUP($B171,'Major Cities &amp; Towns'!$A$28:$B$345,2,FALSE)</f>
        <v>1106</v>
      </c>
      <c r="BJ171" s="269">
        <f>BB171*VLOOKUP($B171,'Major Cities &amp; Towns'!$A$28:$B$345,2,FALSE)</f>
        <v>757</v>
      </c>
      <c r="BK171" s="269">
        <f>BC171*VLOOKUP($B171,'Major Cities &amp; Towns'!$A$28:$B$345,2,FALSE)</f>
        <v>759</v>
      </c>
      <c r="BL171" s="269">
        <f>BD171*VLOOKUP($B171,'Major Cities &amp; Towns'!$A$28:$B$345,2,FALSE)</f>
        <v>734</v>
      </c>
      <c r="BM171" s="269">
        <f>BE171*VLOOKUP($B171,'Major Cities &amp; Towns'!$A$28:$B$345,2,FALSE)</f>
        <v>708</v>
      </c>
      <c r="BN171" s="269">
        <f>BF171*VLOOKUP($B171,'Major Cities &amp; Towns'!$A$28:$B$345,2,FALSE)</f>
        <v>688</v>
      </c>
      <c r="BO171" s="270">
        <f t="shared" si="130"/>
        <v>964.11764705882354</v>
      </c>
      <c r="BP171" s="270">
        <f t="shared" si="147"/>
        <v>964.11764705882354</v>
      </c>
      <c r="BQ171" s="270">
        <f t="shared" si="147"/>
        <v>964.11764705882354</v>
      </c>
      <c r="BR171" s="270">
        <f t="shared" si="147"/>
        <v>757</v>
      </c>
      <c r="BS171" s="270">
        <f t="shared" si="146"/>
        <v>759.00000000000011</v>
      </c>
      <c r="BT171" s="270">
        <f t="shared" si="146"/>
        <v>734</v>
      </c>
      <c r="BU171" s="270">
        <f t="shared" si="146"/>
        <v>708</v>
      </c>
      <c r="BV171" s="270">
        <f t="shared" si="146"/>
        <v>688</v>
      </c>
      <c r="BW171" s="39">
        <f>VLOOKUP($A171,NetAdditions!$A$2:$H$336,6,FALSE)</f>
        <v>665</v>
      </c>
      <c r="BX171" s="39">
        <f>VLOOKUP($A171,NetAdditions!$A$2:$H$336,7,FALSE)</f>
        <v>1048</v>
      </c>
      <c r="BY171" s="39">
        <f>IF((VLOOKUP($C171,NetAdditions!$A$2:$H$336,8,FALSE))="",(AVERAGE(VLOOKUP($C171,NetAdditions!$A$2:$H$336,5,FALSE),VLOOKUP($C171,NetAdditions!$A$2:$H$336,6,FALSE),VLOOKUP($C171,NetAdditions!$A$2:$H$336,7,FALSE))),VLOOKUP($C171,NetAdditions!$A$2:$H$336,8,FALSE))</f>
        <v>1098</v>
      </c>
      <c r="BZ171" s="39">
        <f t="shared" ref="BZ171:CD221" si="150">AVERAGE(BW171:BY171)</f>
        <v>937</v>
      </c>
      <c r="CA171" s="39">
        <f t="shared" si="150"/>
        <v>1027.6666666666667</v>
      </c>
      <c r="CB171" s="39">
        <f t="shared" si="150"/>
        <v>1020.888888888889</v>
      </c>
      <c r="CC171" s="39">
        <f t="shared" si="150"/>
        <v>995.18518518518522</v>
      </c>
      <c r="CD171" s="39">
        <f t="shared" si="150"/>
        <v>1014.5802469135803</v>
      </c>
      <c r="CE171" s="276">
        <f t="shared" si="106"/>
        <v>2892.3529411764707</v>
      </c>
      <c r="CF171" s="276">
        <f t="shared" si="107"/>
        <v>2685.2352941176468</v>
      </c>
      <c r="CG171" s="276">
        <f t="shared" si="108"/>
        <v>2480.1176470588234</v>
      </c>
      <c r="CH171" s="276">
        <f t="shared" si="109"/>
        <v>2250</v>
      </c>
      <c r="CI171" s="276">
        <f t="shared" si="110"/>
        <v>2201</v>
      </c>
      <c r="CJ171" s="276">
        <f t="shared" si="111"/>
        <v>2130</v>
      </c>
      <c r="CK171" s="276">
        <f t="shared" si="131"/>
        <v>2490.6372549019611</v>
      </c>
      <c r="CL171" s="276">
        <f t="shared" si="132"/>
        <v>2312.2859477124184</v>
      </c>
      <c r="CM171" s="276">
        <f t="shared" si="133"/>
        <v>2273.4411764705878</v>
      </c>
      <c r="CN171" s="276">
        <f t="shared" si="134"/>
        <v>2250</v>
      </c>
      <c r="CO171" s="276">
        <f t="shared" si="134"/>
        <v>2201</v>
      </c>
      <c r="CP171" s="276">
        <f t="shared" si="134"/>
        <v>2130</v>
      </c>
      <c r="CQ171" s="39">
        <f t="shared" si="112"/>
        <v>2811</v>
      </c>
      <c r="CR171" s="39">
        <f t="shared" si="113"/>
        <v>3083</v>
      </c>
      <c r="CS171" s="277">
        <f t="shared" si="114"/>
        <v>3062.666666666667</v>
      </c>
      <c r="CT171" s="39">
        <f t="shared" si="115"/>
        <v>2985.5555555555557</v>
      </c>
      <c r="CU171" s="39">
        <f t="shared" si="116"/>
        <v>3043.7407407407409</v>
      </c>
      <c r="CV171" s="39">
        <f t="shared" si="117"/>
        <v>3030.6543209876545</v>
      </c>
      <c r="CW171" s="297">
        <f t="shared" si="118"/>
        <v>1.1286268180834103</v>
      </c>
      <c r="CX171" s="279" t="str">
        <f t="shared" si="135"/>
        <v>Pass</v>
      </c>
      <c r="CY171" s="278">
        <f t="shared" si="119"/>
        <v>1.3333126048056736</v>
      </c>
      <c r="CZ171" s="279" t="str">
        <f t="shared" si="136"/>
        <v>Pass</v>
      </c>
      <c r="DA171" s="278">
        <f t="shared" si="120"/>
        <v>1.3471501696917951</v>
      </c>
      <c r="DB171" s="292" t="str">
        <f t="shared" si="137"/>
        <v>Pass</v>
      </c>
      <c r="DC171" s="299">
        <f t="shared" si="138"/>
        <v>1.3269135802469136</v>
      </c>
      <c r="DD171" s="293" t="str">
        <f t="shared" si="139"/>
        <v>Pass</v>
      </c>
      <c r="DE171" s="299">
        <f t="shared" si="140"/>
        <v>1.3828899321857069</v>
      </c>
      <c r="DF171" s="293" t="str">
        <f t="shared" si="141"/>
        <v>Pass</v>
      </c>
      <c r="DG171" s="299">
        <f t="shared" si="142"/>
        <v>1.4228424042195562</v>
      </c>
      <c r="DH171" s="293" t="str">
        <f t="shared" si="143"/>
        <v>Pass</v>
      </c>
    </row>
    <row r="172" spans="1:112" ht="15" thickTop="1" thickBot="1">
      <c r="A172" s="38" t="s">
        <v>454</v>
      </c>
      <c r="B172" s="38" t="s">
        <v>455</v>
      </c>
      <c r="C172" s="38" t="s">
        <v>454</v>
      </c>
      <c r="D172" s="38" t="s">
        <v>259</v>
      </c>
      <c r="E172" s="38" t="str">
        <f>VLOOKUP(C172,PoliticalControl!A:K,11,FALSE)</f>
        <v>NOC</v>
      </c>
      <c r="F172" s="38" t="str">
        <f>VLOOKUP(C172,UrbanRuralClassification!A:N,13,FALSE)</f>
        <v>Urban with City and Town</v>
      </c>
      <c r="G172" s="38" t="str">
        <f>VLOOKUP(C172,UrbanRuralClassification!A:N,14,FALSE)</f>
        <v>Predominantly Urban</v>
      </c>
      <c r="H172" s="258">
        <f>IF(ISBLANK((VLOOKUP($A172,'local-plan-data'!$C$1:$AD$566,27,FALSE)))=TRUE,"",VLOOKUP($A172,'local-plan-data'!$C$1:$AD$566,27,FALSE))</f>
        <v>41969</v>
      </c>
      <c r="I172" s="259">
        <f>VLOOKUP($A172,'local-plan-data'!$C$1:$AD$566,28,FALSE)</f>
        <v>410</v>
      </c>
      <c r="J172" s="260">
        <f t="shared" si="121"/>
        <v>410</v>
      </c>
      <c r="K172" s="259">
        <f t="shared" si="144"/>
        <v>410</v>
      </c>
      <c r="L172" s="259">
        <f t="shared" si="148"/>
        <v>410</v>
      </c>
      <c r="M172" s="259" t="str">
        <f t="shared" si="148"/>
        <v>-</v>
      </c>
      <c r="N172" s="259" t="str">
        <f t="shared" si="148"/>
        <v>-</v>
      </c>
      <c r="O172" s="259" t="str">
        <f t="shared" si="148"/>
        <v>-</v>
      </c>
      <c r="P172" s="259" t="str">
        <f t="shared" si="148"/>
        <v>-</v>
      </c>
      <c r="Q172" s="259" t="str">
        <f t="shared" si="148"/>
        <v>-</v>
      </c>
      <c r="R172" s="259" t="str">
        <f t="shared" si="148"/>
        <v>-</v>
      </c>
      <c r="S172" s="259">
        <f t="shared" si="145"/>
        <v>604</v>
      </c>
      <c r="T172" s="259">
        <f t="shared" si="149"/>
        <v>239</v>
      </c>
      <c r="U172" s="259">
        <f t="shared" si="149"/>
        <v>-127</v>
      </c>
      <c r="V172" s="259">
        <f t="shared" si="149"/>
        <v>-492</v>
      </c>
      <c r="W172" s="259">
        <f t="shared" si="149"/>
        <v>-857</v>
      </c>
      <c r="X172" s="259">
        <f t="shared" si="149"/>
        <v>-1222</v>
      </c>
      <c r="Y172" s="259">
        <f t="shared" si="149"/>
        <v>-1588</v>
      </c>
      <c r="Z172" s="259">
        <f t="shared" si="149"/>
        <v>-1953</v>
      </c>
      <c r="AA172" s="267">
        <f>(VLOOKUP(A172,Hshldprojections2014!$A$2:$AW$319,40, FALSE)-VLOOKUP(A172,Hshldprojections2014!$A$2:$AW$319,30, FALSE))/10</f>
        <v>241</v>
      </c>
      <c r="AB172" s="267">
        <f>(VLOOKUP(A172,Hshldprojections2014!$A$2:$AW$319,41, FALSE)-VLOOKUP(A172,Hshldprojections2014!$A$2:$AW$319,31, FALSE))/10</f>
        <v>237.7</v>
      </c>
      <c r="AC172" s="267">
        <f>(VLOOKUP(A172,Hshldprojections2014!$A$2:$AW$319,42, FALSE)-VLOOKUP(A172,Hshldprojections2014!$A$2:$AW$319,32, FALSE))/10</f>
        <v>239.6</v>
      </c>
      <c r="AD172" s="267">
        <f>IF(IndividualLATest!$J$7=2014,(VLOOKUP($A172,Hshldprojections2014!$A$2:$AY$326,43,FALSE)-VLOOKUP($A172,Hshldprojections2014!$A$2:$AY$326,33,FALSE))/10,IF(IndividualLATest!$J$7=2016,(VLOOKUP($A172,Hshldprojections2016!$A$1:$AQ$322,33,FALSE)-VLOOKUP($A172,Hshldprojections2016!$A$1:$AQ$322,23,FALSE))/10,(VLOOKUP($A172,Hshldprojections2018!$A$1:$AQ$327,33,FALSE)-VLOOKUP($A172,Hshldprojections2018!$A$1:$AQ$327,23,FALSE))/10))</f>
        <v>41.7</v>
      </c>
      <c r="AE172" s="267">
        <f>IF(IndividualLATest!$J$7=2014,(VLOOKUP($A172,Hshldprojections2014!$A$2:$AY$326,44,FALSE)-VLOOKUP($A172,Hshldprojections2014!$A$2:$AY$326,34,FALSE))/10,IF(IndividualLATest!$J$7=2016,(VLOOKUP($A172,Hshldprojections2016!$A$1:$AQ$322,34,FALSE)-VLOOKUP($A172,Hshldprojections2016!$A$1:$AQ$322,24,FALSE))/10,(VLOOKUP($A172,Hshldprojections2018!$A$1:$AQ$327,34,FALSE)-VLOOKUP($A172,Hshldprojections2018!$A$1:$AQ$327,24,FALSE))/10))</f>
        <v>50</v>
      </c>
      <c r="AF172" s="267">
        <f>IF(IndividualLATest!$J$7=2014,(VLOOKUP($A172,Hshldprojections2014!$A$2:$AY$326,45,FALSE)-VLOOKUP($A172,Hshldprojections2014!$A$2:$AY$326,35,FALSE))/10,IF(IndividualLATest!$J$7=2016,(VLOOKUP($A172,Hshldprojections2016!$A$1:$AQ$322,35,FALSE)-VLOOKUP($A172,Hshldprojections2016!$A$1:$AQ$322,25,FALSE))/10,(VLOOKUP($A172,Hshldprojections2018!$A$1:$AQ$327,35,FALSE)-VLOOKUP($A172,Hshldprojections2018!$A$1:$AQ$327,25,FALSE))/10))</f>
        <v>59.5</v>
      </c>
      <c r="AG172" s="267">
        <f>IF(IndividualLATest!$J$7=2014,(VLOOKUP($A172,Hshldprojections2014!$A$2:$AY$326,46,FALSE)-VLOOKUP($A172,Hshldprojections2014!$A$2:$AY$326,36,FALSE))/10,IF(IndividualLATest!$J$7=2016,(VLOOKUP($A172,Hshldprojections2016!$A$1:$AQ$322,36,FALSE)-VLOOKUP($A172,Hshldprojections2016!$A$1:$AQ$322,26,FALSE))/10,(VLOOKUP($A172,Hshldprojections2018!$A$1:$AQ$327,36,FALSE)-VLOOKUP($A172,Hshldprojections2018!$A$1:$AQ$327,26,FALSE))/10))</f>
        <v>67.2</v>
      </c>
      <c r="AH172" s="267">
        <f>IF(IndividualLATest!$J$7=2014,(VLOOKUP($A172,Hshldprojections2014!$A$2:$AY$326,47,FALSE)-VLOOKUP($A172,Hshldprojections2014!$A$2:$AY$326,37,FALSE))/10,IF(IndividualLATest!$J$7=2016,(VLOOKUP($A172,Hshldprojections2016!$A$1:$AQ$322,37,FALSE)-VLOOKUP($A172,Hshldprojections2016!$A$1:$AQ$322,27,FALSE))/10,(VLOOKUP($A172,Hshldprojections2018!$A$1:$AQ$327,37,FALSE)-VLOOKUP($A172,Hshldprojections2018!$A$1:$AQ$327,27,FALSE))/10))</f>
        <v>76.2</v>
      </c>
      <c r="AI172" s="268">
        <f>IF(ISNUMBER('Sensitivity Tests'!$C$30),'Sensitivity Tests'!$C$30,VLOOKUP($A172,AffordabilityRatio!$A$2:$I$321,5,FALSE))</f>
        <v>4.88</v>
      </c>
      <c r="AJ172" s="268">
        <f>IF(ISNUMBER('Sensitivity Tests'!$C$30),'Sensitivity Tests'!$C$30,VLOOKUP($A172,AffordabilityRatio!$A$2:$I$321,6,FALSE))</f>
        <v>5.28</v>
      </c>
      <c r="AK172" s="268">
        <f>IF(ISNUMBER('Sensitivity Tests'!$C$30),'Sensitivity Tests'!$C$30,VLOOKUP($A172,AffordabilityRatio!$A$2:$I$321,7,FALSE))</f>
        <v>5.15</v>
      </c>
      <c r="AL172" s="268">
        <f>IF(ISNUMBER('Sensitivity Tests'!$C$30),'Sensitivity Tests'!$C$30,IF((VLOOKUP($A172,AffordabilityRatio!$A$2:$I$321,8,FALSE))="",AK172,VLOOKUP($A172,AffordabilityRatio!$A$2:$I$321,8,FALSE)))</f>
        <v>4.96</v>
      </c>
      <c r="AM172" s="268">
        <f>IF(ISNUMBER('Sensitivity Tests'!$C$30),'Sensitivity Tests'!$C$30,IF((VLOOKUP($A172,AffordabilityRatio!$A$2:$I$321,9,FALSE))="",AL172,VLOOKUP($A172,AffordabilityRatio!$A$2:$I$321,9,FALSE)))</f>
        <v>5.12</v>
      </c>
      <c r="AN172" s="268">
        <f>IF(ISNUMBER('Sensitivity Tests'!$C$30),'Sensitivity Tests'!$C$30,IF((VLOOKUP($A172,AffordabilityRatio!$A$2:$I$321,9,FALSE))="",AM172,VLOOKUP($A172,AffordabilityRatio!$A$2:$I$321,9,FALSE)))</f>
        <v>5.12</v>
      </c>
      <c r="AO172" s="268">
        <f>IF(ISNUMBER('Sensitivity Tests'!$C$30),'Sensitivity Tests'!$C$30,IF((VLOOKUP($A172,AffordabilityRatio!$A$2:$I$321,9,FALSE))="",AN172,VLOOKUP($A172,AffordabilityRatio!$A$2:$I$321,9,FALSE)))</f>
        <v>5.12</v>
      </c>
      <c r="AP172" s="268">
        <f>IF(ISNUMBER('Sensitivity Tests'!$C$30),'Sensitivity Tests'!$C$30,IF((VLOOKUP($A172,AffordabilityRatio!$A$2:$I$321,9,FALSE))="",AO172,VLOOKUP($A172,AffordabilityRatio!$A$2:$I$321,9,FALSE)))</f>
        <v>5.12</v>
      </c>
      <c r="AQ172" s="267">
        <f t="shared" si="104"/>
        <v>254</v>
      </c>
      <c r="AR172" s="267">
        <f t="shared" si="104"/>
        <v>257</v>
      </c>
      <c r="AS172" s="267">
        <f t="shared" si="104"/>
        <v>257</v>
      </c>
      <c r="AT172" s="267">
        <f t="shared" si="103"/>
        <v>44</v>
      </c>
      <c r="AU172" s="267">
        <f t="shared" si="103"/>
        <v>54</v>
      </c>
      <c r="AV172" s="267">
        <f t="shared" si="103"/>
        <v>64</v>
      </c>
      <c r="AW172" s="267">
        <f t="shared" si="103"/>
        <v>72</v>
      </c>
      <c r="AX172" s="267">
        <f t="shared" si="103"/>
        <v>82</v>
      </c>
      <c r="AY172" s="267">
        <f t="shared" si="122"/>
        <v>254</v>
      </c>
      <c r="AZ172" s="267">
        <f t="shared" si="123"/>
        <v>257</v>
      </c>
      <c r="BA172" s="267">
        <f t="shared" si="124"/>
        <v>257</v>
      </c>
      <c r="BB172" s="267">
        <f t="shared" si="125"/>
        <v>44</v>
      </c>
      <c r="BC172" s="267">
        <f t="shared" si="126"/>
        <v>54</v>
      </c>
      <c r="BD172" s="267">
        <f t="shared" si="127"/>
        <v>64</v>
      </c>
      <c r="BE172" s="267">
        <f t="shared" si="128"/>
        <v>72</v>
      </c>
      <c r="BF172" s="267">
        <f t="shared" si="129"/>
        <v>82</v>
      </c>
      <c r="BG172" s="269">
        <f>AY172*VLOOKUP($B172,'Major Cities &amp; Towns'!$A$28:$B$345,2,FALSE)</f>
        <v>254</v>
      </c>
      <c r="BH172" s="269">
        <f>AZ172*VLOOKUP($B172,'Major Cities &amp; Towns'!$A$28:$B$345,2,FALSE)</f>
        <v>257</v>
      </c>
      <c r="BI172" s="269">
        <f>BA172*VLOOKUP($B172,'Major Cities &amp; Towns'!$A$28:$B$345,2,FALSE)</f>
        <v>257</v>
      </c>
      <c r="BJ172" s="269">
        <f>BB172*VLOOKUP($B172,'Major Cities &amp; Towns'!$A$28:$B$345,2,FALSE)</f>
        <v>44</v>
      </c>
      <c r="BK172" s="269">
        <f>BC172*VLOOKUP($B172,'Major Cities &amp; Towns'!$A$28:$B$345,2,FALSE)</f>
        <v>54</v>
      </c>
      <c r="BL172" s="269">
        <f>BD172*VLOOKUP($B172,'Major Cities &amp; Towns'!$A$28:$B$345,2,FALSE)</f>
        <v>64</v>
      </c>
      <c r="BM172" s="269">
        <f>BE172*VLOOKUP($B172,'Major Cities &amp; Towns'!$A$28:$B$345,2,FALSE)</f>
        <v>72</v>
      </c>
      <c r="BN172" s="269">
        <f>BF172*VLOOKUP($B172,'Major Cities &amp; Towns'!$A$28:$B$345,2,FALSE)</f>
        <v>82</v>
      </c>
      <c r="BO172" s="270">
        <f t="shared" si="130"/>
        <v>254</v>
      </c>
      <c r="BP172" s="270">
        <f t="shared" si="147"/>
        <v>257</v>
      </c>
      <c r="BQ172" s="270">
        <f t="shared" si="147"/>
        <v>257</v>
      </c>
      <c r="BR172" s="270">
        <f t="shared" si="147"/>
        <v>44</v>
      </c>
      <c r="BS172" s="270">
        <f t="shared" si="146"/>
        <v>54</v>
      </c>
      <c r="BT172" s="270">
        <f t="shared" si="146"/>
        <v>64</v>
      </c>
      <c r="BU172" s="270">
        <f t="shared" si="146"/>
        <v>72</v>
      </c>
      <c r="BV172" s="270">
        <f t="shared" si="146"/>
        <v>82</v>
      </c>
      <c r="BW172" s="39">
        <f>VLOOKUP($A172,NetAdditions!$A$2:$H$336,6,FALSE)</f>
        <v>543</v>
      </c>
      <c r="BX172" s="39">
        <f>VLOOKUP($A172,NetAdditions!$A$2:$H$336,7,FALSE)</f>
        <v>645</v>
      </c>
      <c r="BY172" s="39">
        <f>IF((VLOOKUP($C172,NetAdditions!$A$2:$H$336,8,FALSE))="",(AVERAGE(VLOOKUP($C172,NetAdditions!$A$2:$H$336,5,FALSE),VLOOKUP($C172,NetAdditions!$A$2:$H$336,6,FALSE),VLOOKUP($C172,NetAdditions!$A$2:$H$336,7,FALSE))),VLOOKUP($C172,NetAdditions!$A$2:$H$336,8,FALSE))</f>
        <v>456</v>
      </c>
      <c r="BZ172" s="39">
        <f t="shared" si="150"/>
        <v>548</v>
      </c>
      <c r="CA172" s="39">
        <f t="shared" si="150"/>
        <v>549.66666666666663</v>
      </c>
      <c r="CB172" s="39">
        <f t="shared" si="150"/>
        <v>517.8888888888888</v>
      </c>
      <c r="CC172" s="39">
        <f t="shared" si="150"/>
        <v>538.51851851851836</v>
      </c>
      <c r="CD172" s="39">
        <f t="shared" si="150"/>
        <v>535.35802469135797</v>
      </c>
      <c r="CE172" s="276">
        <f t="shared" si="106"/>
        <v>768</v>
      </c>
      <c r="CF172" s="276">
        <f t="shared" si="107"/>
        <v>558</v>
      </c>
      <c r="CG172" s="276">
        <f t="shared" si="108"/>
        <v>355</v>
      </c>
      <c r="CH172" s="276">
        <f t="shared" si="109"/>
        <v>162</v>
      </c>
      <c r="CI172" s="276">
        <f t="shared" si="110"/>
        <v>190</v>
      </c>
      <c r="CJ172" s="276">
        <f t="shared" si="111"/>
        <v>218</v>
      </c>
      <c r="CK172" s="276">
        <f t="shared" si="131"/>
        <v>661.33333333333337</v>
      </c>
      <c r="CL172" s="276">
        <f t="shared" si="132"/>
        <v>480.5</v>
      </c>
      <c r="CM172" s="276">
        <f t="shared" si="133"/>
        <v>325.41666666666663</v>
      </c>
      <c r="CN172" s="276">
        <f t="shared" si="134"/>
        <v>162</v>
      </c>
      <c r="CO172" s="276">
        <f t="shared" si="134"/>
        <v>190</v>
      </c>
      <c r="CP172" s="276">
        <f t="shared" si="134"/>
        <v>218</v>
      </c>
      <c r="CQ172" s="39">
        <f t="shared" si="112"/>
        <v>1644</v>
      </c>
      <c r="CR172" s="39">
        <f t="shared" si="113"/>
        <v>1649</v>
      </c>
      <c r="CS172" s="277">
        <f t="shared" si="114"/>
        <v>1553.6666666666665</v>
      </c>
      <c r="CT172" s="39">
        <f t="shared" si="115"/>
        <v>1615.5555555555552</v>
      </c>
      <c r="CU172" s="39">
        <f t="shared" si="116"/>
        <v>1606.0740740740739</v>
      </c>
      <c r="CV172" s="39">
        <f t="shared" si="117"/>
        <v>1591.7654320987651</v>
      </c>
      <c r="CW172" s="297">
        <f t="shared" si="118"/>
        <v>2.4858870967741935</v>
      </c>
      <c r="CX172" s="279" t="str">
        <f t="shared" si="135"/>
        <v>Pass</v>
      </c>
      <c r="CY172" s="278">
        <f t="shared" si="119"/>
        <v>3.4318418314255985</v>
      </c>
      <c r="CZ172" s="279" t="str">
        <f t="shared" si="136"/>
        <v>Pass</v>
      </c>
      <c r="DA172" s="278">
        <f t="shared" si="120"/>
        <v>4.7743918053777206</v>
      </c>
      <c r="DB172" s="292" t="str">
        <f t="shared" si="137"/>
        <v>Pass</v>
      </c>
      <c r="DC172" s="299">
        <f t="shared" si="138"/>
        <v>9.9725651577503402</v>
      </c>
      <c r="DD172" s="293" t="str">
        <f t="shared" si="139"/>
        <v>Pass</v>
      </c>
      <c r="DE172" s="299">
        <f t="shared" si="140"/>
        <v>8.4530214424951264</v>
      </c>
      <c r="DF172" s="293" t="str">
        <f t="shared" si="141"/>
        <v>Pass</v>
      </c>
      <c r="DG172" s="299">
        <f t="shared" si="142"/>
        <v>7.3016762940310329</v>
      </c>
      <c r="DH172" s="293" t="str">
        <f t="shared" si="143"/>
        <v>Pass</v>
      </c>
    </row>
    <row r="173" spans="1:112" ht="15" thickTop="1" thickBot="1">
      <c r="A173" s="38" t="s">
        <v>456</v>
      </c>
      <c r="B173" s="38" t="s">
        <v>457</v>
      </c>
      <c r="C173" s="38" t="s">
        <v>456</v>
      </c>
      <c r="D173" s="38" t="s">
        <v>113</v>
      </c>
      <c r="E173" s="38" t="str">
        <f>VLOOKUP(C173,PoliticalControl!A:K,11,FALSE)</f>
        <v>NOC</v>
      </c>
      <c r="F173" s="38" t="str">
        <f>VLOOKUP(C173,UrbanRuralClassification!A:N,13,FALSE)</f>
        <v>Urban with City and Town</v>
      </c>
      <c r="G173" s="38" t="str">
        <f>VLOOKUP(C173,UrbanRuralClassification!A:N,14,FALSE)</f>
        <v>Predominantly Urban</v>
      </c>
      <c r="H173" s="258">
        <f>IF(ISBLANK((VLOOKUP($A173,'local-plan-data'!$C$1:$AD$566,27,FALSE)))=TRUE,"",VLOOKUP($A173,'local-plan-data'!$C$1:$AD$566,27,FALSE))</f>
        <v>43544</v>
      </c>
      <c r="I173" s="259">
        <f>VLOOKUP($A173,'local-plan-data'!$C$1:$AD$566,28,FALSE)</f>
        <v>1766.6666666666667</v>
      </c>
      <c r="J173" s="260">
        <f t="shared" si="121"/>
        <v>1766.6666666666667</v>
      </c>
      <c r="K173" s="259">
        <f t="shared" si="144"/>
        <v>1766.6666666666667</v>
      </c>
      <c r="L173" s="259">
        <f t="shared" si="148"/>
        <v>1766.6666666666667</v>
      </c>
      <c r="M173" s="259">
        <f t="shared" si="148"/>
        <v>1766.6666666666667</v>
      </c>
      <c r="N173" s="259">
        <f t="shared" si="148"/>
        <v>1766.6666666666667</v>
      </c>
      <c r="O173" s="259">
        <f t="shared" si="148"/>
        <v>1766.6666666666667</v>
      </c>
      <c r="P173" s="259">
        <f t="shared" si="148"/>
        <v>1766.6666666666667</v>
      </c>
      <c r="Q173" s="259" t="str">
        <f t="shared" si="148"/>
        <v>-</v>
      </c>
      <c r="R173" s="259" t="str">
        <f t="shared" si="148"/>
        <v>-</v>
      </c>
      <c r="S173" s="259">
        <f t="shared" si="145"/>
        <v>2180</v>
      </c>
      <c r="T173" s="259">
        <f t="shared" si="149"/>
        <v>1815</v>
      </c>
      <c r="U173" s="259">
        <f t="shared" si="149"/>
        <v>1449</v>
      </c>
      <c r="V173" s="259">
        <f t="shared" si="149"/>
        <v>1084</v>
      </c>
      <c r="W173" s="259">
        <f t="shared" si="149"/>
        <v>719</v>
      </c>
      <c r="X173" s="259">
        <f t="shared" si="149"/>
        <v>354</v>
      </c>
      <c r="Y173" s="259">
        <f t="shared" si="149"/>
        <v>-12</v>
      </c>
      <c r="Z173" s="259">
        <f t="shared" si="149"/>
        <v>-377</v>
      </c>
      <c r="AA173" s="267">
        <f>(VLOOKUP(A173,Hshldprojections2014!$A$2:$AW$319,40, FALSE)-VLOOKUP(A173,Hshldprojections2014!$A$2:$AW$319,30, FALSE))/10</f>
        <v>1462</v>
      </c>
      <c r="AB173" s="267">
        <f>(VLOOKUP(A173,Hshldprojections2014!$A$2:$AW$319,41, FALSE)-VLOOKUP(A173,Hshldprojections2014!$A$2:$AW$319,31, FALSE))/10</f>
        <v>1442</v>
      </c>
      <c r="AC173" s="267">
        <f>(VLOOKUP(A173,Hshldprojections2014!$A$2:$AW$319,42, FALSE)-VLOOKUP(A173,Hshldprojections2014!$A$2:$AW$319,32, FALSE))/10</f>
        <v>1422.7</v>
      </c>
      <c r="AD173" s="267">
        <f>IF(IndividualLATest!$J$7=2014,(VLOOKUP($A173,Hshldprojections2014!$A$2:$AY$326,43,FALSE)-VLOOKUP($A173,Hshldprojections2014!$A$2:$AY$326,33,FALSE))/10,IF(IndividualLATest!$J$7=2016,(VLOOKUP($A173,Hshldprojections2016!$A$1:$AQ$322,33,FALSE)-VLOOKUP($A173,Hshldprojections2016!$A$1:$AQ$322,23,FALSE))/10,(VLOOKUP($A173,Hshldprojections2018!$A$1:$AQ$327,33,FALSE)-VLOOKUP($A173,Hshldprojections2018!$A$1:$AQ$327,23,FALSE))/10))</f>
        <v>746.9</v>
      </c>
      <c r="AE173" s="267">
        <f>IF(IndividualLATest!$J$7=2014,(VLOOKUP($A173,Hshldprojections2014!$A$2:$AY$326,44,FALSE)-VLOOKUP($A173,Hshldprojections2014!$A$2:$AY$326,34,FALSE))/10,IF(IndividualLATest!$J$7=2016,(VLOOKUP($A173,Hshldprojections2016!$A$1:$AQ$322,34,FALSE)-VLOOKUP($A173,Hshldprojections2016!$A$1:$AQ$322,24,FALSE))/10,(VLOOKUP($A173,Hshldprojections2018!$A$1:$AQ$327,34,FALSE)-VLOOKUP($A173,Hshldprojections2018!$A$1:$AQ$327,24,FALSE))/10))</f>
        <v>717.1</v>
      </c>
      <c r="AF173" s="267">
        <f>IF(IndividualLATest!$J$7=2014,(VLOOKUP($A173,Hshldprojections2014!$A$2:$AY$326,45,FALSE)-VLOOKUP($A173,Hshldprojections2014!$A$2:$AY$326,35,FALSE))/10,IF(IndividualLATest!$J$7=2016,(VLOOKUP($A173,Hshldprojections2016!$A$1:$AQ$322,35,FALSE)-VLOOKUP($A173,Hshldprojections2016!$A$1:$AQ$322,25,FALSE))/10,(VLOOKUP($A173,Hshldprojections2018!$A$1:$AQ$327,35,FALSE)-VLOOKUP($A173,Hshldprojections2018!$A$1:$AQ$327,25,FALSE))/10))</f>
        <v>690</v>
      </c>
      <c r="AG173" s="267">
        <f>IF(IndividualLATest!$J$7=2014,(VLOOKUP($A173,Hshldprojections2014!$A$2:$AY$326,46,FALSE)-VLOOKUP($A173,Hshldprojections2014!$A$2:$AY$326,36,FALSE))/10,IF(IndividualLATest!$J$7=2016,(VLOOKUP($A173,Hshldprojections2016!$A$1:$AQ$322,36,FALSE)-VLOOKUP($A173,Hshldprojections2016!$A$1:$AQ$322,26,FALSE))/10,(VLOOKUP($A173,Hshldprojections2018!$A$1:$AQ$327,36,FALSE)-VLOOKUP($A173,Hshldprojections2018!$A$1:$AQ$327,26,FALSE))/10))</f>
        <v>664.3</v>
      </c>
      <c r="AH173" s="267">
        <f>IF(IndividualLATest!$J$7=2014,(VLOOKUP($A173,Hshldprojections2014!$A$2:$AY$326,47,FALSE)-VLOOKUP($A173,Hshldprojections2014!$A$2:$AY$326,37,FALSE))/10,IF(IndividualLATest!$J$7=2016,(VLOOKUP($A173,Hshldprojections2016!$A$1:$AQ$322,37,FALSE)-VLOOKUP($A173,Hshldprojections2016!$A$1:$AQ$322,27,FALSE))/10,(VLOOKUP($A173,Hshldprojections2018!$A$1:$AQ$327,37,FALSE)-VLOOKUP($A173,Hshldprojections2018!$A$1:$AQ$327,27,FALSE))/10))</f>
        <v>640.20000000000005</v>
      </c>
      <c r="AI173" s="268">
        <f>IF(ISNUMBER('Sensitivity Tests'!$C$30),'Sensitivity Tests'!$C$30,VLOOKUP($A173,AffordabilityRatio!$A$2:$I$321,5,FALSE))</f>
        <v>8.66</v>
      </c>
      <c r="AJ173" s="268">
        <f>IF(ISNUMBER('Sensitivity Tests'!$C$30),'Sensitivity Tests'!$C$30,VLOOKUP($A173,AffordabilityRatio!$A$2:$I$321,6,FALSE))</f>
        <v>8.7899999999999991</v>
      </c>
      <c r="AK173" s="268">
        <f>IF(ISNUMBER('Sensitivity Tests'!$C$30),'Sensitivity Tests'!$C$30,VLOOKUP($A173,AffordabilityRatio!$A$2:$I$321,7,FALSE))</f>
        <v>8.32</v>
      </c>
      <c r="AL173" s="268">
        <f>IF(ISNUMBER('Sensitivity Tests'!$C$30),'Sensitivity Tests'!$C$30,IF((VLOOKUP($A173,AffordabilityRatio!$A$2:$I$321,8,FALSE))="",AK173,VLOOKUP($A173,AffordabilityRatio!$A$2:$I$321,8,FALSE)))</f>
        <v>8.75</v>
      </c>
      <c r="AM173" s="268">
        <f>IF(ISNUMBER('Sensitivity Tests'!$C$30),'Sensitivity Tests'!$C$30,IF((VLOOKUP($A173,AffordabilityRatio!$A$2:$I$321,9,FALSE))="",AL173,VLOOKUP($A173,AffordabilityRatio!$A$2:$I$321,9,FALSE)))</f>
        <v>9.7899999999999991</v>
      </c>
      <c r="AN173" s="268">
        <f>IF(ISNUMBER('Sensitivity Tests'!$C$30),'Sensitivity Tests'!$C$30,IF((VLOOKUP($A173,AffordabilityRatio!$A$2:$I$321,9,FALSE))="",AM173,VLOOKUP($A173,AffordabilityRatio!$A$2:$I$321,9,FALSE)))</f>
        <v>9.7899999999999991</v>
      </c>
      <c r="AO173" s="268">
        <f>IF(ISNUMBER('Sensitivity Tests'!$C$30),'Sensitivity Tests'!$C$30,IF((VLOOKUP($A173,AffordabilityRatio!$A$2:$I$321,9,FALSE))="",AN173,VLOOKUP($A173,AffordabilityRatio!$A$2:$I$321,9,FALSE)))</f>
        <v>9.7899999999999991</v>
      </c>
      <c r="AP173" s="268">
        <f>IF(ISNUMBER('Sensitivity Tests'!$C$30),'Sensitivity Tests'!$C$30,IF((VLOOKUP($A173,AffordabilityRatio!$A$2:$I$321,9,FALSE))="",AO173,VLOOKUP($A173,AffordabilityRatio!$A$2:$I$321,9,FALSE)))</f>
        <v>9.7899999999999991</v>
      </c>
      <c r="AQ173" s="267">
        <f t="shared" si="104"/>
        <v>1888</v>
      </c>
      <c r="AR173" s="267">
        <f t="shared" si="104"/>
        <v>1874</v>
      </c>
      <c r="AS173" s="267">
        <f t="shared" si="104"/>
        <v>1807</v>
      </c>
      <c r="AT173" s="267">
        <f t="shared" si="103"/>
        <v>969</v>
      </c>
      <c r="AU173" s="267">
        <f t="shared" si="103"/>
        <v>977</v>
      </c>
      <c r="AV173" s="267">
        <f t="shared" si="103"/>
        <v>940</v>
      </c>
      <c r="AW173" s="267">
        <f t="shared" si="103"/>
        <v>905</v>
      </c>
      <c r="AX173" s="267">
        <f t="shared" si="103"/>
        <v>872</v>
      </c>
      <c r="AY173" s="267">
        <f t="shared" si="122"/>
        <v>1888</v>
      </c>
      <c r="AZ173" s="267">
        <f t="shared" si="123"/>
        <v>1874</v>
      </c>
      <c r="BA173" s="267">
        <f t="shared" si="124"/>
        <v>1807</v>
      </c>
      <c r="BB173" s="267">
        <f t="shared" si="125"/>
        <v>969</v>
      </c>
      <c r="BC173" s="267">
        <f t="shared" si="126"/>
        <v>977</v>
      </c>
      <c r="BD173" s="267">
        <f t="shared" si="127"/>
        <v>940</v>
      </c>
      <c r="BE173" s="267">
        <f t="shared" si="128"/>
        <v>905</v>
      </c>
      <c r="BF173" s="267">
        <f t="shared" si="129"/>
        <v>872</v>
      </c>
      <c r="BG173" s="269">
        <f>AY173*VLOOKUP($B173,'Major Cities &amp; Towns'!$A$28:$B$345,2,FALSE)</f>
        <v>1888</v>
      </c>
      <c r="BH173" s="269">
        <f>AZ173*VLOOKUP($B173,'Major Cities &amp; Towns'!$A$28:$B$345,2,FALSE)</f>
        <v>1874</v>
      </c>
      <c r="BI173" s="269">
        <f>BA173*VLOOKUP($B173,'Major Cities &amp; Towns'!$A$28:$B$345,2,FALSE)</f>
        <v>1807</v>
      </c>
      <c r="BJ173" s="269">
        <f>BB173*VLOOKUP($B173,'Major Cities &amp; Towns'!$A$28:$B$345,2,FALSE)</f>
        <v>969</v>
      </c>
      <c r="BK173" s="269">
        <f>BC173*VLOOKUP($B173,'Major Cities &amp; Towns'!$A$28:$B$345,2,FALSE)</f>
        <v>977</v>
      </c>
      <c r="BL173" s="269">
        <f>BD173*VLOOKUP($B173,'Major Cities &amp; Towns'!$A$28:$B$345,2,FALSE)</f>
        <v>940</v>
      </c>
      <c r="BM173" s="269">
        <f>BE173*VLOOKUP($B173,'Major Cities &amp; Towns'!$A$28:$B$345,2,FALSE)</f>
        <v>905</v>
      </c>
      <c r="BN173" s="269">
        <f>BF173*VLOOKUP($B173,'Major Cities &amp; Towns'!$A$28:$B$345,2,FALSE)</f>
        <v>872</v>
      </c>
      <c r="BO173" s="270">
        <f t="shared" si="130"/>
        <v>1766.6666666666667</v>
      </c>
      <c r="BP173" s="270">
        <f t="shared" si="147"/>
        <v>1766.6666666666667</v>
      </c>
      <c r="BQ173" s="270">
        <f t="shared" si="147"/>
        <v>1766.6666666666667</v>
      </c>
      <c r="BR173" s="270">
        <f t="shared" si="147"/>
        <v>969</v>
      </c>
      <c r="BS173" s="270">
        <f t="shared" si="146"/>
        <v>977</v>
      </c>
      <c r="BT173" s="270">
        <f t="shared" si="146"/>
        <v>940</v>
      </c>
      <c r="BU173" s="270">
        <f t="shared" si="146"/>
        <v>905</v>
      </c>
      <c r="BV173" s="270">
        <f t="shared" si="146"/>
        <v>872</v>
      </c>
      <c r="BW173" s="39">
        <f>VLOOKUP($A173,NetAdditions!$A$2:$H$336,6,FALSE)</f>
        <v>1781</v>
      </c>
      <c r="BX173" s="39">
        <f>VLOOKUP($A173,NetAdditions!$A$2:$H$336,7,FALSE)</f>
        <v>2076</v>
      </c>
      <c r="BY173" s="39">
        <f>IF((VLOOKUP($C173,NetAdditions!$A$2:$H$336,8,FALSE))="",(AVERAGE(VLOOKUP($C173,NetAdditions!$A$2:$H$336,5,FALSE),VLOOKUP($C173,NetAdditions!$A$2:$H$336,6,FALSE),VLOOKUP($C173,NetAdditions!$A$2:$H$336,7,FALSE))),VLOOKUP($C173,NetAdditions!$A$2:$H$336,8,FALSE))</f>
        <v>1993</v>
      </c>
      <c r="BZ173" s="39">
        <f t="shared" si="150"/>
        <v>1950</v>
      </c>
      <c r="CA173" s="39">
        <f t="shared" si="150"/>
        <v>2006.3333333333333</v>
      </c>
      <c r="CB173" s="39">
        <f t="shared" si="150"/>
        <v>1983.1111111111111</v>
      </c>
      <c r="CC173" s="39">
        <f t="shared" si="150"/>
        <v>1979.8148148148148</v>
      </c>
      <c r="CD173" s="39">
        <f t="shared" si="150"/>
        <v>1989.7530864197531</v>
      </c>
      <c r="CE173" s="276">
        <f t="shared" si="106"/>
        <v>5300</v>
      </c>
      <c r="CF173" s="276">
        <f t="shared" si="107"/>
        <v>4502.3333333333339</v>
      </c>
      <c r="CG173" s="276">
        <f t="shared" si="108"/>
        <v>3712.666666666667</v>
      </c>
      <c r="CH173" s="276">
        <f t="shared" si="109"/>
        <v>2886</v>
      </c>
      <c r="CI173" s="276">
        <f t="shared" si="110"/>
        <v>2822</v>
      </c>
      <c r="CJ173" s="276">
        <f t="shared" si="111"/>
        <v>2717</v>
      </c>
      <c r="CK173" s="276">
        <f t="shared" si="131"/>
        <v>4563.8888888888896</v>
      </c>
      <c r="CL173" s="276">
        <f t="shared" si="132"/>
        <v>3877.00925925926</v>
      </c>
      <c r="CM173" s="276">
        <f t="shared" si="133"/>
        <v>3403.2777777777778</v>
      </c>
      <c r="CN173" s="276">
        <f t="shared" si="134"/>
        <v>2886</v>
      </c>
      <c r="CO173" s="276">
        <f t="shared" si="134"/>
        <v>2822</v>
      </c>
      <c r="CP173" s="276">
        <f t="shared" si="134"/>
        <v>2717</v>
      </c>
      <c r="CQ173" s="39">
        <f t="shared" si="112"/>
        <v>5850</v>
      </c>
      <c r="CR173" s="39">
        <f t="shared" si="113"/>
        <v>6019</v>
      </c>
      <c r="CS173" s="277">
        <f t="shared" si="114"/>
        <v>5949.333333333333</v>
      </c>
      <c r="CT173" s="39">
        <f t="shared" si="115"/>
        <v>5939.4444444444443</v>
      </c>
      <c r="CU173" s="39">
        <f t="shared" si="116"/>
        <v>5969.2592592592591</v>
      </c>
      <c r="CV173" s="39">
        <f t="shared" si="117"/>
        <v>5952.6790123456794</v>
      </c>
      <c r="CW173" s="297">
        <f t="shared" si="118"/>
        <v>1.2818015824710893</v>
      </c>
      <c r="CX173" s="279" t="str">
        <f t="shared" si="135"/>
        <v>Pass</v>
      </c>
      <c r="CY173" s="278">
        <f t="shared" si="119"/>
        <v>1.5524853301872144</v>
      </c>
      <c r="CZ173" s="279" t="str">
        <f t="shared" si="136"/>
        <v>Pass</v>
      </c>
      <c r="DA173" s="278">
        <f t="shared" si="120"/>
        <v>1.7481186437911163</v>
      </c>
      <c r="DB173" s="292" t="str">
        <f t="shared" si="137"/>
        <v>Pass</v>
      </c>
      <c r="DC173" s="299">
        <f t="shared" si="138"/>
        <v>2.0580195580195579</v>
      </c>
      <c r="DD173" s="293" t="str">
        <f t="shared" si="139"/>
        <v>Pass</v>
      </c>
      <c r="DE173" s="299">
        <f t="shared" si="140"/>
        <v>2.1152584192981072</v>
      </c>
      <c r="DF173" s="293" t="str">
        <f t="shared" si="141"/>
        <v>Pass</v>
      </c>
      <c r="DG173" s="299">
        <f t="shared" si="142"/>
        <v>2.190901366339963</v>
      </c>
      <c r="DH173" s="293" t="str">
        <f t="shared" si="143"/>
        <v>Pass</v>
      </c>
    </row>
    <row r="174" spans="1:112" ht="15" thickTop="1" thickBot="1">
      <c r="A174" s="38" t="s">
        <v>458</v>
      </c>
      <c r="B174" s="38" t="s">
        <v>459</v>
      </c>
      <c r="C174" s="38" t="s">
        <v>458</v>
      </c>
      <c r="D174" s="38" t="s">
        <v>113</v>
      </c>
      <c r="E174" s="38" t="str">
        <f>VLOOKUP(C174,PoliticalControl!A:K,11,FALSE)</f>
        <v>LD</v>
      </c>
      <c r="F174" s="38" t="str">
        <f>VLOOKUP(C174,UrbanRuralClassification!A:N,13,FALSE)</f>
        <v>Urban with Significant Rural (rural including hub towns 26-49%)</v>
      </c>
      <c r="G174" s="38" t="str">
        <f>VLOOKUP(C174,UrbanRuralClassification!A:N,14,FALSE)</f>
        <v>Urban with Significant Rural</v>
      </c>
      <c r="H174" s="258">
        <f>IF(ISBLANK((VLOOKUP($A174,'local-plan-data'!$C$1:$AD$566,27,FALSE)))=TRUE,"",VLOOKUP($A174,'local-plan-data'!$C$1:$AD$566,27,FALSE))</f>
        <v>40087</v>
      </c>
      <c r="I174" s="259">
        <f>VLOOKUP($A174,'local-plan-data'!$C$1:$AD$566,28,FALSE)</f>
        <v>188</v>
      </c>
      <c r="J174" s="260">
        <f t="shared" si="121"/>
        <v>188</v>
      </c>
      <c r="K174" s="259" t="str">
        <f t="shared" si="144"/>
        <v>-</v>
      </c>
      <c r="L174" s="259" t="str">
        <f t="shared" si="148"/>
        <v>-</v>
      </c>
      <c r="M174" s="259" t="str">
        <f t="shared" si="148"/>
        <v>-</v>
      </c>
      <c r="N174" s="259" t="str">
        <f t="shared" si="148"/>
        <v>-</v>
      </c>
      <c r="O174" s="259" t="str">
        <f t="shared" si="148"/>
        <v>-</v>
      </c>
      <c r="P174" s="259" t="str">
        <f t="shared" si="148"/>
        <v>-</v>
      </c>
      <c r="Q174" s="259" t="str">
        <f t="shared" si="148"/>
        <v>-</v>
      </c>
      <c r="R174" s="259" t="str">
        <f t="shared" si="148"/>
        <v>-</v>
      </c>
      <c r="S174" s="259">
        <f t="shared" si="145"/>
        <v>-1278</v>
      </c>
      <c r="T174" s="259">
        <f t="shared" si="149"/>
        <v>-1643</v>
      </c>
      <c r="U174" s="259">
        <f t="shared" si="149"/>
        <v>-2009</v>
      </c>
      <c r="V174" s="259">
        <f t="shared" si="149"/>
        <v>-2374</v>
      </c>
      <c r="W174" s="259">
        <f t="shared" si="149"/>
        <v>-2739</v>
      </c>
      <c r="X174" s="259">
        <f t="shared" si="149"/>
        <v>-3104</v>
      </c>
      <c r="Y174" s="259">
        <f t="shared" si="149"/>
        <v>-3470</v>
      </c>
      <c r="Z174" s="259">
        <f t="shared" si="149"/>
        <v>-3835</v>
      </c>
      <c r="AA174" s="267">
        <f>(VLOOKUP(A174,Hshldprojections2014!$A$2:$AW$319,40, FALSE)-VLOOKUP(A174,Hshldprojections2014!$A$2:$AW$319,30, FALSE))/10</f>
        <v>319.10000000000002</v>
      </c>
      <c r="AB174" s="267">
        <f>(VLOOKUP(A174,Hshldprojections2014!$A$2:$AW$319,41, FALSE)-VLOOKUP(A174,Hshldprojections2014!$A$2:$AW$319,31, FALSE))/10</f>
        <v>321</v>
      </c>
      <c r="AC174" s="267">
        <f>(VLOOKUP(A174,Hshldprojections2014!$A$2:$AW$319,42, FALSE)-VLOOKUP(A174,Hshldprojections2014!$A$2:$AW$319,32, FALSE))/10</f>
        <v>323.39999999999998</v>
      </c>
      <c r="AD174" s="267">
        <f>IF(IndividualLATest!$J$7=2014,(VLOOKUP($A174,Hshldprojections2014!$A$2:$AY$326,43,FALSE)-VLOOKUP($A174,Hshldprojections2014!$A$2:$AY$326,33,FALSE))/10,IF(IndividualLATest!$J$7=2016,(VLOOKUP($A174,Hshldprojections2016!$A$1:$AQ$322,33,FALSE)-VLOOKUP($A174,Hshldprojections2016!$A$1:$AQ$322,23,FALSE))/10,(VLOOKUP($A174,Hshldprojections2018!$A$1:$AQ$327,33,FALSE)-VLOOKUP($A174,Hshldprojections2018!$A$1:$AQ$327,23,FALSE))/10))</f>
        <v>142</v>
      </c>
      <c r="AE174" s="267">
        <f>IF(IndividualLATest!$J$7=2014,(VLOOKUP($A174,Hshldprojections2014!$A$2:$AY$326,44,FALSE)-VLOOKUP($A174,Hshldprojections2014!$A$2:$AY$326,34,FALSE))/10,IF(IndividualLATest!$J$7=2016,(VLOOKUP($A174,Hshldprojections2016!$A$1:$AQ$322,34,FALSE)-VLOOKUP($A174,Hshldprojections2016!$A$1:$AQ$322,24,FALSE))/10,(VLOOKUP($A174,Hshldprojections2018!$A$1:$AQ$327,34,FALSE)-VLOOKUP($A174,Hshldprojections2018!$A$1:$AQ$327,24,FALSE))/10))</f>
        <v>138.69999999999999</v>
      </c>
      <c r="AF174" s="267">
        <f>IF(IndividualLATest!$J$7=2014,(VLOOKUP($A174,Hshldprojections2014!$A$2:$AY$326,45,FALSE)-VLOOKUP($A174,Hshldprojections2014!$A$2:$AY$326,35,FALSE))/10,IF(IndividualLATest!$J$7=2016,(VLOOKUP($A174,Hshldprojections2016!$A$1:$AQ$322,35,FALSE)-VLOOKUP($A174,Hshldprojections2016!$A$1:$AQ$322,25,FALSE))/10,(VLOOKUP($A174,Hshldprojections2018!$A$1:$AQ$327,35,FALSE)-VLOOKUP($A174,Hshldprojections2018!$A$1:$AQ$327,25,FALSE))/10))</f>
        <v>135.4</v>
      </c>
      <c r="AG174" s="267">
        <f>IF(IndividualLATest!$J$7=2014,(VLOOKUP($A174,Hshldprojections2014!$A$2:$AY$326,46,FALSE)-VLOOKUP($A174,Hshldprojections2014!$A$2:$AY$326,36,FALSE))/10,IF(IndividualLATest!$J$7=2016,(VLOOKUP($A174,Hshldprojections2016!$A$1:$AQ$322,36,FALSE)-VLOOKUP($A174,Hshldprojections2016!$A$1:$AQ$322,26,FALSE))/10,(VLOOKUP($A174,Hshldprojections2018!$A$1:$AQ$327,36,FALSE)-VLOOKUP($A174,Hshldprojections2018!$A$1:$AQ$327,26,FALSE))/10))</f>
        <v>135.19999999999999</v>
      </c>
      <c r="AH174" s="267">
        <f>IF(IndividualLATest!$J$7=2014,(VLOOKUP($A174,Hshldprojections2014!$A$2:$AY$326,47,FALSE)-VLOOKUP($A174,Hshldprojections2014!$A$2:$AY$326,37,FALSE))/10,IF(IndividualLATest!$J$7=2016,(VLOOKUP($A174,Hshldprojections2016!$A$1:$AQ$322,37,FALSE)-VLOOKUP($A174,Hshldprojections2016!$A$1:$AQ$322,27,FALSE))/10,(VLOOKUP($A174,Hshldprojections2018!$A$1:$AQ$327,37,FALSE)-VLOOKUP($A174,Hshldprojections2018!$A$1:$AQ$327,27,FALSE))/10))</f>
        <v>135.80000000000001</v>
      </c>
      <c r="AI174" s="268">
        <f>IF(ISNUMBER('Sensitivity Tests'!$C$30),'Sensitivity Tests'!$C$30,VLOOKUP($A174,AffordabilityRatio!$A$2:$I$321,5,FALSE))</f>
        <v>14.37</v>
      </c>
      <c r="AJ174" s="268">
        <f>IF(ISNUMBER('Sensitivity Tests'!$C$30),'Sensitivity Tests'!$C$30,VLOOKUP($A174,AffordabilityRatio!$A$2:$I$321,6,FALSE))</f>
        <v>14.57</v>
      </c>
      <c r="AK174" s="268">
        <f>IF(ISNUMBER('Sensitivity Tests'!$C$30),'Sensitivity Tests'!$C$30,VLOOKUP($A174,AffordabilityRatio!$A$2:$I$321,7,FALSE))</f>
        <v>13.36</v>
      </c>
      <c r="AL174" s="268">
        <f>IF(ISNUMBER('Sensitivity Tests'!$C$30),'Sensitivity Tests'!$C$30,IF((VLOOKUP($A174,AffordabilityRatio!$A$2:$I$321,8,FALSE))="",AK174,VLOOKUP($A174,AffordabilityRatio!$A$2:$I$321,8,FALSE)))</f>
        <v>14.85</v>
      </c>
      <c r="AM174" s="268">
        <f>IF(ISNUMBER('Sensitivity Tests'!$C$30),'Sensitivity Tests'!$C$30,IF((VLOOKUP($A174,AffordabilityRatio!$A$2:$I$321,9,FALSE))="",AL174,VLOOKUP($A174,AffordabilityRatio!$A$2:$I$321,9,FALSE)))</f>
        <v>13.84</v>
      </c>
      <c r="AN174" s="268">
        <f>IF(ISNUMBER('Sensitivity Tests'!$C$30),'Sensitivity Tests'!$C$30,IF((VLOOKUP($A174,AffordabilityRatio!$A$2:$I$321,9,FALSE))="",AM174,VLOOKUP($A174,AffordabilityRatio!$A$2:$I$321,9,FALSE)))</f>
        <v>13.84</v>
      </c>
      <c r="AO174" s="268">
        <f>IF(ISNUMBER('Sensitivity Tests'!$C$30),'Sensitivity Tests'!$C$30,IF((VLOOKUP($A174,AffordabilityRatio!$A$2:$I$321,9,FALSE))="",AN174,VLOOKUP($A174,AffordabilityRatio!$A$2:$I$321,9,FALSE)))</f>
        <v>13.84</v>
      </c>
      <c r="AP174" s="268">
        <f>IF(ISNUMBER('Sensitivity Tests'!$C$30),'Sensitivity Tests'!$C$30,IF((VLOOKUP($A174,AffordabilityRatio!$A$2:$I$321,9,FALSE))="",AO174,VLOOKUP($A174,AffordabilityRatio!$A$2:$I$321,9,FALSE)))</f>
        <v>13.84</v>
      </c>
      <c r="AQ174" s="267">
        <f t="shared" si="104"/>
        <v>526</v>
      </c>
      <c r="AR174" s="267">
        <f t="shared" si="104"/>
        <v>533</v>
      </c>
      <c r="AS174" s="267">
        <f t="shared" si="104"/>
        <v>513</v>
      </c>
      <c r="AT174" s="267">
        <f t="shared" si="103"/>
        <v>238</v>
      </c>
      <c r="AU174" s="267">
        <f t="shared" si="103"/>
        <v>224</v>
      </c>
      <c r="AV174" s="267">
        <f t="shared" si="103"/>
        <v>219</v>
      </c>
      <c r="AW174" s="267">
        <f t="shared" si="103"/>
        <v>218</v>
      </c>
      <c r="AX174" s="267">
        <f t="shared" si="103"/>
        <v>219</v>
      </c>
      <c r="AY174" s="267">
        <f t="shared" si="122"/>
        <v>446.74</v>
      </c>
      <c r="AZ174" s="267">
        <f t="shared" si="123"/>
        <v>449.4</v>
      </c>
      <c r="BA174" s="267">
        <f t="shared" si="124"/>
        <v>452.76</v>
      </c>
      <c r="BB174" s="267">
        <f t="shared" si="125"/>
        <v>238</v>
      </c>
      <c r="BC174" s="267">
        <f t="shared" si="126"/>
        <v>224</v>
      </c>
      <c r="BD174" s="267">
        <f t="shared" si="127"/>
        <v>219</v>
      </c>
      <c r="BE174" s="267">
        <f t="shared" si="128"/>
        <v>218</v>
      </c>
      <c r="BF174" s="267">
        <f t="shared" si="129"/>
        <v>219</v>
      </c>
      <c r="BG174" s="269">
        <f>AY174*VLOOKUP($B174,'Major Cities &amp; Towns'!$A$28:$B$345,2,FALSE)</f>
        <v>446.74</v>
      </c>
      <c r="BH174" s="269">
        <f>AZ174*VLOOKUP($B174,'Major Cities &amp; Towns'!$A$28:$B$345,2,FALSE)</f>
        <v>449.4</v>
      </c>
      <c r="BI174" s="269">
        <f>BA174*VLOOKUP($B174,'Major Cities &amp; Towns'!$A$28:$B$345,2,FALSE)</f>
        <v>452.76</v>
      </c>
      <c r="BJ174" s="269">
        <f>BB174*VLOOKUP($B174,'Major Cities &amp; Towns'!$A$28:$B$345,2,FALSE)</f>
        <v>238</v>
      </c>
      <c r="BK174" s="269">
        <f>BC174*VLOOKUP($B174,'Major Cities &amp; Towns'!$A$28:$B$345,2,FALSE)</f>
        <v>224</v>
      </c>
      <c r="BL174" s="269">
        <f>BD174*VLOOKUP($B174,'Major Cities &amp; Towns'!$A$28:$B$345,2,FALSE)</f>
        <v>219</v>
      </c>
      <c r="BM174" s="269">
        <f>BE174*VLOOKUP($B174,'Major Cities &amp; Towns'!$A$28:$B$345,2,FALSE)</f>
        <v>218</v>
      </c>
      <c r="BN174" s="269">
        <f>BF174*VLOOKUP($B174,'Major Cities &amp; Towns'!$A$28:$B$345,2,FALSE)</f>
        <v>219</v>
      </c>
      <c r="BO174" s="270">
        <f t="shared" si="130"/>
        <v>526</v>
      </c>
      <c r="BP174" s="270">
        <f t="shared" si="147"/>
        <v>533</v>
      </c>
      <c r="BQ174" s="270">
        <f t="shared" si="147"/>
        <v>513</v>
      </c>
      <c r="BR174" s="270">
        <f t="shared" si="147"/>
        <v>238</v>
      </c>
      <c r="BS174" s="270">
        <f t="shared" si="146"/>
        <v>224</v>
      </c>
      <c r="BT174" s="270">
        <f t="shared" si="146"/>
        <v>219</v>
      </c>
      <c r="BU174" s="270">
        <f t="shared" si="146"/>
        <v>218</v>
      </c>
      <c r="BV174" s="270">
        <f t="shared" si="146"/>
        <v>219</v>
      </c>
      <c r="BW174" s="39">
        <f>VLOOKUP($A174,NetAdditions!$A$2:$H$336,6,FALSE)</f>
        <v>326</v>
      </c>
      <c r="BX174" s="39">
        <f>VLOOKUP($A174,NetAdditions!$A$2:$H$336,7,FALSE)</f>
        <v>158</v>
      </c>
      <c r="BY174" s="39">
        <f>IF((VLOOKUP($C174,NetAdditions!$A$2:$H$336,8,FALSE))="",(AVERAGE(VLOOKUP($C174,NetAdditions!$A$2:$H$336,5,FALSE),VLOOKUP($C174,NetAdditions!$A$2:$H$336,6,FALSE),VLOOKUP($C174,NetAdditions!$A$2:$H$336,7,FALSE))),VLOOKUP($C174,NetAdditions!$A$2:$H$336,8,FALSE))</f>
        <v>274</v>
      </c>
      <c r="BZ174" s="39">
        <f t="shared" si="150"/>
        <v>252.66666666666666</v>
      </c>
      <c r="CA174" s="39">
        <f t="shared" si="150"/>
        <v>228.2222222222222</v>
      </c>
      <c r="CB174" s="39">
        <f t="shared" si="150"/>
        <v>251.62962962962959</v>
      </c>
      <c r="CC174" s="39">
        <f t="shared" si="150"/>
        <v>244.17283950617283</v>
      </c>
      <c r="CD174" s="39">
        <f t="shared" si="150"/>
        <v>241.34156378600821</v>
      </c>
      <c r="CE174" s="276">
        <f t="shared" si="106"/>
        <v>1572</v>
      </c>
      <c r="CF174" s="276">
        <f t="shared" si="107"/>
        <v>1284</v>
      </c>
      <c r="CG174" s="276">
        <f t="shared" si="108"/>
        <v>975</v>
      </c>
      <c r="CH174" s="276">
        <f t="shared" si="109"/>
        <v>681</v>
      </c>
      <c r="CI174" s="276">
        <f t="shared" si="110"/>
        <v>661</v>
      </c>
      <c r="CJ174" s="276">
        <f t="shared" si="111"/>
        <v>656</v>
      </c>
      <c r="CK174" s="276">
        <f t="shared" si="131"/>
        <v>1353.6666666666667</v>
      </c>
      <c r="CL174" s="276">
        <f t="shared" si="132"/>
        <v>1105.6666666666667</v>
      </c>
      <c r="CM174" s="276">
        <f t="shared" si="133"/>
        <v>893.75</v>
      </c>
      <c r="CN174" s="276">
        <f t="shared" si="134"/>
        <v>681</v>
      </c>
      <c r="CO174" s="276">
        <f t="shared" si="134"/>
        <v>661</v>
      </c>
      <c r="CP174" s="276">
        <f t="shared" si="134"/>
        <v>656</v>
      </c>
      <c r="CQ174" s="39">
        <f t="shared" si="112"/>
        <v>758</v>
      </c>
      <c r="CR174" s="39">
        <f t="shared" si="113"/>
        <v>684.66666666666663</v>
      </c>
      <c r="CS174" s="277">
        <f t="shared" si="114"/>
        <v>754.8888888888888</v>
      </c>
      <c r="CT174" s="39">
        <f t="shared" si="115"/>
        <v>732.51851851851848</v>
      </c>
      <c r="CU174" s="39">
        <f t="shared" si="116"/>
        <v>724.0246913580246</v>
      </c>
      <c r="CV174" s="39">
        <f t="shared" si="117"/>
        <v>737.14403292181066</v>
      </c>
      <c r="CW174" s="297">
        <f t="shared" si="118"/>
        <v>0.5599606008372322</v>
      </c>
      <c r="CX174" s="279" t="str">
        <f t="shared" si="135"/>
        <v>Buffer and Action Plan</v>
      </c>
      <c r="CY174" s="278">
        <f t="shared" si="119"/>
        <v>0.61923424781428993</v>
      </c>
      <c r="CZ174" s="279" t="str">
        <f t="shared" si="136"/>
        <v>Buffer and Action Plan</v>
      </c>
      <c r="DA174" s="278">
        <f t="shared" si="120"/>
        <v>0.84463092463092448</v>
      </c>
      <c r="DB174" s="292" t="str">
        <f t="shared" si="137"/>
        <v>Buffer and Action Plan</v>
      </c>
      <c r="DC174" s="299">
        <f t="shared" si="138"/>
        <v>1.0756512753575895</v>
      </c>
      <c r="DD174" s="293" t="str">
        <f t="shared" si="139"/>
        <v>Pass</v>
      </c>
      <c r="DE174" s="299">
        <f t="shared" si="140"/>
        <v>1.0953474907080554</v>
      </c>
      <c r="DF174" s="293" t="str">
        <f t="shared" si="141"/>
        <v>Pass</v>
      </c>
      <c r="DG174" s="299">
        <f t="shared" si="142"/>
        <v>1.1236951721369064</v>
      </c>
      <c r="DH174" s="293" t="str">
        <f t="shared" si="143"/>
        <v>Pass</v>
      </c>
    </row>
    <row r="175" spans="1:112" ht="15" thickTop="1" thickBot="1">
      <c r="A175" s="38" t="s">
        <v>460</v>
      </c>
      <c r="B175" s="38" t="s">
        <v>461</v>
      </c>
      <c r="C175" s="38" t="s">
        <v>460</v>
      </c>
      <c r="D175" s="38" t="s">
        <v>113</v>
      </c>
      <c r="E175" s="38" t="str">
        <f>VLOOKUP(C175,PoliticalControl!A:K,11,FALSE)</f>
        <v>CON</v>
      </c>
      <c r="F175" s="38" t="str">
        <f>VLOOKUP(C175,UrbanRuralClassification!A:N,13,FALSE)</f>
        <v>Urban with Significant Rural (rural including hub towns 26-49%)</v>
      </c>
      <c r="G175" s="38" t="str">
        <f>VLOOKUP(C175,UrbanRuralClassification!A:N,14,FALSE)</f>
        <v>Urban with Significant Rural</v>
      </c>
      <c r="H175" s="258">
        <f>IF(ISBLANK((VLOOKUP($A175,'local-plan-data'!$C$1:$AD$566,27,FALSE)))=TRUE,"",VLOOKUP($A175,'local-plan-data'!$C$1:$AD$566,27,FALSE))</f>
        <v>44018</v>
      </c>
      <c r="I175" s="259">
        <f>VLOOKUP($A175,'local-plan-data'!$C$1:$AD$566,28,FALSE)</f>
        <v>521</v>
      </c>
      <c r="J175" s="260">
        <f t="shared" si="121"/>
        <v>521</v>
      </c>
      <c r="K175" s="259">
        <f t="shared" si="144"/>
        <v>521</v>
      </c>
      <c r="L175" s="259">
        <f t="shared" si="148"/>
        <v>521</v>
      </c>
      <c r="M175" s="259">
        <f t="shared" si="148"/>
        <v>521</v>
      </c>
      <c r="N175" s="259">
        <f t="shared" si="148"/>
        <v>521</v>
      </c>
      <c r="O175" s="259">
        <f t="shared" si="148"/>
        <v>521</v>
      </c>
      <c r="P175" s="259">
        <f t="shared" si="148"/>
        <v>521</v>
      </c>
      <c r="Q175" s="259">
        <f t="shared" si="148"/>
        <v>521</v>
      </c>
      <c r="R175" s="259">
        <f t="shared" si="148"/>
        <v>521</v>
      </c>
      <c r="S175" s="259">
        <f t="shared" si="145"/>
        <v>2653</v>
      </c>
      <c r="T175" s="259">
        <f t="shared" si="149"/>
        <v>2288</v>
      </c>
      <c r="U175" s="259">
        <f t="shared" si="149"/>
        <v>1922</v>
      </c>
      <c r="V175" s="259">
        <f t="shared" si="149"/>
        <v>1557</v>
      </c>
      <c r="W175" s="259">
        <f t="shared" si="149"/>
        <v>1192</v>
      </c>
      <c r="X175" s="259">
        <f t="shared" si="149"/>
        <v>827</v>
      </c>
      <c r="Y175" s="259">
        <f t="shared" si="149"/>
        <v>461</v>
      </c>
      <c r="Z175" s="259">
        <f t="shared" si="149"/>
        <v>96</v>
      </c>
      <c r="AA175" s="267">
        <f>(VLOOKUP(A175,Hshldprojections2014!$A$2:$AW$319,40, FALSE)-VLOOKUP(A175,Hshldprojections2014!$A$2:$AW$319,30, FALSE))/10</f>
        <v>706.2</v>
      </c>
      <c r="AB175" s="267">
        <f>(VLOOKUP(A175,Hshldprojections2014!$A$2:$AW$319,41, FALSE)-VLOOKUP(A175,Hshldprojections2014!$A$2:$AW$319,31, FALSE))/10</f>
        <v>712</v>
      </c>
      <c r="AC175" s="267">
        <f>(VLOOKUP(A175,Hshldprojections2014!$A$2:$AW$319,42, FALSE)-VLOOKUP(A175,Hshldprojections2014!$A$2:$AW$319,32, FALSE))/10</f>
        <v>716.9</v>
      </c>
      <c r="AD175" s="267">
        <f>IF(IndividualLATest!$J$7=2014,(VLOOKUP($A175,Hshldprojections2014!$A$2:$AY$326,43,FALSE)-VLOOKUP($A175,Hshldprojections2014!$A$2:$AY$326,33,FALSE))/10,IF(IndividualLATest!$J$7=2016,(VLOOKUP($A175,Hshldprojections2016!$A$1:$AQ$322,33,FALSE)-VLOOKUP($A175,Hshldprojections2016!$A$1:$AQ$322,23,FALSE))/10,(VLOOKUP($A175,Hshldprojections2018!$A$1:$AQ$327,33,FALSE)-VLOOKUP($A175,Hshldprojections2018!$A$1:$AQ$327,23,FALSE))/10))</f>
        <v>374.9</v>
      </c>
      <c r="AE175" s="267">
        <f>IF(IndividualLATest!$J$7=2014,(VLOOKUP($A175,Hshldprojections2014!$A$2:$AY$326,44,FALSE)-VLOOKUP($A175,Hshldprojections2014!$A$2:$AY$326,34,FALSE))/10,IF(IndividualLATest!$J$7=2016,(VLOOKUP($A175,Hshldprojections2016!$A$1:$AQ$322,34,FALSE)-VLOOKUP($A175,Hshldprojections2016!$A$1:$AQ$322,24,FALSE))/10,(VLOOKUP($A175,Hshldprojections2018!$A$1:$AQ$327,34,FALSE)-VLOOKUP($A175,Hshldprojections2018!$A$1:$AQ$327,24,FALSE))/10))</f>
        <v>366.2</v>
      </c>
      <c r="AF175" s="267">
        <f>IF(IndividualLATest!$J$7=2014,(VLOOKUP($A175,Hshldprojections2014!$A$2:$AY$326,45,FALSE)-VLOOKUP($A175,Hshldprojections2014!$A$2:$AY$326,35,FALSE))/10,IF(IndividualLATest!$J$7=2016,(VLOOKUP($A175,Hshldprojections2016!$A$1:$AQ$322,35,FALSE)-VLOOKUP($A175,Hshldprojections2016!$A$1:$AQ$322,25,FALSE))/10,(VLOOKUP($A175,Hshldprojections2018!$A$1:$AQ$327,35,FALSE)-VLOOKUP($A175,Hshldprojections2018!$A$1:$AQ$327,25,FALSE))/10))</f>
        <v>358.7</v>
      </c>
      <c r="AG175" s="267">
        <f>IF(IndividualLATest!$J$7=2014,(VLOOKUP($A175,Hshldprojections2014!$A$2:$AY$326,46,FALSE)-VLOOKUP($A175,Hshldprojections2014!$A$2:$AY$326,36,FALSE))/10,IF(IndividualLATest!$J$7=2016,(VLOOKUP($A175,Hshldprojections2016!$A$1:$AQ$322,36,FALSE)-VLOOKUP($A175,Hshldprojections2016!$A$1:$AQ$322,26,FALSE))/10,(VLOOKUP($A175,Hshldprojections2018!$A$1:$AQ$327,36,FALSE)-VLOOKUP($A175,Hshldprojections2018!$A$1:$AQ$327,26,FALSE))/10))</f>
        <v>350.9</v>
      </c>
      <c r="AH175" s="267">
        <f>IF(IndividualLATest!$J$7=2014,(VLOOKUP($A175,Hshldprojections2014!$A$2:$AY$326,47,FALSE)-VLOOKUP($A175,Hshldprojections2014!$A$2:$AY$326,37,FALSE))/10,IF(IndividualLATest!$J$7=2016,(VLOOKUP($A175,Hshldprojections2016!$A$1:$AQ$322,37,FALSE)-VLOOKUP($A175,Hshldprojections2016!$A$1:$AQ$322,27,FALSE))/10,(VLOOKUP($A175,Hshldprojections2018!$A$1:$AQ$327,37,FALSE)-VLOOKUP($A175,Hshldprojections2018!$A$1:$AQ$327,27,FALSE))/10))</f>
        <v>344.6</v>
      </c>
      <c r="AI175" s="268">
        <f>IF(ISNUMBER('Sensitivity Tests'!$C$30),'Sensitivity Tests'!$C$30,VLOOKUP($A175,AffordabilityRatio!$A$2:$I$321,5,FALSE))</f>
        <v>11.9</v>
      </c>
      <c r="AJ175" s="268">
        <f>IF(ISNUMBER('Sensitivity Tests'!$C$30),'Sensitivity Tests'!$C$30,VLOOKUP($A175,AffordabilityRatio!$A$2:$I$321,6,FALSE))</f>
        <v>11.51</v>
      </c>
      <c r="AK175" s="268">
        <f>IF(ISNUMBER('Sensitivity Tests'!$C$30),'Sensitivity Tests'!$C$30,VLOOKUP($A175,AffordabilityRatio!$A$2:$I$321,7,FALSE))</f>
        <v>11.17</v>
      </c>
      <c r="AL175" s="268">
        <f>IF(ISNUMBER('Sensitivity Tests'!$C$30),'Sensitivity Tests'!$C$30,IF((VLOOKUP($A175,AffordabilityRatio!$A$2:$I$321,8,FALSE))="",AK175,VLOOKUP($A175,AffordabilityRatio!$A$2:$I$321,8,FALSE)))</f>
        <v>10.7</v>
      </c>
      <c r="AM175" s="268">
        <f>IF(ISNUMBER('Sensitivity Tests'!$C$30),'Sensitivity Tests'!$C$30,IF((VLOOKUP($A175,AffordabilityRatio!$A$2:$I$321,9,FALSE))="",AL175,VLOOKUP($A175,AffordabilityRatio!$A$2:$I$321,9,FALSE)))</f>
        <v>12.52</v>
      </c>
      <c r="AN175" s="268">
        <f>IF(ISNUMBER('Sensitivity Tests'!$C$30),'Sensitivity Tests'!$C$30,IF((VLOOKUP($A175,AffordabilityRatio!$A$2:$I$321,9,FALSE))="",AM175,VLOOKUP($A175,AffordabilityRatio!$A$2:$I$321,9,FALSE)))</f>
        <v>12.52</v>
      </c>
      <c r="AO175" s="268">
        <f>IF(ISNUMBER('Sensitivity Tests'!$C$30),'Sensitivity Tests'!$C$30,IF((VLOOKUP($A175,AffordabilityRatio!$A$2:$I$321,9,FALSE))="",AN175,VLOOKUP($A175,AffordabilityRatio!$A$2:$I$321,9,FALSE)))</f>
        <v>12.52</v>
      </c>
      <c r="AP175" s="268">
        <f>IF(ISNUMBER('Sensitivity Tests'!$C$30),'Sensitivity Tests'!$C$30,IF((VLOOKUP($A175,AffordabilityRatio!$A$2:$I$321,9,FALSE))="",AO175,VLOOKUP($A175,AffordabilityRatio!$A$2:$I$321,9,FALSE)))</f>
        <v>12.52</v>
      </c>
      <c r="AQ175" s="267">
        <f t="shared" si="104"/>
        <v>1055</v>
      </c>
      <c r="AR175" s="267">
        <f t="shared" si="104"/>
        <v>1046</v>
      </c>
      <c r="AS175" s="267">
        <f t="shared" si="104"/>
        <v>1038</v>
      </c>
      <c r="AT175" s="267">
        <f t="shared" si="103"/>
        <v>532</v>
      </c>
      <c r="AU175" s="267">
        <f t="shared" si="103"/>
        <v>561</v>
      </c>
      <c r="AV175" s="267">
        <f t="shared" ref="AV175:AX238" si="151">IF(AF175&lt;0,0,IF(AN175&gt;4,ROUND((1+((AN175-4)/4*0.25))*AF175,0),AF175))</f>
        <v>550</v>
      </c>
      <c r="AW175" s="267">
        <f t="shared" si="151"/>
        <v>538</v>
      </c>
      <c r="AX175" s="267">
        <f t="shared" si="151"/>
        <v>528</v>
      </c>
      <c r="AY175" s="267">
        <f t="shared" si="122"/>
        <v>729.4</v>
      </c>
      <c r="AZ175" s="267">
        <f t="shared" si="123"/>
        <v>729.4</v>
      </c>
      <c r="BA175" s="267">
        <f t="shared" si="124"/>
        <v>729.4</v>
      </c>
      <c r="BB175" s="267">
        <f t="shared" si="125"/>
        <v>532</v>
      </c>
      <c r="BC175" s="267">
        <f t="shared" si="126"/>
        <v>561</v>
      </c>
      <c r="BD175" s="267">
        <f t="shared" si="127"/>
        <v>550</v>
      </c>
      <c r="BE175" s="267">
        <f t="shared" si="128"/>
        <v>538</v>
      </c>
      <c r="BF175" s="267">
        <f t="shared" si="129"/>
        <v>528</v>
      </c>
      <c r="BG175" s="269">
        <f>AY175*VLOOKUP($B175,'Major Cities &amp; Towns'!$A$28:$B$345,2,FALSE)</f>
        <v>729.4</v>
      </c>
      <c r="BH175" s="269">
        <f>AZ175*VLOOKUP($B175,'Major Cities &amp; Towns'!$A$28:$B$345,2,FALSE)</f>
        <v>729.4</v>
      </c>
      <c r="BI175" s="269">
        <f>BA175*VLOOKUP($B175,'Major Cities &amp; Towns'!$A$28:$B$345,2,FALSE)</f>
        <v>729.4</v>
      </c>
      <c r="BJ175" s="269">
        <f>BB175*VLOOKUP($B175,'Major Cities &amp; Towns'!$A$28:$B$345,2,FALSE)</f>
        <v>532</v>
      </c>
      <c r="BK175" s="269">
        <f>BC175*VLOOKUP($B175,'Major Cities &amp; Towns'!$A$28:$B$345,2,FALSE)</f>
        <v>561</v>
      </c>
      <c r="BL175" s="269">
        <f>BD175*VLOOKUP($B175,'Major Cities &amp; Towns'!$A$28:$B$345,2,FALSE)</f>
        <v>550</v>
      </c>
      <c r="BM175" s="269">
        <f>BE175*VLOOKUP($B175,'Major Cities &amp; Towns'!$A$28:$B$345,2,FALSE)</f>
        <v>538</v>
      </c>
      <c r="BN175" s="269">
        <f>BF175*VLOOKUP($B175,'Major Cities &amp; Towns'!$A$28:$B$345,2,FALSE)</f>
        <v>528</v>
      </c>
      <c r="BO175" s="270">
        <f t="shared" si="130"/>
        <v>521</v>
      </c>
      <c r="BP175" s="270">
        <f t="shared" si="147"/>
        <v>521</v>
      </c>
      <c r="BQ175" s="270">
        <f t="shared" si="147"/>
        <v>521</v>
      </c>
      <c r="BR175" s="270">
        <f t="shared" si="147"/>
        <v>521</v>
      </c>
      <c r="BS175" s="270">
        <f t="shared" si="146"/>
        <v>521</v>
      </c>
      <c r="BT175" s="270">
        <f t="shared" si="146"/>
        <v>521</v>
      </c>
      <c r="BU175" s="270">
        <f t="shared" si="146"/>
        <v>521</v>
      </c>
      <c r="BV175" s="270">
        <f t="shared" si="146"/>
        <v>526.158904109589</v>
      </c>
      <c r="BW175" s="39">
        <f>VLOOKUP($A175,NetAdditions!$A$2:$H$336,6,FALSE)</f>
        <v>387</v>
      </c>
      <c r="BX175" s="39">
        <f>VLOOKUP($A175,NetAdditions!$A$2:$H$336,7,FALSE)</f>
        <v>357</v>
      </c>
      <c r="BY175" s="39">
        <f>IF((VLOOKUP($C175,NetAdditions!$A$2:$H$336,8,FALSE))="",(AVERAGE(VLOOKUP($C175,NetAdditions!$A$2:$H$336,5,FALSE),VLOOKUP($C175,NetAdditions!$A$2:$H$336,6,FALSE),VLOOKUP($C175,NetAdditions!$A$2:$H$336,7,FALSE))),VLOOKUP($C175,NetAdditions!$A$2:$H$336,8,FALSE))</f>
        <v>422</v>
      </c>
      <c r="BZ175" s="39">
        <f t="shared" si="150"/>
        <v>388.66666666666669</v>
      </c>
      <c r="CA175" s="39">
        <f t="shared" si="150"/>
        <v>389.22222222222223</v>
      </c>
      <c r="CB175" s="39">
        <f t="shared" si="150"/>
        <v>399.96296296296299</v>
      </c>
      <c r="CC175" s="39">
        <f t="shared" si="150"/>
        <v>392.61728395061732</v>
      </c>
      <c r="CD175" s="39">
        <f t="shared" si="150"/>
        <v>393.93415637860085</v>
      </c>
      <c r="CE175" s="276">
        <f t="shared" si="106"/>
        <v>1563</v>
      </c>
      <c r="CF175" s="276">
        <f t="shared" si="107"/>
        <v>1563</v>
      </c>
      <c r="CG175" s="276">
        <f t="shared" si="108"/>
        <v>1563</v>
      </c>
      <c r="CH175" s="276">
        <f t="shared" si="109"/>
        <v>1563</v>
      </c>
      <c r="CI175" s="276">
        <f t="shared" si="110"/>
        <v>1563</v>
      </c>
      <c r="CJ175" s="276">
        <f t="shared" si="111"/>
        <v>1568.158904109589</v>
      </c>
      <c r="CK175" s="276">
        <f t="shared" si="131"/>
        <v>1345.9166666666667</v>
      </c>
      <c r="CL175" s="276">
        <f t="shared" si="132"/>
        <v>1345.9166666666667</v>
      </c>
      <c r="CM175" s="276">
        <f t="shared" si="133"/>
        <v>1432.75</v>
      </c>
      <c r="CN175" s="276">
        <f t="shared" si="134"/>
        <v>1563</v>
      </c>
      <c r="CO175" s="276">
        <f t="shared" si="134"/>
        <v>1563</v>
      </c>
      <c r="CP175" s="276">
        <f t="shared" si="134"/>
        <v>1568.158904109589</v>
      </c>
      <c r="CQ175" s="39">
        <f t="shared" si="112"/>
        <v>1166</v>
      </c>
      <c r="CR175" s="39">
        <f t="shared" si="113"/>
        <v>1167.6666666666667</v>
      </c>
      <c r="CS175" s="277">
        <f t="shared" si="114"/>
        <v>1199.8888888888889</v>
      </c>
      <c r="CT175" s="39">
        <f t="shared" si="115"/>
        <v>1177.851851851852</v>
      </c>
      <c r="CU175" s="39">
        <f t="shared" si="116"/>
        <v>1181.8024691358025</v>
      </c>
      <c r="CV175" s="39">
        <f t="shared" si="117"/>
        <v>1186.5144032921812</v>
      </c>
      <c r="CW175" s="297">
        <f t="shared" si="118"/>
        <v>0.86632406662126182</v>
      </c>
      <c r="CX175" s="279" t="str">
        <f t="shared" si="135"/>
        <v>Action Plan</v>
      </c>
      <c r="CY175" s="278">
        <f t="shared" si="119"/>
        <v>0.8675623800383877</v>
      </c>
      <c r="CZ175" s="279" t="str">
        <f t="shared" si="136"/>
        <v>Action Plan</v>
      </c>
      <c r="DA175" s="278">
        <f t="shared" si="120"/>
        <v>0.83747261482386248</v>
      </c>
      <c r="DB175" s="292" t="str">
        <f t="shared" si="137"/>
        <v>Buffer and Action Plan</v>
      </c>
      <c r="DC175" s="299">
        <f t="shared" si="138"/>
        <v>0.75358403829293152</v>
      </c>
      <c r="DD175" s="293" t="str">
        <f t="shared" si="139"/>
        <v>Buffer and Action Plan</v>
      </c>
      <c r="DE175" s="299">
        <f t="shared" si="140"/>
        <v>0.75611162452706493</v>
      </c>
      <c r="DF175" s="293" t="str">
        <f t="shared" si="141"/>
        <v>Buffer and Action Plan</v>
      </c>
      <c r="DG175" s="299">
        <f t="shared" si="142"/>
        <v>0.75662893612550819</v>
      </c>
      <c r="DH175" s="293" t="str">
        <f t="shared" si="143"/>
        <v>Buffer and Action Plan</v>
      </c>
    </row>
    <row r="176" spans="1:112" ht="15" thickTop="1" thickBot="1">
      <c r="A176" s="38" t="s">
        <v>462</v>
      </c>
      <c r="B176" s="38" t="s">
        <v>463</v>
      </c>
      <c r="C176" s="38" t="s">
        <v>462</v>
      </c>
      <c r="D176" s="38" t="s">
        <v>119</v>
      </c>
      <c r="E176" s="38" t="str">
        <f>VLOOKUP(C176,PoliticalControl!A:K,11,FALSE)</f>
        <v>CON</v>
      </c>
      <c r="F176" s="38" t="str">
        <f>VLOOKUP(C176,UrbanRuralClassification!A:N,13,FALSE)</f>
        <v xml:space="preserve">Largely Rural (rural including hub towns 50-79%) </v>
      </c>
      <c r="G176" s="38" t="str">
        <f>VLOOKUP(C176,UrbanRuralClassification!A:N,14,FALSE)</f>
        <v>Predominantly Rural</v>
      </c>
      <c r="H176" s="258">
        <f>IF(ISBLANK((VLOOKUP($A176,'local-plan-data'!$C$1:$AD$566,27,FALSE)))=TRUE,"",VLOOKUP($A176,'local-plan-data'!$C$1:$AD$566,27,FALSE))</f>
        <v>43531</v>
      </c>
      <c r="I176" s="259">
        <f>VLOOKUP($A176,'local-plan-data'!$C$1:$AD$566,28,FALSE)</f>
        <v>454</v>
      </c>
      <c r="J176" s="260">
        <f t="shared" si="121"/>
        <v>454</v>
      </c>
      <c r="K176" s="259">
        <f t="shared" si="144"/>
        <v>454</v>
      </c>
      <c r="L176" s="259">
        <f t="shared" si="148"/>
        <v>454</v>
      </c>
      <c r="M176" s="259">
        <f t="shared" si="148"/>
        <v>454</v>
      </c>
      <c r="N176" s="259">
        <f t="shared" si="148"/>
        <v>454</v>
      </c>
      <c r="O176" s="259">
        <f t="shared" si="148"/>
        <v>454</v>
      </c>
      <c r="P176" s="259">
        <f t="shared" si="148"/>
        <v>454</v>
      </c>
      <c r="Q176" s="259" t="str">
        <f t="shared" si="148"/>
        <v>-</v>
      </c>
      <c r="R176" s="259" t="str">
        <f t="shared" si="148"/>
        <v>-</v>
      </c>
      <c r="S176" s="259">
        <f t="shared" si="145"/>
        <v>2167</v>
      </c>
      <c r="T176" s="259">
        <f t="shared" si="149"/>
        <v>1802</v>
      </c>
      <c r="U176" s="259">
        <f t="shared" si="149"/>
        <v>1436</v>
      </c>
      <c r="V176" s="259">
        <f t="shared" si="149"/>
        <v>1071</v>
      </c>
      <c r="W176" s="259">
        <f t="shared" si="149"/>
        <v>706</v>
      </c>
      <c r="X176" s="259">
        <f t="shared" si="149"/>
        <v>341</v>
      </c>
      <c r="Y176" s="259">
        <f t="shared" si="149"/>
        <v>-25</v>
      </c>
      <c r="Z176" s="259">
        <f t="shared" si="149"/>
        <v>-390</v>
      </c>
      <c r="AA176" s="267">
        <f>(VLOOKUP(A176,Hshldprojections2014!$A$2:$AW$319,40, FALSE)-VLOOKUP(A176,Hshldprojections2014!$A$2:$AW$319,30, FALSE))/10</f>
        <v>413.2</v>
      </c>
      <c r="AB176" s="267">
        <f>(VLOOKUP(A176,Hshldprojections2014!$A$2:$AW$319,41, FALSE)-VLOOKUP(A176,Hshldprojections2014!$A$2:$AW$319,31, FALSE))/10</f>
        <v>400.6</v>
      </c>
      <c r="AC176" s="267">
        <f>(VLOOKUP(A176,Hshldprojections2014!$A$2:$AW$319,42, FALSE)-VLOOKUP(A176,Hshldprojections2014!$A$2:$AW$319,32, FALSE))/10</f>
        <v>393.1</v>
      </c>
      <c r="AD176" s="267">
        <f>IF(IndividualLATest!$J$7=2014,(VLOOKUP($A176,Hshldprojections2014!$A$2:$AY$326,43,FALSE)-VLOOKUP($A176,Hshldprojections2014!$A$2:$AY$326,33,FALSE))/10,IF(IndividualLATest!$J$7=2016,(VLOOKUP($A176,Hshldprojections2016!$A$1:$AQ$322,33,FALSE)-VLOOKUP($A176,Hshldprojections2016!$A$1:$AQ$322,23,FALSE))/10,(VLOOKUP($A176,Hshldprojections2018!$A$1:$AQ$327,33,FALSE)-VLOOKUP($A176,Hshldprojections2018!$A$1:$AQ$327,23,FALSE))/10))</f>
        <v>430.1</v>
      </c>
      <c r="AE176" s="267">
        <f>IF(IndividualLATest!$J$7=2014,(VLOOKUP($A176,Hshldprojections2014!$A$2:$AY$326,44,FALSE)-VLOOKUP($A176,Hshldprojections2014!$A$2:$AY$326,34,FALSE))/10,IF(IndividualLATest!$J$7=2016,(VLOOKUP($A176,Hshldprojections2016!$A$1:$AQ$322,34,FALSE)-VLOOKUP($A176,Hshldprojections2016!$A$1:$AQ$322,24,FALSE))/10,(VLOOKUP($A176,Hshldprojections2018!$A$1:$AQ$327,34,FALSE)-VLOOKUP($A176,Hshldprojections2018!$A$1:$AQ$327,24,FALSE))/10))</f>
        <v>418.8</v>
      </c>
      <c r="AF176" s="267">
        <f>IF(IndividualLATest!$J$7=2014,(VLOOKUP($A176,Hshldprojections2014!$A$2:$AY$326,45,FALSE)-VLOOKUP($A176,Hshldprojections2014!$A$2:$AY$326,35,FALSE))/10,IF(IndividualLATest!$J$7=2016,(VLOOKUP($A176,Hshldprojections2016!$A$1:$AQ$322,35,FALSE)-VLOOKUP($A176,Hshldprojections2016!$A$1:$AQ$322,25,FALSE))/10,(VLOOKUP($A176,Hshldprojections2018!$A$1:$AQ$327,35,FALSE)-VLOOKUP($A176,Hshldprojections2018!$A$1:$AQ$327,25,FALSE))/10))</f>
        <v>411.2</v>
      </c>
      <c r="AG176" s="267">
        <f>IF(IndividualLATest!$J$7=2014,(VLOOKUP($A176,Hshldprojections2014!$A$2:$AY$326,46,FALSE)-VLOOKUP($A176,Hshldprojections2014!$A$2:$AY$326,36,FALSE))/10,IF(IndividualLATest!$J$7=2016,(VLOOKUP($A176,Hshldprojections2016!$A$1:$AQ$322,36,FALSE)-VLOOKUP($A176,Hshldprojections2016!$A$1:$AQ$322,26,FALSE))/10,(VLOOKUP($A176,Hshldprojections2018!$A$1:$AQ$327,36,FALSE)-VLOOKUP($A176,Hshldprojections2018!$A$1:$AQ$327,26,FALSE))/10))</f>
        <v>403.9</v>
      </c>
      <c r="AH176" s="267">
        <f>IF(IndividualLATest!$J$7=2014,(VLOOKUP($A176,Hshldprojections2014!$A$2:$AY$326,47,FALSE)-VLOOKUP($A176,Hshldprojections2014!$A$2:$AY$326,37,FALSE))/10,IF(IndividualLATest!$J$7=2016,(VLOOKUP($A176,Hshldprojections2016!$A$1:$AQ$322,37,FALSE)-VLOOKUP($A176,Hshldprojections2016!$A$1:$AQ$322,27,FALSE))/10,(VLOOKUP($A176,Hshldprojections2018!$A$1:$AQ$327,37,FALSE)-VLOOKUP($A176,Hshldprojections2018!$A$1:$AQ$327,27,FALSE))/10))</f>
        <v>400.1</v>
      </c>
      <c r="AI176" s="268">
        <f>IF(ISNUMBER('Sensitivity Tests'!$C$30),'Sensitivity Tests'!$C$30,VLOOKUP($A176,AffordabilityRatio!$A$2:$I$321,5,FALSE))</f>
        <v>7.28</v>
      </c>
      <c r="AJ176" s="268">
        <f>IF(ISNUMBER('Sensitivity Tests'!$C$30),'Sensitivity Tests'!$C$30,VLOOKUP($A176,AffordabilityRatio!$A$2:$I$321,6,FALSE))</f>
        <v>7.77</v>
      </c>
      <c r="AK176" s="268">
        <f>IF(ISNUMBER('Sensitivity Tests'!$C$30),'Sensitivity Tests'!$C$30,VLOOKUP($A176,AffordabilityRatio!$A$2:$I$321,7,FALSE))</f>
        <v>8.1199999999999992</v>
      </c>
      <c r="AL176" s="268">
        <f>IF(ISNUMBER('Sensitivity Tests'!$C$30),'Sensitivity Tests'!$C$30,IF((VLOOKUP($A176,AffordabilityRatio!$A$2:$I$321,8,FALSE))="",AK176,VLOOKUP($A176,AffordabilityRatio!$A$2:$I$321,8,FALSE)))</f>
        <v>7.29</v>
      </c>
      <c r="AM176" s="268">
        <f>IF(ISNUMBER('Sensitivity Tests'!$C$30),'Sensitivity Tests'!$C$30,IF((VLOOKUP($A176,AffordabilityRatio!$A$2:$I$321,9,FALSE))="",AL176,VLOOKUP($A176,AffordabilityRatio!$A$2:$I$321,9,FALSE)))</f>
        <v>7.99</v>
      </c>
      <c r="AN176" s="268">
        <f>IF(ISNUMBER('Sensitivity Tests'!$C$30),'Sensitivity Tests'!$C$30,IF((VLOOKUP($A176,AffordabilityRatio!$A$2:$I$321,9,FALSE))="",AM176,VLOOKUP($A176,AffordabilityRatio!$A$2:$I$321,9,FALSE)))</f>
        <v>7.99</v>
      </c>
      <c r="AO176" s="268">
        <f>IF(ISNUMBER('Sensitivity Tests'!$C$30),'Sensitivity Tests'!$C$30,IF((VLOOKUP($A176,AffordabilityRatio!$A$2:$I$321,9,FALSE))="",AN176,VLOOKUP($A176,AffordabilityRatio!$A$2:$I$321,9,FALSE)))</f>
        <v>7.99</v>
      </c>
      <c r="AP176" s="268">
        <f>IF(ISNUMBER('Sensitivity Tests'!$C$30),'Sensitivity Tests'!$C$30,IF((VLOOKUP($A176,AffordabilityRatio!$A$2:$I$321,9,FALSE))="",AO176,VLOOKUP($A176,AffordabilityRatio!$A$2:$I$321,9,FALSE)))</f>
        <v>7.99</v>
      </c>
      <c r="AQ176" s="267">
        <f t="shared" si="104"/>
        <v>498</v>
      </c>
      <c r="AR176" s="267">
        <f t="shared" si="104"/>
        <v>495</v>
      </c>
      <c r="AS176" s="267">
        <f t="shared" si="104"/>
        <v>494</v>
      </c>
      <c r="AT176" s="267">
        <f t="shared" si="104"/>
        <v>519</v>
      </c>
      <c r="AU176" s="267">
        <f t="shared" si="104"/>
        <v>523</v>
      </c>
      <c r="AV176" s="267">
        <f t="shared" si="151"/>
        <v>514</v>
      </c>
      <c r="AW176" s="267">
        <f t="shared" si="151"/>
        <v>505</v>
      </c>
      <c r="AX176" s="267">
        <f t="shared" si="151"/>
        <v>500</v>
      </c>
      <c r="AY176" s="267">
        <f t="shared" si="122"/>
        <v>498</v>
      </c>
      <c r="AZ176" s="267">
        <f t="shared" si="123"/>
        <v>495</v>
      </c>
      <c r="BA176" s="267">
        <f t="shared" si="124"/>
        <v>494</v>
      </c>
      <c r="BB176" s="267">
        <f t="shared" si="125"/>
        <v>519</v>
      </c>
      <c r="BC176" s="267">
        <f t="shared" si="126"/>
        <v>523</v>
      </c>
      <c r="BD176" s="267">
        <f t="shared" si="127"/>
        <v>514</v>
      </c>
      <c r="BE176" s="267">
        <f t="shared" si="128"/>
        <v>505</v>
      </c>
      <c r="BF176" s="267">
        <f t="shared" si="129"/>
        <v>500</v>
      </c>
      <c r="BG176" s="269">
        <f>AY176*VLOOKUP($B176,'Major Cities &amp; Towns'!$A$28:$B$345,2,FALSE)</f>
        <v>498</v>
      </c>
      <c r="BH176" s="269">
        <f>AZ176*VLOOKUP($B176,'Major Cities &amp; Towns'!$A$28:$B$345,2,FALSE)</f>
        <v>495</v>
      </c>
      <c r="BI176" s="269">
        <f>BA176*VLOOKUP($B176,'Major Cities &amp; Towns'!$A$28:$B$345,2,FALSE)</f>
        <v>494</v>
      </c>
      <c r="BJ176" s="269">
        <f>BB176*VLOOKUP($B176,'Major Cities &amp; Towns'!$A$28:$B$345,2,FALSE)</f>
        <v>519</v>
      </c>
      <c r="BK176" s="269">
        <f>BC176*VLOOKUP($B176,'Major Cities &amp; Towns'!$A$28:$B$345,2,FALSE)</f>
        <v>523</v>
      </c>
      <c r="BL176" s="269">
        <f>BD176*VLOOKUP($B176,'Major Cities &amp; Towns'!$A$28:$B$345,2,FALSE)</f>
        <v>514</v>
      </c>
      <c r="BM176" s="269">
        <f>BE176*VLOOKUP($B176,'Major Cities &amp; Towns'!$A$28:$B$345,2,FALSE)</f>
        <v>505</v>
      </c>
      <c r="BN176" s="269">
        <f>BF176*VLOOKUP($B176,'Major Cities &amp; Towns'!$A$28:$B$345,2,FALSE)</f>
        <v>500</v>
      </c>
      <c r="BO176" s="270">
        <f t="shared" si="130"/>
        <v>454</v>
      </c>
      <c r="BP176" s="270">
        <f t="shared" si="147"/>
        <v>454</v>
      </c>
      <c r="BQ176" s="270">
        <f t="shared" si="147"/>
        <v>454</v>
      </c>
      <c r="BR176" s="270">
        <f t="shared" si="147"/>
        <v>454</v>
      </c>
      <c r="BS176" s="270">
        <f t="shared" si="146"/>
        <v>454</v>
      </c>
      <c r="BT176" s="270">
        <f t="shared" si="146"/>
        <v>457.94520547945206</v>
      </c>
      <c r="BU176" s="270">
        <f t="shared" si="146"/>
        <v>505</v>
      </c>
      <c r="BV176" s="270">
        <f t="shared" si="146"/>
        <v>500</v>
      </c>
      <c r="BW176" s="39">
        <f>VLOOKUP($A176,NetAdditions!$A$2:$H$336,6,FALSE)</f>
        <v>654</v>
      </c>
      <c r="BX176" s="39">
        <f>VLOOKUP($A176,NetAdditions!$A$2:$H$336,7,FALSE)</f>
        <v>555</v>
      </c>
      <c r="BY176" s="39">
        <f>IF((VLOOKUP($C176,NetAdditions!$A$2:$H$336,8,FALSE))="",(AVERAGE(VLOOKUP($C176,NetAdditions!$A$2:$H$336,5,FALSE),VLOOKUP($C176,NetAdditions!$A$2:$H$336,6,FALSE),VLOOKUP($C176,NetAdditions!$A$2:$H$336,7,FALSE))),VLOOKUP($C176,NetAdditions!$A$2:$H$336,8,FALSE))</f>
        <v>767</v>
      </c>
      <c r="BZ176" s="39">
        <f t="shared" si="150"/>
        <v>658.66666666666663</v>
      </c>
      <c r="CA176" s="39">
        <f t="shared" si="150"/>
        <v>660.22222222222217</v>
      </c>
      <c r="CB176" s="39">
        <f t="shared" si="150"/>
        <v>695.29629629629619</v>
      </c>
      <c r="CC176" s="39">
        <f t="shared" si="150"/>
        <v>671.39506172839492</v>
      </c>
      <c r="CD176" s="39">
        <f t="shared" si="150"/>
        <v>675.63786008230443</v>
      </c>
      <c r="CE176" s="276">
        <f t="shared" si="106"/>
        <v>1362</v>
      </c>
      <c r="CF176" s="276">
        <f t="shared" si="107"/>
        <v>1362</v>
      </c>
      <c r="CG176" s="276">
        <f t="shared" si="108"/>
        <v>1362</v>
      </c>
      <c r="CH176" s="276">
        <f t="shared" si="109"/>
        <v>1365.9452054794519</v>
      </c>
      <c r="CI176" s="276">
        <f t="shared" si="110"/>
        <v>1416.9452054794519</v>
      </c>
      <c r="CJ176" s="276">
        <f t="shared" si="111"/>
        <v>1462.9452054794519</v>
      </c>
      <c r="CK176" s="276">
        <f t="shared" si="131"/>
        <v>1172.8333333333335</v>
      </c>
      <c r="CL176" s="276">
        <f t="shared" si="132"/>
        <v>1172.8333333333335</v>
      </c>
      <c r="CM176" s="276">
        <f t="shared" si="133"/>
        <v>1248.5</v>
      </c>
      <c r="CN176" s="276">
        <f t="shared" si="134"/>
        <v>1365.9452054794519</v>
      </c>
      <c r="CO176" s="276">
        <f t="shared" si="134"/>
        <v>1416.9452054794519</v>
      </c>
      <c r="CP176" s="276">
        <f t="shared" si="134"/>
        <v>1462.9452054794519</v>
      </c>
      <c r="CQ176" s="39">
        <f t="shared" si="112"/>
        <v>1976</v>
      </c>
      <c r="CR176" s="39">
        <f t="shared" si="113"/>
        <v>1980.6666666666665</v>
      </c>
      <c r="CS176" s="277">
        <f t="shared" si="114"/>
        <v>2085.8888888888887</v>
      </c>
      <c r="CT176" s="39">
        <f t="shared" si="115"/>
        <v>2014.1851851851848</v>
      </c>
      <c r="CU176" s="39">
        <f t="shared" si="116"/>
        <v>2026.9135802469132</v>
      </c>
      <c r="CV176" s="39">
        <f t="shared" si="117"/>
        <v>2042.3292181069955</v>
      </c>
      <c r="CW176" s="297">
        <f t="shared" si="118"/>
        <v>1.6848088674150914</v>
      </c>
      <c r="CX176" s="279" t="str">
        <f t="shared" si="135"/>
        <v>Pass</v>
      </c>
      <c r="CY176" s="278">
        <f t="shared" si="119"/>
        <v>1.6887878357254509</v>
      </c>
      <c r="CZ176" s="279" t="str">
        <f t="shared" si="136"/>
        <v>Pass</v>
      </c>
      <c r="DA176" s="278">
        <f t="shared" si="120"/>
        <v>1.6707159702754415</v>
      </c>
      <c r="DB176" s="292" t="str">
        <f t="shared" si="137"/>
        <v>Pass</v>
      </c>
      <c r="DC176" s="299">
        <f t="shared" si="138"/>
        <v>1.4745724624277283</v>
      </c>
      <c r="DD176" s="293" t="str">
        <f t="shared" si="139"/>
        <v>Pass</v>
      </c>
      <c r="DE176" s="299">
        <f t="shared" si="140"/>
        <v>1.4304812722529141</v>
      </c>
      <c r="DF176" s="293" t="str">
        <f t="shared" si="141"/>
        <v>Pass</v>
      </c>
      <c r="DG176" s="299">
        <f t="shared" si="142"/>
        <v>1.3960394486802816</v>
      </c>
      <c r="DH176" s="293" t="str">
        <f t="shared" si="143"/>
        <v>Pass</v>
      </c>
    </row>
    <row r="177" spans="1:112" ht="15" thickTop="1" thickBot="1">
      <c r="A177" s="38" t="s">
        <v>464</v>
      </c>
      <c r="B177" s="38" t="s">
        <v>465</v>
      </c>
      <c r="C177" s="38" t="s">
        <v>464</v>
      </c>
      <c r="D177" s="38" t="s">
        <v>259</v>
      </c>
      <c r="E177" s="38" t="str">
        <f>VLOOKUP(C177,PoliticalControl!A:K,11,FALSE)</f>
        <v>LAB</v>
      </c>
      <c r="F177" s="38" t="str">
        <f>VLOOKUP(C177,UrbanRuralClassification!A:N,13,FALSE)</f>
        <v>Urban with Major Conurbation</v>
      </c>
      <c r="G177" s="38" t="str">
        <f>VLOOKUP(C177,UrbanRuralClassification!A:N,14,FALSE)</f>
        <v>Predominantly Urban</v>
      </c>
      <c r="H177" s="258">
        <f>IF(ISBLANK((VLOOKUP($A177,'local-plan-data'!$C$1:$AD$566,27,FALSE)))=TRUE,"",VLOOKUP($A177,'local-plan-data'!$C$1:$AD$566,27,FALSE))</f>
        <v>42089</v>
      </c>
      <c r="I177" s="259">
        <f>VLOOKUP($A177,'local-plan-data'!$C$1:$AD$566,28,FALSE)</f>
        <v>850</v>
      </c>
      <c r="J177" s="260">
        <f t="shared" si="121"/>
        <v>850</v>
      </c>
      <c r="K177" s="259">
        <f t="shared" si="144"/>
        <v>850</v>
      </c>
      <c r="L177" s="259">
        <f t="shared" si="148"/>
        <v>850</v>
      </c>
      <c r="M177" s="259" t="str">
        <f t="shared" si="148"/>
        <v>-</v>
      </c>
      <c r="N177" s="259" t="str">
        <f t="shared" si="148"/>
        <v>-</v>
      </c>
      <c r="O177" s="259" t="str">
        <f t="shared" si="148"/>
        <v>-</v>
      </c>
      <c r="P177" s="259" t="str">
        <f t="shared" si="148"/>
        <v>-</v>
      </c>
      <c r="Q177" s="259" t="str">
        <f t="shared" si="148"/>
        <v>-</v>
      </c>
      <c r="R177" s="259" t="str">
        <f t="shared" si="148"/>
        <v>-</v>
      </c>
      <c r="S177" s="259">
        <f t="shared" si="145"/>
        <v>725</v>
      </c>
      <c r="T177" s="259">
        <f t="shared" si="149"/>
        <v>360</v>
      </c>
      <c r="U177" s="259">
        <f t="shared" si="149"/>
        <v>-6</v>
      </c>
      <c r="V177" s="259">
        <f t="shared" si="149"/>
        <v>-371</v>
      </c>
      <c r="W177" s="259">
        <f t="shared" si="149"/>
        <v>-736</v>
      </c>
      <c r="X177" s="259">
        <f t="shared" si="149"/>
        <v>-1101</v>
      </c>
      <c r="Y177" s="259">
        <f t="shared" si="149"/>
        <v>-1467</v>
      </c>
      <c r="Z177" s="259">
        <f t="shared" si="149"/>
        <v>-1832</v>
      </c>
      <c r="AA177" s="267">
        <f>(VLOOKUP(A177,Hshldprojections2014!$A$2:$AW$319,40, FALSE)-VLOOKUP(A177,Hshldprojections2014!$A$2:$AW$319,30, FALSE))/10</f>
        <v>936.3</v>
      </c>
      <c r="AB177" s="267">
        <f>(VLOOKUP(A177,Hshldprojections2014!$A$2:$AW$319,41, FALSE)-VLOOKUP(A177,Hshldprojections2014!$A$2:$AW$319,31, FALSE))/10</f>
        <v>933.1</v>
      </c>
      <c r="AC177" s="267">
        <f>(VLOOKUP(A177,Hshldprojections2014!$A$2:$AW$319,42, FALSE)-VLOOKUP(A177,Hshldprojections2014!$A$2:$AW$319,32, FALSE))/10</f>
        <v>936.4</v>
      </c>
      <c r="AD177" s="267">
        <f>IF(IndividualLATest!$J$7=2014,(VLOOKUP($A177,Hshldprojections2014!$A$2:$AY$326,43,FALSE)-VLOOKUP($A177,Hshldprojections2014!$A$2:$AY$326,33,FALSE))/10,IF(IndividualLATest!$J$7=2016,(VLOOKUP($A177,Hshldprojections2016!$A$1:$AQ$322,33,FALSE)-VLOOKUP($A177,Hshldprojections2016!$A$1:$AQ$322,23,FALSE))/10,(VLOOKUP($A177,Hshldprojections2018!$A$1:$AQ$327,33,FALSE)-VLOOKUP($A177,Hshldprojections2018!$A$1:$AQ$327,23,FALSE))/10))</f>
        <v>407.9</v>
      </c>
      <c r="AE177" s="267">
        <f>IF(IndividualLATest!$J$7=2014,(VLOOKUP($A177,Hshldprojections2014!$A$2:$AY$326,44,FALSE)-VLOOKUP($A177,Hshldprojections2014!$A$2:$AY$326,34,FALSE))/10,IF(IndividualLATest!$J$7=2016,(VLOOKUP($A177,Hshldprojections2016!$A$1:$AQ$322,34,FALSE)-VLOOKUP($A177,Hshldprojections2016!$A$1:$AQ$322,24,FALSE))/10,(VLOOKUP($A177,Hshldprojections2018!$A$1:$AQ$327,34,FALSE)-VLOOKUP($A177,Hshldprojections2018!$A$1:$AQ$327,24,FALSE))/10))</f>
        <v>435.4</v>
      </c>
      <c r="AF177" s="267">
        <f>IF(IndividualLATest!$J$7=2014,(VLOOKUP($A177,Hshldprojections2014!$A$2:$AY$326,45,FALSE)-VLOOKUP($A177,Hshldprojections2014!$A$2:$AY$326,35,FALSE))/10,IF(IndividualLATest!$J$7=2016,(VLOOKUP($A177,Hshldprojections2016!$A$1:$AQ$322,35,FALSE)-VLOOKUP($A177,Hshldprojections2016!$A$1:$AQ$322,25,FALSE))/10,(VLOOKUP($A177,Hshldprojections2018!$A$1:$AQ$327,35,FALSE)-VLOOKUP($A177,Hshldprojections2018!$A$1:$AQ$327,25,FALSE))/10))</f>
        <v>457</v>
      </c>
      <c r="AG177" s="267">
        <f>IF(IndividualLATest!$J$7=2014,(VLOOKUP($A177,Hshldprojections2014!$A$2:$AY$326,46,FALSE)-VLOOKUP($A177,Hshldprojections2014!$A$2:$AY$326,36,FALSE))/10,IF(IndividualLATest!$J$7=2016,(VLOOKUP($A177,Hshldprojections2016!$A$1:$AQ$322,36,FALSE)-VLOOKUP($A177,Hshldprojections2016!$A$1:$AQ$322,26,FALSE))/10,(VLOOKUP($A177,Hshldprojections2018!$A$1:$AQ$327,36,FALSE)-VLOOKUP($A177,Hshldprojections2018!$A$1:$AQ$327,26,FALSE))/10))</f>
        <v>467.7</v>
      </c>
      <c r="AH177" s="267">
        <f>IF(IndividualLATest!$J$7=2014,(VLOOKUP($A177,Hshldprojections2014!$A$2:$AY$326,47,FALSE)-VLOOKUP($A177,Hshldprojections2014!$A$2:$AY$326,37,FALSE))/10,IF(IndividualLATest!$J$7=2016,(VLOOKUP($A177,Hshldprojections2016!$A$1:$AQ$322,37,FALSE)-VLOOKUP($A177,Hshldprojections2016!$A$1:$AQ$322,27,FALSE))/10,(VLOOKUP($A177,Hshldprojections2018!$A$1:$AQ$327,37,FALSE)-VLOOKUP($A177,Hshldprojections2018!$A$1:$AQ$327,27,FALSE))/10))</f>
        <v>473.4</v>
      </c>
      <c r="AI177" s="268">
        <f>IF(ISNUMBER('Sensitivity Tests'!$C$30),'Sensitivity Tests'!$C$30,VLOOKUP($A177,AffordabilityRatio!$A$2:$I$321,5,FALSE))</f>
        <v>5.47</v>
      </c>
      <c r="AJ177" s="268">
        <f>IF(ISNUMBER('Sensitivity Tests'!$C$30),'Sensitivity Tests'!$C$30,VLOOKUP($A177,AffordabilityRatio!$A$2:$I$321,6,FALSE))</f>
        <v>5.75</v>
      </c>
      <c r="AK177" s="268">
        <f>IF(ISNUMBER('Sensitivity Tests'!$C$30),'Sensitivity Tests'!$C$30,VLOOKUP($A177,AffordabilityRatio!$A$2:$I$321,7,FALSE))</f>
        <v>5.71</v>
      </c>
      <c r="AL177" s="268">
        <f>IF(ISNUMBER('Sensitivity Tests'!$C$30),'Sensitivity Tests'!$C$30,IF((VLOOKUP($A177,AffordabilityRatio!$A$2:$I$321,8,FALSE))="",AK177,VLOOKUP($A177,AffordabilityRatio!$A$2:$I$321,8,FALSE)))</f>
        <v>5.55</v>
      </c>
      <c r="AM177" s="268">
        <f>IF(ISNUMBER('Sensitivity Tests'!$C$30),'Sensitivity Tests'!$C$30,IF((VLOOKUP($A177,AffordabilityRatio!$A$2:$I$321,9,FALSE))="",AL177,VLOOKUP($A177,AffordabilityRatio!$A$2:$I$321,9,FALSE)))</f>
        <v>5.9</v>
      </c>
      <c r="AN177" s="268">
        <f>IF(ISNUMBER('Sensitivity Tests'!$C$30),'Sensitivity Tests'!$C$30,IF((VLOOKUP($A177,AffordabilityRatio!$A$2:$I$321,9,FALSE))="",AM177,VLOOKUP($A177,AffordabilityRatio!$A$2:$I$321,9,FALSE)))</f>
        <v>5.9</v>
      </c>
      <c r="AO177" s="268">
        <f>IF(ISNUMBER('Sensitivity Tests'!$C$30),'Sensitivity Tests'!$C$30,IF((VLOOKUP($A177,AffordabilityRatio!$A$2:$I$321,9,FALSE))="",AN177,VLOOKUP($A177,AffordabilityRatio!$A$2:$I$321,9,FALSE)))</f>
        <v>5.9</v>
      </c>
      <c r="AP177" s="268">
        <f>IF(ISNUMBER('Sensitivity Tests'!$C$30),'Sensitivity Tests'!$C$30,IF((VLOOKUP($A177,AffordabilityRatio!$A$2:$I$321,9,FALSE))="",AO177,VLOOKUP($A177,AffordabilityRatio!$A$2:$I$321,9,FALSE)))</f>
        <v>5.9</v>
      </c>
      <c r="AQ177" s="267">
        <f t="shared" si="104"/>
        <v>1022</v>
      </c>
      <c r="AR177" s="267">
        <f t="shared" si="104"/>
        <v>1035</v>
      </c>
      <c r="AS177" s="267">
        <f t="shared" si="104"/>
        <v>1036</v>
      </c>
      <c r="AT177" s="267">
        <f t="shared" si="104"/>
        <v>447</v>
      </c>
      <c r="AU177" s="267">
        <f t="shared" si="104"/>
        <v>487</v>
      </c>
      <c r="AV177" s="267">
        <f t="shared" si="151"/>
        <v>511</v>
      </c>
      <c r="AW177" s="267">
        <f t="shared" si="151"/>
        <v>523</v>
      </c>
      <c r="AX177" s="267">
        <f t="shared" si="151"/>
        <v>530</v>
      </c>
      <c r="AY177" s="267">
        <f t="shared" si="122"/>
        <v>1022</v>
      </c>
      <c r="AZ177" s="267">
        <f t="shared" si="123"/>
        <v>1035</v>
      </c>
      <c r="BA177" s="267">
        <f t="shared" si="124"/>
        <v>1036</v>
      </c>
      <c r="BB177" s="267">
        <f t="shared" si="125"/>
        <v>447</v>
      </c>
      <c r="BC177" s="267">
        <f t="shared" si="126"/>
        <v>487</v>
      </c>
      <c r="BD177" s="267">
        <f t="shared" si="127"/>
        <v>511</v>
      </c>
      <c r="BE177" s="267">
        <f t="shared" si="128"/>
        <v>523</v>
      </c>
      <c r="BF177" s="267">
        <f t="shared" si="129"/>
        <v>530</v>
      </c>
      <c r="BG177" s="269">
        <f>AY177*VLOOKUP($B177,'Major Cities &amp; Towns'!$A$28:$B$345,2,FALSE)</f>
        <v>1379.7</v>
      </c>
      <c r="BH177" s="269">
        <f>AZ177*VLOOKUP($B177,'Major Cities &amp; Towns'!$A$28:$B$345,2,FALSE)</f>
        <v>1397.25</v>
      </c>
      <c r="BI177" s="269">
        <f>BA177*VLOOKUP($B177,'Major Cities &amp; Towns'!$A$28:$B$345,2,FALSE)</f>
        <v>1398.6000000000001</v>
      </c>
      <c r="BJ177" s="269">
        <f>BB177*VLOOKUP($B177,'Major Cities &amp; Towns'!$A$28:$B$345,2,FALSE)</f>
        <v>603.45000000000005</v>
      </c>
      <c r="BK177" s="269">
        <f>BC177*VLOOKUP($B177,'Major Cities &amp; Towns'!$A$28:$B$345,2,FALSE)</f>
        <v>657.45</v>
      </c>
      <c r="BL177" s="269">
        <f>BD177*VLOOKUP($B177,'Major Cities &amp; Towns'!$A$28:$B$345,2,FALSE)</f>
        <v>689.85</v>
      </c>
      <c r="BM177" s="269">
        <f>BE177*VLOOKUP($B177,'Major Cities &amp; Towns'!$A$28:$B$345,2,FALSE)</f>
        <v>706.05000000000007</v>
      </c>
      <c r="BN177" s="269">
        <f>BF177*VLOOKUP($B177,'Major Cities &amp; Towns'!$A$28:$B$345,2,FALSE)</f>
        <v>715.5</v>
      </c>
      <c r="BO177" s="270">
        <f t="shared" si="130"/>
        <v>850</v>
      </c>
      <c r="BP177" s="270">
        <f t="shared" si="147"/>
        <v>852.53424657534242</v>
      </c>
      <c r="BQ177" s="270">
        <f t="shared" si="147"/>
        <v>1036</v>
      </c>
      <c r="BR177" s="270">
        <f t="shared" si="147"/>
        <v>447</v>
      </c>
      <c r="BS177" s="270">
        <f t="shared" si="146"/>
        <v>487</v>
      </c>
      <c r="BT177" s="270">
        <f t="shared" si="146"/>
        <v>511</v>
      </c>
      <c r="BU177" s="270">
        <f t="shared" si="146"/>
        <v>523</v>
      </c>
      <c r="BV177" s="270">
        <f t="shared" si="146"/>
        <v>530</v>
      </c>
      <c r="BW177" s="39">
        <f>VLOOKUP($A177,NetAdditions!$A$2:$H$336,6,FALSE)</f>
        <v>1752</v>
      </c>
      <c r="BX177" s="39">
        <f>VLOOKUP($A177,NetAdditions!$A$2:$H$336,7,FALSE)</f>
        <v>1522</v>
      </c>
      <c r="BY177" s="39">
        <f>IF((VLOOKUP($C177,NetAdditions!$A$2:$H$336,8,FALSE))="",(AVERAGE(VLOOKUP($C177,NetAdditions!$A$2:$H$336,5,FALSE),VLOOKUP($C177,NetAdditions!$A$2:$H$336,6,FALSE),VLOOKUP($C177,NetAdditions!$A$2:$H$336,7,FALSE))),VLOOKUP($C177,NetAdditions!$A$2:$H$336,8,FALSE))</f>
        <v>1268</v>
      </c>
      <c r="BZ177" s="39">
        <f t="shared" si="150"/>
        <v>1514</v>
      </c>
      <c r="CA177" s="39">
        <f t="shared" si="150"/>
        <v>1434.6666666666667</v>
      </c>
      <c r="CB177" s="39">
        <f t="shared" si="150"/>
        <v>1405.5555555555557</v>
      </c>
      <c r="CC177" s="39">
        <f t="shared" si="150"/>
        <v>1451.4074074074076</v>
      </c>
      <c r="CD177" s="39">
        <f t="shared" si="150"/>
        <v>1430.5432098765434</v>
      </c>
      <c r="CE177" s="276">
        <f t="shared" si="106"/>
        <v>2738.5342465753424</v>
      </c>
      <c r="CF177" s="276">
        <f t="shared" si="107"/>
        <v>2335.5342465753424</v>
      </c>
      <c r="CG177" s="276">
        <f t="shared" si="108"/>
        <v>1970</v>
      </c>
      <c r="CH177" s="276">
        <f t="shared" si="109"/>
        <v>1445</v>
      </c>
      <c r="CI177" s="276">
        <f t="shared" si="110"/>
        <v>1521</v>
      </c>
      <c r="CJ177" s="276">
        <f t="shared" si="111"/>
        <v>1564</v>
      </c>
      <c r="CK177" s="276">
        <f t="shared" si="131"/>
        <v>2358.1822678843228</v>
      </c>
      <c r="CL177" s="276">
        <f t="shared" si="132"/>
        <v>2011.1544901065449</v>
      </c>
      <c r="CM177" s="276">
        <f t="shared" si="133"/>
        <v>1805.8333333333333</v>
      </c>
      <c r="CN177" s="276">
        <f t="shared" si="134"/>
        <v>1445</v>
      </c>
      <c r="CO177" s="276">
        <f t="shared" si="134"/>
        <v>1521</v>
      </c>
      <c r="CP177" s="276">
        <f t="shared" si="134"/>
        <v>1564</v>
      </c>
      <c r="CQ177" s="39">
        <f t="shared" si="112"/>
        <v>4542</v>
      </c>
      <c r="CR177" s="39">
        <f t="shared" si="113"/>
        <v>4304</v>
      </c>
      <c r="CS177" s="277">
        <f t="shared" si="114"/>
        <v>4216.666666666667</v>
      </c>
      <c r="CT177" s="39">
        <f t="shared" si="115"/>
        <v>4354.2222222222226</v>
      </c>
      <c r="CU177" s="39">
        <f t="shared" si="116"/>
        <v>4291.6296296296305</v>
      </c>
      <c r="CV177" s="39">
        <f t="shared" si="117"/>
        <v>4287.5061728395067</v>
      </c>
      <c r="CW177" s="297">
        <f t="shared" si="118"/>
        <v>1.9260597714844667</v>
      </c>
      <c r="CX177" s="279" t="str">
        <f t="shared" si="135"/>
        <v>Pass</v>
      </c>
      <c r="CY177" s="278">
        <f t="shared" si="119"/>
        <v>2.1400643367640977</v>
      </c>
      <c r="CZ177" s="279" t="str">
        <f t="shared" si="136"/>
        <v>Pass</v>
      </c>
      <c r="DA177" s="278">
        <f t="shared" si="120"/>
        <v>2.3350253807106602</v>
      </c>
      <c r="DB177" s="292" t="str">
        <f t="shared" si="137"/>
        <v>Pass</v>
      </c>
      <c r="DC177" s="299">
        <f t="shared" si="138"/>
        <v>3.0133025759323342</v>
      </c>
      <c r="DD177" s="293" t="str">
        <f t="shared" si="139"/>
        <v>Pass</v>
      </c>
      <c r="DE177" s="299">
        <f t="shared" si="140"/>
        <v>2.8215842403876596</v>
      </c>
      <c r="DF177" s="293" t="str">
        <f t="shared" si="141"/>
        <v>Pass</v>
      </c>
      <c r="DG177" s="299">
        <f t="shared" si="142"/>
        <v>2.7413722332733417</v>
      </c>
      <c r="DH177" s="293" t="str">
        <f t="shared" si="143"/>
        <v>Pass</v>
      </c>
    </row>
    <row r="178" spans="1:112" ht="15" thickTop="1" thickBot="1">
      <c r="A178" s="38" t="s">
        <v>466</v>
      </c>
      <c r="B178" s="38" t="s">
        <v>467</v>
      </c>
      <c r="C178" s="38" t="s">
        <v>466</v>
      </c>
      <c r="D178" s="38" t="s">
        <v>154</v>
      </c>
      <c r="E178" s="38" t="str">
        <f>VLOOKUP(C178,PoliticalControl!A:K,11,FALSE)</f>
        <v>NOC</v>
      </c>
      <c r="F178" s="38" t="str">
        <f>VLOOKUP(C178,UrbanRuralClassification!A:N,13,FALSE)</f>
        <v>Urban with City and Town</v>
      </c>
      <c r="G178" s="38" t="str">
        <f>VLOOKUP(C178,UrbanRuralClassification!A:N,14,FALSE)</f>
        <v>Predominantly Urban</v>
      </c>
      <c r="H178" s="258">
        <f>IF(ISBLANK((VLOOKUP($A178,'local-plan-data'!$C$1:$AD$566,27,FALSE)))=TRUE,"",VLOOKUP($A178,'local-plan-data'!$C$1:$AD$566,27,FALSE))</f>
        <v>40087</v>
      </c>
      <c r="I178" s="259">
        <f>VLOOKUP($A178,'local-plan-data'!$C$1:$AD$566,28,FALSE)</f>
        <v>285</v>
      </c>
      <c r="J178" s="260">
        <f t="shared" si="121"/>
        <v>285</v>
      </c>
      <c r="K178" s="259" t="str">
        <f t="shared" si="144"/>
        <v>-</v>
      </c>
      <c r="L178" s="259" t="str">
        <f t="shared" si="148"/>
        <v>-</v>
      </c>
      <c r="M178" s="259" t="str">
        <f t="shared" si="148"/>
        <v>-</v>
      </c>
      <c r="N178" s="259" t="str">
        <f t="shared" si="148"/>
        <v>-</v>
      </c>
      <c r="O178" s="259" t="str">
        <f t="shared" si="148"/>
        <v>-</v>
      </c>
      <c r="P178" s="259" t="str">
        <f t="shared" si="148"/>
        <v>-</v>
      </c>
      <c r="Q178" s="259" t="str">
        <f t="shared" si="148"/>
        <v>-</v>
      </c>
      <c r="R178" s="259" t="str">
        <f t="shared" si="148"/>
        <v>-</v>
      </c>
      <c r="S178" s="259">
        <f t="shared" si="145"/>
        <v>-1278</v>
      </c>
      <c r="T178" s="259">
        <f t="shared" si="149"/>
        <v>-1643</v>
      </c>
      <c r="U178" s="259">
        <f t="shared" si="149"/>
        <v>-2009</v>
      </c>
      <c r="V178" s="259">
        <f t="shared" si="149"/>
        <v>-2374</v>
      </c>
      <c r="W178" s="259">
        <f t="shared" si="149"/>
        <v>-2739</v>
      </c>
      <c r="X178" s="259">
        <f t="shared" si="149"/>
        <v>-3104</v>
      </c>
      <c r="Y178" s="259">
        <f t="shared" si="149"/>
        <v>-3470</v>
      </c>
      <c r="Z178" s="259">
        <f t="shared" si="149"/>
        <v>-3835</v>
      </c>
      <c r="AA178" s="267">
        <f>(VLOOKUP(A178,Hshldprojections2014!$A$2:$AW$319,40, FALSE)-VLOOKUP(A178,Hshldprojections2014!$A$2:$AW$319,30, FALSE))/10</f>
        <v>314.60000000000002</v>
      </c>
      <c r="AB178" s="267">
        <f>(VLOOKUP(A178,Hshldprojections2014!$A$2:$AW$319,41, FALSE)-VLOOKUP(A178,Hshldprojections2014!$A$2:$AW$319,31, FALSE))/10</f>
        <v>313</v>
      </c>
      <c r="AC178" s="267">
        <f>(VLOOKUP(A178,Hshldprojections2014!$A$2:$AW$319,42, FALSE)-VLOOKUP(A178,Hshldprojections2014!$A$2:$AW$319,32, FALSE))/10</f>
        <v>312.5</v>
      </c>
      <c r="AD178" s="267">
        <f>IF(IndividualLATest!$J$7=2014,(VLOOKUP($A178,Hshldprojections2014!$A$2:$AY$326,43,FALSE)-VLOOKUP($A178,Hshldprojections2014!$A$2:$AY$326,33,FALSE))/10,IF(IndividualLATest!$J$7=2016,(VLOOKUP($A178,Hshldprojections2016!$A$1:$AQ$322,33,FALSE)-VLOOKUP($A178,Hshldprojections2016!$A$1:$AQ$322,23,FALSE))/10,(VLOOKUP($A178,Hshldprojections2018!$A$1:$AQ$327,33,FALSE)-VLOOKUP($A178,Hshldprojections2018!$A$1:$AQ$327,23,FALSE))/10))</f>
        <v>318.60000000000002</v>
      </c>
      <c r="AE178" s="267">
        <f>IF(IndividualLATest!$J$7=2014,(VLOOKUP($A178,Hshldprojections2014!$A$2:$AY$326,44,FALSE)-VLOOKUP($A178,Hshldprojections2014!$A$2:$AY$326,34,FALSE))/10,IF(IndividualLATest!$J$7=2016,(VLOOKUP($A178,Hshldprojections2016!$A$1:$AQ$322,34,FALSE)-VLOOKUP($A178,Hshldprojections2016!$A$1:$AQ$322,24,FALSE))/10,(VLOOKUP($A178,Hshldprojections2018!$A$1:$AQ$327,34,FALSE)-VLOOKUP($A178,Hshldprojections2018!$A$1:$AQ$327,24,FALSE))/10))</f>
        <v>312.2</v>
      </c>
      <c r="AF178" s="267">
        <f>IF(IndividualLATest!$J$7=2014,(VLOOKUP($A178,Hshldprojections2014!$A$2:$AY$326,45,FALSE)-VLOOKUP($A178,Hshldprojections2014!$A$2:$AY$326,35,FALSE))/10,IF(IndividualLATest!$J$7=2016,(VLOOKUP($A178,Hshldprojections2016!$A$1:$AQ$322,35,FALSE)-VLOOKUP($A178,Hshldprojections2016!$A$1:$AQ$322,25,FALSE))/10,(VLOOKUP($A178,Hshldprojections2018!$A$1:$AQ$327,35,FALSE)-VLOOKUP($A178,Hshldprojections2018!$A$1:$AQ$327,25,FALSE))/10))</f>
        <v>309.3</v>
      </c>
      <c r="AG178" s="267">
        <f>IF(IndividualLATest!$J$7=2014,(VLOOKUP($A178,Hshldprojections2014!$A$2:$AY$326,46,FALSE)-VLOOKUP($A178,Hshldprojections2014!$A$2:$AY$326,36,FALSE))/10,IF(IndividualLATest!$J$7=2016,(VLOOKUP($A178,Hshldprojections2016!$A$1:$AQ$322,36,FALSE)-VLOOKUP($A178,Hshldprojections2016!$A$1:$AQ$322,26,FALSE))/10,(VLOOKUP($A178,Hshldprojections2018!$A$1:$AQ$327,36,FALSE)-VLOOKUP($A178,Hshldprojections2018!$A$1:$AQ$327,26,FALSE))/10))</f>
        <v>305.2</v>
      </c>
      <c r="AH178" s="267">
        <f>IF(IndividualLATest!$J$7=2014,(VLOOKUP($A178,Hshldprojections2014!$A$2:$AY$326,47,FALSE)-VLOOKUP($A178,Hshldprojections2014!$A$2:$AY$326,37,FALSE))/10,IF(IndividualLATest!$J$7=2016,(VLOOKUP($A178,Hshldprojections2016!$A$1:$AQ$322,37,FALSE)-VLOOKUP($A178,Hshldprojections2016!$A$1:$AQ$322,27,FALSE))/10,(VLOOKUP($A178,Hshldprojections2018!$A$1:$AQ$327,37,FALSE)-VLOOKUP($A178,Hshldprojections2018!$A$1:$AQ$327,27,FALSE))/10))</f>
        <v>299.2</v>
      </c>
      <c r="AI178" s="268">
        <f>IF(ISNUMBER('Sensitivity Tests'!$C$30),'Sensitivity Tests'!$C$30,VLOOKUP($A178,AffordabilityRatio!$A$2:$I$321,5,FALSE))</f>
        <v>5.51</v>
      </c>
      <c r="AJ178" s="268">
        <f>IF(ISNUMBER('Sensitivity Tests'!$C$30),'Sensitivity Tests'!$C$30,VLOOKUP($A178,AffordabilityRatio!$A$2:$I$321,6,FALSE))</f>
        <v>5.83</v>
      </c>
      <c r="AK178" s="268">
        <f>IF(ISNUMBER('Sensitivity Tests'!$C$30),'Sensitivity Tests'!$C$30,VLOOKUP($A178,AffordabilityRatio!$A$2:$I$321,7,FALSE))</f>
        <v>6.18</v>
      </c>
      <c r="AL178" s="268">
        <f>IF(ISNUMBER('Sensitivity Tests'!$C$30),'Sensitivity Tests'!$C$30,IF((VLOOKUP($A178,AffordabilityRatio!$A$2:$I$321,8,FALSE))="",AK178,VLOOKUP($A178,AffordabilityRatio!$A$2:$I$321,8,FALSE)))</f>
        <v>6.02</v>
      </c>
      <c r="AM178" s="268">
        <f>IF(ISNUMBER('Sensitivity Tests'!$C$30),'Sensitivity Tests'!$C$30,IF((VLOOKUP($A178,AffordabilityRatio!$A$2:$I$321,9,FALSE))="",AL178,VLOOKUP($A178,AffordabilityRatio!$A$2:$I$321,9,FALSE)))</f>
        <v>6.38</v>
      </c>
      <c r="AN178" s="268">
        <f>IF(ISNUMBER('Sensitivity Tests'!$C$30),'Sensitivity Tests'!$C$30,IF((VLOOKUP($A178,AffordabilityRatio!$A$2:$I$321,9,FALSE))="",AM178,VLOOKUP($A178,AffordabilityRatio!$A$2:$I$321,9,FALSE)))</f>
        <v>6.38</v>
      </c>
      <c r="AO178" s="268">
        <f>IF(ISNUMBER('Sensitivity Tests'!$C$30),'Sensitivity Tests'!$C$30,IF((VLOOKUP($A178,AffordabilityRatio!$A$2:$I$321,9,FALSE))="",AN178,VLOOKUP($A178,AffordabilityRatio!$A$2:$I$321,9,FALSE)))</f>
        <v>6.38</v>
      </c>
      <c r="AP178" s="268">
        <f>IF(ISNUMBER('Sensitivity Tests'!$C$30),'Sensitivity Tests'!$C$30,IF((VLOOKUP($A178,AffordabilityRatio!$A$2:$I$321,9,FALSE))="",AO178,VLOOKUP($A178,AffordabilityRatio!$A$2:$I$321,9,FALSE)))</f>
        <v>6.38</v>
      </c>
      <c r="AQ178" s="267">
        <f t="shared" si="104"/>
        <v>344</v>
      </c>
      <c r="AR178" s="267">
        <f t="shared" si="104"/>
        <v>349</v>
      </c>
      <c r="AS178" s="267">
        <f t="shared" si="104"/>
        <v>355</v>
      </c>
      <c r="AT178" s="267">
        <f t="shared" si="104"/>
        <v>359</v>
      </c>
      <c r="AU178" s="267">
        <f t="shared" si="104"/>
        <v>359</v>
      </c>
      <c r="AV178" s="267">
        <f t="shared" si="151"/>
        <v>355</v>
      </c>
      <c r="AW178" s="267">
        <f t="shared" si="151"/>
        <v>351</v>
      </c>
      <c r="AX178" s="267">
        <f t="shared" si="151"/>
        <v>344</v>
      </c>
      <c r="AY178" s="267">
        <f t="shared" si="122"/>
        <v>344</v>
      </c>
      <c r="AZ178" s="267">
        <f t="shared" si="123"/>
        <v>349</v>
      </c>
      <c r="BA178" s="267">
        <f t="shared" si="124"/>
        <v>355</v>
      </c>
      <c r="BB178" s="267">
        <f t="shared" si="125"/>
        <v>359</v>
      </c>
      <c r="BC178" s="267">
        <f t="shared" si="126"/>
        <v>359</v>
      </c>
      <c r="BD178" s="267">
        <f t="shared" si="127"/>
        <v>355</v>
      </c>
      <c r="BE178" s="267">
        <f t="shared" si="128"/>
        <v>351</v>
      </c>
      <c r="BF178" s="267">
        <f t="shared" si="129"/>
        <v>344</v>
      </c>
      <c r="BG178" s="269">
        <f>AY178*VLOOKUP($B178,'Major Cities &amp; Towns'!$A$28:$B$345,2,FALSE)</f>
        <v>344</v>
      </c>
      <c r="BH178" s="269">
        <f>AZ178*VLOOKUP($B178,'Major Cities &amp; Towns'!$A$28:$B$345,2,FALSE)</f>
        <v>349</v>
      </c>
      <c r="BI178" s="269">
        <f>BA178*VLOOKUP($B178,'Major Cities &amp; Towns'!$A$28:$B$345,2,FALSE)</f>
        <v>355</v>
      </c>
      <c r="BJ178" s="269">
        <f>BB178*VLOOKUP($B178,'Major Cities &amp; Towns'!$A$28:$B$345,2,FALSE)</f>
        <v>359</v>
      </c>
      <c r="BK178" s="269">
        <f>BC178*VLOOKUP($B178,'Major Cities &amp; Towns'!$A$28:$B$345,2,FALSE)</f>
        <v>359</v>
      </c>
      <c r="BL178" s="269">
        <f>BD178*VLOOKUP($B178,'Major Cities &amp; Towns'!$A$28:$B$345,2,FALSE)</f>
        <v>355</v>
      </c>
      <c r="BM178" s="269">
        <f>BE178*VLOOKUP($B178,'Major Cities &amp; Towns'!$A$28:$B$345,2,FALSE)</f>
        <v>351</v>
      </c>
      <c r="BN178" s="269">
        <f>BF178*VLOOKUP($B178,'Major Cities &amp; Towns'!$A$28:$B$345,2,FALSE)</f>
        <v>344</v>
      </c>
      <c r="BO178" s="270">
        <f t="shared" si="130"/>
        <v>344</v>
      </c>
      <c r="BP178" s="270">
        <f t="shared" si="147"/>
        <v>349</v>
      </c>
      <c r="BQ178" s="270">
        <f t="shared" si="147"/>
        <v>355</v>
      </c>
      <c r="BR178" s="270">
        <f t="shared" si="147"/>
        <v>359</v>
      </c>
      <c r="BS178" s="270">
        <f t="shared" si="146"/>
        <v>359</v>
      </c>
      <c r="BT178" s="270">
        <f t="shared" si="146"/>
        <v>355</v>
      </c>
      <c r="BU178" s="270">
        <f t="shared" si="146"/>
        <v>351</v>
      </c>
      <c r="BV178" s="270">
        <f t="shared" si="146"/>
        <v>344</v>
      </c>
      <c r="BW178" s="39">
        <f>VLOOKUP($A178,NetAdditions!$A$2:$H$336,6,FALSE)</f>
        <v>238</v>
      </c>
      <c r="BX178" s="39">
        <f>VLOOKUP($A178,NetAdditions!$A$2:$H$336,7,FALSE)</f>
        <v>320</v>
      </c>
      <c r="BY178" s="39">
        <f>IF((VLOOKUP($C178,NetAdditions!$A$2:$H$336,8,FALSE))="",(AVERAGE(VLOOKUP($C178,NetAdditions!$A$2:$H$336,5,FALSE),VLOOKUP($C178,NetAdditions!$A$2:$H$336,6,FALSE),VLOOKUP($C178,NetAdditions!$A$2:$H$336,7,FALSE))),VLOOKUP($C178,NetAdditions!$A$2:$H$336,8,FALSE))</f>
        <v>630</v>
      </c>
      <c r="BZ178" s="39">
        <f t="shared" si="150"/>
        <v>396</v>
      </c>
      <c r="CA178" s="39">
        <f t="shared" si="150"/>
        <v>448.66666666666669</v>
      </c>
      <c r="CB178" s="39">
        <f t="shared" si="150"/>
        <v>491.5555555555556</v>
      </c>
      <c r="CC178" s="39">
        <f t="shared" si="150"/>
        <v>445.40740740740745</v>
      </c>
      <c r="CD178" s="39">
        <f t="shared" si="150"/>
        <v>461.87654320987662</v>
      </c>
      <c r="CE178" s="276">
        <f t="shared" si="106"/>
        <v>1048</v>
      </c>
      <c r="CF178" s="276">
        <f t="shared" si="107"/>
        <v>1063</v>
      </c>
      <c r="CG178" s="276">
        <f t="shared" si="108"/>
        <v>1073</v>
      </c>
      <c r="CH178" s="276">
        <f t="shared" si="109"/>
        <v>1073</v>
      </c>
      <c r="CI178" s="276">
        <f t="shared" si="110"/>
        <v>1065</v>
      </c>
      <c r="CJ178" s="276">
        <f t="shared" si="111"/>
        <v>1050</v>
      </c>
      <c r="CK178" s="276">
        <f t="shared" si="131"/>
        <v>902.44444444444446</v>
      </c>
      <c r="CL178" s="276">
        <f t="shared" si="132"/>
        <v>915.3611111111112</v>
      </c>
      <c r="CM178" s="276">
        <f t="shared" si="133"/>
        <v>983.58333333333326</v>
      </c>
      <c r="CN178" s="276">
        <f t="shared" si="134"/>
        <v>1073</v>
      </c>
      <c r="CO178" s="276">
        <f t="shared" si="134"/>
        <v>1065</v>
      </c>
      <c r="CP178" s="276">
        <f t="shared" si="134"/>
        <v>1050</v>
      </c>
      <c r="CQ178" s="39">
        <f t="shared" si="112"/>
        <v>1188</v>
      </c>
      <c r="CR178" s="39">
        <f t="shared" si="113"/>
        <v>1346</v>
      </c>
      <c r="CS178" s="277">
        <f t="shared" si="114"/>
        <v>1474.6666666666667</v>
      </c>
      <c r="CT178" s="39">
        <f t="shared" si="115"/>
        <v>1336.2222222222224</v>
      </c>
      <c r="CU178" s="39">
        <f t="shared" si="116"/>
        <v>1385.6296296296298</v>
      </c>
      <c r="CV178" s="39">
        <f t="shared" si="117"/>
        <v>1398.8395061728397</v>
      </c>
      <c r="CW178" s="297">
        <f t="shared" si="118"/>
        <v>1.316424525978823</v>
      </c>
      <c r="CX178" s="279" t="str">
        <f t="shared" si="135"/>
        <v>Pass</v>
      </c>
      <c r="CY178" s="278">
        <f t="shared" si="119"/>
        <v>1.4704579249233756</v>
      </c>
      <c r="CZ178" s="279" t="str">
        <f t="shared" si="136"/>
        <v>Pass</v>
      </c>
      <c r="DA178" s="278">
        <f t="shared" si="120"/>
        <v>1.4992798441074304</v>
      </c>
      <c r="DB178" s="292" t="str">
        <f t="shared" si="137"/>
        <v>Pass</v>
      </c>
      <c r="DC178" s="299">
        <f t="shared" si="138"/>
        <v>1.2453142797970387</v>
      </c>
      <c r="DD178" s="293" t="str">
        <f t="shared" si="139"/>
        <v>Pass</v>
      </c>
      <c r="DE178" s="299">
        <f t="shared" si="140"/>
        <v>1.301060685098244</v>
      </c>
      <c r="DF178" s="293" t="str">
        <f t="shared" si="141"/>
        <v>Pass</v>
      </c>
      <c r="DG178" s="299">
        <f t="shared" si="142"/>
        <v>1.3322281011169903</v>
      </c>
      <c r="DH178" s="293" t="str">
        <f t="shared" si="143"/>
        <v>Pass</v>
      </c>
    </row>
    <row r="179" spans="1:112" customFormat="1" ht="15.5" thickTop="1" thickBot="1">
      <c r="A179" s="3" t="s">
        <v>468</v>
      </c>
      <c r="B179" s="3" t="s">
        <v>469</v>
      </c>
      <c r="C179" s="3" t="s">
        <v>468</v>
      </c>
      <c r="D179" s="3" t="s">
        <v>131</v>
      </c>
      <c r="E179" s="3" t="str">
        <f>VLOOKUP(C179,PoliticalControl!A:K,11,FALSE)</f>
        <v>LAB</v>
      </c>
      <c r="F179" s="3" t="str">
        <f>VLOOKUP(C179,UrbanRuralClassification!A:N,13,FALSE)</f>
        <v>Urban with Major Conurbation</v>
      </c>
      <c r="G179" s="3" t="str">
        <f>VLOOKUP(C179,UrbanRuralClassification!A:N,14,FALSE)</f>
        <v>Predominantly Urban</v>
      </c>
      <c r="H179" s="262">
        <f>IF(ISBLANK((VLOOKUP($A179,'local-plan-data'!$C$1:$AD$566,27,FALSE)))=TRUE,"",VLOOKUP($A179,'local-plan-data'!$C$1:$AD$566,27,FALSE))</f>
        <v>43444</v>
      </c>
      <c r="I179" s="263">
        <f>VLOOKUP($A179,'local-plan-data'!$C$1:$AD$566,28,FALSE)</f>
        <v>2866.6666666666665</v>
      </c>
      <c r="J179" s="264">
        <f t="shared" si="121"/>
        <v>2866.6666666666665</v>
      </c>
      <c r="K179" s="259">
        <f t="shared" si="144"/>
        <v>2866.6666666666665</v>
      </c>
      <c r="L179" s="259">
        <f t="shared" si="148"/>
        <v>2866.6666666666665</v>
      </c>
      <c r="M179" s="259">
        <f t="shared" si="148"/>
        <v>2866.6666666666665</v>
      </c>
      <c r="N179" s="259">
        <f t="shared" si="148"/>
        <v>2866.6666666666665</v>
      </c>
      <c r="O179" s="259">
        <f t="shared" si="148"/>
        <v>2866.6666666666665</v>
      </c>
      <c r="P179" s="259">
        <f t="shared" si="148"/>
        <v>2866.6666666666665</v>
      </c>
      <c r="Q179" s="259" t="str">
        <f t="shared" si="148"/>
        <v>-</v>
      </c>
      <c r="R179" s="259" t="str">
        <f t="shared" si="148"/>
        <v>-</v>
      </c>
      <c r="S179" s="259">
        <f t="shared" si="145"/>
        <v>2079</v>
      </c>
      <c r="T179" s="259">
        <f t="shared" si="149"/>
        <v>1714</v>
      </c>
      <c r="U179" s="259">
        <f t="shared" si="149"/>
        <v>1348</v>
      </c>
      <c r="V179" s="259">
        <f t="shared" si="149"/>
        <v>983</v>
      </c>
      <c r="W179" s="259">
        <f t="shared" si="149"/>
        <v>618</v>
      </c>
      <c r="X179" s="259">
        <f t="shared" si="149"/>
        <v>253</v>
      </c>
      <c r="Y179" s="259">
        <f t="shared" si="149"/>
        <v>-113</v>
      </c>
      <c r="Z179" s="259">
        <f t="shared" si="149"/>
        <v>-478</v>
      </c>
      <c r="AA179" s="267">
        <f>(VLOOKUP(A179,Hshldprojections2014!$A$2:$AW$319,40, FALSE)-VLOOKUP(A179,Hshldprojections2014!$A$2:$AW$319,30, FALSE))/10</f>
        <v>2556.9</v>
      </c>
      <c r="AB179" s="267">
        <f>(VLOOKUP(A179,Hshldprojections2014!$A$2:$AW$319,41, FALSE)-VLOOKUP(A179,Hshldprojections2014!$A$2:$AW$319,31, FALSE))/10</f>
        <v>2472</v>
      </c>
      <c r="AC179" s="267">
        <f>(VLOOKUP(A179,Hshldprojections2014!$A$2:$AW$319,42, FALSE)-VLOOKUP(A179,Hshldprojections2014!$A$2:$AW$319,32, FALSE))/10</f>
        <v>2395.9</v>
      </c>
      <c r="AD179" s="267">
        <f>IF(IndividualLATest!$J$7=2014,(VLOOKUP($A179,Hshldprojections2014!$A$2:$AY$326,43,FALSE)-VLOOKUP($A179,Hshldprojections2014!$A$2:$AY$326,33,FALSE))/10,IF(IndividualLATest!$J$7=2016,(VLOOKUP($A179,Hshldprojections2016!$A$1:$AQ$322,33,FALSE)-VLOOKUP($A179,Hshldprojections2016!$A$1:$AQ$322,23,FALSE))/10,(VLOOKUP($A179,Hshldprojections2018!$A$1:$AQ$327,33,FALSE)-VLOOKUP($A179,Hshldprojections2018!$A$1:$AQ$327,23,FALSE))/10))</f>
        <v>1313.4</v>
      </c>
      <c r="AE179" s="267">
        <f>IF(IndividualLATest!$J$7=2014,(VLOOKUP($A179,Hshldprojections2014!$A$2:$AY$326,44,FALSE)-VLOOKUP($A179,Hshldprojections2014!$A$2:$AY$326,34,FALSE))/10,IF(IndividualLATest!$J$7=2016,(VLOOKUP($A179,Hshldprojections2016!$A$1:$AQ$322,34,FALSE)-VLOOKUP($A179,Hshldprojections2016!$A$1:$AQ$322,24,FALSE))/10,(VLOOKUP($A179,Hshldprojections2018!$A$1:$AQ$327,34,FALSE)-VLOOKUP($A179,Hshldprojections2018!$A$1:$AQ$327,24,FALSE))/10))</f>
        <v>1251.7</v>
      </c>
      <c r="AF179" s="267">
        <f>IF(IndividualLATest!$J$7=2014,(VLOOKUP($A179,Hshldprojections2014!$A$2:$AY$326,45,FALSE)-VLOOKUP($A179,Hshldprojections2014!$A$2:$AY$326,35,FALSE))/10,IF(IndividualLATest!$J$7=2016,(VLOOKUP($A179,Hshldprojections2016!$A$1:$AQ$322,35,FALSE)-VLOOKUP($A179,Hshldprojections2016!$A$1:$AQ$322,25,FALSE))/10,(VLOOKUP($A179,Hshldprojections2018!$A$1:$AQ$327,35,FALSE)-VLOOKUP($A179,Hshldprojections2018!$A$1:$AQ$327,25,FALSE))/10))</f>
        <v>1200.8</v>
      </c>
      <c r="AG179" s="267">
        <f>IF(IndividualLATest!$J$7=2014,(VLOOKUP($A179,Hshldprojections2014!$A$2:$AY$326,46,FALSE)-VLOOKUP($A179,Hshldprojections2014!$A$2:$AY$326,36,FALSE))/10,IF(IndividualLATest!$J$7=2016,(VLOOKUP($A179,Hshldprojections2016!$A$1:$AQ$322,36,FALSE)-VLOOKUP($A179,Hshldprojections2016!$A$1:$AQ$322,26,FALSE))/10,(VLOOKUP($A179,Hshldprojections2018!$A$1:$AQ$327,36,FALSE)-VLOOKUP($A179,Hshldprojections2018!$A$1:$AQ$327,26,FALSE))/10))</f>
        <v>1158.9000000000001</v>
      </c>
      <c r="AH179" s="267">
        <f>IF(IndividualLATest!$J$7=2014,(VLOOKUP($A179,Hshldprojections2014!$A$2:$AY$326,47,FALSE)-VLOOKUP($A179,Hshldprojections2014!$A$2:$AY$326,37,FALSE))/10,IF(IndividualLATest!$J$7=2016,(VLOOKUP($A179,Hshldprojections2016!$A$1:$AQ$322,37,FALSE)-VLOOKUP($A179,Hshldprojections2016!$A$1:$AQ$322,27,FALSE))/10,(VLOOKUP($A179,Hshldprojections2018!$A$1:$AQ$327,37,FALSE)-VLOOKUP($A179,Hshldprojections2018!$A$1:$AQ$327,27,FALSE))/10))</f>
        <v>1126.2</v>
      </c>
      <c r="AI179" s="268">
        <f>IF(ISNUMBER('Sensitivity Tests'!$C$30),'Sensitivity Tests'!$C$30,VLOOKUP($A179,AffordabilityRatio!$A$2:$I$321,5,FALSE))</f>
        <v>12.67</v>
      </c>
      <c r="AJ179" s="268">
        <f>IF(ISNUMBER('Sensitivity Tests'!$C$30),'Sensitivity Tests'!$C$30,VLOOKUP($A179,AffordabilityRatio!$A$2:$I$321,6,FALSE))</f>
        <v>13.49</v>
      </c>
      <c r="AK179" s="268">
        <f>IF(ISNUMBER('Sensitivity Tests'!$C$30),'Sensitivity Tests'!$C$30,VLOOKUP($A179,AffordabilityRatio!$A$2:$I$321,7,FALSE))</f>
        <v>12.31</v>
      </c>
      <c r="AL179" s="268">
        <f>IF(ISNUMBER('Sensitivity Tests'!$C$30),'Sensitivity Tests'!$C$30,IF((VLOOKUP($A179,AffordabilityRatio!$A$2:$I$321,8,FALSE))="",AK179,VLOOKUP($A179,AffordabilityRatio!$A$2:$I$321,8,FALSE)))</f>
        <v>12.1</v>
      </c>
      <c r="AM179" s="268">
        <f>IF(ISNUMBER('Sensitivity Tests'!$C$30),'Sensitivity Tests'!$C$30,IF((VLOOKUP($A179,AffordabilityRatio!$A$2:$I$321,9,FALSE))="",AL179,VLOOKUP($A179,AffordabilityRatio!$A$2:$I$321,9,FALSE)))</f>
        <v>11.72</v>
      </c>
      <c r="AN179" s="268">
        <f>IF(ISNUMBER('Sensitivity Tests'!$C$30),'Sensitivity Tests'!$C$30,IF((VLOOKUP($A179,AffordabilityRatio!$A$2:$I$321,9,FALSE))="",AM179,VLOOKUP($A179,AffordabilityRatio!$A$2:$I$321,9,FALSE)))</f>
        <v>11.72</v>
      </c>
      <c r="AO179" s="268">
        <f>IF(ISNUMBER('Sensitivity Tests'!$C$30),'Sensitivity Tests'!$C$30,IF((VLOOKUP($A179,AffordabilityRatio!$A$2:$I$321,9,FALSE))="",AN179,VLOOKUP($A179,AffordabilityRatio!$A$2:$I$321,9,FALSE)))</f>
        <v>11.72</v>
      </c>
      <c r="AP179" s="268">
        <f>IF(ISNUMBER('Sensitivity Tests'!$C$30),'Sensitivity Tests'!$C$30,IF((VLOOKUP($A179,AffordabilityRatio!$A$2:$I$321,9,FALSE))="",AO179,VLOOKUP($A179,AffordabilityRatio!$A$2:$I$321,9,FALSE)))</f>
        <v>11.72</v>
      </c>
      <c r="AQ179" s="267">
        <f t="shared" si="104"/>
        <v>3942</v>
      </c>
      <c r="AR179" s="267">
        <f t="shared" si="104"/>
        <v>3938</v>
      </c>
      <c r="AS179" s="267">
        <f t="shared" si="104"/>
        <v>3640</v>
      </c>
      <c r="AT179" s="267">
        <f t="shared" si="104"/>
        <v>1978</v>
      </c>
      <c r="AU179" s="267">
        <f t="shared" si="104"/>
        <v>1856</v>
      </c>
      <c r="AV179" s="267">
        <f t="shared" si="151"/>
        <v>1780</v>
      </c>
      <c r="AW179" s="267">
        <f t="shared" si="151"/>
        <v>1718</v>
      </c>
      <c r="AX179" s="267">
        <f t="shared" si="151"/>
        <v>1670</v>
      </c>
      <c r="AY179" s="267">
        <f t="shared" si="122"/>
        <v>3942</v>
      </c>
      <c r="AZ179" s="267">
        <f t="shared" si="123"/>
        <v>3938</v>
      </c>
      <c r="BA179" s="267">
        <f t="shared" si="124"/>
        <v>3640</v>
      </c>
      <c r="BB179" s="267">
        <f t="shared" si="125"/>
        <v>1978</v>
      </c>
      <c r="BC179" s="267">
        <f t="shared" si="126"/>
        <v>1856</v>
      </c>
      <c r="BD179" s="267">
        <f t="shared" si="127"/>
        <v>1780</v>
      </c>
      <c r="BE179" s="267">
        <f t="shared" si="128"/>
        <v>1718</v>
      </c>
      <c r="BF179" s="267">
        <f t="shared" si="129"/>
        <v>1670</v>
      </c>
      <c r="BG179" s="269">
        <f>AY179*VLOOKUP($B179,'Major Cities &amp; Towns'!$A$28:$B$345,2,FALSE)</f>
        <v>5321.7000000000007</v>
      </c>
      <c r="BH179" s="269">
        <f>AZ179*VLOOKUP($B179,'Major Cities &amp; Towns'!$A$28:$B$345,2,FALSE)</f>
        <v>5316.3</v>
      </c>
      <c r="BI179" s="269">
        <f>BA179*VLOOKUP($B179,'Major Cities &amp; Towns'!$A$28:$B$345,2,FALSE)</f>
        <v>4914</v>
      </c>
      <c r="BJ179" s="269">
        <f>BB179*VLOOKUP($B179,'Major Cities &amp; Towns'!$A$28:$B$345,2,FALSE)</f>
        <v>2670.3</v>
      </c>
      <c r="BK179" s="269">
        <f>BC179*VLOOKUP($B179,'Major Cities &amp; Towns'!$A$28:$B$345,2,FALSE)</f>
        <v>2505.6000000000004</v>
      </c>
      <c r="BL179" s="269">
        <f>BD179*VLOOKUP($B179,'Major Cities &amp; Towns'!$A$28:$B$345,2,FALSE)</f>
        <v>2403</v>
      </c>
      <c r="BM179" s="269">
        <f>BE179*VLOOKUP($B179,'Major Cities &amp; Towns'!$A$28:$B$345,2,FALSE)</f>
        <v>2319.3000000000002</v>
      </c>
      <c r="BN179" s="269">
        <f>BF179*VLOOKUP($B179,'Major Cities &amp; Towns'!$A$28:$B$345,2,FALSE)</f>
        <v>2254.5</v>
      </c>
      <c r="BO179" s="270">
        <f t="shared" si="130"/>
        <v>2866.6666666666665</v>
      </c>
      <c r="BP179" s="270">
        <f t="shared" si="147"/>
        <v>2866.6666666666665</v>
      </c>
      <c r="BQ179" s="270">
        <f t="shared" si="147"/>
        <v>2866.6666666666665</v>
      </c>
      <c r="BR179" s="270">
        <f t="shared" si="147"/>
        <v>1978</v>
      </c>
      <c r="BS179" s="270">
        <f t="shared" si="146"/>
        <v>1856</v>
      </c>
      <c r="BT179" s="270">
        <f t="shared" si="146"/>
        <v>2211.8328767123289</v>
      </c>
      <c r="BU179" s="270">
        <f t="shared" si="146"/>
        <v>1718</v>
      </c>
      <c r="BV179" s="270">
        <f t="shared" si="146"/>
        <v>1670</v>
      </c>
      <c r="BW179" s="39">
        <f>VLOOKUP($A179,NetAdditions!$A$2:$H$336,6,FALSE)</f>
        <v>2505</v>
      </c>
      <c r="BX179" s="39">
        <f>VLOOKUP($A179,NetAdditions!$A$2:$H$336,7,FALSE)</f>
        <v>3368</v>
      </c>
      <c r="BY179" s="39">
        <f>IF((VLOOKUP($C179,NetAdditions!$A$2:$H$336,8,FALSE))="",(AVERAGE(VLOOKUP($C179,NetAdditions!$A$2:$H$336,5,FALSE),VLOOKUP($C179,NetAdditions!$A$2:$H$336,6,FALSE),VLOOKUP($C179,NetAdditions!$A$2:$H$336,7,FALSE))),VLOOKUP($C179,NetAdditions!$A$2:$H$336,8,FALSE))</f>
        <v>1813</v>
      </c>
      <c r="BZ179" s="39">
        <f t="shared" si="150"/>
        <v>2562</v>
      </c>
      <c r="CA179" s="39">
        <f t="shared" si="150"/>
        <v>2581</v>
      </c>
      <c r="CB179" s="39">
        <f t="shared" si="150"/>
        <v>2318.6666666666665</v>
      </c>
      <c r="CC179" s="39">
        <f t="shared" si="150"/>
        <v>2487.2222222222222</v>
      </c>
      <c r="CD179" s="39">
        <f t="shared" si="150"/>
        <v>2462.2962962962961</v>
      </c>
      <c r="CE179" s="276">
        <f t="shared" si="106"/>
        <v>8600</v>
      </c>
      <c r="CF179" s="276">
        <f t="shared" si="107"/>
        <v>7711.333333333333</v>
      </c>
      <c r="CG179" s="276">
        <f t="shared" si="108"/>
        <v>6700.6666666666661</v>
      </c>
      <c r="CH179" s="276">
        <f t="shared" si="109"/>
        <v>6045.8328767123294</v>
      </c>
      <c r="CI179" s="276">
        <f t="shared" si="110"/>
        <v>5785.8328767123294</v>
      </c>
      <c r="CJ179" s="276">
        <f t="shared" si="111"/>
        <v>5599.8328767123294</v>
      </c>
      <c r="CK179" s="276">
        <f t="shared" si="131"/>
        <v>7405.5555555555557</v>
      </c>
      <c r="CL179" s="276">
        <f t="shared" si="132"/>
        <v>6640.3148148148148</v>
      </c>
      <c r="CM179" s="276">
        <f t="shared" si="133"/>
        <v>6142.2777777777774</v>
      </c>
      <c r="CN179" s="276">
        <f t="shared" si="134"/>
        <v>6045.8328767123294</v>
      </c>
      <c r="CO179" s="276">
        <f t="shared" si="134"/>
        <v>5785.8328767123294</v>
      </c>
      <c r="CP179" s="276">
        <f t="shared" si="134"/>
        <v>5599.8328767123294</v>
      </c>
      <c r="CQ179" s="39">
        <f t="shared" si="112"/>
        <v>7686</v>
      </c>
      <c r="CR179" s="39">
        <f t="shared" si="113"/>
        <v>7743</v>
      </c>
      <c r="CS179" s="277">
        <f t="shared" si="114"/>
        <v>6956</v>
      </c>
      <c r="CT179" s="39">
        <f t="shared" si="115"/>
        <v>7461.6666666666661</v>
      </c>
      <c r="CU179" s="39">
        <f t="shared" si="116"/>
        <v>7386.8888888888887</v>
      </c>
      <c r="CV179" s="39">
        <f t="shared" si="117"/>
        <v>7268.1851851851843</v>
      </c>
      <c r="CW179" s="297">
        <f t="shared" si="118"/>
        <v>1.0378694673668416</v>
      </c>
      <c r="CX179" s="279" t="str">
        <f t="shared" si="135"/>
        <v>Pass</v>
      </c>
      <c r="CY179" s="278">
        <f t="shared" si="119"/>
        <v>1.1660591727857614</v>
      </c>
      <c r="CZ179" s="279" t="str">
        <f t="shared" si="136"/>
        <v>Pass</v>
      </c>
      <c r="DA179" s="278">
        <f t="shared" si="120"/>
        <v>1.1324789030489957</v>
      </c>
      <c r="DB179" s="292" t="str">
        <f t="shared" si="137"/>
        <v>Pass</v>
      </c>
      <c r="DC179" s="299">
        <f t="shared" si="138"/>
        <v>1.2341834150606317</v>
      </c>
      <c r="DD179" s="293" t="str">
        <f t="shared" si="139"/>
        <v>Pass</v>
      </c>
      <c r="DE179" s="299">
        <f t="shared" si="140"/>
        <v>1.2767200585106295</v>
      </c>
      <c r="DF179" s="293" t="str">
        <f t="shared" si="141"/>
        <v>Pass</v>
      </c>
      <c r="DG179" s="299">
        <f t="shared" si="142"/>
        <v>1.2979289463103312</v>
      </c>
      <c r="DH179" s="293" t="str">
        <f t="shared" si="143"/>
        <v>Pass</v>
      </c>
    </row>
    <row r="180" spans="1:112" ht="15" thickTop="1" thickBot="1">
      <c r="A180" s="38" t="s">
        <v>470</v>
      </c>
      <c r="B180" s="38" t="s">
        <v>471</v>
      </c>
      <c r="C180" s="38" t="s">
        <v>470</v>
      </c>
      <c r="D180" s="38" t="s">
        <v>147</v>
      </c>
      <c r="E180" s="38" t="str">
        <f>VLOOKUP(C180,PoliticalControl!A:K,11,FALSE)</f>
        <v>NOC</v>
      </c>
      <c r="F180" s="38" t="str">
        <f>VLOOKUP(C180,UrbanRuralClassification!A:N,13,FALSE)</f>
        <v xml:space="preserve">Largely Rural (rural including hub towns 50-79%) </v>
      </c>
      <c r="G180" s="38" t="str">
        <f>VLOOKUP(C180,UrbanRuralClassification!A:N,14,FALSE)</f>
        <v>Predominantly Rural</v>
      </c>
      <c r="H180" s="258">
        <f>IF(ISBLANK((VLOOKUP($A180,'local-plan-data'!$C$1:$AD$566,27,FALSE)))=TRUE,"",VLOOKUP($A180,'local-plan-data'!$C$1:$AD$566,27,FALSE))</f>
        <v>43402</v>
      </c>
      <c r="I180" s="259">
        <f>VLOOKUP($A180,'local-plan-data'!$C$1:$AD$566,28,FALSE)</f>
        <v>861</v>
      </c>
      <c r="J180" s="260">
        <f t="shared" si="121"/>
        <v>861</v>
      </c>
      <c r="K180" s="259">
        <f t="shared" si="144"/>
        <v>861</v>
      </c>
      <c r="L180" s="259">
        <f t="shared" si="148"/>
        <v>861</v>
      </c>
      <c r="M180" s="259">
        <f t="shared" si="148"/>
        <v>861</v>
      </c>
      <c r="N180" s="259">
        <f t="shared" si="148"/>
        <v>861</v>
      </c>
      <c r="O180" s="259">
        <f t="shared" si="148"/>
        <v>861</v>
      </c>
      <c r="P180" s="259">
        <f t="shared" si="148"/>
        <v>861</v>
      </c>
      <c r="Q180" s="259" t="str">
        <f t="shared" si="148"/>
        <v>-</v>
      </c>
      <c r="R180" s="259" t="str">
        <f t="shared" si="148"/>
        <v>-</v>
      </c>
      <c r="S180" s="259">
        <f t="shared" si="145"/>
        <v>2037</v>
      </c>
      <c r="T180" s="259">
        <f t="shared" si="149"/>
        <v>1672</v>
      </c>
      <c r="U180" s="259">
        <f t="shared" si="149"/>
        <v>1306</v>
      </c>
      <c r="V180" s="259">
        <f t="shared" si="149"/>
        <v>941</v>
      </c>
      <c r="W180" s="259">
        <f t="shared" si="149"/>
        <v>576</v>
      </c>
      <c r="X180" s="259">
        <f t="shared" si="149"/>
        <v>211</v>
      </c>
      <c r="Y180" s="259">
        <f t="shared" si="149"/>
        <v>-155</v>
      </c>
      <c r="Z180" s="259">
        <f t="shared" si="149"/>
        <v>-520</v>
      </c>
      <c r="AA180" s="267">
        <f>(VLOOKUP(A180,Hshldprojections2014!$A$2:$AW$319,40, FALSE)-VLOOKUP(A180,Hshldprojections2014!$A$2:$AW$319,30, FALSE))/10</f>
        <v>236.8</v>
      </c>
      <c r="AB180" s="267">
        <f>(VLOOKUP(A180,Hshldprojections2014!$A$2:$AW$319,41, FALSE)-VLOOKUP(A180,Hshldprojections2014!$A$2:$AW$319,31, FALSE))/10</f>
        <v>239</v>
      </c>
      <c r="AC180" s="267">
        <f>(VLOOKUP(A180,Hshldprojections2014!$A$2:$AW$319,42, FALSE)-VLOOKUP(A180,Hshldprojections2014!$A$2:$AW$319,32, FALSE))/10</f>
        <v>241.7</v>
      </c>
      <c r="AD180" s="267">
        <f>IF(IndividualLATest!$J$7=2014,(VLOOKUP($A180,Hshldprojections2014!$A$2:$AY$326,43,FALSE)-VLOOKUP($A180,Hshldprojections2014!$A$2:$AY$326,33,FALSE))/10,IF(IndividualLATest!$J$7=2016,(VLOOKUP($A180,Hshldprojections2016!$A$1:$AQ$322,33,FALSE)-VLOOKUP($A180,Hshldprojections2016!$A$1:$AQ$322,23,FALSE))/10,(VLOOKUP($A180,Hshldprojections2018!$A$1:$AQ$327,33,FALSE)-VLOOKUP($A180,Hshldprojections2018!$A$1:$AQ$327,23,FALSE))/10))</f>
        <v>404.4</v>
      </c>
      <c r="AE180" s="267">
        <f>IF(IndividualLATest!$J$7=2014,(VLOOKUP($A180,Hshldprojections2014!$A$2:$AY$326,44,FALSE)-VLOOKUP($A180,Hshldprojections2014!$A$2:$AY$326,34,FALSE))/10,IF(IndividualLATest!$J$7=2016,(VLOOKUP($A180,Hshldprojections2016!$A$1:$AQ$322,34,FALSE)-VLOOKUP($A180,Hshldprojections2016!$A$1:$AQ$322,24,FALSE))/10,(VLOOKUP($A180,Hshldprojections2018!$A$1:$AQ$327,34,FALSE)-VLOOKUP($A180,Hshldprojections2018!$A$1:$AQ$327,24,FALSE))/10))</f>
        <v>398</v>
      </c>
      <c r="AF180" s="267">
        <f>IF(IndividualLATest!$J$7=2014,(VLOOKUP($A180,Hshldprojections2014!$A$2:$AY$326,45,FALSE)-VLOOKUP($A180,Hshldprojections2014!$A$2:$AY$326,35,FALSE))/10,IF(IndividualLATest!$J$7=2016,(VLOOKUP($A180,Hshldprojections2016!$A$1:$AQ$322,35,FALSE)-VLOOKUP($A180,Hshldprojections2016!$A$1:$AQ$322,25,FALSE))/10,(VLOOKUP($A180,Hshldprojections2018!$A$1:$AQ$327,35,FALSE)-VLOOKUP($A180,Hshldprojections2018!$A$1:$AQ$327,25,FALSE))/10))</f>
        <v>391.3</v>
      </c>
      <c r="AG180" s="267">
        <f>IF(IndividualLATest!$J$7=2014,(VLOOKUP($A180,Hshldprojections2014!$A$2:$AY$326,46,FALSE)-VLOOKUP($A180,Hshldprojections2014!$A$2:$AY$326,36,FALSE))/10,IF(IndividualLATest!$J$7=2016,(VLOOKUP($A180,Hshldprojections2016!$A$1:$AQ$322,36,FALSE)-VLOOKUP($A180,Hshldprojections2016!$A$1:$AQ$322,26,FALSE))/10,(VLOOKUP($A180,Hshldprojections2018!$A$1:$AQ$327,36,FALSE)-VLOOKUP($A180,Hshldprojections2018!$A$1:$AQ$327,26,FALSE))/10))</f>
        <v>383</v>
      </c>
      <c r="AH180" s="267">
        <f>IF(IndividualLATest!$J$7=2014,(VLOOKUP($A180,Hshldprojections2014!$A$2:$AY$326,47,FALSE)-VLOOKUP($A180,Hshldprojections2014!$A$2:$AY$326,37,FALSE))/10,IF(IndividualLATest!$J$7=2016,(VLOOKUP($A180,Hshldprojections2016!$A$1:$AQ$322,37,FALSE)-VLOOKUP($A180,Hshldprojections2016!$A$1:$AQ$322,27,FALSE))/10,(VLOOKUP($A180,Hshldprojections2018!$A$1:$AQ$327,37,FALSE)-VLOOKUP($A180,Hshldprojections2018!$A$1:$AQ$327,27,FALSE))/10))</f>
        <v>376.8</v>
      </c>
      <c r="AI180" s="268">
        <f>IF(ISNUMBER('Sensitivity Tests'!$C$30),'Sensitivity Tests'!$C$30,VLOOKUP($A180,AffordabilityRatio!$A$2:$I$321,5,FALSE))</f>
        <v>10.02</v>
      </c>
      <c r="AJ180" s="268">
        <f>IF(ISNUMBER('Sensitivity Tests'!$C$30),'Sensitivity Tests'!$C$30,VLOOKUP($A180,AffordabilityRatio!$A$2:$I$321,6,FALSE))</f>
        <v>9.85</v>
      </c>
      <c r="AK180" s="268">
        <f>IF(ISNUMBER('Sensitivity Tests'!$C$30),'Sensitivity Tests'!$C$30,VLOOKUP($A180,AffordabilityRatio!$A$2:$I$321,7,FALSE))</f>
        <v>10.28</v>
      </c>
      <c r="AL180" s="268">
        <f>IF(ISNUMBER('Sensitivity Tests'!$C$30),'Sensitivity Tests'!$C$30,IF((VLOOKUP($A180,AffordabilityRatio!$A$2:$I$321,8,FALSE))="",AK180,VLOOKUP($A180,AffordabilityRatio!$A$2:$I$321,8,FALSE)))</f>
        <v>10.17</v>
      </c>
      <c r="AM180" s="268">
        <f>IF(ISNUMBER('Sensitivity Tests'!$C$30),'Sensitivity Tests'!$C$30,IF((VLOOKUP($A180,AffordabilityRatio!$A$2:$I$321,9,FALSE))="",AL180,VLOOKUP($A180,AffordabilityRatio!$A$2:$I$321,9,FALSE)))</f>
        <v>10.46</v>
      </c>
      <c r="AN180" s="268">
        <f>IF(ISNUMBER('Sensitivity Tests'!$C$30),'Sensitivity Tests'!$C$30,IF((VLOOKUP($A180,AffordabilityRatio!$A$2:$I$321,9,FALSE))="",AM180,VLOOKUP($A180,AffordabilityRatio!$A$2:$I$321,9,FALSE)))</f>
        <v>10.46</v>
      </c>
      <c r="AO180" s="268">
        <f>IF(ISNUMBER('Sensitivity Tests'!$C$30),'Sensitivity Tests'!$C$30,IF((VLOOKUP($A180,AffordabilityRatio!$A$2:$I$321,9,FALSE))="",AN180,VLOOKUP($A180,AffordabilityRatio!$A$2:$I$321,9,FALSE)))</f>
        <v>10.46</v>
      </c>
      <c r="AP180" s="268">
        <f>IF(ISNUMBER('Sensitivity Tests'!$C$30),'Sensitivity Tests'!$C$30,IF((VLOOKUP($A180,AffordabilityRatio!$A$2:$I$321,9,FALSE))="",AO180,VLOOKUP($A180,AffordabilityRatio!$A$2:$I$321,9,FALSE)))</f>
        <v>10.46</v>
      </c>
      <c r="AQ180" s="267">
        <f t="shared" si="104"/>
        <v>326</v>
      </c>
      <c r="AR180" s="267">
        <f t="shared" si="104"/>
        <v>326</v>
      </c>
      <c r="AS180" s="267">
        <f t="shared" si="104"/>
        <v>337</v>
      </c>
      <c r="AT180" s="267">
        <f t="shared" si="104"/>
        <v>560</v>
      </c>
      <c r="AU180" s="267">
        <f t="shared" si="104"/>
        <v>559</v>
      </c>
      <c r="AV180" s="267">
        <f t="shared" si="151"/>
        <v>549</v>
      </c>
      <c r="AW180" s="267">
        <f t="shared" si="151"/>
        <v>538</v>
      </c>
      <c r="AX180" s="267">
        <f t="shared" si="151"/>
        <v>529</v>
      </c>
      <c r="AY180" s="267">
        <f t="shared" si="122"/>
        <v>326</v>
      </c>
      <c r="AZ180" s="267">
        <f t="shared" si="123"/>
        <v>326</v>
      </c>
      <c r="BA180" s="267">
        <f t="shared" si="124"/>
        <v>337</v>
      </c>
      <c r="BB180" s="267">
        <f t="shared" si="125"/>
        <v>560</v>
      </c>
      <c r="BC180" s="267">
        <f t="shared" si="126"/>
        <v>559</v>
      </c>
      <c r="BD180" s="267">
        <f t="shared" si="127"/>
        <v>549</v>
      </c>
      <c r="BE180" s="267">
        <f t="shared" si="128"/>
        <v>538</v>
      </c>
      <c r="BF180" s="267">
        <f t="shared" si="129"/>
        <v>529</v>
      </c>
      <c r="BG180" s="269">
        <f>AY180*VLOOKUP($B180,'Major Cities &amp; Towns'!$A$28:$B$345,2,FALSE)</f>
        <v>326</v>
      </c>
      <c r="BH180" s="269">
        <f>AZ180*VLOOKUP($B180,'Major Cities &amp; Towns'!$A$28:$B$345,2,FALSE)</f>
        <v>326</v>
      </c>
      <c r="BI180" s="269">
        <f>BA180*VLOOKUP($B180,'Major Cities &amp; Towns'!$A$28:$B$345,2,FALSE)</f>
        <v>337</v>
      </c>
      <c r="BJ180" s="269">
        <f>BB180*VLOOKUP($B180,'Major Cities &amp; Towns'!$A$28:$B$345,2,FALSE)</f>
        <v>560</v>
      </c>
      <c r="BK180" s="269">
        <f>BC180*VLOOKUP($B180,'Major Cities &amp; Towns'!$A$28:$B$345,2,FALSE)</f>
        <v>559</v>
      </c>
      <c r="BL180" s="269">
        <f>BD180*VLOOKUP($B180,'Major Cities &amp; Towns'!$A$28:$B$345,2,FALSE)</f>
        <v>549</v>
      </c>
      <c r="BM180" s="269">
        <f>BE180*VLOOKUP($B180,'Major Cities &amp; Towns'!$A$28:$B$345,2,FALSE)</f>
        <v>538</v>
      </c>
      <c r="BN180" s="269">
        <f>BF180*VLOOKUP($B180,'Major Cities &amp; Towns'!$A$28:$B$345,2,FALSE)</f>
        <v>529</v>
      </c>
      <c r="BO180" s="270">
        <f t="shared" si="130"/>
        <v>326</v>
      </c>
      <c r="BP180" s="270">
        <f t="shared" si="147"/>
        <v>326</v>
      </c>
      <c r="BQ180" s="270">
        <f t="shared" si="147"/>
        <v>337</v>
      </c>
      <c r="BR180" s="270">
        <f t="shared" si="147"/>
        <v>560</v>
      </c>
      <c r="BS180" s="270">
        <f t="shared" si="146"/>
        <v>559</v>
      </c>
      <c r="BT180" s="270">
        <f t="shared" si="146"/>
        <v>549</v>
      </c>
      <c r="BU180" s="270">
        <f t="shared" si="146"/>
        <v>538</v>
      </c>
      <c r="BV180" s="270">
        <f t="shared" si="146"/>
        <v>529</v>
      </c>
      <c r="BW180" s="39">
        <f>VLOOKUP($A180,NetAdditions!$A$2:$H$336,6,FALSE)</f>
        <v>693</v>
      </c>
      <c r="BX180" s="39">
        <f>VLOOKUP($A180,NetAdditions!$A$2:$H$336,7,FALSE)</f>
        <v>887</v>
      </c>
      <c r="BY180" s="39">
        <f>IF((VLOOKUP($C180,NetAdditions!$A$2:$H$336,8,FALSE))="",(AVERAGE(VLOOKUP($C180,NetAdditions!$A$2:$H$336,5,FALSE),VLOOKUP($C180,NetAdditions!$A$2:$H$336,6,FALSE),VLOOKUP($C180,NetAdditions!$A$2:$H$336,7,FALSE))),VLOOKUP($C180,NetAdditions!$A$2:$H$336,8,FALSE))</f>
        <v>556</v>
      </c>
      <c r="BZ180" s="39">
        <f t="shared" si="150"/>
        <v>712</v>
      </c>
      <c r="CA180" s="39">
        <f t="shared" si="150"/>
        <v>718.33333333333337</v>
      </c>
      <c r="CB180" s="39">
        <f t="shared" si="150"/>
        <v>662.1111111111112</v>
      </c>
      <c r="CC180" s="39">
        <f t="shared" si="150"/>
        <v>697.48148148148164</v>
      </c>
      <c r="CD180" s="39">
        <f t="shared" si="150"/>
        <v>692.64197530864203</v>
      </c>
      <c r="CE180" s="276">
        <f t="shared" si="106"/>
        <v>989</v>
      </c>
      <c r="CF180" s="276">
        <f t="shared" si="107"/>
        <v>1223</v>
      </c>
      <c r="CG180" s="276">
        <f t="shared" si="108"/>
        <v>1456</v>
      </c>
      <c r="CH180" s="276">
        <f t="shared" si="109"/>
        <v>1668</v>
      </c>
      <c r="CI180" s="276">
        <f t="shared" si="110"/>
        <v>1646</v>
      </c>
      <c r="CJ180" s="276">
        <f t="shared" si="111"/>
        <v>1616</v>
      </c>
      <c r="CK180" s="276">
        <f t="shared" si="131"/>
        <v>851.63888888888891</v>
      </c>
      <c r="CL180" s="276">
        <f t="shared" si="132"/>
        <v>1053.1388888888889</v>
      </c>
      <c r="CM180" s="276">
        <f t="shared" si="133"/>
        <v>1334.6666666666665</v>
      </c>
      <c r="CN180" s="276">
        <f t="shared" si="134"/>
        <v>1668</v>
      </c>
      <c r="CO180" s="276">
        <f t="shared" si="134"/>
        <v>1646</v>
      </c>
      <c r="CP180" s="276">
        <f t="shared" si="134"/>
        <v>1616</v>
      </c>
      <c r="CQ180" s="39">
        <f t="shared" si="112"/>
        <v>2136</v>
      </c>
      <c r="CR180" s="39">
        <f t="shared" si="113"/>
        <v>2155</v>
      </c>
      <c r="CS180" s="277">
        <f t="shared" si="114"/>
        <v>1986.3333333333335</v>
      </c>
      <c r="CT180" s="39">
        <f t="shared" si="115"/>
        <v>2092.4444444444448</v>
      </c>
      <c r="CU180" s="39">
        <f t="shared" si="116"/>
        <v>2077.9259259259261</v>
      </c>
      <c r="CV180" s="39">
        <f t="shared" si="117"/>
        <v>2052.2345679012351</v>
      </c>
      <c r="CW180" s="297">
        <f t="shared" si="118"/>
        <v>2.5081052871913632</v>
      </c>
      <c r="CX180" s="279" t="str">
        <f t="shared" si="135"/>
        <v>Pass</v>
      </c>
      <c r="CY180" s="278">
        <f t="shared" si="119"/>
        <v>2.0462638145227232</v>
      </c>
      <c r="CZ180" s="279" t="str">
        <f t="shared" si="136"/>
        <v>Pass</v>
      </c>
      <c r="DA180" s="278">
        <f t="shared" si="120"/>
        <v>1.4882617382617385</v>
      </c>
      <c r="DB180" s="292" t="str">
        <f t="shared" si="137"/>
        <v>Pass</v>
      </c>
      <c r="DC180" s="299">
        <f t="shared" si="138"/>
        <v>1.2544630961897152</v>
      </c>
      <c r="DD180" s="293" t="str">
        <f t="shared" si="139"/>
        <v>Pass</v>
      </c>
      <c r="DE180" s="299">
        <f t="shared" si="140"/>
        <v>1.2624094325187887</v>
      </c>
      <c r="DF180" s="293" t="str">
        <f t="shared" si="141"/>
        <v>Pass</v>
      </c>
      <c r="DG180" s="299">
        <f t="shared" si="142"/>
        <v>1.2699471336022494</v>
      </c>
      <c r="DH180" s="293" t="str">
        <f t="shared" si="143"/>
        <v>Pass</v>
      </c>
    </row>
    <row r="181" spans="1:112" ht="15" thickTop="1" thickBot="1">
      <c r="A181" s="38" t="s">
        <v>472</v>
      </c>
      <c r="B181" s="38" t="s">
        <v>473</v>
      </c>
      <c r="C181" s="38" t="s">
        <v>472</v>
      </c>
      <c r="D181" s="38" t="s">
        <v>119</v>
      </c>
      <c r="E181" s="38" t="str">
        <f>VLOOKUP(C181,PoliticalControl!A:K,11,FALSE)</f>
        <v>CON</v>
      </c>
      <c r="F181" s="38" t="str">
        <f>VLOOKUP(C181,UrbanRuralClassification!A:N,13,FALSE)</f>
        <v>Urban with City and Town</v>
      </c>
      <c r="G181" s="38" t="str">
        <f>VLOOKUP(C181,UrbanRuralClassification!A:N,14,FALSE)</f>
        <v>Predominantly Urban</v>
      </c>
      <c r="H181" s="258">
        <f>IF(ISBLANK((VLOOKUP($A181,'local-plan-data'!$C$1:$AD$566,27,FALSE)))=TRUE,"",VLOOKUP($A181,'local-plan-data'!$C$1:$AD$566,27,FALSE))</f>
        <v>44529</v>
      </c>
      <c r="I181" s="259">
        <f>VLOOKUP($A181,'local-plan-data'!$C$1:$AD$566,28,FALSE)</f>
        <v>330</v>
      </c>
      <c r="J181" s="260">
        <f t="shared" si="121"/>
        <v>330</v>
      </c>
      <c r="K181" s="259">
        <f t="shared" si="144"/>
        <v>330</v>
      </c>
      <c r="L181" s="259">
        <f t="shared" si="148"/>
        <v>330</v>
      </c>
      <c r="M181" s="259">
        <f t="shared" si="148"/>
        <v>330</v>
      </c>
      <c r="N181" s="259">
        <f t="shared" si="148"/>
        <v>330</v>
      </c>
      <c r="O181" s="259">
        <f t="shared" si="148"/>
        <v>330</v>
      </c>
      <c r="P181" s="259">
        <f t="shared" si="148"/>
        <v>330</v>
      </c>
      <c r="Q181" s="259">
        <f t="shared" si="148"/>
        <v>330</v>
      </c>
      <c r="R181" s="259">
        <f t="shared" si="148"/>
        <v>330</v>
      </c>
      <c r="S181" s="259">
        <f t="shared" si="145"/>
        <v>3164</v>
      </c>
      <c r="T181" s="259">
        <f t="shared" si="149"/>
        <v>2799</v>
      </c>
      <c r="U181" s="259">
        <f t="shared" si="149"/>
        <v>2433</v>
      </c>
      <c r="V181" s="259">
        <f t="shared" si="149"/>
        <v>2068</v>
      </c>
      <c r="W181" s="259">
        <f t="shared" si="149"/>
        <v>1703</v>
      </c>
      <c r="X181" s="259">
        <f t="shared" si="149"/>
        <v>1338</v>
      </c>
      <c r="Y181" s="259">
        <f t="shared" si="149"/>
        <v>972</v>
      </c>
      <c r="Z181" s="259">
        <f t="shared" si="149"/>
        <v>607</v>
      </c>
      <c r="AA181" s="267">
        <f>(VLOOKUP(A181,Hshldprojections2014!$A$2:$AW$319,40, FALSE)-VLOOKUP(A181,Hshldprojections2014!$A$2:$AW$319,30, FALSE))/10</f>
        <v>220.4</v>
      </c>
      <c r="AB181" s="267">
        <f>(VLOOKUP(A181,Hshldprojections2014!$A$2:$AW$319,41, FALSE)-VLOOKUP(A181,Hshldprojections2014!$A$2:$AW$319,31, FALSE))/10</f>
        <v>215.3</v>
      </c>
      <c r="AC181" s="267">
        <f>(VLOOKUP(A181,Hshldprojections2014!$A$2:$AW$319,42, FALSE)-VLOOKUP(A181,Hshldprojections2014!$A$2:$AW$319,32, FALSE))/10</f>
        <v>210.2</v>
      </c>
      <c r="AD181" s="267">
        <f>IF(IndividualLATest!$J$7=2014,(VLOOKUP($A181,Hshldprojections2014!$A$2:$AY$326,43,FALSE)-VLOOKUP($A181,Hshldprojections2014!$A$2:$AY$326,33,FALSE))/10,IF(IndividualLATest!$J$7=2016,(VLOOKUP($A181,Hshldprojections2016!$A$1:$AQ$322,33,FALSE)-VLOOKUP($A181,Hshldprojections2016!$A$1:$AQ$322,23,FALSE))/10,(VLOOKUP($A181,Hshldprojections2018!$A$1:$AQ$327,33,FALSE)-VLOOKUP($A181,Hshldprojections2018!$A$1:$AQ$327,23,FALSE))/10))</f>
        <v>262</v>
      </c>
      <c r="AE181" s="267">
        <f>IF(IndividualLATest!$J$7=2014,(VLOOKUP($A181,Hshldprojections2014!$A$2:$AY$326,44,FALSE)-VLOOKUP($A181,Hshldprojections2014!$A$2:$AY$326,34,FALSE))/10,IF(IndividualLATest!$J$7=2016,(VLOOKUP($A181,Hshldprojections2016!$A$1:$AQ$322,34,FALSE)-VLOOKUP($A181,Hshldprojections2016!$A$1:$AQ$322,24,FALSE))/10,(VLOOKUP($A181,Hshldprojections2018!$A$1:$AQ$327,34,FALSE)-VLOOKUP($A181,Hshldprojections2018!$A$1:$AQ$327,24,FALSE))/10))</f>
        <v>253</v>
      </c>
      <c r="AF181" s="267">
        <f>IF(IndividualLATest!$J$7=2014,(VLOOKUP($A181,Hshldprojections2014!$A$2:$AY$326,45,FALSE)-VLOOKUP($A181,Hshldprojections2014!$A$2:$AY$326,35,FALSE))/10,IF(IndividualLATest!$J$7=2016,(VLOOKUP($A181,Hshldprojections2016!$A$1:$AQ$322,35,FALSE)-VLOOKUP($A181,Hshldprojections2016!$A$1:$AQ$322,25,FALSE))/10,(VLOOKUP($A181,Hshldprojections2018!$A$1:$AQ$327,35,FALSE)-VLOOKUP($A181,Hshldprojections2018!$A$1:$AQ$327,25,FALSE))/10))</f>
        <v>245.9</v>
      </c>
      <c r="AG181" s="267">
        <f>IF(IndividualLATest!$J$7=2014,(VLOOKUP($A181,Hshldprojections2014!$A$2:$AY$326,46,FALSE)-VLOOKUP($A181,Hshldprojections2014!$A$2:$AY$326,36,FALSE))/10,IF(IndividualLATest!$J$7=2016,(VLOOKUP($A181,Hshldprojections2016!$A$1:$AQ$322,36,FALSE)-VLOOKUP($A181,Hshldprojections2016!$A$1:$AQ$322,26,FALSE))/10,(VLOOKUP($A181,Hshldprojections2018!$A$1:$AQ$327,36,FALSE)-VLOOKUP($A181,Hshldprojections2018!$A$1:$AQ$327,26,FALSE))/10))</f>
        <v>237.7</v>
      </c>
      <c r="AH181" s="267">
        <f>IF(IndividualLATest!$J$7=2014,(VLOOKUP($A181,Hshldprojections2014!$A$2:$AY$326,47,FALSE)-VLOOKUP($A181,Hshldprojections2014!$A$2:$AY$326,37,FALSE))/10,IF(IndividualLATest!$J$7=2016,(VLOOKUP($A181,Hshldprojections2016!$A$1:$AQ$322,37,FALSE)-VLOOKUP($A181,Hshldprojections2016!$A$1:$AQ$322,27,FALSE))/10,(VLOOKUP($A181,Hshldprojections2018!$A$1:$AQ$327,37,FALSE)-VLOOKUP($A181,Hshldprojections2018!$A$1:$AQ$327,27,FALSE))/10))</f>
        <v>233.9</v>
      </c>
      <c r="AI181" s="268">
        <f>IF(ISNUMBER('Sensitivity Tests'!$C$30),'Sensitivity Tests'!$C$30,VLOOKUP($A181,AffordabilityRatio!$A$2:$I$321,5,FALSE))</f>
        <v>7.31</v>
      </c>
      <c r="AJ181" s="268">
        <f>IF(ISNUMBER('Sensitivity Tests'!$C$30),'Sensitivity Tests'!$C$30,VLOOKUP($A181,AffordabilityRatio!$A$2:$I$321,6,FALSE))</f>
        <v>6.44</v>
      </c>
      <c r="AK181" s="268">
        <f>IF(ISNUMBER('Sensitivity Tests'!$C$30),'Sensitivity Tests'!$C$30,VLOOKUP($A181,AffordabilityRatio!$A$2:$I$321,7,FALSE))</f>
        <v>7.17</v>
      </c>
      <c r="AL181" s="268">
        <f>IF(ISNUMBER('Sensitivity Tests'!$C$30),'Sensitivity Tests'!$C$30,IF((VLOOKUP($A181,AffordabilityRatio!$A$2:$I$321,8,FALSE))="",AK181,VLOOKUP($A181,AffordabilityRatio!$A$2:$I$321,8,FALSE)))</f>
        <v>7.5</v>
      </c>
      <c r="AM181" s="268">
        <f>IF(ISNUMBER('Sensitivity Tests'!$C$30),'Sensitivity Tests'!$C$30,IF((VLOOKUP($A181,AffordabilityRatio!$A$2:$I$321,9,FALSE))="",AL181,VLOOKUP($A181,AffordabilityRatio!$A$2:$I$321,9,FALSE)))</f>
        <v>8.1199999999999992</v>
      </c>
      <c r="AN181" s="268">
        <f>IF(ISNUMBER('Sensitivity Tests'!$C$30),'Sensitivity Tests'!$C$30,IF((VLOOKUP($A181,AffordabilityRatio!$A$2:$I$321,9,FALSE))="",AM181,VLOOKUP($A181,AffordabilityRatio!$A$2:$I$321,9,FALSE)))</f>
        <v>8.1199999999999992</v>
      </c>
      <c r="AO181" s="268">
        <f>IF(ISNUMBER('Sensitivity Tests'!$C$30),'Sensitivity Tests'!$C$30,IF((VLOOKUP($A181,AffordabilityRatio!$A$2:$I$321,9,FALSE))="",AN181,VLOOKUP($A181,AffordabilityRatio!$A$2:$I$321,9,FALSE)))</f>
        <v>8.1199999999999992</v>
      </c>
      <c r="AP181" s="268">
        <f>IF(ISNUMBER('Sensitivity Tests'!$C$30),'Sensitivity Tests'!$C$30,IF((VLOOKUP($A181,AffordabilityRatio!$A$2:$I$321,9,FALSE))="",AO181,VLOOKUP($A181,AffordabilityRatio!$A$2:$I$321,9,FALSE)))</f>
        <v>8.1199999999999992</v>
      </c>
      <c r="AQ181" s="267">
        <f t="shared" si="104"/>
        <v>266</v>
      </c>
      <c r="AR181" s="267">
        <f t="shared" si="104"/>
        <v>248</v>
      </c>
      <c r="AS181" s="267">
        <f t="shared" si="104"/>
        <v>252</v>
      </c>
      <c r="AT181" s="267">
        <f t="shared" si="104"/>
        <v>319</v>
      </c>
      <c r="AU181" s="267">
        <f t="shared" si="104"/>
        <v>318</v>
      </c>
      <c r="AV181" s="267">
        <f t="shared" si="151"/>
        <v>309</v>
      </c>
      <c r="AW181" s="267">
        <f t="shared" si="151"/>
        <v>299</v>
      </c>
      <c r="AX181" s="267">
        <f t="shared" si="151"/>
        <v>294</v>
      </c>
      <c r="AY181" s="267">
        <f t="shared" si="122"/>
        <v>266</v>
      </c>
      <c r="AZ181" s="267">
        <f t="shared" si="123"/>
        <v>248</v>
      </c>
      <c r="BA181" s="267">
        <f t="shared" si="124"/>
        <v>252</v>
      </c>
      <c r="BB181" s="267">
        <f t="shared" si="125"/>
        <v>319</v>
      </c>
      <c r="BC181" s="267">
        <f t="shared" si="126"/>
        <v>318</v>
      </c>
      <c r="BD181" s="267">
        <f t="shared" si="127"/>
        <v>309</v>
      </c>
      <c r="BE181" s="267">
        <f t="shared" si="128"/>
        <v>299</v>
      </c>
      <c r="BF181" s="267">
        <f t="shared" si="129"/>
        <v>294</v>
      </c>
      <c r="BG181" s="269">
        <f>AY181*VLOOKUP($B181,'Major Cities &amp; Towns'!$A$28:$B$345,2,FALSE)</f>
        <v>266</v>
      </c>
      <c r="BH181" s="269">
        <f>AZ181*VLOOKUP($B181,'Major Cities &amp; Towns'!$A$28:$B$345,2,FALSE)</f>
        <v>248</v>
      </c>
      <c r="BI181" s="269">
        <f>BA181*VLOOKUP($B181,'Major Cities &amp; Towns'!$A$28:$B$345,2,FALSE)</f>
        <v>252</v>
      </c>
      <c r="BJ181" s="269">
        <f>BB181*VLOOKUP($B181,'Major Cities &amp; Towns'!$A$28:$B$345,2,FALSE)</f>
        <v>319</v>
      </c>
      <c r="BK181" s="269">
        <f>BC181*VLOOKUP($B181,'Major Cities &amp; Towns'!$A$28:$B$345,2,FALSE)</f>
        <v>318</v>
      </c>
      <c r="BL181" s="269">
        <f>BD181*VLOOKUP($B181,'Major Cities &amp; Towns'!$A$28:$B$345,2,FALSE)</f>
        <v>309</v>
      </c>
      <c r="BM181" s="269">
        <f>BE181*VLOOKUP($B181,'Major Cities &amp; Towns'!$A$28:$B$345,2,FALSE)</f>
        <v>299</v>
      </c>
      <c r="BN181" s="269">
        <f>BF181*VLOOKUP($B181,'Major Cities &amp; Towns'!$A$28:$B$345,2,FALSE)</f>
        <v>294</v>
      </c>
      <c r="BO181" s="270">
        <f t="shared" si="130"/>
        <v>266</v>
      </c>
      <c r="BP181" s="270">
        <f t="shared" si="147"/>
        <v>248</v>
      </c>
      <c r="BQ181" s="270">
        <f t="shared" si="147"/>
        <v>252</v>
      </c>
      <c r="BR181" s="270">
        <f t="shared" si="147"/>
        <v>319</v>
      </c>
      <c r="BS181" s="270">
        <f t="shared" si="146"/>
        <v>318</v>
      </c>
      <c r="BT181" s="270">
        <f t="shared" si="146"/>
        <v>309</v>
      </c>
      <c r="BU181" s="270">
        <f t="shared" si="146"/>
        <v>299</v>
      </c>
      <c r="BV181" s="270">
        <f t="shared" si="146"/>
        <v>294</v>
      </c>
      <c r="BW181" s="39">
        <f>VLOOKUP($A181,NetAdditions!$A$2:$H$336,6,FALSE)</f>
        <v>189</v>
      </c>
      <c r="BX181" s="39">
        <f>VLOOKUP($A181,NetAdditions!$A$2:$H$336,7,FALSE)</f>
        <v>436</v>
      </c>
      <c r="BY181" s="39">
        <f>IF((VLOOKUP($C181,NetAdditions!$A$2:$H$336,8,FALSE))="",(AVERAGE(VLOOKUP($C181,NetAdditions!$A$2:$H$336,5,FALSE),VLOOKUP($C181,NetAdditions!$A$2:$H$336,6,FALSE),VLOOKUP($C181,NetAdditions!$A$2:$H$336,7,FALSE))),VLOOKUP($C181,NetAdditions!$A$2:$H$336,8,FALSE))</f>
        <v>465</v>
      </c>
      <c r="BZ181" s="39">
        <f t="shared" si="150"/>
        <v>363.33333333333331</v>
      </c>
      <c r="CA181" s="39">
        <f t="shared" si="150"/>
        <v>421.4444444444444</v>
      </c>
      <c r="CB181" s="39">
        <f t="shared" si="150"/>
        <v>416.59259259259255</v>
      </c>
      <c r="CC181" s="39">
        <f t="shared" si="150"/>
        <v>400.45679012345676</v>
      </c>
      <c r="CD181" s="39">
        <f t="shared" si="150"/>
        <v>412.83127572016457</v>
      </c>
      <c r="CE181" s="276">
        <f t="shared" si="106"/>
        <v>766</v>
      </c>
      <c r="CF181" s="276">
        <f t="shared" si="107"/>
        <v>819</v>
      </c>
      <c r="CG181" s="276">
        <f t="shared" si="108"/>
        <v>889</v>
      </c>
      <c r="CH181" s="276">
        <f t="shared" si="109"/>
        <v>946</v>
      </c>
      <c r="CI181" s="276">
        <f t="shared" si="110"/>
        <v>926</v>
      </c>
      <c r="CJ181" s="276">
        <f t="shared" si="111"/>
        <v>902</v>
      </c>
      <c r="CK181" s="276">
        <f t="shared" si="131"/>
        <v>659.6111111111112</v>
      </c>
      <c r="CL181" s="276">
        <f t="shared" si="132"/>
        <v>705.25</v>
      </c>
      <c r="CM181" s="276">
        <f t="shared" si="133"/>
        <v>814.91666666666663</v>
      </c>
      <c r="CN181" s="276">
        <f t="shared" si="134"/>
        <v>946</v>
      </c>
      <c r="CO181" s="276">
        <f t="shared" si="134"/>
        <v>926</v>
      </c>
      <c r="CP181" s="276">
        <f t="shared" si="134"/>
        <v>902</v>
      </c>
      <c r="CQ181" s="39">
        <f t="shared" si="112"/>
        <v>1090</v>
      </c>
      <c r="CR181" s="39">
        <f t="shared" si="113"/>
        <v>1264.3333333333333</v>
      </c>
      <c r="CS181" s="277">
        <f t="shared" si="114"/>
        <v>1249.7777777777776</v>
      </c>
      <c r="CT181" s="39">
        <f t="shared" si="115"/>
        <v>1201.3703703703702</v>
      </c>
      <c r="CU181" s="39">
        <f t="shared" si="116"/>
        <v>1238.4938271604938</v>
      </c>
      <c r="CV181" s="39">
        <f t="shared" si="117"/>
        <v>1229.8806584362139</v>
      </c>
      <c r="CW181" s="297">
        <f t="shared" si="118"/>
        <v>1.6524888402257221</v>
      </c>
      <c r="CX181" s="279" t="str">
        <f t="shared" si="135"/>
        <v>Pass</v>
      </c>
      <c r="CY181" s="278">
        <f t="shared" si="119"/>
        <v>1.792744889519083</v>
      </c>
      <c r="CZ181" s="279" t="str">
        <f t="shared" si="136"/>
        <v>Pass</v>
      </c>
      <c r="DA181" s="278">
        <f t="shared" si="120"/>
        <v>1.5336264785083682</v>
      </c>
      <c r="DB181" s="292" t="str">
        <f t="shared" si="137"/>
        <v>Pass</v>
      </c>
      <c r="DC181" s="299">
        <f t="shared" si="138"/>
        <v>1.2699475373893976</v>
      </c>
      <c r="DD181" s="293" t="str">
        <f t="shared" si="139"/>
        <v>Pass</v>
      </c>
      <c r="DE181" s="299">
        <f t="shared" si="140"/>
        <v>1.3374663360264512</v>
      </c>
      <c r="DF181" s="293" t="str">
        <f t="shared" si="141"/>
        <v>Pass</v>
      </c>
      <c r="DG181" s="299">
        <f t="shared" si="142"/>
        <v>1.3635040559159799</v>
      </c>
      <c r="DH181" s="293" t="str">
        <f t="shared" si="143"/>
        <v>Pass</v>
      </c>
    </row>
    <row r="182" spans="1:112" ht="15" thickTop="1" thickBot="1">
      <c r="A182" s="38" t="s">
        <v>474</v>
      </c>
      <c r="B182" s="38" t="s">
        <v>475</v>
      </c>
      <c r="C182" s="38" t="s">
        <v>474</v>
      </c>
      <c r="D182" s="38" t="s">
        <v>136</v>
      </c>
      <c r="E182" s="38" t="str">
        <f>VLOOKUP(C182,PoliticalControl!A:K,11,FALSE)</f>
        <v>CON</v>
      </c>
      <c r="F182" s="38" t="str">
        <f>VLOOKUP(C182,UrbanRuralClassification!A:N,13,FALSE)</f>
        <v>Urban with City and Town</v>
      </c>
      <c r="G182" s="38" t="str">
        <f>VLOOKUP(C182,UrbanRuralClassification!A:N,14,FALSE)</f>
        <v>Predominantly Urban</v>
      </c>
      <c r="H182" s="258">
        <f>IF(ISBLANK((VLOOKUP($A182,'local-plan-data'!$C$1:$AD$566,27,FALSE)))=TRUE,"",VLOOKUP($A182,'local-plan-data'!$C$1:$AD$566,27,FALSE))</f>
        <v>43181</v>
      </c>
      <c r="I182" s="259">
        <f>VLOOKUP($A182,'local-plan-data'!$C$1:$AD$566,28,FALSE)</f>
        <v>512.73684210526312</v>
      </c>
      <c r="J182" s="260">
        <f t="shared" si="121"/>
        <v>512.73684210526312</v>
      </c>
      <c r="K182" s="259">
        <f t="shared" si="144"/>
        <v>512.73684210526312</v>
      </c>
      <c r="L182" s="259">
        <f t="shared" si="148"/>
        <v>512.73684210526312</v>
      </c>
      <c r="M182" s="259">
        <f t="shared" si="148"/>
        <v>512.73684210526312</v>
      </c>
      <c r="N182" s="259">
        <f t="shared" si="148"/>
        <v>512.73684210526312</v>
      </c>
      <c r="O182" s="259">
        <f t="shared" si="148"/>
        <v>512.73684210526312</v>
      </c>
      <c r="P182" s="259" t="str">
        <f t="shared" si="148"/>
        <v>-</v>
      </c>
      <c r="Q182" s="259" t="str">
        <f t="shared" si="148"/>
        <v>-</v>
      </c>
      <c r="R182" s="259" t="str">
        <f t="shared" si="148"/>
        <v>-</v>
      </c>
      <c r="S182" s="259">
        <f t="shared" si="145"/>
        <v>1816</v>
      </c>
      <c r="T182" s="259">
        <f t="shared" si="149"/>
        <v>1451</v>
      </c>
      <c r="U182" s="259">
        <f t="shared" si="149"/>
        <v>1085</v>
      </c>
      <c r="V182" s="259">
        <f t="shared" si="149"/>
        <v>720</v>
      </c>
      <c r="W182" s="259">
        <f t="shared" si="149"/>
        <v>355</v>
      </c>
      <c r="X182" s="259">
        <f t="shared" si="149"/>
        <v>-10</v>
      </c>
      <c r="Y182" s="259">
        <f t="shared" si="149"/>
        <v>-376</v>
      </c>
      <c r="Z182" s="259">
        <f t="shared" si="149"/>
        <v>-741</v>
      </c>
      <c r="AA182" s="267">
        <f>(VLOOKUP(A182,Hshldprojections2014!$A$2:$AW$319,40, FALSE)-VLOOKUP(A182,Hshldprojections2014!$A$2:$AW$319,30, FALSE))/10</f>
        <v>206.7</v>
      </c>
      <c r="AB182" s="267">
        <f>(VLOOKUP(A182,Hshldprojections2014!$A$2:$AW$319,41, FALSE)-VLOOKUP(A182,Hshldprojections2014!$A$2:$AW$319,31, FALSE))/10</f>
        <v>199.3</v>
      </c>
      <c r="AC182" s="267">
        <f>(VLOOKUP(A182,Hshldprojections2014!$A$2:$AW$319,42, FALSE)-VLOOKUP(A182,Hshldprojections2014!$A$2:$AW$319,32, FALSE))/10</f>
        <v>195.9</v>
      </c>
      <c r="AD182" s="267">
        <f>IF(IndividualLATest!$J$7=2014,(VLOOKUP($A182,Hshldprojections2014!$A$2:$AY$326,43,FALSE)-VLOOKUP($A182,Hshldprojections2014!$A$2:$AY$326,33,FALSE))/10,IF(IndividualLATest!$J$7=2016,(VLOOKUP($A182,Hshldprojections2016!$A$1:$AQ$322,33,FALSE)-VLOOKUP($A182,Hshldprojections2016!$A$1:$AQ$322,23,FALSE))/10,(VLOOKUP($A182,Hshldprojections2018!$A$1:$AQ$327,33,FALSE)-VLOOKUP($A182,Hshldprojections2018!$A$1:$AQ$327,23,FALSE))/10))</f>
        <v>144.80000000000001</v>
      </c>
      <c r="AE182" s="267">
        <f>IF(IndividualLATest!$J$7=2014,(VLOOKUP($A182,Hshldprojections2014!$A$2:$AY$326,44,FALSE)-VLOOKUP($A182,Hshldprojections2014!$A$2:$AY$326,34,FALSE))/10,IF(IndividualLATest!$J$7=2016,(VLOOKUP($A182,Hshldprojections2016!$A$1:$AQ$322,34,FALSE)-VLOOKUP($A182,Hshldprojections2016!$A$1:$AQ$322,24,FALSE))/10,(VLOOKUP($A182,Hshldprojections2018!$A$1:$AQ$327,34,FALSE)-VLOOKUP($A182,Hshldprojections2018!$A$1:$AQ$327,24,FALSE))/10))</f>
        <v>145.30000000000001</v>
      </c>
      <c r="AF182" s="267">
        <f>IF(IndividualLATest!$J$7=2014,(VLOOKUP($A182,Hshldprojections2014!$A$2:$AY$326,45,FALSE)-VLOOKUP($A182,Hshldprojections2014!$A$2:$AY$326,35,FALSE))/10,IF(IndividualLATest!$J$7=2016,(VLOOKUP($A182,Hshldprojections2016!$A$1:$AQ$322,35,FALSE)-VLOOKUP($A182,Hshldprojections2016!$A$1:$AQ$322,25,FALSE))/10,(VLOOKUP($A182,Hshldprojections2018!$A$1:$AQ$327,35,FALSE)-VLOOKUP($A182,Hshldprojections2018!$A$1:$AQ$327,25,FALSE))/10))</f>
        <v>148.5</v>
      </c>
      <c r="AG182" s="267">
        <f>IF(IndividualLATest!$J$7=2014,(VLOOKUP($A182,Hshldprojections2014!$A$2:$AY$326,46,FALSE)-VLOOKUP($A182,Hshldprojections2014!$A$2:$AY$326,36,FALSE))/10,IF(IndividualLATest!$J$7=2016,(VLOOKUP($A182,Hshldprojections2016!$A$1:$AQ$322,36,FALSE)-VLOOKUP($A182,Hshldprojections2016!$A$1:$AQ$322,26,FALSE))/10,(VLOOKUP($A182,Hshldprojections2018!$A$1:$AQ$327,36,FALSE)-VLOOKUP($A182,Hshldprojections2018!$A$1:$AQ$327,26,FALSE))/10))</f>
        <v>151.69999999999999</v>
      </c>
      <c r="AH182" s="267">
        <f>IF(IndividualLATest!$J$7=2014,(VLOOKUP($A182,Hshldprojections2014!$A$2:$AY$326,47,FALSE)-VLOOKUP($A182,Hshldprojections2014!$A$2:$AY$326,37,FALSE))/10,IF(IndividualLATest!$J$7=2016,(VLOOKUP($A182,Hshldprojections2016!$A$1:$AQ$322,37,FALSE)-VLOOKUP($A182,Hshldprojections2016!$A$1:$AQ$322,27,FALSE))/10,(VLOOKUP($A182,Hshldprojections2018!$A$1:$AQ$327,37,FALSE)-VLOOKUP($A182,Hshldprojections2018!$A$1:$AQ$327,27,FALSE))/10))</f>
        <v>156.6</v>
      </c>
      <c r="AI182" s="268">
        <f>IF(ISNUMBER('Sensitivity Tests'!$C$30),'Sensitivity Tests'!$C$30,VLOOKUP($A182,AffordabilityRatio!$A$2:$I$321,5,FALSE))</f>
        <v>5.79</v>
      </c>
      <c r="AJ182" s="268">
        <f>IF(ISNUMBER('Sensitivity Tests'!$C$30),'Sensitivity Tests'!$C$30,VLOOKUP($A182,AffordabilityRatio!$A$2:$I$321,6,FALSE))</f>
        <v>5.65</v>
      </c>
      <c r="AK182" s="268">
        <f>IF(ISNUMBER('Sensitivity Tests'!$C$30),'Sensitivity Tests'!$C$30,VLOOKUP($A182,AffordabilityRatio!$A$2:$I$321,7,FALSE))</f>
        <v>5.25</v>
      </c>
      <c r="AL182" s="268">
        <f>IF(ISNUMBER('Sensitivity Tests'!$C$30),'Sensitivity Tests'!$C$30,IF((VLOOKUP($A182,AffordabilityRatio!$A$2:$I$321,8,FALSE))="",AK182,VLOOKUP($A182,AffordabilityRatio!$A$2:$I$321,8,FALSE)))</f>
        <v>5.21</v>
      </c>
      <c r="AM182" s="268">
        <f>IF(ISNUMBER('Sensitivity Tests'!$C$30),'Sensitivity Tests'!$C$30,IF((VLOOKUP($A182,AffordabilityRatio!$A$2:$I$321,9,FALSE))="",AL182,VLOOKUP($A182,AffordabilityRatio!$A$2:$I$321,9,FALSE)))</f>
        <v>5.53</v>
      </c>
      <c r="AN182" s="268">
        <f>IF(ISNUMBER('Sensitivity Tests'!$C$30),'Sensitivity Tests'!$C$30,IF((VLOOKUP($A182,AffordabilityRatio!$A$2:$I$321,9,FALSE))="",AM182,VLOOKUP($A182,AffordabilityRatio!$A$2:$I$321,9,FALSE)))</f>
        <v>5.53</v>
      </c>
      <c r="AO182" s="268">
        <f>IF(ISNUMBER('Sensitivity Tests'!$C$30),'Sensitivity Tests'!$C$30,IF((VLOOKUP($A182,AffordabilityRatio!$A$2:$I$321,9,FALSE))="",AN182,VLOOKUP($A182,AffordabilityRatio!$A$2:$I$321,9,FALSE)))</f>
        <v>5.53</v>
      </c>
      <c r="AP182" s="268">
        <f>IF(ISNUMBER('Sensitivity Tests'!$C$30),'Sensitivity Tests'!$C$30,IF((VLOOKUP($A182,AffordabilityRatio!$A$2:$I$321,9,FALSE))="",AO182,VLOOKUP($A182,AffordabilityRatio!$A$2:$I$321,9,FALSE)))</f>
        <v>5.53</v>
      </c>
      <c r="AQ182" s="267">
        <f t="shared" si="104"/>
        <v>230</v>
      </c>
      <c r="AR182" s="267">
        <f t="shared" si="104"/>
        <v>220</v>
      </c>
      <c r="AS182" s="267">
        <f t="shared" si="104"/>
        <v>211</v>
      </c>
      <c r="AT182" s="267">
        <f t="shared" si="104"/>
        <v>156</v>
      </c>
      <c r="AU182" s="267">
        <f t="shared" si="104"/>
        <v>159</v>
      </c>
      <c r="AV182" s="267">
        <f t="shared" si="151"/>
        <v>163</v>
      </c>
      <c r="AW182" s="267">
        <f t="shared" si="151"/>
        <v>166</v>
      </c>
      <c r="AX182" s="267">
        <f t="shared" si="151"/>
        <v>172</v>
      </c>
      <c r="AY182" s="267">
        <f t="shared" si="122"/>
        <v>230</v>
      </c>
      <c r="AZ182" s="267">
        <f t="shared" si="123"/>
        <v>220</v>
      </c>
      <c r="BA182" s="267">
        <f t="shared" si="124"/>
        <v>211</v>
      </c>
      <c r="BB182" s="267">
        <f t="shared" si="125"/>
        <v>156</v>
      </c>
      <c r="BC182" s="267">
        <f t="shared" si="126"/>
        <v>159</v>
      </c>
      <c r="BD182" s="267">
        <f t="shared" si="127"/>
        <v>163</v>
      </c>
      <c r="BE182" s="267">
        <f t="shared" si="128"/>
        <v>166</v>
      </c>
      <c r="BF182" s="267">
        <f t="shared" si="129"/>
        <v>172</v>
      </c>
      <c r="BG182" s="269">
        <f>AY182*VLOOKUP($B182,'Major Cities &amp; Towns'!$A$28:$B$345,2,FALSE)</f>
        <v>230</v>
      </c>
      <c r="BH182" s="269">
        <f>AZ182*VLOOKUP($B182,'Major Cities &amp; Towns'!$A$28:$B$345,2,FALSE)</f>
        <v>220</v>
      </c>
      <c r="BI182" s="269">
        <f>BA182*VLOOKUP($B182,'Major Cities &amp; Towns'!$A$28:$B$345,2,FALSE)</f>
        <v>211</v>
      </c>
      <c r="BJ182" s="269">
        <f>BB182*VLOOKUP($B182,'Major Cities &amp; Towns'!$A$28:$B$345,2,FALSE)</f>
        <v>156</v>
      </c>
      <c r="BK182" s="269">
        <f>BC182*VLOOKUP($B182,'Major Cities &amp; Towns'!$A$28:$B$345,2,FALSE)</f>
        <v>159</v>
      </c>
      <c r="BL182" s="269">
        <f>BD182*VLOOKUP($B182,'Major Cities &amp; Towns'!$A$28:$B$345,2,FALSE)</f>
        <v>163</v>
      </c>
      <c r="BM182" s="269">
        <f>BE182*VLOOKUP($B182,'Major Cities &amp; Towns'!$A$28:$B$345,2,FALSE)</f>
        <v>166</v>
      </c>
      <c r="BN182" s="269">
        <f>BF182*VLOOKUP($B182,'Major Cities &amp; Towns'!$A$28:$B$345,2,FALSE)</f>
        <v>172</v>
      </c>
      <c r="BO182" s="270">
        <f t="shared" si="130"/>
        <v>230</v>
      </c>
      <c r="BP182" s="270">
        <f t="shared" si="147"/>
        <v>220</v>
      </c>
      <c r="BQ182" s="270">
        <f t="shared" si="147"/>
        <v>211</v>
      </c>
      <c r="BR182" s="270">
        <f t="shared" si="147"/>
        <v>156</v>
      </c>
      <c r="BS182" s="270">
        <f t="shared" si="146"/>
        <v>159</v>
      </c>
      <c r="BT182" s="270">
        <f t="shared" si="146"/>
        <v>163</v>
      </c>
      <c r="BU182" s="270">
        <f t="shared" si="146"/>
        <v>166</v>
      </c>
      <c r="BV182" s="270">
        <f t="shared" si="146"/>
        <v>172</v>
      </c>
      <c r="BW182" s="39">
        <f>VLOOKUP($A182,NetAdditions!$A$2:$H$336,6,FALSE)</f>
        <v>308</v>
      </c>
      <c r="BX182" s="39">
        <f>VLOOKUP($A182,NetAdditions!$A$2:$H$336,7,FALSE)</f>
        <v>248</v>
      </c>
      <c r="BY182" s="39">
        <f>IF((VLOOKUP($C182,NetAdditions!$A$2:$H$336,8,FALSE))="",(AVERAGE(VLOOKUP($C182,NetAdditions!$A$2:$H$336,5,FALSE),VLOOKUP($C182,NetAdditions!$A$2:$H$336,6,FALSE),VLOOKUP($C182,NetAdditions!$A$2:$H$336,7,FALSE))),VLOOKUP($C182,NetAdditions!$A$2:$H$336,8,FALSE))</f>
        <v>244</v>
      </c>
      <c r="BZ182" s="39">
        <f t="shared" si="150"/>
        <v>266.66666666666669</v>
      </c>
      <c r="CA182" s="39">
        <f t="shared" si="150"/>
        <v>252.88888888888891</v>
      </c>
      <c r="CB182" s="39">
        <f t="shared" si="150"/>
        <v>254.51851851851856</v>
      </c>
      <c r="CC182" s="39">
        <f t="shared" si="150"/>
        <v>258.02469135802477</v>
      </c>
      <c r="CD182" s="39">
        <f t="shared" si="150"/>
        <v>255.14403292181078</v>
      </c>
      <c r="CE182" s="276">
        <f t="shared" si="106"/>
        <v>661</v>
      </c>
      <c r="CF182" s="276">
        <f t="shared" si="107"/>
        <v>587</v>
      </c>
      <c r="CG182" s="276">
        <f t="shared" si="108"/>
        <v>526</v>
      </c>
      <c r="CH182" s="276">
        <f t="shared" si="109"/>
        <v>478</v>
      </c>
      <c r="CI182" s="276">
        <f t="shared" si="110"/>
        <v>488</v>
      </c>
      <c r="CJ182" s="276">
        <f t="shared" si="111"/>
        <v>501</v>
      </c>
      <c r="CK182" s="276">
        <f t="shared" si="131"/>
        <v>569.19444444444446</v>
      </c>
      <c r="CL182" s="276">
        <f t="shared" si="132"/>
        <v>505.47222222222223</v>
      </c>
      <c r="CM182" s="276">
        <f t="shared" si="133"/>
        <v>482.16666666666663</v>
      </c>
      <c r="CN182" s="276">
        <f t="shared" si="134"/>
        <v>478</v>
      </c>
      <c r="CO182" s="276">
        <f t="shared" si="134"/>
        <v>488</v>
      </c>
      <c r="CP182" s="276">
        <f t="shared" si="134"/>
        <v>501</v>
      </c>
      <c r="CQ182" s="39">
        <f t="shared" si="112"/>
        <v>800</v>
      </c>
      <c r="CR182" s="39">
        <f t="shared" si="113"/>
        <v>758.66666666666674</v>
      </c>
      <c r="CS182" s="277">
        <f t="shared" si="114"/>
        <v>763.55555555555566</v>
      </c>
      <c r="CT182" s="39">
        <f t="shared" si="115"/>
        <v>774.07407407407425</v>
      </c>
      <c r="CU182" s="39">
        <f t="shared" si="116"/>
        <v>765.43209876543233</v>
      </c>
      <c r="CV182" s="39">
        <f t="shared" si="117"/>
        <v>767.68724279835408</v>
      </c>
      <c r="CW182" s="297">
        <f t="shared" si="118"/>
        <v>1.4054950954077399</v>
      </c>
      <c r="CX182" s="279" t="str">
        <f t="shared" si="135"/>
        <v>Pass</v>
      </c>
      <c r="CY182" s="278">
        <f t="shared" si="119"/>
        <v>1.5009067428697038</v>
      </c>
      <c r="CZ182" s="279" t="str">
        <f t="shared" si="136"/>
        <v>Pass</v>
      </c>
      <c r="DA182" s="278">
        <f t="shared" si="120"/>
        <v>1.5835925797902988</v>
      </c>
      <c r="DB182" s="292" t="str">
        <f t="shared" si="137"/>
        <v>Pass</v>
      </c>
      <c r="DC182" s="299">
        <f t="shared" si="138"/>
        <v>1.6194018286068499</v>
      </c>
      <c r="DD182" s="293" t="str">
        <f t="shared" si="139"/>
        <v>Pass</v>
      </c>
      <c r="DE182" s="299">
        <f t="shared" si="140"/>
        <v>1.5685083991094926</v>
      </c>
      <c r="DF182" s="293" t="str">
        <f t="shared" si="141"/>
        <v>Pass</v>
      </c>
      <c r="DG182" s="299">
        <f t="shared" si="142"/>
        <v>1.5323098658649783</v>
      </c>
      <c r="DH182" s="293" t="str">
        <f t="shared" si="143"/>
        <v>Pass</v>
      </c>
    </row>
    <row r="183" spans="1:112" ht="15" thickTop="1" thickBot="1">
      <c r="A183" s="38" t="s">
        <v>476</v>
      </c>
      <c r="B183" s="38" t="s">
        <v>477</v>
      </c>
      <c r="C183" s="38" t="s">
        <v>476</v>
      </c>
      <c r="D183" s="38" t="s">
        <v>128</v>
      </c>
      <c r="E183" s="38" t="str">
        <f>VLOOKUP(C183,PoliticalControl!A:K,11,FALSE)</f>
        <v>NOC</v>
      </c>
      <c r="F183" s="38" t="str">
        <f>VLOOKUP(C183,UrbanRuralClassification!A:N,13,FALSE)</f>
        <v>Urban with Significant Rural (rural including hub towns 26-49%)</v>
      </c>
      <c r="G183" s="38" t="str">
        <f>VLOOKUP(C183,UrbanRuralClassification!A:N,14,FALSE)</f>
        <v>Urban with Significant Rural</v>
      </c>
      <c r="H183" s="258" t="str">
        <f>IF(ISBLANK((VLOOKUP($A183,'local-plan-data'!$C$1:$AD$566,27,FALSE)))=TRUE,"",VLOOKUP($A183,'local-plan-data'!$C$1:$AD$566,27,FALSE))</f>
        <v/>
      </c>
      <c r="I183" s="259">
        <f>VLOOKUP($A183,'local-plan-data'!$C$1:$AD$566,28,FALSE)</f>
        <v>700</v>
      </c>
      <c r="J183" s="260">
        <f t="shared" si="121"/>
        <v>700</v>
      </c>
      <c r="K183" s="259" t="str">
        <f t="shared" si="144"/>
        <v>-</v>
      </c>
      <c r="L183" s="259" t="str">
        <f t="shared" si="148"/>
        <v>-</v>
      </c>
      <c r="M183" s="259" t="str">
        <f t="shared" si="148"/>
        <v>-</v>
      </c>
      <c r="N183" s="259" t="str">
        <f t="shared" si="148"/>
        <v>-</v>
      </c>
      <c r="O183" s="259" t="str">
        <f t="shared" si="148"/>
        <v>-</v>
      </c>
      <c r="P183" s="259" t="str">
        <f t="shared" si="148"/>
        <v>-</v>
      </c>
      <c r="Q183" s="259" t="str">
        <f t="shared" si="148"/>
        <v>-</v>
      </c>
      <c r="R183" s="259" t="str">
        <f t="shared" si="148"/>
        <v>-</v>
      </c>
      <c r="S183" s="259" t="str">
        <f t="shared" si="145"/>
        <v>-</v>
      </c>
      <c r="T183" s="259" t="str">
        <f t="shared" si="149"/>
        <v>-</v>
      </c>
      <c r="U183" s="259" t="str">
        <f t="shared" si="149"/>
        <v>-</v>
      </c>
      <c r="V183" s="259" t="str">
        <f t="shared" si="149"/>
        <v>-</v>
      </c>
      <c r="W183" s="259" t="str">
        <f t="shared" si="149"/>
        <v>-</v>
      </c>
      <c r="X183" s="259" t="str">
        <f t="shared" si="149"/>
        <v>-</v>
      </c>
      <c r="Y183" s="259" t="str">
        <f t="shared" si="149"/>
        <v>-</v>
      </c>
      <c r="Z183" s="259" t="str">
        <f t="shared" si="149"/>
        <v>-</v>
      </c>
      <c r="AA183" s="267">
        <f>(VLOOKUP(A183,Hshldprojections2014!$A$2:$AW$319,40, FALSE)-VLOOKUP(A183,Hshldprojections2014!$A$2:$AW$319,30, FALSE))/10</f>
        <v>705.8</v>
      </c>
      <c r="AB183" s="267">
        <f>(VLOOKUP(A183,Hshldprojections2014!$A$2:$AW$319,41, FALSE)-VLOOKUP(A183,Hshldprojections2014!$A$2:$AW$319,31, FALSE))/10</f>
        <v>702.5</v>
      </c>
      <c r="AC183" s="267">
        <f>(VLOOKUP(A183,Hshldprojections2014!$A$2:$AW$319,42, FALSE)-VLOOKUP(A183,Hshldprojections2014!$A$2:$AW$319,32, FALSE))/10</f>
        <v>700.8</v>
      </c>
      <c r="AD183" s="267">
        <f>IF(IndividualLATest!$J$7=2014,(VLOOKUP($A183,Hshldprojections2014!$A$2:$AY$326,43,FALSE)-VLOOKUP($A183,Hshldprojections2014!$A$2:$AY$326,33,FALSE))/10,IF(IndividualLATest!$J$7=2016,(VLOOKUP($A183,Hshldprojections2016!$A$1:$AQ$322,33,FALSE)-VLOOKUP($A183,Hshldprojections2016!$A$1:$AQ$322,23,FALSE))/10,(VLOOKUP($A183,Hshldprojections2018!$A$1:$AQ$327,33,FALSE)-VLOOKUP($A183,Hshldprojections2018!$A$1:$AQ$327,23,FALSE))/10))</f>
        <v>296.39999999999998</v>
      </c>
      <c r="AE183" s="267">
        <f>IF(IndividualLATest!$J$7=2014,(VLOOKUP($A183,Hshldprojections2014!$A$2:$AY$326,44,FALSE)-VLOOKUP($A183,Hshldprojections2014!$A$2:$AY$326,34,FALSE))/10,IF(IndividualLATest!$J$7=2016,(VLOOKUP($A183,Hshldprojections2016!$A$1:$AQ$322,34,FALSE)-VLOOKUP($A183,Hshldprojections2016!$A$1:$AQ$322,24,FALSE))/10,(VLOOKUP($A183,Hshldprojections2018!$A$1:$AQ$327,34,FALSE)-VLOOKUP($A183,Hshldprojections2018!$A$1:$AQ$327,24,FALSE))/10))</f>
        <v>289.10000000000002</v>
      </c>
      <c r="AF183" s="267">
        <f>IF(IndividualLATest!$J$7=2014,(VLOOKUP($A183,Hshldprojections2014!$A$2:$AY$326,45,FALSE)-VLOOKUP($A183,Hshldprojections2014!$A$2:$AY$326,35,FALSE))/10,IF(IndividualLATest!$J$7=2016,(VLOOKUP($A183,Hshldprojections2016!$A$1:$AQ$322,35,FALSE)-VLOOKUP($A183,Hshldprojections2016!$A$1:$AQ$322,25,FALSE))/10,(VLOOKUP($A183,Hshldprojections2018!$A$1:$AQ$327,35,FALSE)-VLOOKUP($A183,Hshldprojections2018!$A$1:$AQ$327,25,FALSE))/10))</f>
        <v>285.3</v>
      </c>
      <c r="AG183" s="267">
        <f>IF(IndividualLATest!$J$7=2014,(VLOOKUP($A183,Hshldprojections2014!$A$2:$AY$326,46,FALSE)-VLOOKUP($A183,Hshldprojections2014!$A$2:$AY$326,36,FALSE))/10,IF(IndividualLATest!$J$7=2016,(VLOOKUP($A183,Hshldprojections2016!$A$1:$AQ$322,36,FALSE)-VLOOKUP($A183,Hshldprojections2016!$A$1:$AQ$322,26,FALSE))/10,(VLOOKUP($A183,Hshldprojections2018!$A$1:$AQ$327,36,FALSE)-VLOOKUP($A183,Hshldprojections2018!$A$1:$AQ$327,26,FALSE))/10))</f>
        <v>278.2</v>
      </c>
      <c r="AH183" s="267">
        <f>IF(IndividualLATest!$J$7=2014,(VLOOKUP($A183,Hshldprojections2014!$A$2:$AY$326,47,FALSE)-VLOOKUP($A183,Hshldprojections2014!$A$2:$AY$326,37,FALSE))/10,IF(IndividualLATest!$J$7=2016,(VLOOKUP($A183,Hshldprojections2016!$A$1:$AQ$322,37,FALSE)-VLOOKUP($A183,Hshldprojections2016!$A$1:$AQ$322,27,FALSE))/10,(VLOOKUP($A183,Hshldprojections2018!$A$1:$AQ$327,37,FALSE)-VLOOKUP($A183,Hshldprojections2018!$A$1:$AQ$327,27,FALSE))/10))</f>
        <v>274.8</v>
      </c>
      <c r="AI183" s="268">
        <f>IF(ISNUMBER('Sensitivity Tests'!$C$30),'Sensitivity Tests'!$C$30,VLOOKUP($A183,AffordabilityRatio!$A$2:$I$321,5,FALSE))</f>
        <v>10.31</v>
      </c>
      <c r="AJ183" s="268">
        <f>IF(ISNUMBER('Sensitivity Tests'!$C$30),'Sensitivity Tests'!$C$30,VLOOKUP($A183,AffordabilityRatio!$A$2:$I$321,6,FALSE))</f>
        <v>10.83</v>
      </c>
      <c r="AK183" s="268">
        <f>IF(ISNUMBER('Sensitivity Tests'!$C$30),'Sensitivity Tests'!$C$30,VLOOKUP($A183,AffordabilityRatio!$A$2:$I$321,7,FALSE))</f>
        <v>10.199999999999999</v>
      </c>
      <c r="AL183" s="268">
        <f>IF(ISNUMBER('Sensitivity Tests'!$C$30),'Sensitivity Tests'!$C$30,IF((VLOOKUP($A183,AffordabilityRatio!$A$2:$I$321,8,FALSE))="",AK183,VLOOKUP($A183,AffordabilityRatio!$A$2:$I$321,8,FALSE)))</f>
        <v>11.06</v>
      </c>
      <c r="AM183" s="268">
        <f>IF(ISNUMBER('Sensitivity Tests'!$C$30),'Sensitivity Tests'!$C$30,IF((VLOOKUP($A183,AffordabilityRatio!$A$2:$I$321,9,FALSE))="",AL183,VLOOKUP($A183,AffordabilityRatio!$A$2:$I$321,9,FALSE)))</f>
        <v>11.22</v>
      </c>
      <c r="AN183" s="268">
        <f>IF(ISNUMBER('Sensitivity Tests'!$C$30),'Sensitivity Tests'!$C$30,IF((VLOOKUP($A183,AffordabilityRatio!$A$2:$I$321,9,FALSE))="",AM183,VLOOKUP($A183,AffordabilityRatio!$A$2:$I$321,9,FALSE)))</f>
        <v>11.22</v>
      </c>
      <c r="AO183" s="268">
        <f>IF(ISNUMBER('Sensitivity Tests'!$C$30),'Sensitivity Tests'!$C$30,IF((VLOOKUP($A183,AffordabilityRatio!$A$2:$I$321,9,FALSE))="",AN183,VLOOKUP($A183,AffordabilityRatio!$A$2:$I$321,9,FALSE)))</f>
        <v>11.22</v>
      </c>
      <c r="AP183" s="268">
        <f>IF(ISNUMBER('Sensitivity Tests'!$C$30),'Sensitivity Tests'!$C$30,IF((VLOOKUP($A183,AffordabilityRatio!$A$2:$I$321,9,FALSE))="",AO183,VLOOKUP($A183,AffordabilityRatio!$A$2:$I$321,9,FALSE)))</f>
        <v>11.22</v>
      </c>
      <c r="AQ183" s="267">
        <f t="shared" si="104"/>
        <v>984</v>
      </c>
      <c r="AR183" s="267">
        <f t="shared" si="104"/>
        <v>1002</v>
      </c>
      <c r="AS183" s="267">
        <f t="shared" si="104"/>
        <v>972</v>
      </c>
      <c r="AT183" s="267">
        <f t="shared" si="104"/>
        <v>427</v>
      </c>
      <c r="AU183" s="267">
        <f t="shared" si="104"/>
        <v>420</v>
      </c>
      <c r="AV183" s="267">
        <f t="shared" si="151"/>
        <v>414</v>
      </c>
      <c r="AW183" s="267">
        <f t="shared" si="151"/>
        <v>404</v>
      </c>
      <c r="AX183" s="267">
        <f t="shared" si="151"/>
        <v>399</v>
      </c>
      <c r="AY183" s="267">
        <f t="shared" si="122"/>
        <v>984</v>
      </c>
      <c r="AZ183" s="267">
        <f t="shared" si="123"/>
        <v>983.5</v>
      </c>
      <c r="BA183" s="267">
        <f t="shared" si="124"/>
        <v>972</v>
      </c>
      <c r="BB183" s="267">
        <f t="shared" si="125"/>
        <v>427</v>
      </c>
      <c r="BC183" s="267">
        <f t="shared" si="126"/>
        <v>420</v>
      </c>
      <c r="BD183" s="267">
        <f t="shared" si="127"/>
        <v>414</v>
      </c>
      <c r="BE183" s="267">
        <f t="shared" si="128"/>
        <v>404</v>
      </c>
      <c r="BF183" s="267">
        <f t="shared" si="129"/>
        <v>399</v>
      </c>
      <c r="BG183" s="269">
        <f>AY183*VLOOKUP($B183,'Major Cities &amp; Towns'!$A$28:$B$345,2,FALSE)</f>
        <v>984</v>
      </c>
      <c r="BH183" s="269">
        <f>AZ183*VLOOKUP($B183,'Major Cities &amp; Towns'!$A$28:$B$345,2,FALSE)</f>
        <v>983.5</v>
      </c>
      <c r="BI183" s="269">
        <f>BA183*VLOOKUP($B183,'Major Cities &amp; Towns'!$A$28:$B$345,2,FALSE)</f>
        <v>972</v>
      </c>
      <c r="BJ183" s="269">
        <f>BB183*VLOOKUP($B183,'Major Cities &amp; Towns'!$A$28:$B$345,2,FALSE)</f>
        <v>427</v>
      </c>
      <c r="BK183" s="269">
        <f>BC183*VLOOKUP($B183,'Major Cities &amp; Towns'!$A$28:$B$345,2,FALSE)</f>
        <v>420</v>
      </c>
      <c r="BL183" s="269">
        <f>BD183*VLOOKUP($B183,'Major Cities &amp; Towns'!$A$28:$B$345,2,FALSE)</f>
        <v>414</v>
      </c>
      <c r="BM183" s="269">
        <f>BE183*VLOOKUP($B183,'Major Cities &amp; Towns'!$A$28:$B$345,2,FALSE)</f>
        <v>404</v>
      </c>
      <c r="BN183" s="269">
        <f>BF183*VLOOKUP($B183,'Major Cities &amp; Towns'!$A$28:$B$345,2,FALSE)</f>
        <v>399</v>
      </c>
      <c r="BO183" s="270">
        <f t="shared" si="130"/>
        <v>984</v>
      </c>
      <c r="BP183" s="270">
        <f t="shared" si="147"/>
        <v>1002</v>
      </c>
      <c r="BQ183" s="270">
        <f t="shared" si="147"/>
        <v>972</v>
      </c>
      <c r="BR183" s="270">
        <f t="shared" si="147"/>
        <v>427</v>
      </c>
      <c r="BS183" s="270">
        <f t="shared" si="146"/>
        <v>420</v>
      </c>
      <c r="BT183" s="270">
        <f t="shared" si="146"/>
        <v>414</v>
      </c>
      <c r="BU183" s="270">
        <f t="shared" si="146"/>
        <v>404</v>
      </c>
      <c r="BV183" s="270">
        <f t="shared" si="146"/>
        <v>399</v>
      </c>
      <c r="BW183" s="39">
        <f>VLOOKUP($A183,NetAdditions!$A$2:$H$336,6,FALSE)</f>
        <v>222</v>
      </c>
      <c r="BX183" s="39">
        <f>VLOOKUP($A183,NetAdditions!$A$2:$H$336,7,FALSE)</f>
        <v>433</v>
      </c>
      <c r="BY183" s="39">
        <f>IF((VLOOKUP($C183,NetAdditions!$A$2:$H$336,8,FALSE))="",(AVERAGE(VLOOKUP($C183,NetAdditions!$A$2:$H$336,5,FALSE),VLOOKUP($C183,NetAdditions!$A$2:$H$336,6,FALSE),VLOOKUP($C183,NetAdditions!$A$2:$H$336,7,FALSE))),VLOOKUP($C183,NetAdditions!$A$2:$H$336,8,FALSE))</f>
        <v>593</v>
      </c>
      <c r="BZ183" s="39">
        <f t="shared" si="150"/>
        <v>416</v>
      </c>
      <c r="CA183" s="39">
        <f t="shared" si="150"/>
        <v>480.66666666666669</v>
      </c>
      <c r="CB183" s="39">
        <f t="shared" si="150"/>
        <v>496.5555555555556</v>
      </c>
      <c r="CC183" s="39">
        <f t="shared" si="150"/>
        <v>464.40740740740745</v>
      </c>
      <c r="CD183" s="39">
        <f t="shared" si="150"/>
        <v>480.54320987654324</v>
      </c>
      <c r="CE183" s="276">
        <f t="shared" si="106"/>
        <v>2958</v>
      </c>
      <c r="CF183" s="276">
        <f t="shared" si="107"/>
        <v>2401</v>
      </c>
      <c r="CG183" s="276">
        <f t="shared" si="108"/>
        <v>1819</v>
      </c>
      <c r="CH183" s="276">
        <f t="shared" si="109"/>
        <v>1261</v>
      </c>
      <c r="CI183" s="276">
        <f t="shared" si="110"/>
        <v>1238</v>
      </c>
      <c r="CJ183" s="276">
        <f t="shared" si="111"/>
        <v>1217</v>
      </c>
      <c r="CK183" s="276">
        <f t="shared" si="131"/>
        <v>2547.166666666667</v>
      </c>
      <c r="CL183" s="276">
        <f t="shared" si="132"/>
        <v>2067.5277777777778</v>
      </c>
      <c r="CM183" s="276">
        <f t="shared" si="133"/>
        <v>1667.4166666666665</v>
      </c>
      <c r="CN183" s="276">
        <f t="shared" si="134"/>
        <v>1261</v>
      </c>
      <c r="CO183" s="276">
        <f t="shared" si="134"/>
        <v>1238</v>
      </c>
      <c r="CP183" s="276">
        <f t="shared" si="134"/>
        <v>1217</v>
      </c>
      <c r="CQ183" s="39">
        <f t="shared" si="112"/>
        <v>1248</v>
      </c>
      <c r="CR183" s="39">
        <f t="shared" si="113"/>
        <v>1442</v>
      </c>
      <c r="CS183" s="277">
        <f t="shared" si="114"/>
        <v>1489.6666666666667</v>
      </c>
      <c r="CT183" s="39">
        <f t="shared" si="115"/>
        <v>1393.2222222222224</v>
      </c>
      <c r="CU183" s="39">
        <f t="shared" si="116"/>
        <v>1441.6296296296298</v>
      </c>
      <c r="CV183" s="39">
        <f t="shared" si="117"/>
        <v>1441.5061728395062</v>
      </c>
      <c r="CW183" s="297">
        <f t="shared" si="118"/>
        <v>0.48995616043970419</v>
      </c>
      <c r="CX183" s="279" t="str">
        <f t="shared" si="135"/>
        <v>Buffer and Action Plan</v>
      </c>
      <c r="CY183" s="278">
        <f t="shared" si="119"/>
        <v>0.69745133076271981</v>
      </c>
      <c r="CZ183" s="279" t="str">
        <f t="shared" si="136"/>
        <v>Buffer and Action Plan</v>
      </c>
      <c r="DA183" s="278">
        <f t="shared" si="120"/>
        <v>0.89339797091308926</v>
      </c>
      <c r="DB183" s="292" t="str">
        <f t="shared" si="137"/>
        <v>Action Plan</v>
      </c>
      <c r="DC183" s="299">
        <f t="shared" si="138"/>
        <v>1.1048550533086616</v>
      </c>
      <c r="DD183" s="293" t="str">
        <f t="shared" si="139"/>
        <v>Pass</v>
      </c>
      <c r="DE183" s="299">
        <f t="shared" si="140"/>
        <v>1.1644827379883924</v>
      </c>
      <c r="DF183" s="293" t="str">
        <f t="shared" si="141"/>
        <v>Pass</v>
      </c>
      <c r="DG183" s="299">
        <f t="shared" si="142"/>
        <v>1.1844750803940067</v>
      </c>
      <c r="DH183" s="293" t="str">
        <f t="shared" si="143"/>
        <v>Pass</v>
      </c>
    </row>
    <row r="184" spans="1:112" ht="15" thickTop="1" thickBot="1">
      <c r="A184" s="38" t="s">
        <v>478</v>
      </c>
      <c r="B184" s="38" t="s">
        <v>479</v>
      </c>
      <c r="C184" s="38" t="s">
        <v>478</v>
      </c>
      <c r="D184" s="38" t="s">
        <v>119</v>
      </c>
      <c r="E184" s="38" t="str">
        <f>VLOOKUP(C184,PoliticalControl!A:K,11,FALSE)</f>
        <v>IND/OTHER</v>
      </c>
      <c r="F184" s="38" t="str">
        <f>VLOOKUP(C184,UrbanRuralClassification!A:N,13,FALSE)</f>
        <v xml:space="preserve">Mainly Rural (rural including hub towns &gt;=80%) </v>
      </c>
      <c r="G184" s="38" t="str">
        <f>VLOOKUP(C184,UrbanRuralClassification!A:N,14,FALSE)</f>
        <v>Predominantly Rural</v>
      </c>
      <c r="H184" s="258">
        <f>IF(ISBLANK((VLOOKUP($A184,'local-plan-data'!$C$1:$AD$566,27,FALSE)))=TRUE,"",VLOOKUP($A184,'local-plan-data'!$C$1:$AD$566,27,FALSE))</f>
        <v>42849</v>
      </c>
      <c r="I184" s="259">
        <f>VLOOKUP($A184,'local-plan-data'!$C$1:$AD$566,28,FALSE)</f>
        <v>1540</v>
      </c>
      <c r="J184" s="260">
        <f t="shared" si="121"/>
        <v>1540</v>
      </c>
      <c r="K184" s="259">
        <f t="shared" si="144"/>
        <v>1540</v>
      </c>
      <c r="L184" s="259">
        <f t="shared" si="148"/>
        <v>1540</v>
      </c>
      <c r="M184" s="259">
        <f t="shared" si="148"/>
        <v>1540</v>
      </c>
      <c r="N184" s="259">
        <f t="shared" si="148"/>
        <v>1540</v>
      </c>
      <c r="O184" s="259">
        <f t="shared" si="148"/>
        <v>1540</v>
      </c>
      <c r="P184" s="259" t="str">
        <f t="shared" si="148"/>
        <v>-</v>
      </c>
      <c r="Q184" s="259" t="str">
        <f t="shared" si="148"/>
        <v>-</v>
      </c>
      <c r="R184" s="259" t="str">
        <f t="shared" si="148"/>
        <v>-</v>
      </c>
      <c r="S184" s="259">
        <f t="shared" si="145"/>
        <v>1484</v>
      </c>
      <c r="T184" s="259">
        <f t="shared" si="149"/>
        <v>1119</v>
      </c>
      <c r="U184" s="259">
        <f t="shared" si="149"/>
        <v>753</v>
      </c>
      <c r="V184" s="259">
        <f t="shared" si="149"/>
        <v>388</v>
      </c>
      <c r="W184" s="259">
        <f t="shared" si="149"/>
        <v>23</v>
      </c>
      <c r="X184" s="259">
        <f t="shared" si="149"/>
        <v>-342</v>
      </c>
      <c r="Y184" s="259">
        <f t="shared" si="149"/>
        <v>-708</v>
      </c>
      <c r="Z184" s="259">
        <f t="shared" si="149"/>
        <v>-1073</v>
      </c>
      <c r="AA184" s="267">
        <f>(VLOOKUP(A184,Hshldprojections2014!$A$2:$AW$319,40, FALSE)-VLOOKUP(A184,Hshldprojections2014!$A$2:$AW$319,30, FALSE))/10</f>
        <v>391.5</v>
      </c>
      <c r="AB184" s="267">
        <f>(VLOOKUP(A184,Hshldprojections2014!$A$2:$AW$319,41, FALSE)-VLOOKUP(A184,Hshldprojections2014!$A$2:$AW$319,31, FALSE))/10</f>
        <v>381.5</v>
      </c>
      <c r="AC184" s="267">
        <f>(VLOOKUP(A184,Hshldprojections2014!$A$2:$AW$319,42, FALSE)-VLOOKUP(A184,Hshldprojections2014!$A$2:$AW$319,32, FALSE))/10</f>
        <v>372.1</v>
      </c>
      <c r="AD184" s="267">
        <f>IF(IndividualLATest!$J$7=2014,(VLOOKUP($A184,Hshldprojections2014!$A$2:$AY$326,43,FALSE)-VLOOKUP($A184,Hshldprojections2014!$A$2:$AY$326,33,FALSE))/10,IF(IndividualLATest!$J$7=2016,(VLOOKUP($A184,Hshldprojections2016!$A$1:$AQ$322,33,FALSE)-VLOOKUP($A184,Hshldprojections2016!$A$1:$AQ$322,23,FALSE))/10,(VLOOKUP($A184,Hshldprojections2018!$A$1:$AQ$327,33,FALSE)-VLOOKUP($A184,Hshldprojections2018!$A$1:$AQ$327,23,FALSE))/10))</f>
        <v>424.1</v>
      </c>
      <c r="AE184" s="267">
        <f>IF(IndividualLATest!$J$7=2014,(VLOOKUP($A184,Hshldprojections2014!$A$2:$AY$326,44,FALSE)-VLOOKUP($A184,Hshldprojections2014!$A$2:$AY$326,34,FALSE))/10,IF(IndividualLATest!$J$7=2016,(VLOOKUP($A184,Hshldprojections2016!$A$1:$AQ$322,34,FALSE)-VLOOKUP($A184,Hshldprojections2016!$A$1:$AQ$322,24,FALSE))/10,(VLOOKUP($A184,Hshldprojections2018!$A$1:$AQ$327,34,FALSE)-VLOOKUP($A184,Hshldprojections2018!$A$1:$AQ$327,24,FALSE))/10))</f>
        <v>411.8</v>
      </c>
      <c r="AF184" s="267">
        <f>IF(IndividualLATest!$J$7=2014,(VLOOKUP($A184,Hshldprojections2014!$A$2:$AY$326,45,FALSE)-VLOOKUP($A184,Hshldprojections2014!$A$2:$AY$326,35,FALSE))/10,IF(IndividualLATest!$J$7=2016,(VLOOKUP($A184,Hshldprojections2016!$A$1:$AQ$322,35,FALSE)-VLOOKUP($A184,Hshldprojections2016!$A$1:$AQ$322,25,FALSE))/10,(VLOOKUP($A184,Hshldprojections2018!$A$1:$AQ$327,35,FALSE)-VLOOKUP($A184,Hshldprojections2018!$A$1:$AQ$327,25,FALSE))/10))</f>
        <v>403.7</v>
      </c>
      <c r="AG184" s="267">
        <f>IF(IndividualLATest!$J$7=2014,(VLOOKUP($A184,Hshldprojections2014!$A$2:$AY$326,46,FALSE)-VLOOKUP($A184,Hshldprojections2014!$A$2:$AY$326,36,FALSE))/10,IF(IndividualLATest!$J$7=2016,(VLOOKUP($A184,Hshldprojections2016!$A$1:$AQ$322,36,FALSE)-VLOOKUP($A184,Hshldprojections2016!$A$1:$AQ$322,26,FALSE))/10,(VLOOKUP($A184,Hshldprojections2018!$A$1:$AQ$327,36,FALSE)-VLOOKUP($A184,Hshldprojections2018!$A$1:$AQ$327,26,FALSE))/10))</f>
        <v>393.9</v>
      </c>
      <c r="AH184" s="267">
        <f>IF(IndividualLATest!$J$7=2014,(VLOOKUP($A184,Hshldprojections2014!$A$2:$AY$326,47,FALSE)-VLOOKUP($A184,Hshldprojections2014!$A$2:$AY$326,37,FALSE))/10,IF(IndividualLATest!$J$7=2016,(VLOOKUP($A184,Hshldprojections2016!$A$1:$AQ$322,37,FALSE)-VLOOKUP($A184,Hshldprojections2016!$A$1:$AQ$322,27,FALSE))/10,(VLOOKUP($A184,Hshldprojections2018!$A$1:$AQ$327,37,FALSE)-VLOOKUP($A184,Hshldprojections2018!$A$1:$AQ$327,27,FALSE))/10))</f>
        <v>385.8</v>
      </c>
      <c r="AI184" s="268">
        <f>IF(ISNUMBER('Sensitivity Tests'!$C$30),'Sensitivity Tests'!$C$30,VLOOKUP($A184,AffordabilityRatio!$A$2:$I$321,5,FALSE))</f>
        <v>7.46</v>
      </c>
      <c r="AJ184" s="268">
        <f>IF(ISNUMBER('Sensitivity Tests'!$C$30),'Sensitivity Tests'!$C$30,VLOOKUP($A184,AffordabilityRatio!$A$2:$I$321,6,FALSE))</f>
        <v>7.39</v>
      </c>
      <c r="AK184" s="268">
        <f>IF(ISNUMBER('Sensitivity Tests'!$C$30),'Sensitivity Tests'!$C$30,VLOOKUP($A184,AffordabilityRatio!$A$2:$I$321,7,FALSE))</f>
        <v>7.52</v>
      </c>
      <c r="AL184" s="268">
        <f>IF(ISNUMBER('Sensitivity Tests'!$C$30),'Sensitivity Tests'!$C$30,IF((VLOOKUP($A184,AffordabilityRatio!$A$2:$I$321,8,FALSE))="",AK184,VLOOKUP($A184,AffordabilityRatio!$A$2:$I$321,8,FALSE)))</f>
        <v>6.89</v>
      </c>
      <c r="AM184" s="268">
        <f>IF(ISNUMBER('Sensitivity Tests'!$C$30),'Sensitivity Tests'!$C$30,IF((VLOOKUP($A184,AffordabilityRatio!$A$2:$I$321,9,FALSE))="",AL184,VLOOKUP($A184,AffordabilityRatio!$A$2:$I$321,9,FALSE)))</f>
        <v>8.16</v>
      </c>
      <c r="AN184" s="268">
        <f>IF(ISNUMBER('Sensitivity Tests'!$C$30),'Sensitivity Tests'!$C$30,IF((VLOOKUP($A184,AffordabilityRatio!$A$2:$I$321,9,FALSE))="",AM184,VLOOKUP($A184,AffordabilityRatio!$A$2:$I$321,9,FALSE)))</f>
        <v>8.16</v>
      </c>
      <c r="AO184" s="268">
        <f>IF(ISNUMBER('Sensitivity Tests'!$C$30),'Sensitivity Tests'!$C$30,IF((VLOOKUP($A184,AffordabilityRatio!$A$2:$I$321,9,FALSE))="",AN184,VLOOKUP($A184,AffordabilityRatio!$A$2:$I$321,9,FALSE)))</f>
        <v>8.16</v>
      </c>
      <c r="AP184" s="268">
        <f>IF(ISNUMBER('Sensitivity Tests'!$C$30),'Sensitivity Tests'!$C$30,IF((VLOOKUP($A184,AffordabilityRatio!$A$2:$I$321,9,FALSE))="",AO184,VLOOKUP($A184,AffordabilityRatio!$A$2:$I$321,9,FALSE)))</f>
        <v>8.16</v>
      </c>
      <c r="AQ184" s="267">
        <f t="shared" ref="AQ184:AU234" si="152">IF(AA184&lt;0,0,IF(AI184&gt;4,ROUND((1+((AI184-4)/4*0.25))*AA184,0),AA184))</f>
        <v>476</v>
      </c>
      <c r="AR184" s="267">
        <f t="shared" si="152"/>
        <v>462</v>
      </c>
      <c r="AS184" s="267">
        <f t="shared" si="152"/>
        <v>454</v>
      </c>
      <c r="AT184" s="267">
        <f t="shared" si="152"/>
        <v>501</v>
      </c>
      <c r="AU184" s="267">
        <f t="shared" si="152"/>
        <v>519</v>
      </c>
      <c r="AV184" s="267">
        <f t="shared" si="151"/>
        <v>509</v>
      </c>
      <c r="AW184" s="267">
        <f t="shared" si="151"/>
        <v>496</v>
      </c>
      <c r="AX184" s="267">
        <f t="shared" si="151"/>
        <v>486</v>
      </c>
      <c r="AY184" s="267">
        <f t="shared" si="122"/>
        <v>476</v>
      </c>
      <c r="AZ184" s="267">
        <f t="shared" si="123"/>
        <v>462</v>
      </c>
      <c r="BA184" s="267">
        <f t="shared" si="124"/>
        <v>454</v>
      </c>
      <c r="BB184" s="267">
        <f t="shared" si="125"/>
        <v>501</v>
      </c>
      <c r="BC184" s="267">
        <f t="shared" si="126"/>
        <v>519</v>
      </c>
      <c r="BD184" s="267">
        <f t="shared" si="127"/>
        <v>509</v>
      </c>
      <c r="BE184" s="267">
        <f t="shared" si="128"/>
        <v>496</v>
      </c>
      <c r="BF184" s="267">
        <f t="shared" si="129"/>
        <v>486</v>
      </c>
      <c r="BG184" s="269">
        <f>AY184*VLOOKUP($B184,'Major Cities &amp; Towns'!$A$28:$B$345,2,FALSE)</f>
        <v>476</v>
      </c>
      <c r="BH184" s="269">
        <f>AZ184*VLOOKUP($B184,'Major Cities &amp; Towns'!$A$28:$B$345,2,FALSE)</f>
        <v>462</v>
      </c>
      <c r="BI184" s="269">
        <f>BA184*VLOOKUP($B184,'Major Cities &amp; Towns'!$A$28:$B$345,2,FALSE)</f>
        <v>454</v>
      </c>
      <c r="BJ184" s="269">
        <f>BB184*VLOOKUP($B184,'Major Cities &amp; Towns'!$A$28:$B$345,2,FALSE)</f>
        <v>501</v>
      </c>
      <c r="BK184" s="269">
        <f>BC184*VLOOKUP($B184,'Major Cities &amp; Towns'!$A$28:$B$345,2,FALSE)</f>
        <v>519</v>
      </c>
      <c r="BL184" s="269">
        <f>BD184*VLOOKUP($B184,'Major Cities &amp; Towns'!$A$28:$B$345,2,FALSE)</f>
        <v>509</v>
      </c>
      <c r="BM184" s="269">
        <f>BE184*VLOOKUP($B184,'Major Cities &amp; Towns'!$A$28:$B$345,2,FALSE)</f>
        <v>496</v>
      </c>
      <c r="BN184" s="269">
        <f>BF184*VLOOKUP($B184,'Major Cities &amp; Towns'!$A$28:$B$345,2,FALSE)</f>
        <v>486</v>
      </c>
      <c r="BO184" s="270">
        <f t="shared" si="130"/>
        <v>476</v>
      </c>
      <c r="BP184" s="270">
        <f t="shared" si="147"/>
        <v>462</v>
      </c>
      <c r="BQ184" s="270">
        <f t="shared" si="147"/>
        <v>454</v>
      </c>
      <c r="BR184" s="270">
        <f t="shared" si="147"/>
        <v>501</v>
      </c>
      <c r="BS184" s="270">
        <f t="shared" si="146"/>
        <v>519</v>
      </c>
      <c r="BT184" s="270">
        <f t="shared" si="146"/>
        <v>509</v>
      </c>
      <c r="BU184" s="270">
        <f t="shared" si="146"/>
        <v>496</v>
      </c>
      <c r="BV184" s="270">
        <f t="shared" si="146"/>
        <v>486</v>
      </c>
      <c r="BW184" s="39">
        <f>VLOOKUP($A184,NetAdditions!$A$2:$H$336,6,FALSE)</f>
        <v>693</v>
      </c>
      <c r="BX184" s="39">
        <f>VLOOKUP($A184,NetAdditions!$A$2:$H$336,7,FALSE)</f>
        <v>760</v>
      </c>
      <c r="BY184" s="39">
        <f>IF((VLOOKUP($C184,NetAdditions!$A$2:$H$336,8,FALSE))="",(AVERAGE(VLOOKUP($C184,NetAdditions!$A$2:$H$336,5,FALSE),VLOOKUP($C184,NetAdditions!$A$2:$H$336,6,FALSE),VLOOKUP($C184,NetAdditions!$A$2:$H$336,7,FALSE))),VLOOKUP($C184,NetAdditions!$A$2:$H$336,8,FALSE))</f>
        <v>487</v>
      </c>
      <c r="BZ184" s="39">
        <f t="shared" si="150"/>
        <v>646.66666666666663</v>
      </c>
      <c r="CA184" s="39">
        <f t="shared" si="150"/>
        <v>631.22222222222217</v>
      </c>
      <c r="CB184" s="39">
        <f t="shared" si="150"/>
        <v>588.29629629629619</v>
      </c>
      <c r="CC184" s="39">
        <f t="shared" si="150"/>
        <v>622.06172839506155</v>
      </c>
      <c r="CD184" s="39">
        <f t="shared" si="150"/>
        <v>613.8600823045266</v>
      </c>
      <c r="CE184" s="276">
        <f t="shared" si="106"/>
        <v>1392</v>
      </c>
      <c r="CF184" s="276">
        <f t="shared" si="107"/>
        <v>1417</v>
      </c>
      <c r="CG184" s="276">
        <f t="shared" si="108"/>
        <v>1474</v>
      </c>
      <c r="CH184" s="276">
        <f t="shared" si="109"/>
        <v>1529</v>
      </c>
      <c r="CI184" s="276">
        <f t="shared" si="110"/>
        <v>1524</v>
      </c>
      <c r="CJ184" s="276">
        <f t="shared" si="111"/>
        <v>1491</v>
      </c>
      <c r="CK184" s="276">
        <f t="shared" si="131"/>
        <v>1198.6666666666667</v>
      </c>
      <c r="CL184" s="276">
        <f t="shared" si="132"/>
        <v>1220.1944444444446</v>
      </c>
      <c r="CM184" s="276">
        <f t="shared" si="133"/>
        <v>1351.1666666666665</v>
      </c>
      <c r="CN184" s="276">
        <f t="shared" si="134"/>
        <v>1529</v>
      </c>
      <c r="CO184" s="276">
        <f t="shared" si="134"/>
        <v>1524</v>
      </c>
      <c r="CP184" s="276">
        <f t="shared" si="134"/>
        <v>1491</v>
      </c>
      <c r="CQ184" s="39">
        <f t="shared" si="112"/>
        <v>1940</v>
      </c>
      <c r="CR184" s="39">
        <f t="shared" si="113"/>
        <v>1893.6666666666665</v>
      </c>
      <c r="CS184" s="277">
        <f t="shared" si="114"/>
        <v>1764.8888888888887</v>
      </c>
      <c r="CT184" s="39">
        <f t="shared" si="115"/>
        <v>1866.1851851851848</v>
      </c>
      <c r="CU184" s="39">
        <f t="shared" si="116"/>
        <v>1841.5802469135797</v>
      </c>
      <c r="CV184" s="39">
        <f t="shared" si="117"/>
        <v>1824.2181069958842</v>
      </c>
      <c r="CW184" s="297">
        <f t="shared" si="118"/>
        <v>1.618464961067853</v>
      </c>
      <c r="CX184" s="279" t="str">
        <f t="shared" si="135"/>
        <v>Pass</v>
      </c>
      <c r="CY184" s="278">
        <f t="shared" si="119"/>
        <v>1.5519384433264276</v>
      </c>
      <c r="CZ184" s="279" t="str">
        <f t="shared" si="136"/>
        <v>Pass</v>
      </c>
      <c r="DA184" s="278">
        <f t="shared" si="120"/>
        <v>1.3061962912709182</v>
      </c>
      <c r="DB184" s="292" t="str">
        <f t="shared" si="137"/>
        <v>Pass</v>
      </c>
      <c r="DC184" s="299">
        <f t="shared" si="138"/>
        <v>1.2205266090158173</v>
      </c>
      <c r="DD184" s="293" t="str">
        <f t="shared" si="139"/>
        <v>Pass</v>
      </c>
      <c r="DE184" s="299">
        <f t="shared" si="140"/>
        <v>1.2083859887884381</v>
      </c>
      <c r="DF184" s="293" t="str">
        <f t="shared" si="141"/>
        <v>Pass</v>
      </c>
      <c r="DG184" s="299">
        <f t="shared" si="142"/>
        <v>1.2234863225995198</v>
      </c>
      <c r="DH184" s="293" t="str">
        <f t="shared" si="143"/>
        <v>Pass</v>
      </c>
    </row>
    <row r="185" spans="1:112" ht="15" thickTop="1" thickBot="1">
      <c r="A185" s="38" t="s">
        <v>480</v>
      </c>
      <c r="B185" s="38" t="s">
        <v>481</v>
      </c>
      <c r="C185" s="38" t="s">
        <v>480</v>
      </c>
      <c r="D185" s="38" t="s">
        <v>136</v>
      </c>
      <c r="E185" s="38" t="str">
        <f>VLOOKUP(C185,PoliticalControl!A:K,11,FALSE)</f>
        <v>CON</v>
      </c>
      <c r="F185" s="38" t="str">
        <f>VLOOKUP(C185,UrbanRuralClassification!A:N,13,FALSE)</f>
        <v>Urban with Significant Rural (rural including hub towns 26-49%)</v>
      </c>
      <c r="G185" s="38" t="str">
        <f>VLOOKUP(C185,UrbanRuralClassification!A:N,14,FALSE)</f>
        <v>Urban with Significant Rural</v>
      </c>
      <c r="H185" s="258">
        <f>IF(ISBLANK((VLOOKUP($A185,'local-plan-data'!$C$1:$AD$566,27,FALSE)))=TRUE,"",VLOOKUP($A185,'local-plan-data'!$C$1:$AD$566,27,FALSE))</f>
        <v>40722</v>
      </c>
      <c r="I185" s="259">
        <f>VLOOKUP($A185,'local-plan-data'!$C$1:$AD$566,28,FALSE)</f>
        <v>713.63636363636363</v>
      </c>
      <c r="J185" s="260">
        <f t="shared" si="121"/>
        <v>713.63636363636363</v>
      </c>
      <c r="K185" s="259" t="str">
        <f t="shared" si="144"/>
        <v>-</v>
      </c>
      <c r="L185" s="259" t="str">
        <f t="shared" si="148"/>
        <v>-</v>
      </c>
      <c r="M185" s="259" t="str">
        <f t="shared" si="148"/>
        <v>-</v>
      </c>
      <c r="N185" s="259" t="str">
        <f t="shared" si="148"/>
        <v>-</v>
      </c>
      <c r="O185" s="259" t="str">
        <f t="shared" si="148"/>
        <v>-</v>
      </c>
      <c r="P185" s="259" t="str">
        <f t="shared" si="148"/>
        <v>-</v>
      </c>
      <c r="Q185" s="259" t="str">
        <f t="shared" si="148"/>
        <v>-</v>
      </c>
      <c r="R185" s="259" t="str">
        <f t="shared" si="148"/>
        <v>-</v>
      </c>
      <c r="S185" s="259">
        <f t="shared" si="145"/>
        <v>-642</v>
      </c>
      <c r="T185" s="259">
        <f t="shared" si="149"/>
        <v>-1007</v>
      </c>
      <c r="U185" s="259">
        <f t="shared" si="149"/>
        <v>-1373</v>
      </c>
      <c r="V185" s="259">
        <f t="shared" si="149"/>
        <v>-1738</v>
      </c>
      <c r="W185" s="259">
        <f t="shared" si="149"/>
        <v>-2103</v>
      </c>
      <c r="X185" s="259">
        <f t="shared" si="149"/>
        <v>-2468</v>
      </c>
      <c r="Y185" s="259">
        <f t="shared" si="149"/>
        <v>-2834</v>
      </c>
      <c r="Z185" s="259">
        <f t="shared" si="149"/>
        <v>-3199</v>
      </c>
      <c r="AA185" s="267">
        <f>(VLOOKUP(A185,Hshldprojections2014!$A$2:$AW$319,40, FALSE)-VLOOKUP(A185,Hshldprojections2014!$A$2:$AW$319,30, FALSE))/10</f>
        <v>392</v>
      </c>
      <c r="AB185" s="267">
        <f>(VLOOKUP(A185,Hshldprojections2014!$A$2:$AW$319,41, FALSE)-VLOOKUP(A185,Hshldprojections2014!$A$2:$AW$319,31, FALSE))/10</f>
        <v>384.1</v>
      </c>
      <c r="AC185" s="267">
        <f>(VLOOKUP(A185,Hshldprojections2014!$A$2:$AW$319,42, FALSE)-VLOOKUP(A185,Hshldprojections2014!$A$2:$AW$319,32, FALSE))/10</f>
        <v>374.3</v>
      </c>
      <c r="AD185" s="267">
        <f>IF(IndividualLATest!$J$7=2014,(VLOOKUP($A185,Hshldprojections2014!$A$2:$AY$326,43,FALSE)-VLOOKUP($A185,Hshldprojections2014!$A$2:$AY$326,33,FALSE))/10,IF(IndividualLATest!$J$7=2016,(VLOOKUP($A185,Hshldprojections2016!$A$1:$AQ$322,33,FALSE)-VLOOKUP($A185,Hshldprojections2016!$A$1:$AQ$322,23,FALSE))/10,(VLOOKUP($A185,Hshldprojections2018!$A$1:$AQ$327,33,FALSE)-VLOOKUP($A185,Hshldprojections2018!$A$1:$AQ$327,23,FALSE))/10))</f>
        <v>364.1</v>
      </c>
      <c r="AE185" s="267">
        <f>IF(IndividualLATest!$J$7=2014,(VLOOKUP($A185,Hshldprojections2014!$A$2:$AY$326,44,FALSE)-VLOOKUP($A185,Hshldprojections2014!$A$2:$AY$326,34,FALSE))/10,IF(IndividualLATest!$J$7=2016,(VLOOKUP($A185,Hshldprojections2016!$A$1:$AQ$322,34,FALSE)-VLOOKUP($A185,Hshldprojections2016!$A$1:$AQ$322,24,FALSE))/10,(VLOOKUP($A185,Hshldprojections2018!$A$1:$AQ$327,34,FALSE)-VLOOKUP($A185,Hshldprojections2018!$A$1:$AQ$327,24,FALSE))/10))</f>
        <v>351.9</v>
      </c>
      <c r="AF185" s="267">
        <f>IF(IndividualLATest!$J$7=2014,(VLOOKUP($A185,Hshldprojections2014!$A$2:$AY$326,45,FALSE)-VLOOKUP($A185,Hshldprojections2014!$A$2:$AY$326,35,FALSE))/10,IF(IndividualLATest!$J$7=2016,(VLOOKUP($A185,Hshldprojections2016!$A$1:$AQ$322,35,FALSE)-VLOOKUP($A185,Hshldprojections2016!$A$1:$AQ$322,25,FALSE))/10,(VLOOKUP($A185,Hshldprojections2018!$A$1:$AQ$327,35,FALSE)-VLOOKUP($A185,Hshldprojections2018!$A$1:$AQ$327,25,FALSE))/10))</f>
        <v>343.7</v>
      </c>
      <c r="AG185" s="267">
        <f>IF(IndividualLATest!$J$7=2014,(VLOOKUP($A185,Hshldprojections2014!$A$2:$AY$326,46,FALSE)-VLOOKUP($A185,Hshldprojections2014!$A$2:$AY$326,36,FALSE))/10,IF(IndividualLATest!$J$7=2016,(VLOOKUP($A185,Hshldprojections2016!$A$1:$AQ$322,36,FALSE)-VLOOKUP($A185,Hshldprojections2016!$A$1:$AQ$322,26,FALSE))/10,(VLOOKUP($A185,Hshldprojections2018!$A$1:$AQ$327,36,FALSE)-VLOOKUP($A185,Hshldprojections2018!$A$1:$AQ$327,26,FALSE))/10))</f>
        <v>338.4</v>
      </c>
      <c r="AH185" s="267">
        <f>IF(IndividualLATest!$J$7=2014,(VLOOKUP($A185,Hshldprojections2014!$A$2:$AY$326,47,FALSE)-VLOOKUP($A185,Hshldprojections2014!$A$2:$AY$326,37,FALSE))/10,IF(IndividualLATest!$J$7=2016,(VLOOKUP($A185,Hshldprojections2016!$A$1:$AQ$322,37,FALSE)-VLOOKUP($A185,Hshldprojections2016!$A$1:$AQ$322,27,FALSE))/10,(VLOOKUP($A185,Hshldprojections2018!$A$1:$AQ$327,37,FALSE)-VLOOKUP($A185,Hshldprojections2018!$A$1:$AQ$327,27,FALSE))/10))</f>
        <v>331.5</v>
      </c>
      <c r="AI185" s="268">
        <f>IF(ISNUMBER('Sensitivity Tests'!$C$30),'Sensitivity Tests'!$C$30,VLOOKUP($A185,AffordabilityRatio!$A$2:$I$321,5,FALSE))</f>
        <v>4.82</v>
      </c>
      <c r="AJ185" s="268">
        <f>IF(ISNUMBER('Sensitivity Tests'!$C$30),'Sensitivity Tests'!$C$30,VLOOKUP($A185,AffordabilityRatio!$A$2:$I$321,6,FALSE))</f>
        <v>4.7699999999999996</v>
      </c>
      <c r="AK185" s="268">
        <f>IF(ISNUMBER('Sensitivity Tests'!$C$30),'Sensitivity Tests'!$C$30,VLOOKUP($A185,AffordabilityRatio!$A$2:$I$321,7,FALSE))</f>
        <v>4.92</v>
      </c>
      <c r="AL185" s="268">
        <f>IF(ISNUMBER('Sensitivity Tests'!$C$30),'Sensitivity Tests'!$C$30,IF((VLOOKUP($A185,AffordabilityRatio!$A$2:$I$321,8,FALSE))="",AK185,VLOOKUP($A185,AffordabilityRatio!$A$2:$I$321,8,FALSE)))</f>
        <v>4.74</v>
      </c>
      <c r="AM185" s="268">
        <f>IF(ISNUMBER('Sensitivity Tests'!$C$30),'Sensitivity Tests'!$C$30,IF((VLOOKUP($A185,AffordabilityRatio!$A$2:$I$321,9,FALSE))="",AL185,VLOOKUP($A185,AffordabilityRatio!$A$2:$I$321,9,FALSE)))</f>
        <v>5.42</v>
      </c>
      <c r="AN185" s="268">
        <f>IF(ISNUMBER('Sensitivity Tests'!$C$30),'Sensitivity Tests'!$C$30,IF((VLOOKUP($A185,AffordabilityRatio!$A$2:$I$321,9,FALSE))="",AM185,VLOOKUP($A185,AffordabilityRatio!$A$2:$I$321,9,FALSE)))</f>
        <v>5.42</v>
      </c>
      <c r="AO185" s="268">
        <f>IF(ISNUMBER('Sensitivity Tests'!$C$30),'Sensitivity Tests'!$C$30,IF((VLOOKUP($A185,AffordabilityRatio!$A$2:$I$321,9,FALSE))="",AN185,VLOOKUP($A185,AffordabilityRatio!$A$2:$I$321,9,FALSE)))</f>
        <v>5.42</v>
      </c>
      <c r="AP185" s="268">
        <f>IF(ISNUMBER('Sensitivity Tests'!$C$30),'Sensitivity Tests'!$C$30,IF((VLOOKUP($A185,AffordabilityRatio!$A$2:$I$321,9,FALSE))="",AO185,VLOOKUP($A185,AffordabilityRatio!$A$2:$I$321,9,FALSE)))</f>
        <v>5.42</v>
      </c>
      <c r="AQ185" s="267">
        <f t="shared" si="152"/>
        <v>412</v>
      </c>
      <c r="AR185" s="267">
        <f t="shared" si="152"/>
        <v>403</v>
      </c>
      <c r="AS185" s="267">
        <f t="shared" si="152"/>
        <v>396</v>
      </c>
      <c r="AT185" s="267">
        <f t="shared" si="152"/>
        <v>381</v>
      </c>
      <c r="AU185" s="267">
        <f t="shared" si="152"/>
        <v>383</v>
      </c>
      <c r="AV185" s="267">
        <f t="shared" si="151"/>
        <v>374</v>
      </c>
      <c r="AW185" s="267">
        <f t="shared" si="151"/>
        <v>368</v>
      </c>
      <c r="AX185" s="267">
        <f t="shared" si="151"/>
        <v>361</v>
      </c>
      <c r="AY185" s="267">
        <f t="shared" si="122"/>
        <v>412</v>
      </c>
      <c r="AZ185" s="267">
        <f t="shared" si="123"/>
        <v>403</v>
      </c>
      <c r="BA185" s="267">
        <f t="shared" si="124"/>
        <v>396</v>
      </c>
      <c r="BB185" s="267">
        <f t="shared" si="125"/>
        <v>381</v>
      </c>
      <c r="BC185" s="267">
        <f t="shared" si="126"/>
        <v>383</v>
      </c>
      <c r="BD185" s="267">
        <f t="shared" si="127"/>
        <v>374</v>
      </c>
      <c r="BE185" s="267">
        <f t="shared" si="128"/>
        <v>368</v>
      </c>
      <c r="BF185" s="267">
        <f t="shared" si="129"/>
        <v>361</v>
      </c>
      <c r="BG185" s="269">
        <f>AY185*VLOOKUP($B185,'Major Cities &amp; Towns'!$A$28:$B$345,2,FALSE)</f>
        <v>412</v>
      </c>
      <c r="BH185" s="269">
        <f>AZ185*VLOOKUP($B185,'Major Cities &amp; Towns'!$A$28:$B$345,2,FALSE)</f>
        <v>403</v>
      </c>
      <c r="BI185" s="269">
        <f>BA185*VLOOKUP($B185,'Major Cities &amp; Towns'!$A$28:$B$345,2,FALSE)</f>
        <v>396</v>
      </c>
      <c r="BJ185" s="269">
        <f>BB185*VLOOKUP($B185,'Major Cities &amp; Towns'!$A$28:$B$345,2,FALSE)</f>
        <v>381</v>
      </c>
      <c r="BK185" s="269">
        <f>BC185*VLOOKUP($B185,'Major Cities &amp; Towns'!$A$28:$B$345,2,FALSE)</f>
        <v>383</v>
      </c>
      <c r="BL185" s="269">
        <f>BD185*VLOOKUP($B185,'Major Cities &amp; Towns'!$A$28:$B$345,2,FALSE)</f>
        <v>374</v>
      </c>
      <c r="BM185" s="269">
        <f>BE185*VLOOKUP($B185,'Major Cities &amp; Towns'!$A$28:$B$345,2,FALSE)</f>
        <v>368</v>
      </c>
      <c r="BN185" s="269">
        <f>BF185*VLOOKUP($B185,'Major Cities &amp; Towns'!$A$28:$B$345,2,FALSE)</f>
        <v>361</v>
      </c>
      <c r="BO185" s="270">
        <f t="shared" si="130"/>
        <v>412</v>
      </c>
      <c r="BP185" s="270">
        <f t="shared" si="147"/>
        <v>403</v>
      </c>
      <c r="BQ185" s="270">
        <f t="shared" si="147"/>
        <v>396</v>
      </c>
      <c r="BR185" s="270">
        <f t="shared" si="147"/>
        <v>381</v>
      </c>
      <c r="BS185" s="270">
        <f t="shared" si="146"/>
        <v>383</v>
      </c>
      <c r="BT185" s="270">
        <f t="shared" si="146"/>
        <v>374</v>
      </c>
      <c r="BU185" s="270">
        <f t="shared" si="146"/>
        <v>368</v>
      </c>
      <c r="BV185" s="270">
        <f t="shared" si="146"/>
        <v>361</v>
      </c>
      <c r="BW185" s="39">
        <f>VLOOKUP($A185,NetAdditions!$A$2:$H$336,6,FALSE)</f>
        <v>324</v>
      </c>
      <c r="BX185" s="39">
        <f>VLOOKUP($A185,NetAdditions!$A$2:$H$336,7,FALSE)</f>
        <v>418</v>
      </c>
      <c r="BY185" s="39">
        <f>IF((VLOOKUP($C185,NetAdditions!$A$2:$H$336,8,FALSE))="",(AVERAGE(VLOOKUP($C185,NetAdditions!$A$2:$H$336,5,FALSE),VLOOKUP($C185,NetAdditions!$A$2:$H$336,6,FALSE),VLOOKUP($C185,NetAdditions!$A$2:$H$336,7,FALSE))),VLOOKUP($C185,NetAdditions!$A$2:$H$336,8,FALSE))</f>
        <v>441</v>
      </c>
      <c r="BZ185" s="39">
        <f t="shared" si="150"/>
        <v>394.33333333333331</v>
      </c>
      <c r="CA185" s="39">
        <f t="shared" si="150"/>
        <v>417.77777777777777</v>
      </c>
      <c r="CB185" s="39">
        <f t="shared" si="150"/>
        <v>417.7037037037037</v>
      </c>
      <c r="CC185" s="39">
        <f t="shared" si="150"/>
        <v>409.93827160493828</v>
      </c>
      <c r="CD185" s="39">
        <f t="shared" si="150"/>
        <v>415.13991769547329</v>
      </c>
      <c r="CE185" s="276">
        <f t="shared" si="106"/>
        <v>1211</v>
      </c>
      <c r="CF185" s="276">
        <f t="shared" si="107"/>
        <v>1180</v>
      </c>
      <c r="CG185" s="276">
        <f t="shared" si="108"/>
        <v>1160</v>
      </c>
      <c r="CH185" s="276">
        <f t="shared" si="109"/>
        <v>1138</v>
      </c>
      <c r="CI185" s="276">
        <f t="shared" si="110"/>
        <v>1125</v>
      </c>
      <c r="CJ185" s="276">
        <f t="shared" si="111"/>
        <v>1103</v>
      </c>
      <c r="CK185" s="276">
        <f t="shared" si="131"/>
        <v>1042.8055555555557</v>
      </c>
      <c r="CL185" s="276">
        <f t="shared" si="132"/>
        <v>1016.1111111111112</v>
      </c>
      <c r="CM185" s="276">
        <f t="shared" si="133"/>
        <v>1063.3333333333333</v>
      </c>
      <c r="CN185" s="276">
        <f t="shared" si="134"/>
        <v>1138</v>
      </c>
      <c r="CO185" s="276">
        <f t="shared" si="134"/>
        <v>1125</v>
      </c>
      <c r="CP185" s="276">
        <f t="shared" si="134"/>
        <v>1103</v>
      </c>
      <c r="CQ185" s="39">
        <f t="shared" si="112"/>
        <v>1183</v>
      </c>
      <c r="CR185" s="39">
        <f t="shared" si="113"/>
        <v>1253.3333333333333</v>
      </c>
      <c r="CS185" s="277">
        <f t="shared" si="114"/>
        <v>1253.1111111111111</v>
      </c>
      <c r="CT185" s="39">
        <f t="shared" si="115"/>
        <v>1229.8148148148148</v>
      </c>
      <c r="CU185" s="39">
        <f t="shared" si="116"/>
        <v>1245.4197530864199</v>
      </c>
      <c r="CV185" s="39">
        <f t="shared" si="117"/>
        <v>1242.7818930041153</v>
      </c>
      <c r="CW185" s="297">
        <f t="shared" si="118"/>
        <v>1.1344396792839828</v>
      </c>
      <c r="CX185" s="279" t="str">
        <f t="shared" si="135"/>
        <v>Pass</v>
      </c>
      <c r="CY185" s="278">
        <f t="shared" si="119"/>
        <v>1.2334609075997811</v>
      </c>
      <c r="CZ185" s="279" t="str">
        <f t="shared" si="136"/>
        <v>Pass</v>
      </c>
      <c r="DA185" s="278">
        <f t="shared" si="120"/>
        <v>1.1784743991640545</v>
      </c>
      <c r="DB185" s="292" t="str">
        <f t="shared" si="137"/>
        <v>Pass</v>
      </c>
      <c r="DC185" s="299">
        <f t="shared" si="138"/>
        <v>1.080680856603528</v>
      </c>
      <c r="DD185" s="293" t="str">
        <f t="shared" si="139"/>
        <v>Pass</v>
      </c>
      <c r="DE185" s="299">
        <f t="shared" si="140"/>
        <v>1.1070397805212622</v>
      </c>
      <c r="DF185" s="293" t="str">
        <f t="shared" si="141"/>
        <v>Pass</v>
      </c>
      <c r="DG185" s="299">
        <f t="shared" si="142"/>
        <v>1.1267288241197781</v>
      </c>
      <c r="DH185" s="293" t="str">
        <f t="shared" si="143"/>
        <v>Pass</v>
      </c>
    </row>
    <row r="186" spans="1:112" ht="15" thickTop="1" thickBot="1">
      <c r="A186" s="38" t="s">
        <v>482</v>
      </c>
      <c r="B186" s="38" t="s">
        <v>483</v>
      </c>
      <c r="C186" s="38" t="s">
        <v>482</v>
      </c>
      <c r="D186" s="38" t="s">
        <v>128</v>
      </c>
      <c r="E186" s="38" t="str">
        <f>VLOOKUP(C186,PoliticalControl!A:K,11,FALSE)</f>
        <v>LD</v>
      </c>
      <c r="F186" s="38" t="str">
        <f>VLOOKUP(C186,UrbanRuralClassification!A:N,13,FALSE)</f>
        <v xml:space="preserve">Mainly Rural (rural including hub towns &gt;=80%) </v>
      </c>
      <c r="G186" s="38" t="str">
        <f>VLOOKUP(C186,UrbanRuralClassification!A:N,14,FALSE)</f>
        <v>Predominantly Rural</v>
      </c>
      <c r="H186" s="258">
        <f>IF(ISBLANK((VLOOKUP($A186,'local-plan-data'!$C$1:$AD$566,27,FALSE)))=TRUE,"",VLOOKUP($A186,'local-plan-data'!$C$1:$AD$566,27,FALSE))</f>
        <v>39715</v>
      </c>
      <c r="I186" s="259">
        <f>VLOOKUP($A186,'local-plan-data'!$C$1:$AD$566,28,FALSE)</f>
        <v>400</v>
      </c>
      <c r="J186" s="260">
        <f t="shared" si="121"/>
        <v>400</v>
      </c>
      <c r="K186" s="259" t="str">
        <f t="shared" si="144"/>
        <v>-</v>
      </c>
      <c r="L186" s="259" t="str">
        <f t="shared" si="148"/>
        <v>-</v>
      </c>
      <c r="M186" s="259" t="str">
        <f t="shared" si="148"/>
        <v>-</v>
      </c>
      <c r="N186" s="259" t="str">
        <f t="shared" si="148"/>
        <v>-</v>
      </c>
      <c r="O186" s="259" t="str">
        <f t="shared" si="148"/>
        <v>-</v>
      </c>
      <c r="P186" s="259" t="str">
        <f t="shared" si="148"/>
        <v>-</v>
      </c>
      <c r="Q186" s="259" t="str">
        <f t="shared" si="148"/>
        <v>-</v>
      </c>
      <c r="R186" s="259" t="str">
        <f t="shared" si="148"/>
        <v>-</v>
      </c>
      <c r="S186" s="259">
        <f t="shared" si="145"/>
        <v>-1650</v>
      </c>
      <c r="T186" s="259">
        <f t="shared" si="149"/>
        <v>-2015</v>
      </c>
      <c r="U186" s="259">
        <f t="shared" si="149"/>
        <v>-2381</v>
      </c>
      <c r="V186" s="259">
        <f t="shared" si="149"/>
        <v>-2746</v>
      </c>
      <c r="W186" s="259">
        <f t="shared" si="149"/>
        <v>-3111</v>
      </c>
      <c r="X186" s="259">
        <f t="shared" si="149"/>
        <v>-3476</v>
      </c>
      <c r="Y186" s="259">
        <f t="shared" si="149"/>
        <v>-3842</v>
      </c>
      <c r="Z186" s="259">
        <f t="shared" si="149"/>
        <v>-4207</v>
      </c>
      <c r="AA186" s="267">
        <f>(VLOOKUP(A186,Hshldprojections2014!$A$2:$AW$319,40, FALSE)-VLOOKUP(A186,Hshldprojections2014!$A$2:$AW$319,30, FALSE))/10</f>
        <v>402</v>
      </c>
      <c r="AB186" s="267">
        <f>(VLOOKUP(A186,Hshldprojections2014!$A$2:$AW$319,41, FALSE)-VLOOKUP(A186,Hshldprojections2014!$A$2:$AW$319,31, FALSE))/10</f>
        <v>403.6</v>
      </c>
      <c r="AC186" s="267">
        <f>(VLOOKUP(A186,Hshldprojections2014!$A$2:$AW$319,42, FALSE)-VLOOKUP(A186,Hshldprojections2014!$A$2:$AW$319,32, FALSE))/10</f>
        <v>404.1</v>
      </c>
      <c r="AD186" s="267">
        <f>IF(IndividualLATest!$J$7=2014,(VLOOKUP($A186,Hshldprojections2014!$A$2:$AY$326,43,FALSE)-VLOOKUP($A186,Hshldprojections2014!$A$2:$AY$326,33,FALSE))/10,IF(IndividualLATest!$J$7=2016,(VLOOKUP($A186,Hshldprojections2016!$A$1:$AQ$322,33,FALSE)-VLOOKUP($A186,Hshldprojections2016!$A$1:$AQ$322,23,FALSE))/10,(VLOOKUP($A186,Hshldprojections2018!$A$1:$AQ$327,33,FALSE)-VLOOKUP($A186,Hshldprojections2018!$A$1:$AQ$327,23,FALSE))/10))</f>
        <v>432.5</v>
      </c>
      <c r="AE186" s="267">
        <f>IF(IndividualLATest!$J$7=2014,(VLOOKUP($A186,Hshldprojections2014!$A$2:$AY$326,44,FALSE)-VLOOKUP($A186,Hshldprojections2014!$A$2:$AY$326,34,FALSE))/10,IF(IndividualLATest!$J$7=2016,(VLOOKUP($A186,Hshldprojections2016!$A$1:$AQ$322,34,FALSE)-VLOOKUP($A186,Hshldprojections2016!$A$1:$AQ$322,24,FALSE))/10,(VLOOKUP($A186,Hshldprojections2018!$A$1:$AQ$327,34,FALSE)-VLOOKUP($A186,Hshldprojections2018!$A$1:$AQ$327,24,FALSE))/10))</f>
        <v>426.2</v>
      </c>
      <c r="AF186" s="267">
        <f>IF(IndividualLATest!$J$7=2014,(VLOOKUP($A186,Hshldprojections2014!$A$2:$AY$326,45,FALSE)-VLOOKUP($A186,Hshldprojections2014!$A$2:$AY$326,35,FALSE))/10,IF(IndividualLATest!$J$7=2016,(VLOOKUP($A186,Hshldprojections2016!$A$1:$AQ$322,35,FALSE)-VLOOKUP($A186,Hshldprojections2016!$A$1:$AQ$322,25,FALSE))/10,(VLOOKUP($A186,Hshldprojections2018!$A$1:$AQ$327,35,FALSE)-VLOOKUP($A186,Hshldprojections2018!$A$1:$AQ$327,25,FALSE))/10))</f>
        <v>418.5</v>
      </c>
      <c r="AG186" s="267">
        <f>IF(IndividualLATest!$J$7=2014,(VLOOKUP($A186,Hshldprojections2014!$A$2:$AY$326,46,FALSE)-VLOOKUP($A186,Hshldprojections2014!$A$2:$AY$326,36,FALSE))/10,IF(IndividualLATest!$J$7=2016,(VLOOKUP($A186,Hshldprojections2016!$A$1:$AQ$322,36,FALSE)-VLOOKUP($A186,Hshldprojections2016!$A$1:$AQ$322,26,FALSE))/10,(VLOOKUP($A186,Hshldprojections2018!$A$1:$AQ$327,36,FALSE)-VLOOKUP($A186,Hshldprojections2018!$A$1:$AQ$327,26,FALSE))/10))</f>
        <v>412.9</v>
      </c>
      <c r="AH186" s="267">
        <f>IF(IndividualLATest!$J$7=2014,(VLOOKUP($A186,Hshldprojections2014!$A$2:$AY$326,47,FALSE)-VLOOKUP($A186,Hshldprojections2014!$A$2:$AY$326,37,FALSE))/10,IF(IndividualLATest!$J$7=2016,(VLOOKUP($A186,Hshldprojections2016!$A$1:$AQ$322,37,FALSE)-VLOOKUP($A186,Hshldprojections2016!$A$1:$AQ$322,27,FALSE))/10,(VLOOKUP($A186,Hshldprojections2018!$A$1:$AQ$327,37,FALSE)-VLOOKUP($A186,Hshldprojections2018!$A$1:$AQ$327,27,FALSE))/10))</f>
        <v>409.1</v>
      </c>
      <c r="AI186" s="268">
        <f>IF(ISNUMBER('Sensitivity Tests'!$C$30),'Sensitivity Tests'!$C$30,VLOOKUP($A186,AffordabilityRatio!$A$2:$I$321,5,FALSE))</f>
        <v>9.6</v>
      </c>
      <c r="AJ186" s="268">
        <f>IF(ISNUMBER('Sensitivity Tests'!$C$30),'Sensitivity Tests'!$C$30,VLOOKUP($A186,AffordabilityRatio!$A$2:$I$321,6,FALSE))</f>
        <v>9.82</v>
      </c>
      <c r="AK186" s="268">
        <f>IF(ISNUMBER('Sensitivity Tests'!$C$30),'Sensitivity Tests'!$C$30,VLOOKUP($A186,AffordabilityRatio!$A$2:$I$321,7,FALSE))</f>
        <v>9.8699999999999992</v>
      </c>
      <c r="AL186" s="268">
        <f>IF(ISNUMBER('Sensitivity Tests'!$C$30),'Sensitivity Tests'!$C$30,IF((VLOOKUP($A186,AffordabilityRatio!$A$2:$I$321,8,FALSE))="",AK186,VLOOKUP($A186,AffordabilityRatio!$A$2:$I$321,8,FALSE)))</f>
        <v>9.14</v>
      </c>
      <c r="AM186" s="268">
        <f>IF(ISNUMBER('Sensitivity Tests'!$C$30),'Sensitivity Tests'!$C$30,IF((VLOOKUP($A186,AffordabilityRatio!$A$2:$I$321,9,FALSE))="",AL186,VLOOKUP($A186,AffordabilityRatio!$A$2:$I$321,9,FALSE)))</f>
        <v>11.44</v>
      </c>
      <c r="AN186" s="268">
        <f>IF(ISNUMBER('Sensitivity Tests'!$C$30),'Sensitivity Tests'!$C$30,IF((VLOOKUP($A186,AffordabilityRatio!$A$2:$I$321,9,FALSE))="",AM186,VLOOKUP($A186,AffordabilityRatio!$A$2:$I$321,9,FALSE)))</f>
        <v>11.44</v>
      </c>
      <c r="AO186" s="268">
        <f>IF(ISNUMBER('Sensitivity Tests'!$C$30),'Sensitivity Tests'!$C$30,IF((VLOOKUP($A186,AffordabilityRatio!$A$2:$I$321,9,FALSE))="",AN186,VLOOKUP($A186,AffordabilityRatio!$A$2:$I$321,9,FALSE)))</f>
        <v>11.44</v>
      </c>
      <c r="AP186" s="268">
        <f>IF(ISNUMBER('Sensitivity Tests'!$C$30),'Sensitivity Tests'!$C$30,IF((VLOOKUP($A186,AffordabilityRatio!$A$2:$I$321,9,FALSE))="",AO186,VLOOKUP($A186,AffordabilityRatio!$A$2:$I$321,9,FALSE)))</f>
        <v>11.44</v>
      </c>
      <c r="AQ186" s="267">
        <f t="shared" si="152"/>
        <v>543</v>
      </c>
      <c r="AR186" s="267">
        <f t="shared" si="152"/>
        <v>550</v>
      </c>
      <c r="AS186" s="267">
        <f t="shared" si="152"/>
        <v>552</v>
      </c>
      <c r="AT186" s="267">
        <f t="shared" si="152"/>
        <v>571</v>
      </c>
      <c r="AU186" s="267">
        <f t="shared" si="152"/>
        <v>624</v>
      </c>
      <c r="AV186" s="267">
        <f t="shared" si="151"/>
        <v>613</v>
      </c>
      <c r="AW186" s="267">
        <f t="shared" si="151"/>
        <v>605</v>
      </c>
      <c r="AX186" s="267">
        <f t="shared" si="151"/>
        <v>599</v>
      </c>
      <c r="AY186" s="267">
        <f t="shared" si="122"/>
        <v>543</v>
      </c>
      <c r="AZ186" s="267">
        <f t="shared" si="123"/>
        <v>550</v>
      </c>
      <c r="BA186" s="267">
        <f t="shared" si="124"/>
        <v>552</v>
      </c>
      <c r="BB186" s="267">
        <f t="shared" si="125"/>
        <v>571</v>
      </c>
      <c r="BC186" s="267">
        <f t="shared" si="126"/>
        <v>596.68000000000006</v>
      </c>
      <c r="BD186" s="267">
        <f t="shared" si="127"/>
        <v>585.9</v>
      </c>
      <c r="BE186" s="267">
        <f t="shared" si="128"/>
        <v>578.05999999999995</v>
      </c>
      <c r="BF186" s="267">
        <f t="shared" si="129"/>
        <v>572.74</v>
      </c>
      <c r="BG186" s="269">
        <f>AY186*VLOOKUP($B186,'Major Cities &amp; Towns'!$A$28:$B$345,2,FALSE)</f>
        <v>543</v>
      </c>
      <c r="BH186" s="269">
        <f>AZ186*VLOOKUP($B186,'Major Cities &amp; Towns'!$A$28:$B$345,2,FALSE)</f>
        <v>550</v>
      </c>
      <c r="BI186" s="269">
        <f>BA186*VLOOKUP($B186,'Major Cities &amp; Towns'!$A$28:$B$345,2,FALSE)</f>
        <v>552</v>
      </c>
      <c r="BJ186" s="269">
        <f>BB186*VLOOKUP($B186,'Major Cities &amp; Towns'!$A$28:$B$345,2,FALSE)</f>
        <v>571</v>
      </c>
      <c r="BK186" s="269">
        <f>BC186*VLOOKUP($B186,'Major Cities &amp; Towns'!$A$28:$B$345,2,FALSE)</f>
        <v>596.68000000000006</v>
      </c>
      <c r="BL186" s="269">
        <f>BD186*VLOOKUP($B186,'Major Cities &amp; Towns'!$A$28:$B$345,2,FALSE)</f>
        <v>585.9</v>
      </c>
      <c r="BM186" s="269">
        <f>BE186*VLOOKUP($B186,'Major Cities &amp; Towns'!$A$28:$B$345,2,FALSE)</f>
        <v>578.05999999999995</v>
      </c>
      <c r="BN186" s="269">
        <f>BF186*VLOOKUP($B186,'Major Cities &amp; Towns'!$A$28:$B$345,2,FALSE)</f>
        <v>572.74</v>
      </c>
      <c r="BO186" s="270">
        <f t="shared" si="130"/>
        <v>543</v>
      </c>
      <c r="BP186" s="270">
        <f t="shared" si="147"/>
        <v>550</v>
      </c>
      <c r="BQ186" s="270">
        <f t="shared" si="147"/>
        <v>552</v>
      </c>
      <c r="BR186" s="270">
        <f t="shared" si="147"/>
        <v>571</v>
      </c>
      <c r="BS186" s="270">
        <f t="shared" si="146"/>
        <v>624</v>
      </c>
      <c r="BT186" s="270">
        <f t="shared" si="146"/>
        <v>613</v>
      </c>
      <c r="BU186" s="270">
        <f t="shared" si="146"/>
        <v>605</v>
      </c>
      <c r="BV186" s="270">
        <f t="shared" si="146"/>
        <v>599</v>
      </c>
      <c r="BW186" s="39">
        <f>VLOOKUP($A186,NetAdditions!$A$2:$H$336,6,FALSE)</f>
        <v>531</v>
      </c>
      <c r="BX186" s="39">
        <f>VLOOKUP($A186,NetAdditions!$A$2:$H$336,7,FALSE)</f>
        <v>408</v>
      </c>
      <c r="BY186" s="39">
        <f>IF((VLOOKUP($C186,NetAdditions!$A$2:$H$336,8,FALSE))="",(AVERAGE(VLOOKUP($C186,NetAdditions!$A$2:$H$336,5,FALSE),VLOOKUP($C186,NetAdditions!$A$2:$H$336,6,FALSE),VLOOKUP($C186,NetAdditions!$A$2:$H$336,7,FALSE))),VLOOKUP($C186,NetAdditions!$A$2:$H$336,8,FALSE))</f>
        <v>466</v>
      </c>
      <c r="BZ186" s="39">
        <f t="shared" si="150"/>
        <v>468.33333333333331</v>
      </c>
      <c r="CA186" s="39">
        <f t="shared" si="150"/>
        <v>447.4444444444444</v>
      </c>
      <c r="CB186" s="39">
        <f t="shared" si="150"/>
        <v>460.59259259259255</v>
      </c>
      <c r="CC186" s="39">
        <f t="shared" si="150"/>
        <v>458.79012345679007</v>
      </c>
      <c r="CD186" s="39">
        <f t="shared" si="150"/>
        <v>455.60905349794234</v>
      </c>
      <c r="CE186" s="276">
        <f t="shared" si="106"/>
        <v>1645</v>
      </c>
      <c r="CF186" s="276">
        <f t="shared" si="107"/>
        <v>1673</v>
      </c>
      <c r="CG186" s="276">
        <f t="shared" si="108"/>
        <v>1747</v>
      </c>
      <c r="CH186" s="276">
        <f t="shared" si="109"/>
        <v>1808</v>
      </c>
      <c r="CI186" s="276">
        <f t="shared" si="110"/>
        <v>1842</v>
      </c>
      <c r="CJ186" s="276">
        <f t="shared" si="111"/>
        <v>1817</v>
      </c>
      <c r="CK186" s="276">
        <f t="shared" si="131"/>
        <v>1416.5277777777778</v>
      </c>
      <c r="CL186" s="276">
        <f t="shared" si="132"/>
        <v>1440.6388888888889</v>
      </c>
      <c r="CM186" s="276">
        <f t="shared" si="133"/>
        <v>1601.4166666666665</v>
      </c>
      <c r="CN186" s="276">
        <f t="shared" si="134"/>
        <v>1808</v>
      </c>
      <c r="CO186" s="276">
        <f t="shared" si="134"/>
        <v>1842</v>
      </c>
      <c r="CP186" s="276">
        <f t="shared" si="134"/>
        <v>1817</v>
      </c>
      <c r="CQ186" s="39">
        <f t="shared" si="112"/>
        <v>1405</v>
      </c>
      <c r="CR186" s="39">
        <f t="shared" si="113"/>
        <v>1342.3333333333333</v>
      </c>
      <c r="CS186" s="277">
        <f t="shared" si="114"/>
        <v>1381.7777777777776</v>
      </c>
      <c r="CT186" s="39">
        <f t="shared" si="115"/>
        <v>1376.3703703703702</v>
      </c>
      <c r="CU186" s="39">
        <f t="shared" si="116"/>
        <v>1366.827160493827</v>
      </c>
      <c r="CV186" s="39">
        <f t="shared" si="117"/>
        <v>1374.991769547325</v>
      </c>
      <c r="CW186" s="297">
        <f t="shared" si="118"/>
        <v>0.99186194724973031</v>
      </c>
      <c r="CX186" s="279" t="str">
        <f t="shared" si="135"/>
        <v>Pass</v>
      </c>
      <c r="CY186" s="278">
        <f t="shared" si="119"/>
        <v>0.93176252819929417</v>
      </c>
      <c r="CZ186" s="279" t="str">
        <f t="shared" si="136"/>
        <v>Action Plan</v>
      </c>
      <c r="DA186" s="278">
        <f t="shared" si="120"/>
        <v>0.86284713187975925</v>
      </c>
      <c r="DB186" s="292" t="str">
        <f t="shared" si="137"/>
        <v>Action Plan</v>
      </c>
      <c r="DC186" s="299">
        <f t="shared" si="138"/>
        <v>0.76126679777122241</v>
      </c>
      <c r="DD186" s="293" t="str">
        <f t="shared" si="139"/>
        <v>Buffer and Action Plan</v>
      </c>
      <c r="DE186" s="299">
        <f t="shared" si="140"/>
        <v>0.74203428908459668</v>
      </c>
      <c r="DF186" s="293" t="str">
        <f t="shared" si="141"/>
        <v>Presumption</v>
      </c>
      <c r="DG186" s="299">
        <f t="shared" si="142"/>
        <v>0.75673735253017338</v>
      </c>
      <c r="DH186" s="293" t="str">
        <f t="shared" si="143"/>
        <v>Buffer and Action Plan</v>
      </c>
    </row>
    <row r="187" spans="1:112" ht="15" thickTop="1" thickBot="1">
      <c r="A187" s="38" t="s">
        <v>484</v>
      </c>
      <c r="B187" s="38" t="s">
        <v>485</v>
      </c>
      <c r="C187" s="38" t="s">
        <v>484</v>
      </c>
      <c r="D187" s="38" t="s">
        <v>147</v>
      </c>
      <c r="E187" s="38" t="str">
        <f>VLOOKUP(C187,PoliticalControl!A:K,11,FALSE)</f>
        <v>NOC</v>
      </c>
      <c r="F187" s="38" t="str">
        <f>VLOOKUP(C187,UrbanRuralClassification!A:N,13,FALSE)</f>
        <v>Urban with Significant Rural (rural including hub towns 26-49%)</v>
      </c>
      <c r="G187" s="38" t="str">
        <f>VLOOKUP(C187,UrbanRuralClassification!A:N,14,FALSE)</f>
        <v>Urban with Significant Rural</v>
      </c>
      <c r="H187" s="258">
        <f>IF(ISBLANK((VLOOKUP($A187,'local-plan-data'!$C$1:$AD$566,27,FALSE)))=TRUE,"",VLOOKUP($A187,'local-plan-data'!$C$1:$AD$566,27,FALSE))</f>
        <v>42265</v>
      </c>
      <c r="I187" s="259">
        <f>VLOOKUP($A187,'local-plan-data'!$C$1:$AD$566,28,FALSE)</f>
        <v>1049.25</v>
      </c>
      <c r="J187" s="260">
        <f t="shared" si="121"/>
        <v>1049.25</v>
      </c>
      <c r="K187" s="259">
        <f t="shared" si="144"/>
        <v>1049.25</v>
      </c>
      <c r="L187" s="259">
        <f t="shared" si="148"/>
        <v>1049.25</v>
      </c>
      <c r="M187" s="259">
        <f t="shared" si="148"/>
        <v>1049.25</v>
      </c>
      <c r="N187" s="259" t="str">
        <f t="shared" si="148"/>
        <v>-</v>
      </c>
      <c r="O187" s="259" t="str">
        <f t="shared" si="148"/>
        <v>-</v>
      </c>
      <c r="P187" s="259" t="str">
        <f t="shared" si="148"/>
        <v>-</v>
      </c>
      <c r="Q187" s="259" t="str">
        <f t="shared" si="148"/>
        <v>-</v>
      </c>
      <c r="R187" s="259" t="str">
        <f t="shared" si="148"/>
        <v>-</v>
      </c>
      <c r="S187" s="259">
        <f t="shared" si="145"/>
        <v>901</v>
      </c>
      <c r="T187" s="259">
        <f t="shared" si="149"/>
        <v>536</v>
      </c>
      <c r="U187" s="259">
        <f t="shared" si="149"/>
        <v>170</v>
      </c>
      <c r="V187" s="259">
        <f t="shared" si="149"/>
        <v>-195</v>
      </c>
      <c r="W187" s="259">
        <f t="shared" si="149"/>
        <v>-560</v>
      </c>
      <c r="X187" s="259">
        <f t="shared" si="149"/>
        <v>-925</v>
      </c>
      <c r="Y187" s="259">
        <f t="shared" si="149"/>
        <v>-1291</v>
      </c>
      <c r="Z187" s="259">
        <f t="shared" si="149"/>
        <v>-1656</v>
      </c>
      <c r="AA187" s="267">
        <f>(VLOOKUP(A187,Hshldprojections2014!$A$2:$AW$319,40, FALSE)-VLOOKUP(A187,Hshldprojections2014!$A$2:$AW$319,30, FALSE))/10</f>
        <v>1019.9</v>
      </c>
      <c r="AB187" s="267">
        <f>(VLOOKUP(A187,Hshldprojections2014!$A$2:$AW$319,41, FALSE)-VLOOKUP(A187,Hshldprojections2014!$A$2:$AW$319,31, FALSE))/10</f>
        <v>1010.9</v>
      </c>
      <c r="AC187" s="267">
        <f>(VLOOKUP(A187,Hshldprojections2014!$A$2:$AW$319,42, FALSE)-VLOOKUP(A187,Hshldprojections2014!$A$2:$AW$319,32, FALSE))/10</f>
        <v>1003.9</v>
      </c>
      <c r="AD187" s="267">
        <f>IF(IndividualLATest!$J$7=2014,(VLOOKUP($A187,Hshldprojections2014!$A$2:$AY$326,43,FALSE)-VLOOKUP($A187,Hshldprojections2014!$A$2:$AY$326,33,FALSE))/10,IF(IndividualLATest!$J$7=2016,(VLOOKUP($A187,Hshldprojections2016!$A$1:$AQ$322,33,FALSE)-VLOOKUP($A187,Hshldprojections2016!$A$1:$AQ$322,23,FALSE))/10,(VLOOKUP($A187,Hshldprojections2018!$A$1:$AQ$327,33,FALSE)-VLOOKUP($A187,Hshldprojections2018!$A$1:$AQ$327,23,FALSE))/10))</f>
        <v>815.3</v>
      </c>
      <c r="AE187" s="267">
        <f>IF(IndividualLATest!$J$7=2014,(VLOOKUP($A187,Hshldprojections2014!$A$2:$AY$326,44,FALSE)-VLOOKUP($A187,Hshldprojections2014!$A$2:$AY$326,34,FALSE))/10,IF(IndividualLATest!$J$7=2016,(VLOOKUP($A187,Hshldprojections2016!$A$1:$AQ$322,34,FALSE)-VLOOKUP($A187,Hshldprojections2016!$A$1:$AQ$322,24,FALSE))/10,(VLOOKUP($A187,Hshldprojections2018!$A$1:$AQ$327,34,FALSE)-VLOOKUP($A187,Hshldprojections2018!$A$1:$AQ$327,24,FALSE))/10))</f>
        <v>801.5</v>
      </c>
      <c r="AF187" s="267">
        <f>IF(IndividualLATest!$J$7=2014,(VLOOKUP($A187,Hshldprojections2014!$A$2:$AY$326,45,FALSE)-VLOOKUP($A187,Hshldprojections2014!$A$2:$AY$326,35,FALSE))/10,IF(IndividualLATest!$J$7=2016,(VLOOKUP($A187,Hshldprojections2016!$A$1:$AQ$322,35,FALSE)-VLOOKUP($A187,Hshldprojections2016!$A$1:$AQ$322,25,FALSE))/10,(VLOOKUP($A187,Hshldprojections2018!$A$1:$AQ$327,35,FALSE)-VLOOKUP($A187,Hshldprojections2018!$A$1:$AQ$327,25,FALSE))/10))</f>
        <v>794.6</v>
      </c>
      <c r="AG187" s="267">
        <f>IF(IndividualLATest!$J$7=2014,(VLOOKUP($A187,Hshldprojections2014!$A$2:$AY$326,46,FALSE)-VLOOKUP($A187,Hshldprojections2014!$A$2:$AY$326,36,FALSE))/10,IF(IndividualLATest!$J$7=2016,(VLOOKUP($A187,Hshldprojections2016!$A$1:$AQ$322,36,FALSE)-VLOOKUP($A187,Hshldprojections2016!$A$1:$AQ$322,26,FALSE))/10,(VLOOKUP($A187,Hshldprojections2018!$A$1:$AQ$327,36,FALSE)-VLOOKUP($A187,Hshldprojections2018!$A$1:$AQ$327,26,FALSE))/10))</f>
        <v>779.3</v>
      </c>
      <c r="AH187" s="267">
        <f>IF(IndividualLATest!$J$7=2014,(VLOOKUP($A187,Hshldprojections2014!$A$2:$AY$326,47,FALSE)-VLOOKUP($A187,Hshldprojections2014!$A$2:$AY$326,37,FALSE))/10,IF(IndividualLATest!$J$7=2016,(VLOOKUP($A187,Hshldprojections2016!$A$1:$AQ$322,37,FALSE)-VLOOKUP($A187,Hshldprojections2016!$A$1:$AQ$322,27,FALSE))/10,(VLOOKUP($A187,Hshldprojections2018!$A$1:$AQ$327,37,FALSE)-VLOOKUP($A187,Hshldprojections2018!$A$1:$AQ$327,27,FALSE))/10))</f>
        <v>769.5</v>
      </c>
      <c r="AI187" s="268">
        <f>IF(ISNUMBER('Sensitivity Tests'!$C$30),'Sensitivity Tests'!$C$30,VLOOKUP($A187,AffordabilityRatio!$A$2:$I$321,5,FALSE))</f>
        <v>8.98</v>
      </c>
      <c r="AJ187" s="268">
        <f>IF(ISNUMBER('Sensitivity Tests'!$C$30),'Sensitivity Tests'!$C$30,VLOOKUP($A187,AffordabilityRatio!$A$2:$I$321,6,FALSE))</f>
        <v>9.65</v>
      </c>
      <c r="AK187" s="268">
        <f>IF(ISNUMBER('Sensitivity Tests'!$C$30),'Sensitivity Tests'!$C$30,VLOOKUP($A187,AffordabilityRatio!$A$2:$I$321,7,FALSE))</f>
        <v>9.66</v>
      </c>
      <c r="AL187" s="268">
        <f>IF(ISNUMBER('Sensitivity Tests'!$C$30),'Sensitivity Tests'!$C$30,IF((VLOOKUP($A187,AffordabilityRatio!$A$2:$I$321,8,FALSE))="",AK187,VLOOKUP($A187,AffordabilityRatio!$A$2:$I$321,8,FALSE)))</f>
        <v>9.5</v>
      </c>
      <c r="AM187" s="268">
        <f>IF(ISNUMBER('Sensitivity Tests'!$C$30),'Sensitivity Tests'!$C$30,IF((VLOOKUP($A187,AffordabilityRatio!$A$2:$I$321,9,FALSE))="",AL187,VLOOKUP($A187,AffordabilityRatio!$A$2:$I$321,9,FALSE)))</f>
        <v>10.58</v>
      </c>
      <c r="AN187" s="268">
        <f>IF(ISNUMBER('Sensitivity Tests'!$C$30),'Sensitivity Tests'!$C$30,IF((VLOOKUP($A187,AffordabilityRatio!$A$2:$I$321,9,FALSE))="",AM187,VLOOKUP($A187,AffordabilityRatio!$A$2:$I$321,9,FALSE)))</f>
        <v>10.58</v>
      </c>
      <c r="AO187" s="268">
        <f>IF(ISNUMBER('Sensitivity Tests'!$C$30),'Sensitivity Tests'!$C$30,IF((VLOOKUP($A187,AffordabilityRatio!$A$2:$I$321,9,FALSE))="",AN187,VLOOKUP($A187,AffordabilityRatio!$A$2:$I$321,9,FALSE)))</f>
        <v>10.58</v>
      </c>
      <c r="AP187" s="268">
        <f>IF(ISNUMBER('Sensitivity Tests'!$C$30),'Sensitivity Tests'!$C$30,IF((VLOOKUP($A187,AffordabilityRatio!$A$2:$I$321,9,FALSE))="",AO187,VLOOKUP($A187,AffordabilityRatio!$A$2:$I$321,9,FALSE)))</f>
        <v>10.58</v>
      </c>
      <c r="AQ187" s="267">
        <f t="shared" si="152"/>
        <v>1337</v>
      </c>
      <c r="AR187" s="267">
        <f t="shared" si="152"/>
        <v>1368</v>
      </c>
      <c r="AS187" s="267">
        <f t="shared" si="152"/>
        <v>1359</v>
      </c>
      <c r="AT187" s="267">
        <f t="shared" si="152"/>
        <v>1096</v>
      </c>
      <c r="AU187" s="267">
        <f t="shared" si="152"/>
        <v>1131</v>
      </c>
      <c r="AV187" s="267">
        <f t="shared" si="151"/>
        <v>1121</v>
      </c>
      <c r="AW187" s="267">
        <f t="shared" si="151"/>
        <v>1100</v>
      </c>
      <c r="AX187" s="267">
        <f t="shared" si="151"/>
        <v>1086</v>
      </c>
      <c r="AY187" s="267">
        <f t="shared" si="122"/>
        <v>1337</v>
      </c>
      <c r="AZ187" s="267">
        <f t="shared" si="123"/>
        <v>1368</v>
      </c>
      <c r="BA187" s="267">
        <f t="shared" si="124"/>
        <v>1359</v>
      </c>
      <c r="BB187" s="267">
        <f t="shared" si="125"/>
        <v>1096</v>
      </c>
      <c r="BC187" s="267">
        <f t="shared" si="126"/>
        <v>1131</v>
      </c>
      <c r="BD187" s="267">
        <f t="shared" si="127"/>
        <v>1121</v>
      </c>
      <c r="BE187" s="267">
        <f t="shared" si="128"/>
        <v>1100</v>
      </c>
      <c r="BF187" s="267">
        <f t="shared" si="129"/>
        <v>1086</v>
      </c>
      <c r="BG187" s="269">
        <f>AY187*VLOOKUP($B187,'Major Cities &amp; Towns'!$A$28:$B$345,2,FALSE)</f>
        <v>1337</v>
      </c>
      <c r="BH187" s="269">
        <f>AZ187*VLOOKUP($B187,'Major Cities &amp; Towns'!$A$28:$B$345,2,FALSE)</f>
        <v>1368</v>
      </c>
      <c r="BI187" s="269">
        <f>BA187*VLOOKUP($B187,'Major Cities &amp; Towns'!$A$28:$B$345,2,FALSE)</f>
        <v>1359</v>
      </c>
      <c r="BJ187" s="269">
        <f>BB187*VLOOKUP($B187,'Major Cities &amp; Towns'!$A$28:$B$345,2,FALSE)</f>
        <v>1096</v>
      </c>
      <c r="BK187" s="269">
        <f>BC187*VLOOKUP($B187,'Major Cities &amp; Towns'!$A$28:$B$345,2,FALSE)</f>
        <v>1131</v>
      </c>
      <c r="BL187" s="269">
        <f>BD187*VLOOKUP($B187,'Major Cities &amp; Towns'!$A$28:$B$345,2,FALSE)</f>
        <v>1121</v>
      </c>
      <c r="BM187" s="269">
        <f>BE187*VLOOKUP($B187,'Major Cities &amp; Towns'!$A$28:$B$345,2,FALSE)</f>
        <v>1100</v>
      </c>
      <c r="BN187" s="269">
        <f>BF187*VLOOKUP($B187,'Major Cities &amp; Towns'!$A$28:$B$345,2,FALSE)</f>
        <v>1086</v>
      </c>
      <c r="BO187" s="270">
        <f t="shared" si="130"/>
        <v>1049.25</v>
      </c>
      <c r="BP187" s="270">
        <f t="shared" si="147"/>
        <v>1049.25</v>
      </c>
      <c r="BQ187" s="270">
        <f t="shared" si="147"/>
        <v>1214.7328767123288</v>
      </c>
      <c r="BR187" s="270">
        <f t="shared" si="147"/>
        <v>1096</v>
      </c>
      <c r="BS187" s="270">
        <f t="shared" si="146"/>
        <v>1131</v>
      </c>
      <c r="BT187" s="270">
        <f t="shared" si="146"/>
        <v>1121</v>
      </c>
      <c r="BU187" s="270">
        <f t="shared" si="146"/>
        <v>1100</v>
      </c>
      <c r="BV187" s="270">
        <f t="shared" si="146"/>
        <v>1086</v>
      </c>
      <c r="BW187" s="39">
        <f>VLOOKUP($A187,NetAdditions!$A$2:$H$336,6,FALSE)</f>
        <v>729</v>
      </c>
      <c r="BX187" s="39">
        <f>VLOOKUP($A187,NetAdditions!$A$2:$H$336,7,FALSE)</f>
        <v>868</v>
      </c>
      <c r="BY187" s="39">
        <f>IF((VLOOKUP($C187,NetAdditions!$A$2:$H$336,8,FALSE))="",(AVERAGE(VLOOKUP($C187,NetAdditions!$A$2:$H$336,5,FALSE),VLOOKUP($C187,NetAdditions!$A$2:$H$336,6,FALSE),VLOOKUP($C187,NetAdditions!$A$2:$H$336,7,FALSE))),VLOOKUP($C187,NetAdditions!$A$2:$H$336,8,FALSE))</f>
        <v>966</v>
      </c>
      <c r="BZ187" s="39">
        <f t="shared" si="150"/>
        <v>854.33333333333337</v>
      </c>
      <c r="CA187" s="39">
        <f t="shared" si="150"/>
        <v>896.1111111111112</v>
      </c>
      <c r="CB187" s="39">
        <f t="shared" si="150"/>
        <v>905.48148148148164</v>
      </c>
      <c r="CC187" s="39">
        <f t="shared" si="150"/>
        <v>885.30864197530866</v>
      </c>
      <c r="CD187" s="39">
        <f t="shared" si="150"/>
        <v>895.63374485596717</v>
      </c>
      <c r="CE187" s="276">
        <f t="shared" si="106"/>
        <v>3313.232876712329</v>
      </c>
      <c r="CF187" s="276">
        <f t="shared" si="107"/>
        <v>3359.982876712329</v>
      </c>
      <c r="CG187" s="276">
        <f t="shared" si="108"/>
        <v>3441.732876712329</v>
      </c>
      <c r="CH187" s="276">
        <f t="shared" si="109"/>
        <v>3348</v>
      </c>
      <c r="CI187" s="276">
        <f t="shared" si="110"/>
        <v>3352</v>
      </c>
      <c r="CJ187" s="276">
        <f t="shared" si="111"/>
        <v>3307</v>
      </c>
      <c r="CK187" s="276">
        <f t="shared" si="131"/>
        <v>2853.0616438356169</v>
      </c>
      <c r="CL187" s="276">
        <f t="shared" si="132"/>
        <v>2893.3185882800612</v>
      </c>
      <c r="CM187" s="276">
        <f t="shared" si="133"/>
        <v>3154.9218036529683</v>
      </c>
      <c r="CN187" s="276">
        <f t="shared" si="134"/>
        <v>3348</v>
      </c>
      <c r="CO187" s="276">
        <f t="shared" si="134"/>
        <v>3352</v>
      </c>
      <c r="CP187" s="276">
        <f t="shared" si="134"/>
        <v>3307</v>
      </c>
      <c r="CQ187" s="39">
        <f t="shared" si="112"/>
        <v>2563</v>
      </c>
      <c r="CR187" s="39">
        <f t="shared" si="113"/>
        <v>2688.3333333333335</v>
      </c>
      <c r="CS187" s="277">
        <f t="shared" si="114"/>
        <v>2716.4444444444448</v>
      </c>
      <c r="CT187" s="39">
        <f t="shared" si="115"/>
        <v>2655.9259259259261</v>
      </c>
      <c r="CU187" s="39">
        <f t="shared" si="116"/>
        <v>2686.9012345679016</v>
      </c>
      <c r="CV187" s="39">
        <f t="shared" si="117"/>
        <v>2686.4238683127573</v>
      </c>
      <c r="CW187" s="297">
        <f t="shared" si="118"/>
        <v>0.89833320129541194</v>
      </c>
      <c r="CX187" s="279" t="str">
        <f t="shared" si="135"/>
        <v>Action Plan</v>
      </c>
      <c r="CY187" s="278">
        <f t="shared" si="119"/>
        <v>0.92915220059862758</v>
      </c>
      <c r="CZ187" s="279" t="str">
        <f t="shared" si="136"/>
        <v>Action Plan</v>
      </c>
      <c r="DA187" s="278">
        <f t="shared" si="120"/>
        <v>0.86101799458204431</v>
      </c>
      <c r="DB187" s="292" t="str">
        <f t="shared" si="137"/>
        <v>Action Plan</v>
      </c>
      <c r="DC187" s="299">
        <f t="shared" si="138"/>
        <v>0.79328731359794691</v>
      </c>
      <c r="DD187" s="293" t="str">
        <f t="shared" si="139"/>
        <v>Buffer and Action Plan</v>
      </c>
      <c r="DE187" s="299">
        <f t="shared" si="140"/>
        <v>0.80158151389257204</v>
      </c>
      <c r="DF187" s="293" t="str">
        <f t="shared" si="141"/>
        <v>Buffer and Action Plan</v>
      </c>
      <c r="DG187" s="299">
        <f t="shared" si="142"/>
        <v>0.81234468349342526</v>
      </c>
      <c r="DH187" s="293" t="str">
        <f t="shared" si="143"/>
        <v>Buffer and Action Plan</v>
      </c>
    </row>
    <row r="188" spans="1:112" ht="15" thickTop="1" thickBot="1">
      <c r="A188" s="38" t="s">
        <v>486</v>
      </c>
      <c r="B188" s="38" t="s">
        <v>487</v>
      </c>
      <c r="C188" s="38" t="s">
        <v>486</v>
      </c>
      <c r="D188" s="38" t="s">
        <v>259</v>
      </c>
      <c r="E188" s="38" t="str">
        <f>VLOOKUP(C188,PoliticalControl!A:K,11,FALSE)</f>
        <v>LAB</v>
      </c>
      <c r="F188" s="38" t="str">
        <f>VLOOKUP(C188,UrbanRuralClassification!A:N,13,FALSE)</f>
        <v>Urban with Major Conurbation</v>
      </c>
      <c r="G188" s="38" t="str">
        <f>VLOOKUP(C188,UrbanRuralClassification!A:N,14,FALSE)</f>
        <v>Predominantly Urban</v>
      </c>
      <c r="H188" s="258">
        <f>IF(ISBLANK((VLOOKUP($A188,'local-plan-data'!$C$1:$AD$566,27,FALSE)))=TRUE,"",VLOOKUP($A188,'local-plan-data'!$C$1:$AD$566,27,FALSE))</f>
        <v>42936</v>
      </c>
      <c r="I188" s="259">
        <f>VLOOKUP($A188,'local-plan-data'!$C$1:$AD$566,28,FALSE)</f>
        <v>790.14285714285711</v>
      </c>
      <c r="J188" s="260">
        <f t="shared" si="121"/>
        <v>790.14285714285711</v>
      </c>
      <c r="K188" s="259">
        <f t="shared" si="144"/>
        <v>790.14285714285711</v>
      </c>
      <c r="L188" s="259">
        <f t="shared" si="148"/>
        <v>790.14285714285711</v>
      </c>
      <c r="M188" s="259">
        <f t="shared" si="148"/>
        <v>790.14285714285711</v>
      </c>
      <c r="N188" s="259">
        <f t="shared" si="148"/>
        <v>790.14285714285711</v>
      </c>
      <c r="O188" s="259">
        <f t="shared" si="148"/>
        <v>790.14285714285711</v>
      </c>
      <c r="P188" s="259" t="str">
        <f t="shared" si="148"/>
        <v>-</v>
      </c>
      <c r="Q188" s="259" t="str">
        <f t="shared" si="148"/>
        <v>-</v>
      </c>
      <c r="R188" s="259" t="str">
        <f t="shared" si="148"/>
        <v>-</v>
      </c>
      <c r="S188" s="259">
        <f t="shared" si="145"/>
        <v>1571</v>
      </c>
      <c r="T188" s="259">
        <f t="shared" si="149"/>
        <v>1206</v>
      </c>
      <c r="U188" s="259">
        <f t="shared" si="149"/>
        <v>840</v>
      </c>
      <c r="V188" s="259">
        <f t="shared" si="149"/>
        <v>475</v>
      </c>
      <c r="W188" s="259">
        <f t="shared" si="149"/>
        <v>110</v>
      </c>
      <c r="X188" s="259">
        <f t="shared" si="149"/>
        <v>-255</v>
      </c>
      <c r="Y188" s="259">
        <f t="shared" si="149"/>
        <v>-621</v>
      </c>
      <c r="Z188" s="259">
        <f t="shared" si="149"/>
        <v>-986</v>
      </c>
      <c r="AA188" s="267">
        <f>(VLOOKUP(A188,Hshldprojections2014!$A$2:$AW$319,40, FALSE)-VLOOKUP(A188,Hshldprojections2014!$A$2:$AW$319,30, FALSE))/10</f>
        <v>722.9</v>
      </c>
      <c r="AB188" s="267">
        <f>(VLOOKUP(A188,Hshldprojections2014!$A$2:$AW$319,41, FALSE)-VLOOKUP(A188,Hshldprojections2014!$A$2:$AW$319,31, FALSE))/10</f>
        <v>717.4</v>
      </c>
      <c r="AC188" s="267">
        <f>(VLOOKUP(A188,Hshldprojections2014!$A$2:$AW$319,42, FALSE)-VLOOKUP(A188,Hshldprojections2014!$A$2:$AW$319,32, FALSE))/10</f>
        <v>710.8</v>
      </c>
      <c r="AD188" s="267">
        <f>IF(IndividualLATest!$J$7=2014,(VLOOKUP($A188,Hshldprojections2014!$A$2:$AY$326,43,FALSE)-VLOOKUP($A188,Hshldprojections2014!$A$2:$AY$326,33,FALSE))/10,IF(IndividualLATest!$J$7=2016,(VLOOKUP($A188,Hshldprojections2016!$A$1:$AQ$322,33,FALSE)-VLOOKUP($A188,Hshldprojections2016!$A$1:$AQ$322,23,FALSE))/10,(VLOOKUP($A188,Hshldprojections2018!$A$1:$AQ$327,33,FALSE)-VLOOKUP($A188,Hshldprojections2018!$A$1:$AQ$327,23,FALSE))/10))</f>
        <v>679.9</v>
      </c>
      <c r="AE188" s="267">
        <f>IF(IndividualLATest!$J$7=2014,(VLOOKUP($A188,Hshldprojections2014!$A$2:$AY$326,44,FALSE)-VLOOKUP($A188,Hshldprojections2014!$A$2:$AY$326,34,FALSE))/10,IF(IndividualLATest!$J$7=2016,(VLOOKUP($A188,Hshldprojections2016!$A$1:$AQ$322,34,FALSE)-VLOOKUP($A188,Hshldprojections2016!$A$1:$AQ$322,24,FALSE))/10,(VLOOKUP($A188,Hshldprojections2018!$A$1:$AQ$327,34,FALSE)-VLOOKUP($A188,Hshldprojections2018!$A$1:$AQ$327,24,FALSE))/10))</f>
        <v>666.4</v>
      </c>
      <c r="AF188" s="267">
        <f>IF(IndividualLATest!$J$7=2014,(VLOOKUP($A188,Hshldprojections2014!$A$2:$AY$326,45,FALSE)-VLOOKUP($A188,Hshldprojections2014!$A$2:$AY$326,35,FALSE))/10,IF(IndividualLATest!$J$7=2016,(VLOOKUP($A188,Hshldprojections2016!$A$1:$AQ$322,35,FALSE)-VLOOKUP($A188,Hshldprojections2016!$A$1:$AQ$322,25,FALSE))/10,(VLOOKUP($A188,Hshldprojections2018!$A$1:$AQ$327,35,FALSE)-VLOOKUP($A188,Hshldprojections2018!$A$1:$AQ$327,25,FALSE))/10))</f>
        <v>658.5</v>
      </c>
      <c r="AG188" s="267">
        <f>IF(IndividualLATest!$J$7=2014,(VLOOKUP($A188,Hshldprojections2014!$A$2:$AY$326,46,FALSE)-VLOOKUP($A188,Hshldprojections2014!$A$2:$AY$326,36,FALSE))/10,IF(IndividualLATest!$J$7=2016,(VLOOKUP($A188,Hshldprojections2016!$A$1:$AQ$322,36,FALSE)-VLOOKUP($A188,Hshldprojections2016!$A$1:$AQ$322,26,FALSE))/10,(VLOOKUP($A188,Hshldprojections2018!$A$1:$AQ$327,36,FALSE)-VLOOKUP($A188,Hshldprojections2018!$A$1:$AQ$327,26,FALSE))/10))</f>
        <v>648.6</v>
      </c>
      <c r="AH188" s="267">
        <f>IF(IndividualLATest!$J$7=2014,(VLOOKUP($A188,Hshldprojections2014!$A$2:$AY$326,47,FALSE)-VLOOKUP($A188,Hshldprojections2014!$A$2:$AY$326,37,FALSE))/10,IF(IndividualLATest!$J$7=2016,(VLOOKUP($A188,Hshldprojections2016!$A$1:$AQ$322,37,FALSE)-VLOOKUP($A188,Hshldprojections2016!$A$1:$AQ$322,27,FALSE))/10,(VLOOKUP($A188,Hshldprojections2018!$A$1:$AQ$327,37,FALSE)-VLOOKUP($A188,Hshldprojections2018!$A$1:$AQ$327,27,FALSE))/10))</f>
        <v>639.29999999999995</v>
      </c>
      <c r="AI188" s="268">
        <f>IF(ISNUMBER('Sensitivity Tests'!$C$30),'Sensitivity Tests'!$C$30,VLOOKUP($A188,AffordabilityRatio!$A$2:$I$321,5,FALSE))</f>
        <v>6.3</v>
      </c>
      <c r="AJ188" s="268">
        <f>IF(ISNUMBER('Sensitivity Tests'!$C$30),'Sensitivity Tests'!$C$30,VLOOKUP($A188,AffordabilityRatio!$A$2:$I$321,6,FALSE))</f>
        <v>6.12</v>
      </c>
      <c r="AK188" s="268">
        <f>IF(ISNUMBER('Sensitivity Tests'!$C$30),'Sensitivity Tests'!$C$30,VLOOKUP($A188,AffordabilityRatio!$A$2:$I$321,7,FALSE))</f>
        <v>6.03</v>
      </c>
      <c r="AL188" s="268">
        <f>IF(ISNUMBER('Sensitivity Tests'!$C$30),'Sensitivity Tests'!$C$30,IF((VLOOKUP($A188,AffordabilityRatio!$A$2:$I$321,8,FALSE))="",AK188,VLOOKUP($A188,AffordabilityRatio!$A$2:$I$321,8,FALSE)))</f>
        <v>6.19</v>
      </c>
      <c r="AM188" s="268">
        <f>IF(ISNUMBER('Sensitivity Tests'!$C$30),'Sensitivity Tests'!$C$30,IF((VLOOKUP($A188,AffordabilityRatio!$A$2:$I$321,9,FALSE))="",AL188,VLOOKUP($A188,AffordabilityRatio!$A$2:$I$321,9,FALSE)))</f>
        <v>6.53</v>
      </c>
      <c r="AN188" s="268">
        <f>IF(ISNUMBER('Sensitivity Tests'!$C$30),'Sensitivity Tests'!$C$30,IF((VLOOKUP($A188,AffordabilityRatio!$A$2:$I$321,9,FALSE))="",AM188,VLOOKUP($A188,AffordabilityRatio!$A$2:$I$321,9,FALSE)))</f>
        <v>6.53</v>
      </c>
      <c r="AO188" s="268">
        <f>IF(ISNUMBER('Sensitivity Tests'!$C$30),'Sensitivity Tests'!$C$30,IF((VLOOKUP($A188,AffordabilityRatio!$A$2:$I$321,9,FALSE))="",AN188,VLOOKUP($A188,AffordabilityRatio!$A$2:$I$321,9,FALSE)))</f>
        <v>6.53</v>
      </c>
      <c r="AP188" s="268">
        <f>IF(ISNUMBER('Sensitivity Tests'!$C$30),'Sensitivity Tests'!$C$30,IF((VLOOKUP($A188,AffordabilityRatio!$A$2:$I$321,9,FALSE))="",AO188,VLOOKUP($A188,AffordabilityRatio!$A$2:$I$321,9,FALSE)))</f>
        <v>6.53</v>
      </c>
      <c r="AQ188" s="267">
        <f t="shared" si="152"/>
        <v>827</v>
      </c>
      <c r="AR188" s="267">
        <f t="shared" si="152"/>
        <v>812</v>
      </c>
      <c r="AS188" s="267">
        <f t="shared" si="152"/>
        <v>801</v>
      </c>
      <c r="AT188" s="267">
        <f t="shared" si="152"/>
        <v>773</v>
      </c>
      <c r="AU188" s="267">
        <f t="shared" si="152"/>
        <v>772</v>
      </c>
      <c r="AV188" s="267">
        <f t="shared" si="151"/>
        <v>763</v>
      </c>
      <c r="AW188" s="267">
        <f t="shared" si="151"/>
        <v>751</v>
      </c>
      <c r="AX188" s="267">
        <f t="shared" si="151"/>
        <v>740</v>
      </c>
      <c r="AY188" s="267">
        <f t="shared" si="122"/>
        <v>827</v>
      </c>
      <c r="AZ188" s="267">
        <f t="shared" si="123"/>
        <v>812</v>
      </c>
      <c r="BA188" s="267">
        <f t="shared" si="124"/>
        <v>801</v>
      </c>
      <c r="BB188" s="267">
        <f t="shared" si="125"/>
        <v>773</v>
      </c>
      <c r="BC188" s="267">
        <f t="shared" si="126"/>
        <v>772</v>
      </c>
      <c r="BD188" s="267">
        <f t="shared" si="127"/>
        <v>763</v>
      </c>
      <c r="BE188" s="267">
        <f t="shared" si="128"/>
        <v>751</v>
      </c>
      <c r="BF188" s="267">
        <f t="shared" si="129"/>
        <v>740</v>
      </c>
      <c r="BG188" s="269">
        <f>AY188*VLOOKUP($B188,'Major Cities &amp; Towns'!$A$28:$B$345,2,FALSE)</f>
        <v>827</v>
      </c>
      <c r="BH188" s="269">
        <f>AZ188*VLOOKUP($B188,'Major Cities &amp; Towns'!$A$28:$B$345,2,FALSE)</f>
        <v>812</v>
      </c>
      <c r="BI188" s="269">
        <f>BA188*VLOOKUP($B188,'Major Cities &amp; Towns'!$A$28:$B$345,2,FALSE)</f>
        <v>801</v>
      </c>
      <c r="BJ188" s="269">
        <f>BB188*VLOOKUP($B188,'Major Cities &amp; Towns'!$A$28:$B$345,2,FALSE)</f>
        <v>773</v>
      </c>
      <c r="BK188" s="269">
        <f>BC188*VLOOKUP($B188,'Major Cities &amp; Towns'!$A$28:$B$345,2,FALSE)</f>
        <v>772</v>
      </c>
      <c r="BL188" s="269">
        <f>BD188*VLOOKUP($B188,'Major Cities &amp; Towns'!$A$28:$B$345,2,FALSE)</f>
        <v>763</v>
      </c>
      <c r="BM188" s="269">
        <f>BE188*VLOOKUP($B188,'Major Cities &amp; Towns'!$A$28:$B$345,2,FALSE)</f>
        <v>751</v>
      </c>
      <c r="BN188" s="269">
        <f>BF188*VLOOKUP($B188,'Major Cities &amp; Towns'!$A$28:$B$345,2,FALSE)</f>
        <v>740</v>
      </c>
      <c r="BO188" s="270">
        <f t="shared" si="130"/>
        <v>790.14285714285711</v>
      </c>
      <c r="BP188" s="270">
        <f t="shared" si="147"/>
        <v>790.14285714285711</v>
      </c>
      <c r="BQ188" s="270">
        <f t="shared" si="147"/>
        <v>790.14285714285711</v>
      </c>
      <c r="BR188" s="270">
        <f t="shared" si="147"/>
        <v>773</v>
      </c>
      <c r="BS188" s="270">
        <f t="shared" si="146"/>
        <v>772</v>
      </c>
      <c r="BT188" s="270">
        <f t="shared" si="146"/>
        <v>763</v>
      </c>
      <c r="BU188" s="270">
        <f t="shared" si="146"/>
        <v>751</v>
      </c>
      <c r="BV188" s="270">
        <f t="shared" si="146"/>
        <v>740</v>
      </c>
      <c r="BW188" s="39">
        <f>VLOOKUP($A188,NetAdditions!$A$2:$H$336,6,FALSE)</f>
        <v>933</v>
      </c>
      <c r="BX188" s="39">
        <f>VLOOKUP($A188,NetAdditions!$A$2:$H$336,7,FALSE)</f>
        <v>554</v>
      </c>
      <c r="BY188" s="39">
        <f>IF((VLOOKUP($C188,NetAdditions!$A$2:$H$336,8,FALSE))="",(AVERAGE(VLOOKUP($C188,NetAdditions!$A$2:$H$336,5,FALSE),VLOOKUP($C188,NetAdditions!$A$2:$H$336,6,FALSE),VLOOKUP($C188,NetAdditions!$A$2:$H$336,7,FALSE))),VLOOKUP($C188,NetAdditions!$A$2:$H$336,8,FALSE))</f>
        <v>563</v>
      </c>
      <c r="BZ188" s="39">
        <f t="shared" si="150"/>
        <v>683.33333333333337</v>
      </c>
      <c r="CA188" s="39">
        <f t="shared" si="150"/>
        <v>600.1111111111112</v>
      </c>
      <c r="CB188" s="39">
        <f t="shared" si="150"/>
        <v>615.48148148148164</v>
      </c>
      <c r="CC188" s="39">
        <f t="shared" si="150"/>
        <v>632.9753086419754</v>
      </c>
      <c r="CD188" s="39">
        <f t="shared" si="150"/>
        <v>616.18930041152271</v>
      </c>
      <c r="CE188" s="276">
        <f t="shared" si="106"/>
        <v>2370.4285714285716</v>
      </c>
      <c r="CF188" s="276">
        <f t="shared" si="107"/>
        <v>2353.2857142857142</v>
      </c>
      <c r="CG188" s="276">
        <f t="shared" si="108"/>
        <v>2335.1428571428569</v>
      </c>
      <c r="CH188" s="276">
        <f t="shared" si="109"/>
        <v>2308</v>
      </c>
      <c r="CI188" s="276">
        <f t="shared" si="110"/>
        <v>2286</v>
      </c>
      <c r="CJ188" s="276">
        <f t="shared" si="111"/>
        <v>2254</v>
      </c>
      <c r="CK188" s="276">
        <f t="shared" si="131"/>
        <v>2041.2023809523812</v>
      </c>
      <c r="CL188" s="276">
        <f t="shared" si="132"/>
        <v>2026.4404761904761</v>
      </c>
      <c r="CM188" s="276">
        <f t="shared" si="133"/>
        <v>2140.5476190476188</v>
      </c>
      <c r="CN188" s="276">
        <f t="shared" si="134"/>
        <v>2308</v>
      </c>
      <c r="CO188" s="276">
        <f t="shared" si="134"/>
        <v>2286</v>
      </c>
      <c r="CP188" s="276">
        <f t="shared" si="134"/>
        <v>2254</v>
      </c>
      <c r="CQ188" s="39">
        <f t="shared" si="112"/>
        <v>2050</v>
      </c>
      <c r="CR188" s="39">
        <f t="shared" si="113"/>
        <v>1800.3333333333335</v>
      </c>
      <c r="CS188" s="277">
        <f t="shared" si="114"/>
        <v>1846.4444444444448</v>
      </c>
      <c r="CT188" s="39">
        <f t="shared" si="115"/>
        <v>1898.9259259259261</v>
      </c>
      <c r="CU188" s="39">
        <f t="shared" si="116"/>
        <v>1848.5679012345681</v>
      </c>
      <c r="CV188" s="39">
        <f t="shared" si="117"/>
        <v>1864.6460905349797</v>
      </c>
      <c r="CW188" s="297">
        <f t="shared" si="118"/>
        <v>1.0043100180215907</v>
      </c>
      <c r="CX188" s="279" t="str">
        <f t="shared" si="135"/>
        <v>Pass</v>
      </c>
      <c r="CY188" s="278">
        <f t="shared" si="119"/>
        <v>0.88842152260884388</v>
      </c>
      <c r="CZ188" s="279" t="str">
        <f t="shared" si="136"/>
        <v>Action Plan</v>
      </c>
      <c r="DA188" s="278">
        <f t="shared" si="120"/>
        <v>0.86260376924759674</v>
      </c>
      <c r="DB188" s="292" t="str">
        <f t="shared" si="137"/>
        <v>Action Plan</v>
      </c>
      <c r="DC188" s="299">
        <f t="shared" si="138"/>
        <v>0.82275820014121581</v>
      </c>
      <c r="DD188" s="293" t="str">
        <f t="shared" si="139"/>
        <v>Buffer and Action Plan</v>
      </c>
      <c r="DE188" s="299">
        <f t="shared" si="140"/>
        <v>0.80864737586814006</v>
      </c>
      <c r="DF188" s="293" t="str">
        <f t="shared" si="141"/>
        <v>Buffer and Action Plan</v>
      </c>
      <c r="DG188" s="299">
        <f t="shared" si="142"/>
        <v>0.82726090973157929</v>
      </c>
      <c r="DH188" s="293" t="str">
        <f t="shared" si="143"/>
        <v>Buffer and Action Plan</v>
      </c>
    </row>
    <row r="189" spans="1:112" ht="15" thickTop="1" thickBot="1">
      <c r="A189" s="38" t="s">
        <v>488</v>
      </c>
      <c r="B189" s="38" t="s">
        <v>489</v>
      </c>
      <c r="C189" s="38" t="s">
        <v>488</v>
      </c>
      <c r="D189" s="38" t="s">
        <v>154</v>
      </c>
      <c r="E189" s="38" t="str">
        <f>VLOOKUP(C189,PoliticalControl!A:K,11,FALSE)</f>
        <v>CON</v>
      </c>
      <c r="F189" s="38" t="str">
        <f>VLOOKUP(C189,UrbanRuralClassification!A:N,13,FALSE)</f>
        <v xml:space="preserve">Mainly Rural (rural including hub towns &gt;=80%) </v>
      </c>
      <c r="G189" s="38" t="str">
        <f>VLOOKUP(C189,UrbanRuralClassification!A:N,14,FALSE)</f>
        <v>Predominantly Rural</v>
      </c>
      <c r="H189" s="258">
        <f>IF(ISBLANK((VLOOKUP($A189,'local-plan-data'!$C$1:$AD$566,27,FALSE)))=TRUE,"",VLOOKUP($A189,'local-plan-data'!$C$1:$AD$566,27,FALSE))</f>
        <v>44468</v>
      </c>
      <c r="I189" s="259">
        <f>VLOOKUP($A189,'local-plan-data'!$C$1:$AD$566,28,FALSE)</f>
        <v>436.27272727272725</v>
      </c>
      <c r="J189" s="260">
        <f t="shared" si="121"/>
        <v>436.27272727272725</v>
      </c>
      <c r="K189" s="259">
        <f t="shared" si="144"/>
        <v>436.27272727272725</v>
      </c>
      <c r="L189" s="259">
        <f t="shared" si="148"/>
        <v>436.27272727272725</v>
      </c>
      <c r="M189" s="259">
        <f t="shared" si="148"/>
        <v>436.27272727272725</v>
      </c>
      <c r="N189" s="259">
        <f t="shared" si="148"/>
        <v>436.27272727272725</v>
      </c>
      <c r="O189" s="259">
        <f t="shared" si="148"/>
        <v>436.27272727272725</v>
      </c>
      <c r="P189" s="259">
        <f t="shared" si="148"/>
        <v>436.27272727272725</v>
      </c>
      <c r="Q189" s="259">
        <f t="shared" si="148"/>
        <v>436.27272727272725</v>
      </c>
      <c r="R189" s="259">
        <f t="shared" si="148"/>
        <v>436.27272727272725</v>
      </c>
      <c r="S189" s="259">
        <f t="shared" si="145"/>
        <v>3103</v>
      </c>
      <c r="T189" s="259">
        <f t="shared" si="149"/>
        <v>2738</v>
      </c>
      <c r="U189" s="259">
        <f t="shared" si="149"/>
        <v>2372</v>
      </c>
      <c r="V189" s="259">
        <f t="shared" si="149"/>
        <v>2007</v>
      </c>
      <c r="W189" s="259">
        <f t="shared" si="149"/>
        <v>1642</v>
      </c>
      <c r="X189" s="259">
        <f t="shared" si="149"/>
        <v>1277</v>
      </c>
      <c r="Y189" s="259">
        <f t="shared" si="149"/>
        <v>911</v>
      </c>
      <c r="Z189" s="259">
        <f t="shared" si="149"/>
        <v>546</v>
      </c>
      <c r="AA189" s="267">
        <f>(VLOOKUP(A189,Hshldprojections2014!$A$2:$AW$319,40, FALSE)-VLOOKUP(A189,Hshldprojections2014!$A$2:$AW$319,30, FALSE))/10</f>
        <v>144.80000000000001</v>
      </c>
      <c r="AB189" s="267">
        <f>(VLOOKUP(A189,Hshldprojections2014!$A$2:$AW$319,41, FALSE)-VLOOKUP(A189,Hshldprojections2014!$A$2:$AW$319,31, FALSE))/10</f>
        <v>143.9</v>
      </c>
      <c r="AC189" s="267">
        <f>(VLOOKUP(A189,Hshldprojections2014!$A$2:$AW$319,42, FALSE)-VLOOKUP(A189,Hshldprojections2014!$A$2:$AW$319,32, FALSE))/10</f>
        <v>142.5</v>
      </c>
      <c r="AD189" s="267">
        <f>IF(IndividualLATest!$J$7=2014,(VLOOKUP($A189,Hshldprojections2014!$A$2:$AY$326,43,FALSE)-VLOOKUP($A189,Hshldprojections2014!$A$2:$AY$326,33,FALSE))/10,IF(IndividualLATest!$J$7=2016,(VLOOKUP($A189,Hshldprojections2016!$A$1:$AQ$322,33,FALSE)-VLOOKUP($A189,Hshldprojections2016!$A$1:$AQ$322,23,FALSE))/10,(VLOOKUP($A189,Hshldprojections2018!$A$1:$AQ$327,33,FALSE)-VLOOKUP($A189,Hshldprojections2018!$A$1:$AQ$327,23,FALSE))/10))</f>
        <v>298.8</v>
      </c>
      <c r="AE189" s="267">
        <f>IF(IndividualLATest!$J$7=2014,(VLOOKUP($A189,Hshldprojections2014!$A$2:$AY$326,44,FALSE)-VLOOKUP($A189,Hshldprojections2014!$A$2:$AY$326,34,FALSE))/10,IF(IndividualLATest!$J$7=2016,(VLOOKUP($A189,Hshldprojections2016!$A$1:$AQ$322,34,FALSE)-VLOOKUP($A189,Hshldprojections2016!$A$1:$AQ$322,24,FALSE))/10,(VLOOKUP($A189,Hshldprojections2018!$A$1:$AQ$327,34,FALSE)-VLOOKUP($A189,Hshldprojections2018!$A$1:$AQ$327,24,FALSE))/10))</f>
        <v>289.7</v>
      </c>
      <c r="AF189" s="267">
        <f>IF(IndividualLATest!$J$7=2014,(VLOOKUP($A189,Hshldprojections2014!$A$2:$AY$326,45,FALSE)-VLOOKUP($A189,Hshldprojections2014!$A$2:$AY$326,35,FALSE))/10,IF(IndividualLATest!$J$7=2016,(VLOOKUP($A189,Hshldprojections2016!$A$1:$AQ$322,35,FALSE)-VLOOKUP($A189,Hshldprojections2016!$A$1:$AQ$322,25,FALSE))/10,(VLOOKUP($A189,Hshldprojections2018!$A$1:$AQ$327,35,FALSE)-VLOOKUP($A189,Hshldprojections2018!$A$1:$AQ$327,25,FALSE))/10))</f>
        <v>283</v>
      </c>
      <c r="AG189" s="267">
        <f>IF(IndividualLATest!$J$7=2014,(VLOOKUP($A189,Hshldprojections2014!$A$2:$AY$326,46,FALSE)-VLOOKUP($A189,Hshldprojections2014!$A$2:$AY$326,36,FALSE))/10,IF(IndividualLATest!$J$7=2016,(VLOOKUP($A189,Hshldprojections2016!$A$1:$AQ$322,36,FALSE)-VLOOKUP($A189,Hshldprojections2016!$A$1:$AQ$322,26,FALSE))/10,(VLOOKUP($A189,Hshldprojections2018!$A$1:$AQ$327,36,FALSE)-VLOOKUP($A189,Hshldprojections2018!$A$1:$AQ$327,26,FALSE))/10))</f>
        <v>276.2</v>
      </c>
      <c r="AH189" s="267">
        <f>IF(IndividualLATest!$J$7=2014,(VLOOKUP($A189,Hshldprojections2014!$A$2:$AY$326,47,FALSE)-VLOOKUP($A189,Hshldprojections2014!$A$2:$AY$326,37,FALSE))/10,IF(IndividualLATest!$J$7=2016,(VLOOKUP($A189,Hshldprojections2016!$A$1:$AQ$322,37,FALSE)-VLOOKUP($A189,Hshldprojections2016!$A$1:$AQ$322,27,FALSE))/10,(VLOOKUP($A189,Hshldprojections2018!$A$1:$AQ$327,37,FALSE)-VLOOKUP($A189,Hshldprojections2018!$A$1:$AQ$327,27,FALSE))/10))</f>
        <v>271.39999999999998</v>
      </c>
      <c r="AI189" s="268">
        <f>IF(ISNUMBER('Sensitivity Tests'!$C$30),'Sensitivity Tests'!$C$30,VLOOKUP($A189,AffordabilityRatio!$A$2:$I$321,5,FALSE))</f>
        <v>7.03</v>
      </c>
      <c r="AJ189" s="268">
        <f>IF(ISNUMBER('Sensitivity Tests'!$C$30),'Sensitivity Tests'!$C$30,VLOOKUP($A189,AffordabilityRatio!$A$2:$I$321,6,FALSE))</f>
        <v>7.24</v>
      </c>
      <c r="AK189" s="268">
        <f>IF(ISNUMBER('Sensitivity Tests'!$C$30),'Sensitivity Tests'!$C$30,VLOOKUP($A189,AffordabilityRatio!$A$2:$I$321,7,FALSE))</f>
        <v>7.29</v>
      </c>
      <c r="AL189" s="268">
        <f>IF(ISNUMBER('Sensitivity Tests'!$C$30),'Sensitivity Tests'!$C$30,IF((VLOOKUP($A189,AffordabilityRatio!$A$2:$I$321,8,FALSE))="",AK189,VLOOKUP($A189,AffordabilityRatio!$A$2:$I$321,8,FALSE)))</f>
        <v>7.49</v>
      </c>
      <c r="AM189" s="268">
        <f>IF(ISNUMBER('Sensitivity Tests'!$C$30),'Sensitivity Tests'!$C$30,IF((VLOOKUP($A189,AffordabilityRatio!$A$2:$I$321,9,FALSE))="",AL189,VLOOKUP($A189,AffordabilityRatio!$A$2:$I$321,9,FALSE)))</f>
        <v>8.23</v>
      </c>
      <c r="AN189" s="268">
        <f>IF(ISNUMBER('Sensitivity Tests'!$C$30),'Sensitivity Tests'!$C$30,IF((VLOOKUP($A189,AffordabilityRatio!$A$2:$I$321,9,FALSE))="",AM189,VLOOKUP($A189,AffordabilityRatio!$A$2:$I$321,9,FALSE)))</f>
        <v>8.23</v>
      </c>
      <c r="AO189" s="268">
        <f>IF(ISNUMBER('Sensitivity Tests'!$C$30),'Sensitivity Tests'!$C$30,IF((VLOOKUP($A189,AffordabilityRatio!$A$2:$I$321,9,FALSE))="",AN189,VLOOKUP($A189,AffordabilityRatio!$A$2:$I$321,9,FALSE)))</f>
        <v>8.23</v>
      </c>
      <c r="AP189" s="268">
        <f>IF(ISNUMBER('Sensitivity Tests'!$C$30),'Sensitivity Tests'!$C$30,IF((VLOOKUP($A189,AffordabilityRatio!$A$2:$I$321,9,FALSE))="",AO189,VLOOKUP($A189,AffordabilityRatio!$A$2:$I$321,9,FALSE)))</f>
        <v>8.23</v>
      </c>
      <c r="AQ189" s="267">
        <f t="shared" si="152"/>
        <v>172</v>
      </c>
      <c r="AR189" s="267">
        <f t="shared" si="152"/>
        <v>173</v>
      </c>
      <c r="AS189" s="267">
        <f t="shared" si="152"/>
        <v>172</v>
      </c>
      <c r="AT189" s="267">
        <f t="shared" si="152"/>
        <v>364</v>
      </c>
      <c r="AU189" s="267">
        <f t="shared" si="152"/>
        <v>366</v>
      </c>
      <c r="AV189" s="267">
        <f t="shared" si="151"/>
        <v>358</v>
      </c>
      <c r="AW189" s="267">
        <f t="shared" si="151"/>
        <v>349</v>
      </c>
      <c r="AX189" s="267">
        <f t="shared" si="151"/>
        <v>343</v>
      </c>
      <c r="AY189" s="267">
        <f t="shared" si="122"/>
        <v>172</v>
      </c>
      <c r="AZ189" s="267">
        <f t="shared" si="123"/>
        <v>173</v>
      </c>
      <c r="BA189" s="267">
        <f t="shared" si="124"/>
        <v>172</v>
      </c>
      <c r="BB189" s="267">
        <f t="shared" si="125"/>
        <v>364</v>
      </c>
      <c r="BC189" s="267">
        <f t="shared" si="126"/>
        <v>366</v>
      </c>
      <c r="BD189" s="267">
        <f t="shared" si="127"/>
        <v>358</v>
      </c>
      <c r="BE189" s="267">
        <f t="shared" si="128"/>
        <v>349</v>
      </c>
      <c r="BF189" s="267">
        <f t="shared" si="129"/>
        <v>343</v>
      </c>
      <c r="BG189" s="269">
        <f>AY189*VLOOKUP($B189,'Major Cities &amp; Towns'!$A$28:$B$345,2,FALSE)</f>
        <v>172</v>
      </c>
      <c r="BH189" s="269">
        <f>AZ189*VLOOKUP($B189,'Major Cities &amp; Towns'!$A$28:$B$345,2,FALSE)</f>
        <v>173</v>
      </c>
      <c r="BI189" s="269">
        <f>BA189*VLOOKUP($B189,'Major Cities &amp; Towns'!$A$28:$B$345,2,FALSE)</f>
        <v>172</v>
      </c>
      <c r="BJ189" s="269">
        <f>BB189*VLOOKUP($B189,'Major Cities &amp; Towns'!$A$28:$B$345,2,FALSE)</f>
        <v>364</v>
      </c>
      <c r="BK189" s="269">
        <f>BC189*VLOOKUP($B189,'Major Cities &amp; Towns'!$A$28:$B$345,2,FALSE)</f>
        <v>366</v>
      </c>
      <c r="BL189" s="269">
        <f>BD189*VLOOKUP($B189,'Major Cities &amp; Towns'!$A$28:$B$345,2,FALSE)</f>
        <v>358</v>
      </c>
      <c r="BM189" s="269">
        <f>BE189*VLOOKUP($B189,'Major Cities &amp; Towns'!$A$28:$B$345,2,FALSE)</f>
        <v>349</v>
      </c>
      <c r="BN189" s="269">
        <f>BF189*VLOOKUP($B189,'Major Cities &amp; Towns'!$A$28:$B$345,2,FALSE)</f>
        <v>343</v>
      </c>
      <c r="BO189" s="270">
        <f t="shared" si="130"/>
        <v>172</v>
      </c>
      <c r="BP189" s="270">
        <f t="shared" si="147"/>
        <v>173</v>
      </c>
      <c r="BQ189" s="270">
        <f t="shared" si="147"/>
        <v>172</v>
      </c>
      <c r="BR189" s="270">
        <f t="shared" si="147"/>
        <v>364</v>
      </c>
      <c r="BS189" s="270">
        <f t="shared" si="146"/>
        <v>366</v>
      </c>
      <c r="BT189" s="270">
        <f t="shared" si="146"/>
        <v>358</v>
      </c>
      <c r="BU189" s="270">
        <f t="shared" si="146"/>
        <v>349</v>
      </c>
      <c r="BV189" s="270">
        <f t="shared" si="146"/>
        <v>343</v>
      </c>
      <c r="BW189" s="39">
        <f>VLOOKUP($A189,NetAdditions!$A$2:$H$336,6,FALSE)</f>
        <v>337</v>
      </c>
      <c r="BX189" s="39">
        <f>VLOOKUP($A189,NetAdditions!$A$2:$H$336,7,FALSE)</f>
        <v>215</v>
      </c>
      <c r="BY189" s="39">
        <f>IF((VLOOKUP($C189,NetAdditions!$A$2:$H$336,8,FALSE))="",(AVERAGE(VLOOKUP($C189,NetAdditions!$A$2:$H$336,5,FALSE),VLOOKUP($C189,NetAdditions!$A$2:$H$336,6,FALSE),VLOOKUP($C189,NetAdditions!$A$2:$H$336,7,FALSE))),VLOOKUP($C189,NetAdditions!$A$2:$H$336,8,FALSE))</f>
        <v>137</v>
      </c>
      <c r="BZ189" s="39">
        <f t="shared" si="150"/>
        <v>229.66666666666666</v>
      </c>
      <c r="CA189" s="39">
        <f t="shared" si="150"/>
        <v>193.88888888888889</v>
      </c>
      <c r="CB189" s="39">
        <f t="shared" si="150"/>
        <v>186.85185185185185</v>
      </c>
      <c r="CC189" s="39">
        <f t="shared" si="150"/>
        <v>203.46913580246914</v>
      </c>
      <c r="CD189" s="39">
        <f t="shared" si="150"/>
        <v>194.7366255144033</v>
      </c>
      <c r="CE189" s="276">
        <f t="shared" si="106"/>
        <v>517</v>
      </c>
      <c r="CF189" s="276">
        <f t="shared" si="107"/>
        <v>709</v>
      </c>
      <c r="CG189" s="276">
        <f t="shared" si="108"/>
        <v>902</v>
      </c>
      <c r="CH189" s="276">
        <f t="shared" si="109"/>
        <v>1088</v>
      </c>
      <c r="CI189" s="276">
        <f t="shared" si="110"/>
        <v>1073</v>
      </c>
      <c r="CJ189" s="276">
        <f t="shared" si="111"/>
        <v>1050</v>
      </c>
      <c r="CK189" s="276">
        <f t="shared" si="131"/>
        <v>445.19444444444446</v>
      </c>
      <c r="CL189" s="276">
        <f t="shared" si="132"/>
        <v>610.52777777777783</v>
      </c>
      <c r="CM189" s="276">
        <f t="shared" si="133"/>
        <v>826.83333333333326</v>
      </c>
      <c r="CN189" s="276">
        <f t="shared" si="134"/>
        <v>1088</v>
      </c>
      <c r="CO189" s="276">
        <f t="shared" si="134"/>
        <v>1073</v>
      </c>
      <c r="CP189" s="276">
        <f t="shared" si="134"/>
        <v>1050</v>
      </c>
      <c r="CQ189" s="39">
        <f t="shared" si="112"/>
        <v>689</v>
      </c>
      <c r="CR189" s="39">
        <f t="shared" si="113"/>
        <v>581.66666666666663</v>
      </c>
      <c r="CS189" s="277">
        <f t="shared" si="114"/>
        <v>560.55555555555554</v>
      </c>
      <c r="CT189" s="39">
        <f t="shared" si="115"/>
        <v>610.40740740740739</v>
      </c>
      <c r="CU189" s="39">
        <f t="shared" si="116"/>
        <v>584.20987654320993</v>
      </c>
      <c r="CV189" s="39">
        <f t="shared" si="117"/>
        <v>585.05761316872429</v>
      </c>
      <c r="CW189" s="297">
        <f t="shared" si="118"/>
        <v>1.5476383602670494</v>
      </c>
      <c r="CX189" s="279" t="str">
        <f t="shared" si="135"/>
        <v>Pass</v>
      </c>
      <c r="CY189" s="278">
        <f t="shared" si="119"/>
        <v>0.95272760362163866</v>
      </c>
      <c r="CZ189" s="279" t="str">
        <f t="shared" si="136"/>
        <v>Pass</v>
      </c>
      <c r="DA189" s="278">
        <f t="shared" si="120"/>
        <v>0.67795471343143188</v>
      </c>
      <c r="DB189" s="292" t="str">
        <f t="shared" si="137"/>
        <v>Presumption</v>
      </c>
      <c r="DC189" s="299">
        <f t="shared" si="138"/>
        <v>0.56103622004357301</v>
      </c>
      <c r="DD189" s="293" t="str">
        <f t="shared" si="139"/>
        <v>Presumption</v>
      </c>
      <c r="DE189" s="299">
        <f t="shared" si="140"/>
        <v>0.54446400423411923</v>
      </c>
      <c r="DF189" s="293" t="str">
        <f t="shared" si="141"/>
        <v>Presumption</v>
      </c>
      <c r="DG189" s="299">
        <f t="shared" si="142"/>
        <v>0.55719772682735647</v>
      </c>
      <c r="DH189" s="293" t="str">
        <f t="shared" si="143"/>
        <v>Presumption</v>
      </c>
    </row>
    <row r="190" spans="1:112" ht="15" thickTop="1" thickBot="1">
      <c r="A190" s="38" t="s">
        <v>490</v>
      </c>
      <c r="B190" s="38" t="s">
        <v>491</v>
      </c>
      <c r="C190" s="38" t="s">
        <v>490</v>
      </c>
      <c r="D190" s="38" t="s">
        <v>119</v>
      </c>
      <c r="E190" s="38" t="str">
        <f>VLOOKUP(C190,PoliticalControl!A:K,11,FALSE)</f>
        <v>CON</v>
      </c>
      <c r="F190" s="38" t="str">
        <f>VLOOKUP(C190,UrbanRuralClassification!A:N,13,FALSE)</f>
        <v xml:space="preserve">Largely Rural (rural including hub towns 50-79%) </v>
      </c>
      <c r="G190" s="38" t="str">
        <f>VLOOKUP(C190,UrbanRuralClassification!A:N,14,FALSE)</f>
        <v>Predominantly Rural</v>
      </c>
      <c r="H190" s="258">
        <f>IF(ISBLANK((VLOOKUP($A190,'local-plan-data'!$C$1:$AD$566,27,FALSE)))=TRUE,"",VLOOKUP($A190,'local-plan-data'!$C$1:$AD$566,27,FALSE))</f>
        <v>43060</v>
      </c>
      <c r="I190" s="259">
        <f>VLOOKUP($A190,'local-plan-data'!$C$1:$AD$566,28,FALSE)</f>
        <v>481</v>
      </c>
      <c r="J190" s="260">
        <f t="shared" si="121"/>
        <v>481</v>
      </c>
      <c r="K190" s="259">
        <f t="shared" si="144"/>
        <v>481</v>
      </c>
      <c r="L190" s="259">
        <f t="shared" si="148"/>
        <v>481</v>
      </c>
      <c r="M190" s="259">
        <f t="shared" si="148"/>
        <v>481</v>
      </c>
      <c r="N190" s="259">
        <f t="shared" si="148"/>
        <v>481</v>
      </c>
      <c r="O190" s="259">
        <f t="shared" si="148"/>
        <v>481</v>
      </c>
      <c r="P190" s="259" t="str">
        <f t="shared" si="148"/>
        <v>-</v>
      </c>
      <c r="Q190" s="259" t="str">
        <f t="shared" si="148"/>
        <v>-</v>
      </c>
      <c r="R190" s="259" t="str">
        <f t="shared" si="148"/>
        <v>-</v>
      </c>
      <c r="S190" s="259">
        <f t="shared" si="145"/>
        <v>1695</v>
      </c>
      <c r="T190" s="259">
        <f t="shared" si="149"/>
        <v>1330</v>
      </c>
      <c r="U190" s="259">
        <f t="shared" si="149"/>
        <v>964</v>
      </c>
      <c r="V190" s="259">
        <f t="shared" si="149"/>
        <v>599</v>
      </c>
      <c r="W190" s="259">
        <f t="shared" si="149"/>
        <v>234</v>
      </c>
      <c r="X190" s="259">
        <f t="shared" si="149"/>
        <v>-131</v>
      </c>
      <c r="Y190" s="259">
        <f t="shared" si="149"/>
        <v>-497</v>
      </c>
      <c r="Z190" s="259">
        <f t="shared" si="149"/>
        <v>-862</v>
      </c>
      <c r="AA190" s="267">
        <f>(VLOOKUP(A190,Hshldprojections2014!$A$2:$AW$319,40, FALSE)-VLOOKUP(A190,Hshldprojections2014!$A$2:$AW$319,30, FALSE))/10</f>
        <v>305.89999999999998</v>
      </c>
      <c r="AB190" s="267">
        <f>(VLOOKUP(A190,Hshldprojections2014!$A$2:$AW$319,41, FALSE)-VLOOKUP(A190,Hshldprojections2014!$A$2:$AW$319,31, FALSE))/10</f>
        <v>304.10000000000002</v>
      </c>
      <c r="AC190" s="267">
        <f>(VLOOKUP(A190,Hshldprojections2014!$A$2:$AW$319,42, FALSE)-VLOOKUP(A190,Hshldprojections2014!$A$2:$AW$319,32, FALSE))/10</f>
        <v>300.10000000000002</v>
      </c>
      <c r="AD190" s="267">
        <f>IF(IndividualLATest!$J$7=2014,(VLOOKUP($A190,Hshldprojections2014!$A$2:$AY$326,43,FALSE)-VLOOKUP($A190,Hshldprojections2014!$A$2:$AY$326,33,FALSE))/10,IF(IndividualLATest!$J$7=2016,(VLOOKUP($A190,Hshldprojections2016!$A$1:$AQ$322,33,FALSE)-VLOOKUP($A190,Hshldprojections2016!$A$1:$AQ$322,23,FALSE))/10,(VLOOKUP($A190,Hshldprojections2018!$A$1:$AQ$327,33,FALSE)-VLOOKUP($A190,Hshldprojections2018!$A$1:$AQ$327,23,FALSE))/10))</f>
        <v>750.1</v>
      </c>
      <c r="AE190" s="267">
        <f>IF(IndividualLATest!$J$7=2014,(VLOOKUP($A190,Hshldprojections2014!$A$2:$AY$326,44,FALSE)-VLOOKUP($A190,Hshldprojections2014!$A$2:$AY$326,34,FALSE))/10,IF(IndividualLATest!$J$7=2016,(VLOOKUP($A190,Hshldprojections2016!$A$1:$AQ$322,34,FALSE)-VLOOKUP($A190,Hshldprojections2016!$A$1:$AQ$322,24,FALSE))/10,(VLOOKUP($A190,Hshldprojections2018!$A$1:$AQ$327,34,FALSE)-VLOOKUP($A190,Hshldprojections2018!$A$1:$AQ$327,24,FALSE))/10))</f>
        <v>735.4</v>
      </c>
      <c r="AF190" s="267">
        <f>IF(IndividualLATest!$J$7=2014,(VLOOKUP($A190,Hshldprojections2014!$A$2:$AY$326,45,FALSE)-VLOOKUP($A190,Hshldprojections2014!$A$2:$AY$326,35,FALSE))/10,IF(IndividualLATest!$J$7=2016,(VLOOKUP($A190,Hshldprojections2016!$A$1:$AQ$322,35,FALSE)-VLOOKUP($A190,Hshldprojections2016!$A$1:$AQ$322,25,FALSE))/10,(VLOOKUP($A190,Hshldprojections2018!$A$1:$AQ$327,35,FALSE)-VLOOKUP($A190,Hshldprojections2018!$A$1:$AQ$327,25,FALSE))/10))</f>
        <v>721.1</v>
      </c>
      <c r="AG190" s="267">
        <f>IF(IndividualLATest!$J$7=2014,(VLOOKUP($A190,Hshldprojections2014!$A$2:$AY$326,46,FALSE)-VLOOKUP($A190,Hshldprojections2014!$A$2:$AY$326,36,FALSE))/10,IF(IndividualLATest!$J$7=2016,(VLOOKUP($A190,Hshldprojections2016!$A$1:$AQ$322,36,FALSE)-VLOOKUP($A190,Hshldprojections2016!$A$1:$AQ$322,26,FALSE))/10,(VLOOKUP($A190,Hshldprojections2018!$A$1:$AQ$327,36,FALSE)-VLOOKUP($A190,Hshldprojections2018!$A$1:$AQ$327,26,FALSE))/10))</f>
        <v>705.3</v>
      </c>
      <c r="AH190" s="267">
        <f>IF(IndividualLATest!$J$7=2014,(VLOOKUP($A190,Hshldprojections2014!$A$2:$AY$326,47,FALSE)-VLOOKUP($A190,Hshldprojections2014!$A$2:$AY$326,37,FALSE))/10,IF(IndividualLATest!$J$7=2016,(VLOOKUP($A190,Hshldprojections2016!$A$1:$AQ$322,37,FALSE)-VLOOKUP($A190,Hshldprojections2016!$A$1:$AQ$322,27,FALSE))/10,(VLOOKUP($A190,Hshldprojections2018!$A$1:$AQ$327,37,FALSE)-VLOOKUP($A190,Hshldprojections2018!$A$1:$AQ$327,27,FALSE))/10))</f>
        <v>691.7</v>
      </c>
      <c r="AI190" s="268">
        <f>IF(ISNUMBER('Sensitivity Tests'!$C$30),'Sensitivity Tests'!$C$30,VLOOKUP($A190,AffordabilityRatio!$A$2:$I$321,5,FALSE))</f>
        <v>7.38</v>
      </c>
      <c r="AJ190" s="268">
        <f>IF(ISNUMBER('Sensitivity Tests'!$C$30),'Sensitivity Tests'!$C$30,VLOOKUP($A190,AffordabilityRatio!$A$2:$I$321,6,FALSE))</f>
        <v>7.89</v>
      </c>
      <c r="AK190" s="268">
        <f>IF(ISNUMBER('Sensitivity Tests'!$C$30),'Sensitivity Tests'!$C$30,VLOOKUP($A190,AffordabilityRatio!$A$2:$I$321,7,FALSE))</f>
        <v>7.19</v>
      </c>
      <c r="AL190" s="268">
        <f>IF(ISNUMBER('Sensitivity Tests'!$C$30),'Sensitivity Tests'!$C$30,IF((VLOOKUP($A190,AffordabilityRatio!$A$2:$I$321,8,FALSE))="",AK190,VLOOKUP($A190,AffordabilityRatio!$A$2:$I$321,8,FALSE)))</f>
        <v>7.78</v>
      </c>
      <c r="AM190" s="268">
        <f>IF(ISNUMBER('Sensitivity Tests'!$C$30),'Sensitivity Tests'!$C$30,IF((VLOOKUP($A190,AffordabilityRatio!$A$2:$I$321,9,FALSE))="",AL190,VLOOKUP($A190,AffordabilityRatio!$A$2:$I$321,9,FALSE)))</f>
        <v>7.99</v>
      </c>
      <c r="AN190" s="268">
        <f>IF(ISNUMBER('Sensitivity Tests'!$C$30),'Sensitivity Tests'!$C$30,IF((VLOOKUP($A190,AffordabilityRatio!$A$2:$I$321,9,FALSE))="",AM190,VLOOKUP($A190,AffordabilityRatio!$A$2:$I$321,9,FALSE)))</f>
        <v>7.99</v>
      </c>
      <c r="AO190" s="268">
        <f>IF(ISNUMBER('Sensitivity Tests'!$C$30),'Sensitivity Tests'!$C$30,IF((VLOOKUP($A190,AffordabilityRatio!$A$2:$I$321,9,FALSE))="",AN190,VLOOKUP($A190,AffordabilityRatio!$A$2:$I$321,9,FALSE)))</f>
        <v>7.99</v>
      </c>
      <c r="AP190" s="268">
        <f>IF(ISNUMBER('Sensitivity Tests'!$C$30),'Sensitivity Tests'!$C$30,IF((VLOOKUP($A190,AffordabilityRatio!$A$2:$I$321,9,FALSE))="",AO190,VLOOKUP($A190,AffordabilityRatio!$A$2:$I$321,9,FALSE)))</f>
        <v>7.99</v>
      </c>
      <c r="AQ190" s="267">
        <f t="shared" si="152"/>
        <v>371</v>
      </c>
      <c r="AR190" s="267">
        <f t="shared" si="152"/>
        <v>378</v>
      </c>
      <c r="AS190" s="267">
        <f t="shared" si="152"/>
        <v>360</v>
      </c>
      <c r="AT190" s="267">
        <f t="shared" si="152"/>
        <v>927</v>
      </c>
      <c r="AU190" s="267">
        <f t="shared" si="152"/>
        <v>919</v>
      </c>
      <c r="AV190" s="267">
        <f t="shared" si="151"/>
        <v>901</v>
      </c>
      <c r="AW190" s="267">
        <f t="shared" si="151"/>
        <v>881</v>
      </c>
      <c r="AX190" s="267">
        <f t="shared" si="151"/>
        <v>864</v>
      </c>
      <c r="AY190" s="267">
        <f t="shared" si="122"/>
        <v>371</v>
      </c>
      <c r="AZ190" s="267">
        <f t="shared" si="123"/>
        <v>378</v>
      </c>
      <c r="BA190" s="267">
        <f t="shared" si="124"/>
        <v>360</v>
      </c>
      <c r="BB190" s="267">
        <f t="shared" si="125"/>
        <v>673.4</v>
      </c>
      <c r="BC190" s="267">
        <f t="shared" si="126"/>
        <v>673.4</v>
      </c>
      <c r="BD190" s="267">
        <f t="shared" si="127"/>
        <v>901</v>
      </c>
      <c r="BE190" s="267">
        <f t="shared" si="128"/>
        <v>881</v>
      </c>
      <c r="BF190" s="267">
        <f t="shared" si="129"/>
        <v>864</v>
      </c>
      <c r="BG190" s="269">
        <f>AY190*VLOOKUP($B190,'Major Cities &amp; Towns'!$A$28:$B$345,2,FALSE)</f>
        <v>371</v>
      </c>
      <c r="BH190" s="269">
        <f>AZ190*VLOOKUP($B190,'Major Cities &amp; Towns'!$A$28:$B$345,2,FALSE)</f>
        <v>378</v>
      </c>
      <c r="BI190" s="269">
        <f>BA190*VLOOKUP($B190,'Major Cities &amp; Towns'!$A$28:$B$345,2,FALSE)</f>
        <v>360</v>
      </c>
      <c r="BJ190" s="269">
        <f>BB190*VLOOKUP($B190,'Major Cities &amp; Towns'!$A$28:$B$345,2,FALSE)</f>
        <v>673.4</v>
      </c>
      <c r="BK190" s="269">
        <f>BC190*VLOOKUP($B190,'Major Cities &amp; Towns'!$A$28:$B$345,2,FALSE)</f>
        <v>673.4</v>
      </c>
      <c r="BL190" s="269">
        <f>BD190*VLOOKUP($B190,'Major Cities &amp; Towns'!$A$28:$B$345,2,FALSE)</f>
        <v>901</v>
      </c>
      <c r="BM190" s="269">
        <f>BE190*VLOOKUP($B190,'Major Cities &amp; Towns'!$A$28:$B$345,2,FALSE)</f>
        <v>881</v>
      </c>
      <c r="BN190" s="269">
        <f>BF190*VLOOKUP($B190,'Major Cities &amp; Towns'!$A$28:$B$345,2,FALSE)</f>
        <v>864</v>
      </c>
      <c r="BO190" s="270">
        <f t="shared" si="130"/>
        <v>371</v>
      </c>
      <c r="BP190" s="270">
        <f t="shared" si="147"/>
        <v>378</v>
      </c>
      <c r="BQ190" s="270">
        <f t="shared" si="147"/>
        <v>360</v>
      </c>
      <c r="BR190" s="270">
        <f t="shared" si="147"/>
        <v>481</v>
      </c>
      <c r="BS190" s="270">
        <f t="shared" si="146"/>
        <v>638.20000000000005</v>
      </c>
      <c r="BT190" s="270">
        <f t="shared" si="146"/>
        <v>901</v>
      </c>
      <c r="BU190" s="270">
        <f t="shared" si="146"/>
        <v>881</v>
      </c>
      <c r="BV190" s="270">
        <f t="shared" si="146"/>
        <v>864</v>
      </c>
      <c r="BW190" s="39">
        <f>VLOOKUP($A190,NetAdditions!$A$2:$H$336,6,FALSE)</f>
        <v>713</v>
      </c>
      <c r="BX190" s="39">
        <f>VLOOKUP($A190,NetAdditions!$A$2:$H$336,7,FALSE)</f>
        <v>754</v>
      </c>
      <c r="BY190" s="39">
        <f>IF((VLOOKUP($C190,NetAdditions!$A$2:$H$336,8,FALSE))="",(AVERAGE(VLOOKUP($C190,NetAdditions!$A$2:$H$336,5,FALSE),VLOOKUP($C190,NetAdditions!$A$2:$H$336,6,FALSE),VLOOKUP($C190,NetAdditions!$A$2:$H$336,7,FALSE))),VLOOKUP($C190,NetAdditions!$A$2:$H$336,8,FALSE))</f>
        <v>702</v>
      </c>
      <c r="BZ190" s="39">
        <f t="shared" si="150"/>
        <v>723</v>
      </c>
      <c r="CA190" s="39">
        <f t="shared" si="150"/>
        <v>726.33333333333337</v>
      </c>
      <c r="CB190" s="39">
        <f t="shared" si="150"/>
        <v>717.1111111111112</v>
      </c>
      <c r="CC190" s="39">
        <f t="shared" si="150"/>
        <v>722.14814814814827</v>
      </c>
      <c r="CD190" s="39">
        <f t="shared" si="150"/>
        <v>721.86419753086432</v>
      </c>
      <c r="CE190" s="276">
        <f t="shared" si="106"/>
        <v>1109</v>
      </c>
      <c r="CF190" s="276">
        <f t="shared" si="107"/>
        <v>1219</v>
      </c>
      <c r="CG190" s="276">
        <f t="shared" si="108"/>
        <v>1479.2</v>
      </c>
      <c r="CH190" s="276">
        <f t="shared" si="109"/>
        <v>2020.2</v>
      </c>
      <c r="CI190" s="276">
        <f t="shared" si="110"/>
        <v>2420.1999999999998</v>
      </c>
      <c r="CJ190" s="276">
        <f t="shared" si="111"/>
        <v>2646</v>
      </c>
      <c r="CK190" s="276">
        <f t="shared" si="131"/>
        <v>954.97222222222229</v>
      </c>
      <c r="CL190" s="276">
        <f t="shared" si="132"/>
        <v>1049.6944444444446</v>
      </c>
      <c r="CM190" s="276">
        <f t="shared" si="133"/>
        <v>1355.9333333333334</v>
      </c>
      <c r="CN190" s="276">
        <f t="shared" si="134"/>
        <v>2020.2</v>
      </c>
      <c r="CO190" s="276">
        <f t="shared" si="134"/>
        <v>2420.1999999999998</v>
      </c>
      <c r="CP190" s="276">
        <f t="shared" si="134"/>
        <v>2646</v>
      </c>
      <c r="CQ190" s="39">
        <f t="shared" si="112"/>
        <v>2169</v>
      </c>
      <c r="CR190" s="39">
        <f t="shared" si="113"/>
        <v>2179</v>
      </c>
      <c r="CS190" s="277">
        <f t="shared" si="114"/>
        <v>2151.3333333333335</v>
      </c>
      <c r="CT190" s="39">
        <f t="shared" si="115"/>
        <v>2166.4444444444448</v>
      </c>
      <c r="CU190" s="39">
        <f t="shared" si="116"/>
        <v>2165.5925925925931</v>
      </c>
      <c r="CV190" s="39">
        <f t="shared" si="117"/>
        <v>2161.1234567901238</v>
      </c>
      <c r="CW190" s="297">
        <f t="shared" si="118"/>
        <v>2.2712702521888359</v>
      </c>
      <c r="CX190" s="279" t="str">
        <f t="shared" si="135"/>
        <v>Pass</v>
      </c>
      <c r="CY190" s="278">
        <f t="shared" si="119"/>
        <v>2.0758421762946888</v>
      </c>
      <c r="CZ190" s="279" t="str">
        <f t="shared" si="136"/>
        <v>Pass</v>
      </c>
      <c r="DA190" s="278">
        <f t="shared" si="120"/>
        <v>1.5866070111608241</v>
      </c>
      <c r="DB190" s="292" t="str">
        <f t="shared" si="137"/>
        <v>Pass</v>
      </c>
      <c r="DC190" s="299">
        <f t="shared" si="138"/>
        <v>1.0723910723910726</v>
      </c>
      <c r="DD190" s="293" t="str">
        <f t="shared" si="139"/>
        <v>Pass</v>
      </c>
      <c r="DE190" s="299">
        <f t="shared" si="140"/>
        <v>0.89479902181331838</v>
      </c>
      <c r="DF190" s="293" t="str">
        <f t="shared" si="141"/>
        <v>Action Plan</v>
      </c>
      <c r="DG190" s="299">
        <f t="shared" si="142"/>
        <v>0.81675111745658491</v>
      </c>
      <c r="DH190" s="293" t="str">
        <f t="shared" si="143"/>
        <v>Buffer and Action Plan</v>
      </c>
    </row>
    <row r="191" spans="1:112" ht="15" thickTop="1" thickBot="1">
      <c r="A191" s="38" t="s">
        <v>492</v>
      </c>
      <c r="B191" s="38" t="s">
        <v>493</v>
      </c>
      <c r="C191" s="38" t="s">
        <v>492</v>
      </c>
      <c r="D191" s="38" t="s">
        <v>119</v>
      </c>
      <c r="E191" s="38" t="e">
        <f>VLOOKUP(C191,PoliticalControl!A:K,11,FALSE)</f>
        <v>#N/A</v>
      </c>
      <c r="F191" s="38" t="str">
        <f>VLOOKUP(C191,UrbanRuralClassification!A:N,13,FALSE)</f>
        <v>Urban with City and Town</v>
      </c>
      <c r="G191" s="38" t="str">
        <f>VLOOKUP(C191,UrbanRuralClassification!A:N,14,FALSE)</f>
        <v>Predominantly Urban</v>
      </c>
      <c r="H191" s="258">
        <f>IF(ISBLANK((VLOOKUP($A191,'local-plan-data'!$C$1:$AD$566,27,FALSE)))=TRUE,"",VLOOKUP($A191,'local-plan-data'!$C$1:$AD$566,27,FALSE))</f>
        <v>41988</v>
      </c>
      <c r="I191" s="259">
        <f>VLOOKUP($A191,'local-plan-data'!$C$1:$AD$566,28,FALSE)</f>
        <v>1048.3333333333333</v>
      </c>
      <c r="J191" s="260">
        <f t="shared" si="121"/>
        <v>1048.3333333333333</v>
      </c>
      <c r="K191" s="259">
        <f t="shared" si="144"/>
        <v>1048.3333333333333</v>
      </c>
      <c r="L191" s="259">
        <f t="shared" si="148"/>
        <v>1048.3333333333333</v>
      </c>
      <c r="M191" s="259" t="str">
        <f t="shared" si="148"/>
        <v>-</v>
      </c>
      <c r="N191" s="259" t="str">
        <f t="shared" si="148"/>
        <v>-</v>
      </c>
      <c r="O191" s="259" t="str">
        <f t="shared" si="148"/>
        <v>-</v>
      </c>
      <c r="P191" s="259" t="str">
        <f t="shared" si="148"/>
        <v>-</v>
      </c>
      <c r="Q191" s="259" t="str">
        <f t="shared" si="148"/>
        <v>-</v>
      </c>
      <c r="R191" s="259" t="str">
        <f t="shared" si="148"/>
        <v>-</v>
      </c>
      <c r="S191" s="259">
        <f t="shared" si="145"/>
        <v>623</v>
      </c>
      <c r="T191" s="259">
        <f t="shared" si="149"/>
        <v>258</v>
      </c>
      <c r="U191" s="259">
        <f t="shared" si="149"/>
        <v>-108</v>
      </c>
      <c r="V191" s="259">
        <f t="shared" si="149"/>
        <v>-473</v>
      </c>
      <c r="W191" s="259">
        <f t="shared" si="149"/>
        <v>-838</v>
      </c>
      <c r="X191" s="259">
        <f t="shared" si="149"/>
        <v>-1203</v>
      </c>
      <c r="Y191" s="259">
        <f t="shared" si="149"/>
        <v>-1569</v>
      </c>
      <c r="Z191" s="259">
        <f t="shared" si="149"/>
        <v>-1934</v>
      </c>
      <c r="AA191" s="267">
        <f>(VLOOKUP(A191,Hshldprojections2014!$A$2:$AW$319,40, FALSE)-VLOOKUP(A191,Hshldprojections2014!$A$2:$AW$319,30, FALSE))/10</f>
        <v>1099.8</v>
      </c>
      <c r="AB191" s="267">
        <f>(VLOOKUP(A191,Hshldprojections2014!$A$2:$AW$319,41, FALSE)-VLOOKUP(A191,Hshldprojections2014!$A$2:$AW$319,31, FALSE))/10</f>
        <v>1088.0999999999999</v>
      </c>
      <c r="AC191" s="267">
        <f>(VLOOKUP(A191,Hshldprojections2014!$A$2:$AW$319,42, FALSE)-VLOOKUP(A191,Hshldprojections2014!$A$2:$AW$319,32, FALSE))/10</f>
        <v>1083.3</v>
      </c>
      <c r="AD191" s="267">
        <f>IF(IndividualLATest!$J$7=2014,(VLOOKUP($A191,Hshldprojections2014!$A$2:$AY$326,43,FALSE)-VLOOKUP($A191,Hshldprojections2014!$A$2:$AY$326,33,FALSE))/10,IF(IndividualLATest!$J$7=2016,(VLOOKUP($A191,Hshldprojections2016!$A$1:$AQ$322,33,FALSE)-VLOOKUP($A191,Hshldprojections2016!$A$1:$AQ$322,23,FALSE))/10,(VLOOKUP($A191,Hshldprojections2018!$A$1:$AQ$327,33,FALSE)-VLOOKUP($A191,Hshldprojections2018!$A$1:$AQ$327,23,FALSE))/10))</f>
        <v>396.5</v>
      </c>
      <c r="AE191" s="267">
        <f>IF(IndividualLATest!$J$7=2014,(VLOOKUP($A191,Hshldprojections2014!$A$2:$AY$326,44,FALSE)-VLOOKUP($A191,Hshldprojections2014!$A$2:$AY$326,34,FALSE))/10,IF(IndividualLATest!$J$7=2016,(VLOOKUP($A191,Hshldprojections2016!$A$1:$AQ$322,34,FALSE)-VLOOKUP($A191,Hshldprojections2016!$A$1:$AQ$322,24,FALSE))/10,(VLOOKUP($A191,Hshldprojections2018!$A$1:$AQ$327,34,FALSE)-VLOOKUP($A191,Hshldprojections2018!$A$1:$AQ$327,24,FALSE))/10))</f>
        <v>396.3</v>
      </c>
      <c r="AF191" s="267">
        <f>IF(IndividualLATest!$J$7=2014,(VLOOKUP($A191,Hshldprojections2014!$A$2:$AY$326,45,FALSE)-VLOOKUP($A191,Hshldprojections2014!$A$2:$AY$326,35,FALSE))/10,IF(IndividualLATest!$J$7=2016,(VLOOKUP($A191,Hshldprojections2016!$A$1:$AQ$322,35,FALSE)-VLOOKUP($A191,Hshldprojections2016!$A$1:$AQ$322,25,FALSE))/10,(VLOOKUP($A191,Hshldprojections2018!$A$1:$AQ$327,35,FALSE)-VLOOKUP($A191,Hshldprojections2018!$A$1:$AQ$327,25,FALSE))/10))</f>
        <v>398.4</v>
      </c>
      <c r="AG191" s="267">
        <f>IF(IndividualLATest!$J$7=2014,(VLOOKUP($A191,Hshldprojections2014!$A$2:$AY$326,46,FALSE)-VLOOKUP($A191,Hshldprojections2014!$A$2:$AY$326,36,FALSE))/10,IF(IndividualLATest!$J$7=2016,(VLOOKUP($A191,Hshldprojections2016!$A$1:$AQ$322,36,FALSE)-VLOOKUP($A191,Hshldprojections2016!$A$1:$AQ$322,26,FALSE))/10,(VLOOKUP($A191,Hshldprojections2018!$A$1:$AQ$327,36,FALSE)-VLOOKUP($A191,Hshldprojections2018!$A$1:$AQ$327,26,FALSE))/10))</f>
        <v>398</v>
      </c>
      <c r="AH191" s="267">
        <f>IF(IndividualLATest!$J$7=2014,(VLOOKUP($A191,Hshldprojections2014!$A$2:$AY$326,47,FALSE)-VLOOKUP($A191,Hshldprojections2014!$A$2:$AY$326,37,FALSE))/10,IF(IndividualLATest!$J$7=2016,(VLOOKUP($A191,Hshldprojections2016!$A$1:$AQ$322,37,FALSE)-VLOOKUP($A191,Hshldprojections2016!$A$1:$AQ$322,27,FALSE))/10,(VLOOKUP($A191,Hshldprojections2018!$A$1:$AQ$327,37,FALSE)-VLOOKUP($A191,Hshldprojections2018!$A$1:$AQ$327,27,FALSE))/10))</f>
        <v>399</v>
      </c>
      <c r="AI191" s="268">
        <f>IF(ISNUMBER('Sensitivity Tests'!$C$30),'Sensitivity Tests'!$C$30,VLOOKUP($A191,AffordabilityRatio!$A$2:$I$321,5,FALSE))</f>
        <v>7.28</v>
      </c>
      <c r="AJ191" s="268">
        <f>IF(ISNUMBER('Sensitivity Tests'!$C$30),'Sensitivity Tests'!$C$30,VLOOKUP($A191,AffordabilityRatio!$A$2:$I$321,6,FALSE))</f>
        <v>7.6</v>
      </c>
      <c r="AK191" s="268">
        <f>IF(ISNUMBER('Sensitivity Tests'!$C$30),'Sensitivity Tests'!$C$30,VLOOKUP($A191,AffordabilityRatio!$A$2:$I$321,7,FALSE))</f>
        <v>7.01</v>
      </c>
      <c r="AL191" s="268">
        <f>IF(ISNUMBER('Sensitivity Tests'!$C$30),'Sensitivity Tests'!$C$30,IF((VLOOKUP($A191,AffordabilityRatio!$A$2:$I$321,8,FALSE))="",AK191,VLOOKUP($A191,AffordabilityRatio!$A$2:$I$321,8,FALSE)))</f>
        <v>7</v>
      </c>
      <c r="AM191" s="268">
        <f>IF(ISNUMBER('Sensitivity Tests'!$C$30),'Sensitivity Tests'!$C$30,IF((VLOOKUP($A191,AffordabilityRatio!$A$2:$I$321,9,FALSE))="",AL191,VLOOKUP($A191,AffordabilityRatio!$A$2:$I$321,9,FALSE)))</f>
        <v>7</v>
      </c>
      <c r="AN191" s="268">
        <f>IF(ISNUMBER('Sensitivity Tests'!$C$30),'Sensitivity Tests'!$C$30,IF((VLOOKUP($A191,AffordabilityRatio!$A$2:$I$321,9,FALSE))="",AM191,VLOOKUP($A191,AffordabilityRatio!$A$2:$I$321,9,FALSE)))</f>
        <v>7</v>
      </c>
      <c r="AO191" s="268">
        <f>IF(ISNUMBER('Sensitivity Tests'!$C$30),'Sensitivity Tests'!$C$30,IF((VLOOKUP($A191,AffordabilityRatio!$A$2:$I$321,9,FALSE))="",AN191,VLOOKUP($A191,AffordabilityRatio!$A$2:$I$321,9,FALSE)))</f>
        <v>7</v>
      </c>
      <c r="AP191" s="268">
        <f>IF(ISNUMBER('Sensitivity Tests'!$C$30),'Sensitivity Tests'!$C$30,IF((VLOOKUP($A191,AffordabilityRatio!$A$2:$I$321,9,FALSE))="",AO191,VLOOKUP($A191,AffordabilityRatio!$A$2:$I$321,9,FALSE)))</f>
        <v>7</v>
      </c>
      <c r="AQ191" s="267">
        <f t="shared" si="152"/>
        <v>1325</v>
      </c>
      <c r="AR191" s="267">
        <f t="shared" si="152"/>
        <v>1333</v>
      </c>
      <c r="AS191" s="267">
        <f t="shared" si="152"/>
        <v>1287</v>
      </c>
      <c r="AT191" s="267">
        <f t="shared" si="152"/>
        <v>471</v>
      </c>
      <c r="AU191" s="267">
        <f t="shared" si="152"/>
        <v>471</v>
      </c>
      <c r="AV191" s="267">
        <f t="shared" si="151"/>
        <v>473</v>
      </c>
      <c r="AW191" s="267">
        <f t="shared" si="151"/>
        <v>473</v>
      </c>
      <c r="AX191" s="267">
        <f t="shared" si="151"/>
        <v>474</v>
      </c>
      <c r="AY191" s="267">
        <f t="shared" si="122"/>
        <v>1325</v>
      </c>
      <c r="AZ191" s="267">
        <f t="shared" si="123"/>
        <v>1333</v>
      </c>
      <c r="BA191" s="267">
        <f t="shared" si="124"/>
        <v>1287</v>
      </c>
      <c r="BB191" s="267">
        <f t="shared" si="125"/>
        <v>471</v>
      </c>
      <c r="BC191" s="267">
        <f t="shared" si="126"/>
        <v>471</v>
      </c>
      <c r="BD191" s="267">
        <f t="shared" si="127"/>
        <v>473</v>
      </c>
      <c r="BE191" s="267">
        <f t="shared" si="128"/>
        <v>473</v>
      </c>
      <c r="BF191" s="267">
        <f t="shared" si="129"/>
        <v>474</v>
      </c>
      <c r="BG191" s="269">
        <f>AY191*VLOOKUP($B191,'Major Cities &amp; Towns'!$A$28:$B$345,2,FALSE)</f>
        <v>1325</v>
      </c>
      <c r="BH191" s="269">
        <f>AZ191*VLOOKUP($B191,'Major Cities &amp; Towns'!$A$28:$B$345,2,FALSE)</f>
        <v>1333</v>
      </c>
      <c r="BI191" s="269">
        <f>BA191*VLOOKUP($B191,'Major Cities &amp; Towns'!$A$28:$B$345,2,FALSE)</f>
        <v>1287</v>
      </c>
      <c r="BJ191" s="269">
        <f>BB191*VLOOKUP($B191,'Major Cities &amp; Towns'!$A$28:$B$345,2,FALSE)</f>
        <v>471</v>
      </c>
      <c r="BK191" s="269">
        <f>BC191*VLOOKUP($B191,'Major Cities &amp; Towns'!$A$28:$B$345,2,FALSE)</f>
        <v>471</v>
      </c>
      <c r="BL191" s="269">
        <f>BD191*VLOOKUP($B191,'Major Cities &amp; Towns'!$A$28:$B$345,2,FALSE)</f>
        <v>473</v>
      </c>
      <c r="BM191" s="269">
        <f>BE191*VLOOKUP($B191,'Major Cities &amp; Towns'!$A$28:$B$345,2,FALSE)</f>
        <v>473</v>
      </c>
      <c r="BN191" s="269">
        <f>BF191*VLOOKUP($B191,'Major Cities &amp; Towns'!$A$28:$B$345,2,FALSE)</f>
        <v>474</v>
      </c>
      <c r="BO191" s="270">
        <f t="shared" si="130"/>
        <v>1048.3333333333333</v>
      </c>
      <c r="BP191" s="270">
        <f t="shared" si="147"/>
        <v>1131.7835616438356</v>
      </c>
      <c r="BQ191" s="270">
        <f t="shared" si="147"/>
        <v>1287</v>
      </c>
      <c r="BR191" s="270">
        <f t="shared" si="147"/>
        <v>471</v>
      </c>
      <c r="BS191" s="270">
        <f t="shared" si="146"/>
        <v>471</v>
      </c>
      <c r="BT191" s="270">
        <f t="shared" si="146"/>
        <v>473</v>
      </c>
      <c r="BU191" s="270">
        <f t="shared" si="146"/>
        <v>473</v>
      </c>
      <c r="BV191" s="270">
        <f t="shared" si="146"/>
        <v>474</v>
      </c>
      <c r="BW191" s="39">
        <f>VLOOKUP($A191,NetAdditions!$A$2:$H$336,6,FALSE)</f>
        <v>589</v>
      </c>
      <c r="BX191" s="39">
        <f>VLOOKUP($A191,NetAdditions!$A$2:$H$336,7,FALSE)</f>
        <v>576</v>
      </c>
      <c r="BY191" s="39">
        <f>IF((VLOOKUP($C191,NetAdditions!$A$2:$H$336,8,FALSE))="",(AVERAGE(VLOOKUP($C191,NetAdditions!$A$2:$H$336,5,FALSE),VLOOKUP($C191,NetAdditions!$A$2:$H$336,6,FALSE),VLOOKUP($C191,NetAdditions!$A$2:$H$336,7,FALSE))),VLOOKUP($C191,NetAdditions!$A$2:$H$336,8,FALSE))</f>
        <v>677</v>
      </c>
      <c r="BZ191" s="39">
        <f t="shared" si="150"/>
        <v>614</v>
      </c>
      <c r="CA191" s="39">
        <f t="shared" si="150"/>
        <v>622.33333333333337</v>
      </c>
      <c r="CB191" s="39">
        <f t="shared" si="150"/>
        <v>637.77777777777783</v>
      </c>
      <c r="CC191" s="39">
        <f t="shared" si="150"/>
        <v>624.70370370370381</v>
      </c>
      <c r="CD191" s="39">
        <f t="shared" si="150"/>
        <v>628.27160493827171</v>
      </c>
      <c r="CE191" s="276">
        <f t="shared" si="106"/>
        <v>3467.1168949771691</v>
      </c>
      <c r="CF191" s="276">
        <f t="shared" si="107"/>
        <v>2889.7835616438356</v>
      </c>
      <c r="CG191" s="276">
        <f t="shared" si="108"/>
        <v>2229</v>
      </c>
      <c r="CH191" s="276">
        <f t="shared" si="109"/>
        <v>1415</v>
      </c>
      <c r="CI191" s="276">
        <f t="shared" si="110"/>
        <v>1417</v>
      </c>
      <c r="CJ191" s="276">
        <f t="shared" si="111"/>
        <v>1420</v>
      </c>
      <c r="CK191" s="276">
        <f t="shared" si="131"/>
        <v>2985.5728817858958</v>
      </c>
      <c r="CL191" s="276">
        <f t="shared" si="132"/>
        <v>2488.4247336377475</v>
      </c>
      <c r="CM191" s="276">
        <f t="shared" si="133"/>
        <v>2043.25</v>
      </c>
      <c r="CN191" s="276">
        <f t="shared" si="134"/>
        <v>1415</v>
      </c>
      <c r="CO191" s="276">
        <f t="shared" si="134"/>
        <v>1417</v>
      </c>
      <c r="CP191" s="276">
        <f t="shared" si="134"/>
        <v>1420</v>
      </c>
      <c r="CQ191" s="39">
        <f t="shared" si="112"/>
        <v>1842</v>
      </c>
      <c r="CR191" s="39">
        <f t="shared" si="113"/>
        <v>1867</v>
      </c>
      <c r="CS191" s="277">
        <f t="shared" si="114"/>
        <v>1913.3333333333335</v>
      </c>
      <c r="CT191" s="39">
        <f t="shared" si="115"/>
        <v>1874.1111111111113</v>
      </c>
      <c r="CU191" s="39">
        <f t="shared" si="116"/>
        <v>1884.8148148148152</v>
      </c>
      <c r="CV191" s="39">
        <f t="shared" si="117"/>
        <v>1890.7530864197533</v>
      </c>
      <c r="CW191" s="297">
        <f t="shared" si="118"/>
        <v>0.61696701870435033</v>
      </c>
      <c r="CX191" s="279" t="str">
        <f t="shared" si="135"/>
        <v>Buffer and Action Plan</v>
      </c>
      <c r="CY191" s="278">
        <f t="shared" si="119"/>
        <v>0.75027384785341411</v>
      </c>
      <c r="CZ191" s="279" t="str">
        <f t="shared" si="136"/>
        <v>Buffer and Action Plan</v>
      </c>
      <c r="DA191" s="278">
        <f t="shared" si="120"/>
        <v>0.93641665647049233</v>
      </c>
      <c r="DB191" s="292" t="str">
        <f t="shared" si="137"/>
        <v>Action Plan</v>
      </c>
      <c r="DC191" s="299">
        <f t="shared" si="138"/>
        <v>1.3244601491951318</v>
      </c>
      <c r="DD191" s="293" t="str">
        <f t="shared" si="139"/>
        <v>Pass</v>
      </c>
      <c r="DE191" s="299">
        <f t="shared" si="140"/>
        <v>1.3301445411537158</v>
      </c>
      <c r="DF191" s="293" t="str">
        <f t="shared" si="141"/>
        <v>Pass</v>
      </c>
      <c r="DG191" s="299">
        <f t="shared" si="142"/>
        <v>1.3315162580420798</v>
      </c>
      <c r="DH191" s="293" t="str">
        <f t="shared" si="143"/>
        <v>Pass</v>
      </c>
    </row>
    <row r="192" spans="1:112" ht="15" thickTop="1" thickBot="1">
      <c r="A192" s="38" t="s">
        <v>494</v>
      </c>
      <c r="B192" s="38" t="s">
        <v>495</v>
      </c>
      <c r="C192" s="38" t="s">
        <v>494</v>
      </c>
      <c r="D192" s="38" t="s">
        <v>259</v>
      </c>
      <c r="E192" s="38" t="str">
        <f>VLOOKUP(C192,PoliticalControl!A:K,11,FALSE)</f>
        <v>CON</v>
      </c>
      <c r="F192" s="38" t="str">
        <f>VLOOKUP(C192,UrbanRuralClassification!A:N,13,FALSE)</f>
        <v xml:space="preserve">Largely Rural (rural including hub towns 50-79%) </v>
      </c>
      <c r="G192" s="38" t="str">
        <f>VLOOKUP(C192,UrbanRuralClassification!A:N,14,FALSE)</f>
        <v>Predominantly Rural</v>
      </c>
      <c r="H192" s="258" t="str">
        <f>IF(ISBLANK((VLOOKUP($A192,'local-plan-data'!$C$1:$AD$566,27,FALSE)))=TRUE,"",VLOOKUP($A192,'local-plan-data'!$C$1:$AD$566,27,FALSE))</f>
        <v/>
      </c>
      <c r="I192" s="259">
        <f>VLOOKUP($A192,'local-plan-data'!$C$1:$AD$566,28,FALSE)</f>
        <v>885</v>
      </c>
      <c r="J192" s="260">
        <f t="shared" si="121"/>
        <v>885</v>
      </c>
      <c r="K192" s="259" t="str">
        <f t="shared" si="144"/>
        <v>-</v>
      </c>
      <c r="L192" s="259" t="str">
        <f t="shared" si="148"/>
        <v>-</v>
      </c>
      <c r="M192" s="259" t="str">
        <f t="shared" ref="L192:R228" si="153">IF(AND(ISNUMBER($H192),ISNUMBER($J192)),IF(($H192-M$1&gt;0),$J192,IF(DATEDIF($H192,M$1,"y")&lt;5,$J192,"-")),"-")</f>
        <v>-</v>
      </c>
      <c r="N192" s="259" t="str">
        <f t="shared" si="153"/>
        <v>-</v>
      </c>
      <c r="O192" s="259" t="str">
        <f t="shared" si="153"/>
        <v>-</v>
      </c>
      <c r="P192" s="259" t="str">
        <f t="shared" si="153"/>
        <v>-</v>
      </c>
      <c r="Q192" s="259" t="str">
        <f t="shared" si="153"/>
        <v>-</v>
      </c>
      <c r="R192" s="259" t="str">
        <f t="shared" si="153"/>
        <v>-</v>
      </c>
      <c r="S192" s="259" t="str">
        <f t="shared" si="145"/>
        <v>-</v>
      </c>
      <c r="T192" s="259" t="str">
        <f t="shared" si="149"/>
        <v>-</v>
      </c>
      <c r="U192" s="259" t="str">
        <f t="shared" ref="T192:Z228" si="154">IFERROR((EDATE($H192,60))-U$1,"-")</f>
        <v>-</v>
      </c>
      <c r="V192" s="259" t="str">
        <f t="shared" si="154"/>
        <v>-</v>
      </c>
      <c r="W192" s="259" t="str">
        <f t="shared" si="154"/>
        <v>-</v>
      </c>
      <c r="X192" s="259" t="str">
        <f t="shared" si="154"/>
        <v>-</v>
      </c>
      <c r="Y192" s="259" t="str">
        <f t="shared" si="154"/>
        <v>-</v>
      </c>
      <c r="Z192" s="259" t="str">
        <f t="shared" si="154"/>
        <v>-</v>
      </c>
      <c r="AA192" s="267">
        <f>(VLOOKUP(A192,Hshldprojections2014!$A$2:$AW$319,40, FALSE)-VLOOKUP(A192,Hshldprojections2014!$A$2:$AW$319,30, FALSE))/10</f>
        <v>597</v>
      </c>
      <c r="AB192" s="267">
        <f>(VLOOKUP(A192,Hshldprojections2014!$A$2:$AW$319,41, FALSE)-VLOOKUP(A192,Hshldprojections2014!$A$2:$AW$319,31, FALSE))/10</f>
        <v>580.9</v>
      </c>
      <c r="AC192" s="267">
        <f>(VLOOKUP(A192,Hshldprojections2014!$A$2:$AW$319,42, FALSE)-VLOOKUP(A192,Hshldprojections2014!$A$2:$AW$319,32, FALSE))/10</f>
        <v>563.1</v>
      </c>
      <c r="AD192" s="267">
        <f>IF(IndividualLATest!$J$7=2014,(VLOOKUP($A192,Hshldprojections2014!$A$2:$AY$326,43,FALSE)-VLOOKUP($A192,Hshldprojections2014!$A$2:$AY$326,33,FALSE))/10,IF(IndividualLATest!$J$7=2016,(VLOOKUP($A192,Hshldprojections2016!$A$1:$AQ$322,33,FALSE)-VLOOKUP($A192,Hshldprojections2016!$A$1:$AQ$322,23,FALSE))/10,(VLOOKUP($A192,Hshldprojections2018!$A$1:$AQ$327,33,FALSE)-VLOOKUP($A192,Hshldprojections2018!$A$1:$AQ$327,23,FALSE))/10))</f>
        <v>904.7</v>
      </c>
      <c r="AE192" s="267">
        <f>IF(IndividualLATest!$J$7=2014,(VLOOKUP($A192,Hshldprojections2014!$A$2:$AY$326,44,FALSE)-VLOOKUP($A192,Hshldprojections2014!$A$2:$AY$326,34,FALSE))/10,IF(IndividualLATest!$J$7=2016,(VLOOKUP($A192,Hshldprojections2016!$A$1:$AQ$322,34,FALSE)-VLOOKUP($A192,Hshldprojections2016!$A$1:$AQ$322,24,FALSE))/10,(VLOOKUP($A192,Hshldprojections2018!$A$1:$AQ$327,34,FALSE)-VLOOKUP($A192,Hshldprojections2018!$A$1:$AQ$327,24,FALSE))/10))</f>
        <v>867.3</v>
      </c>
      <c r="AF192" s="267">
        <f>IF(IndividualLATest!$J$7=2014,(VLOOKUP($A192,Hshldprojections2014!$A$2:$AY$326,45,FALSE)-VLOOKUP($A192,Hshldprojections2014!$A$2:$AY$326,35,FALSE))/10,IF(IndividualLATest!$J$7=2016,(VLOOKUP($A192,Hshldprojections2016!$A$1:$AQ$322,35,FALSE)-VLOOKUP($A192,Hshldprojections2016!$A$1:$AQ$322,25,FALSE))/10,(VLOOKUP($A192,Hshldprojections2018!$A$1:$AQ$327,35,FALSE)-VLOOKUP($A192,Hshldprojections2018!$A$1:$AQ$327,25,FALSE))/10))</f>
        <v>839</v>
      </c>
      <c r="AG192" s="267">
        <f>IF(IndividualLATest!$J$7=2014,(VLOOKUP($A192,Hshldprojections2014!$A$2:$AY$326,46,FALSE)-VLOOKUP($A192,Hshldprojections2014!$A$2:$AY$326,36,FALSE))/10,IF(IndividualLATest!$J$7=2016,(VLOOKUP($A192,Hshldprojections2016!$A$1:$AQ$322,36,FALSE)-VLOOKUP($A192,Hshldprojections2016!$A$1:$AQ$322,26,FALSE))/10,(VLOOKUP($A192,Hshldprojections2018!$A$1:$AQ$327,36,FALSE)-VLOOKUP($A192,Hshldprojections2018!$A$1:$AQ$327,26,FALSE))/10))</f>
        <v>808.6</v>
      </c>
      <c r="AH192" s="267">
        <f>IF(IndividualLATest!$J$7=2014,(VLOOKUP($A192,Hshldprojections2014!$A$2:$AY$326,47,FALSE)-VLOOKUP($A192,Hshldprojections2014!$A$2:$AY$326,37,FALSE))/10,IF(IndividualLATest!$J$7=2016,(VLOOKUP($A192,Hshldprojections2016!$A$1:$AQ$322,37,FALSE)-VLOOKUP($A192,Hshldprojections2016!$A$1:$AQ$322,27,FALSE))/10,(VLOOKUP($A192,Hshldprojections2018!$A$1:$AQ$327,37,FALSE)-VLOOKUP($A192,Hshldprojections2018!$A$1:$AQ$327,27,FALSE))/10))</f>
        <v>783.3</v>
      </c>
      <c r="AI192" s="268">
        <f>IF(ISNUMBER('Sensitivity Tests'!$C$30),'Sensitivity Tests'!$C$30,VLOOKUP($A192,AffordabilityRatio!$A$2:$I$321,5,FALSE))</f>
        <v>6.42</v>
      </c>
      <c r="AJ192" s="268">
        <f>IF(ISNUMBER('Sensitivity Tests'!$C$30),'Sensitivity Tests'!$C$30,VLOOKUP($A192,AffordabilityRatio!$A$2:$I$321,6,FALSE))</f>
        <v>6.59</v>
      </c>
      <c r="AK192" s="268">
        <f>IF(ISNUMBER('Sensitivity Tests'!$C$30),'Sensitivity Tests'!$C$30,VLOOKUP($A192,AffordabilityRatio!$A$2:$I$321,7,FALSE))</f>
        <v>6.56</v>
      </c>
      <c r="AL192" s="268">
        <f>IF(ISNUMBER('Sensitivity Tests'!$C$30),'Sensitivity Tests'!$C$30,IF((VLOOKUP($A192,AffordabilityRatio!$A$2:$I$321,8,FALSE))="",AK192,VLOOKUP($A192,AffordabilityRatio!$A$2:$I$321,8,FALSE)))</f>
        <v>6.18</v>
      </c>
      <c r="AM192" s="268">
        <f>IF(ISNUMBER('Sensitivity Tests'!$C$30),'Sensitivity Tests'!$C$30,IF((VLOOKUP($A192,AffordabilityRatio!$A$2:$I$321,9,FALSE))="",AL192,VLOOKUP($A192,AffordabilityRatio!$A$2:$I$321,9,FALSE)))</f>
        <v>6.77</v>
      </c>
      <c r="AN192" s="268">
        <f>IF(ISNUMBER('Sensitivity Tests'!$C$30),'Sensitivity Tests'!$C$30,IF((VLOOKUP($A192,AffordabilityRatio!$A$2:$I$321,9,FALSE))="",AM192,VLOOKUP($A192,AffordabilityRatio!$A$2:$I$321,9,FALSE)))</f>
        <v>6.77</v>
      </c>
      <c r="AO192" s="268">
        <f>IF(ISNUMBER('Sensitivity Tests'!$C$30),'Sensitivity Tests'!$C$30,IF((VLOOKUP($A192,AffordabilityRatio!$A$2:$I$321,9,FALSE))="",AN192,VLOOKUP($A192,AffordabilityRatio!$A$2:$I$321,9,FALSE)))</f>
        <v>6.77</v>
      </c>
      <c r="AP192" s="268">
        <f>IF(ISNUMBER('Sensitivity Tests'!$C$30),'Sensitivity Tests'!$C$30,IF((VLOOKUP($A192,AffordabilityRatio!$A$2:$I$321,9,FALSE))="",AO192,VLOOKUP($A192,AffordabilityRatio!$A$2:$I$321,9,FALSE)))</f>
        <v>6.77</v>
      </c>
      <c r="AQ192" s="267">
        <f t="shared" si="152"/>
        <v>687</v>
      </c>
      <c r="AR192" s="267">
        <f t="shared" si="152"/>
        <v>675</v>
      </c>
      <c r="AS192" s="267">
        <f t="shared" si="152"/>
        <v>653</v>
      </c>
      <c r="AT192" s="267">
        <f t="shared" si="152"/>
        <v>1028</v>
      </c>
      <c r="AU192" s="267">
        <f t="shared" si="152"/>
        <v>1017</v>
      </c>
      <c r="AV192" s="267">
        <f t="shared" si="151"/>
        <v>984</v>
      </c>
      <c r="AW192" s="267">
        <f t="shared" si="151"/>
        <v>949</v>
      </c>
      <c r="AX192" s="267">
        <f t="shared" si="151"/>
        <v>919</v>
      </c>
      <c r="AY192" s="267">
        <f t="shared" si="122"/>
        <v>687</v>
      </c>
      <c r="AZ192" s="267">
        <f t="shared" si="123"/>
        <v>675</v>
      </c>
      <c r="BA192" s="267">
        <f t="shared" si="124"/>
        <v>653</v>
      </c>
      <c r="BB192" s="267">
        <f t="shared" si="125"/>
        <v>1028</v>
      </c>
      <c r="BC192" s="267">
        <f t="shared" si="126"/>
        <v>1017</v>
      </c>
      <c r="BD192" s="267">
        <f t="shared" si="127"/>
        <v>984</v>
      </c>
      <c r="BE192" s="267">
        <f t="shared" si="128"/>
        <v>949</v>
      </c>
      <c r="BF192" s="267">
        <f t="shared" si="129"/>
        <v>919</v>
      </c>
      <c r="BG192" s="269">
        <f>AY192*VLOOKUP($B192,'Major Cities &amp; Towns'!$A$28:$B$345,2,FALSE)</f>
        <v>687</v>
      </c>
      <c r="BH192" s="269">
        <f>AZ192*VLOOKUP($B192,'Major Cities &amp; Towns'!$A$28:$B$345,2,FALSE)</f>
        <v>675</v>
      </c>
      <c r="BI192" s="269">
        <f>BA192*VLOOKUP($B192,'Major Cities &amp; Towns'!$A$28:$B$345,2,FALSE)</f>
        <v>653</v>
      </c>
      <c r="BJ192" s="269">
        <f>BB192*VLOOKUP($B192,'Major Cities &amp; Towns'!$A$28:$B$345,2,FALSE)</f>
        <v>1028</v>
      </c>
      <c r="BK192" s="269">
        <f>BC192*VLOOKUP($B192,'Major Cities &amp; Towns'!$A$28:$B$345,2,FALSE)</f>
        <v>1017</v>
      </c>
      <c r="BL192" s="269">
        <f>BD192*VLOOKUP($B192,'Major Cities &amp; Towns'!$A$28:$B$345,2,FALSE)</f>
        <v>984</v>
      </c>
      <c r="BM192" s="269">
        <f>BE192*VLOOKUP($B192,'Major Cities &amp; Towns'!$A$28:$B$345,2,FALSE)</f>
        <v>949</v>
      </c>
      <c r="BN192" s="269">
        <f>BF192*VLOOKUP($B192,'Major Cities &amp; Towns'!$A$28:$B$345,2,FALSE)</f>
        <v>919</v>
      </c>
      <c r="BO192" s="270">
        <f t="shared" si="130"/>
        <v>687</v>
      </c>
      <c r="BP192" s="270">
        <f t="shared" si="147"/>
        <v>675</v>
      </c>
      <c r="BQ192" s="270">
        <f t="shared" si="147"/>
        <v>653</v>
      </c>
      <c r="BR192" s="270">
        <f t="shared" si="147"/>
        <v>1028</v>
      </c>
      <c r="BS192" s="270">
        <f t="shared" si="146"/>
        <v>1017</v>
      </c>
      <c r="BT192" s="270">
        <f t="shared" si="146"/>
        <v>984</v>
      </c>
      <c r="BU192" s="270">
        <f t="shared" si="146"/>
        <v>949</v>
      </c>
      <c r="BV192" s="270">
        <f t="shared" si="146"/>
        <v>919</v>
      </c>
      <c r="BW192" s="39">
        <f>VLOOKUP($A192,NetAdditions!$A$2:$H$336,6,FALSE)</f>
        <v>1802</v>
      </c>
      <c r="BX192" s="39">
        <f>VLOOKUP($A192,NetAdditions!$A$2:$H$336,7,FALSE)</f>
        <v>1744</v>
      </c>
      <c r="BY192" s="39">
        <f>IF((VLOOKUP($C192,NetAdditions!$A$2:$H$336,8,FALSE))="",(AVERAGE(VLOOKUP($C192,NetAdditions!$A$2:$H$336,5,FALSE),VLOOKUP($C192,NetAdditions!$A$2:$H$336,6,FALSE),VLOOKUP($C192,NetAdditions!$A$2:$H$336,7,FALSE))),VLOOKUP($C192,NetAdditions!$A$2:$H$336,8,FALSE))</f>
        <v>1279</v>
      </c>
      <c r="BZ192" s="39">
        <f t="shared" si="150"/>
        <v>1608.3333333333333</v>
      </c>
      <c r="CA192" s="39">
        <f t="shared" si="150"/>
        <v>1543.7777777777776</v>
      </c>
      <c r="CB192" s="39">
        <f t="shared" si="150"/>
        <v>1477.0370370370367</v>
      </c>
      <c r="CC192" s="39">
        <f t="shared" si="150"/>
        <v>1543.0493827160492</v>
      </c>
      <c r="CD192" s="39">
        <f t="shared" si="150"/>
        <v>1521.2880658436213</v>
      </c>
      <c r="CE192" s="276">
        <f t="shared" si="106"/>
        <v>2015</v>
      </c>
      <c r="CF192" s="276">
        <f t="shared" si="107"/>
        <v>2356</v>
      </c>
      <c r="CG192" s="276">
        <f t="shared" si="108"/>
        <v>2698</v>
      </c>
      <c r="CH192" s="276">
        <f t="shared" si="109"/>
        <v>3029</v>
      </c>
      <c r="CI192" s="276">
        <f t="shared" si="110"/>
        <v>2950</v>
      </c>
      <c r="CJ192" s="276">
        <f t="shared" si="111"/>
        <v>2852</v>
      </c>
      <c r="CK192" s="276">
        <f t="shared" si="131"/>
        <v>1735.1388888888889</v>
      </c>
      <c r="CL192" s="276">
        <f t="shared" si="132"/>
        <v>2028.7777777777778</v>
      </c>
      <c r="CM192" s="276">
        <f t="shared" si="133"/>
        <v>2473.1666666666665</v>
      </c>
      <c r="CN192" s="276">
        <f t="shared" si="134"/>
        <v>3029</v>
      </c>
      <c r="CO192" s="276">
        <f t="shared" si="134"/>
        <v>2950</v>
      </c>
      <c r="CP192" s="276">
        <f t="shared" si="134"/>
        <v>2852</v>
      </c>
      <c r="CQ192" s="39">
        <f t="shared" si="112"/>
        <v>4825</v>
      </c>
      <c r="CR192" s="39">
        <f t="shared" si="113"/>
        <v>4631.333333333333</v>
      </c>
      <c r="CS192" s="277">
        <f t="shared" si="114"/>
        <v>4431.1111111111104</v>
      </c>
      <c r="CT192" s="39">
        <f t="shared" si="115"/>
        <v>4629.1481481481478</v>
      </c>
      <c r="CU192" s="39">
        <f t="shared" si="116"/>
        <v>4563.8641975308637</v>
      </c>
      <c r="CV192" s="39">
        <f t="shared" si="117"/>
        <v>4541.374485596707</v>
      </c>
      <c r="CW192" s="297">
        <f t="shared" si="118"/>
        <v>2.7807572240454652</v>
      </c>
      <c r="CX192" s="279" t="str">
        <f t="shared" si="135"/>
        <v>Pass</v>
      </c>
      <c r="CY192" s="278">
        <f t="shared" si="119"/>
        <v>2.282819431513226</v>
      </c>
      <c r="CZ192" s="279" t="str">
        <f t="shared" si="136"/>
        <v>Pass</v>
      </c>
      <c r="DA192" s="278">
        <f t="shared" si="120"/>
        <v>1.7916750904148975</v>
      </c>
      <c r="DB192" s="292" t="str">
        <f t="shared" si="137"/>
        <v>Pass</v>
      </c>
      <c r="DC192" s="299">
        <f t="shared" si="138"/>
        <v>1.5282760475893522</v>
      </c>
      <c r="DD192" s="293" t="str">
        <f t="shared" si="139"/>
        <v>Pass</v>
      </c>
      <c r="DE192" s="299">
        <f t="shared" si="140"/>
        <v>1.5470726093324962</v>
      </c>
      <c r="DF192" s="293" t="str">
        <f t="shared" si="141"/>
        <v>Pass</v>
      </c>
      <c r="DG192" s="299">
        <f t="shared" si="142"/>
        <v>1.5923472950900095</v>
      </c>
      <c r="DH192" s="293" t="str">
        <f t="shared" si="143"/>
        <v>Pass</v>
      </c>
    </row>
    <row r="193" spans="1:112" ht="15" thickTop="1" thickBot="1">
      <c r="A193" s="38" t="s">
        <v>496</v>
      </c>
      <c r="B193" s="38" t="s">
        <v>497</v>
      </c>
      <c r="C193" s="38" t="s">
        <v>496</v>
      </c>
      <c r="D193" s="38" t="s">
        <v>128</v>
      </c>
      <c r="E193" s="38" t="str">
        <f>VLOOKUP(C193,PoliticalControl!A:K,11,FALSE)</f>
        <v>LAB</v>
      </c>
      <c r="F193" s="38" t="str">
        <f>VLOOKUP(C193,UrbanRuralClassification!A:N,13,FALSE)</f>
        <v>Urban with City and Town</v>
      </c>
      <c r="G193" s="38" t="str">
        <f>VLOOKUP(C193,UrbanRuralClassification!A:N,14,FALSE)</f>
        <v>Predominantly Urban</v>
      </c>
      <c r="H193" s="258">
        <f>IF(ISBLANK((VLOOKUP($A193,'local-plan-data'!$C$1:$AD$566,27,FALSE)))=TRUE,"",VLOOKUP($A193,'local-plan-data'!$C$1:$AD$566,27,FALSE))</f>
        <v>41649</v>
      </c>
      <c r="I193" s="259">
        <f>VLOOKUP($A193,'local-plan-data'!$C$1:$AD$566,28,FALSE)</f>
        <v>2045.5555555555557</v>
      </c>
      <c r="J193" s="260">
        <f t="shared" si="121"/>
        <v>2045.5555555555557</v>
      </c>
      <c r="K193" s="259">
        <f t="shared" si="144"/>
        <v>2045.5555555555557</v>
      </c>
      <c r="L193" s="259" t="str">
        <f t="shared" si="153"/>
        <v>-</v>
      </c>
      <c r="M193" s="259" t="str">
        <f t="shared" si="153"/>
        <v>-</v>
      </c>
      <c r="N193" s="259" t="str">
        <f t="shared" si="153"/>
        <v>-</v>
      </c>
      <c r="O193" s="259" t="str">
        <f t="shared" si="153"/>
        <v>-</v>
      </c>
      <c r="P193" s="259" t="str">
        <f t="shared" si="153"/>
        <v>-</v>
      </c>
      <c r="Q193" s="259" t="str">
        <f t="shared" si="153"/>
        <v>-</v>
      </c>
      <c r="R193" s="259" t="str">
        <f t="shared" si="153"/>
        <v>-</v>
      </c>
      <c r="S193" s="259">
        <f t="shared" si="145"/>
        <v>284</v>
      </c>
      <c r="T193" s="259">
        <f t="shared" si="154"/>
        <v>-81</v>
      </c>
      <c r="U193" s="259">
        <f t="shared" si="154"/>
        <v>-447</v>
      </c>
      <c r="V193" s="259">
        <f t="shared" si="154"/>
        <v>-812</v>
      </c>
      <c r="W193" s="259">
        <f t="shared" si="154"/>
        <v>-1177</v>
      </c>
      <c r="X193" s="259">
        <f t="shared" si="154"/>
        <v>-1542</v>
      </c>
      <c r="Y193" s="259">
        <f t="shared" si="154"/>
        <v>-1908</v>
      </c>
      <c r="Z193" s="259">
        <f t="shared" si="154"/>
        <v>-2273</v>
      </c>
      <c r="AA193" s="267">
        <f>(VLOOKUP(A193,Hshldprojections2014!$A$2:$AW$319,40, FALSE)-VLOOKUP(A193,Hshldprojections2014!$A$2:$AW$319,30, FALSE))/10</f>
        <v>509.8</v>
      </c>
      <c r="AB193" s="267">
        <f>(VLOOKUP(A193,Hshldprojections2014!$A$2:$AW$319,41, FALSE)-VLOOKUP(A193,Hshldprojections2014!$A$2:$AW$319,31, FALSE))/10</f>
        <v>504.9</v>
      </c>
      <c r="AC193" s="267">
        <f>(VLOOKUP(A193,Hshldprojections2014!$A$2:$AW$319,42, FALSE)-VLOOKUP(A193,Hshldprojections2014!$A$2:$AW$319,32, FALSE))/10</f>
        <v>504.5</v>
      </c>
      <c r="AD193" s="267">
        <f>IF(IndividualLATest!$J$7=2014,(VLOOKUP($A193,Hshldprojections2014!$A$2:$AY$326,43,FALSE)-VLOOKUP($A193,Hshldprojections2014!$A$2:$AY$326,33,FALSE))/10,IF(IndividualLATest!$J$7=2016,(VLOOKUP($A193,Hshldprojections2016!$A$1:$AQ$322,33,FALSE)-VLOOKUP($A193,Hshldprojections2016!$A$1:$AQ$322,23,FALSE))/10,(VLOOKUP($A193,Hshldprojections2018!$A$1:$AQ$327,33,FALSE)-VLOOKUP($A193,Hshldprojections2018!$A$1:$AQ$327,23,FALSE))/10))</f>
        <v>298.10000000000002</v>
      </c>
      <c r="AE193" s="267">
        <f>IF(IndividualLATest!$J$7=2014,(VLOOKUP($A193,Hshldprojections2014!$A$2:$AY$326,44,FALSE)-VLOOKUP($A193,Hshldprojections2014!$A$2:$AY$326,34,FALSE))/10,IF(IndividualLATest!$J$7=2016,(VLOOKUP($A193,Hshldprojections2016!$A$1:$AQ$322,34,FALSE)-VLOOKUP($A193,Hshldprojections2016!$A$1:$AQ$322,24,FALSE))/10,(VLOOKUP($A193,Hshldprojections2018!$A$1:$AQ$327,34,FALSE)-VLOOKUP($A193,Hshldprojections2018!$A$1:$AQ$327,24,FALSE))/10))</f>
        <v>311.60000000000002</v>
      </c>
      <c r="AF193" s="267">
        <f>IF(IndividualLATest!$J$7=2014,(VLOOKUP($A193,Hshldprojections2014!$A$2:$AY$326,45,FALSE)-VLOOKUP($A193,Hshldprojections2014!$A$2:$AY$326,35,FALSE))/10,IF(IndividualLATest!$J$7=2016,(VLOOKUP($A193,Hshldprojections2016!$A$1:$AQ$322,35,FALSE)-VLOOKUP($A193,Hshldprojections2016!$A$1:$AQ$322,25,FALSE))/10,(VLOOKUP($A193,Hshldprojections2018!$A$1:$AQ$327,35,FALSE)-VLOOKUP($A193,Hshldprojections2018!$A$1:$AQ$327,25,FALSE))/10))</f>
        <v>320.39999999999998</v>
      </c>
      <c r="AG193" s="267">
        <f>IF(IndividualLATest!$J$7=2014,(VLOOKUP($A193,Hshldprojections2014!$A$2:$AY$326,46,FALSE)-VLOOKUP($A193,Hshldprojections2014!$A$2:$AY$326,36,FALSE))/10,IF(IndividualLATest!$J$7=2016,(VLOOKUP($A193,Hshldprojections2016!$A$1:$AQ$322,36,FALSE)-VLOOKUP($A193,Hshldprojections2016!$A$1:$AQ$322,26,FALSE))/10,(VLOOKUP($A193,Hshldprojections2018!$A$1:$AQ$327,36,FALSE)-VLOOKUP($A193,Hshldprojections2018!$A$1:$AQ$327,26,FALSE))/10))</f>
        <v>321.7</v>
      </c>
      <c r="AH193" s="267">
        <f>IF(IndividualLATest!$J$7=2014,(VLOOKUP($A193,Hshldprojections2014!$A$2:$AY$326,47,FALSE)-VLOOKUP($A193,Hshldprojections2014!$A$2:$AY$326,37,FALSE))/10,IF(IndividualLATest!$J$7=2016,(VLOOKUP($A193,Hshldprojections2016!$A$1:$AQ$322,37,FALSE)-VLOOKUP($A193,Hshldprojections2016!$A$1:$AQ$322,27,FALSE))/10,(VLOOKUP($A193,Hshldprojections2018!$A$1:$AQ$327,37,FALSE)-VLOOKUP($A193,Hshldprojections2018!$A$1:$AQ$327,27,FALSE))/10))</f>
        <v>326.39999999999998</v>
      </c>
      <c r="AI193" s="268">
        <f>IF(ISNUMBER('Sensitivity Tests'!$C$30),'Sensitivity Tests'!$C$30,VLOOKUP($A193,AffordabilityRatio!$A$2:$I$321,5,FALSE))</f>
        <v>6.93</v>
      </c>
      <c r="AJ193" s="268">
        <f>IF(ISNUMBER('Sensitivity Tests'!$C$30),'Sensitivity Tests'!$C$30,VLOOKUP($A193,AffordabilityRatio!$A$2:$I$321,6,FALSE))</f>
        <v>7.01</v>
      </c>
      <c r="AK193" s="268">
        <f>IF(ISNUMBER('Sensitivity Tests'!$C$30),'Sensitivity Tests'!$C$30,VLOOKUP($A193,AffordabilityRatio!$A$2:$I$321,7,FALSE))</f>
        <v>7</v>
      </c>
      <c r="AL193" s="268">
        <f>IF(ISNUMBER('Sensitivity Tests'!$C$30),'Sensitivity Tests'!$C$30,IF((VLOOKUP($A193,AffordabilityRatio!$A$2:$I$321,8,FALSE))="",AK193,VLOOKUP($A193,AffordabilityRatio!$A$2:$I$321,8,FALSE)))</f>
        <v>6.93</v>
      </c>
      <c r="AM193" s="268">
        <f>IF(ISNUMBER('Sensitivity Tests'!$C$30),'Sensitivity Tests'!$C$30,IF((VLOOKUP($A193,AffordabilityRatio!$A$2:$I$321,9,FALSE))="",AL193,VLOOKUP($A193,AffordabilityRatio!$A$2:$I$321,9,FALSE)))</f>
        <v>7.12</v>
      </c>
      <c r="AN193" s="268">
        <f>IF(ISNUMBER('Sensitivity Tests'!$C$30),'Sensitivity Tests'!$C$30,IF((VLOOKUP($A193,AffordabilityRatio!$A$2:$I$321,9,FALSE))="",AM193,VLOOKUP($A193,AffordabilityRatio!$A$2:$I$321,9,FALSE)))</f>
        <v>7.12</v>
      </c>
      <c r="AO193" s="268">
        <f>IF(ISNUMBER('Sensitivity Tests'!$C$30),'Sensitivity Tests'!$C$30,IF((VLOOKUP($A193,AffordabilityRatio!$A$2:$I$321,9,FALSE))="",AN193,VLOOKUP($A193,AffordabilityRatio!$A$2:$I$321,9,FALSE)))</f>
        <v>7.12</v>
      </c>
      <c r="AP193" s="268">
        <f>IF(ISNUMBER('Sensitivity Tests'!$C$30),'Sensitivity Tests'!$C$30,IF((VLOOKUP($A193,AffordabilityRatio!$A$2:$I$321,9,FALSE))="",AO193,VLOOKUP($A193,AffordabilityRatio!$A$2:$I$321,9,FALSE)))</f>
        <v>7.12</v>
      </c>
      <c r="AQ193" s="267">
        <f t="shared" si="152"/>
        <v>603</v>
      </c>
      <c r="AR193" s="267">
        <f t="shared" si="152"/>
        <v>600</v>
      </c>
      <c r="AS193" s="267">
        <f t="shared" si="152"/>
        <v>599</v>
      </c>
      <c r="AT193" s="267">
        <f t="shared" si="152"/>
        <v>353</v>
      </c>
      <c r="AU193" s="267">
        <f t="shared" si="152"/>
        <v>372</v>
      </c>
      <c r="AV193" s="267">
        <f t="shared" si="151"/>
        <v>383</v>
      </c>
      <c r="AW193" s="267">
        <f t="shared" si="151"/>
        <v>384</v>
      </c>
      <c r="AX193" s="267">
        <f t="shared" si="151"/>
        <v>390</v>
      </c>
      <c r="AY193" s="267">
        <f t="shared" si="122"/>
        <v>603</v>
      </c>
      <c r="AZ193" s="267">
        <f t="shared" si="123"/>
        <v>600</v>
      </c>
      <c r="BA193" s="267">
        <f t="shared" si="124"/>
        <v>599</v>
      </c>
      <c r="BB193" s="267">
        <f t="shared" si="125"/>
        <v>353</v>
      </c>
      <c r="BC193" s="267">
        <f t="shared" si="126"/>
        <v>372</v>
      </c>
      <c r="BD193" s="267">
        <f t="shared" si="127"/>
        <v>383</v>
      </c>
      <c r="BE193" s="267">
        <f t="shared" si="128"/>
        <v>384</v>
      </c>
      <c r="BF193" s="267">
        <f t="shared" si="129"/>
        <v>390</v>
      </c>
      <c r="BG193" s="269">
        <f>AY193*VLOOKUP($B193,'Major Cities &amp; Towns'!$A$28:$B$345,2,FALSE)</f>
        <v>603</v>
      </c>
      <c r="BH193" s="269">
        <f>AZ193*VLOOKUP($B193,'Major Cities &amp; Towns'!$A$28:$B$345,2,FALSE)</f>
        <v>600</v>
      </c>
      <c r="BI193" s="269">
        <f>BA193*VLOOKUP($B193,'Major Cities &amp; Towns'!$A$28:$B$345,2,FALSE)</f>
        <v>599</v>
      </c>
      <c r="BJ193" s="269">
        <f>BB193*VLOOKUP($B193,'Major Cities &amp; Towns'!$A$28:$B$345,2,FALSE)</f>
        <v>353</v>
      </c>
      <c r="BK193" s="269">
        <f>BC193*VLOOKUP($B193,'Major Cities &amp; Towns'!$A$28:$B$345,2,FALSE)</f>
        <v>372</v>
      </c>
      <c r="BL193" s="269">
        <f>BD193*VLOOKUP($B193,'Major Cities &amp; Towns'!$A$28:$B$345,2,FALSE)</f>
        <v>383</v>
      </c>
      <c r="BM193" s="269">
        <f>BE193*VLOOKUP($B193,'Major Cities &amp; Towns'!$A$28:$B$345,2,FALSE)</f>
        <v>384</v>
      </c>
      <c r="BN193" s="269">
        <f>BF193*VLOOKUP($B193,'Major Cities &amp; Towns'!$A$28:$B$345,2,FALSE)</f>
        <v>390</v>
      </c>
      <c r="BO193" s="270">
        <f t="shared" si="130"/>
        <v>603</v>
      </c>
      <c r="BP193" s="270">
        <f t="shared" si="147"/>
        <v>600</v>
      </c>
      <c r="BQ193" s="270">
        <f t="shared" si="147"/>
        <v>599</v>
      </c>
      <c r="BR193" s="270">
        <f t="shared" si="147"/>
        <v>353</v>
      </c>
      <c r="BS193" s="270">
        <f t="shared" si="146"/>
        <v>372</v>
      </c>
      <c r="BT193" s="270">
        <f t="shared" si="146"/>
        <v>383</v>
      </c>
      <c r="BU193" s="270">
        <f t="shared" si="146"/>
        <v>384</v>
      </c>
      <c r="BV193" s="270">
        <f t="shared" si="146"/>
        <v>390</v>
      </c>
      <c r="BW193" s="39">
        <f>VLOOKUP($A193,NetAdditions!$A$2:$H$336,6,FALSE)</f>
        <v>905</v>
      </c>
      <c r="BX193" s="39">
        <f>VLOOKUP($A193,NetAdditions!$A$2:$H$336,7,FALSE)</f>
        <v>509</v>
      </c>
      <c r="BY193" s="39">
        <f>IF((VLOOKUP($C193,NetAdditions!$A$2:$H$336,8,FALSE))="",(AVERAGE(VLOOKUP($C193,NetAdditions!$A$2:$H$336,5,FALSE),VLOOKUP($C193,NetAdditions!$A$2:$H$336,6,FALSE),VLOOKUP($C193,NetAdditions!$A$2:$H$336,7,FALSE))),VLOOKUP($C193,NetAdditions!$A$2:$H$336,8,FALSE))</f>
        <v>164</v>
      </c>
      <c r="BZ193" s="39">
        <f t="shared" si="150"/>
        <v>526</v>
      </c>
      <c r="CA193" s="39">
        <f t="shared" si="150"/>
        <v>399.66666666666669</v>
      </c>
      <c r="CB193" s="39">
        <f t="shared" si="150"/>
        <v>363.22222222222223</v>
      </c>
      <c r="CC193" s="39">
        <f t="shared" si="150"/>
        <v>429.62962962962962</v>
      </c>
      <c r="CD193" s="39">
        <f t="shared" si="150"/>
        <v>397.50617283950618</v>
      </c>
      <c r="CE193" s="276">
        <f t="shared" si="106"/>
        <v>1802</v>
      </c>
      <c r="CF193" s="276">
        <f t="shared" si="107"/>
        <v>1552</v>
      </c>
      <c r="CG193" s="276">
        <f t="shared" si="108"/>
        <v>1324</v>
      </c>
      <c r="CH193" s="276">
        <f t="shared" si="109"/>
        <v>1108</v>
      </c>
      <c r="CI193" s="276">
        <f t="shared" si="110"/>
        <v>1139</v>
      </c>
      <c r="CJ193" s="276">
        <f t="shared" si="111"/>
        <v>1157</v>
      </c>
      <c r="CK193" s="276">
        <f t="shared" si="131"/>
        <v>1551.7222222222224</v>
      </c>
      <c r="CL193" s="276">
        <f t="shared" si="132"/>
        <v>1336.4444444444446</v>
      </c>
      <c r="CM193" s="276">
        <f t="shared" si="133"/>
        <v>1213.6666666666665</v>
      </c>
      <c r="CN193" s="276">
        <f t="shared" si="134"/>
        <v>1108</v>
      </c>
      <c r="CO193" s="276">
        <f t="shared" si="134"/>
        <v>1139</v>
      </c>
      <c r="CP193" s="276">
        <f t="shared" si="134"/>
        <v>1157</v>
      </c>
      <c r="CQ193" s="39">
        <f t="shared" si="112"/>
        <v>1578</v>
      </c>
      <c r="CR193" s="39">
        <f t="shared" si="113"/>
        <v>1199</v>
      </c>
      <c r="CS193" s="277">
        <f t="shared" si="114"/>
        <v>1089.6666666666667</v>
      </c>
      <c r="CT193" s="39">
        <f t="shared" si="115"/>
        <v>1288.8888888888889</v>
      </c>
      <c r="CU193" s="39">
        <f t="shared" si="116"/>
        <v>1192.5185185185185</v>
      </c>
      <c r="CV193" s="39">
        <f t="shared" si="117"/>
        <v>1190.358024691358</v>
      </c>
      <c r="CW193" s="297">
        <f t="shared" si="118"/>
        <v>1.0169345888081343</v>
      </c>
      <c r="CX193" s="279" t="str">
        <f t="shared" si="135"/>
        <v>Pass</v>
      </c>
      <c r="CY193" s="278">
        <f t="shared" si="119"/>
        <v>0.89715663451945449</v>
      </c>
      <c r="CZ193" s="279" t="str">
        <f t="shared" si="136"/>
        <v>Action Plan</v>
      </c>
      <c r="DA193" s="278">
        <f t="shared" si="120"/>
        <v>0.89783026641032704</v>
      </c>
      <c r="DB193" s="292" t="str">
        <f t="shared" si="137"/>
        <v>Action Plan</v>
      </c>
      <c r="DC193" s="299">
        <f t="shared" si="138"/>
        <v>1.1632571199358204</v>
      </c>
      <c r="DD193" s="293" t="str">
        <f t="shared" si="139"/>
        <v>Pass</v>
      </c>
      <c r="DE193" s="299">
        <f t="shared" si="140"/>
        <v>1.0469872857932558</v>
      </c>
      <c r="DF193" s="293" t="str">
        <f t="shared" si="141"/>
        <v>Pass</v>
      </c>
      <c r="DG193" s="299">
        <f t="shared" si="142"/>
        <v>1.0288314820150026</v>
      </c>
      <c r="DH193" s="293" t="str">
        <f t="shared" si="143"/>
        <v>Pass</v>
      </c>
    </row>
    <row r="194" spans="1:112" ht="15" thickTop="1" thickBot="1">
      <c r="A194" s="38" t="s">
        <v>498</v>
      </c>
      <c r="B194" s="38" t="s">
        <v>499</v>
      </c>
      <c r="C194" s="38" t="s">
        <v>498</v>
      </c>
      <c r="D194" s="38" t="s">
        <v>119</v>
      </c>
      <c r="E194" s="38" t="str">
        <f>VLOOKUP(C194,PoliticalControl!A:K,11,FALSE)</f>
        <v>LAB</v>
      </c>
      <c r="F194" s="38" t="str">
        <f>VLOOKUP(C194,UrbanRuralClassification!A:N,13,FALSE)</f>
        <v>Urban with Minor Conurbation</v>
      </c>
      <c r="G194" s="38" t="str">
        <f>VLOOKUP(C194,UrbanRuralClassification!A:N,14,FALSE)</f>
        <v>Predominantly Urban</v>
      </c>
      <c r="H194" s="258">
        <f>IF(ISBLANK((VLOOKUP($A194,'local-plan-data'!$C$1:$AD$566,27,FALSE)))=TRUE,"",VLOOKUP($A194,'local-plan-data'!$C$1:$AD$566,27,FALSE))</f>
        <v>41899</v>
      </c>
      <c r="I194" s="259">
        <f>VLOOKUP($A194,'local-plan-data'!$C$1:$AD$566,28,FALSE)</f>
        <v>1008.8235294117648</v>
      </c>
      <c r="J194" s="260">
        <f t="shared" si="121"/>
        <v>1008.8235294117648</v>
      </c>
      <c r="K194" s="259">
        <f t="shared" si="144"/>
        <v>1008.8235294117648</v>
      </c>
      <c r="L194" s="259">
        <f t="shared" si="153"/>
        <v>1008.8235294117648</v>
      </c>
      <c r="M194" s="259" t="str">
        <f t="shared" si="153"/>
        <v>-</v>
      </c>
      <c r="N194" s="259" t="str">
        <f t="shared" si="153"/>
        <v>-</v>
      </c>
      <c r="O194" s="259" t="str">
        <f t="shared" si="153"/>
        <v>-</v>
      </c>
      <c r="P194" s="259" t="str">
        <f t="shared" si="153"/>
        <v>-</v>
      </c>
      <c r="Q194" s="259" t="str">
        <f t="shared" si="153"/>
        <v>-</v>
      </c>
      <c r="R194" s="259" t="str">
        <f t="shared" si="153"/>
        <v>-</v>
      </c>
      <c r="S194" s="259">
        <f t="shared" si="145"/>
        <v>534</v>
      </c>
      <c r="T194" s="259">
        <f t="shared" si="154"/>
        <v>169</v>
      </c>
      <c r="U194" s="259">
        <f t="shared" si="154"/>
        <v>-197</v>
      </c>
      <c r="V194" s="259">
        <f t="shared" si="154"/>
        <v>-562</v>
      </c>
      <c r="W194" s="259">
        <f t="shared" si="154"/>
        <v>-927</v>
      </c>
      <c r="X194" s="259">
        <f t="shared" si="154"/>
        <v>-1292</v>
      </c>
      <c r="Y194" s="259">
        <f t="shared" si="154"/>
        <v>-1658</v>
      </c>
      <c r="Z194" s="259">
        <f t="shared" si="154"/>
        <v>-2023</v>
      </c>
      <c r="AA194" s="267">
        <f>(VLOOKUP(A194,Hshldprojections2014!$A$2:$AW$319,40, FALSE)-VLOOKUP(A194,Hshldprojections2014!$A$2:$AW$319,30, FALSE))/10</f>
        <v>1016.3</v>
      </c>
      <c r="AB194" s="267">
        <f>(VLOOKUP(A194,Hshldprojections2014!$A$2:$AW$319,41, FALSE)-VLOOKUP(A194,Hshldprojections2014!$A$2:$AW$319,31, FALSE))/10</f>
        <v>1044.8</v>
      </c>
      <c r="AC194" s="267">
        <f>(VLOOKUP(A194,Hshldprojections2014!$A$2:$AW$319,42, FALSE)-VLOOKUP(A194,Hshldprojections2014!$A$2:$AW$319,32, FALSE))/10</f>
        <v>1085.5999999999999</v>
      </c>
      <c r="AD194" s="267">
        <f>IF(IndividualLATest!$J$7=2014,(VLOOKUP($A194,Hshldprojections2014!$A$2:$AY$326,43,FALSE)-VLOOKUP($A194,Hshldprojections2014!$A$2:$AY$326,33,FALSE))/10,IF(IndividualLATest!$J$7=2016,(VLOOKUP($A194,Hshldprojections2016!$A$1:$AQ$322,33,FALSE)-VLOOKUP($A194,Hshldprojections2016!$A$1:$AQ$322,23,FALSE))/10,(VLOOKUP($A194,Hshldprojections2018!$A$1:$AQ$327,33,FALSE)-VLOOKUP($A194,Hshldprojections2018!$A$1:$AQ$327,23,FALSE))/10))</f>
        <v>654.70000000000005</v>
      </c>
      <c r="AE194" s="267">
        <f>IF(IndividualLATest!$J$7=2014,(VLOOKUP($A194,Hshldprojections2014!$A$2:$AY$326,44,FALSE)-VLOOKUP($A194,Hshldprojections2014!$A$2:$AY$326,34,FALSE))/10,IF(IndividualLATest!$J$7=2016,(VLOOKUP($A194,Hshldprojections2016!$A$1:$AQ$322,34,FALSE)-VLOOKUP($A194,Hshldprojections2016!$A$1:$AQ$322,24,FALSE))/10,(VLOOKUP($A194,Hshldprojections2018!$A$1:$AQ$327,34,FALSE)-VLOOKUP($A194,Hshldprojections2018!$A$1:$AQ$327,24,FALSE))/10))</f>
        <v>705.9</v>
      </c>
      <c r="AF194" s="267">
        <f>IF(IndividualLATest!$J$7=2014,(VLOOKUP($A194,Hshldprojections2014!$A$2:$AY$326,45,FALSE)-VLOOKUP($A194,Hshldprojections2014!$A$2:$AY$326,35,FALSE))/10,IF(IndividualLATest!$J$7=2016,(VLOOKUP($A194,Hshldprojections2016!$A$1:$AQ$322,35,FALSE)-VLOOKUP($A194,Hshldprojections2016!$A$1:$AQ$322,25,FALSE))/10,(VLOOKUP($A194,Hshldprojections2018!$A$1:$AQ$327,35,FALSE)-VLOOKUP($A194,Hshldprojections2018!$A$1:$AQ$327,25,FALSE))/10))</f>
        <v>738.5</v>
      </c>
      <c r="AG194" s="267">
        <f>IF(IndividualLATest!$J$7=2014,(VLOOKUP($A194,Hshldprojections2014!$A$2:$AY$326,46,FALSE)-VLOOKUP($A194,Hshldprojections2014!$A$2:$AY$326,36,FALSE))/10,IF(IndividualLATest!$J$7=2016,(VLOOKUP($A194,Hshldprojections2016!$A$1:$AQ$322,36,FALSE)-VLOOKUP($A194,Hshldprojections2016!$A$1:$AQ$322,26,FALSE))/10,(VLOOKUP($A194,Hshldprojections2018!$A$1:$AQ$327,36,FALSE)-VLOOKUP($A194,Hshldprojections2018!$A$1:$AQ$327,26,FALSE))/10))</f>
        <v>749.3</v>
      </c>
      <c r="AH194" s="267">
        <f>IF(IndividualLATest!$J$7=2014,(VLOOKUP($A194,Hshldprojections2014!$A$2:$AY$326,47,FALSE)-VLOOKUP($A194,Hshldprojections2014!$A$2:$AY$326,37,FALSE))/10,IF(IndividualLATest!$J$7=2016,(VLOOKUP($A194,Hshldprojections2016!$A$1:$AQ$322,37,FALSE)-VLOOKUP($A194,Hshldprojections2016!$A$1:$AQ$322,27,FALSE))/10,(VLOOKUP($A194,Hshldprojections2018!$A$1:$AQ$327,37,FALSE)-VLOOKUP($A194,Hshldprojections2018!$A$1:$AQ$327,27,FALSE))/10))</f>
        <v>756.8</v>
      </c>
      <c r="AI194" s="268">
        <f>IF(ISNUMBER('Sensitivity Tests'!$C$30),'Sensitivity Tests'!$C$30,VLOOKUP($A194,AffordabilityRatio!$A$2:$I$321,5,FALSE))</f>
        <v>4.9800000000000004</v>
      </c>
      <c r="AJ194" s="268">
        <f>IF(ISNUMBER('Sensitivity Tests'!$C$30),'Sensitivity Tests'!$C$30,VLOOKUP($A194,AffordabilityRatio!$A$2:$I$321,6,FALSE))</f>
        <v>5.13</v>
      </c>
      <c r="AK194" s="268">
        <f>IF(ISNUMBER('Sensitivity Tests'!$C$30),'Sensitivity Tests'!$C$30,VLOOKUP($A194,AffordabilityRatio!$A$2:$I$321,7,FALSE))</f>
        <v>4.91</v>
      </c>
      <c r="AL194" s="268">
        <f>IF(ISNUMBER('Sensitivity Tests'!$C$30),'Sensitivity Tests'!$C$30,IF((VLOOKUP($A194,AffordabilityRatio!$A$2:$I$321,8,FALSE))="",AK194,VLOOKUP($A194,AffordabilityRatio!$A$2:$I$321,8,FALSE)))</f>
        <v>5.2</v>
      </c>
      <c r="AM194" s="268">
        <f>IF(ISNUMBER('Sensitivity Tests'!$C$30),'Sensitivity Tests'!$C$30,IF((VLOOKUP($A194,AffordabilityRatio!$A$2:$I$321,9,FALSE))="",AL194,VLOOKUP($A194,AffordabilityRatio!$A$2:$I$321,9,FALSE)))</f>
        <v>5.81</v>
      </c>
      <c r="AN194" s="268">
        <f>IF(ISNUMBER('Sensitivity Tests'!$C$30),'Sensitivity Tests'!$C$30,IF((VLOOKUP($A194,AffordabilityRatio!$A$2:$I$321,9,FALSE))="",AM194,VLOOKUP($A194,AffordabilityRatio!$A$2:$I$321,9,FALSE)))</f>
        <v>5.81</v>
      </c>
      <c r="AO194" s="268">
        <f>IF(ISNUMBER('Sensitivity Tests'!$C$30),'Sensitivity Tests'!$C$30,IF((VLOOKUP($A194,AffordabilityRatio!$A$2:$I$321,9,FALSE))="",AN194,VLOOKUP($A194,AffordabilityRatio!$A$2:$I$321,9,FALSE)))</f>
        <v>5.81</v>
      </c>
      <c r="AP194" s="268">
        <f>IF(ISNUMBER('Sensitivity Tests'!$C$30),'Sensitivity Tests'!$C$30,IF((VLOOKUP($A194,AffordabilityRatio!$A$2:$I$321,9,FALSE))="",AO194,VLOOKUP($A194,AffordabilityRatio!$A$2:$I$321,9,FALSE)))</f>
        <v>5.81</v>
      </c>
      <c r="AQ194" s="267">
        <f t="shared" si="152"/>
        <v>1079</v>
      </c>
      <c r="AR194" s="267">
        <f t="shared" si="152"/>
        <v>1119</v>
      </c>
      <c r="AS194" s="267">
        <f t="shared" si="152"/>
        <v>1147</v>
      </c>
      <c r="AT194" s="267">
        <f t="shared" si="152"/>
        <v>704</v>
      </c>
      <c r="AU194" s="267">
        <f t="shared" si="152"/>
        <v>786</v>
      </c>
      <c r="AV194" s="267">
        <f t="shared" si="151"/>
        <v>822</v>
      </c>
      <c r="AW194" s="267">
        <f t="shared" si="151"/>
        <v>834</v>
      </c>
      <c r="AX194" s="267">
        <f t="shared" si="151"/>
        <v>842</v>
      </c>
      <c r="AY194" s="267">
        <f t="shared" si="122"/>
        <v>1079</v>
      </c>
      <c r="AZ194" s="267">
        <f t="shared" si="123"/>
        <v>1119</v>
      </c>
      <c r="BA194" s="267">
        <f t="shared" si="124"/>
        <v>1147</v>
      </c>
      <c r="BB194" s="267">
        <f t="shared" si="125"/>
        <v>704</v>
      </c>
      <c r="BC194" s="267">
        <f t="shared" si="126"/>
        <v>786</v>
      </c>
      <c r="BD194" s="267">
        <f t="shared" si="127"/>
        <v>822</v>
      </c>
      <c r="BE194" s="267">
        <f t="shared" si="128"/>
        <v>834</v>
      </c>
      <c r="BF194" s="267">
        <f t="shared" si="129"/>
        <v>842</v>
      </c>
      <c r="BG194" s="269">
        <f>AY194*VLOOKUP($B194,'Major Cities &amp; Towns'!$A$28:$B$345,2,FALSE)</f>
        <v>1456.65</v>
      </c>
      <c r="BH194" s="269">
        <f>AZ194*VLOOKUP($B194,'Major Cities &amp; Towns'!$A$28:$B$345,2,FALSE)</f>
        <v>1510.65</v>
      </c>
      <c r="BI194" s="269">
        <f>BA194*VLOOKUP($B194,'Major Cities &amp; Towns'!$A$28:$B$345,2,FALSE)</f>
        <v>1548.45</v>
      </c>
      <c r="BJ194" s="269">
        <f>BB194*VLOOKUP($B194,'Major Cities &amp; Towns'!$A$28:$B$345,2,FALSE)</f>
        <v>950.40000000000009</v>
      </c>
      <c r="BK194" s="269">
        <f>BC194*VLOOKUP($B194,'Major Cities &amp; Towns'!$A$28:$B$345,2,FALSE)</f>
        <v>1061.1000000000001</v>
      </c>
      <c r="BL194" s="269">
        <f>BD194*VLOOKUP($B194,'Major Cities &amp; Towns'!$A$28:$B$345,2,FALSE)</f>
        <v>1109.7</v>
      </c>
      <c r="BM194" s="269">
        <f>BE194*VLOOKUP($B194,'Major Cities &amp; Towns'!$A$28:$B$345,2,FALSE)</f>
        <v>1125.9000000000001</v>
      </c>
      <c r="BN194" s="269">
        <f>BF194*VLOOKUP($B194,'Major Cities &amp; Towns'!$A$28:$B$345,2,FALSE)</f>
        <v>1136.7</v>
      </c>
      <c r="BO194" s="270">
        <f t="shared" si="130"/>
        <v>1008.8235294117648</v>
      </c>
      <c r="BP194" s="270">
        <f t="shared" si="147"/>
        <v>1067.9867848509266</v>
      </c>
      <c r="BQ194" s="270">
        <f t="shared" si="147"/>
        <v>1147</v>
      </c>
      <c r="BR194" s="270">
        <f t="shared" si="147"/>
        <v>704</v>
      </c>
      <c r="BS194" s="270">
        <f t="shared" si="146"/>
        <v>786</v>
      </c>
      <c r="BT194" s="270">
        <f t="shared" si="146"/>
        <v>822</v>
      </c>
      <c r="BU194" s="270">
        <f t="shared" si="146"/>
        <v>834</v>
      </c>
      <c r="BV194" s="270">
        <f t="shared" si="146"/>
        <v>842</v>
      </c>
      <c r="BW194" s="39">
        <f>VLOOKUP($A194,NetAdditions!$A$2:$H$336,6,FALSE)</f>
        <v>1456</v>
      </c>
      <c r="BX194" s="39">
        <f>VLOOKUP($A194,NetAdditions!$A$2:$H$336,7,FALSE)</f>
        <v>1806</v>
      </c>
      <c r="BY194" s="39">
        <f>IF((VLOOKUP($C194,NetAdditions!$A$2:$H$336,8,FALSE))="",(AVERAGE(VLOOKUP($C194,NetAdditions!$A$2:$H$336,5,FALSE),VLOOKUP($C194,NetAdditions!$A$2:$H$336,6,FALSE),VLOOKUP($C194,NetAdditions!$A$2:$H$336,7,FALSE))),VLOOKUP($C194,NetAdditions!$A$2:$H$336,8,FALSE))</f>
        <v>1407</v>
      </c>
      <c r="BZ194" s="39">
        <f t="shared" si="150"/>
        <v>1556.3333333333333</v>
      </c>
      <c r="CA194" s="39">
        <f t="shared" si="150"/>
        <v>1589.7777777777776</v>
      </c>
      <c r="CB194" s="39">
        <f t="shared" si="150"/>
        <v>1517.7037037037035</v>
      </c>
      <c r="CC194" s="39">
        <f t="shared" si="150"/>
        <v>1554.6049382716046</v>
      </c>
      <c r="CD194" s="39">
        <f t="shared" si="150"/>
        <v>1554.0288065843617</v>
      </c>
      <c r="CE194" s="276">
        <f t="shared" si="106"/>
        <v>3223.8103142626915</v>
      </c>
      <c r="CF194" s="276">
        <f t="shared" si="107"/>
        <v>2918.9867848509266</v>
      </c>
      <c r="CG194" s="276">
        <f t="shared" si="108"/>
        <v>2637</v>
      </c>
      <c r="CH194" s="276">
        <f t="shared" si="109"/>
        <v>2312</v>
      </c>
      <c r="CI194" s="276">
        <f t="shared" si="110"/>
        <v>2442</v>
      </c>
      <c r="CJ194" s="276">
        <f t="shared" si="111"/>
        <v>2498</v>
      </c>
      <c r="CK194" s="276">
        <f t="shared" si="131"/>
        <v>2776.0588817262069</v>
      </c>
      <c r="CL194" s="276">
        <f t="shared" si="132"/>
        <v>2513.5719536216316</v>
      </c>
      <c r="CM194" s="276">
        <f t="shared" si="133"/>
        <v>2417.25</v>
      </c>
      <c r="CN194" s="276">
        <f t="shared" si="134"/>
        <v>2312</v>
      </c>
      <c r="CO194" s="276">
        <f t="shared" si="134"/>
        <v>2442</v>
      </c>
      <c r="CP194" s="276">
        <f t="shared" si="134"/>
        <v>2498</v>
      </c>
      <c r="CQ194" s="39">
        <f t="shared" si="112"/>
        <v>4669</v>
      </c>
      <c r="CR194" s="39">
        <f t="shared" si="113"/>
        <v>4769.333333333333</v>
      </c>
      <c r="CS194" s="277">
        <f t="shared" si="114"/>
        <v>4553.1111111111104</v>
      </c>
      <c r="CT194" s="39">
        <f t="shared" si="115"/>
        <v>4663.8148148148139</v>
      </c>
      <c r="CU194" s="39">
        <f t="shared" si="116"/>
        <v>4662.0864197530855</v>
      </c>
      <c r="CV194" s="39">
        <f t="shared" si="117"/>
        <v>4626.3374485596696</v>
      </c>
      <c r="CW194" s="297">
        <f t="shared" si="118"/>
        <v>1.6818807521462678</v>
      </c>
      <c r="CX194" s="279" t="str">
        <f t="shared" si="135"/>
        <v>Pass</v>
      </c>
      <c r="CY194" s="278">
        <f t="shared" si="119"/>
        <v>1.8974325865076316</v>
      </c>
      <c r="CZ194" s="279" t="str">
        <f t="shared" si="136"/>
        <v>Pass</v>
      </c>
      <c r="DA194" s="278">
        <f t="shared" si="120"/>
        <v>1.8835913170384158</v>
      </c>
      <c r="DB194" s="292" t="str">
        <f t="shared" si="137"/>
        <v>Pass</v>
      </c>
      <c r="DC194" s="299">
        <f t="shared" si="138"/>
        <v>2.0172209406638468</v>
      </c>
      <c r="DD194" s="293" t="str">
        <f t="shared" si="139"/>
        <v>Pass</v>
      </c>
      <c r="DE194" s="299">
        <f t="shared" si="140"/>
        <v>1.9091262980151864</v>
      </c>
      <c r="DF194" s="293" t="str">
        <f t="shared" si="141"/>
        <v>Pass</v>
      </c>
      <c r="DG194" s="299">
        <f t="shared" si="142"/>
        <v>1.8520165926980263</v>
      </c>
      <c r="DH194" s="293" t="str">
        <f t="shared" si="143"/>
        <v>Pass</v>
      </c>
    </row>
    <row r="195" spans="1:112" ht="15" thickTop="1" thickBot="1">
      <c r="A195" s="38" t="s">
        <v>500</v>
      </c>
      <c r="B195" s="38" t="s">
        <v>501</v>
      </c>
      <c r="C195" s="38" t="s">
        <v>500</v>
      </c>
      <c r="D195" s="38" t="s">
        <v>154</v>
      </c>
      <c r="E195" s="38" t="str">
        <f>VLOOKUP(C195,PoliticalControl!A:K,11,FALSE)</f>
        <v>CON</v>
      </c>
      <c r="F195" s="38" t="str">
        <f>VLOOKUP(C195,UrbanRuralClassification!A:N,13,FALSE)</f>
        <v>Urban with City and Town</v>
      </c>
      <c r="G195" s="38" t="str">
        <f>VLOOKUP(C195,UrbanRuralClassification!A:N,14,FALSE)</f>
        <v>Predominantly Urban</v>
      </c>
      <c r="H195" s="258">
        <f>IF(ISBLANK((VLOOKUP($A195,'local-plan-data'!$C$1:$AD$566,27,FALSE)))=TRUE,"",VLOOKUP($A195,'local-plan-data'!$C$1:$AD$566,27,FALSE))</f>
        <v>43627</v>
      </c>
      <c r="I195" s="259">
        <f>VLOOKUP($A195,'local-plan-data'!$C$1:$AD$566,28,FALSE)</f>
        <v>703</v>
      </c>
      <c r="J195" s="260">
        <f t="shared" si="121"/>
        <v>703</v>
      </c>
      <c r="K195" s="259">
        <f t="shared" si="144"/>
        <v>703</v>
      </c>
      <c r="L195" s="259">
        <f t="shared" si="153"/>
        <v>703</v>
      </c>
      <c r="M195" s="259">
        <f t="shared" si="153"/>
        <v>703</v>
      </c>
      <c r="N195" s="259">
        <f t="shared" si="153"/>
        <v>703</v>
      </c>
      <c r="O195" s="259">
        <f t="shared" si="153"/>
        <v>703</v>
      </c>
      <c r="P195" s="259">
        <f t="shared" si="153"/>
        <v>703</v>
      </c>
      <c r="Q195" s="259">
        <f t="shared" si="153"/>
        <v>703</v>
      </c>
      <c r="R195" s="259" t="str">
        <f t="shared" si="153"/>
        <v>-</v>
      </c>
      <c r="S195" s="259">
        <f t="shared" si="145"/>
        <v>2263</v>
      </c>
      <c r="T195" s="259">
        <f t="shared" si="154"/>
        <v>1898</v>
      </c>
      <c r="U195" s="259">
        <f t="shared" si="154"/>
        <v>1532</v>
      </c>
      <c r="V195" s="259">
        <f t="shared" si="154"/>
        <v>1167</v>
      </c>
      <c r="W195" s="259">
        <f t="shared" si="154"/>
        <v>802</v>
      </c>
      <c r="X195" s="259">
        <f t="shared" si="154"/>
        <v>437</v>
      </c>
      <c r="Y195" s="259">
        <f t="shared" si="154"/>
        <v>71</v>
      </c>
      <c r="Z195" s="259">
        <f t="shared" si="154"/>
        <v>-294</v>
      </c>
      <c r="AA195" s="267">
        <f>(VLOOKUP(A195,Hshldprojections2014!$A$2:$AW$319,40, FALSE)-VLOOKUP(A195,Hshldprojections2014!$A$2:$AW$319,30, FALSE))/10</f>
        <v>365.5</v>
      </c>
      <c r="AB195" s="267">
        <f>(VLOOKUP(A195,Hshldprojections2014!$A$2:$AW$319,41, FALSE)-VLOOKUP(A195,Hshldprojections2014!$A$2:$AW$319,31, FALSE))/10</f>
        <v>361.1</v>
      </c>
      <c r="AC195" s="267">
        <f>(VLOOKUP(A195,Hshldprojections2014!$A$2:$AW$319,42, FALSE)-VLOOKUP(A195,Hshldprojections2014!$A$2:$AW$319,32, FALSE))/10</f>
        <v>358</v>
      </c>
      <c r="AD195" s="267">
        <f>IF(IndividualLATest!$J$7=2014,(VLOOKUP($A195,Hshldprojections2014!$A$2:$AY$326,43,FALSE)-VLOOKUP($A195,Hshldprojections2014!$A$2:$AY$326,33,FALSE))/10,IF(IndividualLATest!$J$7=2016,(VLOOKUP($A195,Hshldprojections2016!$A$1:$AQ$322,33,FALSE)-VLOOKUP($A195,Hshldprojections2016!$A$1:$AQ$322,23,FALSE))/10,(VLOOKUP($A195,Hshldprojections2018!$A$1:$AQ$327,33,FALSE)-VLOOKUP($A195,Hshldprojections2018!$A$1:$AQ$327,23,FALSE))/10))</f>
        <v>387.7</v>
      </c>
      <c r="AE195" s="267">
        <f>IF(IndividualLATest!$J$7=2014,(VLOOKUP($A195,Hshldprojections2014!$A$2:$AY$326,44,FALSE)-VLOOKUP($A195,Hshldprojections2014!$A$2:$AY$326,34,FALSE))/10,IF(IndividualLATest!$J$7=2016,(VLOOKUP($A195,Hshldprojections2016!$A$1:$AQ$322,34,FALSE)-VLOOKUP($A195,Hshldprojections2016!$A$1:$AQ$322,24,FALSE))/10,(VLOOKUP($A195,Hshldprojections2018!$A$1:$AQ$327,34,FALSE)-VLOOKUP($A195,Hshldprojections2018!$A$1:$AQ$327,24,FALSE))/10))</f>
        <v>389.5</v>
      </c>
      <c r="AF195" s="267">
        <f>IF(IndividualLATest!$J$7=2014,(VLOOKUP($A195,Hshldprojections2014!$A$2:$AY$326,45,FALSE)-VLOOKUP($A195,Hshldprojections2014!$A$2:$AY$326,35,FALSE))/10,IF(IndividualLATest!$J$7=2016,(VLOOKUP($A195,Hshldprojections2016!$A$1:$AQ$322,35,FALSE)-VLOOKUP($A195,Hshldprojections2016!$A$1:$AQ$322,25,FALSE))/10,(VLOOKUP($A195,Hshldprojections2018!$A$1:$AQ$327,35,FALSE)-VLOOKUP($A195,Hshldprojections2018!$A$1:$AQ$327,25,FALSE))/10))</f>
        <v>391.6</v>
      </c>
      <c r="AG195" s="267">
        <f>IF(IndividualLATest!$J$7=2014,(VLOOKUP($A195,Hshldprojections2014!$A$2:$AY$326,46,FALSE)-VLOOKUP($A195,Hshldprojections2014!$A$2:$AY$326,36,FALSE))/10,IF(IndividualLATest!$J$7=2016,(VLOOKUP($A195,Hshldprojections2016!$A$1:$AQ$322,36,FALSE)-VLOOKUP($A195,Hshldprojections2016!$A$1:$AQ$322,26,FALSE))/10,(VLOOKUP($A195,Hshldprojections2018!$A$1:$AQ$327,36,FALSE)-VLOOKUP($A195,Hshldprojections2018!$A$1:$AQ$327,26,FALSE))/10))</f>
        <v>390.6</v>
      </c>
      <c r="AH195" s="267">
        <f>IF(IndividualLATest!$J$7=2014,(VLOOKUP($A195,Hshldprojections2014!$A$2:$AY$326,47,FALSE)-VLOOKUP($A195,Hshldprojections2014!$A$2:$AY$326,37,FALSE))/10,IF(IndividualLATest!$J$7=2016,(VLOOKUP($A195,Hshldprojections2016!$A$1:$AQ$322,37,FALSE)-VLOOKUP($A195,Hshldprojections2016!$A$1:$AQ$322,27,FALSE))/10,(VLOOKUP($A195,Hshldprojections2018!$A$1:$AQ$327,37,FALSE)-VLOOKUP($A195,Hshldprojections2018!$A$1:$AQ$327,27,FALSE))/10))</f>
        <v>391.1</v>
      </c>
      <c r="AI195" s="268">
        <f>IF(ISNUMBER('Sensitivity Tests'!$C$30),'Sensitivity Tests'!$C$30,VLOOKUP($A195,AffordabilityRatio!$A$2:$I$321,5,FALSE))</f>
        <v>6.74</v>
      </c>
      <c r="AJ195" s="268">
        <f>IF(ISNUMBER('Sensitivity Tests'!$C$30),'Sensitivity Tests'!$C$30,VLOOKUP($A195,AffordabilityRatio!$A$2:$I$321,6,FALSE))</f>
        <v>6.63</v>
      </c>
      <c r="AK195" s="268">
        <f>IF(ISNUMBER('Sensitivity Tests'!$C$30),'Sensitivity Tests'!$C$30,VLOOKUP($A195,AffordabilityRatio!$A$2:$I$321,7,FALSE))</f>
        <v>7.17</v>
      </c>
      <c r="AL195" s="268">
        <f>IF(ISNUMBER('Sensitivity Tests'!$C$30),'Sensitivity Tests'!$C$30,IF((VLOOKUP($A195,AffordabilityRatio!$A$2:$I$321,8,FALSE))="",AK195,VLOOKUP($A195,AffordabilityRatio!$A$2:$I$321,8,FALSE)))</f>
        <v>7.41</v>
      </c>
      <c r="AM195" s="268">
        <f>IF(ISNUMBER('Sensitivity Tests'!$C$30),'Sensitivity Tests'!$C$30,IF((VLOOKUP($A195,AffordabilityRatio!$A$2:$I$321,9,FALSE))="",AL195,VLOOKUP($A195,AffordabilityRatio!$A$2:$I$321,9,FALSE)))</f>
        <v>7.73</v>
      </c>
      <c r="AN195" s="268">
        <f>IF(ISNUMBER('Sensitivity Tests'!$C$30),'Sensitivity Tests'!$C$30,IF((VLOOKUP($A195,AffordabilityRatio!$A$2:$I$321,9,FALSE))="",AM195,VLOOKUP($A195,AffordabilityRatio!$A$2:$I$321,9,FALSE)))</f>
        <v>7.73</v>
      </c>
      <c r="AO195" s="268">
        <f>IF(ISNUMBER('Sensitivity Tests'!$C$30),'Sensitivity Tests'!$C$30,IF((VLOOKUP($A195,AffordabilityRatio!$A$2:$I$321,9,FALSE))="",AN195,VLOOKUP($A195,AffordabilityRatio!$A$2:$I$321,9,FALSE)))</f>
        <v>7.73</v>
      </c>
      <c r="AP195" s="268">
        <f>IF(ISNUMBER('Sensitivity Tests'!$C$30),'Sensitivity Tests'!$C$30,IF((VLOOKUP($A195,AffordabilityRatio!$A$2:$I$321,9,FALSE))="",AO195,VLOOKUP($A195,AffordabilityRatio!$A$2:$I$321,9,FALSE)))</f>
        <v>7.73</v>
      </c>
      <c r="AQ195" s="267">
        <f t="shared" si="152"/>
        <v>428</v>
      </c>
      <c r="AR195" s="267">
        <f t="shared" si="152"/>
        <v>420</v>
      </c>
      <c r="AS195" s="267">
        <f t="shared" si="152"/>
        <v>429</v>
      </c>
      <c r="AT195" s="267">
        <f t="shared" si="152"/>
        <v>470</v>
      </c>
      <c r="AU195" s="267">
        <f t="shared" si="152"/>
        <v>480</v>
      </c>
      <c r="AV195" s="267">
        <f t="shared" si="151"/>
        <v>483</v>
      </c>
      <c r="AW195" s="267">
        <f t="shared" si="151"/>
        <v>482</v>
      </c>
      <c r="AX195" s="267">
        <f t="shared" si="151"/>
        <v>482</v>
      </c>
      <c r="AY195" s="267">
        <f t="shared" si="122"/>
        <v>428</v>
      </c>
      <c r="AZ195" s="267">
        <f t="shared" si="123"/>
        <v>420</v>
      </c>
      <c r="BA195" s="267">
        <f t="shared" si="124"/>
        <v>429</v>
      </c>
      <c r="BB195" s="267">
        <f t="shared" si="125"/>
        <v>470</v>
      </c>
      <c r="BC195" s="267">
        <f t="shared" si="126"/>
        <v>480</v>
      </c>
      <c r="BD195" s="267">
        <f t="shared" si="127"/>
        <v>483</v>
      </c>
      <c r="BE195" s="267">
        <f t="shared" si="128"/>
        <v>482</v>
      </c>
      <c r="BF195" s="267">
        <f t="shared" si="129"/>
        <v>482</v>
      </c>
      <c r="BG195" s="269">
        <f>AY195*VLOOKUP($B195,'Major Cities &amp; Towns'!$A$28:$B$345,2,FALSE)</f>
        <v>428</v>
      </c>
      <c r="BH195" s="269">
        <f>AZ195*VLOOKUP($B195,'Major Cities &amp; Towns'!$A$28:$B$345,2,FALSE)</f>
        <v>420</v>
      </c>
      <c r="BI195" s="269">
        <f>BA195*VLOOKUP($B195,'Major Cities &amp; Towns'!$A$28:$B$345,2,FALSE)</f>
        <v>429</v>
      </c>
      <c r="BJ195" s="269">
        <f>BB195*VLOOKUP($B195,'Major Cities &amp; Towns'!$A$28:$B$345,2,FALSE)</f>
        <v>470</v>
      </c>
      <c r="BK195" s="269">
        <f>BC195*VLOOKUP($B195,'Major Cities &amp; Towns'!$A$28:$B$345,2,FALSE)</f>
        <v>480</v>
      </c>
      <c r="BL195" s="269">
        <f>BD195*VLOOKUP($B195,'Major Cities &amp; Towns'!$A$28:$B$345,2,FALSE)</f>
        <v>483</v>
      </c>
      <c r="BM195" s="269">
        <f>BE195*VLOOKUP($B195,'Major Cities &amp; Towns'!$A$28:$B$345,2,FALSE)</f>
        <v>482</v>
      </c>
      <c r="BN195" s="269">
        <f>BF195*VLOOKUP($B195,'Major Cities &amp; Towns'!$A$28:$B$345,2,FALSE)</f>
        <v>482</v>
      </c>
      <c r="BO195" s="270">
        <f t="shared" si="130"/>
        <v>428</v>
      </c>
      <c r="BP195" s="270">
        <f t="shared" si="147"/>
        <v>420</v>
      </c>
      <c r="BQ195" s="270">
        <f t="shared" si="147"/>
        <v>429</v>
      </c>
      <c r="BR195" s="270">
        <f t="shared" si="147"/>
        <v>470</v>
      </c>
      <c r="BS195" s="270">
        <f t="shared" si="146"/>
        <v>480</v>
      </c>
      <c r="BT195" s="270">
        <f t="shared" si="146"/>
        <v>483</v>
      </c>
      <c r="BU195" s="270">
        <f t="shared" si="146"/>
        <v>482</v>
      </c>
      <c r="BV195" s="270">
        <f t="shared" si="146"/>
        <v>482</v>
      </c>
      <c r="BW195" s="39">
        <f>VLOOKUP($A195,NetAdditions!$A$2:$H$336,6,FALSE)</f>
        <v>648</v>
      </c>
      <c r="BX195" s="39">
        <f>VLOOKUP($A195,NetAdditions!$A$2:$H$336,7,FALSE)</f>
        <v>619</v>
      </c>
      <c r="BY195" s="39">
        <f>IF((VLOOKUP($C195,NetAdditions!$A$2:$H$336,8,FALSE))="",(AVERAGE(VLOOKUP($C195,NetAdditions!$A$2:$H$336,5,FALSE),VLOOKUP($C195,NetAdditions!$A$2:$H$336,6,FALSE),VLOOKUP($C195,NetAdditions!$A$2:$H$336,7,FALSE))),VLOOKUP($C195,NetAdditions!$A$2:$H$336,8,FALSE))</f>
        <v>601</v>
      </c>
      <c r="BZ195" s="39">
        <f t="shared" si="150"/>
        <v>622.66666666666663</v>
      </c>
      <c r="CA195" s="39">
        <f t="shared" si="150"/>
        <v>614.22222222222217</v>
      </c>
      <c r="CB195" s="39">
        <f t="shared" si="150"/>
        <v>612.62962962962956</v>
      </c>
      <c r="CC195" s="39">
        <f t="shared" si="150"/>
        <v>616.50617283950612</v>
      </c>
      <c r="CD195" s="39">
        <f t="shared" si="150"/>
        <v>614.45267489711932</v>
      </c>
      <c r="CE195" s="276">
        <f t="shared" si="106"/>
        <v>1277</v>
      </c>
      <c r="CF195" s="276">
        <f t="shared" si="107"/>
        <v>1319</v>
      </c>
      <c r="CG195" s="276">
        <f t="shared" si="108"/>
        <v>1379</v>
      </c>
      <c r="CH195" s="276">
        <f t="shared" si="109"/>
        <v>1433</v>
      </c>
      <c r="CI195" s="276">
        <f t="shared" si="110"/>
        <v>1445</v>
      </c>
      <c r="CJ195" s="276">
        <f t="shared" si="111"/>
        <v>1447</v>
      </c>
      <c r="CK195" s="276">
        <f t="shared" si="131"/>
        <v>1099.6388888888889</v>
      </c>
      <c r="CL195" s="276">
        <f t="shared" si="132"/>
        <v>1135.8055555555557</v>
      </c>
      <c r="CM195" s="276">
        <f t="shared" si="133"/>
        <v>1264.0833333333333</v>
      </c>
      <c r="CN195" s="276">
        <f t="shared" si="134"/>
        <v>1433</v>
      </c>
      <c r="CO195" s="276">
        <f t="shared" si="134"/>
        <v>1445</v>
      </c>
      <c r="CP195" s="276">
        <f t="shared" si="134"/>
        <v>1447</v>
      </c>
      <c r="CQ195" s="39">
        <f t="shared" si="112"/>
        <v>1868</v>
      </c>
      <c r="CR195" s="39">
        <f t="shared" si="113"/>
        <v>1842.6666666666665</v>
      </c>
      <c r="CS195" s="277">
        <f t="shared" si="114"/>
        <v>1837.8888888888887</v>
      </c>
      <c r="CT195" s="39">
        <f t="shared" si="115"/>
        <v>1849.5185185185182</v>
      </c>
      <c r="CU195" s="39">
        <f t="shared" si="116"/>
        <v>1843.358024691358</v>
      </c>
      <c r="CV195" s="39">
        <f t="shared" si="117"/>
        <v>1843.5884773662551</v>
      </c>
      <c r="CW195" s="297">
        <f t="shared" si="118"/>
        <v>1.6987394851845303</v>
      </c>
      <c r="CX195" s="279" t="str">
        <f t="shared" si="135"/>
        <v>Pass</v>
      </c>
      <c r="CY195" s="278">
        <f t="shared" si="119"/>
        <v>1.6223434175450608</v>
      </c>
      <c r="CZ195" s="279" t="str">
        <f t="shared" si="136"/>
        <v>Pass</v>
      </c>
      <c r="DA195" s="278">
        <f t="shared" si="120"/>
        <v>1.4539301645900631</v>
      </c>
      <c r="DB195" s="292" t="str">
        <f t="shared" si="137"/>
        <v>Pass</v>
      </c>
      <c r="DC195" s="299">
        <f t="shared" si="138"/>
        <v>1.2906619110387427</v>
      </c>
      <c r="DD195" s="293" t="str">
        <f t="shared" si="139"/>
        <v>Pass</v>
      </c>
      <c r="DE195" s="299">
        <f t="shared" si="140"/>
        <v>1.2756802939040539</v>
      </c>
      <c r="DF195" s="293" t="str">
        <f t="shared" si="141"/>
        <v>Pass</v>
      </c>
      <c r="DG195" s="299">
        <f t="shared" si="142"/>
        <v>1.2740763492510401</v>
      </c>
      <c r="DH195" s="293" t="str">
        <f t="shared" si="143"/>
        <v>Pass</v>
      </c>
    </row>
    <row r="196" spans="1:112" ht="15" thickTop="1" thickBot="1">
      <c r="A196" s="38" t="s">
        <v>502</v>
      </c>
      <c r="B196" s="38" t="s">
        <v>503</v>
      </c>
      <c r="C196" s="38" t="s">
        <v>502</v>
      </c>
      <c r="D196" s="38" t="s">
        <v>119</v>
      </c>
      <c r="E196" s="38" t="str">
        <f>VLOOKUP(C196,PoliticalControl!A:K,11,FALSE)</f>
        <v>LD</v>
      </c>
      <c r="F196" s="38" t="str">
        <f>VLOOKUP(C196,UrbanRuralClassification!A:N,13,FALSE)</f>
        <v>Urban with City and Town</v>
      </c>
      <c r="G196" s="38" t="str">
        <f>VLOOKUP(C196,UrbanRuralClassification!A:N,14,FALSE)</f>
        <v>Predominantly Urban</v>
      </c>
      <c r="H196" s="258">
        <f>IF(ISBLANK((VLOOKUP($A196,'local-plan-data'!$C$1:$AD$566,27,FALSE)))=TRUE,"",VLOOKUP($A196,'local-plan-data'!$C$1:$AD$566,27,FALSE))</f>
        <v>43571</v>
      </c>
      <c r="I196" s="259">
        <f>VLOOKUP($A196,'local-plan-data'!$C$1:$AD$566,28,FALSE)</f>
        <v>148</v>
      </c>
      <c r="J196" s="260">
        <f t="shared" si="121"/>
        <v>148</v>
      </c>
      <c r="K196" s="259">
        <f t="shared" si="144"/>
        <v>148</v>
      </c>
      <c r="L196" s="259">
        <f t="shared" si="153"/>
        <v>148</v>
      </c>
      <c r="M196" s="259">
        <f t="shared" si="153"/>
        <v>148</v>
      </c>
      <c r="N196" s="259">
        <f t="shared" si="153"/>
        <v>148</v>
      </c>
      <c r="O196" s="259">
        <f t="shared" si="153"/>
        <v>148</v>
      </c>
      <c r="P196" s="259">
        <f t="shared" si="153"/>
        <v>148</v>
      </c>
      <c r="Q196" s="259">
        <f t="shared" si="153"/>
        <v>148</v>
      </c>
      <c r="R196" s="259" t="str">
        <f t="shared" si="153"/>
        <v>-</v>
      </c>
      <c r="S196" s="259">
        <f t="shared" si="145"/>
        <v>2207</v>
      </c>
      <c r="T196" s="259">
        <f t="shared" si="154"/>
        <v>1842</v>
      </c>
      <c r="U196" s="259">
        <f t="shared" si="154"/>
        <v>1476</v>
      </c>
      <c r="V196" s="259">
        <f t="shared" si="154"/>
        <v>1111</v>
      </c>
      <c r="W196" s="259">
        <f t="shared" si="154"/>
        <v>746</v>
      </c>
      <c r="X196" s="259">
        <f t="shared" si="154"/>
        <v>381</v>
      </c>
      <c r="Y196" s="259">
        <f t="shared" si="154"/>
        <v>15</v>
      </c>
      <c r="Z196" s="259">
        <f t="shared" si="154"/>
        <v>-350</v>
      </c>
      <c r="AA196" s="267">
        <f>(VLOOKUP(A196,Hshldprojections2014!$A$2:$AW$319,40, FALSE)-VLOOKUP(A196,Hshldprojections2014!$A$2:$AW$319,30, FALSE))/10</f>
        <v>115.4</v>
      </c>
      <c r="AB196" s="267">
        <f>(VLOOKUP(A196,Hshldprojections2014!$A$2:$AW$319,41, FALSE)-VLOOKUP(A196,Hshldprojections2014!$A$2:$AW$319,31, FALSE))/10</f>
        <v>122.2</v>
      </c>
      <c r="AC196" s="267">
        <f>(VLOOKUP(A196,Hshldprojections2014!$A$2:$AW$319,42, FALSE)-VLOOKUP(A196,Hshldprojections2014!$A$2:$AW$319,32, FALSE))/10</f>
        <v>129</v>
      </c>
      <c r="AD196" s="267">
        <f>IF(IndividualLATest!$J$7=2014,(VLOOKUP($A196,Hshldprojections2014!$A$2:$AY$326,43,FALSE)-VLOOKUP($A196,Hshldprojections2014!$A$2:$AY$326,33,FALSE))/10,IF(IndividualLATest!$J$7=2016,(VLOOKUP($A196,Hshldprojections2016!$A$1:$AQ$322,33,FALSE)-VLOOKUP($A196,Hshldprojections2016!$A$1:$AQ$322,23,FALSE))/10,(VLOOKUP($A196,Hshldprojections2018!$A$1:$AQ$327,33,FALSE)-VLOOKUP($A196,Hshldprojections2018!$A$1:$AQ$327,23,FALSE))/10))</f>
        <v>77.099999999999994</v>
      </c>
      <c r="AE196" s="267">
        <f>IF(IndividualLATest!$J$7=2014,(VLOOKUP($A196,Hshldprojections2014!$A$2:$AY$326,44,FALSE)-VLOOKUP($A196,Hshldprojections2014!$A$2:$AY$326,34,FALSE))/10,IF(IndividualLATest!$J$7=2016,(VLOOKUP($A196,Hshldprojections2016!$A$1:$AQ$322,34,FALSE)-VLOOKUP($A196,Hshldprojections2016!$A$1:$AQ$322,24,FALSE))/10,(VLOOKUP($A196,Hshldprojections2018!$A$1:$AQ$327,34,FALSE)-VLOOKUP($A196,Hshldprojections2018!$A$1:$AQ$327,24,FALSE))/10))</f>
        <v>82</v>
      </c>
      <c r="AF196" s="267">
        <f>IF(IndividualLATest!$J$7=2014,(VLOOKUP($A196,Hshldprojections2014!$A$2:$AY$326,45,FALSE)-VLOOKUP($A196,Hshldprojections2014!$A$2:$AY$326,35,FALSE))/10,IF(IndividualLATest!$J$7=2016,(VLOOKUP($A196,Hshldprojections2016!$A$1:$AQ$322,35,FALSE)-VLOOKUP($A196,Hshldprojections2016!$A$1:$AQ$322,25,FALSE))/10,(VLOOKUP($A196,Hshldprojections2018!$A$1:$AQ$327,35,FALSE)-VLOOKUP($A196,Hshldprojections2018!$A$1:$AQ$327,25,FALSE))/10))</f>
        <v>86.3</v>
      </c>
      <c r="AG196" s="267">
        <f>IF(IndividualLATest!$J$7=2014,(VLOOKUP($A196,Hshldprojections2014!$A$2:$AY$326,46,FALSE)-VLOOKUP($A196,Hshldprojections2014!$A$2:$AY$326,36,FALSE))/10,IF(IndividualLATest!$J$7=2016,(VLOOKUP($A196,Hshldprojections2016!$A$1:$AQ$322,36,FALSE)-VLOOKUP($A196,Hshldprojections2016!$A$1:$AQ$322,26,FALSE))/10,(VLOOKUP($A196,Hshldprojections2018!$A$1:$AQ$327,36,FALSE)-VLOOKUP($A196,Hshldprojections2018!$A$1:$AQ$327,26,FALSE))/10))</f>
        <v>89.6</v>
      </c>
      <c r="AH196" s="267">
        <f>IF(IndividualLATest!$J$7=2014,(VLOOKUP($A196,Hshldprojections2014!$A$2:$AY$326,47,FALSE)-VLOOKUP($A196,Hshldprojections2014!$A$2:$AY$326,37,FALSE))/10,IF(IndividualLATest!$J$7=2016,(VLOOKUP($A196,Hshldprojections2016!$A$1:$AQ$322,37,FALSE)-VLOOKUP($A196,Hshldprojections2016!$A$1:$AQ$322,27,FALSE))/10,(VLOOKUP($A196,Hshldprojections2018!$A$1:$AQ$327,37,FALSE)-VLOOKUP($A196,Hshldprojections2018!$A$1:$AQ$327,27,FALSE))/10))</f>
        <v>92.8</v>
      </c>
      <c r="AI196" s="268">
        <f>IF(ISNUMBER('Sensitivity Tests'!$C$30),'Sensitivity Tests'!$C$30,VLOOKUP($A196,AffordabilityRatio!$A$2:$I$321,5,FALSE))</f>
        <v>7.82</v>
      </c>
      <c r="AJ196" s="268">
        <f>IF(ISNUMBER('Sensitivity Tests'!$C$30),'Sensitivity Tests'!$C$30,VLOOKUP($A196,AffordabilityRatio!$A$2:$I$321,6,FALSE))</f>
        <v>8.16</v>
      </c>
      <c r="AK196" s="268">
        <f>IF(ISNUMBER('Sensitivity Tests'!$C$30),'Sensitivity Tests'!$C$30,VLOOKUP($A196,AffordabilityRatio!$A$2:$I$321,7,FALSE))</f>
        <v>8.89</v>
      </c>
      <c r="AL196" s="268">
        <f>IF(ISNUMBER('Sensitivity Tests'!$C$30),'Sensitivity Tests'!$C$30,IF((VLOOKUP($A196,AffordabilityRatio!$A$2:$I$321,8,FALSE))="",AK196,VLOOKUP($A196,AffordabilityRatio!$A$2:$I$321,8,FALSE)))</f>
        <v>9.6300000000000008</v>
      </c>
      <c r="AM196" s="268">
        <f>IF(ISNUMBER('Sensitivity Tests'!$C$30),'Sensitivity Tests'!$C$30,IF((VLOOKUP($A196,AffordabilityRatio!$A$2:$I$321,9,FALSE))="",AL196,VLOOKUP($A196,AffordabilityRatio!$A$2:$I$321,9,FALSE)))</f>
        <v>10.14</v>
      </c>
      <c r="AN196" s="268">
        <f>IF(ISNUMBER('Sensitivity Tests'!$C$30),'Sensitivity Tests'!$C$30,IF((VLOOKUP($A196,AffordabilityRatio!$A$2:$I$321,9,FALSE))="",AM196,VLOOKUP($A196,AffordabilityRatio!$A$2:$I$321,9,FALSE)))</f>
        <v>10.14</v>
      </c>
      <c r="AO196" s="268">
        <f>IF(ISNUMBER('Sensitivity Tests'!$C$30),'Sensitivity Tests'!$C$30,IF((VLOOKUP($A196,AffordabilityRatio!$A$2:$I$321,9,FALSE))="",AN196,VLOOKUP($A196,AffordabilityRatio!$A$2:$I$321,9,FALSE)))</f>
        <v>10.14</v>
      </c>
      <c r="AP196" s="268">
        <f>IF(ISNUMBER('Sensitivity Tests'!$C$30),'Sensitivity Tests'!$C$30,IF((VLOOKUP($A196,AffordabilityRatio!$A$2:$I$321,9,FALSE))="",AO196,VLOOKUP($A196,AffordabilityRatio!$A$2:$I$321,9,FALSE)))</f>
        <v>10.14</v>
      </c>
      <c r="AQ196" s="267">
        <f t="shared" si="152"/>
        <v>143</v>
      </c>
      <c r="AR196" s="267">
        <f t="shared" si="152"/>
        <v>154</v>
      </c>
      <c r="AS196" s="267">
        <f t="shared" si="152"/>
        <v>168</v>
      </c>
      <c r="AT196" s="267">
        <f t="shared" si="152"/>
        <v>104</v>
      </c>
      <c r="AU196" s="267">
        <f t="shared" si="152"/>
        <v>113</v>
      </c>
      <c r="AV196" s="267">
        <f t="shared" si="151"/>
        <v>119</v>
      </c>
      <c r="AW196" s="267">
        <f t="shared" si="151"/>
        <v>124</v>
      </c>
      <c r="AX196" s="267">
        <f t="shared" si="151"/>
        <v>128</v>
      </c>
      <c r="AY196" s="267">
        <f t="shared" si="122"/>
        <v>143</v>
      </c>
      <c r="AZ196" s="267">
        <f t="shared" si="123"/>
        <v>154</v>
      </c>
      <c r="BA196" s="267">
        <f t="shared" si="124"/>
        <v>168</v>
      </c>
      <c r="BB196" s="267">
        <f t="shared" si="125"/>
        <v>104</v>
      </c>
      <c r="BC196" s="267">
        <f t="shared" si="126"/>
        <v>113</v>
      </c>
      <c r="BD196" s="267">
        <f t="shared" si="127"/>
        <v>119</v>
      </c>
      <c r="BE196" s="267">
        <f t="shared" si="128"/>
        <v>124</v>
      </c>
      <c r="BF196" s="267">
        <f t="shared" si="129"/>
        <v>128</v>
      </c>
      <c r="BG196" s="269">
        <f>AY196*VLOOKUP($B196,'Major Cities &amp; Towns'!$A$28:$B$345,2,FALSE)</f>
        <v>143</v>
      </c>
      <c r="BH196" s="269">
        <f>AZ196*VLOOKUP($B196,'Major Cities &amp; Towns'!$A$28:$B$345,2,FALSE)</f>
        <v>154</v>
      </c>
      <c r="BI196" s="269">
        <f>BA196*VLOOKUP($B196,'Major Cities &amp; Towns'!$A$28:$B$345,2,FALSE)</f>
        <v>168</v>
      </c>
      <c r="BJ196" s="269">
        <f>BB196*VLOOKUP($B196,'Major Cities &amp; Towns'!$A$28:$B$345,2,FALSE)</f>
        <v>104</v>
      </c>
      <c r="BK196" s="269">
        <f>BC196*VLOOKUP($B196,'Major Cities &amp; Towns'!$A$28:$B$345,2,FALSE)</f>
        <v>113</v>
      </c>
      <c r="BL196" s="269">
        <f>BD196*VLOOKUP($B196,'Major Cities &amp; Towns'!$A$28:$B$345,2,FALSE)</f>
        <v>119</v>
      </c>
      <c r="BM196" s="269">
        <f>BE196*VLOOKUP($B196,'Major Cities &amp; Towns'!$A$28:$B$345,2,FALSE)</f>
        <v>124</v>
      </c>
      <c r="BN196" s="269">
        <f>BF196*VLOOKUP($B196,'Major Cities &amp; Towns'!$A$28:$B$345,2,FALSE)</f>
        <v>128</v>
      </c>
      <c r="BO196" s="270">
        <f t="shared" si="130"/>
        <v>143</v>
      </c>
      <c r="BP196" s="270">
        <f t="shared" si="147"/>
        <v>148</v>
      </c>
      <c r="BQ196" s="270">
        <f t="shared" si="147"/>
        <v>148</v>
      </c>
      <c r="BR196" s="270">
        <f t="shared" si="147"/>
        <v>104</v>
      </c>
      <c r="BS196" s="270">
        <f t="shared" si="146"/>
        <v>113</v>
      </c>
      <c r="BT196" s="270">
        <f t="shared" si="146"/>
        <v>119</v>
      </c>
      <c r="BU196" s="270">
        <f t="shared" si="146"/>
        <v>123.99999999999999</v>
      </c>
      <c r="BV196" s="270">
        <f t="shared" si="146"/>
        <v>128</v>
      </c>
      <c r="BW196" s="39">
        <f>VLOOKUP($A196,NetAdditions!$A$2:$H$336,6,FALSE)</f>
        <v>93</v>
      </c>
      <c r="BX196" s="39">
        <f>VLOOKUP($A196,NetAdditions!$A$2:$H$336,7,FALSE)</f>
        <v>170</v>
      </c>
      <c r="BY196" s="39">
        <f>IF((VLOOKUP($C196,NetAdditions!$A$2:$H$336,8,FALSE))="",(AVERAGE(VLOOKUP($C196,NetAdditions!$A$2:$H$336,5,FALSE),VLOOKUP($C196,NetAdditions!$A$2:$H$336,6,FALSE),VLOOKUP($C196,NetAdditions!$A$2:$H$336,7,FALSE))),VLOOKUP($C196,NetAdditions!$A$2:$H$336,8,FALSE))</f>
        <v>215</v>
      </c>
      <c r="BZ196" s="39">
        <f t="shared" si="150"/>
        <v>159.33333333333334</v>
      </c>
      <c r="CA196" s="39">
        <f t="shared" si="150"/>
        <v>181.44444444444446</v>
      </c>
      <c r="CB196" s="39">
        <f t="shared" si="150"/>
        <v>185.25925925925927</v>
      </c>
      <c r="CC196" s="39">
        <f t="shared" si="150"/>
        <v>175.3456790123457</v>
      </c>
      <c r="CD196" s="39">
        <f t="shared" si="150"/>
        <v>180.68312757201647</v>
      </c>
      <c r="CE196" s="276">
        <f t="shared" si="106"/>
        <v>439</v>
      </c>
      <c r="CF196" s="276">
        <f t="shared" si="107"/>
        <v>400</v>
      </c>
      <c r="CG196" s="276">
        <f t="shared" si="108"/>
        <v>365</v>
      </c>
      <c r="CH196" s="276">
        <f t="shared" si="109"/>
        <v>336</v>
      </c>
      <c r="CI196" s="276">
        <f t="shared" si="110"/>
        <v>356</v>
      </c>
      <c r="CJ196" s="276">
        <f t="shared" si="111"/>
        <v>371</v>
      </c>
      <c r="CK196" s="276">
        <f t="shared" si="131"/>
        <v>378.02777777777777</v>
      </c>
      <c r="CL196" s="276">
        <f t="shared" si="132"/>
        <v>344.44444444444446</v>
      </c>
      <c r="CM196" s="276">
        <f t="shared" si="133"/>
        <v>334.58333333333331</v>
      </c>
      <c r="CN196" s="276">
        <f t="shared" si="134"/>
        <v>336</v>
      </c>
      <c r="CO196" s="276">
        <f t="shared" si="134"/>
        <v>356</v>
      </c>
      <c r="CP196" s="276">
        <f t="shared" si="134"/>
        <v>371</v>
      </c>
      <c r="CQ196" s="39">
        <f t="shared" si="112"/>
        <v>478</v>
      </c>
      <c r="CR196" s="39">
        <f t="shared" si="113"/>
        <v>544.33333333333337</v>
      </c>
      <c r="CS196" s="277">
        <f t="shared" si="114"/>
        <v>555.77777777777783</v>
      </c>
      <c r="CT196" s="39">
        <f t="shared" si="115"/>
        <v>526.03703703703707</v>
      </c>
      <c r="CU196" s="39">
        <f t="shared" si="116"/>
        <v>542.04938271604942</v>
      </c>
      <c r="CV196" s="39">
        <f t="shared" si="117"/>
        <v>541.28806584362144</v>
      </c>
      <c r="CW196" s="297">
        <f t="shared" si="118"/>
        <v>1.2644573444044382</v>
      </c>
      <c r="CX196" s="279" t="str">
        <f t="shared" si="135"/>
        <v>Pass</v>
      </c>
      <c r="CY196" s="278">
        <f t="shared" si="119"/>
        <v>1.5803225806451613</v>
      </c>
      <c r="CZ196" s="279" t="str">
        <f t="shared" si="136"/>
        <v>Pass</v>
      </c>
      <c r="DA196" s="278">
        <f t="shared" si="120"/>
        <v>1.6611041926110421</v>
      </c>
      <c r="DB196" s="292" t="str">
        <f t="shared" si="137"/>
        <v>Pass</v>
      </c>
      <c r="DC196" s="299">
        <f t="shared" si="138"/>
        <v>1.5655864197530864</v>
      </c>
      <c r="DD196" s="293" t="str">
        <f t="shared" si="139"/>
        <v>Pass</v>
      </c>
      <c r="DE196" s="299">
        <f t="shared" si="140"/>
        <v>1.5226106256068803</v>
      </c>
      <c r="DF196" s="293" t="str">
        <f t="shared" si="141"/>
        <v>Pass</v>
      </c>
      <c r="DG196" s="299">
        <f t="shared" si="142"/>
        <v>1.4589974820582787</v>
      </c>
      <c r="DH196" s="293" t="str">
        <f t="shared" si="143"/>
        <v>Pass</v>
      </c>
    </row>
    <row r="197" spans="1:112" ht="15" thickTop="1" thickBot="1">
      <c r="A197" s="38" t="s">
        <v>504</v>
      </c>
      <c r="B197" s="38" t="s">
        <v>505</v>
      </c>
      <c r="C197" s="38" t="s">
        <v>504</v>
      </c>
      <c r="D197" s="38" t="s">
        <v>116</v>
      </c>
      <c r="E197" s="38" t="str">
        <f>VLOOKUP(C197,PoliticalControl!A:K,11,FALSE)</f>
        <v>LAB</v>
      </c>
      <c r="F197" s="38" t="str">
        <f>VLOOKUP(C197,UrbanRuralClassification!A:N,13,FALSE)</f>
        <v>Urban with Major Conurbation</v>
      </c>
      <c r="G197" s="38" t="str">
        <f>VLOOKUP(C197,UrbanRuralClassification!A:N,14,FALSE)</f>
        <v>Predominantly Urban</v>
      </c>
      <c r="H197" s="258">
        <f>IF(ISBLANK((VLOOKUP($A197,'local-plan-data'!$C$1:$AD$566,27,FALSE)))=TRUE,"",VLOOKUP($A197,'local-plan-data'!$C$1:$AD$566,27,FALSE))</f>
        <v>40856</v>
      </c>
      <c r="I197" s="259">
        <f>VLOOKUP($A197,'local-plan-data'!$C$1:$AD$566,28,FALSE)</f>
        <v>289</v>
      </c>
      <c r="J197" s="260">
        <f t="shared" si="121"/>
        <v>289</v>
      </c>
      <c r="K197" s="259" t="str">
        <f t="shared" si="144"/>
        <v>-</v>
      </c>
      <c r="L197" s="259" t="str">
        <f t="shared" si="153"/>
        <v>-</v>
      </c>
      <c r="M197" s="259" t="str">
        <f t="shared" si="153"/>
        <v>-</v>
      </c>
      <c r="N197" s="259" t="str">
        <f t="shared" si="153"/>
        <v>-</v>
      </c>
      <c r="O197" s="259" t="str">
        <f t="shared" si="153"/>
        <v>-</v>
      </c>
      <c r="P197" s="259" t="str">
        <f t="shared" si="153"/>
        <v>-</v>
      </c>
      <c r="Q197" s="259" t="str">
        <f t="shared" si="153"/>
        <v>-</v>
      </c>
      <c r="R197" s="259" t="str">
        <f t="shared" si="153"/>
        <v>-</v>
      </c>
      <c r="S197" s="259">
        <f t="shared" si="145"/>
        <v>-508</v>
      </c>
      <c r="T197" s="259">
        <f t="shared" si="154"/>
        <v>-873</v>
      </c>
      <c r="U197" s="259">
        <f t="shared" si="154"/>
        <v>-1239</v>
      </c>
      <c r="V197" s="259">
        <f t="shared" si="154"/>
        <v>-1604</v>
      </c>
      <c r="W197" s="259">
        <f t="shared" si="154"/>
        <v>-1969</v>
      </c>
      <c r="X197" s="259">
        <f t="shared" si="154"/>
        <v>-2334</v>
      </c>
      <c r="Y197" s="259">
        <f t="shared" si="154"/>
        <v>-2700</v>
      </c>
      <c r="Z197" s="259">
        <f t="shared" si="154"/>
        <v>-3065</v>
      </c>
      <c r="AA197" s="267">
        <f>(VLOOKUP(A197,Hshldprojections2014!$A$2:$AW$319,40, FALSE)-VLOOKUP(A197,Hshldprojections2014!$A$2:$AW$319,30, FALSE))/10</f>
        <v>653.20000000000005</v>
      </c>
      <c r="AB197" s="267">
        <f>(VLOOKUP(A197,Hshldprojections2014!$A$2:$AW$319,41, FALSE)-VLOOKUP(A197,Hshldprojections2014!$A$2:$AW$319,31, FALSE))/10</f>
        <v>646.4</v>
      </c>
      <c r="AC197" s="267">
        <f>(VLOOKUP(A197,Hshldprojections2014!$A$2:$AW$319,42, FALSE)-VLOOKUP(A197,Hshldprojections2014!$A$2:$AW$319,32, FALSE))/10</f>
        <v>639</v>
      </c>
      <c r="AD197" s="267">
        <f>IF(IndividualLATest!$J$7=2014,(VLOOKUP($A197,Hshldprojections2014!$A$2:$AY$326,43,FALSE)-VLOOKUP($A197,Hshldprojections2014!$A$2:$AY$326,33,FALSE))/10,IF(IndividualLATest!$J$7=2016,(VLOOKUP($A197,Hshldprojections2016!$A$1:$AQ$322,33,FALSE)-VLOOKUP($A197,Hshldprojections2016!$A$1:$AQ$322,23,FALSE))/10,(VLOOKUP($A197,Hshldprojections2018!$A$1:$AQ$327,33,FALSE)-VLOOKUP($A197,Hshldprojections2018!$A$1:$AQ$327,23,FALSE))/10))</f>
        <v>693.4</v>
      </c>
      <c r="AE197" s="267">
        <f>IF(IndividualLATest!$J$7=2014,(VLOOKUP($A197,Hshldprojections2014!$A$2:$AY$326,44,FALSE)-VLOOKUP($A197,Hshldprojections2014!$A$2:$AY$326,34,FALSE))/10,IF(IndividualLATest!$J$7=2016,(VLOOKUP($A197,Hshldprojections2016!$A$1:$AQ$322,34,FALSE)-VLOOKUP($A197,Hshldprojections2016!$A$1:$AQ$322,24,FALSE))/10,(VLOOKUP($A197,Hshldprojections2018!$A$1:$AQ$327,34,FALSE)-VLOOKUP($A197,Hshldprojections2018!$A$1:$AQ$327,24,FALSE))/10))</f>
        <v>678.3</v>
      </c>
      <c r="AF197" s="267">
        <f>IF(IndividualLATest!$J$7=2014,(VLOOKUP($A197,Hshldprojections2014!$A$2:$AY$326,45,FALSE)-VLOOKUP($A197,Hshldprojections2014!$A$2:$AY$326,35,FALSE))/10,IF(IndividualLATest!$J$7=2016,(VLOOKUP($A197,Hshldprojections2016!$A$1:$AQ$322,35,FALSE)-VLOOKUP($A197,Hshldprojections2016!$A$1:$AQ$322,25,FALSE))/10,(VLOOKUP($A197,Hshldprojections2018!$A$1:$AQ$327,35,FALSE)-VLOOKUP($A197,Hshldprojections2018!$A$1:$AQ$327,25,FALSE))/10))</f>
        <v>667.1</v>
      </c>
      <c r="AG197" s="267">
        <f>IF(IndividualLATest!$J$7=2014,(VLOOKUP($A197,Hshldprojections2014!$A$2:$AY$326,46,FALSE)-VLOOKUP($A197,Hshldprojections2014!$A$2:$AY$326,36,FALSE))/10,IF(IndividualLATest!$J$7=2016,(VLOOKUP($A197,Hshldprojections2016!$A$1:$AQ$322,36,FALSE)-VLOOKUP($A197,Hshldprojections2016!$A$1:$AQ$322,26,FALSE))/10,(VLOOKUP($A197,Hshldprojections2018!$A$1:$AQ$327,36,FALSE)-VLOOKUP($A197,Hshldprojections2018!$A$1:$AQ$327,26,FALSE))/10))</f>
        <v>660.7</v>
      </c>
      <c r="AH197" s="267">
        <f>IF(IndividualLATest!$J$7=2014,(VLOOKUP($A197,Hshldprojections2014!$A$2:$AY$326,47,FALSE)-VLOOKUP($A197,Hshldprojections2014!$A$2:$AY$326,37,FALSE))/10,IF(IndividualLATest!$J$7=2016,(VLOOKUP($A197,Hshldprojections2016!$A$1:$AQ$322,37,FALSE)-VLOOKUP($A197,Hshldprojections2016!$A$1:$AQ$322,27,FALSE))/10,(VLOOKUP($A197,Hshldprojections2018!$A$1:$AQ$327,37,FALSE)-VLOOKUP($A197,Hshldprojections2018!$A$1:$AQ$327,27,FALSE))/10))</f>
        <v>658.2</v>
      </c>
      <c r="AI197" s="268">
        <f>IF(ISNUMBER('Sensitivity Tests'!$C$30),'Sensitivity Tests'!$C$30,VLOOKUP($A197,AffordabilityRatio!$A$2:$I$321,5,FALSE))</f>
        <v>5.59</v>
      </c>
      <c r="AJ197" s="268">
        <f>IF(ISNUMBER('Sensitivity Tests'!$C$30),'Sensitivity Tests'!$C$30,VLOOKUP($A197,AffordabilityRatio!$A$2:$I$321,6,FALSE))</f>
        <v>5.1100000000000003</v>
      </c>
      <c r="AK197" s="268">
        <f>IF(ISNUMBER('Sensitivity Tests'!$C$30),'Sensitivity Tests'!$C$30,VLOOKUP($A197,AffordabilityRatio!$A$2:$I$321,7,FALSE))</f>
        <v>5.36</v>
      </c>
      <c r="AL197" s="268">
        <f>IF(ISNUMBER('Sensitivity Tests'!$C$30),'Sensitivity Tests'!$C$30,IF((VLOOKUP($A197,AffordabilityRatio!$A$2:$I$321,8,FALSE))="",AK197,VLOOKUP($A197,AffordabilityRatio!$A$2:$I$321,8,FALSE)))</f>
        <v>5.07</v>
      </c>
      <c r="AM197" s="268">
        <f>IF(ISNUMBER('Sensitivity Tests'!$C$30),'Sensitivity Tests'!$C$30,IF((VLOOKUP($A197,AffordabilityRatio!$A$2:$I$321,9,FALSE))="",AL197,VLOOKUP($A197,AffordabilityRatio!$A$2:$I$321,9,FALSE)))</f>
        <v>5.99</v>
      </c>
      <c r="AN197" s="268">
        <f>IF(ISNUMBER('Sensitivity Tests'!$C$30),'Sensitivity Tests'!$C$30,IF((VLOOKUP($A197,AffordabilityRatio!$A$2:$I$321,9,FALSE))="",AM197,VLOOKUP($A197,AffordabilityRatio!$A$2:$I$321,9,FALSE)))</f>
        <v>5.99</v>
      </c>
      <c r="AO197" s="268">
        <f>IF(ISNUMBER('Sensitivity Tests'!$C$30),'Sensitivity Tests'!$C$30,IF((VLOOKUP($A197,AffordabilityRatio!$A$2:$I$321,9,FALSE))="",AN197,VLOOKUP($A197,AffordabilityRatio!$A$2:$I$321,9,FALSE)))</f>
        <v>5.99</v>
      </c>
      <c r="AP197" s="268">
        <f>IF(ISNUMBER('Sensitivity Tests'!$C$30),'Sensitivity Tests'!$C$30,IF((VLOOKUP($A197,AffordabilityRatio!$A$2:$I$321,9,FALSE))="",AO197,VLOOKUP($A197,AffordabilityRatio!$A$2:$I$321,9,FALSE)))</f>
        <v>5.99</v>
      </c>
      <c r="AQ197" s="267">
        <f t="shared" si="152"/>
        <v>718</v>
      </c>
      <c r="AR197" s="267">
        <f t="shared" si="152"/>
        <v>691</v>
      </c>
      <c r="AS197" s="267">
        <f t="shared" si="152"/>
        <v>693</v>
      </c>
      <c r="AT197" s="267">
        <f t="shared" si="152"/>
        <v>740</v>
      </c>
      <c r="AU197" s="267">
        <f t="shared" si="152"/>
        <v>763</v>
      </c>
      <c r="AV197" s="267">
        <f t="shared" si="151"/>
        <v>750</v>
      </c>
      <c r="AW197" s="267">
        <f t="shared" si="151"/>
        <v>743</v>
      </c>
      <c r="AX197" s="267">
        <f t="shared" si="151"/>
        <v>740</v>
      </c>
      <c r="AY197" s="267">
        <f t="shared" si="122"/>
        <v>718</v>
      </c>
      <c r="AZ197" s="267">
        <f t="shared" si="123"/>
        <v>691</v>
      </c>
      <c r="BA197" s="267">
        <f t="shared" si="124"/>
        <v>693</v>
      </c>
      <c r="BB197" s="267">
        <f t="shared" si="125"/>
        <v>740</v>
      </c>
      <c r="BC197" s="267">
        <f t="shared" si="126"/>
        <v>763</v>
      </c>
      <c r="BD197" s="267">
        <f t="shared" si="127"/>
        <v>750</v>
      </c>
      <c r="BE197" s="267">
        <f t="shared" si="128"/>
        <v>743</v>
      </c>
      <c r="BF197" s="267">
        <f t="shared" si="129"/>
        <v>740</v>
      </c>
      <c r="BG197" s="269">
        <f>AY197*VLOOKUP($B197,'Major Cities &amp; Towns'!$A$28:$B$345,2,FALSE)</f>
        <v>718</v>
      </c>
      <c r="BH197" s="269">
        <f>AZ197*VLOOKUP($B197,'Major Cities &amp; Towns'!$A$28:$B$345,2,FALSE)</f>
        <v>691</v>
      </c>
      <c r="BI197" s="269">
        <f>BA197*VLOOKUP($B197,'Major Cities &amp; Towns'!$A$28:$B$345,2,FALSE)</f>
        <v>693</v>
      </c>
      <c r="BJ197" s="269">
        <f>BB197*VLOOKUP($B197,'Major Cities &amp; Towns'!$A$28:$B$345,2,FALSE)</f>
        <v>740</v>
      </c>
      <c r="BK197" s="269">
        <f>BC197*VLOOKUP($B197,'Major Cities &amp; Towns'!$A$28:$B$345,2,FALSE)</f>
        <v>763</v>
      </c>
      <c r="BL197" s="269">
        <f>BD197*VLOOKUP($B197,'Major Cities &amp; Towns'!$A$28:$B$345,2,FALSE)</f>
        <v>750</v>
      </c>
      <c r="BM197" s="269">
        <f>BE197*VLOOKUP($B197,'Major Cities &amp; Towns'!$A$28:$B$345,2,FALSE)</f>
        <v>743</v>
      </c>
      <c r="BN197" s="269">
        <f>BF197*VLOOKUP($B197,'Major Cities &amp; Towns'!$A$28:$B$345,2,FALSE)</f>
        <v>740</v>
      </c>
      <c r="BO197" s="270">
        <f t="shared" si="130"/>
        <v>718</v>
      </c>
      <c r="BP197" s="270">
        <f t="shared" si="147"/>
        <v>691</v>
      </c>
      <c r="BQ197" s="270">
        <f t="shared" si="147"/>
        <v>693</v>
      </c>
      <c r="BR197" s="270">
        <f t="shared" si="147"/>
        <v>740</v>
      </c>
      <c r="BS197" s="270">
        <f t="shared" si="146"/>
        <v>763</v>
      </c>
      <c r="BT197" s="270">
        <f t="shared" si="146"/>
        <v>750</v>
      </c>
      <c r="BU197" s="270">
        <f t="shared" si="146"/>
        <v>743</v>
      </c>
      <c r="BV197" s="270">
        <f t="shared" si="146"/>
        <v>740</v>
      </c>
      <c r="BW197" s="39">
        <f>VLOOKUP($A197,NetAdditions!$A$2:$H$336,6,FALSE)</f>
        <v>529</v>
      </c>
      <c r="BX197" s="39">
        <f>VLOOKUP($A197,NetAdditions!$A$2:$H$336,7,FALSE)</f>
        <v>728</v>
      </c>
      <c r="BY197" s="39">
        <f>IF((VLOOKUP($C197,NetAdditions!$A$2:$H$336,8,FALSE))="",(AVERAGE(VLOOKUP($C197,NetAdditions!$A$2:$H$336,5,FALSE),VLOOKUP($C197,NetAdditions!$A$2:$H$336,6,FALSE),VLOOKUP($C197,NetAdditions!$A$2:$H$336,7,FALSE))),VLOOKUP($C197,NetAdditions!$A$2:$H$336,8,FALSE))</f>
        <v>380</v>
      </c>
      <c r="BZ197" s="39">
        <f t="shared" si="150"/>
        <v>545.66666666666663</v>
      </c>
      <c r="CA197" s="39">
        <f t="shared" si="150"/>
        <v>551.22222222222217</v>
      </c>
      <c r="CB197" s="39">
        <f t="shared" si="150"/>
        <v>492.29629629629625</v>
      </c>
      <c r="CC197" s="39">
        <f t="shared" si="150"/>
        <v>529.72839506172829</v>
      </c>
      <c r="CD197" s="39">
        <f t="shared" si="150"/>
        <v>524.41563786008226</v>
      </c>
      <c r="CE197" s="276">
        <f t="shared" ref="CE197:CE260" si="155">SUM(BO197:BQ197)</f>
        <v>2102</v>
      </c>
      <c r="CF197" s="276">
        <f t="shared" ref="CF197:CF260" si="156">SUM(BP197:BR197)</f>
        <v>2124</v>
      </c>
      <c r="CG197" s="276">
        <f t="shared" ref="CG197:CG260" si="157">SUM(BQ197:BS197)</f>
        <v>2196</v>
      </c>
      <c r="CH197" s="276">
        <f t="shared" ref="CH197:CH260" si="158">SUM(BR197:BT197)</f>
        <v>2253</v>
      </c>
      <c r="CI197" s="276">
        <f t="shared" ref="CI197:CI260" si="159">SUM(BS197:BU197)</f>
        <v>2256</v>
      </c>
      <c r="CJ197" s="276">
        <f t="shared" ref="CJ197:CJ260" si="160">SUM(BT197:BV197)</f>
        <v>2233</v>
      </c>
      <c r="CK197" s="276">
        <f t="shared" si="131"/>
        <v>1810.0555555555557</v>
      </c>
      <c r="CL197" s="276">
        <f t="shared" si="132"/>
        <v>1829</v>
      </c>
      <c r="CM197" s="276">
        <f t="shared" si="133"/>
        <v>2013</v>
      </c>
      <c r="CN197" s="276">
        <f t="shared" si="134"/>
        <v>2253</v>
      </c>
      <c r="CO197" s="276">
        <f t="shared" si="134"/>
        <v>2256</v>
      </c>
      <c r="CP197" s="276">
        <f t="shared" si="134"/>
        <v>2233</v>
      </c>
      <c r="CQ197" s="39">
        <f t="shared" ref="CQ197:CQ260" si="161">SUM(BW197:BY197)</f>
        <v>1637</v>
      </c>
      <c r="CR197" s="39">
        <f t="shared" ref="CR197:CR260" si="162">SUM(BX197:BZ197)</f>
        <v>1653.6666666666665</v>
      </c>
      <c r="CS197" s="277">
        <f t="shared" ref="CS197:CS260" si="163">SUM(BY197:CA197)</f>
        <v>1476.8888888888887</v>
      </c>
      <c r="CT197" s="39">
        <f t="shared" ref="CT197:CT260" si="164">SUM(BZ197:CB197)</f>
        <v>1589.185185185185</v>
      </c>
      <c r="CU197" s="39">
        <f t="shared" ref="CU197:CU260" si="165">SUM(CA197:CC197)</f>
        <v>1573.2469135802467</v>
      </c>
      <c r="CV197" s="39">
        <f t="shared" ref="CV197:CV260" si="166">SUM(CB197:CD197)</f>
        <v>1546.4403292181069</v>
      </c>
      <c r="CW197" s="297">
        <f t="shared" ref="CW197:CW260" si="167">IFERROR(CQ197/CK197,"-")</f>
        <v>0.90439213038273836</v>
      </c>
      <c r="CX197" s="279" t="str">
        <f t="shared" si="135"/>
        <v>Action Plan</v>
      </c>
      <c r="CY197" s="278">
        <f t="shared" ref="CY197:CY260" si="168">IFERROR(CR197/CL197,"-")</f>
        <v>0.90413705121195542</v>
      </c>
      <c r="CZ197" s="279" t="str">
        <f t="shared" si="136"/>
        <v>Action Plan</v>
      </c>
      <c r="DA197" s="278">
        <f t="shared" ref="DA197:DA260" si="169">IFERROR(CS197/CM197,"-")</f>
        <v>0.73367555334768442</v>
      </c>
      <c r="DB197" s="292" t="str">
        <f t="shared" si="137"/>
        <v>Presumption</v>
      </c>
      <c r="DC197" s="299">
        <f t="shared" si="138"/>
        <v>0.70536404136049047</v>
      </c>
      <c r="DD197" s="293" t="str">
        <f t="shared" si="139"/>
        <v>Presumption</v>
      </c>
      <c r="DE197" s="299">
        <f t="shared" si="140"/>
        <v>0.69736122055861993</v>
      </c>
      <c r="DF197" s="293" t="str">
        <f t="shared" si="141"/>
        <v>Presumption</v>
      </c>
      <c r="DG197" s="299">
        <f t="shared" si="142"/>
        <v>0.69253933238607557</v>
      </c>
      <c r="DH197" s="293" t="str">
        <f t="shared" si="143"/>
        <v>Presumption</v>
      </c>
    </row>
    <row r="198" spans="1:112" ht="15" thickTop="1" thickBot="1">
      <c r="A198" s="38" t="s">
        <v>506</v>
      </c>
      <c r="B198" s="38" t="s">
        <v>507</v>
      </c>
      <c r="C198" s="38" t="s">
        <v>506</v>
      </c>
      <c r="D198" s="38" t="s">
        <v>113</v>
      </c>
      <c r="E198" s="38" t="str">
        <f>VLOOKUP(C198,PoliticalControl!A:K,11,FALSE)</f>
        <v>LAB</v>
      </c>
      <c r="F198" s="38" t="str">
        <f>VLOOKUP(C198,UrbanRuralClassification!A:N,13,FALSE)</f>
        <v>Urban with City and Town</v>
      </c>
      <c r="G198" s="38" t="str">
        <f>VLOOKUP(C198,UrbanRuralClassification!A:N,14,FALSE)</f>
        <v>Predominantly Urban</v>
      </c>
      <c r="H198" s="258">
        <f>IF(ISBLANK((VLOOKUP($A198,'local-plan-data'!$C$1:$AD$566,27,FALSE)))=TRUE,"",VLOOKUP($A198,'local-plan-data'!$C$1:$AD$566,27,FALSE))</f>
        <v>43990</v>
      </c>
      <c r="I198" s="259">
        <f>VLOOKUP($A198,'local-plan-data'!$C$1:$AD$566,28,FALSE)</f>
        <v>544.20000000000005</v>
      </c>
      <c r="J198" s="260">
        <f t="shared" ref="J198:J261" si="170">IFERROR(IF(ISNUMBER(I198),I198,VALUE(LEFT(I198,FIND("-",I198)-1))),"-")</f>
        <v>544.20000000000005</v>
      </c>
      <c r="K198" s="259">
        <f t="shared" si="144"/>
        <v>544.20000000000005</v>
      </c>
      <c r="L198" s="259">
        <f t="shared" si="153"/>
        <v>544.20000000000005</v>
      </c>
      <c r="M198" s="259">
        <f t="shared" si="153"/>
        <v>544.20000000000005</v>
      </c>
      <c r="N198" s="259">
        <f t="shared" si="153"/>
        <v>544.20000000000005</v>
      </c>
      <c r="O198" s="259">
        <f t="shared" si="153"/>
        <v>544.20000000000005</v>
      </c>
      <c r="P198" s="259">
        <f t="shared" si="153"/>
        <v>544.20000000000005</v>
      </c>
      <c r="Q198" s="259">
        <f t="shared" si="153"/>
        <v>544.20000000000005</v>
      </c>
      <c r="R198" s="259">
        <f t="shared" si="153"/>
        <v>544.20000000000005</v>
      </c>
      <c r="S198" s="259">
        <f t="shared" si="145"/>
        <v>2625</v>
      </c>
      <c r="T198" s="259">
        <f t="shared" si="154"/>
        <v>2260</v>
      </c>
      <c r="U198" s="259">
        <f t="shared" si="154"/>
        <v>1894</v>
      </c>
      <c r="V198" s="259">
        <f t="shared" si="154"/>
        <v>1529</v>
      </c>
      <c r="W198" s="259">
        <f t="shared" si="154"/>
        <v>1164</v>
      </c>
      <c r="X198" s="259">
        <f t="shared" si="154"/>
        <v>799</v>
      </c>
      <c r="Y198" s="259">
        <f t="shared" si="154"/>
        <v>433</v>
      </c>
      <c r="Z198" s="259">
        <f t="shared" si="154"/>
        <v>68</v>
      </c>
      <c r="AA198" s="267">
        <f>(VLOOKUP(A198,Hshldprojections2014!$A$2:$AW$319,40, FALSE)-VLOOKUP(A198,Hshldprojections2014!$A$2:$AW$319,30, FALSE))/10</f>
        <v>530.6</v>
      </c>
      <c r="AB198" s="267">
        <f>(VLOOKUP(A198,Hshldprojections2014!$A$2:$AW$319,41, FALSE)-VLOOKUP(A198,Hshldprojections2014!$A$2:$AW$319,31, FALSE))/10</f>
        <v>534.79999999999995</v>
      </c>
      <c r="AC198" s="267">
        <f>(VLOOKUP(A198,Hshldprojections2014!$A$2:$AW$319,42, FALSE)-VLOOKUP(A198,Hshldprojections2014!$A$2:$AW$319,32, FALSE))/10</f>
        <v>542.5</v>
      </c>
      <c r="AD198" s="267">
        <f>IF(IndividualLATest!$J$7=2014,(VLOOKUP($A198,Hshldprojections2014!$A$2:$AY$326,43,FALSE)-VLOOKUP($A198,Hshldprojections2014!$A$2:$AY$326,33,FALSE))/10,IF(IndividualLATest!$J$7=2016,(VLOOKUP($A198,Hshldprojections2016!$A$1:$AQ$322,33,FALSE)-VLOOKUP($A198,Hshldprojections2016!$A$1:$AQ$322,23,FALSE))/10,(VLOOKUP($A198,Hshldprojections2018!$A$1:$AQ$327,33,FALSE)-VLOOKUP($A198,Hshldprojections2018!$A$1:$AQ$327,23,FALSE))/10))</f>
        <v>-73.400000000000006</v>
      </c>
      <c r="AE198" s="267">
        <f>IF(IndividualLATest!$J$7=2014,(VLOOKUP($A198,Hshldprojections2014!$A$2:$AY$326,44,FALSE)-VLOOKUP($A198,Hshldprojections2014!$A$2:$AY$326,34,FALSE))/10,IF(IndividualLATest!$J$7=2016,(VLOOKUP($A198,Hshldprojections2016!$A$1:$AQ$322,34,FALSE)-VLOOKUP($A198,Hshldprojections2016!$A$1:$AQ$322,24,FALSE))/10,(VLOOKUP($A198,Hshldprojections2018!$A$1:$AQ$327,34,FALSE)-VLOOKUP($A198,Hshldprojections2018!$A$1:$AQ$327,24,FALSE))/10))</f>
        <v>-35.6</v>
      </c>
      <c r="AF198" s="267">
        <f>IF(IndividualLATest!$J$7=2014,(VLOOKUP($A198,Hshldprojections2014!$A$2:$AY$326,45,FALSE)-VLOOKUP($A198,Hshldprojections2014!$A$2:$AY$326,35,FALSE))/10,IF(IndividualLATest!$J$7=2016,(VLOOKUP($A198,Hshldprojections2016!$A$1:$AQ$322,35,FALSE)-VLOOKUP($A198,Hshldprojections2016!$A$1:$AQ$322,25,FALSE))/10,(VLOOKUP($A198,Hshldprojections2018!$A$1:$AQ$327,35,FALSE)-VLOOKUP($A198,Hshldprojections2018!$A$1:$AQ$327,25,FALSE))/10))</f>
        <v>-8.3000000000000007</v>
      </c>
      <c r="AG198" s="267">
        <f>IF(IndividualLATest!$J$7=2014,(VLOOKUP($A198,Hshldprojections2014!$A$2:$AY$326,46,FALSE)-VLOOKUP($A198,Hshldprojections2014!$A$2:$AY$326,36,FALSE))/10,IF(IndividualLATest!$J$7=2016,(VLOOKUP($A198,Hshldprojections2016!$A$1:$AQ$322,36,FALSE)-VLOOKUP($A198,Hshldprojections2016!$A$1:$AQ$322,26,FALSE))/10,(VLOOKUP($A198,Hshldprojections2018!$A$1:$AQ$327,36,FALSE)-VLOOKUP($A198,Hshldprojections2018!$A$1:$AQ$327,26,FALSE))/10))</f>
        <v>11.2</v>
      </c>
      <c r="AH198" s="267">
        <f>IF(IndividualLATest!$J$7=2014,(VLOOKUP($A198,Hshldprojections2014!$A$2:$AY$326,47,FALSE)-VLOOKUP($A198,Hshldprojections2014!$A$2:$AY$326,37,FALSE))/10,IF(IndividualLATest!$J$7=2016,(VLOOKUP($A198,Hshldprojections2016!$A$1:$AQ$322,37,FALSE)-VLOOKUP($A198,Hshldprojections2016!$A$1:$AQ$322,27,FALSE))/10,(VLOOKUP($A198,Hshldprojections2018!$A$1:$AQ$327,37,FALSE)-VLOOKUP($A198,Hshldprojections2018!$A$1:$AQ$327,27,FALSE))/10))</f>
        <v>26</v>
      </c>
      <c r="AI198" s="268">
        <f>IF(ISNUMBER('Sensitivity Tests'!$C$30),'Sensitivity Tests'!$C$30,VLOOKUP($A198,AffordabilityRatio!$A$2:$I$321,5,FALSE))</f>
        <v>12.17</v>
      </c>
      <c r="AJ198" s="268">
        <f>IF(ISNUMBER('Sensitivity Tests'!$C$30),'Sensitivity Tests'!$C$30,VLOOKUP($A198,AffordabilityRatio!$A$2:$I$321,6,FALSE))</f>
        <v>11.08</v>
      </c>
      <c r="AK198" s="268">
        <f>IF(ISNUMBER('Sensitivity Tests'!$C$30),'Sensitivity Tests'!$C$30,VLOOKUP($A198,AffordabilityRatio!$A$2:$I$321,7,FALSE))</f>
        <v>11.31</v>
      </c>
      <c r="AL198" s="268">
        <f>IF(ISNUMBER('Sensitivity Tests'!$C$30),'Sensitivity Tests'!$C$30,IF((VLOOKUP($A198,AffordabilityRatio!$A$2:$I$321,8,FALSE))="",AK198,VLOOKUP($A198,AffordabilityRatio!$A$2:$I$321,8,FALSE)))</f>
        <v>11.19</v>
      </c>
      <c r="AM198" s="268">
        <f>IF(ISNUMBER('Sensitivity Tests'!$C$30),'Sensitivity Tests'!$C$30,IF((VLOOKUP($A198,AffordabilityRatio!$A$2:$I$321,9,FALSE))="",AL198,VLOOKUP($A198,AffordabilityRatio!$A$2:$I$321,9,FALSE)))</f>
        <v>12.05</v>
      </c>
      <c r="AN198" s="268">
        <f>IF(ISNUMBER('Sensitivity Tests'!$C$30),'Sensitivity Tests'!$C$30,IF((VLOOKUP($A198,AffordabilityRatio!$A$2:$I$321,9,FALSE))="",AM198,VLOOKUP($A198,AffordabilityRatio!$A$2:$I$321,9,FALSE)))</f>
        <v>12.05</v>
      </c>
      <c r="AO198" s="268">
        <f>IF(ISNUMBER('Sensitivity Tests'!$C$30),'Sensitivity Tests'!$C$30,IF((VLOOKUP($A198,AffordabilityRatio!$A$2:$I$321,9,FALSE))="",AN198,VLOOKUP($A198,AffordabilityRatio!$A$2:$I$321,9,FALSE)))</f>
        <v>12.05</v>
      </c>
      <c r="AP198" s="268">
        <f>IF(ISNUMBER('Sensitivity Tests'!$C$30),'Sensitivity Tests'!$C$30,IF((VLOOKUP($A198,AffordabilityRatio!$A$2:$I$321,9,FALSE))="",AO198,VLOOKUP($A198,AffordabilityRatio!$A$2:$I$321,9,FALSE)))</f>
        <v>12.05</v>
      </c>
      <c r="AQ198" s="267">
        <f t="shared" si="152"/>
        <v>802</v>
      </c>
      <c r="AR198" s="267">
        <f t="shared" si="152"/>
        <v>771</v>
      </c>
      <c r="AS198" s="267">
        <f t="shared" si="152"/>
        <v>790</v>
      </c>
      <c r="AT198" s="267">
        <f t="shared" si="152"/>
        <v>0</v>
      </c>
      <c r="AU198" s="267">
        <f t="shared" si="152"/>
        <v>0</v>
      </c>
      <c r="AV198" s="267">
        <f t="shared" si="151"/>
        <v>0</v>
      </c>
      <c r="AW198" s="267">
        <f t="shared" si="151"/>
        <v>17</v>
      </c>
      <c r="AX198" s="267">
        <f t="shared" si="151"/>
        <v>39</v>
      </c>
      <c r="AY198" s="267">
        <f t="shared" ref="AY198:AY261" si="171">IF(AA198&lt;0,0,IF(K198="-",MIN((MAX(J198, AA198)+((MAX(J198, AA198))*0.4)),AQ198),MIN(K198+(K198*0.4),AQ198)))</f>
        <v>761.88000000000011</v>
      </c>
      <c r="AZ198" s="267">
        <f t="shared" ref="AZ198:AZ261" si="172">IF(AB198&lt;0,0,IF(L198="-",MIN((MAX(J198, AB198)+((MAX(J198, AB198))*0.4)),AR198),MIN(L198+(L198*0.4),AR198)))</f>
        <v>761.88000000000011</v>
      </c>
      <c r="BA198" s="267">
        <f t="shared" ref="BA198:BA261" si="173">IF(AC198&lt;0,0,IF(M198="-",MIN((MAX(J198, AC198)+((MAX(J198, AC198))*0.4)),AS198),MIN(M198+(M198*0.4),AS198)))</f>
        <v>761.88000000000011</v>
      </c>
      <c r="BB198" s="267">
        <f t="shared" ref="BB198:BB261" si="174">IF(AD198&lt;0,0,IF(N198="-",MIN((MAX(J198, AD198)+((MAX(J198, AD198))*0.4)),AT198),MIN(N198+(N198*0.4),AT198)))</f>
        <v>0</v>
      </c>
      <c r="BC198" s="267">
        <f t="shared" ref="BC198:BC261" si="175">IF(AE198&lt;0,0,IF(O198="-",MIN((MAX(J198, AE198)+((MAX(J198, AE198))*0.4)),AU198),MIN(O198+(O198*0.4),AU198)))</f>
        <v>0</v>
      </c>
      <c r="BD198" s="267">
        <f t="shared" ref="BD198:BD261" si="176">IF(AF198&lt;0,0,IF(P198="-",MIN((MAX(J198, AF198)+((MAX(J198, AF198))*0.4)),AV198),MIN(P198+(P198*0.4),AV198)))</f>
        <v>0</v>
      </c>
      <c r="BE198" s="267">
        <f t="shared" ref="BE198:BE261" si="177">IF(AG198&lt;0,0,IF(Q198="-",MIN((MAX(J198, AG198)+((MAX(J198, AG198))*0.4)),AW198),MIN(Q198+(Q198*0.4),AW198)))</f>
        <v>17</v>
      </c>
      <c r="BF198" s="267">
        <f t="shared" ref="BF198:BF261" si="178">IF(AH198&lt;0,0,IF(R198="-",MIN((MAX(J198, AH198)+((MAX(J198, AH198))*0.4)),AX198),MIN(R198+(R198*0.4),AX198)))</f>
        <v>39</v>
      </c>
      <c r="BG198" s="269">
        <f>AY198*VLOOKUP($B198,'Major Cities &amp; Towns'!$A$28:$B$345,2,FALSE)</f>
        <v>761.88000000000011</v>
      </c>
      <c r="BH198" s="269">
        <f>AZ198*VLOOKUP($B198,'Major Cities &amp; Towns'!$A$28:$B$345,2,FALSE)</f>
        <v>761.88000000000011</v>
      </c>
      <c r="BI198" s="269">
        <f>BA198*VLOOKUP($B198,'Major Cities &amp; Towns'!$A$28:$B$345,2,FALSE)</f>
        <v>761.88000000000011</v>
      </c>
      <c r="BJ198" s="269">
        <f>BB198*VLOOKUP($B198,'Major Cities &amp; Towns'!$A$28:$B$345,2,FALSE)</f>
        <v>0</v>
      </c>
      <c r="BK198" s="269">
        <f>BC198*VLOOKUP($B198,'Major Cities &amp; Towns'!$A$28:$B$345,2,FALSE)</f>
        <v>0</v>
      </c>
      <c r="BL198" s="269">
        <f>BD198*VLOOKUP($B198,'Major Cities &amp; Towns'!$A$28:$B$345,2,FALSE)</f>
        <v>0</v>
      </c>
      <c r="BM198" s="269">
        <f>BE198*VLOOKUP($B198,'Major Cities &amp; Towns'!$A$28:$B$345,2,FALSE)</f>
        <v>17</v>
      </c>
      <c r="BN198" s="269">
        <f>BF198*VLOOKUP($B198,'Major Cities &amp; Towns'!$A$28:$B$345,2,FALSE)</f>
        <v>39</v>
      </c>
      <c r="BO198" s="270">
        <f t="shared" ref="BO198:BO261" si="179">IFERROR(IF(AND(S198&lt;365,S198&gt;0),SUM(((S198/365)*(MIN(K198,BG198)))+(((365-S198)/365)*AQ198)),(MIN(K198,AQ198))),AQ198)</f>
        <v>544.20000000000005</v>
      </c>
      <c r="BP198" s="270">
        <f t="shared" si="147"/>
        <v>544.20000000000005</v>
      </c>
      <c r="BQ198" s="270">
        <f t="shared" si="147"/>
        <v>544.20000000000005</v>
      </c>
      <c r="BR198" s="270">
        <f t="shared" si="147"/>
        <v>0</v>
      </c>
      <c r="BS198" s="270">
        <f t="shared" si="146"/>
        <v>0</v>
      </c>
      <c r="BT198" s="270">
        <f t="shared" si="146"/>
        <v>0</v>
      </c>
      <c r="BU198" s="270">
        <f t="shared" si="146"/>
        <v>17</v>
      </c>
      <c r="BV198" s="270">
        <f t="shared" si="146"/>
        <v>39</v>
      </c>
      <c r="BW198" s="39">
        <f>VLOOKUP($A198,NetAdditions!$A$2:$H$336,6,FALSE)</f>
        <v>250</v>
      </c>
      <c r="BX198" s="39">
        <f>VLOOKUP($A198,NetAdditions!$A$2:$H$336,7,FALSE)</f>
        <v>222</v>
      </c>
      <c r="BY198" s="39">
        <f>IF((VLOOKUP($C198,NetAdditions!$A$2:$H$336,8,FALSE))="",(AVERAGE(VLOOKUP($C198,NetAdditions!$A$2:$H$336,5,FALSE),VLOOKUP($C198,NetAdditions!$A$2:$H$336,6,FALSE),VLOOKUP($C198,NetAdditions!$A$2:$H$336,7,FALSE))),VLOOKUP($C198,NetAdditions!$A$2:$H$336,8,FALSE))</f>
        <v>464</v>
      </c>
      <c r="BZ198" s="39">
        <f t="shared" si="150"/>
        <v>312</v>
      </c>
      <c r="CA198" s="39">
        <f t="shared" si="150"/>
        <v>332.66666666666669</v>
      </c>
      <c r="CB198" s="39">
        <f t="shared" si="150"/>
        <v>369.5555555555556</v>
      </c>
      <c r="CC198" s="39">
        <f t="shared" si="150"/>
        <v>338.07407407407413</v>
      </c>
      <c r="CD198" s="39">
        <f t="shared" si="150"/>
        <v>346.76543209876553</v>
      </c>
      <c r="CE198" s="276">
        <f t="shared" si="155"/>
        <v>1632.6000000000001</v>
      </c>
      <c r="CF198" s="276">
        <f t="shared" si="156"/>
        <v>1088.4000000000001</v>
      </c>
      <c r="CG198" s="276">
        <f t="shared" si="157"/>
        <v>544.20000000000005</v>
      </c>
      <c r="CH198" s="276">
        <f t="shared" si="158"/>
        <v>0</v>
      </c>
      <c r="CI198" s="276">
        <f t="shared" si="159"/>
        <v>17</v>
      </c>
      <c r="CJ198" s="276">
        <f t="shared" si="160"/>
        <v>56</v>
      </c>
      <c r="CK198" s="276">
        <f t="shared" ref="CK198:CK261" si="180">CE198*((24+7)/36)</f>
        <v>1405.8500000000001</v>
      </c>
      <c r="CL198" s="276">
        <f t="shared" ref="CL198:CL261" si="181">CF198*((24+7)/36)</f>
        <v>937.23333333333346</v>
      </c>
      <c r="CM198" s="276">
        <f t="shared" ref="CM198:CM261" si="182">CG198*((24+9)/36)</f>
        <v>498.85</v>
      </c>
      <c r="CN198" s="276">
        <f t="shared" ref="CN198:CP261" si="183">CH198</f>
        <v>0</v>
      </c>
      <c r="CO198" s="276">
        <f t="shared" si="183"/>
        <v>17</v>
      </c>
      <c r="CP198" s="276">
        <f t="shared" si="183"/>
        <v>56</v>
      </c>
      <c r="CQ198" s="39">
        <f t="shared" si="161"/>
        <v>936</v>
      </c>
      <c r="CR198" s="39">
        <f t="shared" si="162"/>
        <v>998</v>
      </c>
      <c r="CS198" s="277">
        <f t="shared" si="163"/>
        <v>1108.6666666666667</v>
      </c>
      <c r="CT198" s="39">
        <f t="shared" si="164"/>
        <v>1014.2222222222224</v>
      </c>
      <c r="CU198" s="39">
        <f t="shared" si="165"/>
        <v>1040.2962962962965</v>
      </c>
      <c r="CV198" s="39">
        <f t="shared" si="166"/>
        <v>1054.3950617283954</v>
      </c>
      <c r="CW198" s="297">
        <f t="shared" si="167"/>
        <v>0.66578938009033672</v>
      </c>
      <c r="CX198" s="279" t="str">
        <f t="shared" ref="CX198:CX261" si="184">IF(CW198&lt;0.25, "Presumption", IF(CW198&lt;0.85, "Buffer and Action Plan", IF(CW198&lt;0.95, "Action Plan", "Pass")))</f>
        <v>Buffer and Action Plan</v>
      </c>
      <c r="CY198" s="278">
        <f t="shared" si="168"/>
        <v>1.0648362200803783</v>
      </c>
      <c r="CZ198" s="279" t="str">
        <f t="shared" ref="CZ198:CZ261" si="185">IF(CY198&lt;0.45, "Presumption", IF(CY198&lt;0.85, "Buffer and Action Plan", IF(CY198&lt;0.95, "Action Plan", "Pass")))</f>
        <v>Pass</v>
      </c>
      <c r="DA198" s="278">
        <f t="shared" si="169"/>
        <v>2.2224449567338214</v>
      </c>
      <c r="DB198" s="292" t="str">
        <f t="shared" ref="DB198:DB261" si="186">IF(DA198&lt;0.75, "Presumption", IF(DA198&lt;0.85, "Buffer and Action Plan", IF(DA198&lt;0.95, "Action Plan", "Pass")))</f>
        <v>Pass</v>
      </c>
      <c r="DC198" s="299" t="str">
        <f t="shared" ref="DC198:DC261" si="187">IFERROR(CT198/CN198,"-")</f>
        <v>-</v>
      </c>
      <c r="DD198" s="293" t="str">
        <f t="shared" ref="DD198:DD261" si="188">IF(DC198&lt;0.75, "Presumption", IF(DC198&lt;0.85, "Buffer and Action Plan", IF(DC198&lt;0.95, "Action Plan", "Pass")))</f>
        <v>Pass</v>
      </c>
      <c r="DE198" s="299">
        <f t="shared" ref="DE198:DE261" si="189">IFERROR(CU198/CO198,"-")</f>
        <v>61.193899782135091</v>
      </c>
      <c r="DF198" s="293" t="str">
        <f t="shared" ref="DF198:DF261" si="190">IF(DE198&lt;0.75, "Presumption", IF(DE198&lt;0.85, "Buffer and Action Plan", IF(DE198&lt;0.95, "Action Plan", "Pass")))</f>
        <v>Pass</v>
      </c>
      <c r="DG198" s="299">
        <f t="shared" ref="DG198:DG261" si="191">IFERROR(CV198/CP198,"-")</f>
        <v>18.828483245149918</v>
      </c>
      <c r="DH198" s="293" t="str">
        <f t="shared" ref="DH198:DH261" si="192">IF(DG198&lt;0.75, "Presumption", IF(DG198&lt;0.85, "Buffer and Action Plan", IF(DG198&lt;0.95, "Action Plan", "Pass")))</f>
        <v>Pass</v>
      </c>
    </row>
    <row r="199" spans="1:112" ht="15" thickTop="1" thickBot="1">
      <c r="A199" s="38" t="s">
        <v>508</v>
      </c>
      <c r="B199" s="38" t="s">
        <v>509</v>
      </c>
      <c r="C199" s="38" t="s">
        <v>508</v>
      </c>
      <c r="D199" s="38" t="s">
        <v>116</v>
      </c>
      <c r="E199" s="38" t="str">
        <f>VLOOKUP(C199,PoliticalControl!A:K,11,FALSE)</f>
        <v>CON</v>
      </c>
      <c r="F199" s="38" t="str">
        <f>VLOOKUP(C199,UrbanRuralClassification!A:N,13,FALSE)</f>
        <v>Urban with City and Town</v>
      </c>
      <c r="G199" s="38" t="str">
        <f>VLOOKUP(C199,UrbanRuralClassification!A:N,14,FALSE)</f>
        <v>Predominantly Urban</v>
      </c>
      <c r="H199" s="258">
        <f>IF(ISBLANK((VLOOKUP($A199,'local-plan-data'!$C$1:$AD$566,27,FALSE)))=TRUE,"",VLOOKUP($A199,'local-plan-data'!$C$1:$AD$566,27,FALSE))</f>
        <v>42355</v>
      </c>
      <c r="I199" s="259">
        <f>VLOOKUP($A199,'local-plan-data'!$C$1:$AD$566,28,FALSE)</f>
        <v>298</v>
      </c>
      <c r="J199" s="260">
        <f t="shared" si="170"/>
        <v>298</v>
      </c>
      <c r="K199" s="259">
        <f t="shared" si="144"/>
        <v>298</v>
      </c>
      <c r="L199" s="259">
        <f t="shared" si="153"/>
        <v>298</v>
      </c>
      <c r="M199" s="259">
        <f t="shared" si="153"/>
        <v>298</v>
      </c>
      <c r="N199" s="259" t="str">
        <f t="shared" si="153"/>
        <v>-</v>
      </c>
      <c r="O199" s="259" t="str">
        <f t="shared" si="153"/>
        <v>-</v>
      </c>
      <c r="P199" s="259" t="str">
        <f t="shared" si="153"/>
        <v>-</v>
      </c>
      <c r="Q199" s="259" t="str">
        <f t="shared" si="153"/>
        <v>-</v>
      </c>
      <c r="R199" s="259" t="str">
        <f t="shared" si="153"/>
        <v>-</v>
      </c>
      <c r="S199" s="259">
        <f t="shared" si="145"/>
        <v>991</v>
      </c>
      <c r="T199" s="259">
        <f t="shared" si="154"/>
        <v>626</v>
      </c>
      <c r="U199" s="259">
        <f t="shared" si="154"/>
        <v>260</v>
      </c>
      <c r="V199" s="259">
        <f t="shared" si="154"/>
        <v>-105</v>
      </c>
      <c r="W199" s="259">
        <f t="shared" si="154"/>
        <v>-470</v>
      </c>
      <c r="X199" s="259">
        <f t="shared" si="154"/>
        <v>-835</v>
      </c>
      <c r="Y199" s="259">
        <f t="shared" si="154"/>
        <v>-1201</v>
      </c>
      <c r="Z199" s="259">
        <f t="shared" si="154"/>
        <v>-1566</v>
      </c>
      <c r="AA199" s="267">
        <f>(VLOOKUP(A199,Hshldprojections2014!$A$2:$AW$319,40, FALSE)-VLOOKUP(A199,Hshldprojections2014!$A$2:$AW$319,30, FALSE))/10</f>
        <v>152.6</v>
      </c>
      <c r="AB199" s="267">
        <f>(VLOOKUP(A199,Hshldprojections2014!$A$2:$AW$319,41, FALSE)-VLOOKUP(A199,Hshldprojections2014!$A$2:$AW$319,31, FALSE))/10</f>
        <v>146.4</v>
      </c>
      <c r="AC199" s="267">
        <f>(VLOOKUP(A199,Hshldprojections2014!$A$2:$AW$319,42, FALSE)-VLOOKUP(A199,Hshldprojections2014!$A$2:$AW$319,32, FALSE))/10</f>
        <v>142.19999999999999</v>
      </c>
      <c r="AD199" s="267">
        <f>IF(IndividualLATest!$J$7=2014,(VLOOKUP($A199,Hshldprojections2014!$A$2:$AY$326,43,FALSE)-VLOOKUP($A199,Hshldprojections2014!$A$2:$AY$326,33,FALSE))/10,IF(IndividualLATest!$J$7=2016,(VLOOKUP($A199,Hshldprojections2016!$A$1:$AQ$322,33,FALSE)-VLOOKUP($A199,Hshldprojections2016!$A$1:$AQ$322,23,FALSE))/10,(VLOOKUP($A199,Hshldprojections2018!$A$1:$AQ$327,33,FALSE)-VLOOKUP($A199,Hshldprojections2018!$A$1:$AQ$327,23,FALSE))/10))</f>
        <v>187.5</v>
      </c>
      <c r="AE199" s="267">
        <f>IF(IndividualLATest!$J$7=2014,(VLOOKUP($A199,Hshldprojections2014!$A$2:$AY$326,44,FALSE)-VLOOKUP($A199,Hshldprojections2014!$A$2:$AY$326,34,FALSE))/10,IF(IndividualLATest!$J$7=2016,(VLOOKUP($A199,Hshldprojections2016!$A$1:$AQ$322,34,FALSE)-VLOOKUP($A199,Hshldprojections2016!$A$1:$AQ$322,24,FALSE))/10,(VLOOKUP($A199,Hshldprojections2018!$A$1:$AQ$327,34,FALSE)-VLOOKUP($A199,Hshldprojections2018!$A$1:$AQ$327,24,FALSE))/10))</f>
        <v>180.8</v>
      </c>
      <c r="AF199" s="267">
        <f>IF(IndividualLATest!$J$7=2014,(VLOOKUP($A199,Hshldprojections2014!$A$2:$AY$326,45,FALSE)-VLOOKUP($A199,Hshldprojections2014!$A$2:$AY$326,35,FALSE))/10,IF(IndividualLATest!$J$7=2016,(VLOOKUP($A199,Hshldprojections2016!$A$1:$AQ$322,35,FALSE)-VLOOKUP($A199,Hshldprojections2016!$A$1:$AQ$322,25,FALSE))/10,(VLOOKUP($A199,Hshldprojections2018!$A$1:$AQ$327,35,FALSE)-VLOOKUP($A199,Hshldprojections2018!$A$1:$AQ$327,25,FALSE))/10))</f>
        <v>178.1</v>
      </c>
      <c r="AG199" s="267">
        <f>IF(IndividualLATest!$J$7=2014,(VLOOKUP($A199,Hshldprojections2014!$A$2:$AY$326,46,FALSE)-VLOOKUP($A199,Hshldprojections2014!$A$2:$AY$326,36,FALSE))/10,IF(IndividualLATest!$J$7=2016,(VLOOKUP($A199,Hshldprojections2016!$A$1:$AQ$322,36,FALSE)-VLOOKUP($A199,Hshldprojections2016!$A$1:$AQ$322,26,FALSE))/10,(VLOOKUP($A199,Hshldprojections2018!$A$1:$AQ$327,36,FALSE)-VLOOKUP($A199,Hshldprojections2018!$A$1:$AQ$327,26,FALSE))/10))</f>
        <v>172.3</v>
      </c>
      <c r="AH199" s="267">
        <f>IF(IndividualLATest!$J$7=2014,(VLOOKUP($A199,Hshldprojections2014!$A$2:$AY$326,47,FALSE)-VLOOKUP($A199,Hshldprojections2014!$A$2:$AY$326,37,FALSE))/10,IF(IndividualLATest!$J$7=2016,(VLOOKUP($A199,Hshldprojections2016!$A$1:$AQ$322,37,FALSE)-VLOOKUP($A199,Hshldprojections2016!$A$1:$AQ$322,27,FALSE))/10,(VLOOKUP($A199,Hshldprojections2018!$A$1:$AQ$327,37,FALSE)-VLOOKUP($A199,Hshldprojections2018!$A$1:$AQ$327,27,FALSE))/10))</f>
        <v>169.5</v>
      </c>
      <c r="AI199" s="268">
        <f>IF(ISNUMBER('Sensitivity Tests'!$C$30),'Sensitivity Tests'!$C$30,VLOOKUP($A199,AffordabilityRatio!$A$2:$I$321,5,FALSE))</f>
        <v>4.04</v>
      </c>
      <c r="AJ199" s="268">
        <f>IF(ISNUMBER('Sensitivity Tests'!$C$30),'Sensitivity Tests'!$C$30,VLOOKUP($A199,AffordabilityRatio!$A$2:$I$321,6,FALSE))</f>
        <v>3.66</v>
      </c>
      <c r="AK199" s="268">
        <f>IF(ISNUMBER('Sensitivity Tests'!$C$30),'Sensitivity Tests'!$C$30,VLOOKUP($A199,AffordabilityRatio!$A$2:$I$321,7,FALSE))</f>
        <v>4.41</v>
      </c>
      <c r="AL199" s="268">
        <f>IF(ISNUMBER('Sensitivity Tests'!$C$30),'Sensitivity Tests'!$C$30,IF((VLOOKUP($A199,AffordabilityRatio!$A$2:$I$321,8,FALSE))="",AK199,VLOOKUP($A199,AffordabilityRatio!$A$2:$I$321,8,FALSE)))</f>
        <v>4.97</v>
      </c>
      <c r="AM199" s="268">
        <f>IF(ISNUMBER('Sensitivity Tests'!$C$30),'Sensitivity Tests'!$C$30,IF((VLOOKUP($A199,AffordabilityRatio!$A$2:$I$321,9,FALSE))="",AL199,VLOOKUP($A199,AffordabilityRatio!$A$2:$I$321,9,FALSE)))</f>
        <v>5.34</v>
      </c>
      <c r="AN199" s="268">
        <f>IF(ISNUMBER('Sensitivity Tests'!$C$30),'Sensitivity Tests'!$C$30,IF((VLOOKUP($A199,AffordabilityRatio!$A$2:$I$321,9,FALSE))="",AM199,VLOOKUP($A199,AffordabilityRatio!$A$2:$I$321,9,FALSE)))</f>
        <v>5.34</v>
      </c>
      <c r="AO199" s="268">
        <f>IF(ISNUMBER('Sensitivity Tests'!$C$30),'Sensitivity Tests'!$C$30,IF((VLOOKUP($A199,AffordabilityRatio!$A$2:$I$321,9,FALSE))="",AN199,VLOOKUP($A199,AffordabilityRatio!$A$2:$I$321,9,FALSE)))</f>
        <v>5.34</v>
      </c>
      <c r="AP199" s="268">
        <f>IF(ISNUMBER('Sensitivity Tests'!$C$30),'Sensitivity Tests'!$C$30,IF((VLOOKUP($A199,AffordabilityRatio!$A$2:$I$321,9,FALSE))="",AO199,VLOOKUP($A199,AffordabilityRatio!$A$2:$I$321,9,FALSE)))</f>
        <v>5.34</v>
      </c>
      <c r="AQ199" s="267">
        <f t="shared" si="152"/>
        <v>153</v>
      </c>
      <c r="AR199" s="267">
        <f t="shared" si="152"/>
        <v>146.4</v>
      </c>
      <c r="AS199" s="267">
        <f t="shared" si="152"/>
        <v>146</v>
      </c>
      <c r="AT199" s="267">
        <f t="shared" si="152"/>
        <v>199</v>
      </c>
      <c r="AU199" s="267">
        <f t="shared" si="152"/>
        <v>196</v>
      </c>
      <c r="AV199" s="267">
        <f t="shared" si="151"/>
        <v>193</v>
      </c>
      <c r="AW199" s="267">
        <f t="shared" si="151"/>
        <v>187</v>
      </c>
      <c r="AX199" s="267">
        <f t="shared" si="151"/>
        <v>184</v>
      </c>
      <c r="AY199" s="267">
        <f t="shared" si="171"/>
        <v>153</v>
      </c>
      <c r="AZ199" s="267">
        <f t="shared" si="172"/>
        <v>146.4</v>
      </c>
      <c r="BA199" s="267">
        <f t="shared" si="173"/>
        <v>146</v>
      </c>
      <c r="BB199" s="267">
        <f t="shared" si="174"/>
        <v>199</v>
      </c>
      <c r="BC199" s="267">
        <f t="shared" si="175"/>
        <v>196</v>
      </c>
      <c r="BD199" s="267">
        <f t="shared" si="176"/>
        <v>193</v>
      </c>
      <c r="BE199" s="267">
        <f t="shared" si="177"/>
        <v>187</v>
      </c>
      <c r="BF199" s="267">
        <f t="shared" si="178"/>
        <v>184</v>
      </c>
      <c r="BG199" s="269">
        <f>AY199*VLOOKUP($B199,'Major Cities &amp; Towns'!$A$28:$B$345,2,FALSE)</f>
        <v>153</v>
      </c>
      <c r="BH199" s="269">
        <f>AZ199*VLOOKUP($B199,'Major Cities &amp; Towns'!$A$28:$B$345,2,FALSE)</f>
        <v>146.4</v>
      </c>
      <c r="BI199" s="269">
        <f>BA199*VLOOKUP($B199,'Major Cities &amp; Towns'!$A$28:$B$345,2,FALSE)</f>
        <v>146</v>
      </c>
      <c r="BJ199" s="269">
        <f>BB199*VLOOKUP($B199,'Major Cities &amp; Towns'!$A$28:$B$345,2,FALSE)</f>
        <v>199</v>
      </c>
      <c r="BK199" s="269">
        <f>BC199*VLOOKUP($B199,'Major Cities &amp; Towns'!$A$28:$B$345,2,FALSE)</f>
        <v>196</v>
      </c>
      <c r="BL199" s="269">
        <f>BD199*VLOOKUP($B199,'Major Cities &amp; Towns'!$A$28:$B$345,2,FALSE)</f>
        <v>193</v>
      </c>
      <c r="BM199" s="269">
        <f>BE199*VLOOKUP($B199,'Major Cities &amp; Towns'!$A$28:$B$345,2,FALSE)</f>
        <v>187</v>
      </c>
      <c r="BN199" s="269">
        <f>BF199*VLOOKUP($B199,'Major Cities &amp; Towns'!$A$28:$B$345,2,FALSE)</f>
        <v>184</v>
      </c>
      <c r="BO199" s="270">
        <f t="shared" si="179"/>
        <v>153</v>
      </c>
      <c r="BP199" s="270">
        <f t="shared" si="147"/>
        <v>146.4</v>
      </c>
      <c r="BQ199" s="270">
        <f t="shared" si="147"/>
        <v>146</v>
      </c>
      <c r="BR199" s="270">
        <f t="shared" si="147"/>
        <v>199</v>
      </c>
      <c r="BS199" s="270">
        <f t="shared" si="146"/>
        <v>196</v>
      </c>
      <c r="BT199" s="270">
        <f t="shared" si="146"/>
        <v>193</v>
      </c>
      <c r="BU199" s="270">
        <f t="shared" si="146"/>
        <v>187</v>
      </c>
      <c r="BV199" s="270">
        <f t="shared" si="146"/>
        <v>184</v>
      </c>
      <c r="BW199" s="39">
        <f>VLOOKUP($A199,NetAdditions!$A$2:$H$336,6,FALSE)</f>
        <v>314</v>
      </c>
      <c r="BX199" s="39">
        <f>VLOOKUP($A199,NetAdditions!$A$2:$H$336,7,FALSE)</f>
        <v>208</v>
      </c>
      <c r="BY199" s="39">
        <f>IF((VLOOKUP($C199,NetAdditions!$A$2:$H$336,8,FALSE))="",(AVERAGE(VLOOKUP($C199,NetAdditions!$A$2:$H$336,5,FALSE),VLOOKUP($C199,NetAdditions!$A$2:$H$336,6,FALSE),VLOOKUP($C199,NetAdditions!$A$2:$H$336,7,FALSE))),VLOOKUP($C199,NetAdditions!$A$2:$H$336,8,FALSE))</f>
        <v>342</v>
      </c>
      <c r="BZ199" s="39">
        <f t="shared" si="150"/>
        <v>288</v>
      </c>
      <c r="CA199" s="39">
        <f t="shared" si="150"/>
        <v>279.33333333333331</v>
      </c>
      <c r="CB199" s="39">
        <f t="shared" si="150"/>
        <v>303.11111111111109</v>
      </c>
      <c r="CC199" s="39">
        <f t="shared" si="150"/>
        <v>290.1481481481481</v>
      </c>
      <c r="CD199" s="39">
        <f t="shared" si="150"/>
        <v>290.86419753086415</v>
      </c>
      <c r="CE199" s="276">
        <f t="shared" si="155"/>
        <v>445.4</v>
      </c>
      <c r="CF199" s="276">
        <f t="shared" si="156"/>
        <v>491.4</v>
      </c>
      <c r="CG199" s="276">
        <f t="shared" si="157"/>
        <v>541</v>
      </c>
      <c r="CH199" s="276">
        <f t="shared" si="158"/>
        <v>588</v>
      </c>
      <c r="CI199" s="276">
        <f t="shared" si="159"/>
        <v>576</v>
      </c>
      <c r="CJ199" s="276">
        <f t="shared" si="160"/>
        <v>564</v>
      </c>
      <c r="CK199" s="276">
        <f t="shared" si="180"/>
        <v>383.53888888888889</v>
      </c>
      <c r="CL199" s="276">
        <f t="shared" si="181"/>
        <v>423.15</v>
      </c>
      <c r="CM199" s="276">
        <f t="shared" si="182"/>
        <v>495.91666666666663</v>
      </c>
      <c r="CN199" s="276">
        <f t="shared" si="183"/>
        <v>588</v>
      </c>
      <c r="CO199" s="276">
        <f t="shared" si="183"/>
        <v>576</v>
      </c>
      <c r="CP199" s="276">
        <f t="shared" si="183"/>
        <v>564</v>
      </c>
      <c r="CQ199" s="39">
        <f t="shared" si="161"/>
        <v>864</v>
      </c>
      <c r="CR199" s="39">
        <f t="shared" si="162"/>
        <v>838</v>
      </c>
      <c r="CS199" s="277">
        <f t="shared" si="163"/>
        <v>909.33333333333326</v>
      </c>
      <c r="CT199" s="39">
        <f t="shared" si="164"/>
        <v>870.44444444444434</v>
      </c>
      <c r="CU199" s="39">
        <f t="shared" si="165"/>
        <v>872.59259259259238</v>
      </c>
      <c r="CV199" s="39">
        <f t="shared" si="166"/>
        <v>884.12345679012333</v>
      </c>
      <c r="CW199" s="297">
        <f t="shared" si="167"/>
        <v>2.2527050711937076</v>
      </c>
      <c r="CX199" s="279" t="str">
        <f t="shared" si="184"/>
        <v>Pass</v>
      </c>
      <c r="CY199" s="278">
        <f t="shared" si="168"/>
        <v>1.9803852061916578</v>
      </c>
      <c r="CZ199" s="279" t="str">
        <f t="shared" si="185"/>
        <v>Pass</v>
      </c>
      <c r="DA199" s="278">
        <f t="shared" si="169"/>
        <v>1.8336414048059149</v>
      </c>
      <c r="DB199" s="292" t="str">
        <f t="shared" si="186"/>
        <v>Pass</v>
      </c>
      <c r="DC199" s="299">
        <f t="shared" si="187"/>
        <v>1.4803476946334087</v>
      </c>
      <c r="DD199" s="293" t="str">
        <f t="shared" si="188"/>
        <v>Pass</v>
      </c>
      <c r="DE199" s="299">
        <f t="shared" si="189"/>
        <v>1.5149176954732506</v>
      </c>
      <c r="DF199" s="293" t="str">
        <f t="shared" si="190"/>
        <v>Pass</v>
      </c>
      <c r="DG199" s="299">
        <f t="shared" si="191"/>
        <v>1.5675947815427718</v>
      </c>
      <c r="DH199" s="293" t="str">
        <f t="shared" si="192"/>
        <v>Pass</v>
      </c>
    </row>
    <row r="200" spans="1:112" ht="15" thickTop="1" thickBot="1">
      <c r="A200" s="38" t="s">
        <v>510</v>
      </c>
      <c r="B200" s="38" t="s">
        <v>511</v>
      </c>
      <c r="C200" s="38" t="s">
        <v>510</v>
      </c>
      <c r="D200" s="38" t="s">
        <v>128</v>
      </c>
      <c r="E200" s="38" t="str">
        <f>VLOOKUP(C200,PoliticalControl!A:K,11,FALSE)</f>
        <v>NOC</v>
      </c>
      <c r="F200" s="38" t="str">
        <f>VLOOKUP(C200,UrbanRuralClassification!A:N,13,FALSE)</f>
        <v>Urban with City and Town</v>
      </c>
      <c r="G200" s="38" t="str">
        <f>VLOOKUP(C200,UrbanRuralClassification!A:N,14,FALSE)</f>
        <v>Predominantly Urban</v>
      </c>
      <c r="H200" s="258">
        <f>IF(ISBLANK((VLOOKUP($A200,'local-plan-data'!$C$1:$AD$566,27,FALSE)))=TRUE,"",VLOOKUP($A200,'local-plan-data'!$C$1:$AD$566,27,FALSE))</f>
        <v>43670</v>
      </c>
      <c r="I200" s="259">
        <f>VLOOKUP($A200,'local-plan-data'!$C$1:$AD$566,28,FALSE)</f>
        <v>972</v>
      </c>
      <c r="J200" s="260">
        <f t="shared" si="170"/>
        <v>972</v>
      </c>
      <c r="K200" s="259">
        <f t="shared" si="144"/>
        <v>972</v>
      </c>
      <c r="L200" s="259">
        <f t="shared" si="153"/>
        <v>972</v>
      </c>
      <c r="M200" s="259">
        <f t="shared" si="153"/>
        <v>972</v>
      </c>
      <c r="N200" s="259">
        <f t="shared" si="153"/>
        <v>972</v>
      </c>
      <c r="O200" s="259">
        <f t="shared" si="153"/>
        <v>972</v>
      </c>
      <c r="P200" s="259">
        <f t="shared" si="153"/>
        <v>972</v>
      </c>
      <c r="Q200" s="259">
        <f t="shared" si="153"/>
        <v>972</v>
      </c>
      <c r="R200" s="259" t="str">
        <f t="shared" si="153"/>
        <v>-</v>
      </c>
      <c r="S200" s="259">
        <f t="shared" si="145"/>
        <v>2306</v>
      </c>
      <c r="T200" s="259">
        <f t="shared" si="154"/>
        <v>1941</v>
      </c>
      <c r="U200" s="259">
        <f t="shared" si="154"/>
        <v>1575</v>
      </c>
      <c r="V200" s="259">
        <f t="shared" si="154"/>
        <v>1210</v>
      </c>
      <c r="W200" s="259">
        <f t="shared" si="154"/>
        <v>845</v>
      </c>
      <c r="X200" s="259">
        <f t="shared" si="154"/>
        <v>480</v>
      </c>
      <c r="Y200" s="259">
        <f t="shared" si="154"/>
        <v>114</v>
      </c>
      <c r="Z200" s="259">
        <f t="shared" si="154"/>
        <v>-251</v>
      </c>
      <c r="AA200" s="267">
        <f>(VLOOKUP(A200,Hshldprojections2014!$A$2:$AW$319,40, FALSE)-VLOOKUP(A200,Hshldprojections2014!$A$2:$AW$319,30, FALSE))/10</f>
        <v>810.2</v>
      </c>
      <c r="AB200" s="267">
        <f>(VLOOKUP(A200,Hshldprojections2014!$A$2:$AW$319,41, FALSE)-VLOOKUP(A200,Hshldprojections2014!$A$2:$AW$319,31, FALSE))/10</f>
        <v>798.1</v>
      </c>
      <c r="AC200" s="267">
        <f>(VLOOKUP(A200,Hshldprojections2014!$A$2:$AW$319,42, FALSE)-VLOOKUP(A200,Hshldprojections2014!$A$2:$AW$319,32, FALSE))/10</f>
        <v>790.1</v>
      </c>
      <c r="AD200" s="267">
        <f>IF(IndividualLATest!$J$7=2014,(VLOOKUP($A200,Hshldprojections2014!$A$2:$AY$326,43,FALSE)-VLOOKUP($A200,Hshldprojections2014!$A$2:$AY$326,33,FALSE))/10,IF(IndividualLATest!$J$7=2016,(VLOOKUP($A200,Hshldprojections2016!$A$1:$AQ$322,33,FALSE)-VLOOKUP($A200,Hshldprojections2016!$A$1:$AQ$322,23,FALSE))/10,(VLOOKUP($A200,Hshldprojections2018!$A$1:$AQ$327,33,FALSE)-VLOOKUP($A200,Hshldprojections2018!$A$1:$AQ$327,23,FALSE))/10))</f>
        <v>832.3</v>
      </c>
      <c r="AE200" s="267">
        <f>IF(IndividualLATest!$J$7=2014,(VLOOKUP($A200,Hshldprojections2014!$A$2:$AY$326,44,FALSE)-VLOOKUP($A200,Hshldprojections2014!$A$2:$AY$326,34,FALSE))/10,IF(IndividualLATest!$J$7=2016,(VLOOKUP($A200,Hshldprojections2016!$A$1:$AQ$322,34,FALSE)-VLOOKUP($A200,Hshldprojections2016!$A$1:$AQ$322,24,FALSE))/10,(VLOOKUP($A200,Hshldprojections2018!$A$1:$AQ$327,34,FALSE)-VLOOKUP($A200,Hshldprojections2018!$A$1:$AQ$327,24,FALSE))/10))</f>
        <v>813.6</v>
      </c>
      <c r="AF200" s="267">
        <f>IF(IndividualLATest!$J$7=2014,(VLOOKUP($A200,Hshldprojections2014!$A$2:$AY$326,45,FALSE)-VLOOKUP($A200,Hshldprojections2014!$A$2:$AY$326,35,FALSE))/10,IF(IndividualLATest!$J$7=2016,(VLOOKUP($A200,Hshldprojections2016!$A$1:$AQ$322,35,FALSE)-VLOOKUP($A200,Hshldprojections2016!$A$1:$AQ$322,25,FALSE))/10,(VLOOKUP($A200,Hshldprojections2018!$A$1:$AQ$327,35,FALSE)-VLOOKUP($A200,Hshldprojections2018!$A$1:$AQ$327,25,FALSE))/10))</f>
        <v>798.3</v>
      </c>
      <c r="AG200" s="267">
        <f>IF(IndividualLATest!$J$7=2014,(VLOOKUP($A200,Hshldprojections2014!$A$2:$AY$326,46,FALSE)-VLOOKUP($A200,Hshldprojections2014!$A$2:$AY$326,36,FALSE))/10,IF(IndividualLATest!$J$7=2016,(VLOOKUP($A200,Hshldprojections2016!$A$1:$AQ$322,36,FALSE)-VLOOKUP($A200,Hshldprojections2016!$A$1:$AQ$322,26,FALSE))/10,(VLOOKUP($A200,Hshldprojections2018!$A$1:$AQ$327,36,FALSE)-VLOOKUP($A200,Hshldprojections2018!$A$1:$AQ$327,26,FALSE))/10))</f>
        <v>784.7</v>
      </c>
      <c r="AH200" s="267">
        <f>IF(IndividualLATest!$J$7=2014,(VLOOKUP($A200,Hshldprojections2014!$A$2:$AY$326,47,FALSE)-VLOOKUP($A200,Hshldprojections2014!$A$2:$AY$326,37,FALSE))/10,IF(IndividualLATest!$J$7=2016,(VLOOKUP($A200,Hshldprojections2016!$A$1:$AQ$322,37,FALSE)-VLOOKUP($A200,Hshldprojections2016!$A$1:$AQ$322,27,FALSE))/10,(VLOOKUP($A200,Hshldprojections2018!$A$1:$AQ$327,37,FALSE)-VLOOKUP($A200,Hshldprojections2018!$A$1:$AQ$327,27,FALSE))/10))</f>
        <v>771.8</v>
      </c>
      <c r="AI200" s="268">
        <f>IF(ISNUMBER('Sensitivity Tests'!$C$30),'Sensitivity Tests'!$C$30,VLOOKUP($A200,AffordabilityRatio!$A$2:$I$321,5,FALSE))</f>
        <v>6.67</v>
      </c>
      <c r="AJ200" s="268">
        <f>IF(ISNUMBER('Sensitivity Tests'!$C$30),'Sensitivity Tests'!$C$30,VLOOKUP($A200,AffordabilityRatio!$A$2:$I$321,6,FALSE))</f>
        <v>6.82</v>
      </c>
      <c r="AK200" s="268">
        <f>IF(ISNUMBER('Sensitivity Tests'!$C$30),'Sensitivity Tests'!$C$30,VLOOKUP($A200,AffordabilityRatio!$A$2:$I$321,7,FALSE))</f>
        <v>6.78</v>
      </c>
      <c r="AL200" s="268">
        <f>IF(ISNUMBER('Sensitivity Tests'!$C$30),'Sensitivity Tests'!$C$30,IF((VLOOKUP($A200,AffordabilityRatio!$A$2:$I$321,8,FALSE))="",AK200,VLOOKUP($A200,AffordabilityRatio!$A$2:$I$321,8,FALSE)))</f>
        <v>7.03</v>
      </c>
      <c r="AM200" s="268">
        <f>IF(ISNUMBER('Sensitivity Tests'!$C$30),'Sensitivity Tests'!$C$30,IF((VLOOKUP($A200,AffordabilityRatio!$A$2:$I$321,9,FALSE))="",AL200,VLOOKUP($A200,AffordabilityRatio!$A$2:$I$321,9,FALSE)))</f>
        <v>7.34</v>
      </c>
      <c r="AN200" s="268">
        <f>IF(ISNUMBER('Sensitivity Tests'!$C$30),'Sensitivity Tests'!$C$30,IF((VLOOKUP($A200,AffordabilityRatio!$A$2:$I$321,9,FALSE))="",AM200,VLOOKUP($A200,AffordabilityRatio!$A$2:$I$321,9,FALSE)))</f>
        <v>7.34</v>
      </c>
      <c r="AO200" s="268">
        <f>IF(ISNUMBER('Sensitivity Tests'!$C$30),'Sensitivity Tests'!$C$30,IF((VLOOKUP($A200,AffordabilityRatio!$A$2:$I$321,9,FALSE))="",AN200,VLOOKUP($A200,AffordabilityRatio!$A$2:$I$321,9,FALSE)))</f>
        <v>7.34</v>
      </c>
      <c r="AP200" s="268">
        <f>IF(ISNUMBER('Sensitivity Tests'!$C$30),'Sensitivity Tests'!$C$30,IF((VLOOKUP($A200,AffordabilityRatio!$A$2:$I$321,9,FALSE))="",AO200,VLOOKUP($A200,AffordabilityRatio!$A$2:$I$321,9,FALSE)))</f>
        <v>7.34</v>
      </c>
      <c r="AQ200" s="267">
        <f t="shared" si="152"/>
        <v>945</v>
      </c>
      <c r="AR200" s="267">
        <f t="shared" si="152"/>
        <v>939</v>
      </c>
      <c r="AS200" s="267">
        <f t="shared" si="152"/>
        <v>927</v>
      </c>
      <c r="AT200" s="267">
        <f t="shared" si="152"/>
        <v>990</v>
      </c>
      <c r="AU200" s="267">
        <f t="shared" si="152"/>
        <v>983</v>
      </c>
      <c r="AV200" s="267">
        <f t="shared" si="151"/>
        <v>965</v>
      </c>
      <c r="AW200" s="267">
        <f t="shared" si="151"/>
        <v>949</v>
      </c>
      <c r="AX200" s="267">
        <f t="shared" si="151"/>
        <v>933</v>
      </c>
      <c r="AY200" s="267">
        <f t="shared" si="171"/>
        <v>945</v>
      </c>
      <c r="AZ200" s="267">
        <f t="shared" si="172"/>
        <v>939</v>
      </c>
      <c r="BA200" s="267">
        <f t="shared" si="173"/>
        <v>927</v>
      </c>
      <c r="BB200" s="267">
        <f t="shared" si="174"/>
        <v>990</v>
      </c>
      <c r="BC200" s="267">
        <f t="shared" si="175"/>
        <v>983</v>
      </c>
      <c r="BD200" s="267">
        <f t="shared" si="176"/>
        <v>965</v>
      </c>
      <c r="BE200" s="267">
        <f t="shared" si="177"/>
        <v>949</v>
      </c>
      <c r="BF200" s="267">
        <f t="shared" si="178"/>
        <v>933</v>
      </c>
      <c r="BG200" s="269">
        <f>AY200*VLOOKUP($B200,'Major Cities &amp; Towns'!$A$28:$B$345,2,FALSE)</f>
        <v>945</v>
      </c>
      <c r="BH200" s="269">
        <f>AZ200*VLOOKUP($B200,'Major Cities &amp; Towns'!$A$28:$B$345,2,FALSE)</f>
        <v>939</v>
      </c>
      <c r="BI200" s="269">
        <f>BA200*VLOOKUP($B200,'Major Cities &amp; Towns'!$A$28:$B$345,2,FALSE)</f>
        <v>927</v>
      </c>
      <c r="BJ200" s="269">
        <f>BB200*VLOOKUP($B200,'Major Cities &amp; Towns'!$A$28:$B$345,2,FALSE)</f>
        <v>990</v>
      </c>
      <c r="BK200" s="269">
        <f>BC200*VLOOKUP($B200,'Major Cities &amp; Towns'!$A$28:$B$345,2,FALSE)</f>
        <v>983</v>
      </c>
      <c r="BL200" s="269">
        <f>BD200*VLOOKUP($B200,'Major Cities &amp; Towns'!$A$28:$B$345,2,FALSE)</f>
        <v>965</v>
      </c>
      <c r="BM200" s="269">
        <f>BE200*VLOOKUP($B200,'Major Cities &amp; Towns'!$A$28:$B$345,2,FALSE)</f>
        <v>949</v>
      </c>
      <c r="BN200" s="269">
        <f>BF200*VLOOKUP($B200,'Major Cities &amp; Towns'!$A$28:$B$345,2,FALSE)</f>
        <v>933</v>
      </c>
      <c r="BO200" s="270">
        <f t="shared" si="179"/>
        <v>945</v>
      </c>
      <c r="BP200" s="270">
        <f t="shared" si="147"/>
        <v>939</v>
      </c>
      <c r="BQ200" s="270">
        <f t="shared" si="147"/>
        <v>927</v>
      </c>
      <c r="BR200" s="270">
        <f t="shared" si="147"/>
        <v>972</v>
      </c>
      <c r="BS200" s="270">
        <f t="shared" si="146"/>
        <v>972</v>
      </c>
      <c r="BT200" s="270">
        <f t="shared" si="146"/>
        <v>965</v>
      </c>
      <c r="BU200" s="270">
        <f t="shared" si="146"/>
        <v>948.99999999999989</v>
      </c>
      <c r="BV200" s="270">
        <f t="shared" si="146"/>
        <v>933</v>
      </c>
      <c r="BW200" s="39">
        <f>VLOOKUP($A200,NetAdditions!$A$2:$H$336,6,FALSE)</f>
        <v>1104</v>
      </c>
      <c r="BX200" s="39">
        <f>VLOOKUP($A200,NetAdditions!$A$2:$H$336,7,FALSE)</f>
        <v>1133</v>
      </c>
      <c r="BY200" s="39">
        <f>IF((VLOOKUP($C200,NetAdditions!$A$2:$H$336,8,FALSE))="",(AVERAGE(VLOOKUP($C200,NetAdditions!$A$2:$H$336,5,FALSE),VLOOKUP($C200,NetAdditions!$A$2:$H$336,6,FALSE),VLOOKUP($C200,NetAdditions!$A$2:$H$336,7,FALSE))),VLOOKUP($C200,NetAdditions!$A$2:$H$336,8,FALSE))</f>
        <v>1247</v>
      </c>
      <c r="BZ200" s="39">
        <f t="shared" si="150"/>
        <v>1161.3333333333333</v>
      </c>
      <c r="CA200" s="39">
        <f t="shared" si="150"/>
        <v>1180.4444444444443</v>
      </c>
      <c r="CB200" s="39">
        <f t="shared" si="150"/>
        <v>1196.2592592592591</v>
      </c>
      <c r="CC200" s="39">
        <f t="shared" si="150"/>
        <v>1179.3456790123455</v>
      </c>
      <c r="CD200" s="39">
        <f t="shared" si="150"/>
        <v>1185.349794238683</v>
      </c>
      <c r="CE200" s="276">
        <f t="shared" si="155"/>
        <v>2811</v>
      </c>
      <c r="CF200" s="276">
        <f t="shared" si="156"/>
        <v>2838</v>
      </c>
      <c r="CG200" s="276">
        <f t="shared" si="157"/>
        <v>2871</v>
      </c>
      <c r="CH200" s="276">
        <f t="shared" si="158"/>
        <v>2909</v>
      </c>
      <c r="CI200" s="276">
        <f t="shared" si="159"/>
        <v>2886</v>
      </c>
      <c r="CJ200" s="276">
        <f t="shared" si="160"/>
        <v>2847</v>
      </c>
      <c r="CK200" s="276">
        <f t="shared" si="180"/>
        <v>2420.5833333333335</v>
      </c>
      <c r="CL200" s="276">
        <f t="shared" si="181"/>
        <v>2443.8333333333335</v>
      </c>
      <c r="CM200" s="276">
        <f t="shared" si="182"/>
        <v>2631.75</v>
      </c>
      <c r="CN200" s="276">
        <f t="shared" si="183"/>
        <v>2909</v>
      </c>
      <c r="CO200" s="276">
        <f t="shared" si="183"/>
        <v>2886</v>
      </c>
      <c r="CP200" s="276">
        <f t="shared" si="183"/>
        <v>2847</v>
      </c>
      <c r="CQ200" s="39">
        <f t="shared" si="161"/>
        <v>3484</v>
      </c>
      <c r="CR200" s="39">
        <f t="shared" si="162"/>
        <v>3541.333333333333</v>
      </c>
      <c r="CS200" s="277">
        <f t="shared" si="163"/>
        <v>3588.7777777777774</v>
      </c>
      <c r="CT200" s="39">
        <f t="shared" si="164"/>
        <v>3538.0370370370365</v>
      </c>
      <c r="CU200" s="39">
        <f t="shared" si="165"/>
        <v>3556.049382716049</v>
      </c>
      <c r="CV200" s="39">
        <f t="shared" si="166"/>
        <v>3560.9547325102876</v>
      </c>
      <c r="CW200" s="297">
        <f t="shared" si="167"/>
        <v>1.4393224773642717</v>
      </c>
      <c r="CX200" s="279" t="str">
        <f t="shared" si="184"/>
        <v>Pass</v>
      </c>
      <c r="CY200" s="278">
        <f t="shared" si="168"/>
        <v>1.4490895451135508</v>
      </c>
      <c r="CZ200" s="279" t="str">
        <f t="shared" si="185"/>
        <v>Pass</v>
      </c>
      <c r="DA200" s="278">
        <f t="shared" si="169"/>
        <v>1.3636469185058526</v>
      </c>
      <c r="DB200" s="292" t="str">
        <f t="shared" si="186"/>
        <v>Pass</v>
      </c>
      <c r="DC200" s="299">
        <f t="shared" si="187"/>
        <v>1.2162382389264477</v>
      </c>
      <c r="DD200" s="293" t="str">
        <f t="shared" si="188"/>
        <v>Pass</v>
      </c>
      <c r="DE200" s="299">
        <f t="shared" si="189"/>
        <v>1.2321723432834542</v>
      </c>
      <c r="DF200" s="293" t="str">
        <f t="shared" si="190"/>
        <v>Pass</v>
      </c>
      <c r="DG200" s="299">
        <f t="shared" si="191"/>
        <v>1.2507744055181902</v>
      </c>
      <c r="DH200" s="293" t="str">
        <f t="shared" si="192"/>
        <v>Pass</v>
      </c>
    </row>
    <row r="201" spans="1:112" ht="15" thickTop="1" thickBot="1">
      <c r="A201" s="38" t="s">
        <v>512</v>
      </c>
      <c r="B201" s="38" t="s">
        <v>513</v>
      </c>
      <c r="C201" s="38" t="s">
        <v>512</v>
      </c>
      <c r="D201" s="38" t="s">
        <v>147</v>
      </c>
      <c r="E201" s="38" t="str">
        <f>VLOOKUP(C201,PoliticalControl!A:K,11,FALSE)</f>
        <v>NOC</v>
      </c>
      <c r="F201" s="38" t="str">
        <f>VLOOKUP(C201,UrbanRuralClassification!A:N,13,FALSE)</f>
        <v>Urban with City and Town</v>
      </c>
      <c r="G201" s="38" t="str">
        <f>VLOOKUP(C201,UrbanRuralClassification!A:N,14,FALSE)</f>
        <v>Predominantly Urban</v>
      </c>
      <c r="H201" s="258">
        <f>IF(ISBLANK((VLOOKUP($A201,'local-plan-data'!$C$1:$AD$566,27,FALSE)))=TRUE,"",VLOOKUP($A201,'local-plan-data'!$C$1:$AD$566,27,FALSE))</f>
        <v>43550</v>
      </c>
      <c r="I201" s="259">
        <f>VLOOKUP($A201,'local-plan-data'!$C$1:$AD$566,28,FALSE)</f>
        <v>1335</v>
      </c>
      <c r="J201" s="260">
        <f t="shared" si="170"/>
        <v>1335</v>
      </c>
      <c r="K201" s="259">
        <f t="shared" si="144"/>
        <v>1335</v>
      </c>
      <c r="L201" s="259">
        <f t="shared" si="153"/>
        <v>1335</v>
      </c>
      <c r="M201" s="259">
        <f t="shared" si="153"/>
        <v>1335</v>
      </c>
      <c r="N201" s="259">
        <f t="shared" si="153"/>
        <v>1335</v>
      </c>
      <c r="O201" s="259">
        <f t="shared" si="153"/>
        <v>1335</v>
      </c>
      <c r="P201" s="259">
        <f t="shared" si="153"/>
        <v>1335</v>
      </c>
      <c r="Q201" s="259" t="str">
        <f t="shared" si="153"/>
        <v>-</v>
      </c>
      <c r="R201" s="259" t="str">
        <f t="shared" si="153"/>
        <v>-</v>
      </c>
      <c r="S201" s="259">
        <f t="shared" si="145"/>
        <v>2186</v>
      </c>
      <c r="T201" s="259">
        <f t="shared" si="154"/>
        <v>1821</v>
      </c>
      <c r="U201" s="259">
        <f t="shared" si="154"/>
        <v>1455</v>
      </c>
      <c r="V201" s="259">
        <f t="shared" si="154"/>
        <v>1090</v>
      </c>
      <c r="W201" s="259">
        <f t="shared" si="154"/>
        <v>725</v>
      </c>
      <c r="X201" s="259">
        <f t="shared" si="154"/>
        <v>360</v>
      </c>
      <c r="Y201" s="259">
        <f t="shared" si="154"/>
        <v>-6</v>
      </c>
      <c r="Z201" s="259">
        <f t="shared" si="154"/>
        <v>-371</v>
      </c>
      <c r="AA201" s="267">
        <f>(VLOOKUP(A201,Hshldprojections2014!$A$2:$AW$319,40, FALSE)-VLOOKUP(A201,Hshldprojections2014!$A$2:$AW$319,30, FALSE))/10</f>
        <v>559.29999999999995</v>
      </c>
      <c r="AB201" s="267">
        <f>(VLOOKUP(A201,Hshldprojections2014!$A$2:$AW$319,41, FALSE)-VLOOKUP(A201,Hshldprojections2014!$A$2:$AW$319,31, FALSE))/10</f>
        <v>556.1</v>
      </c>
      <c r="AC201" s="267">
        <f>(VLOOKUP(A201,Hshldprojections2014!$A$2:$AW$319,42, FALSE)-VLOOKUP(A201,Hshldprojections2014!$A$2:$AW$319,32, FALSE))/10</f>
        <v>559.4</v>
      </c>
      <c r="AD201" s="267">
        <f>IF(IndividualLATest!$J$7=2014,(VLOOKUP($A201,Hshldprojections2014!$A$2:$AY$326,43,FALSE)-VLOOKUP($A201,Hshldprojections2014!$A$2:$AY$326,33,FALSE))/10,IF(IndividualLATest!$J$7=2016,(VLOOKUP($A201,Hshldprojections2016!$A$1:$AQ$322,33,FALSE)-VLOOKUP($A201,Hshldprojections2016!$A$1:$AQ$322,23,FALSE))/10,(VLOOKUP($A201,Hshldprojections2018!$A$1:$AQ$327,33,FALSE)-VLOOKUP($A201,Hshldprojections2018!$A$1:$AQ$327,23,FALSE))/10))</f>
        <v>382.6</v>
      </c>
      <c r="AE201" s="267">
        <f>IF(IndividualLATest!$J$7=2014,(VLOOKUP($A201,Hshldprojections2014!$A$2:$AY$326,44,FALSE)-VLOOKUP($A201,Hshldprojections2014!$A$2:$AY$326,34,FALSE))/10,IF(IndividualLATest!$J$7=2016,(VLOOKUP($A201,Hshldprojections2016!$A$1:$AQ$322,34,FALSE)-VLOOKUP($A201,Hshldprojections2016!$A$1:$AQ$322,24,FALSE))/10,(VLOOKUP($A201,Hshldprojections2018!$A$1:$AQ$327,34,FALSE)-VLOOKUP($A201,Hshldprojections2018!$A$1:$AQ$327,24,FALSE))/10))</f>
        <v>404.4</v>
      </c>
      <c r="AF201" s="267">
        <f>IF(IndividualLATest!$J$7=2014,(VLOOKUP($A201,Hshldprojections2014!$A$2:$AY$326,45,FALSE)-VLOOKUP($A201,Hshldprojections2014!$A$2:$AY$326,35,FALSE))/10,IF(IndividualLATest!$J$7=2016,(VLOOKUP($A201,Hshldprojections2016!$A$1:$AQ$322,35,FALSE)-VLOOKUP($A201,Hshldprojections2016!$A$1:$AQ$322,25,FALSE))/10,(VLOOKUP($A201,Hshldprojections2018!$A$1:$AQ$327,35,FALSE)-VLOOKUP($A201,Hshldprojections2018!$A$1:$AQ$327,25,FALSE))/10))</f>
        <v>416.6</v>
      </c>
      <c r="AG201" s="267">
        <f>IF(IndividualLATest!$J$7=2014,(VLOOKUP($A201,Hshldprojections2014!$A$2:$AY$326,46,FALSE)-VLOOKUP($A201,Hshldprojections2014!$A$2:$AY$326,36,FALSE))/10,IF(IndividualLATest!$J$7=2016,(VLOOKUP($A201,Hshldprojections2016!$A$1:$AQ$322,36,FALSE)-VLOOKUP($A201,Hshldprojections2016!$A$1:$AQ$322,26,FALSE))/10,(VLOOKUP($A201,Hshldprojections2018!$A$1:$AQ$327,36,FALSE)-VLOOKUP($A201,Hshldprojections2018!$A$1:$AQ$327,26,FALSE))/10))</f>
        <v>422</v>
      </c>
      <c r="AH201" s="267">
        <f>IF(IndividualLATest!$J$7=2014,(VLOOKUP($A201,Hshldprojections2014!$A$2:$AY$326,47,FALSE)-VLOOKUP($A201,Hshldprojections2014!$A$2:$AY$326,37,FALSE))/10,IF(IndividualLATest!$J$7=2016,(VLOOKUP($A201,Hshldprojections2016!$A$1:$AQ$322,37,FALSE)-VLOOKUP($A201,Hshldprojections2016!$A$1:$AQ$322,27,FALSE))/10,(VLOOKUP($A201,Hshldprojections2018!$A$1:$AQ$327,37,FALSE)-VLOOKUP($A201,Hshldprojections2018!$A$1:$AQ$327,27,FALSE))/10))</f>
        <v>427.7</v>
      </c>
      <c r="AI201" s="268">
        <f>IF(ISNUMBER('Sensitivity Tests'!$C$30),'Sensitivity Tests'!$C$30,VLOOKUP($A201,AffordabilityRatio!$A$2:$I$321,5,FALSE))</f>
        <v>6.05</v>
      </c>
      <c r="AJ201" s="268">
        <f>IF(ISNUMBER('Sensitivity Tests'!$C$30),'Sensitivity Tests'!$C$30,VLOOKUP($A201,AffordabilityRatio!$A$2:$I$321,6,FALSE))</f>
        <v>6.11</v>
      </c>
      <c r="AK201" s="268">
        <f>IF(ISNUMBER('Sensitivity Tests'!$C$30),'Sensitivity Tests'!$C$30,VLOOKUP($A201,AffordabilityRatio!$A$2:$I$321,7,FALSE))</f>
        <v>6.44</v>
      </c>
      <c r="AL201" s="268">
        <f>IF(ISNUMBER('Sensitivity Tests'!$C$30),'Sensitivity Tests'!$C$30,IF((VLOOKUP($A201,AffordabilityRatio!$A$2:$I$321,8,FALSE))="",AK201,VLOOKUP($A201,AffordabilityRatio!$A$2:$I$321,8,FALSE)))</f>
        <v>6.14</v>
      </c>
      <c r="AM201" s="268">
        <f>IF(ISNUMBER('Sensitivity Tests'!$C$30),'Sensitivity Tests'!$C$30,IF((VLOOKUP($A201,AffordabilityRatio!$A$2:$I$321,9,FALSE))="",AL201,VLOOKUP($A201,AffordabilityRatio!$A$2:$I$321,9,FALSE)))</f>
        <v>7.27</v>
      </c>
      <c r="AN201" s="268">
        <f>IF(ISNUMBER('Sensitivity Tests'!$C$30),'Sensitivity Tests'!$C$30,IF((VLOOKUP($A201,AffordabilityRatio!$A$2:$I$321,9,FALSE))="",AM201,VLOOKUP($A201,AffordabilityRatio!$A$2:$I$321,9,FALSE)))</f>
        <v>7.27</v>
      </c>
      <c r="AO201" s="268">
        <f>IF(ISNUMBER('Sensitivity Tests'!$C$30),'Sensitivity Tests'!$C$30,IF((VLOOKUP($A201,AffordabilityRatio!$A$2:$I$321,9,FALSE))="",AN201,VLOOKUP($A201,AffordabilityRatio!$A$2:$I$321,9,FALSE)))</f>
        <v>7.27</v>
      </c>
      <c r="AP201" s="268">
        <f>IF(ISNUMBER('Sensitivity Tests'!$C$30),'Sensitivity Tests'!$C$30,IF((VLOOKUP($A201,AffordabilityRatio!$A$2:$I$321,9,FALSE))="",AO201,VLOOKUP($A201,AffordabilityRatio!$A$2:$I$321,9,FALSE)))</f>
        <v>7.27</v>
      </c>
      <c r="AQ201" s="267">
        <f t="shared" si="152"/>
        <v>631</v>
      </c>
      <c r="AR201" s="267">
        <f t="shared" si="152"/>
        <v>629</v>
      </c>
      <c r="AS201" s="267">
        <f t="shared" si="152"/>
        <v>645</v>
      </c>
      <c r="AT201" s="267">
        <f t="shared" si="152"/>
        <v>434</v>
      </c>
      <c r="AU201" s="267">
        <f t="shared" si="152"/>
        <v>487</v>
      </c>
      <c r="AV201" s="267">
        <f t="shared" si="151"/>
        <v>502</v>
      </c>
      <c r="AW201" s="267">
        <f t="shared" si="151"/>
        <v>508</v>
      </c>
      <c r="AX201" s="267">
        <f t="shared" si="151"/>
        <v>515</v>
      </c>
      <c r="AY201" s="267">
        <f t="shared" si="171"/>
        <v>631</v>
      </c>
      <c r="AZ201" s="267">
        <f t="shared" si="172"/>
        <v>629</v>
      </c>
      <c r="BA201" s="267">
        <f t="shared" si="173"/>
        <v>645</v>
      </c>
      <c r="BB201" s="267">
        <f t="shared" si="174"/>
        <v>434</v>
      </c>
      <c r="BC201" s="267">
        <f t="shared" si="175"/>
        <v>487</v>
      </c>
      <c r="BD201" s="267">
        <f t="shared" si="176"/>
        <v>502</v>
      </c>
      <c r="BE201" s="267">
        <f t="shared" si="177"/>
        <v>508</v>
      </c>
      <c r="BF201" s="267">
        <f t="shared" si="178"/>
        <v>515</v>
      </c>
      <c r="BG201" s="269">
        <f>AY201*VLOOKUP($B201,'Major Cities &amp; Towns'!$A$28:$B$345,2,FALSE)</f>
        <v>851.85</v>
      </c>
      <c r="BH201" s="269">
        <f>AZ201*VLOOKUP($B201,'Major Cities &amp; Towns'!$A$28:$B$345,2,FALSE)</f>
        <v>849.15000000000009</v>
      </c>
      <c r="BI201" s="269">
        <f>BA201*VLOOKUP($B201,'Major Cities &amp; Towns'!$A$28:$B$345,2,FALSE)</f>
        <v>870.75000000000011</v>
      </c>
      <c r="BJ201" s="269">
        <f>BB201*VLOOKUP($B201,'Major Cities &amp; Towns'!$A$28:$B$345,2,FALSE)</f>
        <v>585.90000000000009</v>
      </c>
      <c r="BK201" s="269">
        <f>BC201*VLOOKUP($B201,'Major Cities &amp; Towns'!$A$28:$B$345,2,FALSE)</f>
        <v>657.45</v>
      </c>
      <c r="BL201" s="269">
        <f>BD201*VLOOKUP($B201,'Major Cities &amp; Towns'!$A$28:$B$345,2,FALSE)</f>
        <v>677.7</v>
      </c>
      <c r="BM201" s="269">
        <f>BE201*VLOOKUP($B201,'Major Cities &amp; Towns'!$A$28:$B$345,2,FALSE)</f>
        <v>685.80000000000007</v>
      </c>
      <c r="BN201" s="269">
        <f>BF201*VLOOKUP($B201,'Major Cities &amp; Towns'!$A$28:$B$345,2,FALSE)</f>
        <v>695.25</v>
      </c>
      <c r="BO201" s="270">
        <f t="shared" si="179"/>
        <v>631</v>
      </c>
      <c r="BP201" s="270">
        <f t="shared" si="147"/>
        <v>629</v>
      </c>
      <c r="BQ201" s="270">
        <f t="shared" si="147"/>
        <v>645</v>
      </c>
      <c r="BR201" s="270">
        <f t="shared" si="147"/>
        <v>434</v>
      </c>
      <c r="BS201" s="270">
        <f t="shared" si="146"/>
        <v>487</v>
      </c>
      <c r="BT201" s="270">
        <f t="shared" si="146"/>
        <v>675.29315068493145</v>
      </c>
      <c r="BU201" s="270">
        <f t="shared" si="146"/>
        <v>508</v>
      </c>
      <c r="BV201" s="270">
        <f t="shared" si="146"/>
        <v>515</v>
      </c>
      <c r="BW201" s="39">
        <f>VLOOKUP($A201,NetAdditions!$A$2:$H$336,6,FALSE)</f>
        <v>869</v>
      </c>
      <c r="BX201" s="39">
        <f>VLOOKUP($A201,NetAdditions!$A$2:$H$336,7,FALSE)</f>
        <v>695</v>
      </c>
      <c r="BY201" s="39">
        <f>IF((VLOOKUP($C201,NetAdditions!$A$2:$H$336,8,FALSE))="",(AVERAGE(VLOOKUP($C201,NetAdditions!$A$2:$H$336,5,FALSE),VLOOKUP($C201,NetAdditions!$A$2:$H$336,6,FALSE),VLOOKUP($C201,NetAdditions!$A$2:$H$336,7,FALSE))),VLOOKUP($C201,NetAdditions!$A$2:$H$336,8,FALSE))</f>
        <v>537</v>
      </c>
      <c r="BZ201" s="39">
        <f t="shared" si="150"/>
        <v>700.33333333333337</v>
      </c>
      <c r="CA201" s="39">
        <f t="shared" si="150"/>
        <v>644.1111111111112</v>
      </c>
      <c r="CB201" s="39">
        <f t="shared" si="150"/>
        <v>627.14814814814827</v>
      </c>
      <c r="CC201" s="39">
        <f t="shared" si="150"/>
        <v>657.19753086419757</v>
      </c>
      <c r="CD201" s="39">
        <f t="shared" si="150"/>
        <v>642.81893004115238</v>
      </c>
      <c r="CE201" s="276">
        <f t="shared" si="155"/>
        <v>1905</v>
      </c>
      <c r="CF201" s="276">
        <f t="shared" si="156"/>
        <v>1708</v>
      </c>
      <c r="CG201" s="276">
        <f t="shared" si="157"/>
        <v>1566</v>
      </c>
      <c r="CH201" s="276">
        <f t="shared" si="158"/>
        <v>1596.2931506849313</v>
      </c>
      <c r="CI201" s="276">
        <f t="shared" si="159"/>
        <v>1670.2931506849313</v>
      </c>
      <c r="CJ201" s="276">
        <f t="shared" si="160"/>
        <v>1698.2931506849313</v>
      </c>
      <c r="CK201" s="276">
        <f t="shared" si="180"/>
        <v>1640.4166666666667</v>
      </c>
      <c r="CL201" s="276">
        <f t="shared" si="181"/>
        <v>1470.7777777777778</v>
      </c>
      <c r="CM201" s="276">
        <f t="shared" si="182"/>
        <v>1435.5</v>
      </c>
      <c r="CN201" s="276">
        <f t="shared" si="183"/>
        <v>1596.2931506849313</v>
      </c>
      <c r="CO201" s="276">
        <f t="shared" si="183"/>
        <v>1670.2931506849313</v>
      </c>
      <c r="CP201" s="276">
        <f t="shared" si="183"/>
        <v>1698.2931506849313</v>
      </c>
      <c r="CQ201" s="39">
        <f t="shared" si="161"/>
        <v>2101</v>
      </c>
      <c r="CR201" s="39">
        <f t="shared" si="162"/>
        <v>1932.3333333333335</v>
      </c>
      <c r="CS201" s="277">
        <f t="shared" si="163"/>
        <v>1881.4444444444448</v>
      </c>
      <c r="CT201" s="39">
        <f t="shared" si="164"/>
        <v>1971.5925925925928</v>
      </c>
      <c r="CU201" s="39">
        <f t="shared" si="165"/>
        <v>1928.4567901234573</v>
      </c>
      <c r="CV201" s="39">
        <f t="shared" si="166"/>
        <v>1927.1646090534982</v>
      </c>
      <c r="CW201" s="297">
        <f t="shared" si="167"/>
        <v>1.2807721615443231</v>
      </c>
      <c r="CX201" s="279" t="str">
        <f t="shared" si="184"/>
        <v>Pass</v>
      </c>
      <c r="CY201" s="278">
        <f t="shared" si="168"/>
        <v>1.313817330210773</v>
      </c>
      <c r="CZ201" s="279" t="str">
        <f t="shared" si="185"/>
        <v>Pass</v>
      </c>
      <c r="DA201" s="278">
        <f t="shared" si="169"/>
        <v>1.310654437091219</v>
      </c>
      <c r="DB201" s="292" t="str">
        <f t="shared" si="186"/>
        <v>Pass</v>
      </c>
      <c r="DC201" s="299">
        <f t="shared" si="187"/>
        <v>1.2351068422154348</v>
      </c>
      <c r="DD201" s="293" t="str">
        <f t="shared" si="188"/>
        <v>Pass</v>
      </c>
      <c r="DE201" s="299">
        <f t="shared" si="189"/>
        <v>1.1545618739636583</v>
      </c>
      <c r="DF201" s="293" t="str">
        <f t="shared" si="190"/>
        <v>Pass</v>
      </c>
      <c r="DG201" s="299">
        <f t="shared" si="191"/>
        <v>1.1347655781784562</v>
      </c>
      <c r="DH201" s="293" t="str">
        <f t="shared" si="192"/>
        <v>Pass</v>
      </c>
    </row>
    <row r="202" spans="1:112" ht="15" thickTop="1" thickBot="1">
      <c r="A202" s="38" t="s">
        <v>514</v>
      </c>
      <c r="B202" s="38" t="s">
        <v>515</v>
      </c>
      <c r="C202" s="38" t="s">
        <v>514</v>
      </c>
      <c r="D202" s="38" t="s">
        <v>113</v>
      </c>
      <c r="E202" s="38" t="str">
        <f>VLOOKUP(C202,PoliticalControl!A:K,11,FALSE)</f>
        <v>NOC</v>
      </c>
      <c r="F202" s="38" t="str">
        <f>VLOOKUP(C202,UrbanRuralClassification!A:N,13,FALSE)</f>
        <v>Urban with City and Town</v>
      </c>
      <c r="G202" s="38" t="str">
        <f>VLOOKUP(C202,UrbanRuralClassification!A:N,14,FALSE)</f>
        <v>Predominantly Urban</v>
      </c>
      <c r="H202" s="258">
        <f>IF(ISBLANK((VLOOKUP($A202,'local-plan-data'!$C$1:$AD$566,27,FALSE)))=TRUE,"",VLOOKUP($A202,'local-plan-data'!$C$1:$AD$566,27,FALSE))</f>
        <v>40932</v>
      </c>
      <c r="I202" s="259">
        <f>VLOOKUP($A202,'local-plan-data'!$C$1:$AD$566,28,FALSE)</f>
        <v>418.64705882352939</v>
      </c>
      <c r="J202" s="260">
        <f t="shared" si="170"/>
        <v>418.64705882352939</v>
      </c>
      <c r="K202" s="259" t="str">
        <f t="shared" si="144"/>
        <v>-</v>
      </c>
      <c r="L202" s="259" t="str">
        <f t="shared" si="153"/>
        <v>-</v>
      </c>
      <c r="M202" s="259" t="str">
        <f t="shared" si="153"/>
        <v>-</v>
      </c>
      <c r="N202" s="259" t="str">
        <f t="shared" si="153"/>
        <v>-</v>
      </c>
      <c r="O202" s="259" t="str">
        <f t="shared" si="153"/>
        <v>-</v>
      </c>
      <c r="P202" s="259" t="str">
        <f t="shared" si="153"/>
        <v>-</v>
      </c>
      <c r="Q202" s="259" t="str">
        <f t="shared" si="153"/>
        <v>-</v>
      </c>
      <c r="R202" s="259" t="str">
        <f t="shared" si="153"/>
        <v>-</v>
      </c>
      <c r="S202" s="259">
        <f t="shared" si="145"/>
        <v>-432</v>
      </c>
      <c r="T202" s="259">
        <f t="shared" si="154"/>
        <v>-797</v>
      </c>
      <c r="U202" s="259">
        <f t="shared" si="154"/>
        <v>-1163</v>
      </c>
      <c r="V202" s="259">
        <f t="shared" si="154"/>
        <v>-1528</v>
      </c>
      <c r="W202" s="259">
        <f t="shared" si="154"/>
        <v>-1893</v>
      </c>
      <c r="X202" s="259">
        <f t="shared" si="154"/>
        <v>-2258</v>
      </c>
      <c r="Y202" s="259">
        <f t="shared" si="154"/>
        <v>-2624</v>
      </c>
      <c r="Z202" s="259">
        <f t="shared" si="154"/>
        <v>-2989</v>
      </c>
      <c r="AA202" s="267">
        <f>(VLOOKUP(A202,Hshldprojections2014!$A$2:$AW$319,40, FALSE)-VLOOKUP(A202,Hshldprojections2014!$A$2:$AW$319,30, FALSE))/10</f>
        <v>718.7</v>
      </c>
      <c r="AB202" s="267">
        <f>(VLOOKUP(A202,Hshldprojections2014!$A$2:$AW$319,41, FALSE)-VLOOKUP(A202,Hshldprojections2014!$A$2:$AW$319,31, FALSE))/10</f>
        <v>723.8</v>
      </c>
      <c r="AC202" s="267">
        <f>(VLOOKUP(A202,Hshldprojections2014!$A$2:$AW$319,42, FALSE)-VLOOKUP(A202,Hshldprojections2014!$A$2:$AW$319,32, FALSE))/10</f>
        <v>728.3</v>
      </c>
      <c r="AD202" s="267">
        <f>IF(IndividualLATest!$J$7=2014,(VLOOKUP($A202,Hshldprojections2014!$A$2:$AY$326,43,FALSE)-VLOOKUP($A202,Hshldprojections2014!$A$2:$AY$326,33,FALSE))/10,IF(IndividualLATest!$J$7=2016,(VLOOKUP($A202,Hshldprojections2016!$A$1:$AQ$322,33,FALSE)-VLOOKUP($A202,Hshldprojections2016!$A$1:$AQ$322,23,FALSE))/10,(VLOOKUP($A202,Hshldprojections2018!$A$1:$AQ$327,33,FALSE)-VLOOKUP($A202,Hshldprojections2018!$A$1:$AQ$327,23,FALSE))/10))</f>
        <v>334.9</v>
      </c>
      <c r="AE202" s="267">
        <f>IF(IndividualLATest!$J$7=2014,(VLOOKUP($A202,Hshldprojections2014!$A$2:$AY$326,44,FALSE)-VLOOKUP($A202,Hshldprojections2014!$A$2:$AY$326,34,FALSE))/10,IF(IndividualLATest!$J$7=2016,(VLOOKUP($A202,Hshldprojections2016!$A$1:$AQ$322,34,FALSE)-VLOOKUP($A202,Hshldprojections2016!$A$1:$AQ$322,24,FALSE))/10,(VLOOKUP($A202,Hshldprojections2018!$A$1:$AQ$327,34,FALSE)-VLOOKUP($A202,Hshldprojections2018!$A$1:$AQ$327,24,FALSE))/10))</f>
        <v>347.5</v>
      </c>
      <c r="AF202" s="267">
        <f>IF(IndividualLATest!$J$7=2014,(VLOOKUP($A202,Hshldprojections2014!$A$2:$AY$326,45,FALSE)-VLOOKUP($A202,Hshldprojections2014!$A$2:$AY$326,35,FALSE))/10,IF(IndividualLATest!$J$7=2016,(VLOOKUP($A202,Hshldprojections2016!$A$1:$AQ$322,35,FALSE)-VLOOKUP($A202,Hshldprojections2016!$A$1:$AQ$322,25,FALSE))/10,(VLOOKUP($A202,Hshldprojections2018!$A$1:$AQ$327,35,FALSE)-VLOOKUP($A202,Hshldprojections2018!$A$1:$AQ$327,25,FALSE))/10))</f>
        <v>356.6</v>
      </c>
      <c r="AG202" s="267">
        <f>IF(IndividualLATest!$J$7=2014,(VLOOKUP($A202,Hshldprojections2014!$A$2:$AY$326,46,FALSE)-VLOOKUP($A202,Hshldprojections2014!$A$2:$AY$326,36,FALSE))/10,IF(IndividualLATest!$J$7=2016,(VLOOKUP($A202,Hshldprojections2016!$A$1:$AQ$322,36,FALSE)-VLOOKUP($A202,Hshldprojections2016!$A$1:$AQ$322,26,FALSE))/10,(VLOOKUP($A202,Hshldprojections2018!$A$1:$AQ$327,36,FALSE)-VLOOKUP($A202,Hshldprojections2018!$A$1:$AQ$327,26,FALSE))/10))</f>
        <v>359.8</v>
      </c>
      <c r="AH202" s="267">
        <f>IF(IndividualLATest!$J$7=2014,(VLOOKUP($A202,Hshldprojections2014!$A$2:$AY$326,47,FALSE)-VLOOKUP($A202,Hshldprojections2014!$A$2:$AY$326,37,FALSE))/10,IF(IndividualLATest!$J$7=2016,(VLOOKUP($A202,Hshldprojections2016!$A$1:$AQ$322,37,FALSE)-VLOOKUP($A202,Hshldprojections2016!$A$1:$AQ$322,27,FALSE))/10,(VLOOKUP($A202,Hshldprojections2018!$A$1:$AQ$327,37,FALSE)-VLOOKUP($A202,Hshldprojections2018!$A$1:$AQ$327,27,FALSE))/10))</f>
        <v>363.6</v>
      </c>
      <c r="AI202" s="268">
        <f>IF(ISNUMBER('Sensitivity Tests'!$C$30),'Sensitivity Tests'!$C$30,VLOOKUP($A202,AffordabilityRatio!$A$2:$I$321,5,FALSE))</f>
        <v>7.08</v>
      </c>
      <c r="AJ202" s="268">
        <f>IF(ISNUMBER('Sensitivity Tests'!$C$30),'Sensitivity Tests'!$C$30,VLOOKUP($A202,AffordabilityRatio!$A$2:$I$321,6,FALSE))</f>
        <v>7.1</v>
      </c>
      <c r="AK202" s="268">
        <f>IF(ISNUMBER('Sensitivity Tests'!$C$30),'Sensitivity Tests'!$C$30,VLOOKUP($A202,AffordabilityRatio!$A$2:$I$321,7,FALSE))</f>
        <v>6.78</v>
      </c>
      <c r="AL202" s="268">
        <f>IF(ISNUMBER('Sensitivity Tests'!$C$30),'Sensitivity Tests'!$C$30,IF((VLOOKUP($A202,AffordabilityRatio!$A$2:$I$321,8,FALSE))="",AK202,VLOOKUP($A202,AffordabilityRatio!$A$2:$I$321,8,FALSE)))</f>
        <v>6.63</v>
      </c>
      <c r="AM202" s="268">
        <f>IF(ISNUMBER('Sensitivity Tests'!$C$30),'Sensitivity Tests'!$C$30,IF((VLOOKUP($A202,AffordabilityRatio!$A$2:$I$321,9,FALSE))="",AL202,VLOOKUP($A202,AffordabilityRatio!$A$2:$I$321,9,FALSE)))</f>
        <v>7.54</v>
      </c>
      <c r="AN202" s="268">
        <f>IF(ISNUMBER('Sensitivity Tests'!$C$30),'Sensitivity Tests'!$C$30,IF((VLOOKUP($A202,AffordabilityRatio!$A$2:$I$321,9,FALSE))="",AM202,VLOOKUP($A202,AffordabilityRatio!$A$2:$I$321,9,FALSE)))</f>
        <v>7.54</v>
      </c>
      <c r="AO202" s="268">
        <f>IF(ISNUMBER('Sensitivity Tests'!$C$30),'Sensitivity Tests'!$C$30,IF((VLOOKUP($A202,AffordabilityRatio!$A$2:$I$321,9,FALSE))="",AN202,VLOOKUP($A202,AffordabilityRatio!$A$2:$I$321,9,FALSE)))</f>
        <v>7.54</v>
      </c>
      <c r="AP202" s="268">
        <f>IF(ISNUMBER('Sensitivity Tests'!$C$30),'Sensitivity Tests'!$C$30,IF((VLOOKUP($A202,AffordabilityRatio!$A$2:$I$321,9,FALSE))="",AO202,VLOOKUP($A202,AffordabilityRatio!$A$2:$I$321,9,FALSE)))</f>
        <v>7.54</v>
      </c>
      <c r="AQ202" s="267">
        <f t="shared" si="152"/>
        <v>857</v>
      </c>
      <c r="AR202" s="267">
        <f t="shared" si="152"/>
        <v>864</v>
      </c>
      <c r="AS202" s="267">
        <f t="shared" si="152"/>
        <v>855</v>
      </c>
      <c r="AT202" s="267">
        <f t="shared" si="152"/>
        <v>390</v>
      </c>
      <c r="AU202" s="267">
        <f t="shared" si="152"/>
        <v>424</v>
      </c>
      <c r="AV202" s="267">
        <f t="shared" si="151"/>
        <v>435</v>
      </c>
      <c r="AW202" s="267">
        <f t="shared" si="151"/>
        <v>439</v>
      </c>
      <c r="AX202" s="267">
        <f t="shared" si="151"/>
        <v>444</v>
      </c>
      <c r="AY202" s="267">
        <f t="shared" si="171"/>
        <v>857</v>
      </c>
      <c r="AZ202" s="267">
        <f t="shared" si="172"/>
        <v>864</v>
      </c>
      <c r="BA202" s="267">
        <f t="shared" si="173"/>
        <v>855</v>
      </c>
      <c r="BB202" s="267">
        <f t="shared" si="174"/>
        <v>390</v>
      </c>
      <c r="BC202" s="267">
        <f t="shared" si="175"/>
        <v>424</v>
      </c>
      <c r="BD202" s="267">
        <f t="shared" si="176"/>
        <v>435</v>
      </c>
      <c r="BE202" s="267">
        <f t="shared" si="177"/>
        <v>439</v>
      </c>
      <c r="BF202" s="267">
        <f t="shared" si="178"/>
        <v>444</v>
      </c>
      <c r="BG202" s="269">
        <f>AY202*VLOOKUP($B202,'Major Cities &amp; Towns'!$A$28:$B$345,2,FALSE)</f>
        <v>857</v>
      </c>
      <c r="BH202" s="269">
        <f>AZ202*VLOOKUP($B202,'Major Cities &amp; Towns'!$A$28:$B$345,2,FALSE)</f>
        <v>864</v>
      </c>
      <c r="BI202" s="269">
        <f>BA202*VLOOKUP($B202,'Major Cities &amp; Towns'!$A$28:$B$345,2,FALSE)</f>
        <v>855</v>
      </c>
      <c r="BJ202" s="269">
        <f>BB202*VLOOKUP($B202,'Major Cities &amp; Towns'!$A$28:$B$345,2,FALSE)</f>
        <v>390</v>
      </c>
      <c r="BK202" s="269">
        <f>BC202*VLOOKUP($B202,'Major Cities &amp; Towns'!$A$28:$B$345,2,FALSE)</f>
        <v>424</v>
      </c>
      <c r="BL202" s="269">
        <f>BD202*VLOOKUP($B202,'Major Cities &amp; Towns'!$A$28:$B$345,2,FALSE)</f>
        <v>435</v>
      </c>
      <c r="BM202" s="269">
        <f>BE202*VLOOKUP($B202,'Major Cities &amp; Towns'!$A$28:$B$345,2,FALSE)</f>
        <v>439</v>
      </c>
      <c r="BN202" s="269">
        <f>BF202*VLOOKUP($B202,'Major Cities &amp; Towns'!$A$28:$B$345,2,FALSE)</f>
        <v>444</v>
      </c>
      <c r="BO202" s="270">
        <f t="shared" si="179"/>
        <v>857</v>
      </c>
      <c r="BP202" s="270">
        <f t="shared" si="147"/>
        <v>864</v>
      </c>
      <c r="BQ202" s="270">
        <f t="shared" si="147"/>
        <v>855</v>
      </c>
      <c r="BR202" s="270">
        <f t="shared" si="147"/>
        <v>390</v>
      </c>
      <c r="BS202" s="270">
        <f t="shared" si="146"/>
        <v>424</v>
      </c>
      <c r="BT202" s="270">
        <f t="shared" si="146"/>
        <v>435</v>
      </c>
      <c r="BU202" s="270">
        <f t="shared" si="146"/>
        <v>439</v>
      </c>
      <c r="BV202" s="270">
        <f t="shared" si="146"/>
        <v>444</v>
      </c>
      <c r="BW202" s="39">
        <f>VLOOKUP($A202,NetAdditions!$A$2:$H$336,6,FALSE)</f>
        <v>183</v>
      </c>
      <c r="BX202" s="39">
        <f>VLOOKUP($A202,NetAdditions!$A$2:$H$336,7,FALSE)</f>
        <v>168</v>
      </c>
      <c r="BY202" s="39">
        <f>IF((VLOOKUP($C202,NetAdditions!$A$2:$H$336,8,FALSE))="",(AVERAGE(VLOOKUP($C202,NetAdditions!$A$2:$H$336,5,FALSE),VLOOKUP($C202,NetAdditions!$A$2:$H$336,6,FALSE),VLOOKUP($C202,NetAdditions!$A$2:$H$336,7,FALSE))),VLOOKUP($C202,NetAdditions!$A$2:$H$336,8,FALSE))</f>
        <v>285</v>
      </c>
      <c r="BZ202" s="39">
        <f t="shared" si="150"/>
        <v>212</v>
      </c>
      <c r="CA202" s="39">
        <f t="shared" si="150"/>
        <v>221.66666666666666</v>
      </c>
      <c r="CB202" s="39">
        <f t="shared" si="150"/>
        <v>239.55555555555554</v>
      </c>
      <c r="CC202" s="39">
        <f t="shared" si="150"/>
        <v>224.40740740740739</v>
      </c>
      <c r="CD202" s="39">
        <f t="shared" si="150"/>
        <v>228.54320987654319</v>
      </c>
      <c r="CE202" s="276">
        <f t="shared" si="155"/>
        <v>2576</v>
      </c>
      <c r="CF202" s="276">
        <f t="shared" si="156"/>
        <v>2109</v>
      </c>
      <c r="CG202" s="276">
        <f t="shared" si="157"/>
        <v>1669</v>
      </c>
      <c r="CH202" s="276">
        <f t="shared" si="158"/>
        <v>1249</v>
      </c>
      <c r="CI202" s="276">
        <f t="shared" si="159"/>
        <v>1298</v>
      </c>
      <c r="CJ202" s="276">
        <f t="shared" si="160"/>
        <v>1318</v>
      </c>
      <c r="CK202" s="276">
        <f t="shared" si="180"/>
        <v>2218.2222222222222</v>
      </c>
      <c r="CL202" s="276">
        <f t="shared" si="181"/>
        <v>1816.0833333333335</v>
      </c>
      <c r="CM202" s="276">
        <f t="shared" si="182"/>
        <v>1529.9166666666665</v>
      </c>
      <c r="CN202" s="276">
        <f t="shared" si="183"/>
        <v>1249</v>
      </c>
      <c r="CO202" s="276">
        <f t="shared" si="183"/>
        <v>1298</v>
      </c>
      <c r="CP202" s="276">
        <f t="shared" si="183"/>
        <v>1318</v>
      </c>
      <c r="CQ202" s="39">
        <f t="shared" si="161"/>
        <v>636</v>
      </c>
      <c r="CR202" s="39">
        <f t="shared" si="162"/>
        <v>665</v>
      </c>
      <c r="CS202" s="277">
        <f t="shared" si="163"/>
        <v>718.66666666666663</v>
      </c>
      <c r="CT202" s="39">
        <f t="shared" si="164"/>
        <v>673.22222222222217</v>
      </c>
      <c r="CU202" s="39">
        <f t="shared" si="165"/>
        <v>685.62962962962956</v>
      </c>
      <c r="CV202" s="39">
        <f t="shared" si="166"/>
        <v>692.50617283950612</v>
      </c>
      <c r="CW202" s="297">
        <f t="shared" si="167"/>
        <v>0.28671608896012823</v>
      </c>
      <c r="CX202" s="279" t="str">
        <f t="shared" si="184"/>
        <v>Buffer and Action Plan</v>
      </c>
      <c r="CY202" s="278">
        <f t="shared" si="168"/>
        <v>0.36617262423714031</v>
      </c>
      <c r="CZ202" s="279" t="str">
        <f t="shared" si="185"/>
        <v>Presumption</v>
      </c>
      <c r="DA202" s="278">
        <f t="shared" si="169"/>
        <v>0.46974236069502701</v>
      </c>
      <c r="DB202" s="292" t="str">
        <f t="shared" si="186"/>
        <v>Presumption</v>
      </c>
      <c r="DC202" s="299">
        <f t="shared" si="187"/>
        <v>0.53900898496575034</v>
      </c>
      <c r="DD202" s="293" t="str">
        <f t="shared" si="188"/>
        <v>Presumption</v>
      </c>
      <c r="DE202" s="299">
        <f t="shared" si="189"/>
        <v>0.52822005364378244</v>
      </c>
      <c r="DF202" s="293" t="str">
        <f t="shared" si="190"/>
        <v>Presumption</v>
      </c>
      <c r="DG202" s="299">
        <f t="shared" si="191"/>
        <v>0.52542198242754634</v>
      </c>
      <c r="DH202" s="293" t="str">
        <f t="shared" si="192"/>
        <v>Presumption</v>
      </c>
    </row>
    <row r="203" spans="1:112" ht="15" thickTop="1" thickBot="1">
      <c r="A203" s="38" t="s">
        <v>516</v>
      </c>
      <c r="B203" s="38" t="s">
        <v>517</v>
      </c>
      <c r="C203" s="38" t="s">
        <v>516</v>
      </c>
      <c r="D203" s="38" t="s">
        <v>116</v>
      </c>
      <c r="E203" s="38" t="str">
        <f>VLOOKUP(C203,PoliticalControl!A:K,11,FALSE)</f>
        <v>LAB</v>
      </c>
      <c r="F203" s="38" t="str">
        <f>VLOOKUP(C203,UrbanRuralClassification!A:N,13,FALSE)</f>
        <v>Urban with City and Town</v>
      </c>
      <c r="G203" s="38" t="str">
        <f>VLOOKUP(C203,UrbanRuralClassification!A:N,14,FALSE)</f>
        <v>Predominantly Urban</v>
      </c>
      <c r="H203" s="258">
        <f>IF(ISBLANK((VLOOKUP($A203,'local-plan-data'!$C$1:$AD$566,27,FALSE)))=TRUE,"",VLOOKUP($A203,'local-plan-data'!$C$1:$AD$566,27,FALSE))</f>
        <v>41108</v>
      </c>
      <c r="I203" s="259">
        <f>VLOOKUP($A203,'local-plan-data'!$C$1:$AD$566,28,FALSE)</f>
        <v>507</v>
      </c>
      <c r="J203" s="260">
        <f t="shared" si="170"/>
        <v>507</v>
      </c>
      <c r="K203" s="259" t="str">
        <f t="shared" si="144"/>
        <v>-</v>
      </c>
      <c r="L203" s="259" t="str">
        <f t="shared" si="153"/>
        <v>-</v>
      </c>
      <c r="M203" s="259" t="str">
        <f t="shared" si="153"/>
        <v>-</v>
      </c>
      <c r="N203" s="259" t="str">
        <f t="shared" si="153"/>
        <v>-</v>
      </c>
      <c r="O203" s="259" t="str">
        <f t="shared" si="153"/>
        <v>-</v>
      </c>
      <c r="P203" s="259" t="str">
        <f t="shared" si="153"/>
        <v>-</v>
      </c>
      <c r="Q203" s="259" t="str">
        <f t="shared" si="153"/>
        <v>-</v>
      </c>
      <c r="R203" s="259" t="str">
        <f t="shared" si="153"/>
        <v>-</v>
      </c>
      <c r="S203" s="259">
        <f t="shared" si="145"/>
        <v>-257</v>
      </c>
      <c r="T203" s="259">
        <f t="shared" si="154"/>
        <v>-622</v>
      </c>
      <c r="U203" s="259">
        <f t="shared" si="154"/>
        <v>-988</v>
      </c>
      <c r="V203" s="259">
        <f t="shared" si="154"/>
        <v>-1353</v>
      </c>
      <c r="W203" s="259">
        <f t="shared" si="154"/>
        <v>-1718</v>
      </c>
      <c r="X203" s="259">
        <f t="shared" si="154"/>
        <v>-2083</v>
      </c>
      <c r="Y203" s="259">
        <f t="shared" si="154"/>
        <v>-2449</v>
      </c>
      <c r="Z203" s="259">
        <f t="shared" si="154"/>
        <v>-2814</v>
      </c>
      <c r="AA203" s="267">
        <f>(VLOOKUP(A203,Hshldprojections2014!$A$2:$AW$319,40, FALSE)-VLOOKUP(A203,Hshldprojections2014!$A$2:$AW$319,30, FALSE))/10</f>
        <v>217.8</v>
      </c>
      <c r="AB203" s="267">
        <f>(VLOOKUP(A203,Hshldprojections2014!$A$2:$AW$319,41, FALSE)-VLOOKUP(A203,Hshldprojections2014!$A$2:$AW$319,31, FALSE))/10</f>
        <v>224.6</v>
      </c>
      <c r="AC203" s="267">
        <f>(VLOOKUP(A203,Hshldprojections2014!$A$2:$AW$319,42, FALSE)-VLOOKUP(A203,Hshldprojections2014!$A$2:$AW$319,32, FALSE))/10</f>
        <v>230.9</v>
      </c>
      <c r="AD203" s="267">
        <f>IF(IndividualLATest!$J$7=2014,(VLOOKUP($A203,Hshldprojections2014!$A$2:$AY$326,43,FALSE)-VLOOKUP($A203,Hshldprojections2014!$A$2:$AY$326,33,FALSE))/10,IF(IndividualLATest!$J$7=2016,(VLOOKUP($A203,Hshldprojections2016!$A$1:$AQ$322,33,FALSE)-VLOOKUP($A203,Hshldprojections2016!$A$1:$AQ$322,23,FALSE))/10,(VLOOKUP($A203,Hshldprojections2018!$A$1:$AQ$327,33,FALSE)-VLOOKUP($A203,Hshldprojections2018!$A$1:$AQ$327,23,FALSE))/10))</f>
        <v>181.3</v>
      </c>
      <c r="AE203" s="267">
        <f>IF(IndividualLATest!$J$7=2014,(VLOOKUP($A203,Hshldprojections2014!$A$2:$AY$326,44,FALSE)-VLOOKUP($A203,Hshldprojections2014!$A$2:$AY$326,34,FALSE))/10,IF(IndividualLATest!$J$7=2016,(VLOOKUP($A203,Hshldprojections2016!$A$1:$AQ$322,34,FALSE)-VLOOKUP($A203,Hshldprojections2016!$A$1:$AQ$322,24,FALSE))/10,(VLOOKUP($A203,Hshldprojections2018!$A$1:$AQ$327,34,FALSE)-VLOOKUP($A203,Hshldprojections2018!$A$1:$AQ$327,24,FALSE))/10))</f>
        <v>192.9</v>
      </c>
      <c r="AF203" s="267">
        <f>IF(IndividualLATest!$J$7=2014,(VLOOKUP($A203,Hshldprojections2014!$A$2:$AY$326,45,FALSE)-VLOOKUP($A203,Hshldprojections2014!$A$2:$AY$326,35,FALSE))/10,IF(IndividualLATest!$J$7=2016,(VLOOKUP($A203,Hshldprojections2016!$A$1:$AQ$322,35,FALSE)-VLOOKUP($A203,Hshldprojections2016!$A$1:$AQ$322,25,FALSE))/10,(VLOOKUP($A203,Hshldprojections2018!$A$1:$AQ$327,35,FALSE)-VLOOKUP($A203,Hshldprojections2018!$A$1:$AQ$327,25,FALSE))/10))</f>
        <v>202.8</v>
      </c>
      <c r="AG203" s="267">
        <f>IF(IndividualLATest!$J$7=2014,(VLOOKUP($A203,Hshldprojections2014!$A$2:$AY$326,46,FALSE)-VLOOKUP($A203,Hshldprojections2014!$A$2:$AY$326,36,FALSE))/10,IF(IndividualLATest!$J$7=2016,(VLOOKUP($A203,Hshldprojections2016!$A$1:$AQ$322,36,FALSE)-VLOOKUP($A203,Hshldprojections2016!$A$1:$AQ$322,26,FALSE))/10,(VLOOKUP($A203,Hshldprojections2018!$A$1:$AQ$327,36,FALSE)-VLOOKUP($A203,Hshldprojections2018!$A$1:$AQ$327,26,FALSE))/10))</f>
        <v>208.5</v>
      </c>
      <c r="AH203" s="267">
        <f>IF(IndividualLATest!$J$7=2014,(VLOOKUP($A203,Hshldprojections2014!$A$2:$AY$326,47,FALSE)-VLOOKUP($A203,Hshldprojections2014!$A$2:$AY$326,37,FALSE))/10,IF(IndividualLATest!$J$7=2016,(VLOOKUP($A203,Hshldprojections2016!$A$1:$AQ$322,37,FALSE)-VLOOKUP($A203,Hshldprojections2016!$A$1:$AQ$322,27,FALSE))/10,(VLOOKUP($A203,Hshldprojections2018!$A$1:$AQ$327,37,FALSE)-VLOOKUP($A203,Hshldprojections2018!$A$1:$AQ$327,27,FALSE))/10))</f>
        <v>215.3</v>
      </c>
      <c r="AI203" s="268">
        <f>IF(ISNUMBER('Sensitivity Tests'!$C$30),'Sensitivity Tests'!$C$30,VLOOKUP($A203,AffordabilityRatio!$A$2:$I$321,5,FALSE))</f>
        <v>5.39</v>
      </c>
      <c r="AJ203" s="268">
        <f>IF(ISNUMBER('Sensitivity Tests'!$C$30),'Sensitivity Tests'!$C$30,VLOOKUP($A203,AffordabilityRatio!$A$2:$I$321,6,FALSE))</f>
        <v>5.21</v>
      </c>
      <c r="AK203" s="268">
        <f>IF(ISNUMBER('Sensitivity Tests'!$C$30),'Sensitivity Tests'!$C$30,VLOOKUP($A203,AffordabilityRatio!$A$2:$I$321,7,FALSE))</f>
        <v>5.31</v>
      </c>
      <c r="AL203" s="268">
        <f>IF(ISNUMBER('Sensitivity Tests'!$C$30),'Sensitivity Tests'!$C$30,IF((VLOOKUP($A203,AffordabilityRatio!$A$2:$I$321,8,FALSE))="",AK203,VLOOKUP($A203,AffordabilityRatio!$A$2:$I$321,8,FALSE)))</f>
        <v>5.59</v>
      </c>
      <c r="AM203" s="268">
        <f>IF(ISNUMBER('Sensitivity Tests'!$C$30),'Sensitivity Tests'!$C$30,IF((VLOOKUP($A203,AffordabilityRatio!$A$2:$I$321,9,FALSE))="",AL203,VLOOKUP($A203,AffordabilityRatio!$A$2:$I$321,9,FALSE)))</f>
        <v>5.54</v>
      </c>
      <c r="AN203" s="268">
        <f>IF(ISNUMBER('Sensitivity Tests'!$C$30),'Sensitivity Tests'!$C$30,IF((VLOOKUP($A203,AffordabilityRatio!$A$2:$I$321,9,FALSE))="",AM203,VLOOKUP($A203,AffordabilityRatio!$A$2:$I$321,9,FALSE)))</f>
        <v>5.54</v>
      </c>
      <c r="AO203" s="268">
        <f>IF(ISNUMBER('Sensitivity Tests'!$C$30),'Sensitivity Tests'!$C$30,IF((VLOOKUP($A203,AffordabilityRatio!$A$2:$I$321,9,FALSE))="",AN203,VLOOKUP($A203,AffordabilityRatio!$A$2:$I$321,9,FALSE)))</f>
        <v>5.54</v>
      </c>
      <c r="AP203" s="268">
        <f>IF(ISNUMBER('Sensitivity Tests'!$C$30),'Sensitivity Tests'!$C$30,IF((VLOOKUP($A203,AffordabilityRatio!$A$2:$I$321,9,FALSE))="",AO203,VLOOKUP($A203,AffordabilityRatio!$A$2:$I$321,9,FALSE)))</f>
        <v>5.54</v>
      </c>
      <c r="AQ203" s="267">
        <f t="shared" si="152"/>
        <v>237</v>
      </c>
      <c r="AR203" s="267">
        <f t="shared" si="152"/>
        <v>242</v>
      </c>
      <c r="AS203" s="267">
        <f t="shared" si="152"/>
        <v>250</v>
      </c>
      <c r="AT203" s="267">
        <f t="shared" si="152"/>
        <v>199</v>
      </c>
      <c r="AU203" s="267">
        <f t="shared" si="152"/>
        <v>211</v>
      </c>
      <c r="AV203" s="267">
        <f t="shared" si="151"/>
        <v>222</v>
      </c>
      <c r="AW203" s="267">
        <f t="shared" si="151"/>
        <v>229</v>
      </c>
      <c r="AX203" s="267">
        <f t="shared" si="151"/>
        <v>236</v>
      </c>
      <c r="AY203" s="267">
        <f t="shared" si="171"/>
        <v>237</v>
      </c>
      <c r="AZ203" s="267">
        <f t="shared" si="172"/>
        <v>242</v>
      </c>
      <c r="BA203" s="267">
        <f t="shared" si="173"/>
        <v>250</v>
      </c>
      <c r="BB203" s="267">
        <f t="shared" si="174"/>
        <v>199</v>
      </c>
      <c r="BC203" s="267">
        <f t="shared" si="175"/>
        <v>211</v>
      </c>
      <c r="BD203" s="267">
        <f t="shared" si="176"/>
        <v>222</v>
      </c>
      <c r="BE203" s="267">
        <f t="shared" si="177"/>
        <v>229</v>
      </c>
      <c r="BF203" s="267">
        <f t="shared" si="178"/>
        <v>236</v>
      </c>
      <c r="BG203" s="269">
        <f>AY203*VLOOKUP($B203,'Major Cities &amp; Towns'!$A$28:$B$345,2,FALSE)</f>
        <v>237</v>
      </c>
      <c r="BH203" s="269">
        <f>AZ203*VLOOKUP($B203,'Major Cities &amp; Towns'!$A$28:$B$345,2,FALSE)</f>
        <v>242</v>
      </c>
      <c r="BI203" s="269">
        <f>BA203*VLOOKUP($B203,'Major Cities &amp; Towns'!$A$28:$B$345,2,FALSE)</f>
        <v>250</v>
      </c>
      <c r="BJ203" s="269">
        <f>BB203*VLOOKUP($B203,'Major Cities &amp; Towns'!$A$28:$B$345,2,FALSE)</f>
        <v>199</v>
      </c>
      <c r="BK203" s="269">
        <f>BC203*VLOOKUP($B203,'Major Cities &amp; Towns'!$A$28:$B$345,2,FALSE)</f>
        <v>211</v>
      </c>
      <c r="BL203" s="269">
        <f>BD203*VLOOKUP($B203,'Major Cities &amp; Towns'!$A$28:$B$345,2,FALSE)</f>
        <v>222</v>
      </c>
      <c r="BM203" s="269">
        <f>BE203*VLOOKUP($B203,'Major Cities &amp; Towns'!$A$28:$B$345,2,FALSE)</f>
        <v>229</v>
      </c>
      <c r="BN203" s="269">
        <f>BF203*VLOOKUP($B203,'Major Cities &amp; Towns'!$A$28:$B$345,2,FALSE)</f>
        <v>236</v>
      </c>
      <c r="BO203" s="270">
        <f t="shared" si="179"/>
        <v>237</v>
      </c>
      <c r="BP203" s="270">
        <f t="shared" si="147"/>
        <v>242</v>
      </c>
      <c r="BQ203" s="270">
        <f t="shared" si="147"/>
        <v>250</v>
      </c>
      <c r="BR203" s="270">
        <f t="shared" si="147"/>
        <v>199</v>
      </c>
      <c r="BS203" s="270">
        <f t="shared" si="146"/>
        <v>211</v>
      </c>
      <c r="BT203" s="270">
        <f t="shared" si="146"/>
        <v>222</v>
      </c>
      <c r="BU203" s="270">
        <f t="shared" si="146"/>
        <v>229</v>
      </c>
      <c r="BV203" s="270">
        <f t="shared" si="146"/>
        <v>236</v>
      </c>
      <c r="BW203" s="39">
        <f>VLOOKUP($A203,NetAdditions!$A$2:$H$336,6,FALSE)</f>
        <v>785</v>
      </c>
      <c r="BX203" s="39">
        <f>VLOOKUP($A203,NetAdditions!$A$2:$H$336,7,FALSE)</f>
        <v>747</v>
      </c>
      <c r="BY203" s="39">
        <f>IF((VLOOKUP($C203,NetAdditions!$A$2:$H$336,8,FALSE))="",(AVERAGE(VLOOKUP($C203,NetAdditions!$A$2:$H$336,5,FALSE),VLOOKUP($C203,NetAdditions!$A$2:$H$336,6,FALSE),VLOOKUP($C203,NetAdditions!$A$2:$H$336,7,FALSE))),VLOOKUP($C203,NetAdditions!$A$2:$H$336,8,FALSE))</f>
        <v>909</v>
      </c>
      <c r="BZ203" s="39">
        <f t="shared" si="150"/>
        <v>813.66666666666663</v>
      </c>
      <c r="CA203" s="39">
        <f t="shared" si="150"/>
        <v>823.22222222222217</v>
      </c>
      <c r="CB203" s="39">
        <f t="shared" si="150"/>
        <v>848.62962962962956</v>
      </c>
      <c r="CC203" s="39">
        <f t="shared" si="150"/>
        <v>828.50617283950612</v>
      </c>
      <c r="CD203" s="39">
        <f t="shared" si="150"/>
        <v>833.45267489711932</v>
      </c>
      <c r="CE203" s="276">
        <f t="shared" si="155"/>
        <v>729</v>
      </c>
      <c r="CF203" s="276">
        <f t="shared" si="156"/>
        <v>691</v>
      </c>
      <c r="CG203" s="276">
        <f t="shared" si="157"/>
        <v>660</v>
      </c>
      <c r="CH203" s="276">
        <f t="shared" si="158"/>
        <v>632</v>
      </c>
      <c r="CI203" s="276">
        <f t="shared" si="159"/>
        <v>662</v>
      </c>
      <c r="CJ203" s="276">
        <f t="shared" si="160"/>
        <v>687</v>
      </c>
      <c r="CK203" s="276">
        <f t="shared" si="180"/>
        <v>627.75</v>
      </c>
      <c r="CL203" s="276">
        <f t="shared" si="181"/>
        <v>595.02777777777783</v>
      </c>
      <c r="CM203" s="276">
        <f t="shared" si="182"/>
        <v>605</v>
      </c>
      <c r="CN203" s="276">
        <f t="shared" si="183"/>
        <v>632</v>
      </c>
      <c r="CO203" s="276">
        <f t="shared" si="183"/>
        <v>662</v>
      </c>
      <c r="CP203" s="276">
        <f t="shared" si="183"/>
        <v>687</v>
      </c>
      <c r="CQ203" s="39">
        <f t="shared" si="161"/>
        <v>2441</v>
      </c>
      <c r="CR203" s="39">
        <f t="shared" si="162"/>
        <v>2469.6666666666665</v>
      </c>
      <c r="CS203" s="277">
        <f t="shared" si="163"/>
        <v>2545.8888888888887</v>
      </c>
      <c r="CT203" s="39">
        <f t="shared" si="164"/>
        <v>2485.5185185185182</v>
      </c>
      <c r="CU203" s="39">
        <f t="shared" si="165"/>
        <v>2500.358024691358</v>
      </c>
      <c r="CV203" s="39">
        <f t="shared" si="166"/>
        <v>2510.5884773662551</v>
      </c>
      <c r="CW203" s="297">
        <f t="shared" si="167"/>
        <v>3.8884906411788132</v>
      </c>
      <c r="CX203" s="279" t="str">
        <f t="shared" si="184"/>
        <v>Pass</v>
      </c>
      <c r="CY203" s="278">
        <f t="shared" si="168"/>
        <v>4.1505065123010123</v>
      </c>
      <c r="CZ203" s="279" t="str">
        <f t="shared" si="185"/>
        <v>Pass</v>
      </c>
      <c r="DA203" s="278">
        <f t="shared" si="169"/>
        <v>4.2080808080808074</v>
      </c>
      <c r="DB203" s="292" t="str">
        <f t="shared" si="186"/>
        <v>Pass</v>
      </c>
      <c r="DC203" s="299">
        <f t="shared" si="187"/>
        <v>3.9327824660103139</v>
      </c>
      <c r="DD203" s="293" t="str">
        <f t="shared" si="188"/>
        <v>Pass</v>
      </c>
      <c r="DE203" s="299">
        <f t="shared" si="189"/>
        <v>3.7769758681138339</v>
      </c>
      <c r="DF203" s="293" t="str">
        <f t="shared" si="190"/>
        <v>Pass</v>
      </c>
      <c r="DG203" s="299">
        <f t="shared" si="191"/>
        <v>3.6544228200382172</v>
      </c>
      <c r="DH203" s="293" t="str">
        <f t="shared" si="192"/>
        <v>Pass</v>
      </c>
    </row>
    <row r="204" spans="1:112" ht="15" thickTop="1" thickBot="1">
      <c r="A204" s="38" t="s">
        <v>518</v>
      </c>
      <c r="B204" s="38" t="s">
        <v>519</v>
      </c>
      <c r="C204" s="38" t="s">
        <v>518</v>
      </c>
      <c r="D204" s="38" t="s">
        <v>113</v>
      </c>
      <c r="E204" s="38" t="str">
        <f>VLOOKUP(C204,PoliticalControl!A:K,11,FALSE)</f>
        <v>LAB</v>
      </c>
      <c r="F204" s="38" t="str">
        <f>VLOOKUP(C204,UrbanRuralClassification!A:N,13,FALSE)</f>
        <v>Urban with City and Town</v>
      </c>
      <c r="G204" s="38" t="str">
        <f>VLOOKUP(C204,UrbanRuralClassification!A:N,14,FALSE)</f>
        <v>Predominantly Urban</v>
      </c>
      <c r="H204" s="258">
        <f>IF(ISBLANK((VLOOKUP($A204,'local-plan-data'!$C$1:$AD$566,27,FALSE)))=TRUE,"",VLOOKUP($A204,'local-plan-data'!$C$1:$AD$566,27,FALSE))</f>
        <v>43773</v>
      </c>
      <c r="I204" s="259">
        <f>VLOOKUP($A204,'local-plan-data'!$C$1:$AD$566,28,FALSE)</f>
        <v>689</v>
      </c>
      <c r="J204" s="260">
        <f t="shared" si="170"/>
        <v>689</v>
      </c>
      <c r="K204" s="259">
        <f t="shared" si="144"/>
        <v>689</v>
      </c>
      <c r="L204" s="259">
        <f t="shared" si="153"/>
        <v>689</v>
      </c>
      <c r="M204" s="259">
        <f t="shared" si="153"/>
        <v>689</v>
      </c>
      <c r="N204" s="259">
        <f t="shared" si="153"/>
        <v>689</v>
      </c>
      <c r="O204" s="259">
        <f t="shared" si="153"/>
        <v>689</v>
      </c>
      <c r="P204" s="259">
        <f t="shared" si="153"/>
        <v>689</v>
      </c>
      <c r="Q204" s="259">
        <f t="shared" si="153"/>
        <v>689</v>
      </c>
      <c r="R204" s="259" t="str">
        <f t="shared" si="153"/>
        <v>-</v>
      </c>
      <c r="S204" s="259">
        <f t="shared" si="145"/>
        <v>2409</v>
      </c>
      <c r="T204" s="259">
        <f t="shared" si="154"/>
        <v>2044</v>
      </c>
      <c r="U204" s="259">
        <f t="shared" si="154"/>
        <v>1678</v>
      </c>
      <c r="V204" s="259">
        <f t="shared" si="154"/>
        <v>1313</v>
      </c>
      <c r="W204" s="259">
        <f t="shared" si="154"/>
        <v>948</v>
      </c>
      <c r="X204" s="259">
        <f t="shared" si="154"/>
        <v>583</v>
      </c>
      <c r="Y204" s="259">
        <f t="shared" si="154"/>
        <v>217</v>
      </c>
      <c r="Z204" s="259">
        <f t="shared" si="154"/>
        <v>-148</v>
      </c>
      <c r="AA204" s="267">
        <f>(VLOOKUP(A204,Hshldprojections2014!$A$2:$AW$319,40, FALSE)-VLOOKUP(A204,Hshldprojections2014!$A$2:$AW$319,30, FALSE))/10</f>
        <v>487.2</v>
      </c>
      <c r="AB204" s="267">
        <f>(VLOOKUP(A204,Hshldprojections2014!$A$2:$AW$319,41, FALSE)-VLOOKUP(A204,Hshldprojections2014!$A$2:$AW$319,31, FALSE))/10</f>
        <v>491.8</v>
      </c>
      <c r="AC204" s="267">
        <f>(VLOOKUP(A204,Hshldprojections2014!$A$2:$AW$319,42, FALSE)-VLOOKUP(A204,Hshldprojections2014!$A$2:$AW$319,32, FALSE))/10</f>
        <v>493</v>
      </c>
      <c r="AD204" s="267">
        <f>IF(IndividualLATest!$J$7=2014,(VLOOKUP($A204,Hshldprojections2014!$A$2:$AY$326,43,FALSE)-VLOOKUP($A204,Hshldprojections2014!$A$2:$AY$326,33,FALSE))/10,IF(IndividualLATest!$J$7=2016,(VLOOKUP($A204,Hshldprojections2016!$A$1:$AQ$322,33,FALSE)-VLOOKUP($A204,Hshldprojections2016!$A$1:$AQ$322,23,FALSE))/10,(VLOOKUP($A204,Hshldprojections2018!$A$1:$AQ$327,33,FALSE)-VLOOKUP($A204,Hshldprojections2018!$A$1:$AQ$327,23,FALSE))/10))</f>
        <v>144.30000000000001</v>
      </c>
      <c r="AE204" s="267">
        <f>IF(IndividualLATest!$J$7=2014,(VLOOKUP($A204,Hshldprojections2014!$A$2:$AY$326,44,FALSE)-VLOOKUP($A204,Hshldprojections2014!$A$2:$AY$326,34,FALSE))/10,IF(IndividualLATest!$J$7=2016,(VLOOKUP($A204,Hshldprojections2016!$A$1:$AQ$322,34,FALSE)-VLOOKUP($A204,Hshldprojections2016!$A$1:$AQ$322,24,FALSE))/10,(VLOOKUP($A204,Hshldprojections2018!$A$1:$AQ$327,34,FALSE)-VLOOKUP($A204,Hshldprojections2018!$A$1:$AQ$327,24,FALSE))/10))</f>
        <v>155.1</v>
      </c>
      <c r="AF204" s="267">
        <f>IF(IndividualLATest!$J$7=2014,(VLOOKUP($A204,Hshldprojections2014!$A$2:$AY$326,45,FALSE)-VLOOKUP($A204,Hshldprojections2014!$A$2:$AY$326,35,FALSE))/10,IF(IndividualLATest!$J$7=2016,(VLOOKUP($A204,Hshldprojections2016!$A$1:$AQ$322,35,FALSE)-VLOOKUP($A204,Hshldprojections2016!$A$1:$AQ$322,25,FALSE))/10,(VLOOKUP($A204,Hshldprojections2018!$A$1:$AQ$327,35,FALSE)-VLOOKUP($A204,Hshldprojections2018!$A$1:$AQ$327,25,FALSE))/10))</f>
        <v>167.1</v>
      </c>
      <c r="AG204" s="267">
        <f>IF(IndividualLATest!$J$7=2014,(VLOOKUP($A204,Hshldprojections2014!$A$2:$AY$326,46,FALSE)-VLOOKUP($A204,Hshldprojections2014!$A$2:$AY$326,36,FALSE))/10,IF(IndividualLATest!$J$7=2016,(VLOOKUP($A204,Hshldprojections2016!$A$1:$AQ$322,36,FALSE)-VLOOKUP($A204,Hshldprojections2016!$A$1:$AQ$322,26,FALSE))/10,(VLOOKUP($A204,Hshldprojections2018!$A$1:$AQ$327,36,FALSE)-VLOOKUP($A204,Hshldprojections2018!$A$1:$AQ$327,26,FALSE))/10))</f>
        <v>175</v>
      </c>
      <c r="AH204" s="267">
        <f>IF(IndividualLATest!$J$7=2014,(VLOOKUP($A204,Hshldprojections2014!$A$2:$AY$326,47,FALSE)-VLOOKUP($A204,Hshldprojections2014!$A$2:$AY$326,37,FALSE))/10,IF(IndividualLATest!$J$7=2016,(VLOOKUP($A204,Hshldprojections2016!$A$1:$AQ$322,37,FALSE)-VLOOKUP($A204,Hshldprojections2016!$A$1:$AQ$322,27,FALSE))/10,(VLOOKUP($A204,Hshldprojections2018!$A$1:$AQ$327,37,FALSE)-VLOOKUP($A204,Hshldprojections2018!$A$1:$AQ$327,27,FALSE))/10))</f>
        <v>184.2</v>
      </c>
      <c r="AI204" s="268">
        <f>IF(ISNUMBER('Sensitivity Tests'!$C$30),'Sensitivity Tests'!$C$30,VLOOKUP($A204,AffordabilityRatio!$A$2:$I$321,5,FALSE))</f>
        <v>8.17</v>
      </c>
      <c r="AJ204" s="268">
        <f>IF(ISNUMBER('Sensitivity Tests'!$C$30),'Sensitivity Tests'!$C$30,VLOOKUP($A204,AffordabilityRatio!$A$2:$I$321,6,FALSE))</f>
        <v>8.52</v>
      </c>
      <c r="AK204" s="268">
        <f>IF(ISNUMBER('Sensitivity Tests'!$C$30),'Sensitivity Tests'!$C$30,VLOOKUP($A204,AffordabilityRatio!$A$2:$I$321,7,FALSE))</f>
        <v>8.98</v>
      </c>
      <c r="AL204" s="268">
        <f>IF(ISNUMBER('Sensitivity Tests'!$C$30),'Sensitivity Tests'!$C$30,IF((VLOOKUP($A204,AffordabilityRatio!$A$2:$I$321,8,FALSE))="",AK204,VLOOKUP($A204,AffordabilityRatio!$A$2:$I$321,8,FALSE)))</f>
        <v>8.82</v>
      </c>
      <c r="AM204" s="268">
        <f>IF(ISNUMBER('Sensitivity Tests'!$C$30),'Sensitivity Tests'!$C$30,IF((VLOOKUP($A204,AffordabilityRatio!$A$2:$I$321,9,FALSE))="",AL204,VLOOKUP($A204,AffordabilityRatio!$A$2:$I$321,9,FALSE)))</f>
        <v>9.42</v>
      </c>
      <c r="AN204" s="268">
        <f>IF(ISNUMBER('Sensitivity Tests'!$C$30),'Sensitivity Tests'!$C$30,IF((VLOOKUP($A204,AffordabilityRatio!$A$2:$I$321,9,FALSE))="",AM204,VLOOKUP($A204,AffordabilityRatio!$A$2:$I$321,9,FALSE)))</f>
        <v>9.42</v>
      </c>
      <c r="AO204" s="268">
        <f>IF(ISNUMBER('Sensitivity Tests'!$C$30),'Sensitivity Tests'!$C$30,IF((VLOOKUP($A204,AffordabilityRatio!$A$2:$I$321,9,FALSE))="",AN204,VLOOKUP($A204,AffordabilityRatio!$A$2:$I$321,9,FALSE)))</f>
        <v>9.42</v>
      </c>
      <c r="AP204" s="268">
        <f>IF(ISNUMBER('Sensitivity Tests'!$C$30),'Sensitivity Tests'!$C$30,IF((VLOOKUP($A204,AffordabilityRatio!$A$2:$I$321,9,FALSE))="",AO204,VLOOKUP($A204,AffordabilityRatio!$A$2:$I$321,9,FALSE)))</f>
        <v>9.42</v>
      </c>
      <c r="AQ204" s="267">
        <f t="shared" si="152"/>
        <v>614</v>
      </c>
      <c r="AR204" s="267">
        <f t="shared" si="152"/>
        <v>631</v>
      </c>
      <c r="AS204" s="267">
        <f t="shared" si="152"/>
        <v>646</v>
      </c>
      <c r="AT204" s="267">
        <f t="shared" si="152"/>
        <v>188</v>
      </c>
      <c r="AU204" s="267">
        <f t="shared" si="152"/>
        <v>208</v>
      </c>
      <c r="AV204" s="267">
        <f t="shared" si="151"/>
        <v>224</v>
      </c>
      <c r="AW204" s="267">
        <f t="shared" si="151"/>
        <v>234</v>
      </c>
      <c r="AX204" s="267">
        <f t="shared" si="151"/>
        <v>247</v>
      </c>
      <c r="AY204" s="267">
        <f t="shared" si="171"/>
        <v>614</v>
      </c>
      <c r="AZ204" s="267">
        <f t="shared" si="172"/>
        <v>631</v>
      </c>
      <c r="BA204" s="267">
        <f t="shared" si="173"/>
        <v>646</v>
      </c>
      <c r="BB204" s="267">
        <f t="shared" si="174"/>
        <v>188</v>
      </c>
      <c r="BC204" s="267">
        <f t="shared" si="175"/>
        <v>208</v>
      </c>
      <c r="BD204" s="267">
        <f t="shared" si="176"/>
        <v>224</v>
      </c>
      <c r="BE204" s="267">
        <f t="shared" si="177"/>
        <v>234</v>
      </c>
      <c r="BF204" s="267">
        <f t="shared" si="178"/>
        <v>247</v>
      </c>
      <c r="BG204" s="269">
        <f>AY204*VLOOKUP($B204,'Major Cities &amp; Towns'!$A$28:$B$345,2,FALSE)</f>
        <v>828.90000000000009</v>
      </c>
      <c r="BH204" s="269">
        <f>AZ204*VLOOKUP($B204,'Major Cities &amp; Towns'!$A$28:$B$345,2,FALSE)</f>
        <v>851.85</v>
      </c>
      <c r="BI204" s="269">
        <f>BA204*VLOOKUP($B204,'Major Cities &amp; Towns'!$A$28:$B$345,2,FALSE)</f>
        <v>872.1</v>
      </c>
      <c r="BJ204" s="269">
        <f>BB204*VLOOKUP($B204,'Major Cities &amp; Towns'!$A$28:$B$345,2,FALSE)</f>
        <v>253.8</v>
      </c>
      <c r="BK204" s="269">
        <f>BC204*VLOOKUP($B204,'Major Cities &amp; Towns'!$A$28:$B$345,2,FALSE)</f>
        <v>280.8</v>
      </c>
      <c r="BL204" s="269">
        <f>BD204*VLOOKUP($B204,'Major Cities &amp; Towns'!$A$28:$B$345,2,FALSE)</f>
        <v>302.40000000000003</v>
      </c>
      <c r="BM204" s="269">
        <f>BE204*VLOOKUP($B204,'Major Cities &amp; Towns'!$A$28:$B$345,2,FALSE)</f>
        <v>315.90000000000003</v>
      </c>
      <c r="BN204" s="269">
        <f>BF204*VLOOKUP($B204,'Major Cities &amp; Towns'!$A$28:$B$345,2,FALSE)</f>
        <v>333.45000000000005</v>
      </c>
      <c r="BO204" s="270">
        <f t="shared" si="179"/>
        <v>614</v>
      </c>
      <c r="BP204" s="270">
        <f t="shared" si="147"/>
        <v>631</v>
      </c>
      <c r="BQ204" s="270">
        <f t="shared" si="147"/>
        <v>646</v>
      </c>
      <c r="BR204" s="270">
        <f t="shared" si="147"/>
        <v>188</v>
      </c>
      <c r="BS204" s="270">
        <f t="shared" si="146"/>
        <v>208</v>
      </c>
      <c r="BT204" s="270">
        <f t="shared" si="146"/>
        <v>224</v>
      </c>
      <c r="BU204" s="270">
        <f t="shared" si="146"/>
        <v>282.69123287671232</v>
      </c>
      <c r="BV204" s="270">
        <f t="shared" si="146"/>
        <v>247</v>
      </c>
      <c r="BW204" s="39">
        <f>VLOOKUP($A204,NetAdditions!$A$2:$H$336,6,FALSE)</f>
        <v>910</v>
      </c>
      <c r="BX204" s="39">
        <f>VLOOKUP($A204,NetAdditions!$A$2:$H$336,7,FALSE)</f>
        <v>521</v>
      </c>
      <c r="BY204" s="39">
        <f>IF((VLOOKUP($C204,NetAdditions!$A$2:$H$336,8,FALSE))="",(AVERAGE(VLOOKUP($C204,NetAdditions!$A$2:$H$336,5,FALSE),VLOOKUP($C204,NetAdditions!$A$2:$H$336,6,FALSE),VLOOKUP($C204,NetAdditions!$A$2:$H$336,7,FALSE))),VLOOKUP($C204,NetAdditions!$A$2:$H$336,8,FALSE))</f>
        <v>408</v>
      </c>
      <c r="BZ204" s="39">
        <f t="shared" si="150"/>
        <v>613</v>
      </c>
      <c r="CA204" s="39">
        <f t="shared" si="150"/>
        <v>514</v>
      </c>
      <c r="CB204" s="39">
        <f t="shared" si="150"/>
        <v>511.66666666666669</v>
      </c>
      <c r="CC204" s="39">
        <f t="shared" si="150"/>
        <v>546.22222222222229</v>
      </c>
      <c r="CD204" s="39">
        <f t="shared" si="150"/>
        <v>523.96296296296305</v>
      </c>
      <c r="CE204" s="276">
        <f t="shared" si="155"/>
        <v>1891</v>
      </c>
      <c r="CF204" s="276">
        <f t="shared" si="156"/>
        <v>1465</v>
      </c>
      <c r="CG204" s="276">
        <f t="shared" si="157"/>
        <v>1042</v>
      </c>
      <c r="CH204" s="276">
        <f t="shared" si="158"/>
        <v>620</v>
      </c>
      <c r="CI204" s="276">
        <f t="shared" si="159"/>
        <v>714.69123287671232</v>
      </c>
      <c r="CJ204" s="276">
        <f t="shared" si="160"/>
        <v>753.69123287671232</v>
      </c>
      <c r="CK204" s="276">
        <f t="shared" si="180"/>
        <v>1628.3611111111113</v>
      </c>
      <c r="CL204" s="276">
        <f t="shared" si="181"/>
        <v>1261.5277777777778</v>
      </c>
      <c r="CM204" s="276">
        <f t="shared" si="182"/>
        <v>955.16666666666663</v>
      </c>
      <c r="CN204" s="276">
        <f t="shared" si="183"/>
        <v>620</v>
      </c>
      <c r="CO204" s="276">
        <f t="shared" si="183"/>
        <v>714.69123287671232</v>
      </c>
      <c r="CP204" s="276">
        <f t="shared" si="183"/>
        <v>753.69123287671232</v>
      </c>
      <c r="CQ204" s="39">
        <f t="shared" si="161"/>
        <v>1839</v>
      </c>
      <c r="CR204" s="39">
        <f t="shared" si="162"/>
        <v>1542</v>
      </c>
      <c r="CS204" s="277">
        <f t="shared" si="163"/>
        <v>1535</v>
      </c>
      <c r="CT204" s="39">
        <f t="shared" si="164"/>
        <v>1638.6666666666667</v>
      </c>
      <c r="CU204" s="39">
        <f t="shared" si="165"/>
        <v>1571.8888888888891</v>
      </c>
      <c r="CV204" s="39">
        <f t="shared" si="166"/>
        <v>1581.851851851852</v>
      </c>
      <c r="CW204" s="297">
        <f t="shared" si="167"/>
        <v>1.1293563739956669</v>
      </c>
      <c r="CX204" s="279" t="str">
        <f t="shared" si="184"/>
        <v>Pass</v>
      </c>
      <c r="CY204" s="278">
        <f t="shared" si="168"/>
        <v>1.2223274248596279</v>
      </c>
      <c r="CZ204" s="279" t="str">
        <f t="shared" si="185"/>
        <v>Pass</v>
      </c>
      <c r="DA204" s="278">
        <f t="shared" si="169"/>
        <v>1.6070493805618566</v>
      </c>
      <c r="DB204" s="292" t="str">
        <f t="shared" si="186"/>
        <v>Pass</v>
      </c>
      <c r="DC204" s="299">
        <f t="shared" si="187"/>
        <v>2.6430107526881721</v>
      </c>
      <c r="DD204" s="293" t="str">
        <f t="shared" si="188"/>
        <v>Pass</v>
      </c>
      <c r="DE204" s="299">
        <f t="shared" si="189"/>
        <v>2.1993957902097949</v>
      </c>
      <c r="DF204" s="293" t="str">
        <f t="shared" si="190"/>
        <v>Pass</v>
      </c>
      <c r="DG204" s="299">
        <f t="shared" si="191"/>
        <v>2.0988062257460394</v>
      </c>
      <c r="DH204" s="293" t="str">
        <f t="shared" si="192"/>
        <v>Pass</v>
      </c>
    </row>
    <row r="205" spans="1:112" customFormat="1" ht="15.5" thickTop="1" thickBot="1">
      <c r="A205" s="3" t="s">
        <v>520</v>
      </c>
      <c r="B205" s="3" t="s">
        <v>521</v>
      </c>
      <c r="C205" s="3" t="s">
        <v>520</v>
      </c>
      <c r="D205" s="3" t="s">
        <v>131</v>
      </c>
      <c r="E205" s="3" t="str">
        <f>VLOOKUP(C205,PoliticalControl!A:K,11,FALSE)</f>
        <v>LAB</v>
      </c>
      <c r="F205" s="3" t="str">
        <f>VLOOKUP(C205,UrbanRuralClassification!A:N,13,FALSE)</f>
        <v>Urban with Major Conurbation</v>
      </c>
      <c r="G205" s="3" t="str">
        <f>VLOOKUP(C205,UrbanRuralClassification!A:N,14,FALSE)</f>
        <v>Predominantly Urban</v>
      </c>
      <c r="H205" s="262">
        <f>IF(ISBLANK((VLOOKUP($A205,'local-plan-data'!$C$1:$AD$566,27,FALSE)))=TRUE,"",VLOOKUP($A205,'local-plan-data'!$C$1:$AD$566,27,FALSE))</f>
        <v>43174</v>
      </c>
      <c r="I205" s="263">
        <f>VLOOKUP($A205,'local-plan-data'!$C$1:$AD$566,28,FALSE)</f>
        <v>1123</v>
      </c>
      <c r="J205" s="264">
        <f t="shared" si="170"/>
        <v>1123</v>
      </c>
      <c r="K205" s="259">
        <f t="shared" si="144"/>
        <v>1123</v>
      </c>
      <c r="L205" s="259">
        <f t="shared" si="153"/>
        <v>1123</v>
      </c>
      <c r="M205" s="259">
        <f t="shared" si="153"/>
        <v>1123</v>
      </c>
      <c r="N205" s="259">
        <f t="shared" si="153"/>
        <v>1123</v>
      </c>
      <c r="O205" s="259">
        <f t="shared" si="153"/>
        <v>1123</v>
      </c>
      <c r="P205" s="259" t="str">
        <f t="shared" si="153"/>
        <v>-</v>
      </c>
      <c r="Q205" s="259" t="str">
        <f t="shared" si="153"/>
        <v>-</v>
      </c>
      <c r="R205" s="259" t="str">
        <f t="shared" si="153"/>
        <v>-</v>
      </c>
      <c r="S205" s="259">
        <f t="shared" si="145"/>
        <v>1809</v>
      </c>
      <c r="T205" s="259">
        <f t="shared" si="154"/>
        <v>1444</v>
      </c>
      <c r="U205" s="259">
        <f t="shared" si="154"/>
        <v>1078</v>
      </c>
      <c r="V205" s="259">
        <f t="shared" si="154"/>
        <v>713</v>
      </c>
      <c r="W205" s="259">
        <f t="shared" si="154"/>
        <v>348</v>
      </c>
      <c r="X205" s="259">
        <f t="shared" si="154"/>
        <v>-17</v>
      </c>
      <c r="Y205" s="259">
        <f t="shared" si="154"/>
        <v>-383</v>
      </c>
      <c r="Z205" s="259">
        <f t="shared" si="154"/>
        <v>-748</v>
      </c>
      <c r="AA205" s="267">
        <f>(VLOOKUP(A205,Hshldprojections2014!$A$2:$AW$319,40, FALSE)-VLOOKUP(A205,Hshldprojections2014!$A$2:$AW$319,30, FALSE))/10</f>
        <v>2093.5</v>
      </c>
      <c r="AB205" s="267">
        <f>(VLOOKUP(A205,Hshldprojections2014!$A$2:$AW$319,41, FALSE)-VLOOKUP(A205,Hshldprojections2014!$A$2:$AW$319,31, FALSE))/10</f>
        <v>2071.4</v>
      </c>
      <c r="AC205" s="267">
        <f>(VLOOKUP(A205,Hshldprojections2014!$A$2:$AW$319,42, FALSE)-VLOOKUP(A205,Hshldprojections2014!$A$2:$AW$319,32, FALSE))/10</f>
        <v>2043.6</v>
      </c>
      <c r="AD205" s="267">
        <f>IF(IndividualLATest!$J$7=2014,(VLOOKUP($A205,Hshldprojections2014!$A$2:$AY$326,43,FALSE)-VLOOKUP($A205,Hshldprojections2014!$A$2:$AY$326,33,FALSE))/10,IF(IndividualLATest!$J$7=2016,(VLOOKUP($A205,Hshldprojections2016!$A$1:$AQ$322,33,FALSE)-VLOOKUP($A205,Hshldprojections2016!$A$1:$AQ$322,23,FALSE))/10,(VLOOKUP($A205,Hshldprojections2018!$A$1:$AQ$327,33,FALSE)-VLOOKUP($A205,Hshldprojections2018!$A$1:$AQ$327,23,FALSE))/10))</f>
        <v>900.8</v>
      </c>
      <c r="AE205" s="267">
        <f>IF(IndividualLATest!$J$7=2014,(VLOOKUP($A205,Hshldprojections2014!$A$2:$AY$326,44,FALSE)-VLOOKUP($A205,Hshldprojections2014!$A$2:$AY$326,34,FALSE))/10,IF(IndividualLATest!$J$7=2016,(VLOOKUP($A205,Hshldprojections2016!$A$1:$AQ$322,34,FALSE)-VLOOKUP($A205,Hshldprojections2016!$A$1:$AQ$322,24,FALSE))/10,(VLOOKUP($A205,Hshldprojections2018!$A$1:$AQ$327,34,FALSE)-VLOOKUP($A205,Hshldprojections2018!$A$1:$AQ$327,24,FALSE))/10))</f>
        <v>875.4</v>
      </c>
      <c r="AF205" s="267">
        <f>IF(IndividualLATest!$J$7=2014,(VLOOKUP($A205,Hshldprojections2014!$A$2:$AY$326,45,FALSE)-VLOOKUP($A205,Hshldprojections2014!$A$2:$AY$326,35,FALSE))/10,IF(IndividualLATest!$J$7=2016,(VLOOKUP($A205,Hshldprojections2016!$A$1:$AQ$322,35,FALSE)-VLOOKUP($A205,Hshldprojections2016!$A$1:$AQ$322,25,FALSE))/10,(VLOOKUP($A205,Hshldprojections2018!$A$1:$AQ$327,35,FALSE)-VLOOKUP($A205,Hshldprojections2018!$A$1:$AQ$327,25,FALSE))/10))</f>
        <v>850.4</v>
      </c>
      <c r="AG205" s="267">
        <f>IF(IndividualLATest!$J$7=2014,(VLOOKUP($A205,Hshldprojections2014!$A$2:$AY$326,46,FALSE)-VLOOKUP($A205,Hshldprojections2014!$A$2:$AY$326,36,FALSE))/10,IF(IndividualLATest!$J$7=2016,(VLOOKUP($A205,Hshldprojections2016!$A$1:$AQ$322,36,FALSE)-VLOOKUP($A205,Hshldprojections2016!$A$1:$AQ$322,26,FALSE))/10,(VLOOKUP($A205,Hshldprojections2018!$A$1:$AQ$327,36,FALSE)-VLOOKUP($A205,Hshldprojections2018!$A$1:$AQ$327,26,FALSE))/10))</f>
        <v>833.4</v>
      </c>
      <c r="AH205" s="267">
        <f>IF(IndividualLATest!$J$7=2014,(VLOOKUP($A205,Hshldprojections2014!$A$2:$AY$326,47,FALSE)-VLOOKUP($A205,Hshldprojections2014!$A$2:$AY$326,37,FALSE))/10,IF(IndividualLATest!$J$7=2016,(VLOOKUP($A205,Hshldprojections2016!$A$1:$AQ$322,37,FALSE)-VLOOKUP($A205,Hshldprojections2016!$A$1:$AQ$322,27,FALSE))/10,(VLOOKUP($A205,Hshldprojections2018!$A$1:$AQ$327,37,FALSE)-VLOOKUP($A205,Hshldprojections2018!$A$1:$AQ$327,27,FALSE))/10))</f>
        <v>817.4</v>
      </c>
      <c r="AI205" s="268">
        <f>IF(ISNUMBER('Sensitivity Tests'!$C$30),'Sensitivity Tests'!$C$30,VLOOKUP($A205,AffordabilityRatio!$A$2:$I$321,5,FALSE))</f>
        <v>14.22</v>
      </c>
      <c r="AJ205" s="268">
        <f>IF(ISNUMBER('Sensitivity Tests'!$C$30),'Sensitivity Tests'!$C$30,VLOOKUP($A205,AffordabilityRatio!$A$2:$I$321,6,FALSE))</f>
        <v>15.74</v>
      </c>
      <c r="AK205" s="268">
        <f>IF(ISNUMBER('Sensitivity Tests'!$C$30),'Sensitivity Tests'!$C$30,VLOOKUP($A205,AffordabilityRatio!$A$2:$I$321,7,FALSE))</f>
        <v>14.22</v>
      </c>
      <c r="AL205" s="268">
        <f>IF(ISNUMBER('Sensitivity Tests'!$C$30),'Sensitivity Tests'!$C$30,IF((VLOOKUP($A205,AffordabilityRatio!$A$2:$I$321,8,FALSE))="",AK205,VLOOKUP($A205,AffordabilityRatio!$A$2:$I$321,8,FALSE)))</f>
        <v>13.22</v>
      </c>
      <c r="AM205" s="268">
        <f>IF(ISNUMBER('Sensitivity Tests'!$C$30),'Sensitivity Tests'!$C$30,IF((VLOOKUP($A205,AffordabilityRatio!$A$2:$I$321,9,FALSE))="",AL205,VLOOKUP($A205,AffordabilityRatio!$A$2:$I$321,9,FALSE)))</f>
        <v>15.84</v>
      </c>
      <c r="AN205" s="268">
        <f>IF(ISNUMBER('Sensitivity Tests'!$C$30),'Sensitivity Tests'!$C$30,IF((VLOOKUP($A205,AffordabilityRatio!$A$2:$I$321,9,FALSE))="",AM205,VLOOKUP($A205,AffordabilityRatio!$A$2:$I$321,9,FALSE)))</f>
        <v>15.84</v>
      </c>
      <c r="AO205" s="268">
        <f>IF(ISNUMBER('Sensitivity Tests'!$C$30),'Sensitivity Tests'!$C$30,IF((VLOOKUP($A205,AffordabilityRatio!$A$2:$I$321,9,FALSE))="",AN205,VLOOKUP($A205,AffordabilityRatio!$A$2:$I$321,9,FALSE)))</f>
        <v>15.84</v>
      </c>
      <c r="AP205" s="268">
        <f>IF(ISNUMBER('Sensitivity Tests'!$C$30),'Sensitivity Tests'!$C$30,IF((VLOOKUP($A205,AffordabilityRatio!$A$2:$I$321,9,FALSE))="",AO205,VLOOKUP($A205,AffordabilityRatio!$A$2:$I$321,9,FALSE)))</f>
        <v>15.84</v>
      </c>
      <c r="AQ205" s="267">
        <f t="shared" si="152"/>
        <v>3431</v>
      </c>
      <c r="AR205" s="267">
        <f t="shared" si="152"/>
        <v>3591</v>
      </c>
      <c r="AS205" s="267">
        <f t="shared" si="152"/>
        <v>3349</v>
      </c>
      <c r="AT205" s="267">
        <f t="shared" si="152"/>
        <v>1420</v>
      </c>
      <c r="AU205" s="267">
        <f t="shared" si="152"/>
        <v>1523</v>
      </c>
      <c r="AV205" s="267">
        <f t="shared" si="151"/>
        <v>1480</v>
      </c>
      <c r="AW205" s="267">
        <f t="shared" si="151"/>
        <v>1450</v>
      </c>
      <c r="AX205" s="267">
        <f t="shared" si="151"/>
        <v>1422</v>
      </c>
      <c r="AY205" s="267">
        <f t="shared" si="171"/>
        <v>1572.2</v>
      </c>
      <c r="AZ205" s="267">
        <f t="shared" si="172"/>
        <v>1572.2</v>
      </c>
      <c r="BA205" s="267">
        <f t="shared" si="173"/>
        <v>1572.2</v>
      </c>
      <c r="BB205" s="267">
        <f t="shared" si="174"/>
        <v>1420</v>
      </c>
      <c r="BC205" s="267">
        <f t="shared" si="175"/>
        <v>1523</v>
      </c>
      <c r="BD205" s="267">
        <f t="shared" si="176"/>
        <v>1480</v>
      </c>
      <c r="BE205" s="267">
        <f t="shared" si="177"/>
        <v>1450</v>
      </c>
      <c r="BF205" s="267">
        <f t="shared" si="178"/>
        <v>1422</v>
      </c>
      <c r="BG205" s="269">
        <f>AY205*VLOOKUP($B205,'Major Cities &amp; Towns'!$A$28:$B$345,2,FALSE)</f>
        <v>2122.4700000000003</v>
      </c>
      <c r="BH205" s="269">
        <f>AZ205*VLOOKUP($B205,'Major Cities &amp; Towns'!$A$28:$B$345,2,FALSE)</f>
        <v>2122.4700000000003</v>
      </c>
      <c r="BI205" s="269">
        <f>BA205*VLOOKUP($B205,'Major Cities &amp; Towns'!$A$28:$B$345,2,FALSE)</f>
        <v>2122.4700000000003</v>
      </c>
      <c r="BJ205" s="269">
        <f>BB205*VLOOKUP($B205,'Major Cities &amp; Towns'!$A$28:$B$345,2,FALSE)</f>
        <v>1917.0000000000002</v>
      </c>
      <c r="BK205" s="269">
        <f>BC205*VLOOKUP($B205,'Major Cities &amp; Towns'!$A$28:$B$345,2,FALSE)</f>
        <v>2056.0500000000002</v>
      </c>
      <c r="BL205" s="269">
        <f>BD205*VLOOKUP($B205,'Major Cities &amp; Towns'!$A$28:$B$345,2,FALSE)</f>
        <v>1998.0000000000002</v>
      </c>
      <c r="BM205" s="269">
        <f>BE205*VLOOKUP($B205,'Major Cities &amp; Towns'!$A$28:$B$345,2,FALSE)</f>
        <v>1957.5000000000002</v>
      </c>
      <c r="BN205" s="269">
        <f>BF205*VLOOKUP($B205,'Major Cities &amp; Towns'!$A$28:$B$345,2,FALSE)</f>
        <v>1919.7</v>
      </c>
      <c r="BO205" s="270">
        <f t="shared" si="179"/>
        <v>1123</v>
      </c>
      <c r="BP205" s="270">
        <f t="shared" si="147"/>
        <v>1123</v>
      </c>
      <c r="BQ205" s="270">
        <f t="shared" si="147"/>
        <v>1123</v>
      </c>
      <c r="BR205" s="270">
        <f t="shared" si="147"/>
        <v>1123</v>
      </c>
      <c r="BS205" s="270">
        <f t="shared" si="146"/>
        <v>1141.6301369863013</v>
      </c>
      <c r="BT205" s="270">
        <f t="shared" si="146"/>
        <v>1480</v>
      </c>
      <c r="BU205" s="270">
        <f t="shared" si="146"/>
        <v>1450</v>
      </c>
      <c r="BV205" s="270">
        <f t="shared" si="146"/>
        <v>1422</v>
      </c>
      <c r="BW205" s="39">
        <f>VLOOKUP($A205,NetAdditions!$A$2:$H$336,6,FALSE)</f>
        <v>764</v>
      </c>
      <c r="BX205" s="39">
        <f>VLOOKUP($A205,NetAdditions!$A$2:$H$336,7,FALSE)</f>
        <v>624</v>
      </c>
      <c r="BY205" s="39">
        <f>IF((VLOOKUP($C205,NetAdditions!$A$2:$H$336,8,FALSE))="",(AVERAGE(VLOOKUP($C205,NetAdditions!$A$2:$H$336,5,FALSE),VLOOKUP($C205,NetAdditions!$A$2:$H$336,6,FALSE),VLOOKUP($C205,NetAdditions!$A$2:$H$336,7,FALSE))),VLOOKUP($C205,NetAdditions!$A$2:$H$336,8,FALSE))</f>
        <v>2441</v>
      </c>
      <c r="BZ205" s="39">
        <f t="shared" si="150"/>
        <v>1276.3333333333333</v>
      </c>
      <c r="CA205" s="39">
        <f t="shared" si="150"/>
        <v>1447.1111111111111</v>
      </c>
      <c r="CB205" s="39">
        <f t="shared" si="150"/>
        <v>1721.4814814814815</v>
      </c>
      <c r="CC205" s="39">
        <f t="shared" si="150"/>
        <v>1481.641975308642</v>
      </c>
      <c r="CD205" s="39">
        <f t="shared" si="150"/>
        <v>1550.0781893004114</v>
      </c>
      <c r="CE205" s="276">
        <f t="shared" si="155"/>
        <v>3369</v>
      </c>
      <c r="CF205" s="276">
        <f t="shared" si="156"/>
        <v>3369</v>
      </c>
      <c r="CG205" s="276">
        <f t="shared" si="157"/>
        <v>3387.6301369863013</v>
      </c>
      <c r="CH205" s="276">
        <f t="shared" si="158"/>
        <v>3744.6301369863013</v>
      </c>
      <c r="CI205" s="276">
        <f t="shared" si="159"/>
        <v>4071.6301369863013</v>
      </c>
      <c r="CJ205" s="276">
        <f t="shared" si="160"/>
        <v>4352</v>
      </c>
      <c r="CK205" s="276">
        <f t="shared" si="180"/>
        <v>2901.0833333333335</v>
      </c>
      <c r="CL205" s="276">
        <f t="shared" si="181"/>
        <v>2901.0833333333335</v>
      </c>
      <c r="CM205" s="276">
        <f t="shared" si="182"/>
        <v>3105.327625570776</v>
      </c>
      <c r="CN205" s="276">
        <f t="shared" si="183"/>
        <v>3744.6301369863013</v>
      </c>
      <c r="CO205" s="276">
        <f t="shared" si="183"/>
        <v>4071.6301369863013</v>
      </c>
      <c r="CP205" s="276">
        <f t="shared" si="183"/>
        <v>4352</v>
      </c>
      <c r="CQ205" s="39">
        <f t="shared" si="161"/>
        <v>3829</v>
      </c>
      <c r="CR205" s="39">
        <f t="shared" si="162"/>
        <v>4341.333333333333</v>
      </c>
      <c r="CS205" s="277">
        <f t="shared" si="163"/>
        <v>5164.4444444444443</v>
      </c>
      <c r="CT205" s="39">
        <f t="shared" si="164"/>
        <v>4444.9259259259261</v>
      </c>
      <c r="CU205" s="39">
        <f t="shared" si="165"/>
        <v>4650.2345679012342</v>
      </c>
      <c r="CV205" s="39">
        <f t="shared" si="166"/>
        <v>4753.2016460905352</v>
      </c>
      <c r="CW205" s="297">
        <f t="shared" si="167"/>
        <v>1.3198517795076552</v>
      </c>
      <c r="CX205" s="279" t="str">
        <f t="shared" si="184"/>
        <v>Pass</v>
      </c>
      <c r="CY205" s="278">
        <f t="shared" si="168"/>
        <v>1.4964524746502741</v>
      </c>
      <c r="CZ205" s="279" t="str">
        <f t="shared" si="185"/>
        <v>Pass</v>
      </c>
      <c r="DA205" s="278">
        <f t="shared" si="169"/>
        <v>1.6630916499495578</v>
      </c>
      <c r="DB205" s="292" t="str">
        <f t="shared" si="186"/>
        <v>Pass</v>
      </c>
      <c r="DC205" s="299">
        <f t="shared" si="187"/>
        <v>1.1870133399885594</v>
      </c>
      <c r="DD205" s="293" t="str">
        <f t="shared" si="188"/>
        <v>Pass</v>
      </c>
      <c r="DE205" s="299">
        <f t="shared" si="189"/>
        <v>1.1421063336914974</v>
      </c>
      <c r="DF205" s="293" t="str">
        <f t="shared" si="190"/>
        <v>Pass</v>
      </c>
      <c r="DG205" s="299">
        <f t="shared" si="191"/>
        <v>1.0921878782377148</v>
      </c>
      <c r="DH205" s="293" t="str">
        <f t="shared" si="192"/>
        <v>Pass</v>
      </c>
    </row>
    <row r="206" spans="1:112" ht="15" thickTop="1" thickBot="1">
      <c r="A206" s="38" t="s">
        <v>522</v>
      </c>
      <c r="B206" s="38" t="s">
        <v>523</v>
      </c>
      <c r="C206" s="38" t="s">
        <v>522</v>
      </c>
      <c r="D206" s="38" t="s">
        <v>259</v>
      </c>
      <c r="E206" s="38" t="str">
        <f>VLOOKUP(C206,PoliticalControl!A:K,11,FALSE)</f>
        <v>NOC</v>
      </c>
      <c r="F206" s="38" t="str">
        <f>VLOOKUP(C206,UrbanRuralClassification!A:N,13,FALSE)</f>
        <v>Urban with Significant Rural (rural including hub towns 26-49%)</v>
      </c>
      <c r="G206" s="38" t="str">
        <f>VLOOKUP(C206,UrbanRuralClassification!A:N,14,FALSE)</f>
        <v>Urban with Significant Rural</v>
      </c>
      <c r="H206" s="258">
        <f>IF(ISBLANK((VLOOKUP($A206,'local-plan-data'!$C$1:$AD$566,27,FALSE)))=TRUE,"",VLOOKUP($A206,'local-plan-data'!$C$1:$AD$566,27,FALSE))</f>
        <v>43244</v>
      </c>
      <c r="I206" s="259">
        <f>VLOOKUP($A206,'local-plan-data'!$C$1:$AD$566,28,FALSE)</f>
        <v>234</v>
      </c>
      <c r="J206" s="260">
        <f t="shared" si="170"/>
        <v>234</v>
      </c>
      <c r="K206" s="259">
        <f t="shared" si="144"/>
        <v>234</v>
      </c>
      <c r="L206" s="259">
        <f t="shared" si="153"/>
        <v>234</v>
      </c>
      <c r="M206" s="259">
        <f t="shared" si="153"/>
        <v>234</v>
      </c>
      <c r="N206" s="259">
        <f t="shared" si="153"/>
        <v>234</v>
      </c>
      <c r="O206" s="259">
        <f t="shared" si="153"/>
        <v>234</v>
      </c>
      <c r="P206" s="259">
        <f t="shared" si="153"/>
        <v>234</v>
      </c>
      <c r="Q206" s="259" t="str">
        <f t="shared" si="153"/>
        <v>-</v>
      </c>
      <c r="R206" s="259" t="str">
        <f t="shared" si="153"/>
        <v>-</v>
      </c>
      <c r="S206" s="259">
        <f t="shared" si="145"/>
        <v>1879</v>
      </c>
      <c r="T206" s="259">
        <f t="shared" si="154"/>
        <v>1514</v>
      </c>
      <c r="U206" s="259">
        <f t="shared" si="154"/>
        <v>1148</v>
      </c>
      <c r="V206" s="259">
        <f t="shared" si="154"/>
        <v>783</v>
      </c>
      <c r="W206" s="259">
        <f t="shared" si="154"/>
        <v>418</v>
      </c>
      <c r="X206" s="259">
        <f t="shared" si="154"/>
        <v>53</v>
      </c>
      <c r="Y206" s="259">
        <f t="shared" si="154"/>
        <v>-313</v>
      </c>
      <c r="Z206" s="259">
        <f t="shared" si="154"/>
        <v>-678</v>
      </c>
      <c r="AA206" s="267">
        <f>(VLOOKUP(A206,Hshldprojections2014!$A$2:$AW$319,40, FALSE)-VLOOKUP(A206,Hshldprojections2014!$A$2:$AW$319,30, FALSE))/10</f>
        <v>109.3</v>
      </c>
      <c r="AB206" s="267">
        <f>(VLOOKUP(A206,Hshldprojections2014!$A$2:$AW$319,41, FALSE)-VLOOKUP(A206,Hshldprojections2014!$A$2:$AW$319,31, FALSE))/10</f>
        <v>94.9</v>
      </c>
      <c r="AC206" s="267">
        <f>(VLOOKUP(A206,Hshldprojections2014!$A$2:$AW$319,42, FALSE)-VLOOKUP(A206,Hshldprojections2014!$A$2:$AW$319,32, FALSE))/10</f>
        <v>83.4</v>
      </c>
      <c r="AD206" s="267">
        <f>IF(IndividualLATest!$J$7=2014,(VLOOKUP($A206,Hshldprojections2014!$A$2:$AY$326,43,FALSE)-VLOOKUP($A206,Hshldprojections2014!$A$2:$AY$326,33,FALSE))/10,IF(IndividualLATest!$J$7=2016,(VLOOKUP($A206,Hshldprojections2016!$A$1:$AQ$322,33,FALSE)-VLOOKUP($A206,Hshldprojections2016!$A$1:$AQ$322,23,FALSE))/10,(VLOOKUP($A206,Hshldprojections2018!$A$1:$AQ$327,33,FALSE)-VLOOKUP($A206,Hshldprojections2018!$A$1:$AQ$327,23,FALSE))/10))</f>
        <v>267.10000000000002</v>
      </c>
      <c r="AE206" s="267">
        <f>IF(IndividualLATest!$J$7=2014,(VLOOKUP($A206,Hshldprojections2014!$A$2:$AY$326,44,FALSE)-VLOOKUP($A206,Hshldprojections2014!$A$2:$AY$326,34,FALSE))/10,IF(IndividualLATest!$J$7=2016,(VLOOKUP($A206,Hshldprojections2016!$A$1:$AQ$322,34,FALSE)-VLOOKUP($A206,Hshldprojections2016!$A$1:$AQ$322,24,FALSE))/10,(VLOOKUP($A206,Hshldprojections2018!$A$1:$AQ$327,34,FALSE)-VLOOKUP($A206,Hshldprojections2018!$A$1:$AQ$327,24,FALSE))/10))</f>
        <v>258.5</v>
      </c>
      <c r="AF206" s="267">
        <f>IF(IndividualLATest!$J$7=2014,(VLOOKUP($A206,Hshldprojections2014!$A$2:$AY$326,45,FALSE)-VLOOKUP($A206,Hshldprojections2014!$A$2:$AY$326,35,FALSE))/10,IF(IndividualLATest!$J$7=2016,(VLOOKUP($A206,Hshldprojections2016!$A$1:$AQ$322,35,FALSE)-VLOOKUP($A206,Hshldprojections2016!$A$1:$AQ$322,25,FALSE))/10,(VLOOKUP($A206,Hshldprojections2018!$A$1:$AQ$327,35,FALSE)-VLOOKUP($A206,Hshldprojections2018!$A$1:$AQ$327,25,FALSE))/10))</f>
        <v>258.60000000000002</v>
      </c>
      <c r="AG206" s="267">
        <f>IF(IndividualLATest!$J$7=2014,(VLOOKUP($A206,Hshldprojections2014!$A$2:$AY$326,46,FALSE)-VLOOKUP($A206,Hshldprojections2014!$A$2:$AY$326,36,FALSE))/10,IF(IndividualLATest!$J$7=2016,(VLOOKUP($A206,Hshldprojections2016!$A$1:$AQ$322,36,FALSE)-VLOOKUP($A206,Hshldprojections2016!$A$1:$AQ$322,26,FALSE))/10,(VLOOKUP($A206,Hshldprojections2018!$A$1:$AQ$327,36,FALSE)-VLOOKUP($A206,Hshldprojections2018!$A$1:$AQ$327,26,FALSE))/10))</f>
        <v>252.3</v>
      </c>
      <c r="AH206" s="267">
        <f>IF(IndividualLATest!$J$7=2014,(VLOOKUP($A206,Hshldprojections2014!$A$2:$AY$326,47,FALSE)-VLOOKUP($A206,Hshldprojections2014!$A$2:$AY$326,37,FALSE))/10,IF(IndividualLATest!$J$7=2016,(VLOOKUP($A206,Hshldprojections2016!$A$1:$AQ$322,37,FALSE)-VLOOKUP($A206,Hshldprojections2016!$A$1:$AQ$322,27,FALSE))/10,(VLOOKUP($A206,Hshldprojections2018!$A$1:$AQ$327,37,FALSE)-VLOOKUP($A206,Hshldprojections2018!$A$1:$AQ$327,27,FALSE))/10))</f>
        <v>249.4</v>
      </c>
      <c r="AI206" s="268">
        <f>IF(ISNUMBER('Sensitivity Tests'!$C$30),'Sensitivity Tests'!$C$30,VLOOKUP($A206,AffordabilityRatio!$A$2:$I$321,5,FALSE))</f>
        <v>5.1100000000000003</v>
      </c>
      <c r="AJ206" s="268">
        <f>IF(ISNUMBER('Sensitivity Tests'!$C$30),'Sensitivity Tests'!$C$30,VLOOKUP($A206,AffordabilityRatio!$A$2:$I$321,6,FALSE))</f>
        <v>5.12</v>
      </c>
      <c r="AK206" s="268">
        <f>IF(ISNUMBER('Sensitivity Tests'!$C$30),'Sensitivity Tests'!$C$30,VLOOKUP($A206,AffordabilityRatio!$A$2:$I$321,7,FALSE))</f>
        <v>5.03</v>
      </c>
      <c r="AL206" s="268">
        <f>IF(ISNUMBER('Sensitivity Tests'!$C$30),'Sensitivity Tests'!$C$30,IF((VLOOKUP($A206,AffordabilityRatio!$A$2:$I$321,8,FALSE))="",AK206,VLOOKUP($A206,AffordabilityRatio!$A$2:$I$321,8,FALSE)))</f>
        <v>5.09</v>
      </c>
      <c r="AM206" s="268">
        <f>IF(ISNUMBER('Sensitivity Tests'!$C$30),'Sensitivity Tests'!$C$30,IF((VLOOKUP($A206,AffordabilityRatio!$A$2:$I$321,9,FALSE))="",AL206,VLOOKUP($A206,AffordabilityRatio!$A$2:$I$321,9,FALSE)))</f>
        <v>5.61</v>
      </c>
      <c r="AN206" s="268">
        <f>IF(ISNUMBER('Sensitivity Tests'!$C$30),'Sensitivity Tests'!$C$30,IF((VLOOKUP($A206,AffordabilityRatio!$A$2:$I$321,9,FALSE))="",AM206,VLOOKUP($A206,AffordabilityRatio!$A$2:$I$321,9,FALSE)))</f>
        <v>5.61</v>
      </c>
      <c r="AO206" s="268">
        <f>IF(ISNUMBER('Sensitivity Tests'!$C$30),'Sensitivity Tests'!$C$30,IF((VLOOKUP($A206,AffordabilityRatio!$A$2:$I$321,9,FALSE))="",AN206,VLOOKUP($A206,AffordabilityRatio!$A$2:$I$321,9,FALSE)))</f>
        <v>5.61</v>
      </c>
      <c r="AP206" s="268">
        <f>IF(ISNUMBER('Sensitivity Tests'!$C$30),'Sensitivity Tests'!$C$30,IF((VLOOKUP($A206,AffordabilityRatio!$A$2:$I$321,9,FALSE))="",AO206,VLOOKUP($A206,AffordabilityRatio!$A$2:$I$321,9,FALSE)))</f>
        <v>5.61</v>
      </c>
      <c r="AQ206" s="267">
        <f t="shared" si="152"/>
        <v>117</v>
      </c>
      <c r="AR206" s="267">
        <f t="shared" si="152"/>
        <v>102</v>
      </c>
      <c r="AS206" s="267">
        <f t="shared" si="152"/>
        <v>89</v>
      </c>
      <c r="AT206" s="267">
        <f t="shared" si="152"/>
        <v>285</v>
      </c>
      <c r="AU206" s="267">
        <f t="shared" si="152"/>
        <v>285</v>
      </c>
      <c r="AV206" s="267">
        <f t="shared" si="151"/>
        <v>285</v>
      </c>
      <c r="AW206" s="267">
        <f t="shared" si="151"/>
        <v>278</v>
      </c>
      <c r="AX206" s="267">
        <f t="shared" si="151"/>
        <v>274</v>
      </c>
      <c r="AY206" s="267">
        <f t="shared" si="171"/>
        <v>117</v>
      </c>
      <c r="AZ206" s="267">
        <f t="shared" si="172"/>
        <v>102</v>
      </c>
      <c r="BA206" s="267">
        <f t="shared" si="173"/>
        <v>89</v>
      </c>
      <c r="BB206" s="267">
        <f t="shared" si="174"/>
        <v>285</v>
      </c>
      <c r="BC206" s="267">
        <f t="shared" si="175"/>
        <v>285</v>
      </c>
      <c r="BD206" s="267">
        <f t="shared" si="176"/>
        <v>285</v>
      </c>
      <c r="BE206" s="267">
        <f t="shared" si="177"/>
        <v>278</v>
      </c>
      <c r="BF206" s="267">
        <f t="shared" si="178"/>
        <v>274</v>
      </c>
      <c r="BG206" s="269">
        <f>AY206*VLOOKUP($B206,'Major Cities &amp; Towns'!$A$28:$B$345,2,FALSE)</f>
        <v>117</v>
      </c>
      <c r="BH206" s="269">
        <f>AZ206*VLOOKUP($B206,'Major Cities &amp; Towns'!$A$28:$B$345,2,FALSE)</f>
        <v>102</v>
      </c>
      <c r="BI206" s="269">
        <f>BA206*VLOOKUP($B206,'Major Cities &amp; Towns'!$A$28:$B$345,2,FALSE)</f>
        <v>89</v>
      </c>
      <c r="BJ206" s="269">
        <f>BB206*VLOOKUP($B206,'Major Cities &amp; Towns'!$A$28:$B$345,2,FALSE)</f>
        <v>285</v>
      </c>
      <c r="BK206" s="269">
        <f>BC206*VLOOKUP($B206,'Major Cities &amp; Towns'!$A$28:$B$345,2,FALSE)</f>
        <v>285</v>
      </c>
      <c r="BL206" s="269">
        <f>BD206*VLOOKUP($B206,'Major Cities &amp; Towns'!$A$28:$B$345,2,FALSE)</f>
        <v>285</v>
      </c>
      <c r="BM206" s="269">
        <f>BE206*VLOOKUP($B206,'Major Cities &amp; Towns'!$A$28:$B$345,2,FALSE)</f>
        <v>278</v>
      </c>
      <c r="BN206" s="269">
        <f>BF206*VLOOKUP($B206,'Major Cities &amp; Towns'!$A$28:$B$345,2,FALSE)</f>
        <v>274</v>
      </c>
      <c r="BO206" s="270">
        <f t="shared" si="179"/>
        <v>117</v>
      </c>
      <c r="BP206" s="270">
        <f t="shared" si="147"/>
        <v>102</v>
      </c>
      <c r="BQ206" s="270">
        <f t="shared" si="147"/>
        <v>89</v>
      </c>
      <c r="BR206" s="270">
        <f t="shared" si="147"/>
        <v>234</v>
      </c>
      <c r="BS206" s="270">
        <f t="shared" si="146"/>
        <v>234</v>
      </c>
      <c r="BT206" s="270">
        <f t="shared" si="146"/>
        <v>277.59452054794519</v>
      </c>
      <c r="BU206" s="270">
        <f t="shared" si="146"/>
        <v>278</v>
      </c>
      <c r="BV206" s="270">
        <f t="shared" si="146"/>
        <v>274</v>
      </c>
      <c r="BW206" s="39">
        <f>VLOOKUP($A206,NetAdditions!$A$2:$H$336,6,FALSE)</f>
        <v>504</v>
      </c>
      <c r="BX206" s="39">
        <f>VLOOKUP($A206,NetAdditions!$A$2:$H$336,7,FALSE)</f>
        <v>376</v>
      </c>
      <c r="BY206" s="39">
        <f>IF((VLOOKUP($C206,NetAdditions!$A$2:$H$336,8,FALSE))="",(AVERAGE(VLOOKUP($C206,NetAdditions!$A$2:$H$336,5,FALSE),VLOOKUP($C206,NetAdditions!$A$2:$H$336,6,FALSE),VLOOKUP($C206,NetAdditions!$A$2:$H$336,7,FALSE))),VLOOKUP($C206,NetAdditions!$A$2:$H$336,8,FALSE))</f>
        <v>365</v>
      </c>
      <c r="BZ206" s="39">
        <f t="shared" si="150"/>
        <v>415</v>
      </c>
      <c r="CA206" s="39">
        <f t="shared" si="150"/>
        <v>385.33333333333331</v>
      </c>
      <c r="CB206" s="39">
        <f t="shared" si="150"/>
        <v>388.4444444444444</v>
      </c>
      <c r="CC206" s="39">
        <f t="shared" si="150"/>
        <v>396.25925925925918</v>
      </c>
      <c r="CD206" s="39">
        <f t="shared" si="150"/>
        <v>390.0123456790123</v>
      </c>
      <c r="CE206" s="276">
        <f t="shared" si="155"/>
        <v>308</v>
      </c>
      <c r="CF206" s="276">
        <f t="shared" si="156"/>
        <v>425</v>
      </c>
      <c r="CG206" s="276">
        <f t="shared" si="157"/>
        <v>557</v>
      </c>
      <c r="CH206" s="276">
        <f t="shared" si="158"/>
        <v>745.59452054794519</v>
      </c>
      <c r="CI206" s="276">
        <f t="shared" si="159"/>
        <v>789.59452054794519</v>
      </c>
      <c r="CJ206" s="276">
        <f t="shared" si="160"/>
        <v>829.59452054794519</v>
      </c>
      <c r="CK206" s="276">
        <f t="shared" si="180"/>
        <v>265.22222222222223</v>
      </c>
      <c r="CL206" s="276">
        <f t="shared" si="181"/>
        <v>365.97222222222223</v>
      </c>
      <c r="CM206" s="276">
        <f t="shared" si="182"/>
        <v>510.58333333333331</v>
      </c>
      <c r="CN206" s="276">
        <f t="shared" si="183"/>
        <v>745.59452054794519</v>
      </c>
      <c r="CO206" s="276">
        <f t="shared" si="183"/>
        <v>789.59452054794519</v>
      </c>
      <c r="CP206" s="276">
        <f t="shared" si="183"/>
        <v>829.59452054794519</v>
      </c>
      <c r="CQ206" s="39">
        <f t="shared" si="161"/>
        <v>1245</v>
      </c>
      <c r="CR206" s="39">
        <f t="shared" si="162"/>
        <v>1156</v>
      </c>
      <c r="CS206" s="277">
        <f t="shared" si="163"/>
        <v>1165.3333333333333</v>
      </c>
      <c r="CT206" s="39">
        <f t="shared" si="164"/>
        <v>1188.7777777777776</v>
      </c>
      <c r="CU206" s="39">
        <f t="shared" si="165"/>
        <v>1170.037037037037</v>
      </c>
      <c r="CV206" s="39">
        <f t="shared" si="166"/>
        <v>1174.7160493827159</v>
      </c>
      <c r="CW206" s="297">
        <f t="shared" si="167"/>
        <v>4.6941767909509844</v>
      </c>
      <c r="CX206" s="279" t="str">
        <f t="shared" si="184"/>
        <v>Pass</v>
      </c>
      <c r="CY206" s="278">
        <f t="shared" si="168"/>
        <v>3.1587096774193548</v>
      </c>
      <c r="CZ206" s="279" t="str">
        <f t="shared" si="185"/>
        <v>Pass</v>
      </c>
      <c r="DA206" s="278">
        <f t="shared" si="169"/>
        <v>2.2823567814591152</v>
      </c>
      <c r="DB206" s="292" t="str">
        <f t="shared" si="186"/>
        <v>Pass</v>
      </c>
      <c r="DC206" s="299">
        <f t="shared" si="187"/>
        <v>1.5944025137203697</v>
      </c>
      <c r="DD206" s="293" t="str">
        <f t="shared" si="188"/>
        <v>Pass</v>
      </c>
      <c r="DE206" s="299">
        <f t="shared" si="189"/>
        <v>1.4818201071419299</v>
      </c>
      <c r="DF206" s="293" t="str">
        <f t="shared" si="190"/>
        <v>Pass</v>
      </c>
      <c r="DG206" s="299">
        <f t="shared" si="191"/>
        <v>1.4160123051521831</v>
      </c>
      <c r="DH206" s="293" t="str">
        <f t="shared" si="192"/>
        <v>Pass</v>
      </c>
    </row>
    <row r="207" spans="1:112" ht="15" thickTop="1" thickBot="1">
      <c r="A207" s="38" t="s">
        <v>524</v>
      </c>
      <c r="B207" s="38" t="s">
        <v>525</v>
      </c>
      <c r="C207" s="38" t="s">
        <v>524</v>
      </c>
      <c r="D207" s="38" t="s">
        <v>154</v>
      </c>
      <c r="E207" s="38" t="str">
        <f>VLOOKUP(C207,PoliticalControl!A:K,11,FALSE)</f>
        <v>CON</v>
      </c>
      <c r="F207" s="38" t="str">
        <f>VLOOKUP(C207,UrbanRuralClassification!A:N,13,FALSE)</f>
        <v>Urban with City and Town</v>
      </c>
      <c r="G207" s="38" t="str">
        <f>VLOOKUP(C207,UrbanRuralClassification!A:N,14,FALSE)</f>
        <v>Predominantly Urban</v>
      </c>
      <c r="H207" s="258">
        <f>IF(ISBLANK((VLOOKUP($A207,'local-plan-data'!$C$1:$AD$566,27,FALSE)))=TRUE,"",VLOOKUP($A207,'local-plan-data'!$C$1:$AD$566,27,FALSE))</f>
        <v>42765</v>
      </c>
      <c r="I207" s="259">
        <f>VLOOKUP($A207,'local-plan-data'!$C$1:$AD$566,28,FALSE)</f>
        <v>157.89473684210526</v>
      </c>
      <c r="J207" s="260">
        <f t="shared" si="170"/>
        <v>157.89473684210526</v>
      </c>
      <c r="K207" s="259">
        <f t="shared" si="144"/>
        <v>157.89473684210526</v>
      </c>
      <c r="L207" s="259">
        <f t="shared" si="153"/>
        <v>157.89473684210526</v>
      </c>
      <c r="M207" s="259">
        <f t="shared" si="153"/>
        <v>157.89473684210526</v>
      </c>
      <c r="N207" s="259">
        <f t="shared" si="153"/>
        <v>157.89473684210526</v>
      </c>
      <c r="O207" s="259" t="str">
        <f t="shared" si="153"/>
        <v>-</v>
      </c>
      <c r="P207" s="259" t="str">
        <f t="shared" si="153"/>
        <v>-</v>
      </c>
      <c r="Q207" s="259" t="str">
        <f t="shared" si="153"/>
        <v>-</v>
      </c>
      <c r="R207" s="259" t="str">
        <f t="shared" si="153"/>
        <v>-</v>
      </c>
      <c r="S207" s="259">
        <f t="shared" si="145"/>
        <v>1400</v>
      </c>
      <c r="T207" s="259">
        <f t="shared" si="154"/>
        <v>1035</v>
      </c>
      <c r="U207" s="259">
        <f t="shared" si="154"/>
        <v>669</v>
      </c>
      <c r="V207" s="259">
        <f t="shared" si="154"/>
        <v>304</v>
      </c>
      <c r="W207" s="259">
        <f t="shared" si="154"/>
        <v>-61</v>
      </c>
      <c r="X207" s="259">
        <f t="shared" si="154"/>
        <v>-426</v>
      </c>
      <c r="Y207" s="259">
        <f t="shared" si="154"/>
        <v>-792</v>
      </c>
      <c r="Z207" s="259">
        <f t="shared" si="154"/>
        <v>-1157</v>
      </c>
      <c r="AA207" s="267">
        <f>(VLOOKUP(A207,Hshldprojections2014!$A$2:$AW$319,40, FALSE)-VLOOKUP(A207,Hshldprojections2014!$A$2:$AW$319,30, FALSE))/10</f>
        <v>145.9</v>
      </c>
      <c r="AB207" s="267">
        <f>(VLOOKUP(A207,Hshldprojections2014!$A$2:$AW$319,41, FALSE)-VLOOKUP(A207,Hshldprojections2014!$A$2:$AW$319,31, FALSE))/10</f>
        <v>141.19999999999999</v>
      </c>
      <c r="AC207" s="267">
        <f>(VLOOKUP(A207,Hshldprojections2014!$A$2:$AW$319,42, FALSE)-VLOOKUP(A207,Hshldprojections2014!$A$2:$AW$319,32, FALSE))/10</f>
        <v>136.1</v>
      </c>
      <c r="AD207" s="267">
        <f>IF(IndividualLATest!$J$7=2014,(VLOOKUP($A207,Hshldprojections2014!$A$2:$AY$326,43,FALSE)-VLOOKUP($A207,Hshldprojections2014!$A$2:$AY$326,33,FALSE))/10,IF(IndividualLATest!$J$7=2016,(VLOOKUP($A207,Hshldprojections2016!$A$1:$AQ$322,33,FALSE)-VLOOKUP($A207,Hshldprojections2016!$A$1:$AQ$322,23,FALSE))/10,(VLOOKUP($A207,Hshldprojections2018!$A$1:$AQ$327,33,FALSE)-VLOOKUP($A207,Hshldprojections2018!$A$1:$AQ$327,23,FALSE))/10))</f>
        <v>98.6</v>
      </c>
      <c r="AE207" s="267">
        <f>IF(IndividualLATest!$J$7=2014,(VLOOKUP($A207,Hshldprojections2014!$A$2:$AY$326,44,FALSE)-VLOOKUP($A207,Hshldprojections2014!$A$2:$AY$326,34,FALSE))/10,IF(IndividualLATest!$J$7=2016,(VLOOKUP($A207,Hshldprojections2016!$A$1:$AQ$322,34,FALSE)-VLOOKUP($A207,Hshldprojections2016!$A$1:$AQ$322,24,FALSE))/10,(VLOOKUP($A207,Hshldprojections2018!$A$1:$AQ$327,34,FALSE)-VLOOKUP($A207,Hshldprojections2018!$A$1:$AQ$327,24,FALSE))/10))</f>
        <v>96.2</v>
      </c>
      <c r="AF207" s="267">
        <f>IF(IndividualLATest!$J$7=2014,(VLOOKUP($A207,Hshldprojections2014!$A$2:$AY$326,45,FALSE)-VLOOKUP($A207,Hshldprojections2014!$A$2:$AY$326,35,FALSE))/10,IF(IndividualLATest!$J$7=2016,(VLOOKUP($A207,Hshldprojections2016!$A$1:$AQ$322,35,FALSE)-VLOOKUP($A207,Hshldprojections2016!$A$1:$AQ$322,25,FALSE))/10,(VLOOKUP($A207,Hshldprojections2018!$A$1:$AQ$327,35,FALSE)-VLOOKUP($A207,Hshldprojections2018!$A$1:$AQ$327,25,FALSE))/10))</f>
        <v>94.1</v>
      </c>
      <c r="AG207" s="267">
        <f>IF(IndividualLATest!$J$7=2014,(VLOOKUP($A207,Hshldprojections2014!$A$2:$AY$326,46,FALSE)-VLOOKUP($A207,Hshldprojections2014!$A$2:$AY$326,36,FALSE))/10,IF(IndividualLATest!$J$7=2016,(VLOOKUP($A207,Hshldprojections2016!$A$1:$AQ$322,36,FALSE)-VLOOKUP($A207,Hshldprojections2016!$A$1:$AQ$322,26,FALSE))/10,(VLOOKUP($A207,Hshldprojections2018!$A$1:$AQ$327,36,FALSE)-VLOOKUP($A207,Hshldprojections2018!$A$1:$AQ$327,26,FALSE))/10))</f>
        <v>89.9</v>
      </c>
      <c r="AH207" s="267">
        <f>IF(IndividualLATest!$J$7=2014,(VLOOKUP($A207,Hshldprojections2014!$A$2:$AY$326,47,FALSE)-VLOOKUP($A207,Hshldprojections2014!$A$2:$AY$326,37,FALSE))/10,IF(IndividualLATest!$J$7=2016,(VLOOKUP($A207,Hshldprojections2016!$A$1:$AQ$322,37,FALSE)-VLOOKUP($A207,Hshldprojections2016!$A$1:$AQ$322,27,FALSE))/10,(VLOOKUP($A207,Hshldprojections2018!$A$1:$AQ$327,37,FALSE)-VLOOKUP($A207,Hshldprojections2018!$A$1:$AQ$327,27,FALSE))/10))</f>
        <v>87.4</v>
      </c>
      <c r="AI207" s="268">
        <f>IF(ISNUMBER('Sensitivity Tests'!$C$30),'Sensitivity Tests'!$C$30,VLOOKUP($A207,AffordabilityRatio!$A$2:$I$321,5,FALSE))</f>
        <v>7.67</v>
      </c>
      <c r="AJ207" s="268">
        <f>IF(ISNUMBER('Sensitivity Tests'!$C$30),'Sensitivity Tests'!$C$30,VLOOKUP($A207,AffordabilityRatio!$A$2:$I$321,6,FALSE))</f>
        <v>8.25</v>
      </c>
      <c r="AK207" s="268">
        <f>IF(ISNUMBER('Sensitivity Tests'!$C$30),'Sensitivity Tests'!$C$30,VLOOKUP($A207,AffordabilityRatio!$A$2:$I$321,7,FALSE))</f>
        <v>8.44</v>
      </c>
      <c r="AL207" s="268">
        <f>IF(ISNUMBER('Sensitivity Tests'!$C$30),'Sensitivity Tests'!$C$30,IF((VLOOKUP($A207,AffordabilityRatio!$A$2:$I$321,8,FALSE))="",AK207,VLOOKUP($A207,AffordabilityRatio!$A$2:$I$321,8,FALSE)))</f>
        <v>8.11</v>
      </c>
      <c r="AM207" s="268">
        <f>IF(ISNUMBER('Sensitivity Tests'!$C$30),'Sensitivity Tests'!$C$30,IF((VLOOKUP($A207,AffordabilityRatio!$A$2:$I$321,9,FALSE))="",AL207,VLOOKUP($A207,AffordabilityRatio!$A$2:$I$321,9,FALSE)))</f>
        <v>7.57</v>
      </c>
      <c r="AN207" s="268">
        <f>IF(ISNUMBER('Sensitivity Tests'!$C$30),'Sensitivity Tests'!$C$30,IF((VLOOKUP($A207,AffordabilityRatio!$A$2:$I$321,9,FALSE))="",AM207,VLOOKUP($A207,AffordabilityRatio!$A$2:$I$321,9,FALSE)))</f>
        <v>7.57</v>
      </c>
      <c r="AO207" s="268">
        <f>IF(ISNUMBER('Sensitivity Tests'!$C$30),'Sensitivity Tests'!$C$30,IF((VLOOKUP($A207,AffordabilityRatio!$A$2:$I$321,9,FALSE))="",AN207,VLOOKUP($A207,AffordabilityRatio!$A$2:$I$321,9,FALSE)))</f>
        <v>7.57</v>
      </c>
      <c r="AP207" s="268">
        <f>IF(ISNUMBER('Sensitivity Tests'!$C$30),'Sensitivity Tests'!$C$30,IF((VLOOKUP($A207,AffordabilityRatio!$A$2:$I$321,9,FALSE))="",AO207,VLOOKUP($A207,AffordabilityRatio!$A$2:$I$321,9,FALSE)))</f>
        <v>7.57</v>
      </c>
      <c r="AQ207" s="267">
        <f t="shared" si="152"/>
        <v>179</v>
      </c>
      <c r="AR207" s="267">
        <f t="shared" si="152"/>
        <v>179</v>
      </c>
      <c r="AS207" s="267">
        <f t="shared" si="152"/>
        <v>174</v>
      </c>
      <c r="AT207" s="267">
        <f t="shared" si="152"/>
        <v>124</v>
      </c>
      <c r="AU207" s="267">
        <f t="shared" si="152"/>
        <v>118</v>
      </c>
      <c r="AV207" s="267">
        <f t="shared" si="151"/>
        <v>115</v>
      </c>
      <c r="AW207" s="267">
        <f t="shared" si="151"/>
        <v>110</v>
      </c>
      <c r="AX207" s="267">
        <f t="shared" si="151"/>
        <v>107</v>
      </c>
      <c r="AY207" s="267">
        <f t="shared" si="171"/>
        <v>179</v>
      </c>
      <c r="AZ207" s="267">
        <f t="shared" si="172"/>
        <v>179</v>
      </c>
      <c r="BA207" s="267">
        <f t="shared" si="173"/>
        <v>174</v>
      </c>
      <c r="BB207" s="267">
        <f t="shared" si="174"/>
        <v>124</v>
      </c>
      <c r="BC207" s="267">
        <f t="shared" si="175"/>
        <v>118</v>
      </c>
      <c r="BD207" s="267">
        <f t="shared" si="176"/>
        <v>115</v>
      </c>
      <c r="BE207" s="267">
        <f t="shared" si="177"/>
        <v>110</v>
      </c>
      <c r="BF207" s="267">
        <f t="shared" si="178"/>
        <v>107</v>
      </c>
      <c r="BG207" s="269">
        <f>AY207*VLOOKUP($B207,'Major Cities &amp; Towns'!$A$28:$B$345,2,FALSE)</f>
        <v>179</v>
      </c>
      <c r="BH207" s="269">
        <f>AZ207*VLOOKUP($B207,'Major Cities &amp; Towns'!$A$28:$B$345,2,FALSE)</f>
        <v>179</v>
      </c>
      <c r="BI207" s="269">
        <f>BA207*VLOOKUP($B207,'Major Cities &amp; Towns'!$A$28:$B$345,2,FALSE)</f>
        <v>174</v>
      </c>
      <c r="BJ207" s="269">
        <f>BB207*VLOOKUP($B207,'Major Cities &amp; Towns'!$A$28:$B$345,2,FALSE)</f>
        <v>124</v>
      </c>
      <c r="BK207" s="269">
        <f>BC207*VLOOKUP($B207,'Major Cities &amp; Towns'!$A$28:$B$345,2,FALSE)</f>
        <v>118</v>
      </c>
      <c r="BL207" s="269">
        <f>BD207*VLOOKUP($B207,'Major Cities &amp; Towns'!$A$28:$B$345,2,FALSE)</f>
        <v>115</v>
      </c>
      <c r="BM207" s="269">
        <f>BE207*VLOOKUP($B207,'Major Cities &amp; Towns'!$A$28:$B$345,2,FALSE)</f>
        <v>110</v>
      </c>
      <c r="BN207" s="269">
        <f>BF207*VLOOKUP($B207,'Major Cities &amp; Towns'!$A$28:$B$345,2,FALSE)</f>
        <v>107</v>
      </c>
      <c r="BO207" s="270">
        <f t="shared" si="179"/>
        <v>157.89473684210526</v>
      </c>
      <c r="BP207" s="270">
        <f t="shared" si="147"/>
        <v>157.89473684210526</v>
      </c>
      <c r="BQ207" s="270">
        <f t="shared" si="147"/>
        <v>157.89473684210526</v>
      </c>
      <c r="BR207" s="270">
        <f t="shared" si="147"/>
        <v>124.00000000000001</v>
      </c>
      <c r="BS207" s="270">
        <f t="shared" si="146"/>
        <v>118</v>
      </c>
      <c r="BT207" s="270">
        <f t="shared" si="146"/>
        <v>115</v>
      </c>
      <c r="BU207" s="270">
        <f t="shared" si="146"/>
        <v>110</v>
      </c>
      <c r="BV207" s="270">
        <f t="shared" si="146"/>
        <v>107</v>
      </c>
      <c r="BW207" s="39">
        <f>VLOOKUP($A207,NetAdditions!$A$2:$H$336,6,FALSE)</f>
        <v>390</v>
      </c>
      <c r="BX207" s="39">
        <f>VLOOKUP($A207,NetAdditions!$A$2:$H$336,7,FALSE)</f>
        <v>279</v>
      </c>
      <c r="BY207" s="39">
        <f>IF((VLOOKUP($C207,NetAdditions!$A$2:$H$336,8,FALSE))="",(AVERAGE(VLOOKUP($C207,NetAdditions!$A$2:$H$336,5,FALSE),VLOOKUP($C207,NetAdditions!$A$2:$H$336,6,FALSE),VLOOKUP($C207,NetAdditions!$A$2:$H$336,7,FALSE))),VLOOKUP($C207,NetAdditions!$A$2:$H$336,8,FALSE))</f>
        <v>199</v>
      </c>
      <c r="BZ207" s="39">
        <f t="shared" si="150"/>
        <v>289.33333333333331</v>
      </c>
      <c r="CA207" s="39">
        <f t="shared" si="150"/>
        <v>255.77777777777774</v>
      </c>
      <c r="CB207" s="39">
        <f t="shared" si="150"/>
        <v>248.03703703703704</v>
      </c>
      <c r="CC207" s="39">
        <f t="shared" si="150"/>
        <v>264.38271604938274</v>
      </c>
      <c r="CD207" s="39">
        <f t="shared" si="150"/>
        <v>256.06584362139915</v>
      </c>
      <c r="CE207" s="276">
        <f t="shared" si="155"/>
        <v>473.68421052631578</v>
      </c>
      <c r="CF207" s="276">
        <f t="shared" si="156"/>
        <v>439.78947368421052</v>
      </c>
      <c r="CG207" s="276">
        <f t="shared" si="157"/>
        <v>399.89473684210526</v>
      </c>
      <c r="CH207" s="276">
        <f t="shared" si="158"/>
        <v>357</v>
      </c>
      <c r="CI207" s="276">
        <f t="shared" si="159"/>
        <v>343</v>
      </c>
      <c r="CJ207" s="276">
        <f t="shared" si="160"/>
        <v>332</v>
      </c>
      <c r="CK207" s="276">
        <f t="shared" si="180"/>
        <v>407.89473684210526</v>
      </c>
      <c r="CL207" s="276">
        <f t="shared" si="181"/>
        <v>378.70760233918128</v>
      </c>
      <c r="CM207" s="276">
        <f t="shared" si="182"/>
        <v>366.57017543859649</v>
      </c>
      <c r="CN207" s="276">
        <f t="shared" si="183"/>
        <v>357</v>
      </c>
      <c r="CO207" s="276">
        <f t="shared" si="183"/>
        <v>343</v>
      </c>
      <c r="CP207" s="276">
        <f t="shared" si="183"/>
        <v>332</v>
      </c>
      <c r="CQ207" s="39">
        <f t="shared" si="161"/>
        <v>868</v>
      </c>
      <c r="CR207" s="39">
        <f t="shared" si="162"/>
        <v>767.33333333333326</v>
      </c>
      <c r="CS207" s="277">
        <f t="shared" si="163"/>
        <v>744.11111111111109</v>
      </c>
      <c r="CT207" s="39">
        <f t="shared" si="164"/>
        <v>793.14814814814815</v>
      </c>
      <c r="CU207" s="39">
        <f t="shared" si="165"/>
        <v>768.19753086419746</v>
      </c>
      <c r="CV207" s="39">
        <f t="shared" si="166"/>
        <v>768.4855967078189</v>
      </c>
      <c r="CW207" s="297">
        <f t="shared" si="167"/>
        <v>2.1280000000000001</v>
      </c>
      <c r="CX207" s="279" t="str">
        <f t="shared" si="184"/>
        <v>Pass</v>
      </c>
      <c r="CY207" s="278">
        <f t="shared" si="168"/>
        <v>2.0261894099661824</v>
      </c>
      <c r="CZ207" s="279" t="str">
        <f t="shared" si="185"/>
        <v>Pass</v>
      </c>
      <c r="DA207" s="278">
        <f t="shared" si="169"/>
        <v>2.0299281310073622</v>
      </c>
      <c r="DB207" s="292" t="str">
        <f t="shared" si="186"/>
        <v>Pass</v>
      </c>
      <c r="DC207" s="299">
        <f t="shared" si="187"/>
        <v>2.2217034962133</v>
      </c>
      <c r="DD207" s="293" t="str">
        <f t="shared" si="188"/>
        <v>Pass</v>
      </c>
      <c r="DE207" s="299">
        <f t="shared" si="189"/>
        <v>2.2396429471259403</v>
      </c>
      <c r="DF207" s="293" t="str">
        <f t="shared" si="190"/>
        <v>Pass</v>
      </c>
      <c r="DG207" s="299">
        <f t="shared" si="191"/>
        <v>2.3147156527343942</v>
      </c>
      <c r="DH207" s="293" t="str">
        <f t="shared" si="192"/>
        <v>Pass</v>
      </c>
    </row>
    <row r="208" spans="1:112" ht="15" thickTop="1" thickBot="1">
      <c r="A208" s="38" t="s">
        <v>526</v>
      </c>
      <c r="B208" s="38" t="s">
        <v>527</v>
      </c>
      <c r="C208" s="38" t="s">
        <v>526</v>
      </c>
      <c r="D208" s="38" t="s">
        <v>113</v>
      </c>
      <c r="E208" s="38" t="str">
        <f>VLOOKUP(C208,PoliticalControl!A:K,11,FALSE)</f>
        <v>CON</v>
      </c>
      <c r="F208" s="38" t="str">
        <f>VLOOKUP(C208,UrbanRuralClassification!A:N,13,FALSE)</f>
        <v>Urban with City and Town</v>
      </c>
      <c r="G208" s="38" t="str">
        <f>VLOOKUP(C208,UrbanRuralClassification!A:N,14,FALSE)</f>
        <v>Predominantly Urban</v>
      </c>
      <c r="H208" s="258">
        <f>IF(ISBLANK((VLOOKUP($A208,'local-plan-data'!$C$1:$AD$566,27,FALSE)))=TRUE,"",VLOOKUP($A208,'local-plan-data'!$C$1:$AD$566,27,FALSE))</f>
        <v>41823</v>
      </c>
      <c r="I208" s="259">
        <f>VLOOKUP($A208,'local-plan-data'!$C$1:$AD$566,28,FALSE)</f>
        <v>460</v>
      </c>
      <c r="J208" s="260">
        <f t="shared" si="170"/>
        <v>460</v>
      </c>
      <c r="K208" s="259">
        <f t="shared" si="144"/>
        <v>460</v>
      </c>
      <c r="L208" s="259">
        <f t="shared" si="153"/>
        <v>460</v>
      </c>
      <c r="M208" s="259" t="str">
        <f t="shared" si="153"/>
        <v>-</v>
      </c>
      <c r="N208" s="259" t="str">
        <f t="shared" si="153"/>
        <v>-</v>
      </c>
      <c r="O208" s="259" t="str">
        <f t="shared" si="153"/>
        <v>-</v>
      </c>
      <c r="P208" s="259" t="str">
        <f t="shared" si="153"/>
        <v>-</v>
      </c>
      <c r="Q208" s="259" t="str">
        <f t="shared" si="153"/>
        <v>-</v>
      </c>
      <c r="R208" s="259" t="str">
        <f t="shared" si="153"/>
        <v>-</v>
      </c>
      <c r="S208" s="259">
        <f t="shared" si="145"/>
        <v>458</v>
      </c>
      <c r="T208" s="259">
        <f t="shared" si="154"/>
        <v>93</v>
      </c>
      <c r="U208" s="259">
        <f t="shared" si="154"/>
        <v>-273</v>
      </c>
      <c r="V208" s="259">
        <f t="shared" si="154"/>
        <v>-638</v>
      </c>
      <c r="W208" s="259">
        <f t="shared" si="154"/>
        <v>-1003</v>
      </c>
      <c r="X208" s="259">
        <f t="shared" si="154"/>
        <v>-1368</v>
      </c>
      <c r="Y208" s="259">
        <f t="shared" si="154"/>
        <v>-1734</v>
      </c>
      <c r="Z208" s="259">
        <f t="shared" si="154"/>
        <v>-2099</v>
      </c>
      <c r="AA208" s="267">
        <f>(VLOOKUP(A208,Hshldprojections2014!$A$2:$AW$319,40, FALSE)-VLOOKUP(A208,Hshldprojections2014!$A$2:$AW$319,30, FALSE))/10</f>
        <v>827.3</v>
      </c>
      <c r="AB208" s="267">
        <f>(VLOOKUP(A208,Hshldprojections2014!$A$2:$AW$319,41, FALSE)-VLOOKUP(A208,Hshldprojections2014!$A$2:$AW$319,31, FALSE))/10</f>
        <v>820.1</v>
      </c>
      <c r="AC208" s="267">
        <f>(VLOOKUP(A208,Hshldprojections2014!$A$2:$AW$319,42, FALSE)-VLOOKUP(A208,Hshldprojections2014!$A$2:$AW$319,32, FALSE))/10</f>
        <v>813.3</v>
      </c>
      <c r="AD208" s="267">
        <f>IF(IndividualLATest!$J$7=2014,(VLOOKUP($A208,Hshldprojections2014!$A$2:$AY$326,43,FALSE)-VLOOKUP($A208,Hshldprojections2014!$A$2:$AY$326,33,FALSE))/10,IF(IndividualLATest!$J$7=2016,(VLOOKUP($A208,Hshldprojections2016!$A$1:$AQ$322,33,FALSE)-VLOOKUP($A208,Hshldprojections2016!$A$1:$AQ$322,23,FALSE))/10,(VLOOKUP($A208,Hshldprojections2018!$A$1:$AQ$327,33,FALSE)-VLOOKUP($A208,Hshldprojections2018!$A$1:$AQ$327,23,FALSE))/10))</f>
        <v>416.1</v>
      </c>
      <c r="AE208" s="267">
        <f>IF(IndividualLATest!$J$7=2014,(VLOOKUP($A208,Hshldprojections2014!$A$2:$AY$326,44,FALSE)-VLOOKUP($A208,Hshldprojections2014!$A$2:$AY$326,34,FALSE))/10,IF(IndividualLATest!$J$7=2016,(VLOOKUP($A208,Hshldprojections2016!$A$1:$AQ$322,34,FALSE)-VLOOKUP($A208,Hshldprojections2016!$A$1:$AQ$322,24,FALSE))/10,(VLOOKUP($A208,Hshldprojections2018!$A$1:$AQ$327,34,FALSE)-VLOOKUP($A208,Hshldprojections2018!$A$1:$AQ$327,24,FALSE))/10))</f>
        <v>404.1</v>
      </c>
      <c r="AF208" s="267">
        <f>IF(IndividualLATest!$J$7=2014,(VLOOKUP($A208,Hshldprojections2014!$A$2:$AY$326,45,FALSE)-VLOOKUP($A208,Hshldprojections2014!$A$2:$AY$326,35,FALSE))/10,IF(IndividualLATest!$J$7=2016,(VLOOKUP($A208,Hshldprojections2016!$A$1:$AQ$322,35,FALSE)-VLOOKUP($A208,Hshldprojections2016!$A$1:$AQ$322,25,FALSE))/10,(VLOOKUP($A208,Hshldprojections2018!$A$1:$AQ$327,35,FALSE)-VLOOKUP($A208,Hshldprojections2018!$A$1:$AQ$327,25,FALSE))/10))</f>
        <v>394.2</v>
      </c>
      <c r="AG208" s="267">
        <f>IF(IndividualLATest!$J$7=2014,(VLOOKUP($A208,Hshldprojections2014!$A$2:$AY$326,46,FALSE)-VLOOKUP($A208,Hshldprojections2014!$A$2:$AY$326,36,FALSE))/10,IF(IndividualLATest!$J$7=2016,(VLOOKUP($A208,Hshldprojections2016!$A$1:$AQ$322,36,FALSE)-VLOOKUP($A208,Hshldprojections2016!$A$1:$AQ$322,26,FALSE))/10,(VLOOKUP($A208,Hshldprojections2018!$A$1:$AQ$327,36,FALSE)-VLOOKUP($A208,Hshldprojections2018!$A$1:$AQ$327,26,FALSE))/10))</f>
        <v>385.8</v>
      </c>
      <c r="AH208" s="267">
        <f>IF(IndividualLATest!$J$7=2014,(VLOOKUP($A208,Hshldprojections2014!$A$2:$AY$326,47,FALSE)-VLOOKUP($A208,Hshldprojections2014!$A$2:$AY$326,37,FALSE))/10,IF(IndividualLATest!$J$7=2016,(VLOOKUP($A208,Hshldprojections2016!$A$1:$AQ$322,37,FALSE)-VLOOKUP($A208,Hshldprojections2016!$A$1:$AQ$322,27,FALSE))/10,(VLOOKUP($A208,Hshldprojections2018!$A$1:$AQ$327,37,FALSE)-VLOOKUP($A208,Hshldprojections2018!$A$1:$AQ$327,27,FALSE))/10))</f>
        <v>378.9</v>
      </c>
      <c r="AI208" s="268">
        <f>IF(ISNUMBER('Sensitivity Tests'!$C$30),'Sensitivity Tests'!$C$30,VLOOKUP($A208,AffordabilityRatio!$A$2:$I$321,5,FALSE))</f>
        <v>11.48</v>
      </c>
      <c r="AJ208" s="268">
        <f>IF(ISNUMBER('Sensitivity Tests'!$C$30),'Sensitivity Tests'!$C$30,VLOOKUP($A208,AffordabilityRatio!$A$2:$I$321,6,FALSE))</f>
        <v>12.33</v>
      </c>
      <c r="AK208" s="268">
        <f>IF(ISNUMBER('Sensitivity Tests'!$C$30),'Sensitivity Tests'!$C$30,VLOOKUP($A208,AffordabilityRatio!$A$2:$I$321,7,FALSE))</f>
        <v>12.26</v>
      </c>
      <c r="AL208" s="268">
        <f>IF(ISNUMBER('Sensitivity Tests'!$C$30),'Sensitivity Tests'!$C$30,IF((VLOOKUP($A208,AffordabilityRatio!$A$2:$I$321,8,FALSE))="",AK208,VLOOKUP($A208,AffordabilityRatio!$A$2:$I$321,8,FALSE)))</f>
        <v>12.17</v>
      </c>
      <c r="AM208" s="268">
        <f>IF(ISNUMBER('Sensitivity Tests'!$C$30),'Sensitivity Tests'!$C$30,IF((VLOOKUP($A208,AffordabilityRatio!$A$2:$I$321,9,FALSE))="",AL208,VLOOKUP($A208,AffordabilityRatio!$A$2:$I$321,9,FALSE)))</f>
        <v>13.58</v>
      </c>
      <c r="AN208" s="268">
        <f>IF(ISNUMBER('Sensitivity Tests'!$C$30),'Sensitivity Tests'!$C$30,IF((VLOOKUP($A208,AffordabilityRatio!$A$2:$I$321,9,FALSE))="",AM208,VLOOKUP($A208,AffordabilityRatio!$A$2:$I$321,9,FALSE)))</f>
        <v>13.58</v>
      </c>
      <c r="AO208" s="268">
        <f>IF(ISNUMBER('Sensitivity Tests'!$C$30),'Sensitivity Tests'!$C$30,IF((VLOOKUP($A208,AffordabilityRatio!$A$2:$I$321,9,FALSE))="",AN208,VLOOKUP($A208,AffordabilityRatio!$A$2:$I$321,9,FALSE)))</f>
        <v>13.58</v>
      </c>
      <c r="AP208" s="268">
        <f>IF(ISNUMBER('Sensitivity Tests'!$C$30),'Sensitivity Tests'!$C$30,IF((VLOOKUP($A208,AffordabilityRatio!$A$2:$I$321,9,FALSE))="",AO208,VLOOKUP($A208,AffordabilityRatio!$A$2:$I$321,9,FALSE)))</f>
        <v>13.58</v>
      </c>
      <c r="AQ208" s="267">
        <f t="shared" si="152"/>
        <v>1214</v>
      </c>
      <c r="AR208" s="267">
        <f t="shared" si="152"/>
        <v>1247</v>
      </c>
      <c r="AS208" s="267">
        <f t="shared" si="152"/>
        <v>1233</v>
      </c>
      <c r="AT208" s="267">
        <f t="shared" si="152"/>
        <v>629</v>
      </c>
      <c r="AU208" s="267">
        <f t="shared" si="152"/>
        <v>646</v>
      </c>
      <c r="AV208" s="267">
        <f t="shared" si="151"/>
        <v>630</v>
      </c>
      <c r="AW208" s="267">
        <f t="shared" si="151"/>
        <v>617</v>
      </c>
      <c r="AX208" s="267">
        <f t="shared" si="151"/>
        <v>606</v>
      </c>
      <c r="AY208" s="267">
        <f t="shared" si="171"/>
        <v>644</v>
      </c>
      <c r="AZ208" s="267">
        <f t="shared" si="172"/>
        <v>644</v>
      </c>
      <c r="BA208" s="267">
        <f t="shared" si="173"/>
        <v>1138.6199999999999</v>
      </c>
      <c r="BB208" s="267">
        <f t="shared" si="174"/>
        <v>629</v>
      </c>
      <c r="BC208" s="267">
        <f t="shared" si="175"/>
        <v>644</v>
      </c>
      <c r="BD208" s="267">
        <f t="shared" si="176"/>
        <v>630</v>
      </c>
      <c r="BE208" s="267">
        <f t="shared" si="177"/>
        <v>617</v>
      </c>
      <c r="BF208" s="267">
        <f t="shared" si="178"/>
        <v>606</v>
      </c>
      <c r="BG208" s="269">
        <f>AY208*VLOOKUP($B208,'Major Cities &amp; Towns'!$A$28:$B$345,2,FALSE)</f>
        <v>644</v>
      </c>
      <c r="BH208" s="269">
        <f>AZ208*VLOOKUP($B208,'Major Cities &amp; Towns'!$A$28:$B$345,2,FALSE)</f>
        <v>644</v>
      </c>
      <c r="BI208" s="269">
        <f>BA208*VLOOKUP($B208,'Major Cities &amp; Towns'!$A$28:$B$345,2,FALSE)</f>
        <v>1138.6199999999999</v>
      </c>
      <c r="BJ208" s="269">
        <f>BB208*VLOOKUP($B208,'Major Cities &amp; Towns'!$A$28:$B$345,2,FALSE)</f>
        <v>629</v>
      </c>
      <c r="BK208" s="269">
        <f>BC208*VLOOKUP($B208,'Major Cities &amp; Towns'!$A$28:$B$345,2,FALSE)</f>
        <v>644</v>
      </c>
      <c r="BL208" s="269">
        <f>BD208*VLOOKUP($B208,'Major Cities &amp; Towns'!$A$28:$B$345,2,FALSE)</f>
        <v>630</v>
      </c>
      <c r="BM208" s="269">
        <f>BE208*VLOOKUP($B208,'Major Cities &amp; Towns'!$A$28:$B$345,2,FALSE)</f>
        <v>617</v>
      </c>
      <c r="BN208" s="269">
        <f>BF208*VLOOKUP($B208,'Major Cities &amp; Towns'!$A$28:$B$345,2,FALSE)</f>
        <v>606</v>
      </c>
      <c r="BO208" s="270">
        <f t="shared" si="179"/>
        <v>460</v>
      </c>
      <c r="BP208" s="270">
        <f t="shared" si="147"/>
        <v>1046.4767123287672</v>
      </c>
      <c r="BQ208" s="270">
        <f t="shared" si="147"/>
        <v>1233</v>
      </c>
      <c r="BR208" s="270">
        <f t="shared" si="147"/>
        <v>629</v>
      </c>
      <c r="BS208" s="270">
        <f t="shared" si="146"/>
        <v>646</v>
      </c>
      <c r="BT208" s="270">
        <f t="shared" si="146"/>
        <v>630</v>
      </c>
      <c r="BU208" s="270">
        <f t="shared" si="146"/>
        <v>617</v>
      </c>
      <c r="BV208" s="270">
        <f t="shared" si="146"/>
        <v>606</v>
      </c>
      <c r="BW208" s="39">
        <f>VLOOKUP($A208,NetAdditions!$A$2:$H$336,6,FALSE)</f>
        <v>535</v>
      </c>
      <c r="BX208" s="39">
        <f>VLOOKUP($A208,NetAdditions!$A$2:$H$336,7,FALSE)</f>
        <v>459</v>
      </c>
      <c r="BY208" s="39">
        <f>IF((VLOOKUP($C208,NetAdditions!$A$2:$H$336,8,FALSE))="",(AVERAGE(VLOOKUP($C208,NetAdditions!$A$2:$H$336,5,FALSE),VLOOKUP($C208,NetAdditions!$A$2:$H$336,6,FALSE),VLOOKUP($C208,NetAdditions!$A$2:$H$336,7,FALSE))),VLOOKUP($C208,NetAdditions!$A$2:$H$336,8,FALSE))</f>
        <v>801</v>
      </c>
      <c r="BZ208" s="39">
        <f t="shared" si="150"/>
        <v>598.33333333333337</v>
      </c>
      <c r="CA208" s="39">
        <f t="shared" si="150"/>
        <v>619.44444444444446</v>
      </c>
      <c r="CB208" s="39">
        <f t="shared" si="150"/>
        <v>672.92592592592598</v>
      </c>
      <c r="CC208" s="39">
        <f t="shared" si="150"/>
        <v>630.23456790123464</v>
      </c>
      <c r="CD208" s="39">
        <f t="shared" si="150"/>
        <v>640.86831275720169</v>
      </c>
      <c r="CE208" s="276">
        <f t="shared" si="155"/>
        <v>2739.4767123287675</v>
      </c>
      <c r="CF208" s="276">
        <f t="shared" si="156"/>
        <v>2908.4767123287675</v>
      </c>
      <c r="CG208" s="276">
        <f t="shared" si="157"/>
        <v>2508</v>
      </c>
      <c r="CH208" s="276">
        <f t="shared" si="158"/>
        <v>1905</v>
      </c>
      <c r="CI208" s="276">
        <f t="shared" si="159"/>
        <v>1893</v>
      </c>
      <c r="CJ208" s="276">
        <f t="shared" si="160"/>
        <v>1853</v>
      </c>
      <c r="CK208" s="276">
        <f t="shared" si="180"/>
        <v>2358.9938356164389</v>
      </c>
      <c r="CL208" s="276">
        <f t="shared" si="181"/>
        <v>2504.5216133942167</v>
      </c>
      <c r="CM208" s="276">
        <f t="shared" si="182"/>
        <v>2299</v>
      </c>
      <c r="CN208" s="276">
        <f t="shared" si="183"/>
        <v>1905</v>
      </c>
      <c r="CO208" s="276">
        <f t="shared" si="183"/>
        <v>1893</v>
      </c>
      <c r="CP208" s="276">
        <f t="shared" si="183"/>
        <v>1853</v>
      </c>
      <c r="CQ208" s="39">
        <f t="shared" si="161"/>
        <v>1795</v>
      </c>
      <c r="CR208" s="39">
        <f t="shared" si="162"/>
        <v>1858.3333333333335</v>
      </c>
      <c r="CS208" s="277">
        <f t="shared" si="163"/>
        <v>2018.7777777777778</v>
      </c>
      <c r="CT208" s="39">
        <f t="shared" si="164"/>
        <v>1890.7037037037039</v>
      </c>
      <c r="CU208" s="39">
        <f t="shared" si="165"/>
        <v>1922.6049382716051</v>
      </c>
      <c r="CV208" s="39">
        <f t="shared" si="166"/>
        <v>1944.0288065843624</v>
      </c>
      <c r="CW208" s="297">
        <f t="shared" si="167"/>
        <v>0.76091763060115869</v>
      </c>
      <c r="CX208" s="279" t="str">
        <f t="shared" si="184"/>
        <v>Buffer and Action Plan</v>
      </c>
      <c r="CY208" s="278">
        <f t="shared" si="168"/>
        <v>0.74199133415137675</v>
      </c>
      <c r="CZ208" s="279" t="str">
        <f t="shared" si="185"/>
        <v>Buffer and Action Plan</v>
      </c>
      <c r="DA208" s="278">
        <f t="shared" si="169"/>
        <v>0.87811125610168672</v>
      </c>
      <c r="DB208" s="292" t="str">
        <f t="shared" si="186"/>
        <v>Action Plan</v>
      </c>
      <c r="DC208" s="299">
        <f t="shared" si="187"/>
        <v>0.99249538252162939</v>
      </c>
      <c r="DD208" s="293" t="str">
        <f t="shared" si="188"/>
        <v>Pass</v>
      </c>
      <c r="DE208" s="299">
        <f t="shared" si="189"/>
        <v>1.0156391644329663</v>
      </c>
      <c r="DF208" s="293" t="str">
        <f t="shared" si="190"/>
        <v>Pass</v>
      </c>
      <c r="DG208" s="299">
        <f t="shared" si="191"/>
        <v>1.049125097994799</v>
      </c>
      <c r="DH208" s="293" t="str">
        <f t="shared" si="192"/>
        <v>Pass</v>
      </c>
    </row>
    <row r="209" spans="1:112" ht="15" thickTop="1" thickBot="1">
      <c r="A209" s="38" t="s">
        <v>528</v>
      </c>
      <c r="B209" s="38" t="s">
        <v>529</v>
      </c>
      <c r="C209" s="38" t="s">
        <v>528</v>
      </c>
      <c r="D209" s="38" t="s">
        <v>116</v>
      </c>
      <c r="E209" s="38" t="str">
        <f>VLOOKUP(C209,PoliticalControl!A:K,11,FALSE)</f>
        <v>CON</v>
      </c>
      <c r="F209" s="38" t="str">
        <f>VLOOKUP(C209,UrbanRuralClassification!A:N,13,FALSE)</f>
        <v xml:space="preserve">Mainly Rural (rural including hub towns &gt;=80%) </v>
      </c>
      <c r="G209" s="38" t="str">
        <f>VLOOKUP(C209,UrbanRuralClassification!A:N,14,FALSE)</f>
        <v>Predominantly Rural</v>
      </c>
      <c r="H209" s="258">
        <f>IF(ISBLANK((VLOOKUP($A209,'local-plan-data'!$C$1:$AD$566,27,FALSE)))=TRUE,"",VLOOKUP($A209,'local-plan-data'!$C$1:$AD$566,27,FALSE))</f>
        <v>41989</v>
      </c>
      <c r="I209" s="259">
        <f>VLOOKUP($A209,'local-plan-data'!$C$1:$AD$566,28,FALSE)</f>
        <v>280</v>
      </c>
      <c r="J209" s="260">
        <f t="shared" si="170"/>
        <v>280</v>
      </c>
      <c r="K209" s="259">
        <f t="shared" si="144"/>
        <v>280</v>
      </c>
      <c r="L209" s="259">
        <f t="shared" si="153"/>
        <v>280</v>
      </c>
      <c r="M209" s="259" t="str">
        <f t="shared" si="153"/>
        <v>-</v>
      </c>
      <c r="N209" s="259" t="str">
        <f t="shared" si="153"/>
        <v>-</v>
      </c>
      <c r="O209" s="259" t="str">
        <f t="shared" si="153"/>
        <v>-</v>
      </c>
      <c r="P209" s="259" t="str">
        <f t="shared" si="153"/>
        <v>-</v>
      </c>
      <c r="Q209" s="259" t="str">
        <f t="shared" si="153"/>
        <v>-</v>
      </c>
      <c r="R209" s="259" t="str">
        <f t="shared" si="153"/>
        <v>-</v>
      </c>
      <c r="S209" s="259">
        <f t="shared" si="145"/>
        <v>624</v>
      </c>
      <c r="T209" s="259">
        <f t="shared" si="154"/>
        <v>259</v>
      </c>
      <c r="U209" s="259">
        <f t="shared" si="154"/>
        <v>-107</v>
      </c>
      <c r="V209" s="259">
        <f t="shared" si="154"/>
        <v>-472</v>
      </c>
      <c r="W209" s="259">
        <f t="shared" si="154"/>
        <v>-837</v>
      </c>
      <c r="X209" s="259">
        <f t="shared" si="154"/>
        <v>-1202</v>
      </c>
      <c r="Y209" s="259">
        <f t="shared" si="154"/>
        <v>-1568</v>
      </c>
      <c r="Z209" s="259">
        <f t="shared" si="154"/>
        <v>-1933</v>
      </c>
      <c r="AA209" s="267">
        <f>(VLOOKUP(A209,Hshldprojections2014!$A$2:$AW$319,40, FALSE)-VLOOKUP(A209,Hshldprojections2014!$A$2:$AW$319,30, FALSE))/10</f>
        <v>131.5</v>
      </c>
      <c r="AB209" s="267">
        <f>(VLOOKUP(A209,Hshldprojections2014!$A$2:$AW$319,41, FALSE)-VLOOKUP(A209,Hshldprojections2014!$A$2:$AW$319,31, FALSE))/10</f>
        <v>125.9</v>
      </c>
      <c r="AC209" s="267">
        <f>(VLOOKUP(A209,Hshldprojections2014!$A$2:$AW$319,42, FALSE)-VLOOKUP(A209,Hshldprojections2014!$A$2:$AW$319,32, FALSE))/10</f>
        <v>120.5</v>
      </c>
      <c r="AD209" s="267">
        <f>IF(IndividualLATest!$J$7=2014,(VLOOKUP($A209,Hshldprojections2014!$A$2:$AY$326,43,FALSE)-VLOOKUP($A209,Hshldprojections2014!$A$2:$AY$326,33,FALSE))/10,IF(IndividualLATest!$J$7=2016,(VLOOKUP($A209,Hshldprojections2016!$A$1:$AQ$322,33,FALSE)-VLOOKUP($A209,Hshldprojections2016!$A$1:$AQ$322,23,FALSE))/10,(VLOOKUP($A209,Hshldprojections2018!$A$1:$AQ$327,33,FALSE)-VLOOKUP($A209,Hshldprojections2018!$A$1:$AQ$327,23,FALSE))/10))</f>
        <v>244.5</v>
      </c>
      <c r="AE209" s="267">
        <f>IF(IndividualLATest!$J$7=2014,(VLOOKUP($A209,Hshldprojections2014!$A$2:$AY$326,44,FALSE)-VLOOKUP($A209,Hshldprojections2014!$A$2:$AY$326,34,FALSE))/10,IF(IndividualLATest!$J$7=2016,(VLOOKUP($A209,Hshldprojections2016!$A$1:$AQ$322,34,FALSE)-VLOOKUP($A209,Hshldprojections2016!$A$1:$AQ$322,24,FALSE))/10,(VLOOKUP($A209,Hshldprojections2018!$A$1:$AQ$327,34,FALSE)-VLOOKUP($A209,Hshldprojections2018!$A$1:$AQ$327,24,FALSE))/10))</f>
        <v>234.9</v>
      </c>
      <c r="AF209" s="267">
        <f>IF(IndividualLATest!$J$7=2014,(VLOOKUP($A209,Hshldprojections2014!$A$2:$AY$326,45,FALSE)-VLOOKUP($A209,Hshldprojections2014!$A$2:$AY$326,35,FALSE))/10,IF(IndividualLATest!$J$7=2016,(VLOOKUP($A209,Hshldprojections2016!$A$1:$AQ$322,35,FALSE)-VLOOKUP($A209,Hshldprojections2016!$A$1:$AQ$322,25,FALSE))/10,(VLOOKUP($A209,Hshldprojections2018!$A$1:$AQ$327,35,FALSE)-VLOOKUP($A209,Hshldprojections2018!$A$1:$AQ$327,25,FALSE))/10))</f>
        <v>225.9</v>
      </c>
      <c r="AG209" s="267">
        <f>IF(IndividualLATest!$J$7=2014,(VLOOKUP($A209,Hshldprojections2014!$A$2:$AY$326,46,FALSE)-VLOOKUP($A209,Hshldprojections2014!$A$2:$AY$326,36,FALSE))/10,IF(IndividualLATest!$J$7=2016,(VLOOKUP($A209,Hshldprojections2016!$A$1:$AQ$322,36,FALSE)-VLOOKUP($A209,Hshldprojections2016!$A$1:$AQ$322,26,FALSE))/10,(VLOOKUP($A209,Hshldprojections2018!$A$1:$AQ$327,36,FALSE)-VLOOKUP($A209,Hshldprojections2018!$A$1:$AQ$327,26,FALSE))/10))</f>
        <v>217.8</v>
      </c>
      <c r="AH209" s="267">
        <f>IF(IndividualLATest!$J$7=2014,(VLOOKUP($A209,Hshldprojections2014!$A$2:$AY$326,47,FALSE)-VLOOKUP($A209,Hshldprojections2014!$A$2:$AY$326,37,FALSE))/10,IF(IndividualLATest!$J$7=2016,(VLOOKUP($A209,Hshldprojections2016!$A$1:$AQ$322,37,FALSE)-VLOOKUP($A209,Hshldprojections2016!$A$1:$AQ$322,27,FALSE))/10,(VLOOKUP($A209,Hshldprojections2018!$A$1:$AQ$327,37,FALSE)-VLOOKUP($A209,Hshldprojections2018!$A$1:$AQ$327,27,FALSE))/10))</f>
        <v>212.3</v>
      </c>
      <c r="AI209" s="268">
        <f>IF(ISNUMBER('Sensitivity Tests'!$C$30),'Sensitivity Tests'!$C$30,VLOOKUP($A209,AffordabilityRatio!$A$2:$I$321,5,FALSE))</f>
        <v>6.76</v>
      </c>
      <c r="AJ209" s="268">
        <f>IF(ISNUMBER('Sensitivity Tests'!$C$30),'Sensitivity Tests'!$C$30,VLOOKUP($A209,AffordabilityRatio!$A$2:$I$321,6,FALSE))</f>
        <v>7.11</v>
      </c>
      <c r="AK209" s="268">
        <f>IF(ISNUMBER('Sensitivity Tests'!$C$30),'Sensitivity Tests'!$C$30,VLOOKUP($A209,AffordabilityRatio!$A$2:$I$321,7,FALSE))</f>
        <v>7.06</v>
      </c>
      <c r="AL209" s="268">
        <f>IF(ISNUMBER('Sensitivity Tests'!$C$30),'Sensitivity Tests'!$C$30,IF((VLOOKUP($A209,AffordabilityRatio!$A$2:$I$321,8,FALSE))="",AK209,VLOOKUP($A209,AffordabilityRatio!$A$2:$I$321,8,FALSE)))</f>
        <v>6.08</v>
      </c>
      <c r="AM209" s="268">
        <f>IF(ISNUMBER('Sensitivity Tests'!$C$30),'Sensitivity Tests'!$C$30,IF((VLOOKUP($A209,AffordabilityRatio!$A$2:$I$321,9,FALSE))="",AL209,VLOOKUP($A209,AffordabilityRatio!$A$2:$I$321,9,FALSE)))</f>
        <v>6.43</v>
      </c>
      <c r="AN209" s="268">
        <f>IF(ISNUMBER('Sensitivity Tests'!$C$30),'Sensitivity Tests'!$C$30,IF((VLOOKUP($A209,AffordabilityRatio!$A$2:$I$321,9,FALSE))="",AM209,VLOOKUP($A209,AffordabilityRatio!$A$2:$I$321,9,FALSE)))</f>
        <v>6.43</v>
      </c>
      <c r="AO209" s="268">
        <f>IF(ISNUMBER('Sensitivity Tests'!$C$30),'Sensitivity Tests'!$C$30,IF((VLOOKUP($A209,AffordabilityRatio!$A$2:$I$321,9,FALSE))="",AN209,VLOOKUP($A209,AffordabilityRatio!$A$2:$I$321,9,FALSE)))</f>
        <v>6.43</v>
      </c>
      <c r="AP209" s="268">
        <f>IF(ISNUMBER('Sensitivity Tests'!$C$30),'Sensitivity Tests'!$C$30,IF((VLOOKUP($A209,AffordabilityRatio!$A$2:$I$321,9,FALSE))="",AO209,VLOOKUP($A209,AffordabilityRatio!$A$2:$I$321,9,FALSE)))</f>
        <v>6.43</v>
      </c>
      <c r="AQ209" s="267">
        <f t="shared" si="152"/>
        <v>154</v>
      </c>
      <c r="AR209" s="267">
        <f t="shared" si="152"/>
        <v>150</v>
      </c>
      <c r="AS209" s="267">
        <f t="shared" si="152"/>
        <v>144</v>
      </c>
      <c r="AT209" s="267">
        <f t="shared" si="152"/>
        <v>276</v>
      </c>
      <c r="AU209" s="267">
        <f t="shared" si="152"/>
        <v>271</v>
      </c>
      <c r="AV209" s="267">
        <f t="shared" si="151"/>
        <v>260</v>
      </c>
      <c r="AW209" s="267">
        <f t="shared" si="151"/>
        <v>251</v>
      </c>
      <c r="AX209" s="267">
        <f t="shared" si="151"/>
        <v>245</v>
      </c>
      <c r="AY209" s="267">
        <f t="shared" si="171"/>
        <v>154</v>
      </c>
      <c r="AZ209" s="267">
        <f t="shared" si="172"/>
        <v>150</v>
      </c>
      <c r="BA209" s="267">
        <f t="shared" si="173"/>
        <v>144</v>
      </c>
      <c r="BB209" s="267">
        <f t="shared" si="174"/>
        <v>276</v>
      </c>
      <c r="BC209" s="267">
        <f t="shared" si="175"/>
        <v>271</v>
      </c>
      <c r="BD209" s="267">
        <f t="shared" si="176"/>
        <v>260</v>
      </c>
      <c r="BE209" s="267">
        <f t="shared" si="177"/>
        <v>251</v>
      </c>
      <c r="BF209" s="267">
        <f t="shared" si="178"/>
        <v>245</v>
      </c>
      <c r="BG209" s="269">
        <f>AY209*VLOOKUP($B209,'Major Cities &amp; Towns'!$A$28:$B$345,2,FALSE)</f>
        <v>154</v>
      </c>
      <c r="BH209" s="269">
        <f>AZ209*VLOOKUP($B209,'Major Cities &amp; Towns'!$A$28:$B$345,2,FALSE)</f>
        <v>150</v>
      </c>
      <c r="BI209" s="269">
        <f>BA209*VLOOKUP($B209,'Major Cities &amp; Towns'!$A$28:$B$345,2,FALSE)</f>
        <v>144</v>
      </c>
      <c r="BJ209" s="269">
        <f>BB209*VLOOKUP($B209,'Major Cities &amp; Towns'!$A$28:$B$345,2,FALSE)</f>
        <v>276</v>
      </c>
      <c r="BK209" s="269">
        <f>BC209*VLOOKUP($B209,'Major Cities &amp; Towns'!$A$28:$B$345,2,FALSE)</f>
        <v>271</v>
      </c>
      <c r="BL209" s="269">
        <f>BD209*VLOOKUP($B209,'Major Cities &amp; Towns'!$A$28:$B$345,2,FALSE)</f>
        <v>260</v>
      </c>
      <c r="BM209" s="269">
        <f>BE209*VLOOKUP($B209,'Major Cities &amp; Towns'!$A$28:$B$345,2,FALSE)</f>
        <v>251</v>
      </c>
      <c r="BN209" s="269">
        <f>BF209*VLOOKUP($B209,'Major Cities &amp; Towns'!$A$28:$B$345,2,FALSE)</f>
        <v>245</v>
      </c>
      <c r="BO209" s="270">
        <f t="shared" si="179"/>
        <v>154</v>
      </c>
      <c r="BP209" s="270">
        <f t="shared" si="147"/>
        <v>150</v>
      </c>
      <c r="BQ209" s="270">
        <f t="shared" si="147"/>
        <v>144</v>
      </c>
      <c r="BR209" s="270">
        <f t="shared" si="147"/>
        <v>276</v>
      </c>
      <c r="BS209" s="270">
        <f t="shared" si="146"/>
        <v>271</v>
      </c>
      <c r="BT209" s="270">
        <f t="shared" si="146"/>
        <v>260</v>
      </c>
      <c r="BU209" s="270">
        <f t="shared" si="146"/>
        <v>251</v>
      </c>
      <c r="BV209" s="270">
        <f t="shared" si="146"/>
        <v>245</v>
      </c>
      <c r="BW209" s="39">
        <f>VLOOKUP($A209,NetAdditions!$A$2:$H$336,6,FALSE)</f>
        <v>403</v>
      </c>
      <c r="BX209" s="39">
        <f>VLOOKUP($A209,NetAdditions!$A$2:$H$336,7,FALSE)</f>
        <v>559</v>
      </c>
      <c r="BY209" s="39">
        <f>IF((VLOOKUP($C209,NetAdditions!$A$2:$H$336,8,FALSE))="",(AVERAGE(VLOOKUP($C209,NetAdditions!$A$2:$H$336,5,FALSE),VLOOKUP($C209,NetAdditions!$A$2:$H$336,6,FALSE),VLOOKUP($C209,NetAdditions!$A$2:$H$336,7,FALSE))),VLOOKUP($C209,NetAdditions!$A$2:$H$336,8,FALSE))</f>
        <v>453</v>
      </c>
      <c r="BZ209" s="39">
        <f t="shared" si="150"/>
        <v>471.66666666666669</v>
      </c>
      <c r="CA209" s="39">
        <f t="shared" si="150"/>
        <v>494.5555555555556</v>
      </c>
      <c r="CB209" s="39">
        <f t="shared" si="150"/>
        <v>473.07407407407413</v>
      </c>
      <c r="CC209" s="39">
        <f t="shared" si="150"/>
        <v>479.76543209876553</v>
      </c>
      <c r="CD209" s="39">
        <f t="shared" si="150"/>
        <v>482.46502057613179</v>
      </c>
      <c r="CE209" s="276">
        <f t="shared" si="155"/>
        <v>448</v>
      </c>
      <c r="CF209" s="276">
        <f t="shared" si="156"/>
        <v>570</v>
      </c>
      <c r="CG209" s="276">
        <f t="shared" si="157"/>
        <v>691</v>
      </c>
      <c r="CH209" s="276">
        <f t="shared" si="158"/>
        <v>807</v>
      </c>
      <c r="CI209" s="276">
        <f t="shared" si="159"/>
        <v>782</v>
      </c>
      <c r="CJ209" s="276">
        <f t="shared" si="160"/>
        <v>756</v>
      </c>
      <c r="CK209" s="276">
        <f t="shared" si="180"/>
        <v>385.77777777777783</v>
      </c>
      <c r="CL209" s="276">
        <f t="shared" si="181"/>
        <v>490.83333333333337</v>
      </c>
      <c r="CM209" s="276">
        <f t="shared" si="182"/>
        <v>633.41666666666663</v>
      </c>
      <c r="CN209" s="276">
        <f t="shared" si="183"/>
        <v>807</v>
      </c>
      <c r="CO209" s="276">
        <f t="shared" si="183"/>
        <v>782</v>
      </c>
      <c r="CP209" s="276">
        <f t="shared" si="183"/>
        <v>756</v>
      </c>
      <c r="CQ209" s="39">
        <f t="shared" si="161"/>
        <v>1415</v>
      </c>
      <c r="CR209" s="39">
        <f t="shared" si="162"/>
        <v>1483.6666666666667</v>
      </c>
      <c r="CS209" s="277">
        <f t="shared" si="163"/>
        <v>1419.2222222222224</v>
      </c>
      <c r="CT209" s="39">
        <f t="shared" si="164"/>
        <v>1439.2962962962965</v>
      </c>
      <c r="CU209" s="39">
        <f t="shared" si="165"/>
        <v>1447.3950617283954</v>
      </c>
      <c r="CV209" s="39">
        <f t="shared" si="166"/>
        <v>1435.3045267489715</v>
      </c>
      <c r="CW209" s="297">
        <f t="shared" si="167"/>
        <v>3.6679147465437785</v>
      </c>
      <c r="CX209" s="279" t="str">
        <f t="shared" si="184"/>
        <v>Pass</v>
      </c>
      <c r="CY209" s="278">
        <f t="shared" si="168"/>
        <v>3.0227504244482173</v>
      </c>
      <c r="CZ209" s="279" t="str">
        <f t="shared" si="185"/>
        <v>Pass</v>
      </c>
      <c r="DA209" s="278">
        <f t="shared" si="169"/>
        <v>2.2405823795114683</v>
      </c>
      <c r="DB209" s="292" t="str">
        <f t="shared" si="186"/>
        <v>Pass</v>
      </c>
      <c r="DC209" s="299">
        <f t="shared" si="187"/>
        <v>1.7835146174675298</v>
      </c>
      <c r="DD209" s="293" t="str">
        <f t="shared" si="188"/>
        <v>Pass</v>
      </c>
      <c r="DE209" s="299">
        <f t="shared" si="189"/>
        <v>1.8508888257396361</v>
      </c>
      <c r="DF209" s="293" t="str">
        <f t="shared" si="190"/>
        <v>Pass</v>
      </c>
      <c r="DG209" s="299">
        <f t="shared" si="191"/>
        <v>1.8985509613081635</v>
      </c>
      <c r="DH209" s="293" t="str">
        <f t="shared" si="192"/>
        <v>Pass</v>
      </c>
    </row>
    <row r="210" spans="1:112" customFormat="1" ht="15.5" thickTop="1" thickBot="1">
      <c r="A210" s="3" t="s">
        <v>530</v>
      </c>
      <c r="B210" s="3" t="s">
        <v>531</v>
      </c>
      <c r="C210" s="3" t="s">
        <v>530</v>
      </c>
      <c r="D210" s="3" t="s">
        <v>131</v>
      </c>
      <c r="E210" s="3" t="str">
        <f>VLOOKUP(C210,PoliticalControl!A:K,11,FALSE)</f>
        <v>LD</v>
      </c>
      <c r="F210" s="3" t="str">
        <f>VLOOKUP(C210,UrbanRuralClassification!A:N,13,FALSE)</f>
        <v>Urban with Major Conurbation</v>
      </c>
      <c r="G210" s="3" t="str">
        <f>VLOOKUP(C210,UrbanRuralClassification!A:N,14,FALSE)</f>
        <v>Predominantly Urban</v>
      </c>
      <c r="H210" s="262">
        <f>IF(ISBLANK((VLOOKUP($A210,'local-plan-data'!$C$1:$AD$566,27,FALSE)))=TRUE,"",VLOOKUP($A210,'local-plan-data'!$C$1:$AD$566,27,FALSE))</f>
        <v>43284</v>
      </c>
      <c r="I210" s="263">
        <f>VLOOKUP($A210,'local-plan-data'!$C$1:$AD$566,28,FALSE)</f>
        <v>315</v>
      </c>
      <c r="J210" s="264">
        <f t="shared" si="170"/>
        <v>315</v>
      </c>
      <c r="K210" s="259">
        <f t="shared" si="144"/>
        <v>315</v>
      </c>
      <c r="L210" s="259">
        <f t="shared" si="153"/>
        <v>315</v>
      </c>
      <c r="M210" s="259">
        <f t="shared" si="153"/>
        <v>315</v>
      </c>
      <c r="N210" s="259">
        <f t="shared" si="153"/>
        <v>315</v>
      </c>
      <c r="O210" s="259">
        <f t="shared" si="153"/>
        <v>315</v>
      </c>
      <c r="P210" s="259">
        <f t="shared" si="153"/>
        <v>315</v>
      </c>
      <c r="Q210" s="259" t="str">
        <f t="shared" si="153"/>
        <v>-</v>
      </c>
      <c r="R210" s="259" t="str">
        <f t="shared" si="153"/>
        <v>-</v>
      </c>
      <c r="S210" s="259">
        <f t="shared" si="145"/>
        <v>1919</v>
      </c>
      <c r="T210" s="259">
        <f t="shared" si="154"/>
        <v>1554</v>
      </c>
      <c r="U210" s="259">
        <f t="shared" si="154"/>
        <v>1188</v>
      </c>
      <c r="V210" s="259">
        <f t="shared" si="154"/>
        <v>823</v>
      </c>
      <c r="W210" s="259">
        <f t="shared" si="154"/>
        <v>458</v>
      </c>
      <c r="X210" s="259">
        <f t="shared" si="154"/>
        <v>93</v>
      </c>
      <c r="Y210" s="259">
        <f t="shared" si="154"/>
        <v>-273</v>
      </c>
      <c r="Z210" s="259">
        <f t="shared" si="154"/>
        <v>-638</v>
      </c>
      <c r="AA210" s="267">
        <f>(VLOOKUP(A210,Hshldprojections2014!$A$2:$AW$319,40, FALSE)-VLOOKUP(A210,Hshldprojections2014!$A$2:$AW$319,30, FALSE))/10</f>
        <v>1213.2</v>
      </c>
      <c r="AB210" s="267">
        <f>(VLOOKUP(A210,Hshldprojections2014!$A$2:$AW$319,41, FALSE)-VLOOKUP(A210,Hshldprojections2014!$A$2:$AW$319,31, FALSE))/10</f>
        <v>1203.8</v>
      </c>
      <c r="AC210" s="267">
        <f>(VLOOKUP(A210,Hshldprojections2014!$A$2:$AW$319,42, FALSE)-VLOOKUP(A210,Hshldprojections2014!$A$2:$AW$319,32, FALSE))/10</f>
        <v>1197.4000000000001</v>
      </c>
      <c r="AD210" s="267">
        <f>IF(IndividualLATest!$J$7=2014,(VLOOKUP($A210,Hshldprojections2014!$A$2:$AY$326,43,FALSE)-VLOOKUP($A210,Hshldprojections2014!$A$2:$AY$326,33,FALSE))/10,IF(IndividualLATest!$J$7=2016,(VLOOKUP($A210,Hshldprojections2016!$A$1:$AQ$322,33,FALSE)-VLOOKUP($A210,Hshldprojections2016!$A$1:$AQ$322,23,FALSE))/10,(VLOOKUP($A210,Hshldprojections2018!$A$1:$AQ$327,33,FALSE)-VLOOKUP($A210,Hshldprojections2018!$A$1:$AQ$327,23,FALSE))/10))</f>
        <v>609.29999999999995</v>
      </c>
      <c r="AE210" s="267">
        <f>IF(IndividualLATest!$J$7=2014,(VLOOKUP($A210,Hshldprojections2014!$A$2:$AY$326,44,FALSE)-VLOOKUP($A210,Hshldprojections2014!$A$2:$AY$326,34,FALSE))/10,IF(IndividualLATest!$J$7=2016,(VLOOKUP($A210,Hshldprojections2016!$A$1:$AQ$322,34,FALSE)-VLOOKUP($A210,Hshldprojections2016!$A$1:$AQ$322,24,FALSE))/10,(VLOOKUP($A210,Hshldprojections2018!$A$1:$AQ$327,34,FALSE)-VLOOKUP($A210,Hshldprojections2018!$A$1:$AQ$327,24,FALSE))/10))</f>
        <v>590.6</v>
      </c>
      <c r="AF210" s="267">
        <f>IF(IndividualLATest!$J$7=2014,(VLOOKUP($A210,Hshldprojections2014!$A$2:$AY$326,45,FALSE)-VLOOKUP($A210,Hshldprojections2014!$A$2:$AY$326,35,FALSE))/10,IF(IndividualLATest!$J$7=2016,(VLOOKUP($A210,Hshldprojections2016!$A$1:$AQ$322,35,FALSE)-VLOOKUP($A210,Hshldprojections2016!$A$1:$AQ$322,25,FALSE))/10,(VLOOKUP($A210,Hshldprojections2018!$A$1:$AQ$327,35,FALSE)-VLOOKUP($A210,Hshldprojections2018!$A$1:$AQ$327,25,FALSE))/10))</f>
        <v>567.5</v>
      </c>
      <c r="AG210" s="267">
        <f>IF(IndividualLATest!$J$7=2014,(VLOOKUP($A210,Hshldprojections2014!$A$2:$AY$326,46,FALSE)-VLOOKUP($A210,Hshldprojections2014!$A$2:$AY$326,36,FALSE))/10,IF(IndividualLATest!$J$7=2016,(VLOOKUP($A210,Hshldprojections2016!$A$1:$AQ$322,36,FALSE)-VLOOKUP($A210,Hshldprojections2016!$A$1:$AQ$322,26,FALSE))/10,(VLOOKUP($A210,Hshldprojections2018!$A$1:$AQ$327,36,FALSE)-VLOOKUP($A210,Hshldprojections2018!$A$1:$AQ$327,26,FALSE))/10))</f>
        <v>546.70000000000005</v>
      </c>
      <c r="AH210" s="267">
        <f>IF(IndividualLATest!$J$7=2014,(VLOOKUP($A210,Hshldprojections2014!$A$2:$AY$326,47,FALSE)-VLOOKUP($A210,Hshldprojections2014!$A$2:$AY$326,37,FALSE))/10,IF(IndividualLATest!$J$7=2016,(VLOOKUP($A210,Hshldprojections2016!$A$1:$AQ$322,37,FALSE)-VLOOKUP($A210,Hshldprojections2016!$A$1:$AQ$322,27,FALSE))/10,(VLOOKUP($A210,Hshldprojections2018!$A$1:$AQ$327,37,FALSE)-VLOOKUP($A210,Hshldprojections2018!$A$1:$AQ$327,27,FALSE))/10))</f>
        <v>529.6</v>
      </c>
      <c r="AI210" s="268">
        <f>IF(ISNUMBER('Sensitivity Tests'!$C$30),'Sensitivity Tests'!$C$30,VLOOKUP($A210,AffordabilityRatio!$A$2:$I$321,5,FALSE))</f>
        <v>19.91</v>
      </c>
      <c r="AJ210" s="268">
        <f>IF(ISNUMBER('Sensitivity Tests'!$C$30),'Sensitivity Tests'!$C$30,VLOOKUP($A210,AffordabilityRatio!$A$2:$I$321,6,FALSE))</f>
        <v>18.510000000000002</v>
      </c>
      <c r="AK210" s="268">
        <f>IF(ISNUMBER('Sensitivity Tests'!$C$30),'Sensitivity Tests'!$C$30,VLOOKUP($A210,AffordabilityRatio!$A$2:$I$321,7,FALSE))</f>
        <v>17.940000000000001</v>
      </c>
      <c r="AL210" s="268">
        <f>IF(ISNUMBER('Sensitivity Tests'!$C$30),'Sensitivity Tests'!$C$30,IF((VLOOKUP($A210,AffordabilityRatio!$A$2:$I$321,8,FALSE))="",AK210,VLOOKUP($A210,AffordabilityRatio!$A$2:$I$321,8,FALSE)))</f>
        <v>18.829999999999998</v>
      </c>
      <c r="AM210" s="268">
        <f>IF(ISNUMBER('Sensitivity Tests'!$C$30),'Sensitivity Tests'!$C$30,IF((VLOOKUP($A210,AffordabilityRatio!$A$2:$I$321,9,FALSE))="",AL210,VLOOKUP($A210,AffordabilityRatio!$A$2:$I$321,9,FALSE)))</f>
        <v>19.62</v>
      </c>
      <c r="AN210" s="268">
        <f>IF(ISNUMBER('Sensitivity Tests'!$C$30),'Sensitivity Tests'!$C$30,IF((VLOOKUP($A210,AffordabilityRatio!$A$2:$I$321,9,FALSE))="",AM210,VLOOKUP($A210,AffordabilityRatio!$A$2:$I$321,9,FALSE)))</f>
        <v>19.62</v>
      </c>
      <c r="AO210" s="268">
        <f>IF(ISNUMBER('Sensitivity Tests'!$C$30),'Sensitivity Tests'!$C$30,IF((VLOOKUP($A210,AffordabilityRatio!$A$2:$I$321,9,FALSE))="",AN210,VLOOKUP($A210,AffordabilityRatio!$A$2:$I$321,9,FALSE)))</f>
        <v>19.62</v>
      </c>
      <c r="AP210" s="268">
        <f>IF(ISNUMBER('Sensitivity Tests'!$C$30),'Sensitivity Tests'!$C$30,IF((VLOOKUP($A210,AffordabilityRatio!$A$2:$I$321,9,FALSE))="",AO210,VLOOKUP($A210,AffordabilityRatio!$A$2:$I$321,9,FALSE)))</f>
        <v>19.62</v>
      </c>
      <c r="AQ210" s="267">
        <f t="shared" si="152"/>
        <v>2420</v>
      </c>
      <c r="AR210" s="267">
        <f t="shared" si="152"/>
        <v>2295</v>
      </c>
      <c r="AS210" s="267">
        <f t="shared" si="152"/>
        <v>2241</v>
      </c>
      <c r="AT210" s="267">
        <f t="shared" si="152"/>
        <v>1174</v>
      </c>
      <c r="AU210" s="267">
        <f t="shared" si="152"/>
        <v>1167</v>
      </c>
      <c r="AV210" s="267">
        <f t="shared" si="151"/>
        <v>1122</v>
      </c>
      <c r="AW210" s="267">
        <f t="shared" si="151"/>
        <v>1080</v>
      </c>
      <c r="AX210" s="267">
        <f t="shared" si="151"/>
        <v>1047</v>
      </c>
      <c r="AY210" s="267">
        <f t="shared" si="171"/>
        <v>441</v>
      </c>
      <c r="AZ210" s="267">
        <f t="shared" si="172"/>
        <v>441</v>
      </c>
      <c r="BA210" s="267">
        <f t="shared" si="173"/>
        <v>441</v>
      </c>
      <c r="BB210" s="267">
        <f t="shared" si="174"/>
        <v>441</v>
      </c>
      <c r="BC210" s="267">
        <f t="shared" si="175"/>
        <v>441</v>
      </c>
      <c r="BD210" s="267">
        <f t="shared" si="176"/>
        <v>441</v>
      </c>
      <c r="BE210" s="267">
        <f t="shared" si="177"/>
        <v>765.38000000000011</v>
      </c>
      <c r="BF210" s="267">
        <f t="shared" si="178"/>
        <v>741.44</v>
      </c>
      <c r="BG210" s="269">
        <f>AY210*VLOOKUP($B210,'Major Cities &amp; Towns'!$A$28:$B$345,2,FALSE)</f>
        <v>595.35</v>
      </c>
      <c r="BH210" s="269">
        <f>AZ210*VLOOKUP($B210,'Major Cities &amp; Towns'!$A$28:$B$345,2,FALSE)</f>
        <v>595.35</v>
      </c>
      <c r="BI210" s="269">
        <f>BA210*VLOOKUP($B210,'Major Cities &amp; Towns'!$A$28:$B$345,2,FALSE)</f>
        <v>595.35</v>
      </c>
      <c r="BJ210" s="269">
        <f>BB210*VLOOKUP($B210,'Major Cities &amp; Towns'!$A$28:$B$345,2,FALSE)</f>
        <v>595.35</v>
      </c>
      <c r="BK210" s="269">
        <f>BC210*VLOOKUP($B210,'Major Cities &amp; Towns'!$A$28:$B$345,2,FALSE)</f>
        <v>595.35</v>
      </c>
      <c r="BL210" s="269">
        <f>BD210*VLOOKUP($B210,'Major Cities &amp; Towns'!$A$28:$B$345,2,FALSE)</f>
        <v>595.35</v>
      </c>
      <c r="BM210" s="269">
        <f>BE210*VLOOKUP($B210,'Major Cities &amp; Towns'!$A$28:$B$345,2,FALSE)</f>
        <v>1033.2630000000001</v>
      </c>
      <c r="BN210" s="269">
        <f>BF210*VLOOKUP($B210,'Major Cities &amp; Towns'!$A$28:$B$345,2,FALSE)</f>
        <v>1000.9440000000002</v>
      </c>
      <c r="BO210" s="270">
        <f t="shared" si="179"/>
        <v>315</v>
      </c>
      <c r="BP210" s="270">
        <f t="shared" si="147"/>
        <v>315</v>
      </c>
      <c r="BQ210" s="270">
        <f t="shared" si="147"/>
        <v>315</v>
      </c>
      <c r="BR210" s="270">
        <f t="shared" si="147"/>
        <v>315</v>
      </c>
      <c r="BS210" s="270">
        <f t="shared" si="146"/>
        <v>315</v>
      </c>
      <c r="BT210" s="270">
        <f t="shared" si="146"/>
        <v>916.38082191780825</v>
      </c>
      <c r="BU210" s="270">
        <f t="shared" si="146"/>
        <v>1080</v>
      </c>
      <c r="BV210" s="270">
        <f t="shared" si="146"/>
        <v>1047</v>
      </c>
      <c r="BW210" s="39">
        <f>VLOOKUP($A210,NetAdditions!$A$2:$H$336,6,FALSE)</f>
        <v>423</v>
      </c>
      <c r="BX210" s="39">
        <f>VLOOKUP($A210,NetAdditions!$A$2:$H$336,7,FALSE)</f>
        <v>313</v>
      </c>
      <c r="BY210" s="39">
        <f>IF((VLOOKUP($C210,NetAdditions!$A$2:$H$336,8,FALSE))="",(AVERAGE(VLOOKUP($C210,NetAdditions!$A$2:$H$336,5,FALSE),VLOOKUP($C210,NetAdditions!$A$2:$H$336,6,FALSE),VLOOKUP($C210,NetAdditions!$A$2:$H$336,7,FALSE))),VLOOKUP($C210,NetAdditions!$A$2:$H$336,8,FALSE))</f>
        <v>1362</v>
      </c>
      <c r="BZ210" s="39">
        <f t="shared" si="150"/>
        <v>699.33333333333337</v>
      </c>
      <c r="CA210" s="39">
        <f t="shared" si="150"/>
        <v>791.44444444444446</v>
      </c>
      <c r="CB210" s="39">
        <f t="shared" si="150"/>
        <v>950.92592592592598</v>
      </c>
      <c r="CC210" s="39">
        <f t="shared" si="150"/>
        <v>813.90123456790127</v>
      </c>
      <c r="CD210" s="39">
        <f t="shared" si="150"/>
        <v>852.09053497942386</v>
      </c>
      <c r="CE210" s="276">
        <f t="shared" si="155"/>
        <v>945</v>
      </c>
      <c r="CF210" s="276">
        <f t="shared" si="156"/>
        <v>945</v>
      </c>
      <c r="CG210" s="276">
        <f t="shared" si="157"/>
        <v>945</v>
      </c>
      <c r="CH210" s="276">
        <f t="shared" si="158"/>
        <v>1546.3808219178081</v>
      </c>
      <c r="CI210" s="276">
        <f t="shared" si="159"/>
        <v>2311.3808219178081</v>
      </c>
      <c r="CJ210" s="276">
        <f t="shared" si="160"/>
        <v>3043.3808219178081</v>
      </c>
      <c r="CK210" s="276">
        <f t="shared" si="180"/>
        <v>813.75</v>
      </c>
      <c r="CL210" s="276">
        <f t="shared" si="181"/>
        <v>813.75</v>
      </c>
      <c r="CM210" s="276">
        <f t="shared" si="182"/>
        <v>866.25</v>
      </c>
      <c r="CN210" s="276">
        <f t="shared" si="183"/>
        <v>1546.3808219178081</v>
      </c>
      <c r="CO210" s="276">
        <f t="shared" si="183"/>
        <v>2311.3808219178081</v>
      </c>
      <c r="CP210" s="276">
        <f t="shared" si="183"/>
        <v>3043.3808219178081</v>
      </c>
      <c r="CQ210" s="39">
        <f t="shared" si="161"/>
        <v>2098</v>
      </c>
      <c r="CR210" s="39">
        <f t="shared" si="162"/>
        <v>2374.3333333333335</v>
      </c>
      <c r="CS210" s="277">
        <f t="shared" si="163"/>
        <v>2852.7777777777778</v>
      </c>
      <c r="CT210" s="39">
        <f t="shared" si="164"/>
        <v>2441.7037037037039</v>
      </c>
      <c r="CU210" s="39">
        <f t="shared" si="165"/>
        <v>2556.2716049382716</v>
      </c>
      <c r="CV210" s="39">
        <f t="shared" si="166"/>
        <v>2616.9176954732511</v>
      </c>
      <c r="CW210" s="297">
        <f t="shared" si="167"/>
        <v>2.5781874039938555</v>
      </c>
      <c r="CX210" s="279" t="str">
        <f t="shared" si="184"/>
        <v>Pass</v>
      </c>
      <c r="CY210" s="278">
        <f t="shared" si="168"/>
        <v>2.9177675371223759</v>
      </c>
      <c r="CZ210" s="279" t="str">
        <f t="shared" si="185"/>
        <v>Pass</v>
      </c>
      <c r="DA210" s="278">
        <f t="shared" si="169"/>
        <v>3.2932499599166265</v>
      </c>
      <c r="DB210" s="292" t="str">
        <f t="shared" si="186"/>
        <v>Pass</v>
      </c>
      <c r="DC210" s="299">
        <f t="shared" si="187"/>
        <v>1.5789795560679059</v>
      </c>
      <c r="DD210" s="293" t="str">
        <f t="shared" si="188"/>
        <v>Pass</v>
      </c>
      <c r="DE210" s="299">
        <f t="shared" si="189"/>
        <v>1.1059499934836665</v>
      </c>
      <c r="DF210" s="293" t="str">
        <f t="shared" si="190"/>
        <v>Pass</v>
      </c>
      <c r="DG210" s="299">
        <f t="shared" si="191"/>
        <v>0.85987191501856863</v>
      </c>
      <c r="DH210" s="293" t="str">
        <f t="shared" si="192"/>
        <v>Action Plan</v>
      </c>
    </row>
    <row r="211" spans="1:112" ht="15" thickTop="1" thickBot="1">
      <c r="A211" s="38" t="s">
        <v>532</v>
      </c>
      <c r="B211" s="38" t="s">
        <v>533</v>
      </c>
      <c r="C211" s="38" t="s">
        <v>532</v>
      </c>
      <c r="D211" s="38" t="s">
        <v>136</v>
      </c>
      <c r="E211" s="38" t="str">
        <f>VLOOKUP(C211,PoliticalControl!A:K,11,FALSE)</f>
        <v>NOC</v>
      </c>
      <c r="F211" s="38" t="str">
        <f>VLOOKUP(C211,UrbanRuralClassification!A:N,13,FALSE)</f>
        <v xml:space="preserve">Mainly Rural (rural including hub towns &gt;=80%) </v>
      </c>
      <c r="G211" s="38" t="str">
        <f>VLOOKUP(C211,UrbanRuralClassification!A:N,14,FALSE)</f>
        <v>Predominantly Rural</v>
      </c>
      <c r="H211" s="258">
        <f>IF(ISBLANK((VLOOKUP($A211,'local-plan-data'!$C$1:$AD$566,27,FALSE)))=TRUE,"",VLOOKUP($A211,'local-plan-data'!$C$1:$AD$566,27,FALSE))</f>
        <v>41982</v>
      </c>
      <c r="I211" s="259">
        <f>VLOOKUP($A211,'local-plan-data'!$C$1:$AD$566,28,FALSE)</f>
        <v>180</v>
      </c>
      <c r="J211" s="260">
        <f t="shared" si="170"/>
        <v>180</v>
      </c>
      <c r="K211" s="259">
        <f t="shared" ref="K211:R265" si="193">IF(AND(ISNUMBER($H211),ISNUMBER($J211)),IF(($H211-K$1&gt;0),$J211,IF(DATEDIF($H211,K$1,"y")&lt;5,$J211,"-")),"-")</f>
        <v>180</v>
      </c>
      <c r="L211" s="259">
        <f t="shared" si="153"/>
        <v>180</v>
      </c>
      <c r="M211" s="259" t="str">
        <f t="shared" si="153"/>
        <v>-</v>
      </c>
      <c r="N211" s="259" t="str">
        <f t="shared" si="153"/>
        <v>-</v>
      </c>
      <c r="O211" s="259" t="str">
        <f t="shared" si="153"/>
        <v>-</v>
      </c>
      <c r="P211" s="259" t="str">
        <f t="shared" si="153"/>
        <v>-</v>
      </c>
      <c r="Q211" s="259" t="str">
        <f t="shared" si="153"/>
        <v>-</v>
      </c>
      <c r="R211" s="259" t="str">
        <f t="shared" si="153"/>
        <v>-</v>
      </c>
      <c r="S211" s="259">
        <f t="shared" ref="S211:Z265" si="194">IFERROR((EDATE($H211,60))-S$1,"-")</f>
        <v>617</v>
      </c>
      <c r="T211" s="259">
        <f t="shared" si="154"/>
        <v>252</v>
      </c>
      <c r="U211" s="259">
        <f t="shared" si="154"/>
        <v>-114</v>
      </c>
      <c r="V211" s="259">
        <f t="shared" si="154"/>
        <v>-479</v>
      </c>
      <c r="W211" s="259">
        <f t="shared" si="154"/>
        <v>-844</v>
      </c>
      <c r="X211" s="259">
        <f t="shared" si="154"/>
        <v>-1209</v>
      </c>
      <c r="Y211" s="259">
        <f t="shared" si="154"/>
        <v>-1575</v>
      </c>
      <c r="Z211" s="259">
        <f t="shared" si="154"/>
        <v>-1940</v>
      </c>
      <c r="AA211" s="267">
        <f>(VLOOKUP(A211,Hshldprojections2014!$A$2:$AW$319,40, FALSE)-VLOOKUP(A211,Hshldprojections2014!$A$2:$AW$319,30, FALSE))/10</f>
        <v>9.3000000000000007</v>
      </c>
      <c r="AB211" s="267">
        <f>(VLOOKUP(A211,Hshldprojections2014!$A$2:$AW$319,41, FALSE)-VLOOKUP(A211,Hshldprojections2014!$A$2:$AW$319,31, FALSE))/10</f>
        <v>9.6</v>
      </c>
      <c r="AC211" s="267">
        <f>(VLOOKUP(A211,Hshldprojections2014!$A$2:$AW$319,42, FALSE)-VLOOKUP(A211,Hshldprojections2014!$A$2:$AW$319,32, FALSE))/10</f>
        <v>10</v>
      </c>
      <c r="AD211" s="267">
        <f>IF(IndividualLATest!$J$7=2014,(VLOOKUP($A211,Hshldprojections2014!$A$2:$AY$326,43,FALSE)-VLOOKUP($A211,Hshldprojections2014!$A$2:$AY$326,33,FALSE))/10,IF(IndividualLATest!$J$7=2016,(VLOOKUP($A211,Hshldprojections2016!$A$1:$AQ$322,33,FALSE)-VLOOKUP($A211,Hshldprojections2016!$A$1:$AQ$322,23,FALSE))/10,(VLOOKUP($A211,Hshldprojections2018!$A$1:$AQ$327,33,FALSE)-VLOOKUP($A211,Hshldprojections2018!$A$1:$AQ$327,23,FALSE))/10))</f>
        <v>53.9</v>
      </c>
      <c r="AE211" s="267">
        <f>IF(IndividualLATest!$J$7=2014,(VLOOKUP($A211,Hshldprojections2014!$A$2:$AY$326,44,FALSE)-VLOOKUP($A211,Hshldprojections2014!$A$2:$AY$326,34,FALSE))/10,IF(IndividualLATest!$J$7=2016,(VLOOKUP($A211,Hshldprojections2016!$A$1:$AQ$322,34,FALSE)-VLOOKUP($A211,Hshldprojections2016!$A$1:$AQ$322,24,FALSE))/10,(VLOOKUP($A211,Hshldprojections2018!$A$1:$AQ$327,34,FALSE)-VLOOKUP($A211,Hshldprojections2018!$A$1:$AQ$327,24,FALSE))/10))</f>
        <v>50.8</v>
      </c>
      <c r="AF211" s="267">
        <f>IF(IndividualLATest!$J$7=2014,(VLOOKUP($A211,Hshldprojections2014!$A$2:$AY$326,45,FALSE)-VLOOKUP($A211,Hshldprojections2014!$A$2:$AY$326,35,FALSE))/10,IF(IndividualLATest!$J$7=2016,(VLOOKUP($A211,Hshldprojections2016!$A$1:$AQ$322,35,FALSE)-VLOOKUP($A211,Hshldprojections2016!$A$1:$AQ$322,25,FALSE))/10,(VLOOKUP($A211,Hshldprojections2018!$A$1:$AQ$327,35,FALSE)-VLOOKUP($A211,Hshldprojections2018!$A$1:$AQ$327,25,FALSE))/10))</f>
        <v>49.1</v>
      </c>
      <c r="AG211" s="267">
        <f>IF(IndividualLATest!$J$7=2014,(VLOOKUP($A211,Hshldprojections2014!$A$2:$AY$326,46,FALSE)-VLOOKUP($A211,Hshldprojections2014!$A$2:$AY$326,36,FALSE))/10,IF(IndividualLATest!$J$7=2016,(VLOOKUP($A211,Hshldprojections2016!$A$1:$AQ$322,36,FALSE)-VLOOKUP($A211,Hshldprojections2016!$A$1:$AQ$322,26,FALSE))/10,(VLOOKUP($A211,Hshldprojections2018!$A$1:$AQ$327,36,FALSE)-VLOOKUP($A211,Hshldprojections2018!$A$1:$AQ$327,26,FALSE))/10))</f>
        <v>46.5</v>
      </c>
      <c r="AH211" s="267">
        <f>IF(IndividualLATest!$J$7=2014,(VLOOKUP($A211,Hshldprojections2014!$A$2:$AY$326,47,FALSE)-VLOOKUP($A211,Hshldprojections2014!$A$2:$AY$326,37,FALSE))/10,IF(IndividualLATest!$J$7=2016,(VLOOKUP($A211,Hshldprojections2016!$A$1:$AQ$322,37,FALSE)-VLOOKUP($A211,Hshldprojections2016!$A$1:$AQ$322,27,FALSE))/10,(VLOOKUP($A211,Hshldprojections2018!$A$1:$AQ$327,37,FALSE)-VLOOKUP($A211,Hshldprojections2018!$A$1:$AQ$327,27,FALSE))/10))</f>
        <v>45.1</v>
      </c>
      <c r="AI211" s="268">
        <f>IF(ISNUMBER('Sensitivity Tests'!$C$30),'Sensitivity Tests'!$C$30,VLOOKUP($A211,AffordabilityRatio!$A$2:$I$321,5,FALSE))</f>
        <v>7.25</v>
      </c>
      <c r="AJ211" s="268">
        <f>IF(ISNUMBER('Sensitivity Tests'!$C$30),'Sensitivity Tests'!$C$30,VLOOKUP($A211,AffordabilityRatio!$A$2:$I$321,6,FALSE))</f>
        <v>7.38</v>
      </c>
      <c r="AK211" s="268">
        <f>IF(ISNUMBER('Sensitivity Tests'!$C$30),'Sensitivity Tests'!$C$30,VLOOKUP($A211,AffordabilityRatio!$A$2:$I$321,7,FALSE))</f>
        <v>7.41</v>
      </c>
      <c r="AL211" s="268">
        <f>IF(ISNUMBER('Sensitivity Tests'!$C$30),'Sensitivity Tests'!$C$30,IF((VLOOKUP($A211,AffordabilityRatio!$A$2:$I$321,8,FALSE))="",AK211,VLOOKUP($A211,AffordabilityRatio!$A$2:$I$321,8,FALSE)))</f>
        <v>7.7</v>
      </c>
      <c r="AM211" s="268">
        <f>IF(ISNUMBER('Sensitivity Tests'!$C$30),'Sensitivity Tests'!$C$30,IF((VLOOKUP($A211,AffordabilityRatio!$A$2:$I$321,9,FALSE))="",AL211,VLOOKUP($A211,AffordabilityRatio!$A$2:$I$321,9,FALSE)))</f>
        <v>8.4600000000000009</v>
      </c>
      <c r="AN211" s="268">
        <f>IF(ISNUMBER('Sensitivity Tests'!$C$30),'Sensitivity Tests'!$C$30,IF((VLOOKUP($A211,AffordabilityRatio!$A$2:$I$321,9,FALSE))="",AM211,VLOOKUP($A211,AffordabilityRatio!$A$2:$I$321,9,FALSE)))</f>
        <v>8.4600000000000009</v>
      </c>
      <c r="AO211" s="268">
        <f>IF(ISNUMBER('Sensitivity Tests'!$C$30),'Sensitivity Tests'!$C$30,IF((VLOOKUP($A211,AffordabilityRatio!$A$2:$I$321,9,FALSE))="",AN211,VLOOKUP($A211,AffordabilityRatio!$A$2:$I$321,9,FALSE)))</f>
        <v>8.4600000000000009</v>
      </c>
      <c r="AP211" s="268">
        <f>IF(ISNUMBER('Sensitivity Tests'!$C$30),'Sensitivity Tests'!$C$30,IF((VLOOKUP($A211,AffordabilityRatio!$A$2:$I$321,9,FALSE))="",AO211,VLOOKUP($A211,AffordabilityRatio!$A$2:$I$321,9,FALSE)))</f>
        <v>8.4600000000000009</v>
      </c>
      <c r="AQ211" s="267">
        <f t="shared" si="152"/>
        <v>11</v>
      </c>
      <c r="AR211" s="267">
        <f t="shared" si="152"/>
        <v>12</v>
      </c>
      <c r="AS211" s="267">
        <f t="shared" si="152"/>
        <v>12</v>
      </c>
      <c r="AT211" s="267">
        <f t="shared" si="152"/>
        <v>66</v>
      </c>
      <c r="AU211" s="267">
        <f t="shared" si="152"/>
        <v>65</v>
      </c>
      <c r="AV211" s="267">
        <f t="shared" si="151"/>
        <v>63</v>
      </c>
      <c r="AW211" s="267">
        <f t="shared" si="151"/>
        <v>59</v>
      </c>
      <c r="AX211" s="267">
        <f t="shared" si="151"/>
        <v>58</v>
      </c>
      <c r="AY211" s="267">
        <f t="shared" si="171"/>
        <v>11</v>
      </c>
      <c r="AZ211" s="267">
        <f t="shared" si="172"/>
        <v>12</v>
      </c>
      <c r="BA211" s="267">
        <f t="shared" si="173"/>
        <v>12</v>
      </c>
      <c r="BB211" s="267">
        <f t="shared" si="174"/>
        <v>66</v>
      </c>
      <c r="BC211" s="267">
        <f t="shared" si="175"/>
        <v>65</v>
      </c>
      <c r="BD211" s="267">
        <f t="shared" si="176"/>
        <v>63</v>
      </c>
      <c r="BE211" s="267">
        <f t="shared" si="177"/>
        <v>59</v>
      </c>
      <c r="BF211" s="267">
        <f t="shared" si="178"/>
        <v>58</v>
      </c>
      <c r="BG211" s="269">
        <f>AY211*VLOOKUP($B211,'Major Cities &amp; Towns'!$A$28:$B$345,2,FALSE)</f>
        <v>11</v>
      </c>
      <c r="BH211" s="269">
        <f>AZ211*VLOOKUP($B211,'Major Cities &amp; Towns'!$A$28:$B$345,2,FALSE)</f>
        <v>12</v>
      </c>
      <c r="BI211" s="269">
        <f>BA211*VLOOKUP($B211,'Major Cities &amp; Towns'!$A$28:$B$345,2,FALSE)</f>
        <v>12</v>
      </c>
      <c r="BJ211" s="269">
        <f>BB211*VLOOKUP($B211,'Major Cities &amp; Towns'!$A$28:$B$345,2,FALSE)</f>
        <v>66</v>
      </c>
      <c r="BK211" s="269">
        <f>BC211*VLOOKUP($B211,'Major Cities &amp; Towns'!$A$28:$B$345,2,FALSE)</f>
        <v>65</v>
      </c>
      <c r="BL211" s="269">
        <f>BD211*VLOOKUP($B211,'Major Cities &amp; Towns'!$A$28:$B$345,2,FALSE)</f>
        <v>63</v>
      </c>
      <c r="BM211" s="269">
        <f>BE211*VLOOKUP($B211,'Major Cities &amp; Towns'!$A$28:$B$345,2,FALSE)</f>
        <v>59</v>
      </c>
      <c r="BN211" s="269">
        <f>BF211*VLOOKUP($B211,'Major Cities &amp; Towns'!$A$28:$B$345,2,FALSE)</f>
        <v>58</v>
      </c>
      <c r="BO211" s="270">
        <f t="shared" si="179"/>
        <v>11</v>
      </c>
      <c r="BP211" s="270">
        <f t="shared" si="147"/>
        <v>12</v>
      </c>
      <c r="BQ211" s="270">
        <f t="shared" si="147"/>
        <v>12</v>
      </c>
      <c r="BR211" s="270">
        <f t="shared" si="147"/>
        <v>66</v>
      </c>
      <c r="BS211" s="270">
        <f t="shared" si="146"/>
        <v>65</v>
      </c>
      <c r="BT211" s="270">
        <f t="shared" si="146"/>
        <v>63</v>
      </c>
      <c r="BU211" s="270">
        <f t="shared" si="146"/>
        <v>59</v>
      </c>
      <c r="BV211" s="270">
        <f t="shared" si="146"/>
        <v>58</v>
      </c>
      <c r="BW211" s="39">
        <f>VLOOKUP($A211,NetAdditions!$A$2:$H$336,6,FALSE)</f>
        <v>201</v>
      </c>
      <c r="BX211" s="39">
        <f>VLOOKUP($A211,NetAdditions!$A$2:$H$336,7,FALSE)</f>
        <v>58</v>
      </c>
      <c r="BY211" s="39">
        <f>IF((VLOOKUP($C211,NetAdditions!$A$2:$H$336,8,FALSE))="",(AVERAGE(VLOOKUP($C211,NetAdditions!$A$2:$H$336,5,FALSE),VLOOKUP($C211,NetAdditions!$A$2:$H$336,6,FALSE),VLOOKUP($C211,NetAdditions!$A$2:$H$336,7,FALSE))),VLOOKUP($C211,NetAdditions!$A$2:$H$336,8,FALSE))</f>
        <v>99</v>
      </c>
      <c r="BZ211" s="39">
        <f t="shared" si="150"/>
        <v>119.33333333333333</v>
      </c>
      <c r="CA211" s="39">
        <f t="shared" si="150"/>
        <v>92.1111111111111</v>
      </c>
      <c r="CB211" s="39">
        <f t="shared" si="150"/>
        <v>103.48148148148147</v>
      </c>
      <c r="CC211" s="39">
        <f t="shared" si="150"/>
        <v>104.97530864197529</v>
      </c>
      <c r="CD211" s="39">
        <f t="shared" si="150"/>
        <v>100.18930041152261</v>
      </c>
      <c r="CE211" s="276">
        <f t="shared" si="155"/>
        <v>35</v>
      </c>
      <c r="CF211" s="276">
        <f t="shared" si="156"/>
        <v>90</v>
      </c>
      <c r="CG211" s="276">
        <f t="shared" si="157"/>
        <v>143</v>
      </c>
      <c r="CH211" s="276">
        <f t="shared" si="158"/>
        <v>194</v>
      </c>
      <c r="CI211" s="276">
        <f t="shared" si="159"/>
        <v>187</v>
      </c>
      <c r="CJ211" s="276">
        <f t="shared" si="160"/>
        <v>180</v>
      </c>
      <c r="CK211" s="276">
        <f t="shared" si="180"/>
        <v>30.138888888888889</v>
      </c>
      <c r="CL211" s="276">
        <f t="shared" si="181"/>
        <v>77.5</v>
      </c>
      <c r="CM211" s="276">
        <f t="shared" si="182"/>
        <v>131.08333333333331</v>
      </c>
      <c r="CN211" s="276">
        <f t="shared" si="183"/>
        <v>194</v>
      </c>
      <c r="CO211" s="276">
        <f t="shared" si="183"/>
        <v>187</v>
      </c>
      <c r="CP211" s="276">
        <f t="shared" si="183"/>
        <v>180</v>
      </c>
      <c r="CQ211" s="39">
        <f t="shared" si="161"/>
        <v>358</v>
      </c>
      <c r="CR211" s="39">
        <f t="shared" si="162"/>
        <v>276.33333333333331</v>
      </c>
      <c r="CS211" s="277">
        <f t="shared" si="163"/>
        <v>310.4444444444444</v>
      </c>
      <c r="CT211" s="39">
        <f t="shared" si="164"/>
        <v>314.92592592592587</v>
      </c>
      <c r="CU211" s="39">
        <f t="shared" si="165"/>
        <v>300.56790123456784</v>
      </c>
      <c r="CV211" s="39">
        <f t="shared" si="166"/>
        <v>308.64609053497935</v>
      </c>
      <c r="CW211" s="297">
        <f t="shared" si="167"/>
        <v>11.878341013824885</v>
      </c>
      <c r="CX211" s="279" t="str">
        <f t="shared" si="184"/>
        <v>Pass</v>
      </c>
      <c r="CY211" s="278">
        <f t="shared" si="168"/>
        <v>3.5655913978494622</v>
      </c>
      <c r="CZ211" s="279" t="str">
        <f t="shared" si="185"/>
        <v>Pass</v>
      </c>
      <c r="DA211" s="278">
        <f t="shared" si="169"/>
        <v>2.3682983682983685</v>
      </c>
      <c r="DB211" s="292" t="str">
        <f t="shared" si="186"/>
        <v>Pass</v>
      </c>
      <c r="DC211" s="299">
        <f t="shared" si="187"/>
        <v>1.6233295150820921</v>
      </c>
      <c r="DD211" s="293" t="str">
        <f t="shared" si="188"/>
        <v>Pass</v>
      </c>
      <c r="DE211" s="299">
        <f t="shared" si="189"/>
        <v>1.6073149798639992</v>
      </c>
      <c r="DF211" s="293" t="str">
        <f t="shared" si="190"/>
        <v>Pass</v>
      </c>
      <c r="DG211" s="299">
        <f t="shared" si="191"/>
        <v>1.7147005029721074</v>
      </c>
      <c r="DH211" s="293" t="str">
        <f t="shared" si="192"/>
        <v>Pass</v>
      </c>
    </row>
    <row r="212" spans="1:112" ht="15" thickTop="1" thickBot="1">
      <c r="A212" s="38" t="s">
        <v>534</v>
      </c>
      <c r="B212" s="38" t="s">
        <v>535</v>
      </c>
      <c r="C212" s="38" t="s">
        <v>534</v>
      </c>
      <c r="D212" s="38" t="s">
        <v>116</v>
      </c>
      <c r="E212" s="38" t="str">
        <f>VLOOKUP(C212,PoliticalControl!A:K,11,FALSE)</f>
        <v>LAB</v>
      </c>
      <c r="F212" s="38" t="str">
        <f>VLOOKUP(C212,UrbanRuralClassification!A:N,13,FALSE)</f>
        <v>Urban with Major Conurbation</v>
      </c>
      <c r="G212" s="38" t="str">
        <f>VLOOKUP(C212,UrbanRuralClassification!A:N,14,FALSE)</f>
        <v>Predominantly Urban</v>
      </c>
      <c r="H212" s="258">
        <f>IF(ISBLANK((VLOOKUP($A212,'local-plan-data'!$C$1:$AD$566,27,FALSE)))=TRUE,"",VLOOKUP($A212,'local-plan-data'!$C$1:$AD$566,27,FALSE))</f>
        <v>42662</v>
      </c>
      <c r="I212" s="259">
        <f>VLOOKUP($A212,'local-plan-data'!$C$1:$AD$566,28,FALSE)</f>
        <v>460</v>
      </c>
      <c r="J212" s="260">
        <f t="shared" si="170"/>
        <v>460</v>
      </c>
      <c r="K212" s="259">
        <f t="shared" si="193"/>
        <v>460</v>
      </c>
      <c r="L212" s="259">
        <f t="shared" si="153"/>
        <v>460</v>
      </c>
      <c r="M212" s="259">
        <f t="shared" si="153"/>
        <v>460</v>
      </c>
      <c r="N212" s="259">
        <f t="shared" si="153"/>
        <v>460</v>
      </c>
      <c r="O212" s="259" t="str">
        <f t="shared" si="153"/>
        <v>-</v>
      </c>
      <c r="P212" s="259" t="str">
        <f t="shared" si="153"/>
        <v>-</v>
      </c>
      <c r="Q212" s="259" t="str">
        <f t="shared" si="153"/>
        <v>-</v>
      </c>
      <c r="R212" s="259" t="str">
        <f t="shared" si="153"/>
        <v>-</v>
      </c>
      <c r="S212" s="259">
        <f t="shared" si="194"/>
        <v>1297</v>
      </c>
      <c r="T212" s="259">
        <f t="shared" si="154"/>
        <v>932</v>
      </c>
      <c r="U212" s="259">
        <f t="shared" si="154"/>
        <v>566</v>
      </c>
      <c r="V212" s="259">
        <f t="shared" si="154"/>
        <v>201</v>
      </c>
      <c r="W212" s="259">
        <f t="shared" si="154"/>
        <v>-164</v>
      </c>
      <c r="X212" s="259">
        <f t="shared" si="154"/>
        <v>-529</v>
      </c>
      <c r="Y212" s="259">
        <f t="shared" si="154"/>
        <v>-895</v>
      </c>
      <c r="Z212" s="259">
        <f t="shared" si="154"/>
        <v>-1260</v>
      </c>
      <c r="AA212" s="267">
        <f>(VLOOKUP(A212,Hshldprojections2014!$A$2:$AW$319,40, FALSE)-VLOOKUP(A212,Hshldprojections2014!$A$2:$AW$319,30, FALSE))/10</f>
        <v>466.7</v>
      </c>
      <c r="AB212" s="267">
        <f>(VLOOKUP(A212,Hshldprojections2014!$A$2:$AW$319,41, FALSE)-VLOOKUP(A212,Hshldprojections2014!$A$2:$AW$319,31, FALSE))/10</f>
        <v>462.4</v>
      </c>
      <c r="AC212" s="267">
        <f>(VLOOKUP(A212,Hshldprojections2014!$A$2:$AW$319,42, FALSE)-VLOOKUP(A212,Hshldprojections2014!$A$2:$AW$319,32, FALSE))/10</f>
        <v>459.4</v>
      </c>
      <c r="AD212" s="267">
        <f>IF(IndividualLATest!$J$7=2014,(VLOOKUP($A212,Hshldprojections2014!$A$2:$AY$326,43,FALSE)-VLOOKUP($A212,Hshldprojections2014!$A$2:$AY$326,33,FALSE))/10,IF(IndividualLATest!$J$7=2016,(VLOOKUP($A212,Hshldprojections2016!$A$1:$AQ$322,33,FALSE)-VLOOKUP($A212,Hshldprojections2016!$A$1:$AQ$322,23,FALSE))/10,(VLOOKUP($A212,Hshldprojections2018!$A$1:$AQ$327,33,FALSE)-VLOOKUP($A212,Hshldprojections2018!$A$1:$AQ$327,23,FALSE))/10))</f>
        <v>761.2</v>
      </c>
      <c r="AE212" s="267">
        <f>IF(IndividualLATest!$J$7=2014,(VLOOKUP($A212,Hshldprojections2014!$A$2:$AY$326,44,FALSE)-VLOOKUP($A212,Hshldprojections2014!$A$2:$AY$326,34,FALSE))/10,IF(IndividualLATest!$J$7=2016,(VLOOKUP($A212,Hshldprojections2016!$A$1:$AQ$322,34,FALSE)-VLOOKUP($A212,Hshldprojections2016!$A$1:$AQ$322,24,FALSE))/10,(VLOOKUP($A212,Hshldprojections2018!$A$1:$AQ$327,34,FALSE)-VLOOKUP($A212,Hshldprojections2018!$A$1:$AQ$327,24,FALSE))/10))</f>
        <v>752.4</v>
      </c>
      <c r="AF212" s="267">
        <f>IF(IndividualLATest!$J$7=2014,(VLOOKUP($A212,Hshldprojections2014!$A$2:$AY$326,45,FALSE)-VLOOKUP($A212,Hshldprojections2014!$A$2:$AY$326,35,FALSE))/10,IF(IndividualLATest!$J$7=2016,(VLOOKUP($A212,Hshldprojections2016!$A$1:$AQ$322,35,FALSE)-VLOOKUP($A212,Hshldprojections2016!$A$1:$AQ$322,25,FALSE))/10,(VLOOKUP($A212,Hshldprojections2018!$A$1:$AQ$327,35,FALSE)-VLOOKUP($A212,Hshldprojections2018!$A$1:$AQ$327,25,FALSE))/10))</f>
        <v>746.2</v>
      </c>
      <c r="AG212" s="267">
        <f>IF(IndividualLATest!$J$7=2014,(VLOOKUP($A212,Hshldprojections2014!$A$2:$AY$326,46,FALSE)-VLOOKUP($A212,Hshldprojections2014!$A$2:$AY$326,36,FALSE))/10,IF(IndividualLATest!$J$7=2016,(VLOOKUP($A212,Hshldprojections2016!$A$1:$AQ$322,36,FALSE)-VLOOKUP($A212,Hshldprojections2016!$A$1:$AQ$322,26,FALSE))/10,(VLOOKUP($A212,Hshldprojections2018!$A$1:$AQ$327,36,FALSE)-VLOOKUP($A212,Hshldprojections2018!$A$1:$AQ$327,26,FALSE))/10))</f>
        <v>740.8</v>
      </c>
      <c r="AH212" s="267">
        <f>IF(IndividualLATest!$J$7=2014,(VLOOKUP($A212,Hshldprojections2014!$A$2:$AY$326,47,FALSE)-VLOOKUP($A212,Hshldprojections2014!$A$2:$AY$326,37,FALSE))/10,IF(IndividualLATest!$J$7=2016,(VLOOKUP($A212,Hshldprojections2016!$A$1:$AQ$322,37,FALSE)-VLOOKUP($A212,Hshldprojections2016!$A$1:$AQ$322,27,FALSE))/10,(VLOOKUP($A212,Hshldprojections2018!$A$1:$AQ$327,37,FALSE)-VLOOKUP($A212,Hshldprojections2018!$A$1:$AQ$327,27,FALSE))/10))</f>
        <v>736.5</v>
      </c>
      <c r="AI212" s="268">
        <f>IF(ISNUMBER('Sensitivity Tests'!$C$30),'Sensitivity Tests'!$C$30,VLOOKUP($A212,AffordabilityRatio!$A$2:$I$321,5,FALSE))</f>
        <v>5.63</v>
      </c>
      <c r="AJ212" s="268">
        <f>IF(ISNUMBER('Sensitivity Tests'!$C$30),'Sensitivity Tests'!$C$30,VLOOKUP($A212,AffordabilityRatio!$A$2:$I$321,6,FALSE))</f>
        <v>5.53</v>
      </c>
      <c r="AK212" s="268">
        <f>IF(ISNUMBER('Sensitivity Tests'!$C$30),'Sensitivity Tests'!$C$30,VLOOKUP($A212,AffordabilityRatio!$A$2:$I$321,7,FALSE))</f>
        <v>5.58</v>
      </c>
      <c r="AL212" s="268">
        <f>IF(ISNUMBER('Sensitivity Tests'!$C$30),'Sensitivity Tests'!$C$30,IF((VLOOKUP($A212,AffordabilityRatio!$A$2:$I$321,8,FALSE))="",AK212,VLOOKUP($A212,AffordabilityRatio!$A$2:$I$321,8,FALSE)))</f>
        <v>5.58</v>
      </c>
      <c r="AM212" s="268">
        <f>IF(ISNUMBER('Sensitivity Tests'!$C$30),'Sensitivity Tests'!$C$30,IF((VLOOKUP($A212,AffordabilityRatio!$A$2:$I$321,9,FALSE))="",AL212,VLOOKUP($A212,AffordabilityRatio!$A$2:$I$321,9,FALSE)))</f>
        <v>6.23</v>
      </c>
      <c r="AN212" s="268">
        <f>IF(ISNUMBER('Sensitivity Tests'!$C$30),'Sensitivity Tests'!$C$30,IF((VLOOKUP($A212,AffordabilityRatio!$A$2:$I$321,9,FALSE))="",AM212,VLOOKUP($A212,AffordabilityRatio!$A$2:$I$321,9,FALSE)))</f>
        <v>6.23</v>
      </c>
      <c r="AO212" s="268">
        <f>IF(ISNUMBER('Sensitivity Tests'!$C$30),'Sensitivity Tests'!$C$30,IF((VLOOKUP($A212,AffordabilityRatio!$A$2:$I$321,9,FALSE))="",AN212,VLOOKUP($A212,AffordabilityRatio!$A$2:$I$321,9,FALSE)))</f>
        <v>6.23</v>
      </c>
      <c r="AP212" s="268">
        <f>IF(ISNUMBER('Sensitivity Tests'!$C$30),'Sensitivity Tests'!$C$30,IF((VLOOKUP($A212,AffordabilityRatio!$A$2:$I$321,9,FALSE))="",AO212,VLOOKUP($A212,AffordabilityRatio!$A$2:$I$321,9,FALSE)))</f>
        <v>6.23</v>
      </c>
      <c r="AQ212" s="267">
        <f t="shared" si="152"/>
        <v>514</v>
      </c>
      <c r="AR212" s="267">
        <f t="shared" si="152"/>
        <v>507</v>
      </c>
      <c r="AS212" s="267">
        <f t="shared" si="152"/>
        <v>505</v>
      </c>
      <c r="AT212" s="267">
        <f t="shared" si="152"/>
        <v>836</v>
      </c>
      <c r="AU212" s="267">
        <f t="shared" si="152"/>
        <v>857</v>
      </c>
      <c r="AV212" s="267">
        <f t="shared" si="151"/>
        <v>850</v>
      </c>
      <c r="AW212" s="267">
        <f t="shared" si="151"/>
        <v>844</v>
      </c>
      <c r="AX212" s="267">
        <f t="shared" si="151"/>
        <v>839</v>
      </c>
      <c r="AY212" s="267">
        <f t="shared" si="171"/>
        <v>514</v>
      </c>
      <c r="AZ212" s="267">
        <f t="shared" si="172"/>
        <v>507</v>
      </c>
      <c r="BA212" s="267">
        <f t="shared" si="173"/>
        <v>505</v>
      </c>
      <c r="BB212" s="267">
        <f t="shared" si="174"/>
        <v>644</v>
      </c>
      <c r="BC212" s="267">
        <f t="shared" si="175"/>
        <v>857</v>
      </c>
      <c r="BD212" s="267">
        <f t="shared" si="176"/>
        <v>850</v>
      </c>
      <c r="BE212" s="267">
        <f t="shared" si="177"/>
        <v>844</v>
      </c>
      <c r="BF212" s="267">
        <f t="shared" si="178"/>
        <v>839</v>
      </c>
      <c r="BG212" s="269">
        <f>AY212*VLOOKUP($B212,'Major Cities &amp; Towns'!$A$28:$B$345,2,FALSE)</f>
        <v>514</v>
      </c>
      <c r="BH212" s="269">
        <f>AZ212*VLOOKUP($B212,'Major Cities &amp; Towns'!$A$28:$B$345,2,FALSE)</f>
        <v>507</v>
      </c>
      <c r="BI212" s="269">
        <f>BA212*VLOOKUP($B212,'Major Cities &amp; Towns'!$A$28:$B$345,2,FALSE)</f>
        <v>505</v>
      </c>
      <c r="BJ212" s="269">
        <f>BB212*VLOOKUP($B212,'Major Cities &amp; Towns'!$A$28:$B$345,2,FALSE)</f>
        <v>644</v>
      </c>
      <c r="BK212" s="269">
        <f>BC212*VLOOKUP($B212,'Major Cities &amp; Towns'!$A$28:$B$345,2,FALSE)</f>
        <v>857</v>
      </c>
      <c r="BL212" s="269">
        <f>BD212*VLOOKUP($B212,'Major Cities &amp; Towns'!$A$28:$B$345,2,FALSE)</f>
        <v>850</v>
      </c>
      <c r="BM212" s="269">
        <f>BE212*VLOOKUP($B212,'Major Cities &amp; Towns'!$A$28:$B$345,2,FALSE)</f>
        <v>844</v>
      </c>
      <c r="BN212" s="269">
        <f>BF212*VLOOKUP($B212,'Major Cities &amp; Towns'!$A$28:$B$345,2,FALSE)</f>
        <v>839</v>
      </c>
      <c r="BO212" s="270">
        <f t="shared" si="179"/>
        <v>460</v>
      </c>
      <c r="BP212" s="270">
        <f t="shared" si="147"/>
        <v>460</v>
      </c>
      <c r="BQ212" s="270">
        <f t="shared" si="147"/>
        <v>460</v>
      </c>
      <c r="BR212" s="270">
        <f t="shared" si="147"/>
        <v>628.94246575342459</v>
      </c>
      <c r="BS212" s="270">
        <f t="shared" si="146"/>
        <v>857</v>
      </c>
      <c r="BT212" s="270">
        <f t="shared" si="146"/>
        <v>850</v>
      </c>
      <c r="BU212" s="270">
        <f t="shared" si="146"/>
        <v>844</v>
      </c>
      <c r="BV212" s="270">
        <f t="shared" si="146"/>
        <v>839</v>
      </c>
      <c r="BW212" s="39">
        <f>VLOOKUP($A212,NetAdditions!$A$2:$H$336,6,FALSE)</f>
        <v>833</v>
      </c>
      <c r="BX212" s="39">
        <f>VLOOKUP($A212,NetAdditions!$A$2:$H$336,7,FALSE)</f>
        <v>650</v>
      </c>
      <c r="BY212" s="39">
        <f>IF((VLOOKUP($C212,NetAdditions!$A$2:$H$336,8,FALSE))="",(AVERAGE(VLOOKUP($C212,NetAdditions!$A$2:$H$336,5,FALSE),VLOOKUP($C212,NetAdditions!$A$2:$H$336,6,FALSE),VLOOKUP($C212,NetAdditions!$A$2:$H$336,7,FALSE))),VLOOKUP($C212,NetAdditions!$A$2:$H$336,8,FALSE))</f>
        <v>520</v>
      </c>
      <c r="BZ212" s="39">
        <f t="shared" si="150"/>
        <v>667.66666666666663</v>
      </c>
      <c r="CA212" s="39">
        <f t="shared" si="150"/>
        <v>612.55555555555554</v>
      </c>
      <c r="CB212" s="39">
        <f t="shared" si="150"/>
        <v>600.07407407407402</v>
      </c>
      <c r="CC212" s="39">
        <f t="shared" si="150"/>
        <v>626.76543209876536</v>
      </c>
      <c r="CD212" s="39">
        <f t="shared" si="150"/>
        <v>613.13168724279831</v>
      </c>
      <c r="CE212" s="276">
        <f t="shared" si="155"/>
        <v>1380</v>
      </c>
      <c r="CF212" s="276">
        <f t="shared" si="156"/>
        <v>1548.9424657534246</v>
      </c>
      <c r="CG212" s="276">
        <f t="shared" si="157"/>
        <v>1945.9424657534246</v>
      </c>
      <c r="CH212" s="276">
        <f t="shared" si="158"/>
        <v>2335.9424657534246</v>
      </c>
      <c r="CI212" s="276">
        <f t="shared" si="159"/>
        <v>2551</v>
      </c>
      <c r="CJ212" s="276">
        <f t="shared" si="160"/>
        <v>2533</v>
      </c>
      <c r="CK212" s="276">
        <f t="shared" si="180"/>
        <v>1188.3333333333335</v>
      </c>
      <c r="CL212" s="276">
        <f t="shared" si="181"/>
        <v>1333.8115677321157</v>
      </c>
      <c r="CM212" s="276">
        <f t="shared" si="182"/>
        <v>1783.7805936073057</v>
      </c>
      <c r="CN212" s="276">
        <f t="shared" si="183"/>
        <v>2335.9424657534246</v>
      </c>
      <c r="CO212" s="276">
        <f t="shared" si="183"/>
        <v>2551</v>
      </c>
      <c r="CP212" s="276">
        <f t="shared" si="183"/>
        <v>2533</v>
      </c>
      <c r="CQ212" s="39">
        <f t="shared" si="161"/>
        <v>2003</v>
      </c>
      <c r="CR212" s="39">
        <f t="shared" si="162"/>
        <v>1837.6666666666665</v>
      </c>
      <c r="CS212" s="277">
        <f t="shared" si="163"/>
        <v>1800.2222222222222</v>
      </c>
      <c r="CT212" s="39">
        <f t="shared" si="164"/>
        <v>1880.2962962962961</v>
      </c>
      <c r="CU212" s="39">
        <f t="shared" si="165"/>
        <v>1839.3950617283949</v>
      </c>
      <c r="CV212" s="39">
        <f t="shared" si="166"/>
        <v>1839.9711934156376</v>
      </c>
      <c r="CW212" s="297">
        <f t="shared" si="167"/>
        <v>1.6855539971949507</v>
      </c>
      <c r="CX212" s="279" t="str">
        <f t="shared" si="184"/>
        <v>Pass</v>
      </c>
      <c r="CY212" s="278">
        <f t="shared" si="168"/>
        <v>1.377755832325894</v>
      </c>
      <c r="CZ212" s="279" t="str">
        <f t="shared" si="185"/>
        <v>Pass</v>
      </c>
      <c r="DA212" s="278">
        <f t="shared" si="169"/>
        <v>1.0092172931322607</v>
      </c>
      <c r="DB212" s="292" t="str">
        <f t="shared" si="186"/>
        <v>Pass</v>
      </c>
      <c r="DC212" s="299">
        <f t="shared" si="187"/>
        <v>0.804941184923334</v>
      </c>
      <c r="DD212" s="293" t="str">
        <f t="shared" si="188"/>
        <v>Buffer and Action Plan</v>
      </c>
      <c r="DE212" s="299">
        <f t="shared" si="189"/>
        <v>0.72104863258659146</v>
      </c>
      <c r="DF212" s="293" t="str">
        <f t="shared" si="190"/>
        <v>Presumption</v>
      </c>
      <c r="DG212" s="299">
        <f t="shared" si="191"/>
        <v>0.72639999740056749</v>
      </c>
      <c r="DH212" s="293" t="str">
        <f t="shared" si="192"/>
        <v>Presumption</v>
      </c>
    </row>
    <row r="213" spans="1:112" ht="15" thickTop="1" thickBot="1">
      <c r="A213" s="38" t="s">
        <v>536</v>
      </c>
      <c r="B213" s="38" t="s">
        <v>537</v>
      </c>
      <c r="C213" s="38" t="s">
        <v>536</v>
      </c>
      <c r="D213" s="38" t="s">
        <v>128</v>
      </c>
      <c r="E213" s="38" t="str">
        <f>VLOOKUP(C213,PoliticalControl!A:K,11,FALSE)</f>
        <v>CON</v>
      </c>
      <c r="F213" s="38" t="str">
        <f>VLOOKUP(C213,UrbanRuralClassification!A:N,13,FALSE)</f>
        <v>Urban with City and Town</v>
      </c>
      <c r="G213" s="38" t="str">
        <f>VLOOKUP(C213,UrbanRuralClassification!A:N,14,FALSE)</f>
        <v>Predominantly Urban</v>
      </c>
      <c r="H213" s="258">
        <f>IF(ISBLANK((VLOOKUP($A213,'local-plan-data'!$C$1:$AD$566,27,FALSE)))=TRUE,"",VLOOKUP($A213,'local-plan-data'!$C$1:$AD$566,27,FALSE))</f>
        <v>40890</v>
      </c>
      <c r="I213" s="259">
        <f>VLOOKUP($A213,'local-plan-data'!$C$1:$AD$566,28,FALSE)</f>
        <v>250</v>
      </c>
      <c r="J213" s="260">
        <f t="shared" si="170"/>
        <v>250</v>
      </c>
      <c r="K213" s="259" t="str">
        <f t="shared" si="193"/>
        <v>-</v>
      </c>
      <c r="L213" s="259" t="str">
        <f t="shared" si="153"/>
        <v>-</v>
      </c>
      <c r="M213" s="259" t="str">
        <f t="shared" si="153"/>
        <v>-</v>
      </c>
      <c r="N213" s="259" t="str">
        <f t="shared" si="153"/>
        <v>-</v>
      </c>
      <c r="O213" s="259" t="str">
        <f t="shared" si="153"/>
        <v>-</v>
      </c>
      <c r="P213" s="259" t="str">
        <f t="shared" si="153"/>
        <v>-</v>
      </c>
      <c r="Q213" s="259" t="str">
        <f t="shared" si="153"/>
        <v>-</v>
      </c>
      <c r="R213" s="259" t="str">
        <f t="shared" si="153"/>
        <v>-</v>
      </c>
      <c r="S213" s="259">
        <f t="shared" si="194"/>
        <v>-474</v>
      </c>
      <c r="T213" s="259">
        <f t="shared" si="154"/>
        <v>-839</v>
      </c>
      <c r="U213" s="259">
        <f t="shared" si="154"/>
        <v>-1205</v>
      </c>
      <c r="V213" s="259">
        <f t="shared" si="154"/>
        <v>-1570</v>
      </c>
      <c r="W213" s="259">
        <f t="shared" si="154"/>
        <v>-1935</v>
      </c>
      <c r="X213" s="259">
        <f t="shared" si="154"/>
        <v>-2300</v>
      </c>
      <c r="Y213" s="259">
        <f t="shared" si="154"/>
        <v>-2666</v>
      </c>
      <c r="Z213" s="259">
        <f t="shared" si="154"/>
        <v>-3031</v>
      </c>
      <c r="AA213" s="267">
        <f>(VLOOKUP(A213,Hshldprojections2014!$A$2:$AW$319,40, FALSE)-VLOOKUP(A213,Hshldprojections2014!$A$2:$AW$319,30, FALSE))/10</f>
        <v>259.39999999999998</v>
      </c>
      <c r="AB213" s="267">
        <f>(VLOOKUP(A213,Hshldprojections2014!$A$2:$AW$319,41, FALSE)-VLOOKUP(A213,Hshldprojections2014!$A$2:$AW$319,31, FALSE))/10</f>
        <v>257.7</v>
      </c>
      <c r="AC213" s="267">
        <f>(VLOOKUP(A213,Hshldprojections2014!$A$2:$AW$319,42, FALSE)-VLOOKUP(A213,Hshldprojections2014!$A$2:$AW$319,32, FALSE))/10</f>
        <v>257.60000000000002</v>
      </c>
      <c r="AD213" s="267">
        <f>IF(IndividualLATest!$J$7=2014,(VLOOKUP($A213,Hshldprojections2014!$A$2:$AY$326,43,FALSE)-VLOOKUP($A213,Hshldprojections2014!$A$2:$AY$326,33,FALSE))/10,IF(IndividualLATest!$J$7=2016,(VLOOKUP($A213,Hshldprojections2016!$A$1:$AQ$322,33,FALSE)-VLOOKUP($A213,Hshldprojections2016!$A$1:$AQ$322,23,FALSE))/10,(VLOOKUP($A213,Hshldprojections2018!$A$1:$AQ$327,33,FALSE)-VLOOKUP($A213,Hshldprojections2018!$A$1:$AQ$327,23,FALSE))/10))</f>
        <v>296.8</v>
      </c>
      <c r="AE213" s="267">
        <f>IF(IndividualLATest!$J$7=2014,(VLOOKUP($A213,Hshldprojections2014!$A$2:$AY$326,44,FALSE)-VLOOKUP($A213,Hshldprojections2014!$A$2:$AY$326,34,FALSE))/10,IF(IndividualLATest!$J$7=2016,(VLOOKUP($A213,Hshldprojections2016!$A$1:$AQ$322,34,FALSE)-VLOOKUP($A213,Hshldprojections2016!$A$1:$AQ$322,24,FALSE))/10,(VLOOKUP($A213,Hshldprojections2018!$A$1:$AQ$327,34,FALSE)-VLOOKUP($A213,Hshldprojections2018!$A$1:$AQ$327,24,FALSE))/10))</f>
        <v>291.3</v>
      </c>
      <c r="AF213" s="267">
        <f>IF(IndividualLATest!$J$7=2014,(VLOOKUP($A213,Hshldprojections2014!$A$2:$AY$326,45,FALSE)-VLOOKUP($A213,Hshldprojections2014!$A$2:$AY$326,35,FALSE))/10,IF(IndividualLATest!$J$7=2016,(VLOOKUP($A213,Hshldprojections2016!$A$1:$AQ$322,35,FALSE)-VLOOKUP($A213,Hshldprojections2016!$A$1:$AQ$322,25,FALSE))/10,(VLOOKUP($A213,Hshldprojections2018!$A$1:$AQ$327,35,FALSE)-VLOOKUP($A213,Hshldprojections2018!$A$1:$AQ$327,25,FALSE))/10))</f>
        <v>286.3</v>
      </c>
      <c r="AG213" s="267">
        <f>IF(IndividualLATest!$J$7=2014,(VLOOKUP($A213,Hshldprojections2014!$A$2:$AY$326,46,FALSE)-VLOOKUP($A213,Hshldprojections2014!$A$2:$AY$326,36,FALSE))/10,IF(IndividualLATest!$J$7=2016,(VLOOKUP($A213,Hshldprojections2016!$A$1:$AQ$322,36,FALSE)-VLOOKUP($A213,Hshldprojections2016!$A$1:$AQ$322,26,FALSE))/10,(VLOOKUP($A213,Hshldprojections2018!$A$1:$AQ$327,36,FALSE)-VLOOKUP($A213,Hshldprojections2018!$A$1:$AQ$327,26,FALSE))/10))</f>
        <v>280.7</v>
      </c>
      <c r="AH213" s="267">
        <f>IF(IndividualLATest!$J$7=2014,(VLOOKUP($A213,Hshldprojections2014!$A$2:$AY$326,47,FALSE)-VLOOKUP($A213,Hshldprojections2014!$A$2:$AY$326,37,FALSE))/10,IF(IndividualLATest!$J$7=2016,(VLOOKUP($A213,Hshldprojections2016!$A$1:$AQ$322,37,FALSE)-VLOOKUP($A213,Hshldprojections2016!$A$1:$AQ$322,27,FALSE))/10,(VLOOKUP($A213,Hshldprojections2018!$A$1:$AQ$327,37,FALSE)-VLOOKUP($A213,Hshldprojections2018!$A$1:$AQ$327,27,FALSE))/10))</f>
        <v>276.7</v>
      </c>
      <c r="AI213" s="268">
        <f>IF(ISNUMBER('Sensitivity Tests'!$C$30),'Sensitivity Tests'!$C$30,VLOOKUP($A213,AffordabilityRatio!$A$2:$I$321,5,FALSE))</f>
        <v>11.91</v>
      </c>
      <c r="AJ213" s="268">
        <f>IF(ISNUMBER('Sensitivity Tests'!$C$30),'Sensitivity Tests'!$C$30,VLOOKUP($A213,AffordabilityRatio!$A$2:$I$321,6,FALSE))</f>
        <v>11.92</v>
      </c>
      <c r="AK213" s="268">
        <f>IF(ISNUMBER('Sensitivity Tests'!$C$30),'Sensitivity Tests'!$C$30,VLOOKUP($A213,AffordabilityRatio!$A$2:$I$321,7,FALSE))</f>
        <v>10.39</v>
      </c>
      <c r="AL213" s="268">
        <f>IF(ISNUMBER('Sensitivity Tests'!$C$30),'Sensitivity Tests'!$C$30,IF((VLOOKUP($A213,AffordabilityRatio!$A$2:$I$321,8,FALSE))="",AK213,VLOOKUP($A213,AffordabilityRatio!$A$2:$I$321,8,FALSE)))</f>
        <v>11.72</v>
      </c>
      <c r="AM213" s="268">
        <f>IF(ISNUMBER('Sensitivity Tests'!$C$30),'Sensitivity Tests'!$C$30,IF((VLOOKUP($A213,AffordabilityRatio!$A$2:$I$321,9,FALSE))="",AL213,VLOOKUP($A213,AffordabilityRatio!$A$2:$I$321,9,FALSE)))</f>
        <v>12.22</v>
      </c>
      <c r="AN213" s="268">
        <f>IF(ISNUMBER('Sensitivity Tests'!$C$30),'Sensitivity Tests'!$C$30,IF((VLOOKUP($A213,AffordabilityRatio!$A$2:$I$321,9,FALSE))="",AM213,VLOOKUP($A213,AffordabilityRatio!$A$2:$I$321,9,FALSE)))</f>
        <v>12.22</v>
      </c>
      <c r="AO213" s="268">
        <f>IF(ISNUMBER('Sensitivity Tests'!$C$30),'Sensitivity Tests'!$C$30,IF((VLOOKUP($A213,AffordabilityRatio!$A$2:$I$321,9,FALSE))="",AN213,VLOOKUP($A213,AffordabilityRatio!$A$2:$I$321,9,FALSE)))</f>
        <v>12.22</v>
      </c>
      <c r="AP213" s="268">
        <f>IF(ISNUMBER('Sensitivity Tests'!$C$30),'Sensitivity Tests'!$C$30,IF((VLOOKUP($A213,AffordabilityRatio!$A$2:$I$321,9,FALSE))="",AO213,VLOOKUP($A213,AffordabilityRatio!$A$2:$I$321,9,FALSE)))</f>
        <v>12.22</v>
      </c>
      <c r="AQ213" s="267">
        <f t="shared" si="152"/>
        <v>388</v>
      </c>
      <c r="AR213" s="267">
        <f t="shared" si="152"/>
        <v>385</v>
      </c>
      <c r="AS213" s="267">
        <f t="shared" si="152"/>
        <v>360</v>
      </c>
      <c r="AT213" s="267">
        <f t="shared" si="152"/>
        <v>440</v>
      </c>
      <c r="AU213" s="267">
        <f t="shared" si="152"/>
        <v>441</v>
      </c>
      <c r="AV213" s="267">
        <f t="shared" si="151"/>
        <v>433</v>
      </c>
      <c r="AW213" s="267">
        <f t="shared" si="151"/>
        <v>425</v>
      </c>
      <c r="AX213" s="267">
        <f t="shared" si="151"/>
        <v>419</v>
      </c>
      <c r="AY213" s="267">
        <f t="shared" si="171"/>
        <v>363.15999999999997</v>
      </c>
      <c r="AZ213" s="267">
        <f t="shared" si="172"/>
        <v>360.78</v>
      </c>
      <c r="BA213" s="267">
        <f t="shared" si="173"/>
        <v>360</v>
      </c>
      <c r="BB213" s="267">
        <f t="shared" si="174"/>
        <v>415.52000000000004</v>
      </c>
      <c r="BC213" s="267">
        <f t="shared" si="175"/>
        <v>407.82000000000005</v>
      </c>
      <c r="BD213" s="267">
        <f t="shared" si="176"/>
        <v>400.82000000000005</v>
      </c>
      <c r="BE213" s="267">
        <f t="shared" si="177"/>
        <v>392.98</v>
      </c>
      <c r="BF213" s="267">
        <f t="shared" si="178"/>
        <v>387.38</v>
      </c>
      <c r="BG213" s="269">
        <f>AY213*VLOOKUP($B213,'Major Cities &amp; Towns'!$A$28:$B$345,2,FALSE)</f>
        <v>363.15999999999997</v>
      </c>
      <c r="BH213" s="269">
        <f>AZ213*VLOOKUP($B213,'Major Cities &amp; Towns'!$A$28:$B$345,2,FALSE)</f>
        <v>360.78</v>
      </c>
      <c r="BI213" s="269">
        <f>BA213*VLOOKUP($B213,'Major Cities &amp; Towns'!$A$28:$B$345,2,FALSE)</f>
        <v>360</v>
      </c>
      <c r="BJ213" s="269">
        <f>BB213*VLOOKUP($B213,'Major Cities &amp; Towns'!$A$28:$B$345,2,FALSE)</f>
        <v>415.52000000000004</v>
      </c>
      <c r="BK213" s="269">
        <f>BC213*VLOOKUP($B213,'Major Cities &amp; Towns'!$A$28:$B$345,2,FALSE)</f>
        <v>407.82000000000005</v>
      </c>
      <c r="BL213" s="269">
        <f>BD213*VLOOKUP($B213,'Major Cities &amp; Towns'!$A$28:$B$345,2,FALSE)</f>
        <v>400.82000000000005</v>
      </c>
      <c r="BM213" s="269">
        <f>BE213*VLOOKUP($B213,'Major Cities &amp; Towns'!$A$28:$B$345,2,FALSE)</f>
        <v>392.98</v>
      </c>
      <c r="BN213" s="269">
        <f>BF213*VLOOKUP($B213,'Major Cities &amp; Towns'!$A$28:$B$345,2,FALSE)</f>
        <v>387.38</v>
      </c>
      <c r="BO213" s="270">
        <f t="shared" si="179"/>
        <v>388</v>
      </c>
      <c r="BP213" s="270">
        <f t="shared" si="147"/>
        <v>385</v>
      </c>
      <c r="BQ213" s="270">
        <f t="shared" si="147"/>
        <v>360</v>
      </c>
      <c r="BR213" s="270">
        <f t="shared" si="147"/>
        <v>440</v>
      </c>
      <c r="BS213" s="270">
        <f t="shared" si="147"/>
        <v>441</v>
      </c>
      <c r="BT213" s="270">
        <f t="shared" si="147"/>
        <v>433</v>
      </c>
      <c r="BU213" s="270">
        <f t="shared" si="147"/>
        <v>425</v>
      </c>
      <c r="BV213" s="270">
        <f t="shared" si="147"/>
        <v>419</v>
      </c>
      <c r="BW213" s="39">
        <f>VLOOKUP($A213,NetAdditions!$A$2:$H$336,6,FALSE)</f>
        <v>262</v>
      </c>
      <c r="BX213" s="39">
        <f>VLOOKUP($A213,NetAdditions!$A$2:$H$336,7,FALSE)</f>
        <v>347</v>
      </c>
      <c r="BY213" s="39">
        <f>IF((VLOOKUP($C213,NetAdditions!$A$2:$H$336,8,FALSE))="",(AVERAGE(VLOOKUP($C213,NetAdditions!$A$2:$H$336,5,FALSE),VLOOKUP($C213,NetAdditions!$A$2:$H$336,6,FALSE),VLOOKUP($C213,NetAdditions!$A$2:$H$336,7,FALSE))),VLOOKUP($C213,NetAdditions!$A$2:$H$336,8,FALSE))</f>
        <v>349</v>
      </c>
      <c r="BZ213" s="39">
        <f t="shared" si="150"/>
        <v>319.33333333333331</v>
      </c>
      <c r="CA213" s="39">
        <f t="shared" si="150"/>
        <v>338.4444444444444</v>
      </c>
      <c r="CB213" s="39">
        <f t="shared" si="150"/>
        <v>335.59259259259255</v>
      </c>
      <c r="CC213" s="39">
        <f t="shared" si="150"/>
        <v>331.12345679012338</v>
      </c>
      <c r="CD213" s="39">
        <f t="shared" si="150"/>
        <v>335.05349794238674</v>
      </c>
      <c r="CE213" s="276">
        <f t="shared" si="155"/>
        <v>1133</v>
      </c>
      <c r="CF213" s="276">
        <f t="shared" si="156"/>
        <v>1185</v>
      </c>
      <c r="CG213" s="276">
        <f t="shared" si="157"/>
        <v>1241</v>
      </c>
      <c r="CH213" s="276">
        <f t="shared" si="158"/>
        <v>1314</v>
      </c>
      <c r="CI213" s="276">
        <f t="shared" si="159"/>
        <v>1299</v>
      </c>
      <c r="CJ213" s="276">
        <f t="shared" si="160"/>
        <v>1277</v>
      </c>
      <c r="CK213" s="276">
        <f t="shared" si="180"/>
        <v>975.63888888888891</v>
      </c>
      <c r="CL213" s="276">
        <f t="shared" si="181"/>
        <v>1020.4166666666667</v>
      </c>
      <c r="CM213" s="276">
        <f t="shared" si="182"/>
        <v>1137.5833333333333</v>
      </c>
      <c r="CN213" s="276">
        <f t="shared" si="183"/>
        <v>1314</v>
      </c>
      <c r="CO213" s="276">
        <f t="shared" si="183"/>
        <v>1299</v>
      </c>
      <c r="CP213" s="276">
        <f t="shared" si="183"/>
        <v>1277</v>
      </c>
      <c r="CQ213" s="39">
        <f t="shared" si="161"/>
        <v>958</v>
      </c>
      <c r="CR213" s="39">
        <f t="shared" si="162"/>
        <v>1015.3333333333333</v>
      </c>
      <c r="CS213" s="277">
        <f t="shared" si="163"/>
        <v>1006.7777777777776</v>
      </c>
      <c r="CT213" s="39">
        <f t="shared" si="164"/>
        <v>993.37037037037021</v>
      </c>
      <c r="CU213" s="39">
        <f t="shared" si="165"/>
        <v>1005.1604938271603</v>
      </c>
      <c r="CV213" s="39">
        <f t="shared" si="166"/>
        <v>1001.7695473251026</v>
      </c>
      <c r="CW213" s="297">
        <f t="shared" si="167"/>
        <v>0.98192067875750932</v>
      </c>
      <c r="CX213" s="279" t="str">
        <f t="shared" si="184"/>
        <v>Pass</v>
      </c>
      <c r="CY213" s="278">
        <f t="shared" si="168"/>
        <v>0.99501837484687616</v>
      </c>
      <c r="CZ213" s="279" t="str">
        <f t="shared" si="185"/>
        <v>Pass</v>
      </c>
      <c r="DA213" s="278">
        <f t="shared" si="169"/>
        <v>0.8850145288501452</v>
      </c>
      <c r="DB213" s="292" t="str">
        <f t="shared" si="186"/>
        <v>Action Plan</v>
      </c>
      <c r="DC213" s="299">
        <f t="shared" si="187"/>
        <v>0.75598962737471098</v>
      </c>
      <c r="DD213" s="293" t="str">
        <f t="shared" si="188"/>
        <v>Buffer and Action Plan</v>
      </c>
      <c r="DE213" s="299">
        <f t="shared" si="189"/>
        <v>0.77379560725724428</v>
      </c>
      <c r="DF213" s="293" t="str">
        <f t="shared" si="190"/>
        <v>Buffer and Action Plan</v>
      </c>
      <c r="DG213" s="299">
        <f t="shared" si="191"/>
        <v>0.78447106290141155</v>
      </c>
      <c r="DH213" s="293" t="str">
        <f t="shared" si="192"/>
        <v>Buffer and Action Plan</v>
      </c>
    </row>
    <row r="214" spans="1:112" ht="15" thickTop="1" thickBot="1">
      <c r="A214" s="38" t="s">
        <v>538</v>
      </c>
      <c r="B214" s="38" t="s">
        <v>539</v>
      </c>
      <c r="C214" s="38" t="s">
        <v>538</v>
      </c>
      <c r="D214" s="38" t="s">
        <v>116</v>
      </c>
      <c r="E214" s="38" t="str">
        <f>VLOOKUP(C214,PoliticalControl!A:K,11,FALSE)</f>
        <v>NOC</v>
      </c>
      <c r="F214" s="38" t="str">
        <f>VLOOKUP(C214,UrbanRuralClassification!A:N,13,FALSE)</f>
        <v>Urban with City and Town</v>
      </c>
      <c r="G214" s="38" t="str">
        <f>VLOOKUP(C214,UrbanRuralClassification!A:N,14,FALSE)</f>
        <v>Predominantly Urban</v>
      </c>
      <c r="H214" s="258">
        <f>IF(ISBLANK((VLOOKUP($A214,'local-plan-data'!$C$1:$AD$566,27,FALSE)))=TRUE,"",VLOOKUP($A214,'local-plan-data'!$C$1:$AD$566,27,FALSE))</f>
        <v>44545</v>
      </c>
      <c r="I214" s="259">
        <f>VLOOKUP($A214,'local-plan-data'!$C$1:$AD$566,28,FALSE)</f>
        <v>187.70588235294119</v>
      </c>
      <c r="J214" s="260">
        <f t="shared" si="170"/>
        <v>187.70588235294119</v>
      </c>
      <c r="K214" s="259">
        <f t="shared" si="193"/>
        <v>187.70588235294119</v>
      </c>
      <c r="L214" s="259">
        <f t="shared" si="153"/>
        <v>187.70588235294119</v>
      </c>
      <c r="M214" s="259">
        <f t="shared" si="153"/>
        <v>187.70588235294119</v>
      </c>
      <c r="N214" s="259">
        <f t="shared" si="153"/>
        <v>187.70588235294119</v>
      </c>
      <c r="O214" s="259">
        <f t="shared" si="153"/>
        <v>187.70588235294119</v>
      </c>
      <c r="P214" s="259">
        <f t="shared" si="153"/>
        <v>187.70588235294119</v>
      </c>
      <c r="Q214" s="259">
        <f t="shared" si="153"/>
        <v>187.70588235294119</v>
      </c>
      <c r="R214" s="259">
        <f t="shared" si="153"/>
        <v>187.70588235294119</v>
      </c>
      <c r="S214" s="259">
        <f t="shared" si="194"/>
        <v>3180</v>
      </c>
      <c r="T214" s="259">
        <f t="shared" si="154"/>
        <v>2815</v>
      </c>
      <c r="U214" s="259">
        <f t="shared" si="154"/>
        <v>2449</v>
      </c>
      <c r="V214" s="259">
        <f t="shared" si="154"/>
        <v>2084</v>
      </c>
      <c r="W214" s="259">
        <f t="shared" si="154"/>
        <v>1719</v>
      </c>
      <c r="X214" s="259">
        <f t="shared" si="154"/>
        <v>1354</v>
      </c>
      <c r="Y214" s="259">
        <f t="shared" si="154"/>
        <v>988</v>
      </c>
      <c r="Z214" s="259">
        <f t="shared" si="154"/>
        <v>623</v>
      </c>
      <c r="AA214" s="267">
        <f>(VLOOKUP(A214,Hshldprojections2014!$A$2:$AW$319,40, FALSE)-VLOOKUP(A214,Hshldprojections2014!$A$2:$AW$319,30, FALSE))/10</f>
        <v>180.4</v>
      </c>
      <c r="AB214" s="267">
        <f>(VLOOKUP(A214,Hshldprojections2014!$A$2:$AW$319,41, FALSE)-VLOOKUP(A214,Hshldprojections2014!$A$2:$AW$319,31, FALSE))/10</f>
        <v>176.6</v>
      </c>
      <c r="AC214" s="267">
        <f>(VLOOKUP(A214,Hshldprojections2014!$A$2:$AW$319,42, FALSE)-VLOOKUP(A214,Hshldprojections2014!$A$2:$AW$319,32, FALSE))/10</f>
        <v>172.8</v>
      </c>
      <c r="AD214" s="267">
        <f>IF(IndividualLATest!$J$7=2014,(VLOOKUP($A214,Hshldprojections2014!$A$2:$AY$326,43,FALSE)-VLOOKUP($A214,Hshldprojections2014!$A$2:$AY$326,33,FALSE))/10,IF(IndividualLATest!$J$7=2016,(VLOOKUP($A214,Hshldprojections2016!$A$1:$AQ$322,33,FALSE)-VLOOKUP($A214,Hshldprojections2016!$A$1:$AQ$322,23,FALSE))/10,(VLOOKUP($A214,Hshldprojections2018!$A$1:$AQ$327,33,FALSE)-VLOOKUP($A214,Hshldprojections2018!$A$1:$AQ$327,23,FALSE))/10))</f>
        <v>242.5</v>
      </c>
      <c r="AE214" s="267">
        <f>IF(IndividualLATest!$J$7=2014,(VLOOKUP($A214,Hshldprojections2014!$A$2:$AY$326,44,FALSE)-VLOOKUP($A214,Hshldprojections2014!$A$2:$AY$326,34,FALSE))/10,IF(IndividualLATest!$J$7=2016,(VLOOKUP($A214,Hshldprojections2016!$A$1:$AQ$322,34,FALSE)-VLOOKUP($A214,Hshldprojections2016!$A$1:$AQ$322,24,FALSE))/10,(VLOOKUP($A214,Hshldprojections2018!$A$1:$AQ$327,34,FALSE)-VLOOKUP($A214,Hshldprojections2018!$A$1:$AQ$327,24,FALSE))/10))</f>
        <v>237.7</v>
      </c>
      <c r="AF214" s="267">
        <f>IF(IndividualLATest!$J$7=2014,(VLOOKUP($A214,Hshldprojections2014!$A$2:$AY$326,45,FALSE)-VLOOKUP($A214,Hshldprojections2014!$A$2:$AY$326,35,FALSE))/10,IF(IndividualLATest!$J$7=2016,(VLOOKUP($A214,Hshldprojections2016!$A$1:$AQ$322,35,FALSE)-VLOOKUP($A214,Hshldprojections2016!$A$1:$AQ$322,25,FALSE))/10,(VLOOKUP($A214,Hshldprojections2018!$A$1:$AQ$327,35,FALSE)-VLOOKUP($A214,Hshldprojections2018!$A$1:$AQ$327,25,FALSE))/10))</f>
        <v>231.8</v>
      </c>
      <c r="AG214" s="267">
        <f>IF(IndividualLATest!$J$7=2014,(VLOOKUP($A214,Hshldprojections2014!$A$2:$AY$326,46,FALSE)-VLOOKUP($A214,Hshldprojections2014!$A$2:$AY$326,36,FALSE))/10,IF(IndividualLATest!$J$7=2016,(VLOOKUP($A214,Hshldprojections2016!$A$1:$AQ$322,36,FALSE)-VLOOKUP($A214,Hshldprojections2016!$A$1:$AQ$322,26,FALSE))/10,(VLOOKUP($A214,Hshldprojections2018!$A$1:$AQ$327,36,FALSE)-VLOOKUP($A214,Hshldprojections2018!$A$1:$AQ$327,26,FALSE))/10))</f>
        <v>225.5</v>
      </c>
      <c r="AH214" s="267">
        <f>IF(IndividualLATest!$J$7=2014,(VLOOKUP($A214,Hshldprojections2014!$A$2:$AY$326,47,FALSE)-VLOOKUP($A214,Hshldprojections2014!$A$2:$AY$326,37,FALSE))/10,IF(IndividualLATest!$J$7=2016,(VLOOKUP($A214,Hshldprojections2016!$A$1:$AQ$322,37,FALSE)-VLOOKUP($A214,Hshldprojections2016!$A$1:$AQ$322,27,FALSE))/10,(VLOOKUP($A214,Hshldprojections2018!$A$1:$AQ$327,37,FALSE)-VLOOKUP($A214,Hshldprojections2018!$A$1:$AQ$327,27,FALSE))/10))</f>
        <v>220.1</v>
      </c>
      <c r="AI214" s="268">
        <f>IF(ISNUMBER('Sensitivity Tests'!$C$30),'Sensitivity Tests'!$C$30,VLOOKUP($A214,AffordabilityRatio!$A$2:$I$321,5,FALSE))</f>
        <v>6.43</v>
      </c>
      <c r="AJ214" s="268">
        <f>IF(ISNUMBER('Sensitivity Tests'!$C$30),'Sensitivity Tests'!$C$30,VLOOKUP($A214,AffordabilityRatio!$A$2:$I$321,6,FALSE))</f>
        <v>5.88</v>
      </c>
      <c r="AK214" s="268">
        <f>IF(ISNUMBER('Sensitivity Tests'!$C$30),'Sensitivity Tests'!$C$30,VLOOKUP($A214,AffordabilityRatio!$A$2:$I$321,7,FALSE))</f>
        <v>5.63</v>
      </c>
      <c r="AL214" s="268">
        <f>IF(ISNUMBER('Sensitivity Tests'!$C$30),'Sensitivity Tests'!$C$30,IF((VLOOKUP($A214,AffordabilityRatio!$A$2:$I$321,8,FALSE))="",AK214,VLOOKUP($A214,AffordabilityRatio!$A$2:$I$321,8,FALSE)))</f>
        <v>5.78</v>
      </c>
      <c r="AM214" s="268">
        <f>IF(ISNUMBER('Sensitivity Tests'!$C$30),'Sensitivity Tests'!$C$30,IF((VLOOKUP($A214,AffordabilityRatio!$A$2:$I$321,9,FALSE))="",AL214,VLOOKUP($A214,AffordabilityRatio!$A$2:$I$321,9,FALSE)))</f>
        <v>7.12</v>
      </c>
      <c r="AN214" s="268">
        <f>IF(ISNUMBER('Sensitivity Tests'!$C$30),'Sensitivity Tests'!$C$30,IF((VLOOKUP($A214,AffordabilityRatio!$A$2:$I$321,9,FALSE))="",AM214,VLOOKUP($A214,AffordabilityRatio!$A$2:$I$321,9,FALSE)))</f>
        <v>7.12</v>
      </c>
      <c r="AO214" s="268">
        <f>IF(ISNUMBER('Sensitivity Tests'!$C$30),'Sensitivity Tests'!$C$30,IF((VLOOKUP($A214,AffordabilityRatio!$A$2:$I$321,9,FALSE))="",AN214,VLOOKUP($A214,AffordabilityRatio!$A$2:$I$321,9,FALSE)))</f>
        <v>7.12</v>
      </c>
      <c r="AP214" s="268">
        <f>IF(ISNUMBER('Sensitivity Tests'!$C$30),'Sensitivity Tests'!$C$30,IF((VLOOKUP($A214,AffordabilityRatio!$A$2:$I$321,9,FALSE))="",AO214,VLOOKUP($A214,AffordabilityRatio!$A$2:$I$321,9,FALSE)))</f>
        <v>7.12</v>
      </c>
      <c r="AQ214" s="267">
        <f t="shared" si="152"/>
        <v>208</v>
      </c>
      <c r="AR214" s="267">
        <f t="shared" si="152"/>
        <v>197</v>
      </c>
      <c r="AS214" s="267">
        <f t="shared" si="152"/>
        <v>190</v>
      </c>
      <c r="AT214" s="267">
        <f t="shared" si="152"/>
        <v>269</v>
      </c>
      <c r="AU214" s="267">
        <f t="shared" si="152"/>
        <v>284</v>
      </c>
      <c r="AV214" s="267">
        <f t="shared" si="151"/>
        <v>277</v>
      </c>
      <c r="AW214" s="267">
        <f t="shared" si="151"/>
        <v>269</v>
      </c>
      <c r="AX214" s="267">
        <f t="shared" si="151"/>
        <v>263</v>
      </c>
      <c r="AY214" s="267">
        <f t="shared" si="171"/>
        <v>208</v>
      </c>
      <c r="AZ214" s="267">
        <f t="shared" si="172"/>
        <v>197</v>
      </c>
      <c r="BA214" s="267">
        <f t="shared" si="173"/>
        <v>190</v>
      </c>
      <c r="BB214" s="267">
        <f t="shared" si="174"/>
        <v>262.78823529411767</v>
      </c>
      <c r="BC214" s="267">
        <f t="shared" si="175"/>
        <v>262.78823529411767</v>
      </c>
      <c r="BD214" s="267">
        <f t="shared" si="176"/>
        <v>262.78823529411767</v>
      </c>
      <c r="BE214" s="267">
        <f t="shared" si="177"/>
        <v>262.78823529411767</v>
      </c>
      <c r="BF214" s="267">
        <f t="shared" si="178"/>
        <v>262.78823529411767</v>
      </c>
      <c r="BG214" s="269">
        <f>AY214*VLOOKUP($B214,'Major Cities &amp; Towns'!$A$28:$B$345,2,FALSE)</f>
        <v>208</v>
      </c>
      <c r="BH214" s="269">
        <f>AZ214*VLOOKUP($B214,'Major Cities &amp; Towns'!$A$28:$B$345,2,FALSE)</f>
        <v>197</v>
      </c>
      <c r="BI214" s="269">
        <f>BA214*VLOOKUP($B214,'Major Cities &amp; Towns'!$A$28:$B$345,2,FALSE)</f>
        <v>190</v>
      </c>
      <c r="BJ214" s="269">
        <f>BB214*VLOOKUP($B214,'Major Cities &amp; Towns'!$A$28:$B$345,2,FALSE)</f>
        <v>262.78823529411767</v>
      </c>
      <c r="BK214" s="269">
        <f>BC214*VLOOKUP($B214,'Major Cities &amp; Towns'!$A$28:$B$345,2,FALSE)</f>
        <v>262.78823529411767</v>
      </c>
      <c r="BL214" s="269">
        <f>BD214*VLOOKUP($B214,'Major Cities &amp; Towns'!$A$28:$B$345,2,FALSE)</f>
        <v>262.78823529411767</v>
      </c>
      <c r="BM214" s="269">
        <f>BE214*VLOOKUP($B214,'Major Cities &amp; Towns'!$A$28:$B$345,2,FALSE)</f>
        <v>262.78823529411767</v>
      </c>
      <c r="BN214" s="269">
        <f>BF214*VLOOKUP($B214,'Major Cities &amp; Towns'!$A$28:$B$345,2,FALSE)</f>
        <v>262.78823529411767</v>
      </c>
      <c r="BO214" s="270">
        <f t="shared" si="179"/>
        <v>187.70588235294119</v>
      </c>
      <c r="BP214" s="270">
        <f t="shared" ref="BP214:BV250" si="195">IFERROR(IF(AND(T214&lt;365,T214&gt;0),SUM(((T214/365)*(MIN(L214,BH214)))+(((365-T214)/365)*AR214)),(MIN(L214,AR214))),AR214)</f>
        <v>187.70588235294119</v>
      </c>
      <c r="BQ214" s="270">
        <f t="shared" si="195"/>
        <v>187.70588235294119</v>
      </c>
      <c r="BR214" s="270">
        <f t="shared" si="195"/>
        <v>187.70588235294119</v>
      </c>
      <c r="BS214" s="270">
        <f t="shared" si="195"/>
        <v>187.70588235294119</v>
      </c>
      <c r="BT214" s="270">
        <f t="shared" si="195"/>
        <v>187.70588235294119</v>
      </c>
      <c r="BU214" s="270">
        <f t="shared" si="195"/>
        <v>187.70588235294119</v>
      </c>
      <c r="BV214" s="270">
        <f t="shared" si="195"/>
        <v>187.70588235294119</v>
      </c>
      <c r="BW214" s="39">
        <f>VLOOKUP($A214,NetAdditions!$A$2:$H$336,6,FALSE)</f>
        <v>107</v>
      </c>
      <c r="BX214" s="39">
        <f>VLOOKUP($A214,NetAdditions!$A$2:$H$336,7,FALSE)</f>
        <v>94</v>
      </c>
      <c r="BY214" s="39">
        <f>IF((VLOOKUP($C214,NetAdditions!$A$2:$H$336,8,FALSE))="",(AVERAGE(VLOOKUP($C214,NetAdditions!$A$2:$H$336,5,FALSE),VLOOKUP($C214,NetAdditions!$A$2:$H$336,6,FALSE),VLOOKUP($C214,NetAdditions!$A$2:$H$336,7,FALSE))),VLOOKUP($C214,NetAdditions!$A$2:$H$336,8,FALSE))</f>
        <v>77</v>
      </c>
      <c r="BZ214" s="39">
        <f t="shared" si="150"/>
        <v>92.666666666666671</v>
      </c>
      <c r="CA214" s="39">
        <f t="shared" si="150"/>
        <v>87.8888888888889</v>
      </c>
      <c r="CB214" s="39">
        <f t="shared" si="150"/>
        <v>85.851851851851862</v>
      </c>
      <c r="CC214" s="39">
        <f t="shared" si="150"/>
        <v>88.802469135802482</v>
      </c>
      <c r="CD214" s="39">
        <f t="shared" si="150"/>
        <v>87.514403292181086</v>
      </c>
      <c r="CE214" s="276">
        <f t="shared" si="155"/>
        <v>563.11764705882354</v>
      </c>
      <c r="CF214" s="276">
        <f t="shared" si="156"/>
        <v>563.11764705882354</v>
      </c>
      <c r="CG214" s="276">
        <f t="shared" si="157"/>
        <v>563.11764705882354</v>
      </c>
      <c r="CH214" s="276">
        <f t="shared" si="158"/>
        <v>563.11764705882354</v>
      </c>
      <c r="CI214" s="276">
        <f t="shared" si="159"/>
        <v>563.11764705882354</v>
      </c>
      <c r="CJ214" s="276">
        <f t="shared" si="160"/>
        <v>563.11764705882354</v>
      </c>
      <c r="CK214" s="276">
        <f t="shared" si="180"/>
        <v>484.90686274509807</v>
      </c>
      <c r="CL214" s="276">
        <f t="shared" si="181"/>
        <v>484.90686274509807</v>
      </c>
      <c r="CM214" s="276">
        <f t="shared" si="182"/>
        <v>516.19117647058818</v>
      </c>
      <c r="CN214" s="276">
        <f t="shared" si="183"/>
        <v>563.11764705882354</v>
      </c>
      <c r="CO214" s="276">
        <f t="shared" si="183"/>
        <v>563.11764705882354</v>
      </c>
      <c r="CP214" s="276">
        <f t="shared" si="183"/>
        <v>563.11764705882354</v>
      </c>
      <c r="CQ214" s="39">
        <f t="shared" si="161"/>
        <v>278</v>
      </c>
      <c r="CR214" s="39">
        <f t="shared" si="162"/>
        <v>263.66666666666669</v>
      </c>
      <c r="CS214" s="277">
        <f t="shared" si="163"/>
        <v>257.5555555555556</v>
      </c>
      <c r="CT214" s="39">
        <f t="shared" si="164"/>
        <v>266.40740740740745</v>
      </c>
      <c r="CU214" s="39">
        <f t="shared" si="165"/>
        <v>262.54320987654324</v>
      </c>
      <c r="CV214" s="39">
        <f t="shared" si="166"/>
        <v>262.16872427983543</v>
      </c>
      <c r="CW214" s="297">
        <f t="shared" si="167"/>
        <v>0.57330597143174855</v>
      </c>
      <c r="CX214" s="279" t="str">
        <f t="shared" si="184"/>
        <v>Buffer and Action Plan</v>
      </c>
      <c r="CY214" s="278">
        <f t="shared" si="168"/>
        <v>0.54374703045864881</v>
      </c>
      <c r="CZ214" s="279" t="str">
        <f t="shared" si="185"/>
        <v>Buffer and Action Plan</v>
      </c>
      <c r="DA214" s="278">
        <f t="shared" si="169"/>
        <v>0.4989538126485793</v>
      </c>
      <c r="DB214" s="292" t="str">
        <f t="shared" si="186"/>
        <v>Presumption</v>
      </c>
      <c r="DC214" s="299">
        <f t="shared" si="187"/>
        <v>0.47309369329634665</v>
      </c>
      <c r="DD214" s="293" t="str">
        <f t="shared" si="188"/>
        <v>Presumption</v>
      </c>
      <c r="DE214" s="299">
        <f t="shared" si="189"/>
        <v>0.4662315437063862</v>
      </c>
      <c r="DF214" s="293" t="str">
        <f t="shared" si="190"/>
        <v>Presumption</v>
      </c>
      <c r="DG214" s="299">
        <f t="shared" si="191"/>
        <v>0.46556652175464353</v>
      </c>
      <c r="DH214" s="293" t="str">
        <f t="shared" si="192"/>
        <v>Presumption</v>
      </c>
    </row>
    <row r="215" spans="1:112" ht="15" thickTop="1" thickBot="1">
      <c r="A215" s="38" t="s">
        <v>540</v>
      </c>
      <c r="B215" s="38" t="s">
        <v>541</v>
      </c>
      <c r="C215" s="38" t="s">
        <v>540</v>
      </c>
      <c r="D215" s="38" t="s">
        <v>113</v>
      </c>
      <c r="E215" s="38" t="str">
        <f>VLOOKUP(C215,PoliticalControl!A:K,11,FALSE)</f>
        <v>NOC</v>
      </c>
      <c r="F215" s="38" t="str">
        <f>VLOOKUP(C215,UrbanRuralClassification!A:N,13,FALSE)</f>
        <v xml:space="preserve">Largely Rural (rural including hub towns 50-79%) </v>
      </c>
      <c r="G215" s="38" t="str">
        <f>VLOOKUP(C215,UrbanRuralClassification!A:N,14,FALSE)</f>
        <v>Predominantly Rural</v>
      </c>
      <c r="H215" s="258">
        <f>IF(ISBLANK((VLOOKUP($A215,'local-plan-data'!$C$1:$AD$566,27,FALSE)))=TRUE,"",VLOOKUP($A215,'local-plan-data'!$C$1:$AD$566,27,FALSE))</f>
        <v>41911</v>
      </c>
      <c r="I215" s="259">
        <f>VLOOKUP($A215,'local-plan-data'!$C$1:$AD$566,28,FALSE)</f>
        <v>335.29411764705884</v>
      </c>
      <c r="J215" s="260">
        <f t="shared" si="170"/>
        <v>335.29411764705884</v>
      </c>
      <c r="K215" s="259">
        <f t="shared" si="193"/>
        <v>335.29411764705884</v>
      </c>
      <c r="L215" s="259">
        <f t="shared" si="153"/>
        <v>335.29411764705884</v>
      </c>
      <c r="M215" s="259" t="str">
        <f t="shared" si="153"/>
        <v>-</v>
      </c>
      <c r="N215" s="259" t="str">
        <f t="shared" si="153"/>
        <v>-</v>
      </c>
      <c r="O215" s="259" t="str">
        <f t="shared" si="153"/>
        <v>-</v>
      </c>
      <c r="P215" s="259" t="str">
        <f t="shared" si="153"/>
        <v>-</v>
      </c>
      <c r="Q215" s="259" t="str">
        <f t="shared" si="153"/>
        <v>-</v>
      </c>
      <c r="R215" s="259" t="str">
        <f t="shared" si="153"/>
        <v>-</v>
      </c>
      <c r="S215" s="259">
        <f t="shared" si="194"/>
        <v>546</v>
      </c>
      <c r="T215" s="259">
        <f t="shared" si="154"/>
        <v>181</v>
      </c>
      <c r="U215" s="259">
        <f t="shared" si="154"/>
        <v>-185</v>
      </c>
      <c r="V215" s="259">
        <f t="shared" si="154"/>
        <v>-550</v>
      </c>
      <c r="W215" s="259">
        <f t="shared" si="154"/>
        <v>-915</v>
      </c>
      <c r="X215" s="259">
        <f t="shared" si="154"/>
        <v>-1280</v>
      </c>
      <c r="Y215" s="259">
        <f t="shared" si="154"/>
        <v>-1646</v>
      </c>
      <c r="Z215" s="259">
        <f t="shared" si="154"/>
        <v>-2011</v>
      </c>
      <c r="AA215" s="267">
        <f>(VLOOKUP(A215,Hshldprojections2014!$A$2:$AW$319,40, FALSE)-VLOOKUP(A215,Hshldprojections2014!$A$2:$AW$319,30, FALSE))/10</f>
        <v>513.9</v>
      </c>
      <c r="AB215" s="267">
        <f>(VLOOKUP(A215,Hshldprojections2014!$A$2:$AW$319,41, FALSE)-VLOOKUP(A215,Hshldprojections2014!$A$2:$AW$319,31, FALSE))/10</f>
        <v>519.29999999999995</v>
      </c>
      <c r="AC215" s="267">
        <f>(VLOOKUP(A215,Hshldprojections2014!$A$2:$AW$319,42, FALSE)-VLOOKUP(A215,Hshldprojections2014!$A$2:$AW$319,32, FALSE))/10</f>
        <v>525.5</v>
      </c>
      <c r="AD215" s="267">
        <f>IF(IndividualLATest!$J$7=2014,(VLOOKUP($A215,Hshldprojections2014!$A$2:$AY$326,43,FALSE)-VLOOKUP($A215,Hshldprojections2014!$A$2:$AY$326,33,FALSE))/10,IF(IndividualLATest!$J$7=2016,(VLOOKUP($A215,Hshldprojections2016!$A$1:$AQ$322,33,FALSE)-VLOOKUP($A215,Hshldprojections2016!$A$1:$AQ$322,23,FALSE))/10,(VLOOKUP($A215,Hshldprojections2018!$A$1:$AQ$327,33,FALSE)-VLOOKUP($A215,Hshldprojections2018!$A$1:$AQ$327,23,FALSE))/10))</f>
        <v>502.2</v>
      </c>
      <c r="AE215" s="267">
        <f>IF(IndividualLATest!$J$7=2014,(VLOOKUP($A215,Hshldprojections2014!$A$2:$AY$326,44,FALSE)-VLOOKUP($A215,Hshldprojections2014!$A$2:$AY$326,34,FALSE))/10,IF(IndividualLATest!$J$7=2016,(VLOOKUP($A215,Hshldprojections2016!$A$1:$AQ$322,34,FALSE)-VLOOKUP($A215,Hshldprojections2016!$A$1:$AQ$322,24,FALSE))/10,(VLOOKUP($A215,Hshldprojections2018!$A$1:$AQ$327,34,FALSE)-VLOOKUP($A215,Hshldprojections2018!$A$1:$AQ$327,24,FALSE))/10))</f>
        <v>487.3</v>
      </c>
      <c r="AF215" s="267">
        <f>IF(IndividualLATest!$J$7=2014,(VLOOKUP($A215,Hshldprojections2014!$A$2:$AY$326,45,FALSE)-VLOOKUP($A215,Hshldprojections2014!$A$2:$AY$326,35,FALSE))/10,IF(IndividualLATest!$J$7=2016,(VLOOKUP($A215,Hshldprojections2016!$A$1:$AQ$322,35,FALSE)-VLOOKUP($A215,Hshldprojections2016!$A$1:$AQ$322,25,FALSE))/10,(VLOOKUP($A215,Hshldprojections2018!$A$1:$AQ$327,35,FALSE)-VLOOKUP($A215,Hshldprojections2018!$A$1:$AQ$327,25,FALSE))/10))</f>
        <v>473.2</v>
      </c>
      <c r="AG215" s="267">
        <f>IF(IndividualLATest!$J$7=2014,(VLOOKUP($A215,Hshldprojections2014!$A$2:$AY$326,46,FALSE)-VLOOKUP($A215,Hshldprojections2014!$A$2:$AY$326,36,FALSE))/10,IF(IndividualLATest!$J$7=2016,(VLOOKUP($A215,Hshldprojections2016!$A$1:$AQ$322,36,FALSE)-VLOOKUP($A215,Hshldprojections2016!$A$1:$AQ$322,26,FALSE))/10,(VLOOKUP($A215,Hshldprojections2018!$A$1:$AQ$327,36,FALSE)-VLOOKUP($A215,Hshldprojections2018!$A$1:$AQ$327,26,FALSE))/10))</f>
        <v>460.8</v>
      </c>
      <c r="AH215" s="267">
        <f>IF(IndividualLATest!$J$7=2014,(VLOOKUP($A215,Hshldprojections2014!$A$2:$AY$326,47,FALSE)-VLOOKUP($A215,Hshldprojections2014!$A$2:$AY$326,37,FALSE))/10,IF(IndividualLATest!$J$7=2016,(VLOOKUP($A215,Hshldprojections2016!$A$1:$AQ$322,37,FALSE)-VLOOKUP($A215,Hshldprojections2016!$A$1:$AQ$322,27,FALSE))/10,(VLOOKUP($A215,Hshldprojections2018!$A$1:$AQ$327,37,FALSE)-VLOOKUP($A215,Hshldprojections2018!$A$1:$AQ$327,27,FALSE))/10))</f>
        <v>448.9</v>
      </c>
      <c r="AI215" s="268">
        <f>IF(ISNUMBER('Sensitivity Tests'!$C$30),'Sensitivity Tests'!$C$30,VLOOKUP($A215,AffordabilityRatio!$A$2:$I$321,5,FALSE))</f>
        <v>11.19</v>
      </c>
      <c r="AJ215" s="268">
        <f>IF(ISNUMBER('Sensitivity Tests'!$C$30),'Sensitivity Tests'!$C$30,VLOOKUP($A215,AffordabilityRatio!$A$2:$I$321,6,FALSE))</f>
        <v>12.74</v>
      </c>
      <c r="AK215" s="268">
        <f>IF(ISNUMBER('Sensitivity Tests'!$C$30),'Sensitivity Tests'!$C$30,VLOOKUP($A215,AffordabilityRatio!$A$2:$I$321,7,FALSE))</f>
        <v>12.31</v>
      </c>
      <c r="AL215" s="268">
        <f>IF(ISNUMBER('Sensitivity Tests'!$C$30),'Sensitivity Tests'!$C$30,IF((VLOOKUP($A215,AffordabilityRatio!$A$2:$I$321,8,FALSE))="",AK215,VLOOKUP($A215,AffordabilityRatio!$A$2:$I$321,8,FALSE)))</f>
        <v>12.82</v>
      </c>
      <c r="AM215" s="268">
        <f>IF(ISNUMBER('Sensitivity Tests'!$C$30),'Sensitivity Tests'!$C$30,IF((VLOOKUP($A215,AffordabilityRatio!$A$2:$I$321,9,FALSE))="",AL215,VLOOKUP($A215,AffordabilityRatio!$A$2:$I$321,9,FALSE)))</f>
        <v>13.82</v>
      </c>
      <c r="AN215" s="268">
        <f>IF(ISNUMBER('Sensitivity Tests'!$C$30),'Sensitivity Tests'!$C$30,IF((VLOOKUP($A215,AffordabilityRatio!$A$2:$I$321,9,FALSE))="",AM215,VLOOKUP($A215,AffordabilityRatio!$A$2:$I$321,9,FALSE)))</f>
        <v>13.82</v>
      </c>
      <c r="AO215" s="268">
        <f>IF(ISNUMBER('Sensitivity Tests'!$C$30),'Sensitivity Tests'!$C$30,IF((VLOOKUP($A215,AffordabilityRatio!$A$2:$I$321,9,FALSE))="",AN215,VLOOKUP($A215,AffordabilityRatio!$A$2:$I$321,9,FALSE)))</f>
        <v>13.82</v>
      </c>
      <c r="AP215" s="268">
        <f>IF(ISNUMBER('Sensitivity Tests'!$C$30),'Sensitivity Tests'!$C$30,IF((VLOOKUP($A215,AffordabilityRatio!$A$2:$I$321,9,FALSE))="",AO215,VLOOKUP($A215,AffordabilityRatio!$A$2:$I$321,9,FALSE)))</f>
        <v>13.82</v>
      </c>
      <c r="AQ215" s="267">
        <f t="shared" si="152"/>
        <v>745</v>
      </c>
      <c r="AR215" s="267">
        <f t="shared" si="152"/>
        <v>803</v>
      </c>
      <c r="AS215" s="267">
        <f t="shared" si="152"/>
        <v>798</v>
      </c>
      <c r="AT215" s="267">
        <f t="shared" si="152"/>
        <v>779</v>
      </c>
      <c r="AU215" s="267">
        <f t="shared" si="152"/>
        <v>786</v>
      </c>
      <c r="AV215" s="267">
        <f t="shared" si="151"/>
        <v>764</v>
      </c>
      <c r="AW215" s="267">
        <f t="shared" si="151"/>
        <v>744</v>
      </c>
      <c r="AX215" s="267">
        <f t="shared" si="151"/>
        <v>724</v>
      </c>
      <c r="AY215" s="267">
        <f t="shared" si="171"/>
        <v>469.41176470588238</v>
      </c>
      <c r="AZ215" s="267">
        <f t="shared" si="172"/>
        <v>469.41176470588238</v>
      </c>
      <c r="BA215" s="267">
        <f t="shared" si="173"/>
        <v>735.7</v>
      </c>
      <c r="BB215" s="267">
        <f t="shared" si="174"/>
        <v>703.07999999999993</v>
      </c>
      <c r="BC215" s="267">
        <f t="shared" si="175"/>
        <v>682.22</v>
      </c>
      <c r="BD215" s="267">
        <f t="shared" si="176"/>
        <v>662.48</v>
      </c>
      <c r="BE215" s="267">
        <f t="shared" si="177"/>
        <v>645.12</v>
      </c>
      <c r="BF215" s="267">
        <f t="shared" si="178"/>
        <v>628.46</v>
      </c>
      <c r="BG215" s="269">
        <f>AY215*VLOOKUP($B215,'Major Cities &amp; Towns'!$A$28:$B$345,2,FALSE)</f>
        <v>469.41176470588238</v>
      </c>
      <c r="BH215" s="269">
        <f>AZ215*VLOOKUP($B215,'Major Cities &amp; Towns'!$A$28:$B$345,2,FALSE)</f>
        <v>469.41176470588238</v>
      </c>
      <c r="BI215" s="269">
        <f>BA215*VLOOKUP($B215,'Major Cities &amp; Towns'!$A$28:$B$345,2,FALSE)</f>
        <v>735.7</v>
      </c>
      <c r="BJ215" s="269">
        <f>BB215*VLOOKUP($B215,'Major Cities &amp; Towns'!$A$28:$B$345,2,FALSE)</f>
        <v>703.07999999999993</v>
      </c>
      <c r="BK215" s="269">
        <f>BC215*VLOOKUP($B215,'Major Cities &amp; Towns'!$A$28:$B$345,2,FALSE)</f>
        <v>682.22</v>
      </c>
      <c r="BL215" s="269">
        <f>BD215*VLOOKUP($B215,'Major Cities &amp; Towns'!$A$28:$B$345,2,FALSE)</f>
        <v>662.48</v>
      </c>
      <c r="BM215" s="269">
        <f>BE215*VLOOKUP($B215,'Major Cities &amp; Towns'!$A$28:$B$345,2,FALSE)</f>
        <v>645.12</v>
      </c>
      <c r="BN215" s="269">
        <f>BF215*VLOOKUP($B215,'Major Cities &amp; Towns'!$A$28:$B$345,2,FALSE)</f>
        <v>628.46</v>
      </c>
      <c r="BO215" s="270">
        <f t="shared" si="179"/>
        <v>335.29411764705884</v>
      </c>
      <c r="BP215" s="270">
        <f t="shared" si="195"/>
        <v>571.06913779210322</v>
      </c>
      <c r="BQ215" s="270">
        <f t="shared" si="195"/>
        <v>798</v>
      </c>
      <c r="BR215" s="270">
        <f t="shared" si="195"/>
        <v>779</v>
      </c>
      <c r="BS215" s="270">
        <f t="shared" si="195"/>
        <v>786</v>
      </c>
      <c r="BT215" s="270">
        <f t="shared" si="195"/>
        <v>764</v>
      </c>
      <c r="BU215" s="270">
        <f t="shared" si="195"/>
        <v>744</v>
      </c>
      <c r="BV215" s="270">
        <f t="shared" si="195"/>
        <v>724</v>
      </c>
      <c r="BW215" s="39">
        <f>VLOOKUP($A215,NetAdditions!$A$2:$H$336,6,FALSE)</f>
        <v>255</v>
      </c>
      <c r="BX215" s="39">
        <f>VLOOKUP($A215,NetAdditions!$A$2:$H$336,7,FALSE)</f>
        <v>247</v>
      </c>
      <c r="BY215" s="39">
        <f>IF((VLOOKUP($C215,NetAdditions!$A$2:$H$336,8,FALSE))="",(AVERAGE(VLOOKUP($C215,NetAdditions!$A$2:$H$336,5,FALSE),VLOOKUP($C215,NetAdditions!$A$2:$H$336,6,FALSE),VLOOKUP($C215,NetAdditions!$A$2:$H$336,7,FALSE))),VLOOKUP($C215,NetAdditions!$A$2:$H$336,8,FALSE))</f>
        <v>175</v>
      </c>
      <c r="BZ215" s="39">
        <f t="shared" si="150"/>
        <v>225.66666666666666</v>
      </c>
      <c r="CA215" s="39">
        <f t="shared" si="150"/>
        <v>215.88888888888889</v>
      </c>
      <c r="CB215" s="39">
        <f t="shared" si="150"/>
        <v>205.5185185185185</v>
      </c>
      <c r="CC215" s="39">
        <f t="shared" si="150"/>
        <v>215.69135802469134</v>
      </c>
      <c r="CD215" s="39">
        <f t="shared" si="150"/>
        <v>212.36625514403292</v>
      </c>
      <c r="CE215" s="276">
        <f t="shared" si="155"/>
        <v>1704.363255439162</v>
      </c>
      <c r="CF215" s="276">
        <f t="shared" si="156"/>
        <v>2148.069137792103</v>
      </c>
      <c r="CG215" s="276">
        <f t="shared" si="157"/>
        <v>2363</v>
      </c>
      <c r="CH215" s="276">
        <f t="shared" si="158"/>
        <v>2329</v>
      </c>
      <c r="CI215" s="276">
        <f t="shared" si="159"/>
        <v>2294</v>
      </c>
      <c r="CJ215" s="276">
        <f t="shared" si="160"/>
        <v>2232</v>
      </c>
      <c r="CK215" s="276">
        <f t="shared" si="180"/>
        <v>1467.6461366281674</v>
      </c>
      <c r="CL215" s="276">
        <f t="shared" si="181"/>
        <v>1849.7262019876443</v>
      </c>
      <c r="CM215" s="276">
        <f t="shared" si="182"/>
        <v>2166.083333333333</v>
      </c>
      <c r="CN215" s="276">
        <f t="shared" si="183"/>
        <v>2329</v>
      </c>
      <c r="CO215" s="276">
        <f t="shared" si="183"/>
        <v>2294</v>
      </c>
      <c r="CP215" s="276">
        <f t="shared" si="183"/>
        <v>2232</v>
      </c>
      <c r="CQ215" s="39">
        <f t="shared" si="161"/>
        <v>677</v>
      </c>
      <c r="CR215" s="39">
        <f t="shared" si="162"/>
        <v>647.66666666666663</v>
      </c>
      <c r="CS215" s="277">
        <f t="shared" si="163"/>
        <v>616.55555555555554</v>
      </c>
      <c r="CT215" s="39">
        <f t="shared" si="164"/>
        <v>647.07407407407402</v>
      </c>
      <c r="CU215" s="39">
        <f t="shared" si="165"/>
        <v>637.09876543209873</v>
      </c>
      <c r="CV215" s="39">
        <f t="shared" si="166"/>
        <v>633.57613168724276</v>
      </c>
      <c r="CW215" s="297">
        <f t="shared" si="167"/>
        <v>0.46128285497713267</v>
      </c>
      <c r="CX215" s="279" t="str">
        <f t="shared" si="184"/>
        <v>Buffer and Action Plan</v>
      </c>
      <c r="CY215" s="278">
        <f t="shared" si="168"/>
        <v>0.35014191071668282</v>
      </c>
      <c r="CZ215" s="279" t="str">
        <f t="shared" si="185"/>
        <v>Presumption</v>
      </c>
      <c r="DA215" s="278">
        <f t="shared" si="169"/>
        <v>0.28464073660857414</v>
      </c>
      <c r="DB215" s="292" t="str">
        <f t="shared" si="186"/>
        <v>Presumption</v>
      </c>
      <c r="DC215" s="299">
        <f t="shared" si="187"/>
        <v>0.27783343669990296</v>
      </c>
      <c r="DD215" s="293" t="str">
        <f t="shared" si="188"/>
        <v>Presumption</v>
      </c>
      <c r="DE215" s="299">
        <f t="shared" si="189"/>
        <v>0.27772396051965942</v>
      </c>
      <c r="DF215" s="293" t="str">
        <f t="shared" si="190"/>
        <v>Presumption</v>
      </c>
      <c r="DG215" s="299">
        <f t="shared" si="191"/>
        <v>0.28386027405342418</v>
      </c>
      <c r="DH215" s="293" t="str">
        <f t="shared" si="192"/>
        <v>Presumption</v>
      </c>
    </row>
    <row r="216" spans="1:112" ht="15" thickTop="1" thickBot="1">
      <c r="A216" s="38" t="s">
        <v>542</v>
      </c>
      <c r="B216" s="38" t="s">
        <v>543</v>
      </c>
      <c r="C216" s="38" t="s">
        <v>542</v>
      </c>
      <c r="D216" s="38" t="s">
        <v>136</v>
      </c>
      <c r="E216" s="38" t="str">
        <f>VLOOKUP(C216,PoliticalControl!A:K,11,FALSE)</f>
        <v>LAB</v>
      </c>
      <c r="F216" s="38" t="str">
        <f>VLOOKUP(C216,UrbanRuralClassification!A:N,13,FALSE)</f>
        <v>Urban with Minor Conurbation</v>
      </c>
      <c r="G216" s="38" t="str">
        <f>VLOOKUP(C216,UrbanRuralClassification!A:N,14,FALSE)</f>
        <v>Predominantly Urban</v>
      </c>
      <c r="H216" s="258">
        <f>IF(ISBLANK((VLOOKUP($A216,'local-plan-data'!$C$1:$AD$566,27,FALSE)))=TRUE,"",VLOOKUP($A216,'local-plan-data'!$C$1:$AD$566,27,FALSE))</f>
        <v>41892</v>
      </c>
      <c r="I216" s="259">
        <f>VLOOKUP($A216,'local-plan-data'!$C$1:$AD$566,28,FALSE)</f>
        <v>850</v>
      </c>
      <c r="J216" s="260">
        <f t="shared" si="170"/>
        <v>850</v>
      </c>
      <c r="K216" s="259">
        <f t="shared" si="193"/>
        <v>850</v>
      </c>
      <c r="L216" s="259">
        <f t="shared" si="153"/>
        <v>850</v>
      </c>
      <c r="M216" s="259" t="str">
        <f t="shared" si="153"/>
        <v>-</v>
      </c>
      <c r="N216" s="259" t="str">
        <f t="shared" si="153"/>
        <v>-</v>
      </c>
      <c r="O216" s="259" t="str">
        <f t="shared" si="153"/>
        <v>-</v>
      </c>
      <c r="P216" s="259" t="str">
        <f t="shared" si="153"/>
        <v>-</v>
      </c>
      <c r="Q216" s="259" t="str">
        <f t="shared" si="153"/>
        <v>-</v>
      </c>
      <c r="R216" s="259" t="str">
        <f t="shared" si="153"/>
        <v>-</v>
      </c>
      <c r="S216" s="259">
        <f t="shared" si="194"/>
        <v>527</v>
      </c>
      <c r="T216" s="259">
        <f t="shared" si="154"/>
        <v>162</v>
      </c>
      <c r="U216" s="259">
        <f t="shared" si="154"/>
        <v>-204</v>
      </c>
      <c r="V216" s="259">
        <f t="shared" si="154"/>
        <v>-569</v>
      </c>
      <c r="W216" s="259">
        <f t="shared" si="154"/>
        <v>-934</v>
      </c>
      <c r="X216" s="259">
        <f t="shared" si="154"/>
        <v>-1299</v>
      </c>
      <c r="Y216" s="259">
        <f t="shared" si="154"/>
        <v>-1665</v>
      </c>
      <c r="Z216" s="259">
        <f t="shared" si="154"/>
        <v>-2030</v>
      </c>
      <c r="AA216" s="267">
        <f>(VLOOKUP(A216,Hshldprojections2014!$A$2:$AW$319,40, FALSE)-VLOOKUP(A216,Hshldprojections2014!$A$2:$AW$319,30, FALSE))/10</f>
        <v>540.4</v>
      </c>
      <c r="AB216" s="267">
        <f>(VLOOKUP(A216,Hshldprojections2014!$A$2:$AW$319,41, FALSE)-VLOOKUP(A216,Hshldprojections2014!$A$2:$AW$319,31, FALSE))/10</f>
        <v>534.6</v>
      </c>
      <c r="AC216" s="267">
        <f>(VLOOKUP(A216,Hshldprojections2014!$A$2:$AW$319,42, FALSE)-VLOOKUP(A216,Hshldprojections2014!$A$2:$AW$319,32, FALSE))/10</f>
        <v>522.6</v>
      </c>
      <c r="AD216" s="267">
        <f>IF(IndividualLATest!$J$7=2014,(VLOOKUP($A216,Hshldprojections2014!$A$2:$AY$326,43,FALSE)-VLOOKUP($A216,Hshldprojections2014!$A$2:$AY$326,33,FALSE))/10,IF(IndividualLATest!$J$7=2016,(VLOOKUP($A216,Hshldprojections2016!$A$1:$AQ$322,33,FALSE)-VLOOKUP($A216,Hshldprojections2016!$A$1:$AQ$322,23,FALSE))/10,(VLOOKUP($A216,Hshldprojections2018!$A$1:$AQ$327,33,FALSE)-VLOOKUP($A216,Hshldprojections2018!$A$1:$AQ$327,23,FALSE))/10))</f>
        <v>613.70000000000005</v>
      </c>
      <c r="AE216" s="267">
        <f>IF(IndividualLATest!$J$7=2014,(VLOOKUP($A216,Hshldprojections2014!$A$2:$AY$326,44,FALSE)-VLOOKUP($A216,Hshldprojections2014!$A$2:$AY$326,34,FALSE))/10,IF(IndividualLATest!$J$7=2016,(VLOOKUP($A216,Hshldprojections2016!$A$1:$AQ$322,34,FALSE)-VLOOKUP($A216,Hshldprojections2016!$A$1:$AQ$322,24,FALSE))/10,(VLOOKUP($A216,Hshldprojections2018!$A$1:$AQ$327,34,FALSE)-VLOOKUP($A216,Hshldprojections2018!$A$1:$AQ$327,24,FALSE))/10))</f>
        <v>605.6</v>
      </c>
      <c r="AF216" s="267">
        <f>IF(IndividualLATest!$J$7=2014,(VLOOKUP($A216,Hshldprojections2014!$A$2:$AY$326,45,FALSE)-VLOOKUP($A216,Hshldprojections2014!$A$2:$AY$326,35,FALSE))/10,IF(IndividualLATest!$J$7=2016,(VLOOKUP($A216,Hshldprojections2016!$A$1:$AQ$322,35,FALSE)-VLOOKUP($A216,Hshldprojections2016!$A$1:$AQ$322,25,FALSE))/10,(VLOOKUP($A216,Hshldprojections2018!$A$1:$AQ$327,35,FALSE)-VLOOKUP($A216,Hshldprojections2018!$A$1:$AQ$327,25,FALSE))/10))</f>
        <v>600.79999999999995</v>
      </c>
      <c r="AG216" s="267">
        <f>IF(IndividualLATest!$J$7=2014,(VLOOKUP($A216,Hshldprojections2014!$A$2:$AY$326,46,FALSE)-VLOOKUP($A216,Hshldprojections2014!$A$2:$AY$326,36,FALSE))/10,IF(IndividualLATest!$J$7=2016,(VLOOKUP($A216,Hshldprojections2016!$A$1:$AQ$322,36,FALSE)-VLOOKUP($A216,Hshldprojections2016!$A$1:$AQ$322,26,FALSE))/10,(VLOOKUP($A216,Hshldprojections2018!$A$1:$AQ$327,36,FALSE)-VLOOKUP($A216,Hshldprojections2018!$A$1:$AQ$327,26,FALSE))/10))</f>
        <v>596</v>
      </c>
      <c r="AH216" s="267">
        <f>IF(IndividualLATest!$J$7=2014,(VLOOKUP($A216,Hshldprojections2014!$A$2:$AY$326,47,FALSE)-VLOOKUP($A216,Hshldprojections2014!$A$2:$AY$326,37,FALSE))/10,IF(IndividualLATest!$J$7=2016,(VLOOKUP($A216,Hshldprojections2016!$A$1:$AQ$322,37,FALSE)-VLOOKUP($A216,Hshldprojections2016!$A$1:$AQ$322,27,FALSE))/10,(VLOOKUP($A216,Hshldprojections2018!$A$1:$AQ$327,37,FALSE)-VLOOKUP($A216,Hshldprojections2018!$A$1:$AQ$327,27,FALSE))/10))</f>
        <v>591.79999999999995</v>
      </c>
      <c r="AI216" s="268">
        <f>IF(ISNUMBER('Sensitivity Tests'!$C$30),'Sensitivity Tests'!$C$30,VLOOKUP($A216,AffordabilityRatio!$A$2:$I$321,5,FALSE))</f>
        <v>5.22</v>
      </c>
      <c r="AJ216" s="268">
        <f>IF(ISNUMBER('Sensitivity Tests'!$C$30),'Sensitivity Tests'!$C$30,VLOOKUP($A216,AffordabilityRatio!$A$2:$I$321,6,FALSE))</f>
        <v>5.41</v>
      </c>
      <c r="AK216" s="268">
        <f>IF(ISNUMBER('Sensitivity Tests'!$C$30),'Sensitivity Tests'!$C$30,VLOOKUP($A216,AffordabilityRatio!$A$2:$I$321,7,FALSE))</f>
        <v>5.32</v>
      </c>
      <c r="AL216" s="268">
        <f>IF(ISNUMBER('Sensitivity Tests'!$C$30),'Sensitivity Tests'!$C$30,IF((VLOOKUP($A216,AffordabilityRatio!$A$2:$I$321,8,FALSE))="",AK216,VLOOKUP($A216,AffordabilityRatio!$A$2:$I$321,8,FALSE)))</f>
        <v>5.19</v>
      </c>
      <c r="AM216" s="268">
        <f>IF(ISNUMBER('Sensitivity Tests'!$C$30),'Sensitivity Tests'!$C$30,IF((VLOOKUP($A216,AffordabilityRatio!$A$2:$I$321,9,FALSE))="",AL216,VLOOKUP($A216,AffordabilityRatio!$A$2:$I$321,9,FALSE)))</f>
        <v>5.71</v>
      </c>
      <c r="AN216" s="268">
        <f>IF(ISNUMBER('Sensitivity Tests'!$C$30),'Sensitivity Tests'!$C$30,IF((VLOOKUP($A216,AffordabilityRatio!$A$2:$I$321,9,FALSE))="",AM216,VLOOKUP($A216,AffordabilityRatio!$A$2:$I$321,9,FALSE)))</f>
        <v>5.71</v>
      </c>
      <c r="AO216" s="268">
        <f>IF(ISNUMBER('Sensitivity Tests'!$C$30),'Sensitivity Tests'!$C$30,IF((VLOOKUP($A216,AffordabilityRatio!$A$2:$I$321,9,FALSE))="",AN216,VLOOKUP($A216,AffordabilityRatio!$A$2:$I$321,9,FALSE)))</f>
        <v>5.71</v>
      </c>
      <c r="AP216" s="268">
        <f>IF(ISNUMBER('Sensitivity Tests'!$C$30),'Sensitivity Tests'!$C$30,IF((VLOOKUP($A216,AffordabilityRatio!$A$2:$I$321,9,FALSE))="",AO216,VLOOKUP($A216,AffordabilityRatio!$A$2:$I$321,9,FALSE)))</f>
        <v>5.71</v>
      </c>
      <c r="AQ216" s="267">
        <f t="shared" si="152"/>
        <v>582</v>
      </c>
      <c r="AR216" s="267">
        <f t="shared" si="152"/>
        <v>582</v>
      </c>
      <c r="AS216" s="267">
        <f t="shared" si="152"/>
        <v>566</v>
      </c>
      <c r="AT216" s="267">
        <f t="shared" si="152"/>
        <v>659</v>
      </c>
      <c r="AU216" s="267">
        <f t="shared" si="152"/>
        <v>670</v>
      </c>
      <c r="AV216" s="267">
        <f t="shared" si="151"/>
        <v>665</v>
      </c>
      <c r="AW216" s="267">
        <f t="shared" si="151"/>
        <v>660</v>
      </c>
      <c r="AX216" s="267">
        <f t="shared" si="151"/>
        <v>655</v>
      </c>
      <c r="AY216" s="267">
        <f t="shared" si="171"/>
        <v>582</v>
      </c>
      <c r="AZ216" s="267">
        <f t="shared" si="172"/>
        <v>582</v>
      </c>
      <c r="BA216" s="267">
        <f t="shared" si="173"/>
        <v>566</v>
      </c>
      <c r="BB216" s="267">
        <f t="shared" si="174"/>
        <v>659</v>
      </c>
      <c r="BC216" s="267">
        <f t="shared" si="175"/>
        <v>670</v>
      </c>
      <c r="BD216" s="267">
        <f t="shared" si="176"/>
        <v>665</v>
      </c>
      <c r="BE216" s="267">
        <f t="shared" si="177"/>
        <v>660</v>
      </c>
      <c r="BF216" s="267">
        <f t="shared" si="178"/>
        <v>655</v>
      </c>
      <c r="BG216" s="269">
        <f>AY216*VLOOKUP($B216,'Major Cities &amp; Towns'!$A$28:$B$345,2,FALSE)</f>
        <v>582</v>
      </c>
      <c r="BH216" s="269">
        <f>AZ216*VLOOKUP($B216,'Major Cities &amp; Towns'!$A$28:$B$345,2,FALSE)</f>
        <v>582</v>
      </c>
      <c r="BI216" s="269">
        <f>BA216*VLOOKUP($B216,'Major Cities &amp; Towns'!$A$28:$B$345,2,FALSE)</f>
        <v>566</v>
      </c>
      <c r="BJ216" s="269">
        <f>BB216*VLOOKUP($B216,'Major Cities &amp; Towns'!$A$28:$B$345,2,FALSE)</f>
        <v>659</v>
      </c>
      <c r="BK216" s="269">
        <f>BC216*VLOOKUP($B216,'Major Cities &amp; Towns'!$A$28:$B$345,2,FALSE)</f>
        <v>670</v>
      </c>
      <c r="BL216" s="269">
        <f>BD216*VLOOKUP($B216,'Major Cities &amp; Towns'!$A$28:$B$345,2,FALSE)</f>
        <v>665</v>
      </c>
      <c r="BM216" s="269">
        <f>BE216*VLOOKUP($B216,'Major Cities &amp; Towns'!$A$28:$B$345,2,FALSE)</f>
        <v>660</v>
      </c>
      <c r="BN216" s="269">
        <f>BF216*VLOOKUP($B216,'Major Cities &amp; Towns'!$A$28:$B$345,2,FALSE)</f>
        <v>655</v>
      </c>
      <c r="BO216" s="270">
        <f t="shared" si="179"/>
        <v>582</v>
      </c>
      <c r="BP216" s="270">
        <f t="shared" si="195"/>
        <v>582</v>
      </c>
      <c r="BQ216" s="270">
        <f t="shared" si="195"/>
        <v>566</v>
      </c>
      <c r="BR216" s="270">
        <f t="shared" si="195"/>
        <v>659</v>
      </c>
      <c r="BS216" s="270">
        <f t="shared" si="195"/>
        <v>670</v>
      </c>
      <c r="BT216" s="270">
        <f t="shared" si="195"/>
        <v>665</v>
      </c>
      <c r="BU216" s="270">
        <f t="shared" si="195"/>
        <v>660</v>
      </c>
      <c r="BV216" s="270">
        <f t="shared" si="195"/>
        <v>655</v>
      </c>
      <c r="BW216" s="39">
        <f>VLOOKUP($A216,NetAdditions!$A$2:$H$336,6,FALSE)</f>
        <v>422</v>
      </c>
      <c r="BX216" s="39">
        <f>VLOOKUP($A216,NetAdditions!$A$2:$H$336,7,FALSE)</f>
        <v>556</v>
      </c>
      <c r="BY216" s="39">
        <f>IF((VLOOKUP($C216,NetAdditions!$A$2:$H$336,8,FALSE))="",(AVERAGE(VLOOKUP($C216,NetAdditions!$A$2:$H$336,5,FALSE),VLOOKUP($C216,NetAdditions!$A$2:$H$336,6,FALSE),VLOOKUP($C216,NetAdditions!$A$2:$H$336,7,FALSE))),VLOOKUP($C216,NetAdditions!$A$2:$H$336,8,FALSE))</f>
        <v>566</v>
      </c>
      <c r="BZ216" s="39">
        <f t="shared" si="150"/>
        <v>514.66666666666663</v>
      </c>
      <c r="CA216" s="39">
        <f t="shared" si="150"/>
        <v>545.55555555555554</v>
      </c>
      <c r="CB216" s="39">
        <f t="shared" si="150"/>
        <v>542.07407407407402</v>
      </c>
      <c r="CC216" s="39">
        <f t="shared" si="150"/>
        <v>534.09876543209873</v>
      </c>
      <c r="CD216" s="39">
        <f t="shared" si="150"/>
        <v>540.57613168724276</v>
      </c>
      <c r="CE216" s="276">
        <f t="shared" si="155"/>
        <v>1730</v>
      </c>
      <c r="CF216" s="276">
        <f t="shared" si="156"/>
        <v>1807</v>
      </c>
      <c r="CG216" s="276">
        <f t="shared" si="157"/>
        <v>1895</v>
      </c>
      <c r="CH216" s="276">
        <f t="shared" si="158"/>
        <v>1994</v>
      </c>
      <c r="CI216" s="276">
        <f t="shared" si="159"/>
        <v>1995</v>
      </c>
      <c r="CJ216" s="276">
        <f t="shared" si="160"/>
        <v>1980</v>
      </c>
      <c r="CK216" s="276">
        <f t="shared" si="180"/>
        <v>1489.7222222222224</v>
      </c>
      <c r="CL216" s="276">
        <f t="shared" si="181"/>
        <v>1556.0277777777778</v>
      </c>
      <c r="CM216" s="276">
        <f t="shared" si="182"/>
        <v>1737.0833333333333</v>
      </c>
      <c r="CN216" s="276">
        <f t="shared" si="183"/>
        <v>1994</v>
      </c>
      <c r="CO216" s="276">
        <f t="shared" si="183"/>
        <v>1995</v>
      </c>
      <c r="CP216" s="276">
        <f t="shared" si="183"/>
        <v>1980</v>
      </c>
      <c r="CQ216" s="39">
        <f t="shared" si="161"/>
        <v>1544</v>
      </c>
      <c r="CR216" s="39">
        <f t="shared" si="162"/>
        <v>1636.6666666666665</v>
      </c>
      <c r="CS216" s="277">
        <f t="shared" si="163"/>
        <v>1626.2222222222222</v>
      </c>
      <c r="CT216" s="39">
        <f t="shared" si="164"/>
        <v>1602.2962962962961</v>
      </c>
      <c r="CU216" s="39">
        <f t="shared" si="165"/>
        <v>1621.7283950617284</v>
      </c>
      <c r="CV216" s="39">
        <f t="shared" si="166"/>
        <v>1616.7489711934154</v>
      </c>
      <c r="CW216" s="297">
        <f t="shared" si="167"/>
        <v>1.0364348312511653</v>
      </c>
      <c r="CX216" s="279" t="str">
        <f t="shared" si="184"/>
        <v>Pass</v>
      </c>
      <c r="CY216" s="278">
        <f t="shared" si="168"/>
        <v>1.0518235535640965</v>
      </c>
      <c r="CZ216" s="279" t="str">
        <f t="shared" si="185"/>
        <v>Pass</v>
      </c>
      <c r="DA216" s="278">
        <f t="shared" si="169"/>
        <v>0.93617973934596632</v>
      </c>
      <c r="DB216" s="292" t="str">
        <f t="shared" si="186"/>
        <v>Action Plan</v>
      </c>
      <c r="DC216" s="299">
        <f t="shared" si="187"/>
        <v>0.80355882462201411</v>
      </c>
      <c r="DD216" s="293" t="str">
        <f t="shared" si="188"/>
        <v>Buffer and Action Plan</v>
      </c>
      <c r="DE216" s="299">
        <f t="shared" si="189"/>
        <v>0.81289643862743277</v>
      </c>
      <c r="DF216" s="293" t="str">
        <f t="shared" si="190"/>
        <v>Buffer and Action Plan</v>
      </c>
      <c r="DG216" s="299">
        <f t="shared" si="191"/>
        <v>0.81653988444111891</v>
      </c>
      <c r="DH216" s="293" t="str">
        <f t="shared" si="192"/>
        <v>Buffer and Action Plan</v>
      </c>
    </row>
    <row r="217" spans="1:112" ht="15" thickTop="1" thickBot="1">
      <c r="A217" s="38" t="s">
        <v>544</v>
      </c>
      <c r="B217" s="38" t="s">
        <v>545</v>
      </c>
      <c r="C217" s="38" t="s">
        <v>544</v>
      </c>
      <c r="D217" s="38" t="s">
        <v>154</v>
      </c>
      <c r="E217" s="38" t="str">
        <f>VLOOKUP(C217,PoliticalControl!A:K,11,FALSE)</f>
        <v>CON</v>
      </c>
      <c r="F217" s="38" t="str">
        <f>VLOOKUP(C217,UrbanRuralClassification!A:N,13,FALSE)</f>
        <v>Urban with City and Town</v>
      </c>
      <c r="G217" s="38" t="str">
        <f>VLOOKUP(C217,UrbanRuralClassification!A:N,14,FALSE)</f>
        <v>Predominantly Urban</v>
      </c>
      <c r="H217" s="258">
        <f>IF(ISBLANK((VLOOKUP($A217,'local-plan-data'!$C$1:$AD$566,27,FALSE)))=TRUE,"",VLOOKUP($A217,'local-plan-data'!$C$1:$AD$566,27,FALSE))</f>
        <v>43620</v>
      </c>
      <c r="I217" s="259">
        <f>VLOOKUP($A217,'local-plan-data'!$C$1:$AD$566,28,FALSE)</f>
        <v>620</v>
      </c>
      <c r="J217" s="260">
        <f t="shared" si="170"/>
        <v>620</v>
      </c>
      <c r="K217" s="259">
        <f t="shared" si="193"/>
        <v>620</v>
      </c>
      <c r="L217" s="259">
        <f t="shared" si="153"/>
        <v>620</v>
      </c>
      <c r="M217" s="259">
        <f t="shared" si="153"/>
        <v>620</v>
      </c>
      <c r="N217" s="259">
        <f t="shared" si="153"/>
        <v>620</v>
      </c>
      <c r="O217" s="259">
        <f t="shared" si="153"/>
        <v>620</v>
      </c>
      <c r="P217" s="259">
        <f t="shared" si="153"/>
        <v>620</v>
      </c>
      <c r="Q217" s="259">
        <f t="shared" si="153"/>
        <v>620</v>
      </c>
      <c r="R217" s="259" t="str">
        <f t="shared" si="153"/>
        <v>-</v>
      </c>
      <c r="S217" s="259">
        <f t="shared" si="194"/>
        <v>2256</v>
      </c>
      <c r="T217" s="259">
        <f t="shared" si="154"/>
        <v>1891</v>
      </c>
      <c r="U217" s="259">
        <f t="shared" si="154"/>
        <v>1525</v>
      </c>
      <c r="V217" s="259">
        <f t="shared" si="154"/>
        <v>1160</v>
      </c>
      <c r="W217" s="259">
        <f t="shared" si="154"/>
        <v>795</v>
      </c>
      <c r="X217" s="259">
        <f t="shared" si="154"/>
        <v>430</v>
      </c>
      <c r="Y217" s="259">
        <f t="shared" si="154"/>
        <v>64</v>
      </c>
      <c r="Z217" s="259">
        <f t="shared" si="154"/>
        <v>-301</v>
      </c>
      <c r="AA217" s="267">
        <f>(VLOOKUP(A217,Hshldprojections2014!$A$2:$AW$319,40, FALSE)-VLOOKUP(A217,Hshldprojections2014!$A$2:$AW$319,30, FALSE))/10</f>
        <v>436.7</v>
      </c>
      <c r="AB217" s="267">
        <f>(VLOOKUP(A217,Hshldprojections2014!$A$2:$AW$319,41, FALSE)-VLOOKUP(A217,Hshldprojections2014!$A$2:$AW$319,31, FALSE))/10</f>
        <v>432.2</v>
      </c>
      <c r="AC217" s="267">
        <f>(VLOOKUP(A217,Hshldprojections2014!$A$2:$AW$319,42, FALSE)-VLOOKUP(A217,Hshldprojections2014!$A$2:$AW$319,32, FALSE))/10</f>
        <v>427.6</v>
      </c>
      <c r="AD217" s="267">
        <f>IF(IndividualLATest!$J$7=2014,(VLOOKUP($A217,Hshldprojections2014!$A$2:$AY$326,43,FALSE)-VLOOKUP($A217,Hshldprojections2014!$A$2:$AY$326,33,FALSE))/10,IF(IndividualLATest!$J$7=2016,(VLOOKUP($A217,Hshldprojections2016!$A$1:$AQ$322,33,FALSE)-VLOOKUP($A217,Hshldprojections2016!$A$1:$AQ$322,23,FALSE))/10,(VLOOKUP($A217,Hshldprojections2018!$A$1:$AQ$327,33,FALSE)-VLOOKUP($A217,Hshldprojections2018!$A$1:$AQ$327,23,FALSE))/10))</f>
        <v>399.2</v>
      </c>
      <c r="AE217" s="267">
        <f>IF(IndividualLATest!$J$7=2014,(VLOOKUP($A217,Hshldprojections2014!$A$2:$AY$326,44,FALSE)-VLOOKUP($A217,Hshldprojections2014!$A$2:$AY$326,34,FALSE))/10,IF(IndividualLATest!$J$7=2016,(VLOOKUP($A217,Hshldprojections2016!$A$1:$AQ$322,34,FALSE)-VLOOKUP($A217,Hshldprojections2016!$A$1:$AQ$322,24,FALSE))/10,(VLOOKUP($A217,Hshldprojections2018!$A$1:$AQ$327,34,FALSE)-VLOOKUP($A217,Hshldprojections2018!$A$1:$AQ$327,24,FALSE))/10))</f>
        <v>393.7</v>
      </c>
      <c r="AF217" s="267">
        <f>IF(IndividualLATest!$J$7=2014,(VLOOKUP($A217,Hshldprojections2014!$A$2:$AY$326,45,FALSE)-VLOOKUP($A217,Hshldprojections2014!$A$2:$AY$326,35,FALSE))/10,IF(IndividualLATest!$J$7=2016,(VLOOKUP($A217,Hshldprojections2016!$A$1:$AQ$322,35,FALSE)-VLOOKUP($A217,Hshldprojections2016!$A$1:$AQ$322,25,FALSE))/10,(VLOOKUP($A217,Hshldprojections2018!$A$1:$AQ$327,35,FALSE)-VLOOKUP($A217,Hshldprojections2018!$A$1:$AQ$327,25,FALSE))/10))</f>
        <v>388.7</v>
      </c>
      <c r="AG217" s="267">
        <f>IF(IndividualLATest!$J$7=2014,(VLOOKUP($A217,Hshldprojections2014!$A$2:$AY$326,46,FALSE)-VLOOKUP($A217,Hshldprojections2014!$A$2:$AY$326,36,FALSE))/10,IF(IndividualLATest!$J$7=2016,(VLOOKUP($A217,Hshldprojections2016!$A$1:$AQ$322,36,FALSE)-VLOOKUP($A217,Hshldprojections2016!$A$1:$AQ$322,26,FALSE))/10,(VLOOKUP($A217,Hshldprojections2018!$A$1:$AQ$327,36,FALSE)-VLOOKUP($A217,Hshldprojections2018!$A$1:$AQ$327,26,FALSE))/10))</f>
        <v>384.7</v>
      </c>
      <c r="AH217" s="267">
        <f>IF(IndividualLATest!$J$7=2014,(VLOOKUP($A217,Hshldprojections2014!$A$2:$AY$326,47,FALSE)-VLOOKUP($A217,Hshldprojections2014!$A$2:$AY$326,37,FALSE))/10,IF(IndividualLATest!$J$7=2016,(VLOOKUP($A217,Hshldprojections2016!$A$1:$AQ$322,37,FALSE)-VLOOKUP($A217,Hshldprojections2016!$A$1:$AQ$322,27,FALSE))/10,(VLOOKUP($A217,Hshldprojections2018!$A$1:$AQ$327,37,FALSE)-VLOOKUP($A217,Hshldprojections2018!$A$1:$AQ$327,27,FALSE))/10))</f>
        <v>384</v>
      </c>
      <c r="AI217" s="268">
        <f>IF(ISNUMBER('Sensitivity Tests'!$C$30),'Sensitivity Tests'!$C$30,VLOOKUP($A217,AffordabilityRatio!$A$2:$I$321,5,FALSE))</f>
        <v>6.74</v>
      </c>
      <c r="AJ217" s="268">
        <f>IF(ISNUMBER('Sensitivity Tests'!$C$30),'Sensitivity Tests'!$C$30,VLOOKUP($A217,AffordabilityRatio!$A$2:$I$321,6,FALSE))</f>
        <v>7.73</v>
      </c>
      <c r="AK217" s="268">
        <f>IF(ISNUMBER('Sensitivity Tests'!$C$30),'Sensitivity Tests'!$C$30,VLOOKUP($A217,AffordabilityRatio!$A$2:$I$321,7,FALSE))</f>
        <v>7.71</v>
      </c>
      <c r="AL217" s="268">
        <f>IF(ISNUMBER('Sensitivity Tests'!$C$30),'Sensitivity Tests'!$C$30,IF((VLOOKUP($A217,AffordabilityRatio!$A$2:$I$321,8,FALSE))="",AK217,VLOOKUP($A217,AffordabilityRatio!$A$2:$I$321,8,FALSE)))</f>
        <v>7.34</v>
      </c>
      <c r="AM217" s="268">
        <f>IF(ISNUMBER('Sensitivity Tests'!$C$30),'Sensitivity Tests'!$C$30,IF((VLOOKUP($A217,AffordabilityRatio!$A$2:$I$321,9,FALSE))="",AL217,VLOOKUP($A217,AffordabilityRatio!$A$2:$I$321,9,FALSE)))</f>
        <v>7.47</v>
      </c>
      <c r="AN217" s="268">
        <f>IF(ISNUMBER('Sensitivity Tests'!$C$30),'Sensitivity Tests'!$C$30,IF((VLOOKUP($A217,AffordabilityRatio!$A$2:$I$321,9,FALSE))="",AM217,VLOOKUP($A217,AffordabilityRatio!$A$2:$I$321,9,FALSE)))</f>
        <v>7.47</v>
      </c>
      <c r="AO217" s="268">
        <f>IF(ISNUMBER('Sensitivity Tests'!$C$30),'Sensitivity Tests'!$C$30,IF((VLOOKUP($A217,AffordabilityRatio!$A$2:$I$321,9,FALSE))="",AN217,VLOOKUP($A217,AffordabilityRatio!$A$2:$I$321,9,FALSE)))</f>
        <v>7.47</v>
      </c>
      <c r="AP217" s="268">
        <f>IF(ISNUMBER('Sensitivity Tests'!$C$30),'Sensitivity Tests'!$C$30,IF((VLOOKUP($A217,AffordabilityRatio!$A$2:$I$321,9,FALSE))="",AO217,VLOOKUP($A217,AffordabilityRatio!$A$2:$I$321,9,FALSE)))</f>
        <v>7.47</v>
      </c>
      <c r="AQ217" s="267">
        <f t="shared" si="152"/>
        <v>511</v>
      </c>
      <c r="AR217" s="267">
        <f t="shared" si="152"/>
        <v>533</v>
      </c>
      <c r="AS217" s="267">
        <f t="shared" si="152"/>
        <v>527</v>
      </c>
      <c r="AT217" s="267">
        <f t="shared" si="152"/>
        <v>483</v>
      </c>
      <c r="AU217" s="267">
        <f t="shared" si="152"/>
        <v>479</v>
      </c>
      <c r="AV217" s="267">
        <f t="shared" si="151"/>
        <v>473</v>
      </c>
      <c r="AW217" s="267">
        <f t="shared" si="151"/>
        <v>468</v>
      </c>
      <c r="AX217" s="267">
        <f t="shared" si="151"/>
        <v>467</v>
      </c>
      <c r="AY217" s="267">
        <f t="shared" si="171"/>
        <v>511</v>
      </c>
      <c r="AZ217" s="267">
        <f t="shared" si="172"/>
        <v>533</v>
      </c>
      <c r="BA217" s="267">
        <f t="shared" si="173"/>
        <v>527</v>
      </c>
      <c r="BB217" s="267">
        <f t="shared" si="174"/>
        <v>483</v>
      </c>
      <c r="BC217" s="267">
        <f t="shared" si="175"/>
        <v>479</v>
      </c>
      <c r="BD217" s="267">
        <f t="shared" si="176"/>
        <v>473</v>
      </c>
      <c r="BE217" s="267">
        <f t="shared" si="177"/>
        <v>468</v>
      </c>
      <c r="BF217" s="267">
        <f t="shared" si="178"/>
        <v>467</v>
      </c>
      <c r="BG217" s="269">
        <f>AY217*VLOOKUP($B217,'Major Cities &amp; Towns'!$A$28:$B$345,2,FALSE)</f>
        <v>511</v>
      </c>
      <c r="BH217" s="269">
        <f>AZ217*VLOOKUP($B217,'Major Cities &amp; Towns'!$A$28:$B$345,2,FALSE)</f>
        <v>533</v>
      </c>
      <c r="BI217" s="269">
        <f>BA217*VLOOKUP($B217,'Major Cities &amp; Towns'!$A$28:$B$345,2,FALSE)</f>
        <v>527</v>
      </c>
      <c r="BJ217" s="269">
        <f>BB217*VLOOKUP($B217,'Major Cities &amp; Towns'!$A$28:$B$345,2,FALSE)</f>
        <v>483</v>
      </c>
      <c r="BK217" s="269">
        <f>BC217*VLOOKUP($B217,'Major Cities &amp; Towns'!$A$28:$B$345,2,FALSE)</f>
        <v>479</v>
      </c>
      <c r="BL217" s="269">
        <f>BD217*VLOOKUP($B217,'Major Cities &amp; Towns'!$A$28:$B$345,2,FALSE)</f>
        <v>473</v>
      </c>
      <c r="BM217" s="269">
        <f>BE217*VLOOKUP($B217,'Major Cities &amp; Towns'!$A$28:$B$345,2,FALSE)</f>
        <v>468</v>
      </c>
      <c r="BN217" s="269">
        <f>BF217*VLOOKUP($B217,'Major Cities &amp; Towns'!$A$28:$B$345,2,FALSE)</f>
        <v>467</v>
      </c>
      <c r="BO217" s="270">
        <f t="shared" si="179"/>
        <v>511</v>
      </c>
      <c r="BP217" s="270">
        <f t="shared" si="195"/>
        <v>533</v>
      </c>
      <c r="BQ217" s="270">
        <f t="shared" si="195"/>
        <v>527</v>
      </c>
      <c r="BR217" s="270">
        <f t="shared" si="195"/>
        <v>483</v>
      </c>
      <c r="BS217" s="270">
        <f t="shared" si="195"/>
        <v>479</v>
      </c>
      <c r="BT217" s="270">
        <f t="shared" si="195"/>
        <v>473</v>
      </c>
      <c r="BU217" s="270">
        <f t="shared" si="195"/>
        <v>468</v>
      </c>
      <c r="BV217" s="270">
        <f t="shared" si="195"/>
        <v>467</v>
      </c>
      <c r="BW217" s="39">
        <f>VLOOKUP($A217,NetAdditions!$A$2:$H$336,6,FALSE)</f>
        <v>939</v>
      </c>
      <c r="BX217" s="39">
        <f>VLOOKUP($A217,NetAdditions!$A$2:$H$336,7,FALSE)</f>
        <v>871</v>
      </c>
      <c r="BY217" s="39">
        <f>IF((VLOOKUP($C217,NetAdditions!$A$2:$H$336,8,FALSE))="",(AVERAGE(VLOOKUP($C217,NetAdditions!$A$2:$H$336,5,FALSE),VLOOKUP($C217,NetAdditions!$A$2:$H$336,6,FALSE),VLOOKUP($C217,NetAdditions!$A$2:$H$336,7,FALSE))),VLOOKUP($C217,NetAdditions!$A$2:$H$336,8,FALSE))</f>
        <v>832</v>
      </c>
      <c r="BZ217" s="39">
        <f t="shared" si="150"/>
        <v>880.66666666666663</v>
      </c>
      <c r="CA217" s="39">
        <f t="shared" si="150"/>
        <v>861.22222222222217</v>
      </c>
      <c r="CB217" s="39">
        <f t="shared" si="150"/>
        <v>857.96296296296293</v>
      </c>
      <c r="CC217" s="39">
        <f t="shared" si="150"/>
        <v>866.61728395061721</v>
      </c>
      <c r="CD217" s="39">
        <f t="shared" si="150"/>
        <v>861.93415637860073</v>
      </c>
      <c r="CE217" s="276">
        <f t="shared" si="155"/>
        <v>1571</v>
      </c>
      <c r="CF217" s="276">
        <f t="shared" si="156"/>
        <v>1543</v>
      </c>
      <c r="CG217" s="276">
        <f t="shared" si="157"/>
        <v>1489</v>
      </c>
      <c r="CH217" s="276">
        <f t="shared" si="158"/>
        <v>1435</v>
      </c>
      <c r="CI217" s="276">
        <f t="shared" si="159"/>
        <v>1420</v>
      </c>
      <c r="CJ217" s="276">
        <f t="shared" si="160"/>
        <v>1408</v>
      </c>
      <c r="CK217" s="276">
        <f t="shared" si="180"/>
        <v>1352.8055555555557</v>
      </c>
      <c r="CL217" s="276">
        <f t="shared" si="181"/>
        <v>1328.6944444444446</v>
      </c>
      <c r="CM217" s="276">
        <f t="shared" si="182"/>
        <v>1364.9166666666665</v>
      </c>
      <c r="CN217" s="276">
        <f t="shared" si="183"/>
        <v>1435</v>
      </c>
      <c r="CO217" s="276">
        <f t="shared" si="183"/>
        <v>1420</v>
      </c>
      <c r="CP217" s="276">
        <f t="shared" si="183"/>
        <v>1408</v>
      </c>
      <c r="CQ217" s="39">
        <f t="shared" si="161"/>
        <v>2642</v>
      </c>
      <c r="CR217" s="39">
        <f t="shared" si="162"/>
        <v>2583.6666666666665</v>
      </c>
      <c r="CS217" s="277">
        <f t="shared" si="163"/>
        <v>2573.8888888888887</v>
      </c>
      <c r="CT217" s="39">
        <f t="shared" si="164"/>
        <v>2599.8518518518517</v>
      </c>
      <c r="CU217" s="39">
        <f t="shared" si="165"/>
        <v>2585.8024691358023</v>
      </c>
      <c r="CV217" s="39">
        <f t="shared" si="166"/>
        <v>2586.5144032921808</v>
      </c>
      <c r="CW217" s="297">
        <f t="shared" si="167"/>
        <v>1.9529783782673866</v>
      </c>
      <c r="CX217" s="279" t="str">
        <f t="shared" si="184"/>
        <v>Pass</v>
      </c>
      <c r="CY217" s="278">
        <f t="shared" si="168"/>
        <v>1.9445152927894964</v>
      </c>
      <c r="CZ217" s="279" t="str">
        <f t="shared" si="185"/>
        <v>Pass</v>
      </c>
      <c r="DA217" s="278">
        <f t="shared" si="169"/>
        <v>1.8857480106640618</v>
      </c>
      <c r="DB217" s="292" t="str">
        <f t="shared" si="186"/>
        <v>Pass</v>
      </c>
      <c r="DC217" s="299">
        <f t="shared" si="187"/>
        <v>1.8117434507678409</v>
      </c>
      <c r="DD217" s="293" t="str">
        <f t="shared" si="188"/>
        <v>Pass</v>
      </c>
      <c r="DE217" s="299">
        <f t="shared" si="189"/>
        <v>1.8209876543209875</v>
      </c>
      <c r="DF217" s="293" t="str">
        <f t="shared" si="190"/>
        <v>Pass</v>
      </c>
      <c r="DG217" s="299">
        <f t="shared" si="191"/>
        <v>1.8370130705200147</v>
      </c>
      <c r="DH217" s="293" t="str">
        <f t="shared" si="192"/>
        <v>Pass</v>
      </c>
    </row>
    <row r="218" spans="1:112" ht="15" thickTop="1" thickBot="1">
      <c r="A218" s="38" t="s">
        <v>546</v>
      </c>
      <c r="B218" s="38" t="s">
        <v>547</v>
      </c>
      <c r="C218" s="38" t="s">
        <v>546</v>
      </c>
      <c r="D218" s="38" t="s">
        <v>113</v>
      </c>
      <c r="E218" s="38" t="str">
        <f>VLOOKUP(C218,PoliticalControl!A:K,11,FALSE)</f>
        <v>CON</v>
      </c>
      <c r="F218" s="38" t="str">
        <f>VLOOKUP(C218,UrbanRuralClassification!A:N,13,FALSE)</f>
        <v>Urban with Major Conurbation</v>
      </c>
      <c r="G218" s="38" t="str">
        <f>VLOOKUP(C218,UrbanRuralClassification!A:N,14,FALSE)</f>
        <v>Predominantly Urban</v>
      </c>
      <c r="H218" s="258">
        <f>IF(ISBLANK((VLOOKUP($A218,'local-plan-data'!$C$1:$AD$566,27,FALSE)))=TRUE,"",VLOOKUP($A218,'local-plan-data'!$C$1:$AD$566,27,FALSE))</f>
        <v>44028</v>
      </c>
      <c r="I218" s="259">
        <f>VLOOKUP($A218,'local-plan-data'!$C$1:$AD$566,28,FALSE)</f>
        <v>500.46666666666664</v>
      </c>
      <c r="J218" s="260">
        <f t="shared" si="170"/>
        <v>500.46666666666664</v>
      </c>
      <c r="K218" s="259">
        <f t="shared" si="193"/>
        <v>500.46666666666664</v>
      </c>
      <c r="L218" s="259">
        <f t="shared" si="153"/>
        <v>500.46666666666664</v>
      </c>
      <c r="M218" s="259">
        <f t="shared" si="153"/>
        <v>500.46666666666664</v>
      </c>
      <c r="N218" s="259">
        <f t="shared" si="153"/>
        <v>500.46666666666664</v>
      </c>
      <c r="O218" s="259">
        <f t="shared" si="153"/>
        <v>500.46666666666664</v>
      </c>
      <c r="P218" s="259">
        <f t="shared" si="153"/>
        <v>500.46666666666664</v>
      </c>
      <c r="Q218" s="259">
        <f t="shared" si="153"/>
        <v>500.46666666666664</v>
      </c>
      <c r="R218" s="259">
        <f t="shared" si="153"/>
        <v>500.46666666666664</v>
      </c>
      <c r="S218" s="259">
        <f t="shared" si="194"/>
        <v>2663</v>
      </c>
      <c r="T218" s="259">
        <f t="shared" si="154"/>
        <v>2298</v>
      </c>
      <c r="U218" s="259">
        <f t="shared" si="154"/>
        <v>1932</v>
      </c>
      <c r="V218" s="259">
        <f t="shared" si="154"/>
        <v>1567</v>
      </c>
      <c r="W218" s="259">
        <f t="shared" si="154"/>
        <v>1202</v>
      </c>
      <c r="X218" s="259">
        <f t="shared" si="154"/>
        <v>837</v>
      </c>
      <c r="Y218" s="259">
        <f t="shared" si="154"/>
        <v>471</v>
      </c>
      <c r="Z218" s="259">
        <f t="shared" si="154"/>
        <v>106</v>
      </c>
      <c r="AA218" s="267">
        <f>(VLOOKUP(A218,Hshldprojections2014!$A$2:$AW$319,40, FALSE)-VLOOKUP(A218,Hshldprojections2014!$A$2:$AW$319,30, FALSE))/10</f>
        <v>391.6</v>
      </c>
      <c r="AB218" s="267">
        <f>(VLOOKUP(A218,Hshldprojections2014!$A$2:$AW$319,41, FALSE)-VLOOKUP(A218,Hshldprojections2014!$A$2:$AW$319,31, FALSE))/10</f>
        <v>389.1</v>
      </c>
      <c r="AC218" s="267">
        <f>(VLOOKUP(A218,Hshldprojections2014!$A$2:$AW$319,42, FALSE)-VLOOKUP(A218,Hshldprojections2014!$A$2:$AW$319,32, FALSE))/10</f>
        <v>388.9</v>
      </c>
      <c r="AD218" s="267">
        <f>IF(IndividualLATest!$J$7=2014,(VLOOKUP($A218,Hshldprojections2014!$A$2:$AY$326,43,FALSE)-VLOOKUP($A218,Hshldprojections2014!$A$2:$AY$326,33,FALSE))/10,IF(IndividualLATest!$J$7=2016,(VLOOKUP($A218,Hshldprojections2016!$A$1:$AQ$322,33,FALSE)-VLOOKUP($A218,Hshldprojections2016!$A$1:$AQ$322,23,FALSE))/10,(VLOOKUP($A218,Hshldprojections2018!$A$1:$AQ$327,33,FALSE)-VLOOKUP($A218,Hshldprojections2018!$A$1:$AQ$327,23,FALSE))/10))</f>
        <v>107.5</v>
      </c>
      <c r="AE218" s="267">
        <f>IF(IndividualLATest!$J$7=2014,(VLOOKUP($A218,Hshldprojections2014!$A$2:$AY$326,44,FALSE)-VLOOKUP($A218,Hshldprojections2014!$A$2:$AY$326,34,FALSE))/10,IF(IndividualLATest!$J$7=2016,(VLOOKUP($A218,Hshldprojections2016!$A$1:$AQ$322,34,FALSE)-VLOOKUP($A218,Hshldprojections2016!$A$1:$AQ$322,24,FALSE))/10,(VLOOKUP($A218,Hshldprojections2018!$A$1:$AQ$327,34,FALSE)-VLOOKUP($A218,Hshldprojections2018!$A$1:$AQ$327,24,FALSE))/10))</f>
        <v>109.9</v>
      </c>
      <c r="AF218" s="267">
        <f>IF(IndividualLATest!$J$7=2014,(VLOOKUP($A218,Hshldprojections2014!$A$2:$AY$326,45,FALSE)-VLOOKUP($A218,Hshldprojections2014!$A$2:$AY$326,35,FALSE))/10,IF(IndividualLATest!$J$7=2016,(VLOOKUP($A218,Hshldprojections2016!$A$1:$AQ$322,35,FALSE)-VLOOKUP($A218,Hshldprojections2016!$A$1:$AQ$322,25,FALSE))/10,(VLOOKUP($A218,Hshldprojections2018!$A$1:$AQ$327,35,FALSE)-VLOOKUP($A218,Hshldprojections2018!$A$1:$AQ$327,25,FALSE))/10))</f>
        <v>110.4</v>
      </c>
      <c r="AG218" s="267">
        <f>IF(IndividualLATest!$J$7=2014,(VLOOKUP($A218,Hshldprojections2014!$A$2:$AY$326,46,FALSE)-VLOOKUP($A218,Hshldprojections2014!$A$2:$AY$326,36,FALSE))/10,IF(IndividualLATest!$J$7=2016,(VLOOKUP($A218,Hshldprojections2016!$A$1:$AQ$322,36,FALSE)-VLOOKUP($A218,Hshldprojections2016!$A$1:$AQ$322,26,FALSE))/10,(VLOOKUP($A218,Hshldprojections2018!$A$1:$AQ$327,36,FALSE)-VLOOKUP($A218,Hshldprojections2018!$A$1:$AQ$327,26,FALSE))/10))</f>
        <v>110.2</v>
      </c>
      <c r="AH218" s="267">
        <f>IF(IndividualLATest!$J$7=2014,(VLOOKUP($A218,Hshldprojections2014!$A$2:$AY$326,47,FALSE)-VLOOKUP($A218,Hshldprojections2014!$A$2:$AY$326,37,FALSE))/10,IF(IndividualLATest!$J$7=2016,(VLOOKUP($A218,Hshldprojections2016!$A$1:$AQ$322,37,FALSE)-VLOOKUP($A218,Hshldprojections2016!$A$1:$AQ$322,27,FALSE))/10,(VLOOKUP($A218,Hshldprojections2018!$A$1:$AQ$327,37,FALSE)-VLOOKUP($A218,Hshldprojections2018!$A$1:$AQ$327,27,FALSE))/10))</f>
        <v>111.4</v>
      </c>
      <c r="AI218" s="268">
        <f>IF(ISNUMBER('Sensitivity Tests'!$C$30),'Sensitivity Tests'!$C$30,VLOOKUP($A218,AffordabilityRatio!$A$2:$I$321,5,FALSE))</f>
        <v>10.78</v>
      </c>
      <c r="AJ218" s="268">
        <f>IF(ISNUMBER('Sensitivity Tests'!$C$30),'Sensitivity Tests'!$C$30,VLOOKUP($A218,AffordabilityRatio!$A$2:$I$321,6,FALSE))</f>
        <v>10.91</v>
      </c>
      <c r="AK218" s="268">
        <f>IF(ISNUMBER('Sensitivity Tests'!$C$30),'Sensitivity Tests'!$C$30,VLOOKUP($A218,AffordabilityRatio!$A$2:$I$321,7,FALSE))</f>
        <v>9.75</v>
      </c>
      <c r="AL218" s="268">
        <f>IF(ISNUMBER('Sensitivity Tests'!$C$30),'Sensitivity Tests'!$C$30,IF((VLOOKUP($A218,AffordabilityRatio!$A$2:$I$321,8,FALSE))="",AK218,VLOOKUP($A218,AffordabilityRatio!$A$2:$I$321,8,FALSE)))</f>
        <v>10.26</v>
      </c>
      <c r="AM218" s="268">
        <f>IF(ISNUMBER('Sensitivity Tests'!$C$30),'Sensitivity Tests'!$C$30,IF((VLOOKUP($A218,AffordabilityRatio!$A$2:$I$321,9,FALSE))="",AL218,VLOOKUP($A218,AffordabilityRatio!$A$2:$I$321,9,FALSE)))</f>
        <v>10.39</v>
      </c>
      <c r="AN218" s="268">
        <f>IF(ISNUMBER('Sensitivity Tests'!$C$30),'Sensitivity Tests'!$C$30,IF((VLOOKUP($A218,AffordabilityRatio!$A$2:$I$321,9,FALSE))="",AM218,VLOOKUP($A218,AffordabilityRatio!$A$2:$I$321,9,FALSE)))</f>
        <v>10.39</v>
      </c>
      <c r="AO218" s="268">
        <f>IF(ISNUMBER('Sensitivity Tests'!$C$30),'Sensitivity Tests'!$C$30,IF((VLOOKUP($A218,AffordabilityRatio!$A$2:$I$321,9,FALSE))="",AN218,VLOOKUP($A218,AffordabilityRatio!$A$2:$I$321,9,FALSE)))</f>
        <v>10.39</v>
      </c>
      <c r="AP218" s="268">
        <f>IF(ISNUMBER('Sensitivity Tests'!$C$30),'Sensitivity Tests'!$C$30,IF((VLOOKUP($A218,AffordabilityRatio!$A$2:$I$321,9,FALSE))="",AO218,VLOOKUP($A218,AffordabilityRatio!$A$2:$I$321,9,FALSE)))</f>
        <v>10.39</v>
      </c>
      <c r="AQ218" s="267">
        <f t="shared" si="152"/>
        <v>558</v>
      </c>
      <c r="AR218" s="267">
        <f t="shared" si="152"/>
        <v>557</v>
      </c>
      <c r="AS218" s="267">
        <f t="shared" si="152"/>
        <v>529</v>
      </c>
      <c r="AT218" s="267">
        <f t="shared" si="152"/>
        <v>150</v>
      </c>
      <c r="AU218" s="267">
        <f t="shared" si="152"/>
        <v>154</v>
      </c>
      <c r="AV218" s="267">
        <f t="shared" si="151"/>
        <v>154</v>
      </c>
      <c r="AW218" s="267">
        <f t="shared" si="151"/>
        <v>154</v>
      </c>
      <c r="AX218" s="267">
        <f t="shared" si="151"/>
        <v>156</v>
      </c>
      <c r="AY218" s="267">
        <f t="shared" si="171"/>
        <v>558</v>
      </c>
      <c r="AZ218" s="267">
        <f t="shared" si="172"/>
        <v>557</v>
      </c>
      <c r="BA218" s="267">
        <f t="shared" si="173"/>
        <v>529</v>
      </c>
      <c r="BB218" s="267">
        <f t="shared" si="174"/>
        <v>150</v>
      </c>
      <c r="BC218" s="267">
        <f t="shared" si="175"/>
        <v>154</v>
      </c>
      <c r="BD218" s="267">
        <f t="shared" si="176"/>
        <v>154</v>
      </c>
      <c r="BE218" s="267">
        <f t="shared" si="177"/>
        <v>154</v>
      </c>
      <c r="BF218" s="267">
        <f t="shared" si="178"/>
        <v>156</v>
      </c>
      <c r="BG218" s="269">
        <f>AY218*VLOOKUP($B218,'Major Cities &amp; Towns'!$A$28:$B$345,2,FALSE)</f>
        <v>558</v>
      </c>
      <c r="BH218" s="269">
        <f>AZ218*VLOOKUP($B218,'Major Cities &amp; Towns'!$A$28:$B$345,2,FALSE)</f>
        <v>557</v>
      </c>
      <c r="BI218" s="269">
        <f>BA218*VLOOKUP($B218,'Major Cities &amp; Towns'!$A$28:$B$345,2,FALSE)</f>
        <v>529</v>
      </c>
      <c r="BJ218" s="269">
        <f>BB218*VLOOKUP($B218,'Major Cities &amp; Towns'!$A$28:$B$345,2,FALSE)</f>
        <v>150</v>
      </c>
      <c r="BK218" s="269">
        <f>BC218*VLOOKUP($B218,'Major Cities &amp; Towns'!$A$28:$B$345,2,FALSE)</f>
        <v>154</v>
      </c>
      <c r="BL218" s="269">
        <f>BD218*VLOOKUP($B218,'Major Cities &amp; Towns'!$A$28:$B$345,2,FALSE)</f>
        <v>154</v>
      </c>
      <c r="BM218" s="269">
        <f>BE218*VLOOKUP($B218,'Major Cities &amp; Towns'!$A$28:$B$345,2,FALSE)</f>
        <v>154</v>
      </c>
      <c r="BN218" s="269">
        <f>BF218*VLOOKUP($B218,'Major Cities &amp; Towns'!$A$28:$B$345,2,FALSE)</f>
        <v>156</v>
      </c>
      <c r="BO218" s="270">
        <f t="shared" si="179"/>
        <v>500.46666666666664</v>
      </c>
      <c r="BP218" s="270">
        <f t="shared" si="195"/>
        <v>500.46666666666664</v>
      </c>
      <c r="BQ218" s="270">
        <f t="shared" si="195"/>
        <v>500.46666666666664</v>
      </c>
      <c r="BR218" s="270">
        <f t="shared" si="195"/>
        <v>150</v>
      </c>
      <c r="BS218" s="270">
        <f t="shared" si="195"/>
        <v>154</v>
      </c>
      <c r="BT218" s="270">
        <f t="shared" si="195"/>
        <v>154</v>
      </c>
      <c r="BU218" s="270">
        <f t="shared" si="195"/>
        <v>154</v>
      </c>
      <c r="BV218" s="270">
        <f t="shared" si="195"/>
        <v>156</v>
      </c>
      <c r="BW218" s="39">
        <f>VLOOKUP($A218,NetAdditions!$A$2:$H$336,6,FALSE)</f>
        <v>428</v>
      </c>
      <c r="BX218" s="39">
        <f>VLOOKUP($A218,NetAdditions!$A$2:$H$336,7,FALSE)</f>
        <v>297</v>
      </c>
      <c r="BY218" s="39">
        <f>IF((VLOOKUP($C218,NetAdditions!$A$2:$H$336,8,FALSE))="",(AVERAGE(VLOOKUP($C218,NetAdditions!$A$2:$H$336,5,FALSE),VLOOKUP($C218,NetAdditions!$A$2:$H$336,6,FALSE),VLOOKUP($C218,NetAdditions!$A$2:$H$336,7,FALSE))),VLOOKUP($C218,NetAdditions!$A$2:$H$336,8,FALSE))</f>
        <v>269</v>
      </c>
      <c r="BZ218" s="39">
        <f t="shared" si="150"/>
        <v>331.33333333333331</v>
      </c>
      <c r="CA218" s="39">
        <f t="shared" si="150"/>
        <v>299.11111111111109</v>
      </c>
      <c r="CB218" s="39">
        <f t="shared" si="150"/>
        <v>299.81481481481478</v>
      </c>
      <c r="CC218" s="39">
        <f t="shared" si="150"/>
        <v>310.08641975308637</v>
      </c>
      <c r="CD218" s="39">
        <f t="shared" si="150"/>
        <v>303.00411522633743</v>
      </c>
      <c r="CE218" s="276">
        <f t="shared" si="155"/>
        <v>1501.3999999999999</v>
      </c>
      <c r="CF218" s="276">
        <f t="shared" si="156"/>
        <v>1150.9333333333334</v>
      </c>
      <c r="CG218" s="276">
        <f t="shared" si="157"/>
        <v>804.4666666666667</v>
      </c>
      <c r="CH218" s="276">
        <f t="shared" si="158"/>
        <v>458</v>
      </c>
      <c r="CI218" s="276">
        <f t="shared" si="159"/>
        <v>462</v>
      </c>
      <c r="CJ218" s="276">
        <f t="shared" si="160"/>
        <v>464</v>
      </c>
      <c r="CK218" s="276">
        <f t="shared" si="180"/>
        <v>1292.8722222222223</v>
      </c>
      <c r="CL218" s="276">
        <f t="shared" si="181"/>
        <v>991.08148148148155</v>
      </c>
      <c r="CM218" s="276">
        <f t="shared" si="182"/>
        <v>737.42777777777781</v>
      </c>
      <c r="CN218" s="276">
        <f t="shared" si="183"/>
        <v>458</v>
      </c>
      <c r="CO218" s="276">
        <f t="shared" si="183"/>
        <v>462</v>
      </c>
      <c r="CP218" s="276">
        <f t="shared" si="183"/>
        <v>464</v>
      </c>
      <c r="CQ218" s="39">
        <f t="shared" si="161"/>
        <v>994</v>
      </c>
      <c r="CR218" s="39">
        <f t="shared" si="162"/>
        <v>897.33333333333326</v>
      </c>
      <c r="CS218" s="277">
        <f t="shared" si="163"/>
        <v>899.44444444444434</v>
      </c>
      <c r="CT218" s="39">
        <f t="shared" si="164"/>
        <v>930.25925925925912</v>
      </c>
      <c r="CU218" s="39">
        <f t="shared" si="165"/>
        <v>909.01234567901224</v>
      </c>
      <c r="CV218" s="39">
        <f t="shared" si="166"/>
        <v>912.90534979423865</v>
      </c>
      <c r="CW218" s="297">
        <f t="shared" si="167"/>
        <v>0.76883081167254641</v>
      </c>
      <c r="CX218" s="279" t="str">
        <f t="shared" si="184"/>
        <v>Buffer and Action Plan</v>
      </c>
      <c r="CY218" s="278">
        <f t="shared" si="168"/>
        <v>0.90540823342999777</v>
      </c>
      <c r="CZ218" s="279" t="str">
        <f t="shared" si="185"/>
        <v>Action Plan</v>
      </c>
      <c r="DA218" s="278">
        <f t="shared" si="169"/>
        <v>1.2197051311992886</v>
      </c>
      <c r="DB218" s="292" t="str">
        <f t="shared" si="186"/>
        <v>Pass</v>
      </c>
      <c r="DC218" s="299">
        <f t="shared" si="187"/>
        <v>2.0311337538411771</v>
      </c>
      <c r="DD218" s="293" t="str">
        <f t="shared" si="188"/>
        <v>Pass</v>
      </c>
      <c r="DE218" s="299">
        <f t="shared" si="189"/>
        <v>1.9675591897814118</v>
      </c>
      <c r="DF218" s="293" t="str">
        <f t="shared" si="190"/>
        <v>Pass</v>
      </c>
      <c r="DG218" s="299">
        <f t="shared" si="191"/>
        <v>1.9674684262806867</v>
      </c>
      <c r="DH218" s="293" t="str">
        <f t="shared" si="192"/>
        <v>Pass</v>
      </c>
    </row>
    <row r="219" spans="1:112" ht="15" thickTop="1" thickBot="1">
      <c r="A219" s="38" t="s">
        <v>548</v>
      </c>
      <c r="B219" s="38" t="s">
        <v>549</v>
      </c>
      <c r="C219" s="38" t="s">
        <v>548</v>
      </c>
      <c r="D219" s="38" t="s">
        <v>119</v>
      </c>
      <c r="E219" s="38" t="str">
        <f>VLOOKUP(C219,PoliticalControl!A:K,11,FALSE)</f>
        <v>CON</v>
      </c>
      <c r="F219" s="38" t="str">
        <f>VLOOKUP(C219,UrbanRuralClassification!A:N,13,FALSE)</f>
        <v xml:space="preserve">Largely Rural (rural including hub towns 50-79%) </v>
      </c>
      <c r="G219" s="38" t="str">
        <f>VLOOKUP(C219,UrbanRuralClassification!A:N,14,FALSE)</f>
        <v>Predominantly Rural</v>
      </c>
      <c r="H219" s="258">
        <f>IF(ISBLANK((VLOOKUP($A219,'local-plan-data'!$C$1:$AD$566,27,FALSE)))=TRUE,"",VLOOKUP($A219,'local-plan-data'!$C$1:$AD$566,27,FALSE))</f>
        <v>41995</v>
      </c>
      <c r="I219" s="259">
        <f>VLOOKUP($A219,'local-plan-data'!$C$1:$AD$566,28,FALSE)</f>
        <v>773.52941176470586</v>
      </c>
      <c r="J219" s="260">
        <f t="shared" si="170"/>
        <v>773.52941176470586</v>
      </c>
      <c r="K219" s="259">
        <f t="shared" si="193"/>
        <v>773.52941176470586</v>
      </c>
      <c r="L219" s="259">
        <f t="shared" si="153"/>
        <v>773.52941176470586</v>
      </c>
      <c r="M219" s="259" t="str">
        <f t="shared" si="153"/>
        <v>-</v>
      </c>
      <c r="N219" s="259" t="str">
        <f t="shared" si="153"/>
        <v>-</v>
      </c>
      <c r="O219" s="259" t="str">
        <f t="shared" si="153"/>
        <v>-</v>
      </c>
      <c r="P219" s="259" t="str">
        <f t="shared" si="153"/>
        <v>-</v>
      </c>
      <c r="Q219" s="259" t="str">
        <f t="shared" si="153"/>
        <v>-</v>
      </c>
      <c r="R219" s="259" t="str">
        <f t="shared" si="153"/>
        <v>-</v>
      </c>
      <c r="S219" s="259">
        <f t="shared" si="194"/>
        <v>630</v>
      </c>
      <c r="T219" s="259">
        <f t="shared" si="154"/>
        <v>265</v>
      </c>
      <c r="U219" s="259">
        <f t="shared" si="154"/>
        <v>-101</v>
      </c>
      <c r="V219" s="259">
        <f t="shared" si="154"/>
        <v>-466</v>
      </c>
      <c r="W219" s="259">
        <f t="shared" si="154"/>
        <v>-831</v>
      </c>
      <c r="X219" s="259">
        <f t="shared" si="154"/>
        <v>-1196</v>
      </c>
      <c r="Y219" s="259">
        <f t="shared" si="154"/>
        <v>-1562</v>
      </c>
      <c r="Z219" s="259">
        <f t="shared" si="154"/>
        <v>-1927</v>
      </c>
      <c r="AA219" s="267">
        <f>(VLOOKUP(A219,Hshldprojections2014!$A$2:$AW$319,40, FALSE)-VLOOKUP(A219,Hshldprojections2014!$A$2:$AW$319,30, FALSE))/10</f>
        <v>454.6</v>
      </c>
      <c r="AB219" s="267">
        <f>(VLOOKUP(A219,Hshldprojections2014!$A$2:$AW$319,41, FALSE)-VLOOKUP(A219,Hshldprojections2014!$A$2:$AW$319,31, FALSE))/10</f>
        <v>452.6</v>
      </c>
      <c r="AC219" s="267">
        <f>(VLOOKUP(A219,Hshldprojections2014!$A$2:$AW$319,42, FALSE)-VLOOKUP(A219,Hshldprojections2014!$A$2:$AW$319,32, FALSE))/10</f>
        <v>450.6</v>
      </c>
      <c r="AD219" s="267">
        <f>IF(IndividualLATest!$J$7=2014,(VLOOKUP($A219,Hshldprojections2014!$A$2:$AY$326,43,FALSE)-VLOOKUP($A219,Hshldprojections2014!$A$2:$AY$326,33,FALSE))/10,IF(IndividualLATest!$J$7=2016,(VLOOKUP($A219,Hshldprojections2016!$A$1:$AQ$322,33,FALSE)-VLOOKUP($A219,Hshldprojections2016!$A$1:$AQ$322,23,FALSE))/10,(VLOOKUP($A219,Hshldprojections2018!$A$1:$AQ$327,33,FALSE)-VLOOKUP($A219,Hshldprojections2018!$A$1:$AQ$327,23,FALSE))/10))</f>
        <v>543.29999999999995</v>
      </c>
      <c r="AE219" s="267">
        <f>IF(IndividualLATest!$J$7=2014,(VLOOKUP($A219,Hshldprojections2014!$A$2:$AY$326,44,FALSE)-VLOOKUP($A219,Hshldprojections2014!$A$2:$AY$326,34,FALSE))/10,IF(IndividualLATest!$J$7=2016,(VLOOKUP($A219,Hshldprojections2016!$A$1:$AQ$322,34,FALSE)-VLOOKUP($A219,Hshldprojections2016!$A$1:$AQ$322,24,FALSE))/10,(VLOOKUP($A219,Hshldprojections2018!$A$1:$AQ$327,34,FALSE)-VLOOKUP($A219,Hshldprojections2018!$A$1:$AQ$327,24,FALSE))/10))</f>
        <v>529.1</v>
      </c>
      <c r="AF219" s="267">
        <f>IF(IndividualLATest!$J$7=2014,(VLOOKUP($A219,Hshldprojections2014!$A$2:$AY$326,45,FALSE)-VLOOKUP($A219,Hshldprojections2014!$A$2:$AY$326,35,FALSE))/10,IF(IndividualLATest!$J$7=2016,(VLOOKUP($A219,Hshldprojections2016!$A$1:$AQ$322,35,FALSE)-VLOOKUP($A219,Hshldprojections2016!$A$1:$AQ$322,25,FALSE))/10,(VLOOKUP($A219,Hshldprojections2018!$A$1:$AQ$327,35,FALSE)-VLOOKUP($A219,Hshldprojections2018!$A$1:$AQ$327,25,FALSE))/10))</f>
        <v>518.70000000000005</v>
      </c>
      <c r="AG219" s="267">
        <f>IF(IndividualLATest!$J$7=2014,(VLOOKUP($A219,Hshldprojections2014!$A$2:$AY$326,46,FALSE)-VLOOKUP($A219,Hshldprojections2014!$A$2:$AY$326,36,FALSE))/10,IF(IndividualLATest!$J$7=2016,(VLOOKUP($A219,Hshldprojections2016!$A$1:$AQ$322,36,FALSE)-VLOOKUP($A219,Hshldprojections2016!$A$1:$AQ$322,26,FALSE))/10,(VLOOKUP($A219,Hshldprojections2018!$A$1:$AQ$327,36,FALSE)-VLOOKUP($A219,Hshldprojections2018!$A$1:$AQ$327,26,FALSE))/10))</f>
        <v>506.5</v>
      </c>
      <c r="AH219" s="267">
        <f>IF(IndividualLATest!$J$7=2014,(VLOOKUP($A219,Hshldprojections2014!$A$2:$AY$326,47,FALSE)-VLOOKUP($A219,Hshldprojections2014!$A$2:$AY$326,37,FALSE))/10,IF(IndividualLATest!$J$7=2016,(VLOOKUP($A219,Hshldprojections2016!$A$1:$AQ$322,37,FALSE)-VLOOKUP($A219,Hshldprojections2016!$A$1:$AQ$322,27,FALSE))/10,(VLOOKUP($A219,Hshldprojections2018!$A$1:$AQ$327,37,FALSE)-VLOOKUP($A219,Hshldprojections2018!$A$1:$AQ$327,27,FALSE))/10))</f>
        <v>495.8</v>
      </c>
      <c r="AI219" s="268">
        <f>IF(ISNUMBER('Sensitivity Tests'!$C$30),'Sensitivity Tests'!$C$30,VLOOKUP($A219,AffordabilityRatio!$A$2:$I$321,5,FALSE))</f>
        <v>9.94</v>
      </c>
      <c r="AJ219" s="268">
        <f>IF(ISNUMBER('Sensitivity Tests'!$C$30),'Sensitivity Tests'!$C$30,VLOOKUP($A219,AffordabilityRatio!$A$2:$I$321,6,FALSE))</f>
        <v>8.98</v>
      </c>
      <c r="AK219" s="268">
        <f>IF(ISNUMBER('Sensitivity Tests'!$C$30),'Sensitivity Tests'!$C$30,VLOOKUP($A219,AffordabilityRatio!$A$2:$I$321,7,FALSE))</f>
        <v>9.2200000000000006</v>
      </c>
      <c r="AL219" s="268">
        <f>IF(ISNUMBER('Sensitivity Tests'!$C$30),'Sensitivity Tests'!$C$30,IF((VLOOKUP($A219,AffordabilityRatio!$A$2:$I$321,8,FALSE))="",AK219,VLOOKUP($A219,AffordabilityRatio!$A$2:$I$321,8,FALSE)))</f>
        <v>9.43</v>
      </c>
      <c r="AM219" s="268">
        <f>IF(ISNUMBER('Sensitivity Tests'!$C$30),'Sensitivity Tests'!$C$30,IF((VLOOKUP($A219,AffordabilityRatio!$A$2:$I$321,9,FALSE))="",AL219,VLOOKUP($A219,AffordabilityRatio!$A$2:$I$321,9,FALSE)))</f>
        <v>10.31</v>
      </c>
      <c r="AN219" s="268">
        <f>IF(ISNUMBER('Sensitivity Tests'!$C$30),'Sensitivity Tests'!$C$30,IF((VLOOKUP($A219,AffordabilityRatio!$A$2:$I$321,9,FALSE))="",AM219,VLOOKUP($A219,AffordabilityRatio!$A$2:$I$321,9,FALSE)))</f>
        <v>10.31</v>
      </c>
      <c r="AO219" s="268">
        <f>IF(ISNUMBER('Sensitivity Tests'!$C$30),'Sensitivity Tests'!$C$30,IF((VLOOKUP($A219,AffordabilityRatio!$A$2:$I$321,9,FALSE))="",AN219,VLOOKUP($A219,AffordabilityRatio!$A$2:$I$321,9,FALSE)))</f>
        <v>10.31</v>
      </c>
      <c r="AP219" s="268">
        <f>IF(ISNUMBER('Sensitivity Tests'!$C$30),'Sensitivity Tests'!$C$30,IF((VLOOKUP($A219,AffordabilityRatio!$A$2:$I$321,9,FALSE))="",AO219,VLOOKUP($A219,AffordabilityRatio!$A$2:$I$321,9,FALSE)))</f>
        <v>10.31</v>
      </c>
      <c r="AQ219" s="267">
        <f t="shared" si="152"/>
        <v>623</v>
      </c>
      <c r="AR219" s="267">
        <f t="shared" si="152"/>
        <v>593</v>
      </c>
      <c r="AS219" s="267">
        <f t="shared" si="152"/>
        <v>598</v>
      </c>
      <c r="AT219" s="267">
        <f t="shared" si="152"/>
        <v>728</v>
      </c>
      <c r="AU219" s="267">
        <f t="shared" si="152"/>
        <v>738</v>
      </c>
      <c r="AV219" s="267">
        <f t="shared" si="151"/>
        <v>723</v>
      </c>
      <c r="AW219" s="267">
        <f t="shared" si="151"/>
        <v>706</v>
      </c>
      <c r="AX219" s="267">
        <f t="shared" si="151"/>
        <v>691</v>
      </c>
      <c r="AY219" s="267">
        <f t="shared" si="171"/>
        <v>623</v>
      </c>
      <c r="AZ219" s="267">
        <f t="shared" si="172"/>
        <v>593</v>
      </c>
      <c r="BA219" s="267">
        <f t="shared" si="173"/>
        <v>598</v>
      </c>
      <c r="BB219" s="267">
        <f t="shared" si="174"/>
        <v>728</v>
      </c>
      <c r="BC219" s="267">
        <f t="shared" si="175"/>
        <v>738</v>
      </c>
      <c r="BD219" s="267">
        <f t="shared" si="176"/>
        <v>723</v>
      </c>
      <c r="BE219" s="267">
        <f t="shared" si="177"/>
        <v>706</v>
      </c>
      <c r="BF219" s="267">
        <f t="shared" si="178"/>
        <v>691</v>
      </c>
      <c r="BG219" s="269">
        <f>AY219*VLOOKUP($B219,'Major Cities &amp; Towns'!$A$28:$B$345,2,FALSE)</f>
        <v>623</v>
      </c>
      <c r="BH219" s="269">
        <f>AZ219*VLOOKUP($B219,'Major Cities &amp; Towns'!$A$28:$B$345,2,FALSE)</f>
        <v>593</v>
      </c>
      <c r="BI219" s="269">
        <f>BA219*VLOOKUP($B219,'Major Cities &amp; Towns'!$A$28:$B$345,2,FALSE)</f>
        <v>598</v>
      </c>
      <c r="BJ219" s="269">
        <f>BB219*VLOOKUP($B219,'Major Cities &amp; Towns'!$A$28:$B$345,2,FALSE)</f>
        <v>728</v>
      </c>
      <c r="BK219" s="269">
        <f>BC219*VLOOKUP($B219,'Major Cities &amp; Towns'!$A$28:$B$345,2,FALSE)</f>
        <v>738</v>
      </c>
      <c r="BL219" s="269">
        <f>BD219*VLOOKUP($B219,'Major Cities &amp; Towns'!$A$28:$B$345,2,FALSE)</f>
        <v>723</v>
      </c>
      <c r="BM219" s="269">
        <f>BE219*VLOOKUP($B219,'Major Cities &amp; Towns'!$A$28:$B$345,2,FALSE)</f>
        <v>706</v>
      </c>
      <c r="BN219" s="269">
        <f>BF219*VLOOKUP($B219,'Major Cities &amp; Towns'!$A$28:$B$345,2,FALSE)</f>
        <v>691</v>
      </c>
      <c r="BO219" s="270">
        <f t="shared" si="179"/>
        <v>623</v>
      </c>
      <c r="BP219" s="270">
        <f t="shared" si="195"/>
        <v>593</v>
      </c>
      <c r="BQ219" s="270">
        <f t="shared" si="195"/>
        <v>598</v>
      </c>
      <c r="BR219" s="270">
        <f t="shared" si="195"/>
        <v>728</v>
      </c>
      <c r="BS219" s="270">
        <f t="shared" si="195"/>
        <v>738</v>
      </c>
      <c r="BT219" s="270">
        <f t="shared" si="195"/>
        <v>723</v>
      </c>
      <c r="BU219" s="270">
        <f t="shared" si="195"/>
        <v>706</v>
      </c>
      <c r="BV219" s="270">
        <f t="shared" si="195"/>
        <v>691</v>
      </c>
      <c r="BW219" s="39">
        <f>VLOOKUP($A219,NetAdditions!$A$2:$H$336,6,FALSE)</f>
        <v>763</v>
      </c>
      <c r="BX219" s="39">
        <f>VLOOKUP($A219,NetAdditions!$A$2:$H$336,7,FALSE)</f>
        <v>494</v>
      </c>
      <c r="BY219" s="39">
        <f>IF((VLOOKUP($C219,NetAdditions!$A$2:$H$336,8,FALSE))="",(AVERAGE(VLOOKUP($C219,NetAdditions!$A$2:$H$336,5,FALSE),VLOOKUP($C219,NetAdditions!$A$2:$H$336,6,FALSE),VLOOKUP($C219,NetAdditions!$A$2:$H$336,7,FALSE))),VLOOKUP($C219,NetAdditions!$A$2:$H$336,8,FALSE))</f>
        <v>611</v>
      </c>
      <c r="BZ219" s="39">
        <f t="shared" si="150"/>
        <v>622.66666666666663</v>
      </c>
      <c r="CA219" s="39">
        <f t="shared" si="150"/>
        <v>575.8888888888888</v>
      </c>
      <c r="CB219" s="39">
        <f t="shared" si="150"/>
        <v>603.18518518518511</v>
      </c>
      <c r="CC219" s="39">
        <f t="shared" si="150"/>
        <v>600.58024691358014</v>
      </c>
      <c r="CD219" s="39">
        <f t="shared" si="150"/>
        <v>593.21810699588468</v>
      </c>
      <c r="CE219" s="276">
        <f t="shared" si="155"/>
        <v>1814</v>
      </c>
      <c r="CF219" s="276">
        <f t="shared" si="156"/>
        <v>1919</v>
      </c>
      <c r="CG219" s="276">
        <f t="shared" si="157"/>
        <v>2064</v>
      </c>
      <c r="CH219" s="276">
        <f t="shared" si="158"/>
        <v>2189</v>
      </c>
      <c r="CI219" s="276">
        <f t="shared" si="159"/>
        <v>2167</v>
      </c>
      <c r="CJ219" s="276">
        <f t="shared" si="160"/>
        <v>2120</v>
      </c>
      <c r="CK219" s="276">
        <f t="shared" si="180"/>
        <v>1562.0555555555557</v>
      </c>
      <c r="CL219" s="276">
        <f t="shared" si="181"/>
        <v>1652.4722222222224</v>
      </c>
      <c r="CM219" s="276">
        <f t="shared" si="182"/>
        <v>1892</v>
      </c>
      <c r="CN219" s="276">
        <f t="shared" si="183"/>
        <v>2189</v>
      </c>
      <c r="CO219" s="276">
        <f t="shared" si="183"/>
        <v>2167</v>
      </c>
      <c r="CP219" s="276">
        <f t="shared" si="183"/>
        <v>2120</v>
      </c>
      <c r="CQ219" s="39">
        <f t="shared" si="161"/>
        <v>1868</v>
      </c>
      <c r="CR219" s="39">
        <f t="shared" si="162"/>
        <v>1727.6666666666665</v>
      </c>
      <c r="CS219" s="277">
        <f t="shared" si="163"/>
        <v>1809.5555555555552</v>
      </c>
      <c r="CT219" s="39">
        <f t="shared" si="164"/>
        <v>1801.7407407407404</v>
      </c>
      <c r="CU219" s="39">
        <f t="shared" si="165"/>
        <v>1779.654320987654</v>
      </c>
      <c r="CV219" s="39">
        <f t="shared" si="166"/>
        <v>1796.98353909465</v>
      </c>
      <c r="CW219" s="297">
        <f t="shared" si="167"/>
        <v>1.1958601557776434</v>
      </c>
      <c r="CX219" s="279" t="str">
        <f t="shared" si="184"/>
        <v>Pass</v>
      </c>
      <c r="CY219" s="278">
        <f t="shared" si="168"/>
        <v>1.0455042108625121</v>
      </c>
      <c r="CZ219" s="279" t="str">
        <f t="shared" si="185"/>
        <v>Pass</v>
      </c>
      <c r="DA219" s="278">
        <f t="shared" si="169"/>
        <v>0.95642471223866554</v>
      </c>
      <c r="DB219" s="292" t="str">
        <f t="shared" si="186"/>
        <v>Pass</v>
      </c>
      <c r="DC219" s="299">
        <f t="shared" si="187"/>
        <v>0.82308850650559173</v>
      </c>
      <c r="DD219" s="293" t="str">
        <f t="shared" si="188"/>
        <v>Buffer and Action Plan</v>
      </c>
      <c r="DE219" s="299">
        <f t="shared" si="189"/>
        <v>0.82125257082955883</v>
      </c>
      <c r="DF219" s="293" t="str">
        <f t="shared" si="190"/>
        <v>Buffer and Action Plan</v>
      </c>
      <c r="DG219" s="299">
        <f t="shared" si="191"/>
        <v>0.84763374485596699</v>
      </c>
      <c r="DH219" s="293" t="str">
        <f t="shared" si="192"/>
        <v>Buffer and Action Plan</v>
      </c>
    </row>
    <row r="220" spans="1:112" ht="15" thickTop="1" thickBot="1">
      <c r="A220" s="38" t="s">
        <v>550</v>
      </c>
      <c r="B220" s="38" t="s">
        <v>551</v>
      </c>
      <c r="C220" s="38" t="s">
        <v>550</v>
      </c>
      <c r="D220" s="38" t="s">
        <v>113</v>
      </c>
      <c r="E220" s="38" t="str">
        <f>VLOOKUP(C220,PoliticalControl!A:K,11,FALSE)</f>
        <v>CON</v>
      </c>
      <c r="F220" s="38" t="str">
        <f>VLOOKUP(C220,UrbanRuralClassification!A:N,13,FALSE)</f>
        <v>Urban with City and Town</v>
      </c>
      <c r="G220" s="38" t="str">
        <f>VLOOKUP(C220,UrbanRuralClassification!A:N,14,FALSE)</f>
        <v>Predominantly Urban</v>
      </c>
      <c r="H220" s="258">
        <f>IF(ISBLANK((VLOOKUP($A220,'local-plan-data'!$C$1:$AD$566,27,FALSE)))=TRUE,"",VLOOKUP($A220,'local-plan-data'!$C$1:$AD$566,27,FALSE))</f>
        <v>43517</v>
      </c>
      <c r="I220" s="259">
        <f>VLOOKUP($A220,'local-plan-data'!$C$1:$AD$566,28,FALSE)</f>
        <v>436.11111111111109</v>
      </c>
      <c r="J220" s="260">
        <f t="shared" si="170"/>
        <v>436.11111111111109</v>
      </c>
      <c r="K220" s="259">
        <f t="shared" si="193"/>
        <v>436.11111111111109</v>
      </c>
      <c r="L220" s="259">
        <f t="shared" si="153"/>
        <v>436.11111111111109</v>
      </c>
      <c r="M220" s="259">
        <f t="shared" si="153"/>
        <v>436.11111111111109</v>
      </c>
      <c r="N220" s="259">
        <f t="shared" si="153"/>
        <v>436.11111111111109</v>
      </c>
      <c r="O220" s="259">
        <f t="shared" si="153"/>
        <v>436.11111111111109</v>
      </c>
      <c r="P220" s="259">
        <f t="shared" si="153"/>
        <v>436.11111111111109</v>
      </c>
      <c r="Q220" s="259" t="str">
        <f t="shared" si="153"/>
        <v>-</v>
      </c>
      <c r="R220" s="259" t="str">
        <f t="shared" si="153"/>
        <v>-</v>
      </c>
      <c r="S220" s="259">
        <f t="shared" si="194"/>
        <v>2152</v>
      </c>
      <c r="T220" s="259">
        <f t="shared" si="154"/>
        <v>1787</v>
      </c>
      <c r="U220" s="259">
        <f t="shared" si="154"/>
        <v>1421</v>
      </c>
      <c r="V220" s="259">
        <f t="shared" si="154"/>
        <v>1056</v>
      </c>
      <c r="W220" s="259">
        <f t="shared" si="154"/>
        <v>691</v>
      </c>
      <c r="X220" s="259">
        <f t="shared" si="154"/>
        <v>326</v>
      </c>
      <c r="Y220" s="259">
        <f t="shared" si="154"/>
        <v>-40</v>
      </c>
      <c r="Z220" s="259">
        <f t="shared" si="154"/>
        <v>-405</v>
      </c>
      <c r="AA220" s="267">
        <f>(VLOOKUP(A220,Hshldprojections2014!$A$2:$AW$319,40, FALSE)-VLOOKUP(A220,Hshldprojections2014!$A$2:$AW$319,30, FALSE))/10</f>
        <v>212.7</v>
      </c>
      <c r="AB220" s="267">
        <f>(VLOOKUP(A220,Hshldprojections2014!$A$2:$AW$319,41, FALSE)-VLOOKUP(A220,Hshldprojections2014!$A$2:$AW$319,31, FALSE))/10</f>
        <v>210.6</v>
      </c>
      <c r="AC220" s="267">
        <f>(VLOOKUP(A220,Hshldprojections2014!$A$2:$AW$319,42, FALSE)-VLOOKUP(A220,Hshldprojections2014!$A$2:$AW$319,32, FALSE))/10</f>
        <v>207.2</v>
      </c>
      <c r="AD220" s="267">
        <f>IF(IndividualLATest!$J$7=2014,(VLOOKUP($A220,Hshldprojections2014!$A$2:$AY$326,43,FALSE)-VLOOKUP($A220,Hshldprojections2014!$A$2:$AY$326,33,FALSE))/10,IF(IndividualLATest!$J$7=2016,(VLOOKUP($A220,Hshldprojections2016!$A$1:$AQ$322,33,FALSE)-VLOOKUP($A220,Hshldprojections2016!$A$1:$AQ$322,23,FALSE))/10,(VLOOKUP($A220,Hshldprojections2018!$A$1:$AQ$327,33,FALSE)-VLOOKUP($A220,Hshldprojections2018!$A$1:$AQ$327,23,FALSE))/10))</f>
        <v>23.9</v>
      </c>
      <c r="AE220" s="267">
        <f>IF(IndividualLATest!$J$7=2014,(VLOOKUP($A220,Hshldprojections2014!$A$2:$AY$326,44,FALSE)-VLOOKUP($A220,Hshldprojections2014!$A$2:$AY$326,34,FALSE))/10,IF(IndividualLATest!$J$7=2016,(VLOOKUP($A220,Hshldprojections2016!$A$1:$AQ$322,34,FALSE)-VLOOKUP($A220,Hshldprojections2016!$A$1:$AQ$322,24,FALSE))/10,(VLOOKUP($A220,Hshldprojections2018!$A$1:$AQ$327,34,FALSE)-VLOOKUP($A220,Hshldprojections2018!$A$1:$AQ$327,24,FALSE))/10))</f>
        <v>23.9</v>
      </c>
      <c r="AF220" s="267">
        <f>IF(IndividualLATest!$J$7=2014,(VLOOKUP($A220,Hshldprojections2014!$A$2:$AY$326,45,FALSE)-VLOOKUP($A220,Hshldprojections2014!$A$2:$AY$326,35,FALSE))/10,IF(IndividualLATest!$J$7=2016,(VLOOKUP($A220,Hshldprojections2016!$A$1:$AQ$322,35,FALSE)-VLOOKUP($A220,Hshldprojections2016!$A$1:$AQ$322,25,FALSE))/10,(VLOOKUP($A220,Hshldprojections2018!$A$1:$AQ$327,35,FALSE)-VLOOKUP($A220,Hshldprojections2018!$A$1:$AQ$327,25,FALSE))/10))</f>
        <v>25.3</v>
      </c>
      <c r="AG220" s="267">
        <f>IF(IndividualLATest!$J$7=2014,(VLOOKUP($A220,Hshldprojections2014!$A$2:$AY$326,46,FALSE)-VLOOKUP($A220,Hshldprojections2014!$A$2:$AY$326,36,FALSE))/10,IF(IndividualLATest!$J$7=2016,(VLOOKUP($A220,Hshldprojections2016!$A$1:$AQ$322,36,FALSE)-VLOOKUP($A220,Hshldprojections2016!$A$1:$AQ$322,26,FALSE))/10,(VLOOKUP($A220,Hshldprojections2018!$A$1:$AQ$327,36,FALSE)-VLOOKUP($A220,Hshldprojections2018!$A$1:$AQ$327,26,FALSE))/10))</f>
        <v>28.2</v>
      </c>
      <c r="AH220" s="267">
        <f>IF(IndividualLATest!$J$7=2014,(VLOOKUP($A220,Hshldprojections2014!$A$2:$AY$326,47,FALSE)-VLOOKUP($A220,Hshldprojections2014!$A$2:$AY$326,37,FALSE))/10,IF(IndividualLATest!$J$7=2016,(VLOOKUP($A220,Hshldprojections2016!$A$1:$AQ$322,37,FALSE)-VLOOKUP($A220,Hshldprojections2016!$A$1:$AQ$322,27,FALSE))/10,(VLOOKUP($A220,Hshldprojections2018!$A$1:$AQ$327,37,FALSE)-VLOOKUP($A220,Hshldprojections2018!$A$1:$AQ$327,27,FALSE))/10))</f>
        <v>32.5</v>
      </c>
      <c r="AI220" s="268">
        <f>IF(ISNUMBER('Sensitivity Tests'!$C$30),'Sensitivity Tests'!$C$30,VLOOKUP($A220,AffordabilityRatio!$A$2:$I$321,5,FALSE))</f>
        <v>9.19</v>
      </c>
      <c r="AJ220" s="268">
        <f>IF(ISNUMBER('Sensitivity Tests'!$C$30),'Sensitivity Tests'!$C$30,VLOOKUP($A220,AffordabilityRatio!$A$2:$I$321,6,FALSE))</f>
        <v>8.18</v>
      </c>
      <c r="AK220" s="268">
        <f>IF(ISNUMBER('Sensitivity Tests'!$C$30),'Sensitivity Tests'!$C$30,VLOOKUP($A220,AffordabilityRatio!$A$2:$I$321,7,FALSE))</f>
        <v>8.11</v>
      </c>
      <c r="AL220" s="268">
        <f>IF(ISNUMBER('Sensitivity Tests'!$C$30),'Sensitivity Tests'!$C$30,IF((VLOOKUP($A220,AffordabilityRatio!$A$2:$I$321,8,FALSE))="",AK220,VLOOKUP($A220,AffordabilityRatio!$A$2:$I$321,8,FALSE)))</f>
        <v>8.48</v>
      </c>
      <c r="AM220" s="268">
        <f>IF(ISNUMBER('Sensitivity Tests'!$C$30),'Sensitivity Tests'!$C$30,IF((VLOOKUP($A220,AffordabilityRatio!$A$2:$I$321,9,FALSE))="",AL220,VLOOKUP($A220,AffordabilityRatio!$A$2:$I$321,9,FALSE)))</f>
        <v>9.74</v>
      </c>
      <c r="AN220" s="268">
        <f>IF(ISNUMBER('Sensitivity Tests'!$C$30),'Sensitivity Tests'!$C$30,IF((VLOOKUP($A220,AffordabilityRatio!$A$2:$I$321,9,FALSE))="",AM220,VLOOKUP($A220,AffordabilityRatio!$A$2:$I$321,9,FALSE)))</f>
        <v>9.74</v>
      </c>
      <c r="AO220" s="268">
        <f>IF(ISNUMBER('Sensitivity Tests'!$C$30),'Sensitivity Tests'!$C$30,IF((VLOOKUP($A220,AffordabilityRatio!$A$2:$I$321,9,FALSE))="",AN220,VLOOKUP($A220,AffordabilityRatio!$A$2:$I$321,9,FALSE)))</f>
        <v>9.74</v>
      </c>
      <c r="AP220" s="268">
        <f>IF(ISNUMBER('Sensitivity Tests'!$C$30),'Sensitivity Tests'!$C$30,IF((VLOOKUP($A220,AffordabilityRatio!$A$2:$I$321,9,FALSE))="",AO220,VLOOKUP($A220,AffordabilityRatio!$A$2:$I$321,9,FALSE)))</f>
        <v>9.74</v>
      </c>
      <c r="AQ220" s="267">
        <f t="shared" si="152"/>
        <v>282</v>
      </c>
      <c r="AR220" s="267">
        <f t="shared" si="152"/>
        <v>266</v>
      </c>
      <c r="AS220" s="267">
        <f t="shared" si="152"/>
        <v>260</v>
      </c>
      <c r="AT220" s="267">
        <f t="shared" si="152"/>
        <v>31</v>
      </c>
      <c r="AU220" s="267">
        <f t="shared" si="152"/>
        <v>32</v>
      </c>
      <c r="AV220" s="267">
        <f t="shared" si="151"/>
        <v>34</v>
      </c>
      <c r="AW220" s="267">
        <f t="shared" si="151"/>
        <v>38</v>
      </c>
      <c r="AX220" s="267">
        <f t="shared" si="151"/>
        <v>44</v>
      </c>
      <c r="AY220" s="267">
        <f t="shared" si="171"/>
        <v>282</v>
      </c>
      <c r="AZ220" s="267">
        <f t="shared" si="172"/>
        <v>266</v>
      </c>
      <c r="BA220" s="267">
        <f t="shared" si="173"/>
        <v>260</v>
      </c>
      <c r="BB220" s="267">
        <f t="shared" si="174"/>
        <v>31</v>
      </c>
      <c r="BC220" s="267">
        <f t="shared" si="175"/>
        <v>32</v>
      </c>
      <c r="BD220" s="267">
        <f t="shared" si="176"/>
        <v>34</v>
      </c>
      <c r="BE220" s="267">
        <f t="shared" si="177"/>
        <v>38</v>
      </c>
      <c r="BF220" s="267">
        <f t="shared" si="178"/>
        <v>44</v>
      </c>
      <c r="BG220" s="269">
        <f>AY220*VLOOKUP($B220,'Major Cities &amp; Towns'!$A$28:$B$345,2,FALSE)</f>
        <v>282</v>
      </c>
      <c r="BH220" s="269">
        <f>AZ220*VLOOKUP($B220,'Major Cities &amp; Towns'!$A$28:$B$345,2,FALSE)</f>
        <v>266</v>
      </c>
      <c r="BI220" s="269">
        <f>BA220*VLOOKUP($B220,'Major Cities &amp; Towns'!$A$28:$B$345,2,FALSE)</f>
        <v>260</v>
      </c>
      <c r="BJ220" s="269">
        <f>BB220*VLOOKUP($B220,'Major Cities &amp; Towns'!$A$28:$B$345,2,FALSE)</f>
        <v>31</v>
      </c>
      <c r="BK220" s="269">
        <f>BC220*VLOOKUP($B220,'Major Cities &amp; Towns'!$A$28:$B$345,2,FALSE)</f>
        <v>32</v>
      </c>
      <c r="BL220" s="269">
        <f>BD220*VLOOKUP($B220,'Major Cities &amp; Towns'!$A$28:$B$345,2,FALSE)</f>
        <v>34</v>
      </c>
      <c r="BM220" s="269">
        <f>BE220*VLOOKUP($B220,'Major Cities &amp; Towns'!$A$28:$B$345,2,FALSE)</f>
        <v>38</v>
      </c>
      <c r="BN220" s="269">
        <f>BF220*VLOOKUP($B220,'Major Cities &amp; Towns'!$A$28:$B$345,2,FALSE)</f>
        <v>44</v>
      </c>
      <c r="BO220" s="270">
        <f t="shared" si="179"/>
        <v>282</v>
      </c>
      <c r="BP220" s="270">
        <f t="shared" si="195"/>
        <v>266</v>
      </c>
      <c r="BQ220" s="270">
        <f t="shared" si="195"/>
        <v>260</v>
      </c>
      <c r="BR220" s="270">
        <f t="shared" si="195"/>
        <v>31</v>
      </c>
      <c r="BS220" s="270">
        <f t="shared" si="195"/>
        <v>32</v>
      </c>
      <c r="BT220" s="270">
        <f t="shared" si="195"/>
        <v>34</v>
      </c>
      <c r="BU220" s="270">
        <f t="shared" si="195"/>
        <v>38</v>
      </c>
      <c r="BV220" s="270">
        <f t="shared" si="195"/>
        <v>44</v>
      </c>
      <c r="BW220" s="39">
        <f>VLOOKUP($A220,NetAdditions!$A$2:$H$336,6,FALSE)</f>
        <v>303</v>
      </c>
      <c r="BX220" s="39">
        <f>VLOOKUP($A220,NetAdditions!$A$2:$H$336,7,FALSE)</f>
        <v>730</v>
      </c>
      <c r="BY220" s="39">
        <f>IF((VLOOKUP($C220,NetAdditions!$A$2:$H$336,8,FALSE))="",(AVERAGE(VLOOKUP($C220,NetAdditions!$A$2:$H$336,5,FALSE),VLOOKUP($C220,NetAdditions!$A$2:$H$336,6,FALSE),VLOOKUP($C220,NetAdditions!$A$2:$H$336,7,FALSE))),VLOOKUP($C220,NetAdditions!$A$2:$H$336,8,FALSE))</f>
        <v>225</v>
      </c>
      <c r="BZ220" s="39">
        <f t="shared" si="150"/>
        <v>419.33333333333331</v>
      </c>
      <c r="CA220" s="39">
        <f t="shared" si="150"/>
        <v>458.11111111111109</v>
      </c>
      <c r="CB220" s="39">
        <f t="shared" si="150"/>
        <v>367.48148148148147</v>
      </c>
      <c r="CC220" s="39">
        <f t="shared" si="150"/>
        <v>414.97530864197529</v>
      </c>
      <c r="CD220" s="39">
        <f t="shared" si="150"/>
        <v>413.52263374485597</v>
      </c>
      <c r="CE220" s="276">
        <f t="shared" si="155"/>
        <v>808</v>
      </c>
      <c r="CF220" s="276">
        <f t="shared" si="156"/>
        <v>557</v>
      </c>
      <c r="CG220" s="276">
        <f t="shared" si="157"/>
        <v>323</v>
      </c>
      <c r="CH220" s="276">
        <f t="shared" si="158"/>
        <v>97</v>
      </c>
      <c r="CI220" s="276">
        <f t="shared" si="159"/>
        <v>104</v>
      </c>
      <c r="CJ220" s="276">
        <f t="shared" si="160"/>
        <v>116</v>
      </c>
      <c r="CK220" s="276">
        <f t="shared" si="180"/>
        <v>695.77777777777783</v>
      </c>
      <c r="CL220" s="276">
        <f t="shared" si="181"/>
        <v>479.63888888888891</v>
      </c>
      <c r="CM220" s="276">
        <f t="shared" si="182"/>
        <v>296.08333333333331</v>
      </c>
      <c r="CN220" s="276">
        <f t="shared" si="183"/>
        <v>97</v>
      </c>
      <c r="CO220" s="276">
        <f t="shared" si="183"/>
        <v>104</v>
      </c>
      <c r="CP220" s="276">
        <f t="shared" si="183"/>
        <v>116</v>
      </c>
      <c r="CQ220" s="39">
        <f t="shared" si="161"/>
        <v>1258</v>
      </c>
      <c r="CR220" s="39">
        <f t="shared" si="162"/>
        <v>1374.3333333333333</v>
      </c>
      <c r="CS220" s="277">
        <f t="shared" si="163"/>
        <v>1102.4444444444443</v>
      </c>
      <c r="CT220" s="39">
        <f t="shared" si="164"/>
        <v>1244.9259259259259</v>
      </c>
      <c r="CU220" s="39">
        <f t="shared" si="165"/>
        <v>1240.5679012345679</v>
      </c>
      <c r="CV220" s="39">
        <f t="shared" si="166"/>
        <v>1195.9794238683128</v>
      </c>
      <c r="CW220" s="297">
        <f t="shared" si="167"/>
        <v>1.8080485467901628</v>
      </c>
      <c r="CX220" s="279" t="str">
        <f t="shared" si="184"/>
        <v>Pass</v>
      </c>
      <c r="CY220" s="278">
        <f t="shared" si="168"/>
        <v>2.8653500897666064</v>
      </c>
      <c r="CZ220" s="279" t="str">
        <f t="shared" si="185"/>
        <v>Pass</v>
      </c>
      <c r="DA220" s="278">
        <f t="shared" si="169"/>
        <v>3.723426212590299</v>
      </c>
      <c r="DB220" s="292" t="str">
        <f t="shared" si="186"/>
        <v>Pass</v>
      </c>
      <c r="DC220" s="299">
        <f t="shared" si="187"/>
        <v>12.834287896143566</v>
      </c>
      <c r="DD220" s="293" t="str">
        <f t="shared" si="188"/>
        <v>Pass</v>
      </c>
      <c r="DE220" s="299">
        <f t="shared" si="189"/>
        <v>11.928537511870845</v>
      </c>
      <c r="DF220" s="293" t="str">
        <f t="shared" si="190"/>
        <v>Pass</v>
      </c>
      <c r="DG220" s="299">
        <f t="shared" si="191"/>
        <v>10.310167447140627</v>
      </c>
      <c r="DH220" s="293" t="str">
        <f t="shared" si="192"/>
        <v>Pass</v>
      </c>
    </row>
    <row r="221" spans="1:112" ht="15" thickTop="1" thickBot="1">
      <c r="A221" s="38" t="s">
        <v>552</v>
      </c>
      <c r="B221" s="38" t="s">
        <v>553</v>
      </c>
      <c r="C221" s="38" t="s">
        <v>552</v>
      </c>
      <c r="D221" s="38" t="s">
        <v>119</v>
      </c>
      <c r="E221" s="38" t="str">
        <f>VLOOKUP(C221,PoliticalControl!A:K,11,FALSE)</f>
        <v>CON</v>
      </c>
      <c r="F221" s="38" t="str">
        <f>VLOOKUP(C221,UrbanRuralClassification!A:N,13,FALSE)</f>
        <v xml:space="preserve">Mainly Rural (rural including hub towns &gt;=80%) </v>
      </c>
      <c r="G221" s="38" t="str">
        <f>VLOOKUP(C221,UrbanRuralClassification!A:N,14,FALSE)</f>
        <v>Predominantly Rural</v>
      </c>
      <c r="H221" s="258">
        <f>IF(ISBLANK((VLOOKUP($A221,'local-plan-data'!$C$1:$AD$566,27,FALSE)))=TRUE,"",VLOOKUP($A221,'local-plan-data'!$C$1:$AD$566,27,FALSE))</f>
        <v>40735</v>
      </c>
      <c r="I221" s="259">
        <f>VLOOKUP($A221,'local-plan-data'!$C$1:$AD$566,28,FALSE)</f>
        <v>150</v>
      </c>
      <c r="J221" s="260">
        <f t="shared" si="170"/>
        <v>150</v>
      </c>
      <c r="K221" s="259" t="str">
        <f t="shared" si="193"/>
        <v>-</v>
      </c>
      <c r="L221" s="259" t="str">
        <f t="shared" si="153"/>
        <v>-</v>
      </c>
      <c r="M221" s="259" t="str">
        <f t="shared" si="153"/>
        <v>-</v>
      </c>
      <c r="N221" s="259" t="str">
        <f t="shared" si="153"/>
        <v>-</v>
      </c>
      <c r="O221" s="259" t="str">
        <f t="shared" si="153"/>
        <v>-</v>
      </c>
      <c r="P221" s="259" t="str">
        <f t="shared" si="153"/>
        <v>-</v>
      </c>
      <c r="Q221" s="259" t="str">
        <f t="shared" si="153"/>
        <v>-</v>
      </c>
      <c r="R221" s="259" t="str">
        <f t="shared" si="153"/>
        <v>-</v>
      </c>
      <c r="S221" s="259">
        <f t="shared" si="194"/>
        <v>-629</v>
      </c>
      <c r="T221" s="259">
        <f t="shared" si="154"/>
        <v>-994</v>
      </c>
      <c r="U221" s="259">
        <f t="shared" si="154"/>
        <v>-1360</v>
      </c>
      <c r="V221" s="259">
        <f t="shared" si="154"/>
        <v>-1725</v>
      </c>
      <c r="W221" s="259">
        <f t="shared" si="154"/>
        <v>-2090</v>
      </c>
      <c r="X221" s="259">
        <f t="shared" si="154"/>
        <v>-2455</v>
      </c>
      <c r="Y221" s="259">
        <f t="shared" si="154"/>
        <v>-2821</v>
      </c>
      <c r="Z221" s="259">
        <f t="shared" si="154"/>
        <v>-3186</v>
      </c>
      <c r="AA221" s="267">
        <f>(VLOOKUP(A221,Hshldprojections2014!$A$2:$AW$319,40, FALSE)-VLOOKUP(A221,Hshldprojections2014!$A$2:$AW$319,30, FALSE))/10</f>
        <v>94.8</v>
      </c>
      <c r="AB221" s="267">
        <f>(VLOOKUP(A221,Hshldprojections2014!$A$2:$AW$319,41, FALSE)-VLOOKUP(A221,Hshldprojections2014!$A$2:$AW$319,31, FALSE))/10</f>
        <v>92.9</v>
      </c>
      <c r="AC221" s="267">
        <f>(VLOOKUP(A221,Hshldprojections2014!$A$2:$AW$319,42, FALSE)-VLOOKUP(A221,Hshldprojections2014!$A$2:$AW$319,32, FALSE))/10</f>
        <v>93.5</v>
      </c>
      <c r="AD221" s="267">
        <f>IF(IndividualLATest!$J$7=2014,(VLOOKUP($A221,Hshldprojections2014!$A$2:$AY$326,43,FALSE)-VLOOKUP($A221,Hshldprojections2014!$A$2:$AY$326,33,FALSE))/10,IF(IndividualLATest!$J$7=2016,(VLOOKUP($A221,Hshldprojections2016!$A$1:$AQ$322,33,FALSE)-VLOOKUP($A221,Hshldprojections2016!$A$1:$AQ$322,23,FALSE))/10,(VLOOKUP($A221,Hshldprojections2018!$A$1:$AQ$327,33,FALSE)-VLOOKUP($A221,Hshldprojections2018!$A$1:$AQ$327,23,FALSE))/10))</f>
        <v>187</v>
      </c>
      <c r="AE221" s="267">
        <f>IF(IndividualLATest!$J$7=2014,(VLOOKUP($A221,Hshldprojections2014!$A$2:$AY$326,44,FALSE)-VLOOKUP($A221,Hshldprojections2014!$A$2:$AY$326,34,FALSE))/10,IF(IndividualLATest!$J$7=2016,(VLOOKUP($A221,Hshldprojections2016!$A$1:$AQ$322,34,FALSE)-VLOOKUP($A221,Hshldprojections2016!$A$1:$AQ$322,24,FALSE))/10,(VLOOKUP($A221,Hshldprojections2018!$A$1:$AQ$327,34,FALSE)-VLOOKUP($A221,Hshldprojections2018!$A$1:$AQ$327,24,FALSE))/10))</f>
        <v>181.5</v>
      </c>
      <c r="AF221" s="267">
        <f>IF(IndividualLATest!$J$7=2014,(VLOOKUP($A221,Hshldprojections2014!$A$2:$AY$326,45,FALSE)-VLOOKUP($A221,Hshldprojections2014!$A$2:$AY$326,35,FALSE))/10,IF(IndividualLATest!$J$7=2016,(VLOOKUP($A221,Hshldprojections2016!$A$1:$AQ$322,35,FALSE)-VLOOKUP($A221,Hshldprojections2016!$A$1:$AQ$322,25,FALSE))/10,(VLOOKUP($A221,Hshldprojections2018!$A$1:$AQ$327,35,FALSE)-VLOOKUP($A221,Hshldprojections2018!$A$1:$AQ$327,25,FALSE))/10))</f>
        <v>175</v>
      </c>
      <c r="AG221" s="267">
        <f>IF(IndividualLATest!$J$7=2014,(VLOOKUP($A221,Hshldprojections2014!$A$2:$AY$326,46,FALSE)-VLOOKUP($A221,Hshldprojections2014!$A$2:$AY$326,36,FALSE))/10,IF(IndividualLATest!$J$7=2016,(VLOOKUP($A221,Hshldprojections2016!$A$1:$AQ$322,36,FALSE)-VLOOKUP($A221,Hshldprojections2016!$A$1:$AQ$322,26,FALSE))/10,(VLOOKUP($A221,Hshldprojections2018!$A$1:$AQ$327,36,FALSE)-VLOOKUP($A221,Hshldprojections2018!$A$1:$AQ$327,26,FALSE))/10))</f>
        <v>169</v>
      </c>
      <c r="AH221" s="267">
        <f>IF(IndividualLATest!$J$7=2014,(VLOOKUP($A221,Hshldprojections2014!$A$2:$AY$326,47,FALSE)-VLOOKUP($A221,Hshldprojections2014!$A$2:$AY$326,37,FALSE))/10,IF(IndividualLATest!$J$7=2016,(VLOOKUP($A221,Hshldprojections2016!$A$1:$AQ$322,37,FALSE)-VLOOKUP($A221,Hshldprojections2016!$A$1:$AQ$322,27,FALSE))/10,(VLOOKUP($A221,Hshldprojections2018!$A$1:$AQ$327,37,FALSE)-VLOOKUP($A221,Hshldprojections2018!$A$1:$AQ$327,27,FALSE))/10))</f>
        <v>164.9</v>
      </c>
      <c r="AI221" s="268">
        <f>IF(ISNUMBER('Sensitivity Tests'!$C$30),'Sensitivity Tests'!$C$30,VLOOKUP($A221,AffordabilityRatio!$A$2:$I$321,5,FALSE))</f>
        <v>9.7200000000000006</v>
      </c>
      <c r="AJ221" s="268">
        <f>IF(ISNUMBER('Sensitivity Tests'!$C$30),'Sensitivity Tests'!$C$30,VLOOKUP($A221,AffordabilityRatio!$A$2:$I$321,6,FALSE))</f>
        <v>9.91</v>
      </c>
      <c r="AK221" s="268">
        <f>IF(ISNUMBER('Sensitivity Tests'!$C$30),'Sensitivity Tests'!$C$30,VLOOKUP($A221,AffordabilityRatio!$A$2:$I$321,7,FALSE))</f>
        <v>8.93</v>
      </c>
      <c r="AL221" s="268">
        <f>IF(ISNUMBER('Sensitivity Tests'!$C$30),'Sensitivity Tests'!$C$30,IF((VLOOKUP($A221,AffordabilityRatio!$A$2:$I$321,8,FALSE))="",AK221,VLOOKUP($A221,AffordabilityRatio!$A$2:$I$321,8,FALSE)))</f>
        <v>10.23</v>
      </c>
      <c r="AM221" s="268">
        <f>IF(ISNUMBER('Sensitivity Tests'!$C$30),'Sensitivity Tests'!$C$30,IF((VLOOKUP($A221,AffordabilityRatio!$A$2:$I$321,9,FALSE))="",AL221,VLOOKUP($A221,AffordabilityRatio!$A$2:$I$321,9,FALSE)))</f>
        <v>12.12</v>
      </c>
      <c r="AN221" s="268">
        <f>IF(ISNUMBER('Sensitivity Tests'!$C$30),'Sensitivity Tests'!$C$30,IF((VLOOKUP($A221,AffordabilityRatio!$A$2:$I$321,9,FALSE))="",AM221,VLOOKUP($A221,AffordabilityRatio!$A$2:$I$321,9,FALSE)))</f>
        <v>12.12</v>
      </c>
      <c r="AO221" s="268">
        <f>IF(ISNUMBER('Sensitivity Tests'!$C$30),'Sensitivity Tests'!$C$30,IF((VLOOKUP($A221,AffordabilityRatio!$A$2:$I$321,9,FALSE))="",AN221,VLOOKUP($A221,AffordabilityRatio!$A$2:$I$321,9,FALSE)))</f>
        <v>12.12</v>
      </c>
      <c r="AP221" s="268">
        <f>IF(ISNUMBER('Sensitivity Tests'!$C$30),'Sensitivity Tests'!$C$30,IF((VLOOKUP($A221,AffordabilityRatio!$A$2:$I$321,9,FALSE))="",AO221,VLOOKUP($A221,AffordabilityRatio!$A$2:$I$321,9,FALSE)))</f>
        <v>12.12</v>
      </c>
      <c r="AQ221" s="267">
        <f t="shared" si="152"/>
        <v>129</v>
      </c>
      <c r="AR221" s="267">
        <f t="shared" si="152"/>
        <v>127</v>
      </c>
      <c r="AS221" s="267">
        <f t="shared" si="152"/>
        <v>122</v>
      </c>
      <c r="AT221" s="267">
        <f t="shared" si="152"/>
        <v>260</v>
      </c>
      <c r="AU221" s="267">
        <f t="shared" si="152"/>
        <v>274</v>
      </c>
      <c r="AV221" s="267">
        <f t="shared" si="151"/>
        <v>264</v>
      </c>
      <c r="AW221" s="267">
        <f t="shared" si="151"/>
        <v>255</v>
      </c>
      <c r="AX221" s="267">
        <f t="shared" si="151"/>
        <v>249</v>
      </c>
      <c r="AY221" s="267">
        <f t="shared" si="171"/>
        <v>129</v>
      </c>
      <c r="AZ221" s="267">
        <f t="shared" si="172"/>
        <v>127</v>
      </c>
      <c r="BA221" s="267">
        <f t="shared" si="173"/>
        <v>122</v>
      </c>
      <c r="BB221" s="267">
        <f t="shared" si="174"/>
        <v>260</v>
      </c>
      <c r="BC221" s="267">
        <f t="shared" si="175"/>
        <v>254.10000000000002</v>
      </c>
      <c r="BD221" s="267">
        <f t="shared" si="176"/>
        <v>245</v>
      </c>
      <c r="BE221" s="267">
        <f t="shared" si="177"/>
        <v>236.60000000000002</v>
      </c>
      <c r="BF221" s="267">
        <f t="shared" si="178"/>
        <v>230.86</v>
      </c>
      <c r="BG221" s="269">
        <f>AY221*VLOOKUP($B221,'Major Cities &amp; Towns'!$A$28:$B$345,2,FALSE)</f>
        <v>129</v>
      </c>
      <c r="BH221" s="269">
        <f>AZ221*VLOOKUP($B221,'Major Cities &amp; Towns'!$A$28:$B$345,2,FALSE)</f>
        <v>127</v>
      </c>
      <c r="BI221" s="269">
        <f>BA221*VLOOKUP($B221,'Major Cities &amp; Towns'!$A$28:$B$345,2,FALSE)</f>
        <v>122</v>
      </c>
      <c r="BJ221" s="269">
        <f>BB221*VLOOKUP($B221,'Major Cities &amp; Towns'!$A$28:$B$345,2,FALSE)</f>
        <v>260</v>
      </c>
      <c r="BK221" s="269">
        <f>BC221*VLOOKUP($B221,'Major Cities &amp; Towns'!$A$28:$B$345,2,FALSE)</f>
        <v>254.10000000000002</v>
      </c>
      <c r="BL221" s="269">
        <f>BD221*VLOOKUP($B221,'Major Cities &amp; Towns'!$A$28:$B$345,2,FALSE)</f>
        <v>245</v>
      </c>
      <c r="BM221" s="269">
        <f>BE221*VLOOKUP($B221,'Major Cities &amp; Towns'!$A$28:$B$345,2,FALSE)</f>
        <v>236.60000000000002</v>
      </c>
      <c r="BN221" s="269">
        <f>BF221*VLOOKUP($B221,'Major Cities &amp; Towns'!$A$28:$B$345,2,FALSE)</f>
        <v>230.86</v>
      </c>
      <c r="BO221" s="270">
        <f t="shared" si="179"/>
        <v>129</v>
      </c>
      <c r="BP221" s="270">
        <f t="shared" si="195"/>
        <v>127</v>
      </c>
      <c r="BQ221" s="270">
        <f t="shared" si="195"/>
        <v>122</v>
      </c>
      <c r="BR221" s="270">
        <f t="shared" si="195"/>
        <v>260</v>
      </c>
      <c r="BS221" s="270">
        <f t="shared" si="195"/>
        <v>274</v>
      </c>
      <c r="BT221" s="270">
        <f t="shared" si="195"/>
        <v>264</v>
      </c>
      <c r="BU221" s="270">
        <f t="shared" si="195"/>
        <v>255</v>
      </c>
      <c r="BV221" s="270">
        <f t="shared" si="195"/>
        <v>249</v>
      </c>
      <c r="BW221" s="39">
        <f>VLOOKUP($A221,NetAdditions!$A$2:$H$336,6,FALSE)</f>
        <v>213</v>
      </c>
      <c r="BX221" s="39">
        <f>VLOOKUP($A221,NetAdditions!$A$2:$H$336,7,FALSE)</f>
        <v>188</v>
      </c>
      <c r="BY221" s="39">
        <f>IF((VLOOKUP($C221,NetAdditions!$A$2:$H$336,8,FALSE))="",(AVERAGE(VLOOKUP($C221,NetAdditions!$A$2:$H$336,5,FALSE),VLOOKUP($C221,NetAdditions!$A$2:$H$336,6,FALSE),VLOOKUP($C221,NetAdditions!$A$2:$H$336,7,FALSE))),VLOOKUP($C221,NetAdditions!$A$2:$H$336,8,FALSE))</f>
        <v>114</v>
      </c>
      <c r="BZ221" s="39">
        <f t="shared" si="150"/>
        <v>171.66666666666666</v>
      </c>
      <c r="CA221" s="39">
        <f t="shared" si="150"/>
        <v>157.88888888888889</v>
      </c>
      <c r="CB221" s="39">
        <f t="shared" si="150"/>
        <v>147.85185185185185</v>
      </c>
      <c r="CC221" s="39">
        <f t="shared" si="150"/>
        <v>159.1358024691358</v>
      </c>
      <c r="CD221" s="39">
        <f t="shared" si="150"/>
        <v>154.95884773662553</v>
      </c>
      <c r="CE221" s="276">
        <f t="shared" si="155"/>
        <v>378</v>
      </c>
      <c r="CF221" s="276">
        <f t="shared" si="156"/>
        <v>509</v>
      </c>
      <c r="CG221" s="276">
        <f t="shared" si="157"/>
        <v>656</v>
      </c>
      <c r="CH221" s="276">
        <f t="shared" si="158"/>
        <v>798</v>
      </c>
      <c r="CI221" s="276">
        <f t="shared" si="159"/>
        <v>793</v>
      </c>
      <c r="CJ221" s="276">
        <f t="shared" si="160"/>
        <v>768</v>
      </c>
      <c r="CK221" s="276">
        <f t="shared" si="180"/>
        <v>325.5</v>
      </c>
      <c r="CL221" s="276">
        <f t="shared" si="181"/>
        <v>438.3055555555556</v>
      </c>
      <c r="CM221" s="276">
        <f t="shared" si="182"/>
        <v>601.33333333333326</v>
      </c>
      <c r="CN221" s="276">
        <f t="shared" si="183"/>
        <v>798</v>
      </c>
      <c r="CO221" s="276">
        <f t="shared" si="183"/>
        <v>793</v>
      </c>
      <c r="CP221" s="276">
        <f t="shared" si="183"/>
        <v>768</v>
      </c>
      <c r="CQ221" s="39">
        <f t="shared" si="161"/>
        <v>515</v>
      </c>
      <c r="CR221" s="39">
        <f t="shared" si="162"/>
        <v>473.66666666666663</v>
      </c>
      <c r="CS221" s="277">
        <f t="shared" si="163"/>
        <v>443.55555555555554</v>
      </c>
      <c r="CT221" s="39">
        <f t="shared" si="164"/>
        <v>477.40740740740739</v>
      </c>
      <c r="CU221" s="39">
        <f t="shared" si="165"/>
        <v>464.87654320987656</v>
      </c>
      <c r="CV221" s="39">
        <f t="shared" si="166"/>
        <v>461.9465020576132</v>
      </c>
      <c r="CW221" s="297">
        <f t="shared" si="167"/>
        <v>1.5821812596006144</v>
      </c>
      <c r="CX221" s="279" t="str">
        <f t="shared" si="184"/>
        <v>Pass</v>
      </c>
      <c r="CY221" s="278">
        <f t="shared" si="168"/>
        <v>1.0806768489764875</v>
      </c>
      <c r="CZ221" s="279" t="str">
        <f t="shared" si="185"/>
        <v>Pass</v>
      </c>
      <c r="DA221" s="278">
        <f t="shared" si="169"/>
        <v>0.73762010347376206</v>
      </c>
      <c r="DB221" s="292" t="str">
        <f t="shared" si="186"/>
        <v>Presumption</v>
      </c>
      <c r="DC221" s="299">
        <f t="shared" si="187"/>
        <v>0.59825489650051056</v>
      </c>
      <c r="DD221" s="293" t="str">
        <f t="shared" si="188"/>
        <v>Presumption</v>
      </c>
      <c r="DE221" s="299">
        <f t="shared" si="189"/>
        <v>0.58622514906667911</v>
      </c>
      <c r="DF221" s="293" t="str">
        <f t="shared" si="190"/>
        <v>Presumption</v>
      </c>
      <c r="DG221" s="299">
        <f t="shared" si="191"/>
        <v>0.60149284122085056</v>
      </c>
      <c r="DH221" s="293" t="str">
        <f t="shared" si="192"/>
        <v>Presumption</v>
      </c>
    </row>
    <row r="222" spans="1:112" ht="15" thickTop="1" thickBot="1">
      <c r="A222" s="38" t="s">
        <v>554</v>
      </c>
      <c r="B222" s="38" t="s">
        <v>555</v>
      </c>
      <c r="C222" s="38" t="s">
        <v>554</v>
      </c>
      <c r="D222" s="38" t="s">
        <v>136</v>
      </c>
      <c r="E222" s="38" t="str">
        <f>VLOOKUP(C222,PoliticalControl!A:K,11,FALSE)</f>
        <v>NOC</v>
      </c>
      <c r="F222" s="38" t="str">
        <f>VLOOKUP(C222,UrbanRuralClassification!A:N,13,FALSE)</f>
        <v xml:space="preserve">Mainly Rural (rural including hub towns &gt;=80%) </v>
      </c>
      <c r="G222" s="38" t="str">
        <f>VLOOKUP(C222,UrbanRuralClassification!A:N,14,FALSE)</f>
        <v>Predominantly Rural</v>
      </c>
      <c r="H222" s="258">
        <f>IF(ISBLANK((VLOOKUP($A222,'local-plan-data'!$C$1:$AD$566,27,FALSE)))=TRUE,"",VLOOKUP($A222,'local-plan-data'!$C$1:$AD$566,27,FALSE))</f>
        <v>41522</v>
      </c>
      <c r="I222" s="259">
        <f>VLOOKUP($A222,'local-plan-data'!$C$1:$AD$566,28,FALSE)</f>
        <v>200</v>
      </c>
      <c r="J222" s="260">
        <f t="shared" si="170"/>
        <v>200</v>
      </c>
      <c r="K222" s="259">
        <f t="shared" si="193"/>
        <v>200</v>
      </c>
      <c r="L222" s="259" t="str">
        <f t="shared" si="153"/>
        <v>-</v>
      </c>
      <c r="M222" s="259" t="str">
        <f t="shared" si="153"/>
        <v>-</v>
      </c>
      <c r="N222" s="259" t="str">
        <f t="shared" si="153"/>
        <v>-</v>
      </c>
      <c r="O222" s="259" t="str">
        <f t="shared" si="153"/>
        <v>-</v>
      </c>
      <c r="P222" s="259" t="str">
        <f t="shared" si="153"/>
        <v>-</v>
      </c>
      <c r="Q222" s="259" t="str">
        <f t="shared" si="153"/>
        <v>-</v>
      </c>
      <c r="R222" s="259" t="str">
        <f t="shared" si="153"/>
        <v>-</v>
      </c>
      <c r="S222" s="259">
        <f t="shared" si="194"/>
        <v>157</v>
      </c>
      <c r="T222" s="259">
        <f t="shared" si="154"/>
        <v>-208</v>
      </c>
      <c r="U222" s="259">
        <f t="shared" si="154"/>
        <v>-574</v>
      </c>
      <c r="V222" s="259">
        <f t="shared" si="154"/>
        <v>-939</v>
      </c>
      <c r="W222" s="259">
        <f t="shared" si="154"/>
        <v>-1304</v>
      </c>
      <c r="X222" s="259">
        <f t="shared" si="154"/>
        <v>-1669</v>
      </c>
      <c r="Y222" s="259">
        <f t="shared" si="154"/>
        <v>-2035</v>
      </c>
      <c r="Z222" s="259">
        <f t="shared" si="154"/>
        <v>-2400</v>
      </c>
      <c r="AA222" s="267">
        <f>(VLOOKUP(A222,Hshldprojections2014!$A$2:$AW$319,40, FALSE)-VLOOKUP(A222,Hshldprojections2014!$A$2:$AW$319,30, FALSE))/10</f>
        <v>143.5</v>
      </c>
      <c r="AB222" s="267">
        <f>(VLOOKUP(A222,Hshldprojections2014!$A$2:$AW$319,41, FALSE)-VLOOKUP(A222,Hshldprojections2014!$A$2:$AW$319,31, FALSE))/10</f>
        <v>141.69999999999999</v>
      </c>
      <c r="AC222" s="267">
        <f>(VLOOKUP(A222,Hshldprojections2014!$A$2:$AW$319,42, FALSE)-VLOOKUP(A222,Hshldprojections2014!$A$2:$AW$319,32, FALSE))/10</f>
        <v>140.69999999999999</v>
      </c>
      <c r="AD222" s="267">
        <f>IF(IndividualLATest!$J$7=2014,(VLOOKUP($A222,Hshldprojections2014!$A$2:$AY$326,43,FALSE)-VLOOKUP($A222,Hshldprojections2014!$A$2:$AY$326,33,FALSE))/10,IF(IndividualLATest!$J$7=2016,(VLOOKUP($A222,Hshldprojections2016!$A$1:$AQ$322,33,FALSE)-VLOOKUP($A222,Hshldprojections2016!$A$1:$AQ$322,23,FALSE))/10,(VLOOKUP($A222,Hshldprojections2018!$A$1:$AQ$327,33,FALSE)-VLOOKUP($A222,Hshldprojections2018!$A$1:$AQ$327,23,FALSE))/10))</f>
        <v>239.6</v>
      </c>
      <c r="AE222" s="267">
        <f>IF(IndividualLATest!$J$7=2014,(VLOOKUP($A222,Hshldprojections2014!$A$2:$AY$326,44,FALSE)-VLOOKUP($A222,Hshldprojections2014!$A$2:$AY$326,34,FALSE))/10,IF(IndividualLATest!$J$7=2016,(VLOOKUP($A222,Hshldprojections2016!$A$1:$AQ$322,34,FALSE)-VLOOKUP($A222,Hshldprojections2016!$A$1:$AQ$322,24,FALSE))/10,(VLOOKUP($A222,Hshldprojections2018!$A$1:$AQ$327,34,FALSE)-VLOOKUP($A222,Hshldprojections2018!$A$1:$AQ$327,24,FALSE))/10))</f>
        <v>231.1</v>
      </c>
      <c r="AF222" s="267">
        <f>IF(IndividualLATest!$J$7=2014,(VLOOKUP($A222,Hshldprojections2014!$A$2:$AY$326,45,FALSE)-VLOOKUP($A222,Hshldprojections2014!$A$2:$AY$326,35,FALSE))/10,IF(IndividualLATest!$J$7=2016,(VLOOKUP($A222,Hshldprojections2016!$A$1:$AQ$322,35,FALSE)-VLOOKUP($A222,Hshldprojections2016!$A$1:$AQ$322,25,FALSE))/10,(VLOOKUP($A222,Hshldprojections2018!$A$1:$AQ$327,35,FALSE)-VLOOKUP($A222,Hshldprojections2018!$A$1:$AQ$327,25,FALSE))/10))</f>
        <v>221.5</v>
      </c>
      <c r="AG222" s="267">
        <f>IF(IndividualLATest!$J$7=2014,(VLOOKUP($A222,Hshldprojections2014!$A$2:$AY$326,46,FALSE)-VLOOKUP($A222,Hshldprojections2014!$A$2:$AY$326,36,FALSE))/10,IF(IndividualLATest!$J$7=2016,(VLOOKUP($A222,Hshldprojections2016!$A$1:$AQ$322,36,FALSE)-VLOOKUP($A222,Hshldprojections2016!$A$1:$AQ$322,26,FALSE))/10,(VLOOKUP($A222,Hshldprojections2018!$A$1:$AQ$327,36,FALSE)-VLOOKUP($A222,Hshldprojections2018!$A$1:$AQ$327,26,FALSE))/10))</f>
        <v>212.9</v>
      </c>
      <c r="AH222" s="267">
        <f>IF(IndividualLATest!$J$7=2014,(VLOOKUP($A222,Hshldprojections2014!$A$2:$AY$326,47,FALSE)-VLOOKUP($A222,Hshldprojections2014!$A$2:$AY$326,37,FALSE))/10,IF(IndividualLATest!$J$7=2016,(VLOOKUP($A222,Hshldprojections2016!$A$1:$AQ$322,37,FALSE)-VLOOKUP($A222,Hshldprojections2016!$A$1:$AQ$322,27,FALSE))/10,(VLOOKUP($A222,Hshldprojections2018!$A$1:$AQ$327,37,FALSE)-VLOOKUP($A222,Hshldprojections2018!$A$1:$AQ$327,27,FALSE))/10))</f>
        <v>204.6</v>
      </c>
      <c r="AI222" s="268">
        <f>IF(ISNUMBER('Sensitivity Tests'!$C$30),'Sensitivity Tests'!$C$30,VLOOKUP($A222,AffordabilityRatio!$A$2:$I$321,5,FALSE))</f>
        <v>8.9700000000000006</v>
      </c>
      <c r="AJ222" s="268">
        <f>IF(ISNUMBER('Sensitivity Tests'!$C$30),'Sensitivity Tests'!$C$30,VLOOKUP($A222,AffordabilityRatio!$A$2:$I$321,6,FALSE))</f>
        <v>9.36</v>
      </c>
      <c r="AK222" s="268">
        <f>IF(ISNUMBER('Sensitivity Tests'!$C$30),'Sensitivity Tests'!$C$30,VLOOKUP($A222,AffordabilityRatio!$A$2:$I$321,7,FALSE))</f>
        <v>8.94</v>
      </c>
      <c r="AL222" s="268">
        <f>IF(ISNUMBER('Sensitivity Tests'!$C$30),'Sensitivity Tests'!$C$30,IF((VLOOKUP($A222,AffordabilityRatio!$A$2:$I$321,8,FALSE))="",AK222,VLOOKUP($A222,AffordabilityRatio!$A$2:$I$321,8,FALSE)))</f>
        <v>9.43</v>
      </c>
      <c r="AM222" s="268">
        <f>IF(ISNUMBER('Sensitivity Tests'!$C$30),'Sensitivity Tests'!$C$30,IF((VLOOKUP($A222,AffordabilityRatio!$A$2:$I$321,9,FALSE))="",AL222,VLOOKUP($A222,AffordabilityRatio!$A$2:$I$321,9,FALSE)))</f>
        <v>9.4700000000000006</v>
      </c>
      <c r="AN222" s="268">
        <f>IF(ISNUMBER('Sensitivity Tests'!$C$30),'Sensitivity Tests'!$C$30,IF((VLOOKUP($A222,AffordabilityRatio!$A$2:$I$321,9,FALSE))="",AM222,VLOOKUP($A222,AffordabilityRatio!$A$2:$I$321,9,FALSE)))</f>
        <v>9.4700000000000006</v>
      </c>
      <c r="AO222" s="268">
        <f>IF(ISNUMBER('Sensitivity Tests'!$C$30),'Sensitivity Tests'!$C$30,IF((VLOOKUP($A222,AffordabilityRatio!$A$2:$I$321,9,FALSE))="",AN222,VLOOKUP($A222,AffordabilityRatio!$A$2:$I$321,9,FALSE)))</f>
        <v>9.4700000000000006</v>
      </c>
      <c r="AP222" s="268">
        <f>IF(ISNUMBER('Sensitivity Tests'!$C$30),'Sensitivity Tests'!$C$30,IF((VLOOKUP($A222,AffordabilityRatio!$A$2:$I$321,9,FALSE))="",AO222,VLOOKUP($A222,AffordabilityRatio!$A$2:$I$321,9,FALSE)))</f>
        <v>9.4700000000000006</v>
      </c>
      <c r="AQ222" s="267">
        <f t="shared" si="152"/>
        <v>188</v>
      </c>
      <c r="AR222" s="267">
        <f t="shared" si="152"/>
        <v>189</v>
      </c>
      <c r="AS222" s="267">
        <f t="shared" si="152"/>
        <v>184</v>
      </c>
      <c r="AT222" s="267">
        <f t="shared" si="152"/>
        <v>321</v>
      </c>
      <c r="AU222" s="267">
        <f t="shared" si="152"/>
        <v>310</v>
      </c>
      <c r="AV222" s="267">
        <f t="shared" si="151"/>
        <v>297</v>
      </c>
      <c r="AW222" s="267">
        <f t="shared" si="151"/>
        <v>286</v>
      </c>
      <c r="AX222" s="267">
        <f t="shared" si="151"/>
        <v>275</v>
      </c>
      <c r="AY222" s="267">
        <f t="shared" si="171"/>
        <v>188</v>
      </c>
      <c r="AZ222" s="267">
        <f t="shared" si="172"/>
        <v>189</v>
      </c>
      <c r="BA222" s="267">
        <f t="shared" si="173"/>
        <v>184</v>
      </c>
      <c r="BB222" s="267">
        <f t="shared" si="174"/>
        <v>321</v>
      </c>
      <c r="BC222" s="267">
        <f t="shared" si="175"/>
        <v>310</v>
      </c>
      <c r="BD222" s="267">
        <f t="shared" si="176"/>
        <v>297</v>
      </c>
      <c r="BE222" s="267">
        <f t="shared" si="177"/>
        <v>286</v>
      </c>
      <c r="BF222" s="267">
        <f t="shared" si="178"/>
        <v>275</v>
      </c>
      <c r="BG222" s="269">
        <f>AY222*VLOOKUP($B222,'Major Cities &amp; Towns'!$A$28:$B$345,2,FALSE)</f>
        <v>188</v>
      </c>
      <c r="BH222" s="269">
        <f>AZ222*VLOOKUP($B222,'Major Cities &amp; Towns'!$A$28:$B$345,2,FALSE)</f>
        <v>189</v>
      </c>
      <c r="BI222" s="269">
        <f>BA222*VLOOKUP($B222,'Major Cities &amp; Towns'!$A$28:$B$345,2,FALSE)</f>
        <v>184</v>
      </c>
      <c r="BJ222" s="269">
        <f>BB222*VLOOKUP($B222,'Major Cities &amp; Towns'!$A$28:$B$345,2,FALSE)</f>
        <v>321</v>
      </c>
      <c r="BK222" s="269">
        <f>BC222*VLOOKUP($B222,'Major Cities &amp; Towns'!$A$28:$B$345,2,FALSE)</f>
        <v>310</v>
      </c>
      <c r="BL222" s="269">
        <f>BD222*VLOOKUP($B222,'Major Cities &amp; Towns'!$A$28:$B$345,2,FALSE)</f>
        <v>297</v>
      </c>
      <c r="BM222" s="269">
        <f>BE222*VLOOKUP($B222,'Major Cities &amp; Towns'!$A$28:$B$345,2,FALSE)</f>
        <v>286</v>
      </c>
      <c r="BN222" s="269">
        <f>BF222*VLOOKUP($B222,'Major Cities &amp; Towns'!$A$28:$B$345,2,FALSE)</f>
        <v>275</v>
      </c>
      <c r="BO222" s="270">
        <f t="shared" si="179"/>
        <v>188</v>
      </c>
      <c r="BP222" s="270">
        <f t="shared" si="195"/>
        <v>189</v>
      </c>
      <c r="BQ222" s="270">
        <f t="shared" si="195"/>
        <v>184</v>
      </c>
      <c r="BR222" s="270">
        <f t="shared" si="195"/>
        <v>321</v>
      </c>
      <c r="BS222" s="270">
        <f t="shared" si="195"/>
        <v>310</v>
      </c>
      <c r="BT222" s="270">
        <f t="shared" si="195"/>
        <v>297</v>
      </c>
      <c r="BU222" s="270">
        <f t="shared" si="195"/>
        <v>286</v>
      </c>
      <c r="BV222" s="270">
        <f t="shared" si="195"/>
        <v>275</v>
      </c>
      <c r="BW222" s="39">
        <f>VLOOKUP($A222,NetAdditions!$A$2:$H$336,6,FALSE)</f>
        <v>272</v>
      </c>
      <c r="BX222" s="39">
        <f>VLOOKUP($A222,NetAdditions!$A$2:$H$336,7,FALSE)</f>
        <v>452</v>
      </c>
      <c r="BY222" s="39">
        <f>IF((VLOOKUP($C222,NetAdditions!$A$2:$H$336,8,FALSE))="",(AVERAGE(VLOOKUP($C222,NetAdditions!$A$2:$H$336,5,FALSE),VLOOKUP($C222,NetAdditions!$A$2:$H$336,6,FALSE),VLOOKUP($C222,NetAdditions!$A$2:$H$336,7,FALSE))),VLOOKUP($C222,NetAdditions!$A$2:$H$336,8,FALSE))</f>
        <v>197</v>
      </c>
      <c r="BZ222" s="39">
        <f t="shared" ref="BZ222:CD272" si="196">AVERAGE(BW222:BY222)</f>
        <v>307</v>
      </c>
      <c r="CA222" s="39">
        <f t="shared" si="196"/>
        <v>318.66666666666669</v>
      </c>
      <c r="CB222" s="39">
        <f t="shared" si="196"/>
        <v>274.22222222222223</v>
      </c>
      <c r="CC222" s="39">
        <f t="shared" si="196"/>
        <v>299.96296296296299</v>
      </c>
      <c r="CD222" s="39">
        <f t="shared" si="196"/>
        <v>297.61728395061732</v>
      </c>
      <c r="CE222" s="276">
        <f t="shared" si="155"/>
        <v>561</v>
      </c>
      <c r="CF222" s="276">
        <f t="shared" si="156"/>
        <v>694</v>
      </c>
      <c r="CG222" s="276">
        <f t="shared" si="157"/>
        <v>815</v>
      </c>
      <c r="CH222" s="276">
        <f t="shared" si="158"/>
        <v>928</v>
      </c>
      <c r="CI222" s="276">
        <f t="shared" si="159"/>
        <v>893</v>
      </c>
      <c r="CJ222" s="276">
        <f t="shared" si="160"/>
        <v>858</v>
      </c>
      <c r="CK222" s="276">
        <f t="shared" si="180"/>
        <v>483.08333333333337</v>
      </c>
      <c r="CL222" s="276">
        <f t="shared" si="181"/>
        <v>597.6111111111112</v>
      </c>
      <c r="CM222" s="276">
        <f t="shared" si="182"/>
        <v>747.08333333333326</v>
      </c>
      <c r="CN222" s="276">
        <f t="shared" si="183"/>
        <v>928</v>
      </c>
      <c r="CO222" s="276">
        <f t="shared" si="183"/>
        <v>893</v>
      </c>
      <c r="CP222" s="276">
        <f t="shared" si="183"/>
        <v>858</v>
      </c>
      <c r="CQ222" s="39">
        <f t="shared" si="161"/>
        <v>921</v>
      </c>
      <c r="CR222" s="39">
        <f t="shared" si="162"/>
        <v>956</v>
      </c>
      <c r="CS222" s="277">
        <f t="shared" si="163"/>
        <v>822.66666666666674</v>
      </c>
      <c r="CT222" s="39">
        <f t="shared" si="164"/>
        <v>899.88888888888891</v>
      </c>
      <c r="CU222" s="39">
        <f t="shared" si="165"/>
        <v>892.85185185185196</v>
      </c>
      <c r="CV222" s="39">
        <f t="shared" si="166"/>
        <v>871.80246913580254</v>
      </c>
      <c r="CW222" s="297">
        <f t="shared" si="167"/>
        <v>1.9065033638088664</v>
      </c>
      <c r="CX222" s="279" t="str">
        <f t="shared" si="184"/>
        <v>Pass</v>
      </c>
      <c r="CY222" s="278">
        <f t="shared" si="168"/>
        <v>1.5997025192897645</v>
      </c>
      <c r="CZ222" s="279" t="str">
        <f t="shared" si="185"/>
        <v>Pass</v>
      </c>
      <c r="DA222" s="278">
        <f t="shared" si="169"/>
        <v>1.1011712214166205</v>
      </c>
      <c r="DB222" s="292" t="str">
        <f t="shared" si="186"/>
        <v>Pass</v>
      </c>
      <c r="DC222" s="299">
        <f t="shared" si="187"/>
        <v>0.96970785440613028</v>
      </c>
      <c r="DD222" s="293" t="str">
        <f t="shared" si="188"/>
        <v>Pass</v>
      </c>
      <c r="DE222" s="299">
        <f t="shared" si="189"/>
        <v>0.99983410061797529</v>
      </c>
      <c r="DF222" s="293" t="str">
        <f t="shared" si="190"/>
        <v>Pass</v>
      </c>
      <c r="DG222" s="299">
        <f t="shared" si="191"/>
        <v>1.0160867938645717</v>
      </c>
      <c r="DH222" s="293" t="str">
        <f t="shared" si="192"/>
        <v>Pass</v>
      </c>
    </row>
    <row r="223" spans="1:112" ht="15" thickTop="1" thickBot="1">
      <c r="A223" s="38" t="s">
        <v>556</v>
      </c>
      <c r="B223" s="38" t="s">
        <v>557</v>
      </c>
      <c r="C223" s="38" t="s">
        <v>556</v>
      </c>
      <c r="D223" s="38" t="s">
        <v>116</v>
      </c>
      <c r="E223" s="38" t="str">
        <f>VLOOKUP(C223,PoliticalControl!A:K,11,FALSE)</f>
        <v>LAB</v>
      </c>
      <c r="F223" s="38" t="str">
        <f>VLOOKUP(C223,UrbanRuralClassification!A:N,13,FALSE)</f>
        <v>Urban with Major Conurbation</v>
      </c>
      <c r="G223" s="38" t="str">
        <f>VLOOKUP(C223,UrbanRuralClassification!A:N,14,FALSE)</f>
        <v>Predominantly Urban</v>
      </c>
      <c r="H223" s="258" t="str">
        <f>IF(ISBLANK((VLOOKUP($A223,'local-plan-data'!$C$1:$AD$566,27,FALSE)))=TRUE,"",VLOOKUP($A223,'local-plan-data'!$C$1:$AD$566,27,FALSE))</f>
        <v/>
      </c>
      <c r="I223" s="259">
        <f>VLOOKUP($A223,'local-plan-data'!$C$1:$AD$566,28,FALSE)</f>
        <v>1658</v>
      </c>
      <c r="J223" s="260">
        <f t="shared" si="170"/>
        <v>1658</v>
      </c>
      <c r="K223" s="259" t="str">
        <f t="shared" si="193"/>
        <v>-</v>
      </c>
      <c r="L223" s="259" t="str">
        <f t="shared" si="153"/>
        <v>-</v>
      </c>
      <c r="M223" s="259" t="str">
        <f t="shared" si="153"/>
        <v>-</v>
      </c>
      <c r="N223" s="259" t="str">
        <f t="shared" si="153"/>
        <v>-</v>
      </c>
      <c r="O223" s="259" t="str">
        <f t="shared" si="153"/>
        <v>-</v>
      </c>
      <c r="P223" s="259" t="str">
        <f t="shared" si="153"/>
        <v>-</v>
      </c>
      <c r="Q223" s="259" t="str">
        <f t="shared" si="153"/>
        <v>-</v>
      </c>
      <c r="R223" s="259" t="str">
        <f t="shared" si="153"/>
        <v>-</v>
      </c>
      <c r="S223" s="259" t="str">
        <f t="shared" si="194"/>
        <v>-</v>
      </c>
      <c r="T223" s="259" t="str">
        <f t="shared" si="154"/>
        <v>-</v>
      </c>
      <c r="U223" s="259" t="str">
        <f t="shared" si="154"/>
        <v>-</v>
      </c>
      <c r="V223" s="259" t="str">
        <f t="shared" si="154"/>
        <v>-</v>
      </c>
      <c r="W223" s="259" t="str">
        <f t="shared" si="154"/>
        <v>-</v>
      </c>
      <c r="X223" s="259" t="str">
        <f t="shared" si="154"/>
        <v>-</v>
      </c>
      <c r="Y223" s="259" t="str">
        <f t="shared" si="154"/>
        <v>-</v>
      </c>
      <c r="Z223" s="259" t="str">
        <f t="shared" si="154"/>
        <v>-</v>
      </c>
      <c r="AA223" s="267">
        <f>(VLOOKUP(A223,Hshldprojections2014!$A$2:$AW$319,40, FALSE)-VLOOKUP(A223,Hshldprojections2014!$A$2:$AW$319,30, FALSE))/10</f>
        <v>1245.5</v>
      </c>
      <c r="AB223" s="267">
        <f>(VLOOKUP(A223,Hshldprojections2014!$A$2:$AW$319,41, FALSE)-VLOOKUP(A223,Hshldprojections2014!$A$2:$AW$319,31, FALSE))/10</f>
        <v>1228.4000000000001</v>
      </c>
      <c r="AC223" s="267">
        <f>(VLOOKUP(A223,Hshldprojections2014!$A$2:$AW$319,42, FALSE)-VLOOKUP(A223,Hshldprojections2014!$A$2:$AW$319,32, FALSE))/10</f>
        <v>1216.5999999999999</v>
      </c>
      <c r="AD223" s="267">
        <f>IF(IndividualLATest!$J$7=2014,(VLOOKUP($A223,Hshldprojections2014!$A$2:$AY$326,43,FALSE)-VLOOKUP($A223,Hshldprojections2014!$A$2:$AY$326,33,FALSE))/10,IF(IndividualLATest!$J$7=2016,(VLOOKUP($A223,Hshldprojections2016!$A$1:$AQ$322,33,FALSE)-VLOOKUP($A223,Hshldprojections2016!$A$1:$AQ$322,23,FALSE))/10,(VLOOKUP($A223,Hshldprojections2018!$A$1:$AQ$327,33,FALSE)-VLOOKUP($A223,Hshldprojections2018!$A$1:$AQ$327,23,FALSE))/10))</f>
        <v>982.5</v>
      </c>
      <c r="AE223" s="267">
        <f>IF(IndividualLATest!$J$7=2014,(VLOOKUP($A223,Hshldprojections2014!$A$2:$AY$326,44,FALSE)-VLOOKUP($A223,Hshldprojections2014!$A$2:$AY$326,34,FALSE))/10,IF(IndividualLATest!$J$7=2016,(VLOOKUP($A223,Hshldprojections2016!$A$1:$AQ$322,34,FALSE)-VLOOKUP($A223,Hshldprojections2016!$A$1:$AQ$322,24,FALSE))/10,(VLOOKUP($A223,Hshldprojections2018!$A$1:$AQ$327,34,FALSE)-VLOOKUP($A223,Hshldprojections2018!$A$1:$AQ$327,24,FALSE))/10))</f>
        <v>965.6</v>
      </c>
      <c r="AF223" s="267">
        <f>IF(IndividualLATest!$J$7=2014,(VLOOKUP($A223,Hshldprojections2014!$A$2:$AY$326,45,FALSE)-VLOOKUP($A223,Hshldprojections2014!$A$2:$AY$326,35,FALSE))/10,IF(IndividualLATest!$J$7=2016,(VLOOKUP($A223,Hshldprojections2016!$A$1:$AQ$322,35,FALSE)-VLOOKUP($A223,Hshldprojections2016!$A$1:$AQ$322,25,FALSE))/10,(VLOOKUP($A223,Hshldprojections2018!$A$1:$AQ$327,35,FALSE)-VLOOKUP($A223,Hshldprojections2018!$A$1:$AQ$327,25,FALSE))/10))</f>
        <v>956.5</v>
      </c>
      <c r="AG223" s="267">
        <f>IF(IndividualLATest!$J$7=2014,(VLOOKUP($A223,Hshldprojections2014!$A$2:$AY$326,46,FALSE)-VLOOKUP($A223,Hshldprojections2014!$A$2:$AY$326,36,FALSE))/10,IF(IndividualLATest!$J$7=2016,(VLOOKUP($A223,Hshldprojections2016!$A$1:$AQ$322,36,FALSE)-VLOOKUP($A223,Hshldprojections2016!$A$1:$AQ$322,26,FALSE))/10,(VLOOKUP($A223,Hshldprojections2018!$A$1:$AQ$327,36,FALSE)-VLOOKUP($A223,Hshldprojections2018!$A$1:$AQ$327,26,FALSE))/10))</f>
        <v>949.8</v>
      </c>
      <c r="AH223" s="267">
        <f>IF(IndividualLATest!$J$7=2014,(VLOOKUP($A223,Hshldprojections2014!$A$2:$AY$326,47,FALSE)-VLOOKUP($A223,Hshldprojections2014!$A$2:$AY$326,37,FALSE))/10,IF(IndividualLATest!$J$7=2016,(VLOOKUP($A223,Hshldprojections2016!$A$1:$AQ$322,37,FALSE)-VLOOKUP($A223,Hshldprojections2016!$A$1:$AQ$322,27,FALSE))/10,(VLOOKUP($A223,Hshldprojections2018!$A$1:$AQ$327,37,FALSE)-VLOOKUP($A223,Hshldprojections2018!$A$1:$AQ$327,27,FALSE))/10))</f>
        <v>948.1</v>
      </c>
      <c r="AI223" s="268">
        <f>IF(ISNUMBER('Sensitivity Tests'!$C$30),'Sensitivity Tests'!$C$30,VLOOKUP($A223,AffordabilityRatio!$A$2:$I$321,5,FALSE))</f>
        <v>5.64</v>
      </c>
      <c r="AJ223" s="268">
        <f>IF(ISNUMBER('Sensitivity Tests'!$C$30),'Sensitivity Tests'!$C$30,VLOOKUP($A223,AffordabilityRatio!$A$2:$I$321,6,FALSE))</f>
        <v>5.84</v>
      </c>
      <c r="AK223" s="268">
        <f>IF(ISNUMBER('Sensitivity Tests'!$C$30),'Sensitivity Tests'!$C$30,VLOOKUP($A223,AffordabilityRatio!$A$2:$I$321,7,FALSE))</f>
        <v>5.7</v>
      </c>
      <c r="AL223" s="268">
        <f>IF(ISNUMBER('Sensitivity Tests'!$C$30),'Sensitivity Tests'!$C$30,IF((VLOOKUP($A223,AffordabilityRatio!$A$2:$I$321,8,FALSE))="",AK223,VLOOKUP($A223,AffordabilityRatio!$A$2:$I$321,8,FALSE)))</f>
        <v>5.62</v>
      </c>
      <c r="AM223" s="268">
        <f>IF(ISNUMBER('Sensitivity Tests'!$C$30),'Sensitivity Tests'!$C$30,IF((VLOOKUP($A223,AffordabilityRatio!$A$2:$I$321,9,FALSE))="",AL223,VLOOKUP($A223,AffordabilityRatio!$A$2:$I$321,9,FALSE)))</f>
        <v>6.74</v>
      </c>
      <c r="AN223" s="268">
        <f>IF(ISNUMBER('Sensitivity Tests'!$C$30),'Sensitivity Tests'!$C$30,IF((VLOOKUP($A223,AffordabilityRatio!$A$2:$I$321,9,FALSE))="",AM223,VLOOKUP($A223,AffordabilityRatio!$A$2:$I$321,9,FALSE)))</f>
        <v>6.74</v>
      </c>
      <c r="AO223" s="268">
        <f>IF(ISNUMBER('Sensitivity Tests'!$C$30),'Sensitivity Tests'!$C$30,IF((VLOOKUP($A223,AffordabilityRatio!$A$2:$I$321,9,FALSE))="",AN223,VLOOKUP($A223,AffordabilityRatio!$A$2:$I$321,9,FALSE)))</f>
        <v>6.74</v>
      </c>
      <c r="AP223" s="268">
        <f>IF(ISNUMBER('Sensitivity Tests'!$C$30),'Sensitivity Tests'!$C$30,IF((VLOOKUP($A223,AffordabilityRatio!$A$2:$I$321,9,FALSE))="",AO223,VLOOKUP($A223,AffordabilityRatio!$A$2:$I$321,9,FALSE)))</f>
        <v>6.74</v>
      </c>
      <c r="AQ223" s="267">
        <f t="shared" si="152"/>
        <v>1373</v>
      </c>
      <c r="AR223" s="267">
        <f t="shared" si="152"/>
        <v>1370</v>
      </c>
      <c r="AS223" s="267">
        <f t="shared" si="152"/>
        <v>1346</v>
      </c>
      <c r="AT223" s="267">
        <f t="shared" si="152"/>
        <v>1082</v>
      </c>
      <c r="AU223" s="267">
        <f t="shared" si="152"/>
        <v>1131</v>
      </c>
      <c r="AV223" s="267">
        <f t="shared" si="151"/>
        <v>1120</v>
      </c>
      <c r="AW223" s="267">
        <f t="shared" si="151"/>
        <v>1112</v>
      </c>
      <c r="AX223" s="267">
        <f t="shared" si="151"/>
        <v>1110</v>
      </c>
      <c r="AY223" s="267">
        <f t="shared" si="171"/>
        <v>1373</v>
      </c>
      <c r="AZ223" s="267">
        <f t="shared" si="172"/>
        <v>1370</v>
      </c>
      <c r="BA223" s="267">
        <f t="shared" si="173"/>
        <v>1346</v>
      </c>
      <c r="BB223" s="267">
        <f t="shared" si="174"/>
        <v>1082</v>
      </c>
      <c r="BC223" s="267">
        <f t="shared" si="175"/>
        <v>1131</v>
      </c>
      <c r="BD223" s="267">
        <f t="shared" si="176"/>
        <v>1120</v>
      </c>
      <c r="BE223" s="267">
        <f t="shared" si="177"/>
        <v>1112</v>
      </c>
      <c r="BF223" s="267">
        <f t="shared" si="178"/>
        <v>1110</v>
      </c>
      <c r="BG223" s="269">
        <f>AY223*VLOOKUP($B223,'Major Cities &amp; Towns'!$A$28:$B$345,2,FALSE)</f>
        <v>1373</v>
      </c>
      <c r="BH223" s="269">
        <f>AZ223*VLOOKUP($B223,'Major Cities &amp; Towns'!$A$28:$B$345,2,FALSE)</f>
        <v>1370</v>
      </c>
      <c r="BI223" s="269">
        <f>BA223*VLOOKUP($B223,'Major Cities &amp; Towns'!$A$28:$B$345,2,FALSE)</f>
        <v>1346</v>
      </c>
      <c r="BJ223" s="269">
        <f>BB223*VLOOKUP($B223,'Major Cities &amp; Towns'!$A$28:$B$345,2,FALSE)</f>
        <v>1082</v>
      </c>
      <c r="BK223" s="269">
        <f>BC223*VLOOKUP($B223,'Major Cities &amp; Towns'!$A$28:$B$345,2,FALSE)</f>
        <v>1131</v>
      </c>
      <c r="BL223" s="269">
        <f>BD223*VLOOKUP($B223,'Major Cities &amp; Towns'!$A$28:$B$345,2,FALSE)</f>
        <v>1120</v>
      </c>
      <c r="BM223" s="269">
        <f>BE223*VLOOKUP($B223,'Major Cities &amp; Towns'!$A$28:$B$345,2,FALSE)</f>
        <v>1112</v>
      </c>
      <c r="BN223" s="269">
        <f>BF223*VLOOKUP($B223,'Major Cities &amp; Towns'!$A$28:$B$345,2,FALSE)</f>
        <v>1110</v>
      </c>
      <c r="BO223" s="270">
        <f t="shared" si="179"/>
        <v>1373</v>
      </c>
      <c r="BP223" s="270">
        <f t="shared" si="195"/>
        <v>1370</v>
      </c>
      <c r="BQ223" s="270">
        <f t="shared" si="195"/>
        <v>1346</v>
      </c>
      <c r="BR223" s="270">
        <f t="shared" si="195"/>
        <v>1082</v>
      </c>
      <c r="BS223" s="270">
        <f t="shared" si="195"/>
        <v>1131</v>
      </c>
      <c r="BT223" s="270">
        <f t="shared" si="195"/>
        <v>1120</v>
      </c>
      <c r="BU223" s="270">
        <f t="shared" si="195"/>
        <v>1112</v>
      </c>
      <c r="BV223" s="270">
        <f t="shared" si="195"/>
        <v>1110</v>
      </c>
      <c r="BW223" s="39">
        <f>VLOOKUP($A223,NetAdditions!$A$2:$H$336,6,FALSE)</f>
        <v>3208</v>
      </c>
      <c r="BX223" s="39">
        <f>VLOOKUP($A223,NetAdditions!$A$2:$H$336,7,FALSE)</f>
        <v>3867</v>
      </c>
      <c r="BY223" s="39">
        <f>IF((VLOOKUP($C223,NetAdditions!$A$2:$H$336,8,FALSE))="",(AVERAGE(VLOOKUP($C223,NetAdditions!$A$2:$H$336,5,FALSE),VLOOKUP($C223,NetAdditions!$A$2:$H$336,6,FALSE),VLOOKUP($C223,NetAdditions!$A$2:$H$336,7,FALSE))),VLOOKUP($C223,NetAdditions!$A$2:$H$336,8,FALSE))</f>
        <v>3025</v>
      </c>
      <c r="BZ223" s="39">
        <f t="shared" si="196"/>
        <v>3366.6666666666665</v>
      </c>
      <c r="CA223" s="39">
        <f t="shared" si="196"/>
        <v>3419.5555555555552</v>
      </c>
      <c r="CB223" s="39">
        <f t="shared" si="196"/>
        <v>3270.4074074074069</v>
      </c>
      <c r="CC223" s="39">
        <f t="shared" si="196"/>
        <v>3352.2098765432092</v>
      </c>
      <c r="CD223" s="39">
        <f t="shared" si="196"/>
        <v>3347.390946502057</v>
      </c>
      <c r="CE223" s="276">
        <f t="shared" si="155"/>
        <v>4089</v>
      </c>
      <c r="CF223" s="276">
        <f t="shared" si="156"/>
        <v>3798</v>
      </c>
      <c r="CG223" s="276">
        <f t="shared" si="157"/>
        <v>3559</v>
      </c>
      <c r="CH223" s="276">
        <f t="shared" si="158"/>
        <v>3333</v>
      </c>
      <c r="CI223" s="276">
        <f t="shared" si="159"/>
        <v>3363</v>
      </c>
      <c r="CJ223" s="276">
        <f t="shared" si="160"/>
        <v>3342</v>
      </c>
      <c r="CK223" s="276">
        <f t="shared" si="180"/>
        <v>3521.0833333333335</v>
      </c>
      <c r="CL223" s="276">
        <f t="shared" si="181"/>
        <v>3270.5</v>
      </c>
      <c r="CM223" s="276">
        <f t="shared" si="182"/>
        <v>3262.4166666666665</v>
      </c>
      <c r="CN223" s="276">
        <f t="shared" si="183"/>
        <v>3333</v>
      </c>
      <c r="CO223" s="276">
        <f t="shared" si="183"/>
        <v>3363</v>
      </c>
      <c r="CP223" s="276">
        <f t="shared" si="183"/>
        <v>3342</v>
      </c>
      <c r="CQ223" s="39">
        <f t="shared" si="161"/>
        <v>10100</v>
      </c>
      <c r="CR223" s="39">
        <f t="shared" si="162"/>
        <v>10258.666666666666</v>
      </c>
      <c r="CS223" s="277">
        <f t="shared" si="163"/>
        <v>9811.2222222222208</v>
      </c>
      <c r="CT223" s="39">
        <f t="shared" si="164"/>
        <v>10056.629629629628</v>
      </c>
      <c r="CU223" s="39">
        <f t="shared" si="165"/>
        <v>10042.172839506171</v>
      </c>
      <c r="CV223" s="39">
        <f t="shared" si="166"/>
        <v>9970.0082304526732</v>
      </c>
      <c r="CW223" s="297">
        <f t="shared" si="167"/>
        <v>2.868435377369654</v>
      </c>
      <c r="CX223" s="279" t="str">
        <f t="shared" si="184"/>
        <v>Pass</v>
      </c>
      <c r="CY223" s="278">
        <f t="shared" si="168"/>
        <v>3.1367273097895323</v>
      </c>
      <c r="CZ223" s="279" t="str">
        <f t="shared" si="185"/>
        <v>Pass</v>
      </c>
      <c r="DA223" s="278">
        <f t="shared" si="169"/>
        <v>3.0073479952659494</v>
      </c>
      <c r="DB223" s="292" t="str">
        <f t="shared" si="186"/>
        <v>Pass</v>
      </c>
      <c r="DC223" s="299">
        <f t="shared" si="187"/>
        <v>3.0172906179506835</v>
      </c>
      <c r="DD223" s="293" t="str">
        <f t="shared" si="188"/>
        <v>Pass</v>
      </c>
      <c r="DE223" s="299">
        <f t="shared" si="189"/>
        <v>2.9860757774327</v>
      </c>
      <c r="DF223" s="293" t="str">
        <f t="shared" si="190"/>
        <v>Pass</v>
      </c>
      <c r="DG223" s="299">
        <f t="shared" si="191"/>
        <v>2.9832460294592078</v>
      </c>
      <c r="DH223" s="293" t="str">
        <f t="shared" si="192"/>
        <v>Pass</v>
      </c>
    </row>
    <row r="224" spans="1:112" ht="15" thickTop="1" thickBot="1">
      <c r="A224" s="38" t="s">
        <v>558</v>
      </c>
      <c r="B224" s="38" t="s">
        <v>559</v>
      </c>
      <c r="C224" s="38" t="s">
        <v>558</v>
      </c>
      <c r="D224" s="38" t="s">
        <v>154</v>
      </c>
      <c r="E224" s="38" t="str">
        <f>VLOOKUP(C224,PoliticalControl!A:K,11,FALSE)</f>
        <v>LAB</v>
      </c>
      <c r="F224" s="38" t="str">
        <f>VLOOKUP(C224,UrbanRuralClassification!A:N,13,FALSE)</f>
        <v>Urban with Major Conurbation</v>
      </c>
      <c r="G224" s="38" t="str">
        <f>VLOOKUP(C224,UrbanRuralClassification!A:N,14,FALSE)</f>
        <v>Predominantly Urban</v>
      </c>
      <c r="H224" s="258">
        <f>IF(ISBLANK((VLOOKUP($A224,'local-plan-data'!$C$1:$AD$566,27,FALSE)))=TRUE,"",VLOOKUP($A224,'local-plan-data'!$C$1:$AD$566,27,FALSE))</f>
        <v>40577</v>
      </c>
      <c r="I224" s="259">
        <f>VLOOKUP($A224,'local-plan-data'!$C$1:$AD$566,28,FALSE)</f>
        <v>1074.45</v>
      </c>
      <c r="J224" s="260">
        <f t="shared" si="170"/>
        <v>1074.45</v>
      </c>
      <c r="K224" s="259" t="str">
        <f t="shared" si="193"/>
        <v>-</v>
      </c>
      <c r="L224" s="259" t="str">
        <f t="shared" si="153"/>
        <v>-</v>
      </c>
      <c r="M224" s="259" t="str">
        <f t="shared" si="153"/>
        <v>-</v>
      </c>
      <c r="N224" s="259" t="str">
        <f t="shared" si="153"/>
        <v>-</v>
      </c>
      <c r="O224" s="259" t="str">
        <f t="shared" si="153"/>
        <v>-</v>
      </c>
      <c r="P224" s="259" t="str">
        <f t="shared" si="153"/>
        <v>-</v>
      </c>
      <c r="Q224" s="259" t="str">
        <f t="shared" si="153"/>
        <v>-</v>
      </c>
      <c r="R224" s="259" t="str">
        <f t="shared" si="153"/>
        <v>-</v>
      </c>
      <c r="S224" s="259">
        <f t="shared" si="194"/>
        <v>-788</v>
      </c>
      <c r="T224" s="259">
        <f t="shared" si="154"/>
        <v>-1153</v>
      </c>
      <c r="U224" s="259">
        <f t="shared" si="154"/>
        <v>-1519</v>
      </c>
      <c r="V224" s="259">
        <f t="shared" si="154"/>
        <v>-1884</v>
      </c>
      <c r="W224" s="259">
        <f t="shared" si="154"/>
        <v>-2249</v>
      </c>
      <c r="X224" s="259">
        <f t="shared" si="154"/>
        <v>-2614</v>
      </c>
      <c r="Y224" s="259">
        <f t="shared" si="154"/>
        <v>-2980</v>
      </c>
      <c r="Z224" s="259">
        <f t="shared" si="154"/>
        <v>-3345</v>
      </c>
      <c r="AA224" s="267">
        <f>(VLOOKUP(A224,Hshldprojections2014!$A$2:$AW$319,40, FALSE)-VLOOKUP(A224,Hshldprojections2014!$A$2:$AW$319,30, FALSE))/10</f>
        <v>1330.6</v>
      </c>
      <c r="AB224" s="267">
        <f>(VLOOKUP(A224,Hshldprojections2014!$A$2:$AW$319,41, FALSE)-VLOOKUP(A224,Hshldprojections2014!$A$2:$AW$319,31, FALSE))/10</f>
        <v>1335.7</v>
      </c>
      <c r="AC224" s="267">
        <f>(VLOOKUP(A224,Hshldprojections2014!$A$2:$AW$319,42, FALSE)-VLOOKUP(A224,Hshldprojections2014!$A$2:$AW$319,32, FALSE))/10</f>
        <v>1336</v>
      </c>
      <c r="AD224" s="267">
        <f>IF(IndividualLATest!$J$7=2014,(VLOOKUP($A224,Hshldprojections2014!$A$2:$AY$326,43,FALSE)-VLOOKUP($A224,Hshldprojections2014!$A$2:$AY$326,33,FALSE))/10,IF(IndividualLATest!$J$7=2016,(VLOOKUP($A224,Hshldprojections2016!$A$1:$AQ$322,33,FALSE)-VLOOKUP($A224,Hshldprojections2016!$A$1:$AQ$322,23,FALSE))/10,(VLOOKUP($A224,Hshldprojections2018!$A$1:$AQ$327,33,FALSE)-VLOOKUP($A224,Hshldprojections2018!$A$1:$AQ$327,23,FALSE))/10))</f>
        <v>862.4</v>
      </c>
      <c r="AE224" s="267">
        <f>IF(IndividualLATest!$J$7=2014,(VLOOKUP($A224,Hshldprojections2014!$A$2:$AY$326,44,FALSE)-VLOOKUP($A224,Hshldprojections2014!$A$2:$AY$326,34,FALSE))/10,IF(IndividualLATest!$J$7=2016,(VLOOKUP($A224,Hshldprojections2016!$A$1:$AQ$322,34,FALSE)-VLOOKUP($A224,Hshldprojections2016!$A$1:$AQ$322,24,FALSE))/10,(VLOOKUP($A224,Hshldprojections2018!$A$1:$AQ$327,34,FALSE)-VLOOKUP($A224,Hshldprojections2018!$A$1:$AQ$327,24,FALSE))/10))</f>
        <v>859.3</v>
      </c>
      <c r="AF224" s="267">
        <f>IF(IndividualLATest!$J$7=2014,(VLOOKUP($A224,Hshldprojections2014!$A$2:$AY$326,45,FALSE)-VLOOKUP($A224,Hshldprojections2014!$A$2:$AY$326,35,FALSE))/10,IF(IndividualLATest!$J$7=2016,(VLOOKUP($A224,Hshldprojections2016!$A$1:$AQ$322,35,FALSE)-VLOOKUP($A224,Hshldprojections2016!$A$1:$AQ$322,25,FALSE))/10,(VLOOKUP($A224,Hshldprojections2018!$A$1:$AQ$327,35,FALSE)-VLOOKUP($A224,Hshldprojections2018!$A$1:$AQ$327,25,FALSE))/10))</f>
        <v>862.6</v>
      </c>
      <c r="AG224" s="267">
        <f>IF(IndividualLATest!$J$7=2014,(VLOOKUP($A224,Hshldprojections2014!$A$2:$AY$326,46,FALSE)-VLOOKUP($A224,Hshldprojections2014!$A$2:$AY$326,36,FALSE))/10,IF(IndividualLATest!$J$7=2016,(VLOOKUP($A224,Hshldprojections2016!$A$1:$AQ$322,36,FALSE)-VLOOKUP($A224,Hshldprojections2016!$A$1:$AQ$322,26,FALSE))/10,(VLOOKUP($A224,Hshldprojections2018!$A$1:$AQ$327,36,FALSE)-VLOOKUP($A224,Hshldprojections2018!$A$1:$AQ$327,26,FALSE))/10))</f>
        <v>865.9</v>
      </c>
      <c r="AH224" s="267">
        <f>IF(IndividualLATest!$J$7=2014,(VLOOKUP($A224,Hshldprojections2014!$A$2:$AY$326,47,FALSE)-VLOOKUP($A224,Hshldprojections2014!$A$2:$AY$326,37,FALSE))/10,IF(IndividualLATest!$J$7=2016,(VLOOKUP($A224,Hshldprojections2016!$A$1:$AQ$322,37,FALSE)-VLOOKUP($A224,Hshldprojections2016!$A$1:$AQ$322,27,FALSE))/10,(VLOOKUP($A224,Hshldprojections2018!$A$1:$AQ$327,37,FALSE)-VLOOKUP($A224,Hshldprojections2018!$A$1:$AQ$327,27,FALSE))/10))</f>
        <v>871.6</v>
      </c>
      <c r="AI224" s="268">
        <f>IF(ISNUMBER('Sensitivity Tests'!$C$30),'Sensitivity Tests'!$C$30,VLOOKUP($A224,AffordabilityRatio!$A$2:$I$321,5,FALSE))</f>
        <v>5.4</v>
      </c>
      <c r="AJ224" s="268">
        <f>IF(ISNUMBER('Sensitivity Tests'!$C$30),'Sensitivity Tests'!$C$30,VLOOKUP($A224,AffordabilityRatio!$A$2:$I$321,6,FALSE))</f>
        <v>5.68</v>
      </c>
      <c r="AK224" s="268">
        <f>IF(ISNUMBER('Sensitivity Tests'!$C$30),'Sensitivity Tests'!$C$30,VLOOKUP($A224,AffordabilityRatio!$A$2:$I$321,7,FALSE))</f>
        <v>5.86</v>
      </c>
      <c r="AL224" s="268">
        <f>IF(ISNUMBER('Sensitivity Tests'!$C$30),'Sensitivity Tests'!$C$30,IF((VLOOKUP($A224,AffordabilityRatio!$A$2:$I$321,8,FALSE))="",AK224,VLOOKUP($A224,AffordabilityRatio!$A$2:$I$321,8,FALSE)))</f>
        <v>5.61</v>
      </c>
      <c r="AM224" s="268">
        <f>IF(ISNUMBER('Sensitivity Tests'!$C$30),'Sensitivity Tests'!$C$30,IF((VLOOKUP($A224,AffordabilityRatio!$A$2:$I$321,9,FALSE))="",AL224,VLOOKUP($A224,AffordabilityRatio!$A$2:$I$321,9,FALSE)))</f>
        <v>6.17</v>
      </c>
      <c r="AN224" s="268">
        <f>IF(ISNUMBER('Sensitivity Tests'!$C$30),'Sensitivity Tests'!$C$30,IF((VLOOKUP($A224,AffordabilityRatio!$A$2:$I$321,9,FALSE))="",AM224,VLOOKUP($A224,AffordabilityRatio!$A$2:$I$321,9,FALSE)))</f>
        <v>6.17</v>
      </c>
      <c r="AO224" s="268">
        <f>IF(ISNUMBER('Sensitivity Tests'!$C$30),'Sensitivity Tests'!$C$30,IF((VLOOKUP($A224,AffordabilityRatio!$A$2:$I$321,9,FALSE))="",AN224,VLOOKUP($A224,AffordabilityRatio!$A$2:$I$321,9,FALSE)))</f>
        <v>6.17</v>
      </c>
      <c r="AP224" s="268">
        <f>IF(ISNUMBER('Sensitivity Tests'!$C$30),'Sensitivity Tests'!$C$30,IF((VLOOKUP($A224,AffordabilityRatio!$A$2:$I$321,9,FALSE))="",AO224,VLOOKUP($A224,AffordabilityRatio!$A$2:$I$321,9,FALSE)))</f>
        <v>6.17</v>
      </c>
      <c r="AQ224" s="267">
        <f t="shared" si="152"/>
        <v>1447</v>
      </c>
      <c r="AR224" s="267">
        <f t="shared" si="152"/>
        <v>1476</v>
      </c>
      <c r="AS224" s="267">
        <f t="shared" si="152"/>
        <v>1491</v>
      </c>
      <c r="AT224" s="267">
        <f t="shared" si="152"/>
        <v>949</v>
      </c>
      <c r="AU224" s="267">
        <f t="shared" si="152"/>
        <v>976</v>
      </c>
      <c r="AV224" s="267">
        <f t="shared" si="151"/>
        <v>980</v>
      </c>
      <c r="AW224" s="267">
        <f t="shared" si="151"/>
        <v>983</v>
      </c>
      <c r="AX224" s="267">
        <f t="shared" si="151"/>
        <v>990</v>
      </c>
      <c r="AY224" s="267">
        <f t="shared" si="171"/>
        <v>1447</v>
      </c>
      <c r="AZ224" s="267">
        <f t="shared" si="172"/>
        <v>1476</v>
      </c>
      <c r="BA224" s="267">
        <f t="shared" si="173"/>
        <v>1491</v>
      </c>
      <c r="BB224" s="267">
        <f t="shared" si="174"/>
        <v>949</v>
      </c>
      <c r="BC224" s="267">
        <f t="shared" si="175"/>
        <v>976</v>
      </c>
      <c r="BD224" s="267">
        <f t="shared" si="176"/>
        <v>980</v>
      </c>
      <c r="BE224" s="267">
        <f t="shared" si="177"/>
        <v>983</v>
      </c>
      <c r="BF224" s="267">
        <f t="shared" si="178"/>
        <v>990</v>
      </c>
      <c r="BG224" s="269">
        <f>AY224*VLOOKUP($B224,'Major Cities &amp; Towns'!$A$28:$B$345,2,FALSE)</f>
        <v>1447</v>
      </c>
      <c r="BH224" s="269">
        <f>AZ224*VLOOKUP($B224,'Major Cities &amp; Towns'!$A$28:$B$345,2,FALSE)</f>
        <v>1476</v>
      </c>
      <c r="BI224" s="269">
        <f>BA224*VLOOKUP($B224,'Major Cities &amp; Towns'!$A$28:$B$345,2,FALSE)</f>
        <v>1491</v>
      </c>
      <c r="BJ224" s="269">
        <f>BB224*VLOOKUP($B224,'Major Cities &amp; Towns'!$A$28:$B$345,2,FALSE)</f>
        <v>949</v>
      </c>
      <c r="BK224" s="269">
        <f>BC224*VLOOKUP($B224,'Major Cities &amp; Towns'!$A$28:$B$345,2,FALSE)</f>
        <v>976</v>
      </c>
      <c r="BL224" s="269">
        <f>BD224*VLOOKUP($B224,'Major Cities &amp; Towns'!$A$28:$B$345,2,FALSE)</f>
        <v>980</v>
      </c>
      <c r="BM224" s="269">
        <f>BE224*VLOOKUP($B224,'Major Cities &amp; Towns'!$A$28:$B$345,2,FALSE)</f>
        <v>983</v>
      </c>
      <c r="BN224" s="269">
        <f>BF224*VLOOKUP($B224,'Major Cities &amp; Towns'!$A$28:$B$345,2,FALSE)</f>
        <v>990</v>
      </c>
      <c r="BO224" s="270">
        <f t="shared" si="179"/>
        <v>1447</v>
      </c>
      <c r="BP224" s="270">
        <f t="shared" si="195"/>
        <v>1476</v>
      </c>
      <c r="BQ224" s="270">
        <f t="shared" si="195"/>
        <v>1491</v>
      </c>
      <c r="BR224" s="270">
        <f t="shared" si="195"/>
        <v>949</v>
      </c>
      <c r="BS224" s="270">
        <f t="shared" si="195"/>
        <v>976</v>
      </c>
      <c r="BT224" s="270">
        <f t="shared" si="195"/>
        <v>980</v>
      </c>
      <c r="BU224" s="270">
        <f t="shared" si="195"/>
        <v>983</v>
      </c>
      <c r="BV224" s="270">
        <f t="shared" si="195"/>
        <v>990</v>
      </c>
      <c r="BW224" s="39">
        <f>VLOOKUP($A224,NetAdditions!$A$2:$H$336,6,FALSE)</f>
        <v>794</v>
      </c>
      <c r="BX224" s="39">
        <f>VLOOKUP($A224,NetAdditions!$A$2:$H$336,7,FALSE)</f>
        <v>467</v>
      </c>
      <c r="BY224" s="39">
        <f>IF((VLOOKUP($C224,NetAdditions!$A$2:$H$336,8,FALSE))="",(AVERAGE(VLOOKUP($C224,NetAdditions!$A$2:$H$336,5,FALSE),VLOOKUP($C224,NetAdditions!$A$2:$H$336,6,FALSE),VLOOKUP($C224,NetAdditions!$A$2:$H$336,7,FALSE))),VLOOKUP($C224,NetAdditions!$A$2:$H$336,8,FALSE))</f>
        <v>654</v>
      </c>
      <c r="BZ224" s="39">
        <f t="shared" si="196"/>
        <v>638.33333333333337</v>
      </c>
      <c r="CA224" s="39">
        <f t="shared" si="196"/>
        <v>586.44444444444446</v>
      </c>
      <c r="CB224" s="39">
        <f t="shared" si="196"/>
        <v>626.25925925925924</v>
      </c>
      <c r="CC224" s="39">
        <f t="shared" si="196"/>
        <v>617.01234567901236</v>
      </c>
      <c r="CD224" s="39">
        <f t="shared" si="196"/>
        <v>609.90534979423865</v>
      </c>
      <c r="CE224" s="276">
        <f t="shared" si="155"/>
        <v>4414</v>
      </c>
      <c r="CF224" s="276">
        <f t="shared" si="156"/>
        <v>3916</v>
      </c>
      <c r="CG224" s="276">
        <f t="shared" si="157"/>
        <v>3416</v>
      </c>
      <c r="CH224" s="276">
        <f t="shared" si="158"/>
        <v>2905</v>
      </c>
      <c r="CI224" s="276">
        <f t="shared" si="159"/>
        <v>2939</v>
      </c>
      <c r="CJ224" s="276">
        <f t="shared" si="160"/>
        <v>2953</v>
      </c>
      <c r="CK224" s="276">
        <f t="shared" si="180"/>
        <v>3800.9444444444448</v>
      </c>
      <c r="CL224" s="276">
        <f t="shared" si="181"/>
        <v>3372.1111111111113</v>
      </c>
      <c r="CM224" s="276">
        <f t="shared" si="182"/>
        <v>3131.333333333333</v>
      </c>
      <c r="CN224" s="276">
        <f t="shared" si="183"/>
        <v>2905</v>
      </c>
      <c r="CO224" s="276">
        <f t="shared" si="183"/>
        <v>2939</v>
      </c>
      <c r="CP224" s="276">
        <f t="shared" si="183"/>
        <v>2953</v>
      </c>
      <c r="CQ224" s="39">
        <f t="shared" si="161"/>
        <v>1915</v>
      </c>
      <c r="CR224" s="39">
        <f t="shared" si="162"/>
        <v>1759.3333333333335</v>
      </c>
      <c r="CS224" s="277">
        <f t="shared" si="163"/>
        <v>1878.7777777777778</v>
      </c>
      <c r="CT224" s="39">
        <f t="shared" si="164"/>
        <v>1851.037037037037</v>
      </c>
      <c r="CU224" s="39">
        <f t="shared" si="165"/>
        <v>1829.7160493827159</v>
      </c>
      <c r="CV224" s="39">
        <f t="shared" si="166"/>
        <v>1853.1769547325102</v>
      </c>
      <c r="CW224" s="297">
        <f t="shared" si="167"/>
        <v>0.50382214946577597</v>
      </c>
      <c r="CX224" s="279" t="str">
        <f t="shared" si="184"/>
        <v>Buffer and Action Plan</v>
      </c>
      <c r="CY224" s="278">
        <f t="shared" si="168"/>
        <v>0.52173053477874065</v>
      </c>
      <c r="CZ224" s="279" t="str">
        <f t="shared" si="185"/>
        <v>Buffer and Action Plan</v>
      </c>
      <c r="DA224" s="278">
        <f t="shared" si="169"/>
        <v>0.59999290327159183</v>
      </c>
      <c r="DB224" s="292" t="str">
        <f t="shared" si="186"/>
        <v>Presumption</v>
      </c>
      <c r="DC224" s="299">
        <f t="shared" si="187"/>
        <v>0.63719002996111429</v>
      </c>
      <c r="DD224" s="293" t="str">
        <f t="shared" si="188"/>
        <v>Presumption</v>
      </c>
      <c r="DE224" s="299">
        <f t="shared" si="189"/>
        <v>0.62256415426427902</v>
      </c>
      <c r="DF224" s="293" t="str">
        <f t="shared" si="190"/>
        <v>Presumption</v>
      </c>
      <c r="DG224" s="299">
        <f t="shared" si="191"/>
        <v>0.62755738392567229</v>
      </c>
      <c r="DH224" s="293" t="str">
        <f t="shared" si="192"/>
        <v>Presumption</v>
      </c>
    </row>
    <row r="225" spans="1:112" ht="15" thickTop="1" thickBot="1">
      <c r="A225" s="38" t="s">
        <v>560</v>
      </c>
      <c r="B225" s="38" t="s">
        <v>561</v>
      </c>
      <c r="C225" s="38" t="s">
        <v>560</v>
      </c>
      <c r="D225" s="38" t="s">
        <v>136</v>
      </c>
      <c r="E225" s="38" t="str">
        <f>VLOOKUP(C225,PoliticalControl!A:K,11,FALSE)</f>
        <v>NOC</v>
      </c>
      <c r="F225" s="38" t="str">
        <f>VLOOKUP(C225,UrbanRuralClassification!A:N,13,FALSE)</f>
        <v>Urban with Significant Rural (rural including hub towns 26-49%)</v>
      </c>
      <c r="G225" s="38" t="str">
        <f>VLOOKUP(C225,UrbanRuralClassification!A:N,14,FALSE)</f>
        <v>Urban with Significant Rural</v>
      </c>
      <c r="H225" s="258">
        <f>IF(ISBLANK((VLOOKUP($A225,'local-plan-data'!$C$1:$AD$566,27,FALSE)))=TRUE,"",VLOOKUP($A225,'local-plan-data'!$C$1:$AD$566,27,FALSE))</f>
        <v>42919</v>
      </c>
      <c r="I225" s="259">
        <f>VLOOKUP($A225,'local-plan-data'!$C$1:$AD$566,28,FALSE)</f>
        <v>450</v>
      </c>
      <c r="J225" s="260">
        <f t="shared" si="170"/>
        <v>450</v>
      </c>
      <c r="K225" s="259">
        <f t="shared" si="193"/>
        <v>450</v>
      </c>
      <c r="L225" s="259">
        <f t="shared" si="153"/>
        <v>450</v>
      </c>
      <c r="M225" s="259">
        <f t="shared" si="153"/>
        <v>450</v>
      </c>
      <c r="N225" s="259">
        <f t="shared" si="153"/>
        <v>450</v>
      </c>
      <c r="O225" s="259">
        <f t="shared" si="153"/>
        <v>450</v>
      </c>
      <c r="P225" s="259" t="str">
        <f t="shared" si="153"/>
        <v>-</v>
      </c>
      <c r="Q225" s="259" t="str">
        <f t="shared" si="153"/>
        <v>-</v>
      </c>
      <c r="R225" s="259" t="str">
        <f t="shared" si="153"/>
        <v>-</v>
      </c>
      <c r="S225" s="259">
        <f t="shared" si="194"/>
        <v>1554</v>
      </c>
      <c r="T225" s="259">
        <f t="shared" si="154"/>
        <v>1189</v>
      </c>
      <c r="U225" s="259">
        <f t="shared" si="154"/>
        <v>823</v>
      </c>
      <c r="V225" s="259">
        <f t="shared" si="154"/>
        <v>458</v>
      </c>
      <c r="W225" s="259">
        <f t="shared" si="154"/>
        <v>93</v>
      </c>
      <c r="X225" s="259">
        <f t="shared" si="154"/>
        <v>-272</v>
      </c>
      <c r="Y225" s="259">
        <f t="shared" si="154"/>
        <v>-638</v>
      </c>
      <c r="Z225" s="259">
        <f t="shared" si="154"/>
        <v>-1003</v>
      </c>
      <c r="AA225" s="267">
        <f>(VLOOKUP(A225,Hshldprojections2014!$A$2:$AW$319,40, FALSE)-VLOOKUP(A225,Hshldprojections2014!$A$2:$AW$319,30, FALSE))/10</f>
        <v>149.1</v>
      </c>
      <c r="AB225" s="267">
        <f>(VLOOKUP(A225,Hshldprojections2014!$A$2:$AW$319,41, FALSE)-VLOOKUP(A225,Hshldprojections2014!$A$2:$AW$319,31, FALSE))/10</f>
        <v>149</v>
      </c>
      <c r="AC225" s="267">
        <f>(VLOOKUP(A225,Hshldprojections2014!$A$2:$AW$319,42, FALSE)-VLOOKUP(A225,Hshldprojections2014!$A$2:$AW$319,32, FALSE))/10</f>
        <v>151.1</v>
      </c>
      <c r="AD225" s="267">
        <f>IF(IndividualLATest!$J$7=2014,(VLOOKUP($A225,Hshldprojections2014!$A$2:$AY$326,43,FALSE)-VLOOKUP($A225,Hshldprojections2014!$A$2:$AY$326,33,FALSE))/10,IF(IndividualLATest!$J$7=2016,(VLOOKUP($A225,Hshldprojections2016!$A$1:$AQ$322,33,FALSE)-VLOOKUP($A225,Hshldprojections2016!$A$1:$AQ$322,23,FALSE))/10,(VLOOKUP($A225,Hshldprojections2018!$A$1:$AQ$327,33,FALSE)-VLOOKUP($A225,Hshldprojections2018!$A$1:$AQ$327,23,FALSE))/10))</f>
        <v>284.10000000000002</v>
      </c>
      <c r="AE225" s="267">
        <f>IF(IndividualLATest!$J$7=2014,(VLOOKUP($A225,Hshldprojections2014!$A$2:$AY$326,44,FALSE)-VLOOKUP($A225,Hshldprojections2014!$A$2:$AY$326,34,FALSE))/10,IF(IndividualLATest!$J$7=2016,(VLOOKUP($A225,Hshldprojections2016!$A$1:$AQ$322,34,FALSE)-VLOOKUP($A225,Hshldprojections2016!$A$1:$AQ$322,24,FALSE))/10,(VLOOKUP($A225,Hshldprojections2018!$A$1:$AQ$327,34,FALSE)-VLOOKUP($A225,Hshldprojections2018!$A$1:$AQ$327,24,FALSE))/10))</f>
        <v>276.89999999999998</v>
      </c>
      <c r="AF225" s="267">
        <f>IF(IndividualLATest!$J$7=2014,(VLOOKUP($A225,Hshldprojections2014!$A$2:$AY$326,45,FALSE)-VLOOKUP($A225,Hshldprojections2014!$A$2:$AY$326,35,FALSE))/10,IF(IndividualLATest!$J$7=2016,(VLOOKUP($A225,Hshldprojections2016!$A$1:$AQ$322,35,FALSE)-VLOOKUP($A225,Hshldprojections2016!$A$1:$AQ$322,25,FALSE))/10,(VLOOKUP($A225,Hshldprojections2018!$A$1:$AQ$327,35,FALSE)-VLOOKUP($A225,Hshldprojections2018!$A$1:$AQ$327,25,FALSE))/10))</f>
        <v>274.10000000000002</v>
      </c>
      <c r="AG225" s="267">
        <f>IF(IndividualLATest!$J$7=2014,(VLOOKUP($A225,Hshldprojections2014!$A$2:$AY$326,46,FALSE)-VLOOKUP($A225,Hshldprojections2014!$A$2:$AY$326,36,FALSE))/10,IF(IndividualLATest!$J$7=2016,(VLOOKUP($A225,Hshldprojections2016!$A$1:$AQ$322,36,FALSE)-VLOOKUP($A225,Hshldprojections2016!$A$1:$AQ$322,26,FALSE))/10,(VLOOKUP($A225,Hshldprojections2018!$A$1:$AQ$327,36,FALSE)-VLOOKUP($A225,Hshldprojections2018!$A$1:$AQ$327,26,FALSE))/10))</f>
        <v>267.5</v>
      </c>
      <c r="AH225" s="267">
        <f>IF(IndividualLATest!$J$7=2014,(VLOOKUP($A225,Hshldprojections2014!$A$2:$AY$326,47,FALSE)-VLOOKUP($A225,Hshldprojections2014!$A$2:$AY$326,37,FALSE))/10,IF(IndividualLATest!$J$7=2016,(VLOOKUP($A225,Hshldprojections2016!$A$1:$AQ$322,37,FALSE)-VLOOKUP($A225,Hshldprojections2016!$A$1:$AQ$322,27,FALSE))/10,(VLOOKUP($A225,Hshldprojections2018!$A$1:$AQ$327,37,FALSE)-VLOOKUP($A225,Hshldprojections2018!$A$1:$AQ$327,27,FALSE))/10))</f>
        <v>262.5</v>
      </c>
      <c r="AI225" s="268">
        <f>IF(ISNUMBER('Sensitivity Tests'!$C$30),'Sensitivity Tests'!$C$30,VLOOKUP($A225,AffordabilityRatio!$A$2:$I$321,5,FALSE))</f>
        <v>6.33</v>
      </c>
      <c r="AJ225" s="268">
        <f>IF(ISNUMBER('Sensitivity Tests'!$C$30),'Sensitivity Tests'!$C$30,VLOOKUP($A225,AffordabilityRatio!$A$2:$I$321,6,FALSE))</f>
        <v>6.66</v>
      </c>
      <c r="AK225" s="268">
        <f>IF(ISNUMBER('Sensitivity Tests'!$C$30),'Sensitivity Tests'!$C$30,VLOOKUP($A225,AffordabilityRatio!$A$2:$I$321,7,FALSE))</f>
        <v>6.17</v>
      </c>
      <c r="AL225" s="268">
        <f>IF(ISNUMBER('Sensitivity Tests'!$C$30),'Sensitivity Tests'!$C$30,IF((VLOOKUP($A225,AffordabilityRatio!$A$2:$I$321,8,FALSE))="",AK225,VLOOKUP($A225,AffordabilityRatio!$A$2:$I$321,8,FALSE)))</f>
        <v>6.39</v>
      </c>
      <c r="AM225" s="268">
        <f>IF(ISNUMBER('Sensitivity Tests'!$C$30),'Sensitivity Tests'!$C$30,IF((VLOOKUP($A225,AffordabilityRatio!$A$2:$I$321,9,FALSE))="",AL225,VLOOKUP($A225,AffordabilityRatio!$A$2:$I$321,9,FALSE)))</f>
        <v>6.98</v>
      </c>
      <c r="AN225" s="268">
        <f>IF(ISNUMBER('Sensitivity Tests'!$C$30),'Sensitivity Tests'!$C$30,IF((VLOOKUP($A225,AffordabilityRatio!$A$2:$I$321,9,FALSE))="",AM225,VLOOKUP($A225,AffordabilityRatio!$A$2:$I$321,9,FALSE)))</f>
        <v>6.98</v>
      </c>
      <c r="AO225" s="268">
        <f>IF(ISNUMBER('Sensitivity Tests'!$C$30),'Sensitivity Tests'!$C$30,IF((VLOOKUP($A225,AffordabilityRatio!$A$2:$I$321,9,FALSE))="",AN225,VLOOKUP($A225,AffordabilityRatio!$A$2:$I$321,9,FALSE)))</f>
        <v>6.98</v>
      </c>
      <c r="AP225" s="268">
        <f>IF(ISNUMBER('Sensitivity Tests'!$C$30),'Sensitivity Tests'!$C$30,IF((VLOOKUP($A225,AffordabilityRatio!$A$2:$I$321,9,FALSE))="",AO225,VLOOKUP($A225,AffordabilityRatio!$A$2:$I$321,9,FALSE)))</f>
        <v>6.98</v>
      </c>
      <c r="AQ225" s="267">
        <f t="shared" si="152"/>
        <v>171</v>
      </c>
      <c r="AR225" s="267">
        <f t="shared" si="152"/>
        <v>174</v>
      </c>
      <c r="AS225" s="267">
        <f t="shared" si="152"/>
        <v>172</v>
      </c>
      <c r="AT225" s="267">
        <f t="shared" si="152"/>
        <v>327</v>
      </c>
      <c r="AU225" s="267">
        <f t="shared" si="152"/>
        <v>328</v>
      </c>
      <c r="AV225" s="267">
        <f t="shared" si="151"/>
        <v>325</v>
      </c>
      <c r="AW225" s="267">
        <f t="shared" si="151"/>
        <v>317</v>
      </c>
      <c r="AX225" s="267">
        <f t="shared" si="151"/>
        <v>311</v>
      </c>
      <c r="AY225" s="267">
        <f t="shared" si="171"/>
        <v>171</v>
      </c>
      <c r="AZ225" s="267">
        <f t="shared" si="172"/>
        <v>174</v>
      </c>
      <c r="BA225" s="267">
        <f t="shared" si="173"/>
        <v>172</v>
      </c>
      <c r="BB225" s="267">
        <f t="shared" si="174"/>
        <v>327</v>
      </c>
      <c r="BC225" s="267">
        <f t="shared" si="175"/>
        <v>328</v>
      </c>
      <c r="BD225" s="267">
        <f t="shared" si="176"/>
        <v>325</v>
      </c>
      <c r="BE225" s="267">
        <f t="shared" si="177"/>
        <v>317</v>
      </c>
      <c r="BF225" s="267">
        <f t="shared" si="178"/>
        <v>311</v>
      </c>
      <c r="BG225" s="269">
        <f>AY225*VLOOKUP($B225,'Major Cities &amp; Towns'!$A$28:$B$345,2,FALSE)</f>
        <v>171</v>
      </c>
      <c r="BH225" s="269">
        <f>AZ225*VLOOKUP($B225,'Major Cities &amp; Towns'!$A$28:$B$345,2,FALSE)</f>
        <v>174</v>
      </c>
      <c r="BI225" s="269">
        <f>BA225*VLOOKUP($B225,'Major Cities &amp; Towns'!$A$28:$B$345,2,FALSE)</f>
        <v>172</v>
      </c>
      <c r="BJ225" s="269">
        <f>BB225*VLOOKUP($B225,'Major Cities &amp; Towns'!$A$28:$B$345,2,FALSE)</f>
        <v>327</v>
      </c>
      <c r="BK225" s="269">
        <f>BC225*VLOOKUP($B225,'Major Cities &amp; Towns'!$A$28:$B$345,2,FALSE)</f>
        <v>328</v>
      </c>
      <c r="BL225" s="269">
        <f>BD225*VLOOKUP($B225,'Major Cities &amp; Towns'!$A$28:$B$345,2,FALSE)</f>
        <v>325</v>
      </c>
      <c r="BM225" s="269">
        <f>BE225*VLOOKUP($B225,'Major Cities &amp; Towns'!$A$28:$B$345,2,FALSE)</f>
        <v>317</v>
      </c>
      <c r="BN225" s="269">
        <f>BF225*VLOOKUP($B225,'Major Cities &amp; Towns'!$A$28:$B$345,2,FALSE)</f>
        <v>311</v>
      </c>
      <c r="BO225" s="270">
        <f t="shared" si="179"/>
        <v>171</v>
      </c>
      <c r="BP225" s="270">
        <f t="shared" si="195"/>
        <v>174</v>
      </c>
      <c r="BQ225" s="270">
        <f t="shared" si="195"/>
        <v>172</v>
      </c>
      <c r="BR225" s="270">
        <f t="shared" si="195"/>
        <v>327</v>
      </c>
      <c r="BS225" s="270">
        <f t="shared" si="195"/>
        <v>328</v>
      </c>
      <c r="BT225" s="270">
        <f t="shared" si="195"/>
        <v>325</v>
      </c>
      <c r="BU225" s="270">
        <f t="shared" si="195"/>
        <v>317</v>
      </c>
      <c r="BV225" s="270">
        <f t="shared" si="195"/>
        <v>311</v>
      </c>
      <c r="BW225" s="39">
        <f>VLOOKUP($A225,NetAdditions!$A$2:$H$336,6,FALSE)</f>
        <v>476</v>
      </c>
      <c r="BX225" s="39">
        <f>VLOOKUP($A225,NetAdditions!$A$2:$H$336,7,FALSE)</f>
        <v>508</v>
      </c>
      <c r="BY225" s="39">
        <f>IF((VLOOKUP($C225,NetAdditions!$A$2:$H$336,8,FALSE))="",(AVERAGE(VLOOKUP($C225,NetAdditions!$A$2:$H$336,5,FALSE),VLOOKUP($C225,NetAdditions!$A$2:$H$336,6,FALSE),VLOOKUP($C225,NetAdditions!$A$2:$H$336,7,FALSE))),VLOOKUP($C225,NetAdditions!$A$2:$H$336,8,FALSE))</f>
        <v>473</v>
      </c>
      <c r="BZ225" s="39">
        <f t="shared" si="196"/>
        <v>485.66666666666669</v>
      </c>
      <c r="CA225" s="39">
        <f t="shared" si="196"/>
        <v>488.88888888888891</v>
      </c>
      <c r="CB225" s="39">
        <f t="shared" si="196"/>
        <v>482.51851851851853</v>
      </c>
      <c r="CC225" s="39">
        <f t="shared" si="196"/>
        <v>485.6913580246914</v>
      </c>
      <c r="CD225" s="39">
        <f t="shared" si="196"/>
        <v>485.69958847736626</v>
      </c>
      <c r="CE225" s="276">
        <f t="shared" si="155"/>
        <v>517</v>
      </c>
      <c r="CF225" s="276">
        <f t="shared" si="156"/>
        <v>673</v>
      </c>
      <c r="CG225" s="276">
        <f t="shared" si="157"/>
        <v>827</v>
      </c>
      <c r="CH225" s="276">
        <f t="shared" si="158"/>
        <v>980</v>
      </c>
      <c r="CI225" s="276">
        <f t="shared" si="159"/>
        <v>970</v>
      </c>
      <c r="CJ225" s="276">
        <f t="shared" si="160"/>
        <v>953</v>
      </c>
      <c r="CK225" s="276">
        <f t="shared" si="180"/>
        <v>445.19444444444446</v>
      </c>
      <c r="CL225" s="276">
        <f t="shared" si="181"/>
        <v>579.52777777777783</v>
      </c>
      <c r="CM225" s="276">
        <f t="shared" si="182"/>
        <v>758.08333333333326</v>
      </c>
      <c r="CN225" s="276">
        <f t="shared" si="183"/>
        <v>980</v>
      </c>
      <c r="CO225" s="276">
        <f t="shared" si="183"/>
        <v>970</v>
      </c>
      <c r="CP225" s="276">
        <f t="shared" si="183"/>
        <v>953</v>
      </c>
      <c r="CQ225" s="39">
        <f t="shared" si="161"/>
        <v>1457</v>
      </c>
      <c r="CR225" s="39">
        <f t="shared" si="162"/>
        <v>1466.6666666666667</v>
      </c>
      <c r="CS225" s="277">
        <f t="shared" si="163"/>
        <v>1447.5555555555557</v>
      </c>
      <c r="CT225" s="39">
        <f t="shared" si="164"/>
        <v>1457.0740740740741</v>
      </c>
      <c r="CU225" s="39">
        <f t="shared" si="165"/>
        <v>1457.0987654320988</v>
      </c>
      <c r="CV225" s="39">
        <f t="shared" si="166"/>
        <v>1453.9094650205761</v>
      </c>
      <c r="CW225" s="297">
        <f t="shared" si="167"/>
        <v>3.2727272727272725</v>
      </c>
      <c r="CX225" s="279" t="str">
        <f t="shared" si="184"/>
        <v>Pass</v>
      </c>
      <c r="CY225" s="278">
        <f t="shared" si="168"/>
        <v>2.5307961462876865</v>
      </c>
      <c r="CZ225" s="279" t="str">
        <f t="shared" si="185"/>
        <v>Pass</v>
      </c>
      <c r="DA225" s="278">
        <f t="shared" si="169"/>
        <v>1.9094939723718445</v>
      </c>
      <c r="DB225" s="292" t="str">
        <f t="shared" si="186"/>
        <v>Pass</v>
      </c>
      <c r="DC225" s="299">
        <f t="shared" si="187"/>
        <v>1.4868102796674225</v>
      </c>
      <c r="DD225" s="293" t="str">
        <f t="shared" si="188"/>
        <v>Pass</v>
      </c>
      <c r="DE225" s="299">
        <f t="shared" si="189"/>
        <v>1.5021636757031946</v>
      </c>
      <c r="DF225" s="293" t="str">
        <f t="shared" si="190"/>
        <v>Pass</v>
      </c>
      <c r="DG225" s="299">
        <f t="shared" si="191"/>
        <v>1.5256132896333432</v>
      </c>
      <c r="DH225" s="293" t="str">
        <f t="shared" si="192"/>
        <v>Pass</v>
      </c>
    </row>
    <row r="226" spans="1:112" ht="15" thickTop="1" thickBot="1">
      <c r="A226" s="38" t="s">
        <v>562</v>
      </c>
      <c r="B226" s="38" t="s">
        <v>563</v>
      </c>
      <c r="C226" s="38" t="s">
        <v>562</v>
      </c>
      <c r="D226" s="38" t="s">
        <v>147</v>
      </c>
      <c r="E226" s="38" t="str">
        <f>VLOOKUP(C226,PoliticalControl!A:K,11,FALSE)</f>
        <v>CON</v>
      </c>
      <c r="F226" s="38" t="str">
        <f>VLOOKUP(C226,UrbanRuralClassification!A:N,13,FALSE)</f>
        <v xml:space="preserve">Largely Rural (rural including hub towns 50-79%) </v>
      </c>
      <c r="G226" s="38" t="str">
        <f>VLOOKUP(C226,UrbanRuralClassification!A:N,14,FALSE)</f>
        <v>Predominantly Rural</v>
      </c>
      <c r="H226" s="258">
        <f>IF(ISBLANK((VLOOKUP($A226,'local-plan-data'!$C$1:$AD$566,27,FALSE)))=TRUE,"",VLOOKUP($A226,'local-plan-data'!$C$1:$AD$566,27,FALSE))</f>
        <v>43516</v>
      </c>
      <c r="I226" s="259">
        <f>VLOOKUP($A226,'local-plan-data'!$C$1:$AD$566,28,FALSE)</f>
        <v>644.28571428571433</v>
      </c>
      <c r="J226" s="260">
        <f t="shared" si="170"/>
        <v>644.28571428571433</v>
      </c>
      <c r="K226" s="259">
        <f t="shared" si="193"/>
        <v>644.28571428571433</v>
      </c>
      <c r="L226" s="259">
        <f t="shared" si="153"/>
        <v>644.28571428571433</v>
      </c>
      <c r="M226" s="259">
        <f t="shared" si="153"/>
        <v>644.28571428571433</v>
      </c>
      <c r="N226" s="259">
        <f t="shared" si="153"/>
        <v>644.28571428571433</v>
      </c>
      <c r="O226" s="259">
        <f t="shared" si="153"/>
        <v>644.28571428571433</v>
      </c>
      <c r="P226" s="259">
        <f t="shared" si="153"/>
        <v>644.28571428571433</v>
      </c>
      <c r="Q226" s="259" t="str">
        <f t="shared" si="153"/>
        <v>-</v>
      </c>
      <c r="R226" s="259" t="str">
        <f t="shared" si="153"/>
        <v>-</v>
      </c>
      <c r="S226" s="259">
        <f t="shared" si="194"/>
        <v>2151</v>
      </c>
      <c r="T226" s="259">
        <f t="shared" si="154"/>
        <v>1786</v>
      </c>
      <c r="U226" s="259">
        <f t="shared" si="154"/>
        <v>1420</v>
      </c>
      <c r="V226" s="259">
        <f t="shared" si="154"/>
        <v>1055</v>
      </c>
      <c r="W226" s="259">
        <f t="shared" si="154"/>
        <v>690</v>
      </c>
      <c r="X226" s="259">
        <f t="shared" si="154"/>
        <v>325</v>
      </c>
      <c r="Y226" s="259">
        <f t="shared" si="154"/>
        <v>-41</v>
      </c>
      <c r="Z226" s="259">
        <f t="shared" si="154"/>
        <v>-406</v>
      </c>
      <c r="AA226" s="267">
        <f>(VLOOKUP(A226,Hshldprojections2014!$A$2:$AW$319,40, FALSE)-VLOOKUP(A226,Hshldprojections2014!$A$2:$AW$319,30, FALSE))/10</f>
        <v>579.29999999999995</v>
      </c>
      <c r="AB226" s="267">
        <f>(VLOOKUP(A226,Hshldprojections2014!$A$2:$AW$319,41, FALSE)-VLOOKUP(A226,Hshldprojections2014!$A$2:$AW$319,31, FALSE))/10</f>
        <v>574.29999999999995</v>
      </c>
      <c r="AC226" s="267">
        <f>(VLOOKUP(A226,Hshldprojections2014!$A$2:$AW$319,42, FALSE)-VLOOKUP(A226,Hshldprojections2014!$A$2:$AW$319,32, FALSE))/10</f>
        <v>569.4</v>
      </c>
      <c r="AD226" s="267">
        <f>IF(IndividualLATest!$J$7=2014,(VLOOKUP($A226,Hshldprojections2014!$A$2:$AY$326,43,FALSE)-VLOOKUP($A226,Hshldprojections2014!$A$2:$AY$326,33,FALSE))/10,IF(IndividualLATest!$J$7=2016,(VLOOKUP($A226,Hshldprojections2016!$A$1:$AQ$322,33,FALSE)-VLOOKUP($A226,Hshldprojections2016!$A$1:$AQ$322,23,FALSE))/10,(VLOOKUP($A226,Hshldprojections2018!$A$1:$AQ$327,33,FALSE)-VLOOKUP($A226,Hshldprojections2018!$A$1:$AQ$327,23,FALSE))/10))</f>
        <v>471.5</v>
      </c>
      <c r="AE226" s="267">
        <f>IF(IndividualLATest!$J$7=2014,(VLOOKUP($A226,Hshldprojections2014!$A$2:$AY$326,44,FALSE)-VLOOKUP($A226,Hshldprojections2014!$A$2:$AY$326,34,FALSE))/10,IF(IndividualLATest!$J$7=2016,(VLOOKUP($A226,Hshldprojections2016!$A$1:$AQ$322,34,FALSE)-VLOOKUP($A226,Hshldprojections2016!$A$1:$AQ$322,24,FALSE))/10,(VLOOKUP($A226,Hshldprojections2018!$A$1:$AQ$327,34,FALSE)-VLOOKUP($A226,Hshldprojections2018!$A$1:$AQ$327,24,FALSE))/10))</f>
        <v>459.9</v>
      </c>
      <c r="AF226" s="267">
        <f>IF(IndividualLATest!$J$7=2014,(VLOOKUP($A226,Hshldprojections2014!$A$2:$AY$326,45,FALSE)-VLOOKUP($A226,Hshldprojections2014!$A$2:$AY$326,35,FALSE))/10,IF(IndividualLATest!$J$7=2016,(VLOOKUP($A226,Hshldprojections2016!$A$1:$AQ$322,35,FALSE)-VLOOKUP($A226,Hshldprojections2016!$A$1:$AQ$322,25,FALSE))/10,(VLOOKUP($A226,Hshldprojections2018!$A$1:$AQ$327,35,FALSE)-VLOOKUP($A226,Hshldprojections2018!$A$1:$AQ$327,25,FALSE))/10))</f>
        <v>449.1</v>
      </c>
      <c r="AG226" s="267">
        <f>IF(IndividualLATest!$J$7=2014,(VLOOKUP($A226,Hshldprojections2014!$A$2:$AY$326,46,FALSE)-VLOOKUP($A226,Hshldprojections2014!$A$2:$AY$326,36,FALSE))/10,IF(IndividualLATest!$J$7=2016,(VLOOKUP($A226,Hshldprojections2016!$A$1:$AQ$322,36,FALSE)-VLOOKUP($A226,Hshldprojections2016!$A$1:$AQ$322,26,FALSE))/10,(VLOOKUP($A226,Hshldprojections2018!$A$1:$AQ$327,36,FALSE)-VLOOKUP($A226,Hshldprojections2018!$A$1:$AQ$327,26,FALSE))/10))</f>
        <v>440</v>
      </c>
      <c r="AH226" s="267">
        <f>IF(IndividualLATest!$J$7=2014,(VLOOKUP($A226,Hshldprojections2014!$A$2:$AY$326,47,FALSE)-VLOOKUP($A226,Hshldprojections2014!$A$2:$AY$326,37,FALSE))/10,IF(IndividualLATest!$J$7=2016,(VLOOKUP($A226,Hshldprojections2016!$A$1:$AQ$322,37,FALSE)-VLOOKUP($A226,Hshldprojections2016!$A$1:$AQ$322,27,FALSE))/10,(VLOOKUP($A226,Hshldprojections2018!$A$1:$AQ$327,37,FALSE)-VLOOKUP($A226,Hshldprojections2018!$A$1:$AQ$327,27,FALSE))/10))</f>
        <v>434.4</v>
      </c>
      <c r="AI226" s="268">
        <f>IF(ISNUMBER('Sensitivity Tests'!$C$30),'Sensitivity Tests'!$C$30,VLOOKUP($A226,AffordabilityRatio!$A$2:$I$321,5,FALSE))</f>
        <v>8.8699999999999992</v>
      </c>
      <c r="AJ226" s="268">
        <f>IF(ISNUMBER('Sensitivity Tests'!$C$30),'Sensitivity Tests'!$C$30,VLOOKUP($A226,AffordabilityRatio!$A$2:$I$321,6,FALSE))</f>
        <v>9.0500000000000007</v>
      </c>
      <c r="AK226" s="268">
        <f>IF(ISNUMBER('Sensitivity Tests'!$C$30),'Sensitivity Tests'!$C$30,VLOOKUP($A226,AffordabilityRatio!$A$2:$I$321,7,FALSE))</f>
        <v>8.76</v>
      </c>
      <c r="AL226" s="268">
        <f>IF(ISNUMBER('Sensitivity Tests'!$C$30),'Sensitivity Tests'!$C$30,IF((VLOOKUP($A226,AffordabilityRatio!$A$2:$I$321,8,FALSE))="",AK226,VLOOKUP($A226,AffordabilityRatio!$A$2:$I$321,8,FALSE)))</f>
        <v>8.51</v>
      </c>
      <c r="AM226" s="268">
        <f>IF(ISNUMBER('Sensitivity Tests'!$C$30),'Sensitivity Tests'!$C$30,IF((VLOOKUP($A226,AffordabilityRatio!$A$2:$I$321,9,FALSE))="",AL226,VLOOKUP($A226,AffordabilityRatio!$A$2:$I$321,9,FALSE)))</f>
        <v>9</v>
      </c>
      <c r="AN226" s="268">
        <f>IF(ISNUMBER('Sensitivity Tests'!$C$30),'Sensitivity Tests'!$C$30,IF((VLOOKUP($A226,AffordabilityRatio!$A$2:$I$321,9,FALSE))="",AM226,VLOOKUP($A226,AffordabilityRatio!$A$2:$I$321,9,FALSE)))</f>
        <v>9</v>
      </c>
      <c r="AO226" s="268">
        <f>IF(ISNUMBER('Sensitivity Tests'!$C$30),'Sensitivity Tests'!$C$30,IF((VLOOKUP($A226,AffordabilityRatio!$A$2:$I$321,9,FALSE))="",AN226,VLOOKUP($A226,AffordabilityRatio!$A$2:$I$321,9,FALSE)))</f>
        <v>9</v>
      </c>
      <c r="AP226" s="268">
        <f>IF(ISNUMBER('Sensitivity Tests'!$C$30),'Sensitivity Tests'!$C$30,IF((VLOOKUP($A226,AffordabilityRatio!$A$2:$I$321,9,FALSE))="",AO226,VLOOKUP($A226,AffordabilityRatio!$A$2:$I$321,9,FALSE)))</f>
        <v>9</v>
      </c>
      <c r="AQ226" s="267">
        <f t="shared" si="152"/>
        <v>756</v>
      </c>
      <c r="AR226" s="267">
        <f t="shared" si="152"/>
        <v>756</v>
      </c>
      <c r="AS226" s="267">
        <f t="shared" si="152"/>
        <v>739</v>
      </c>
      <c r="AT226" s="267">
        <f t="shared" si="152"/>
        <v>604</v>
      </c>
      <c r="AU226" s="267">
        <f t="shared" si="152"/>
        <v>604</v>
      </c>
      <c r="AV226" s="267">
        <f t="shared" si="151"/>
        <v>589</v>
      </c>
      <c r="AW226" s="267">
        <f t="shared" si="151"/>
        <v>578</v>
      </c>
      <c r="AX226" s="267">
        <f t="shared" si="151"/>
        <v>570</v>
      </c>
      <c r="AY226" s="267">
        <f t="shared" si="171"/>
        <v>756</v>
      </c>
      <c r="AZ226" s="267">
        <f t="shared" si="172"/>
        <v>756</v>
      </c>
      <c r="BA226" s="267">
        <f t="shared" si="173"/>
        <v>739</v>
      </c>
      <c r="BB226" s="267">
        <f t="shared" si="174"/>
        <v>604</v>
      </c>
      <c r="BC226" s="267">
        <f t="shared" si="175"/>
        <v>604</v>
      </c>
      <c r="BD226" s="267">
        <f t="shared" si="176"/>
        <v>589</v>
      </c>
      <c r="BE226" s="267">
        <f t="shared" si="177"/>
        <v>578</v>
      </c>
      <c r="BF226" s="267">
        <f t="shared" si="178"/>
        <v>570</v>
      </c>
      <c r="BG226" s="269">
        <f>AY226*VLOOKUP($B226,'Major Cities &amp; Towns'!$A$28:$B$345,2,FALSE)</f>
        <v>756</v>
      </c>
      <c r="BH226" s="269">
        <f>AZ226*VLOOKUP($B226,'Major Cities &amp; Towns'!$A$28:$B$345,2,FALSE)</f>
        <v>756</v>
      </c>
      <c r="BI226" s="269">
        <f>BA226*VLOOKUP($B226,'Major Cities &amp; Towns'!$A$28:$B$345,2,FALSE)</f>
        <v>739</v>
      </c>
      <c r="BJ226" s="269">
        <f>BB226*VLOOKUP($B226,'Major Cities &amp; Towns'!$A$28:$B$345,2,FALSE)</f>
        <v>604</v>
      </c>
      <c r="BK226" s="269">
        <f>BC226*VLOOKUP($B226,'Major Cities &amp; Towns'!$A$28:$B$345,2,FALSE)</f>
        <v>604</v>
      </c>
      <c r="BL226" s="269">
        <f>BD226*VLOOKUP($B226,'Major Cities &amp; Towns'!$A$28:$B$345,2,FALSE)</f>
        <v>589</v>
      </c>
      <c r="BM226" s="269">
        <f>BE226*VLOOKUP($B226,'Major Cities &amp; Towns'!$A$28:$B$345,2,FALSE)</f>
        <v>578</v>
      </c>
      <c r="BN226" s="269">
        <f>BF226*VLOOKUP($B226,'Major Cities &amp; Towns'!$A$28:$B$345,2,FALSE)</f>
        <v>570</v>
      </c>
      <c r="BO226" s="270">
        <f t="shared" si="179"/>
        <v>644.28571428571433</v>
      </c>
      <c r="BP226" s="270">
        <f t="shared" si="195"/>
        <v>644.28571428571433</v>
      </c>
      <c r="BQ226" s="270">
        <f t="shared" si="195"/>
        <v>644.28571428571433</v>
      </c>
      <c r="BR226" s="270">
        <f t="shared" si="195"/>
        <v>604</v>
      </c>
      <c r="BS226" s="270">
        <f t="shared" si="195"/>
        <v>604</v>
      </c>
      <c r="BT226" s="270">
        <f t="shared" si="195"/>
        <v>589</v>
      </c>
      <c r="BU226" s="270">
        <f t="shared" si="195"/>
        <v>578</v>
      </c>
      <c r="BV226" s="270">
        <f t="shared" si="195"/>
        <v>570</v>
      </c>
      <c r="BW226" s="39">
        <f>VLOOKUP($A226,NetAdditions!$A$2:$H$336,6,FALSE)</f>
        <v>465</v>
      </c>
      <c r="BX226" s="39">
        <f>VLOOKUP($A226,NetAdditions!$A$2:$H$336,7,FALSE)</f>
        <v>544</v>
      </c>
      <c r="BY226" s="39">
        <f>IF((VLOOKUP($C226,NetAdditions!$A$2:$H$336,8,FALSE))="",(AVERAGE(VLOOKUP($C226,NetAdditions!$A$2:$H$336,5,FALSE),VLOOKUP($C226,NetAdditions!$A$2:$H$336,6,FALSE),VLOOKUP($C226,NetAdditions!$A$2:$H$336,7,FALSE))),VLOOKUP($C226,NetAdditions!$A$2:$H$336,8,FALSE))</f>
        <v>529</v>
      </c>
      <c r="BZ226" s="39">
        <f t="shared" si="196"/>
        <v>512.66666666666663</v>
      </c>
      <c r="CA226" s="39">
        <f t="shared" si="196"/>
        <v>528.55555555555554</v>
      </c>
      <c r="CB226" s="39">
        <f t="shared" si="196"/>
        <v>523.40740740740739</v>
      </c>
      <c r="CC226" s="39">
        <f t="shared" si="196"/>
        <v>521.54320987654319</v>
      </c>
      <c r="CD226" s="39">
        <f t="shared" si="196"/>
        <v>524.50205761316874</v>
      </c>
      <c r="CE226" s="276">
        <f t="shared" si="155"/>
        <v>1932.8571428571431</v>
      </c>
      <c r="CF226" s="276">
        <f t="shared" si="156"/>
        <v>1892.5714285714287</v>
      </c>
      <c r="CG226" s="276">
        <f t="shared" si="157"/>
        <v>1852.2857142857142</v>
      </c>
      <c r="CH226" s="276">
        <f t="shared" si="158"/>
        <v>1797</v>
      </c>
      <c r="CI226" s="276">
        <f t="shared" si="159"/>
        <v>1771</v>
      </c>
      <c r="CJ226" s="276">
        <f t="shared" si="160"/>
        <v>1737</v>
      </c>
      <c r="CK226" s="276">
        <f t="shared" si="180"/>
        <v>1664.4047619047622</v>
      </c>
      <c r="CL226" s="276">
        <f t="shared" si="181"/>
        <v>1629.7142857142858</v>
      </c>
      <c r="CM226" s="276">
        <f t="shared" si="182"/>
        <v>1697.9285714285713</v>
      </c>
      <c r="CN226" s="276">
        <f t="shared" si="183"/>
        <v>1797</v>
      </c>
      <c r="CO226" s="276">
        <f t="shared" si="183"/>
        <v>1771</v>
      </c>
      <c r="CP226" s="276">
        <f t="shared" si="183"/>
        <v>1737</v>
      </c>
      <c r="CQ226" s="39">
        <f t="shared" si="161"/>
        <v>1538</v>
      </c>
      <c r="CR226" s="39">
        <f t="shared" si="162"/>
        <v>1585.6666666666665</v>
      </c>
      <c r="CS226" s="277">
        <f t="shared" si="163"/>
        <v>1570.2222222222222</v>
      </c>
      <c r="CT226" s="39">
        <f t="shared" si="164"/>
        <v>1564.6296296296296</v>
      </c>
      <c r="CU226" s="39">
        <f t="shared" si="165"/>
        <v>1573.5061728395062</v>
      </c>
      <c r="CV226" s="39">
        <f t="shared" si="166"/>
        <v>1569.4526748971193</v>
      </c>
      <c r="CW226" s="297">
        <f t="shared" si="167"/>
        <v>0.92405407338530854</v>
      </c>
      <c r="CX226" s="279" t="str">
        <f t="shared" si="184"/>
        <v>Action Plan</v>
      </c>
      <c r="CY226" s="278">
        <f t="shared" si="168"/>
        <v>0.972972183263207</v>
      </c>
      <c r="CZ226" s="279" t="str">
        <f t="shared" si="185"/>
        <v>Pass</v>
      </c>
      <c r="DA226" s="278">
        <f t="shared" si="169"/>
        <v>0.92478697198734217</v>
      </c>
      <c r="DB226" s="292" t="str">
        <f t="shared" si="186"/>
        <v>Action Plan</v>
      </c>
      <c r="DC226" s="299">
        <f t="shared" si="187"/>
        <v>0.87068983284898693</v>
      </c>
      <c r="DD226" s="293" t="str">
        <f t="shared" si="188"/>
        <v>Action Plan</v>
      </c>
      <c r="DE226" s="299">
        <f t="shared" si="189"/>
        <v>0.88848456964398992</v>
      </c>
      <c r="DF226" s="293" t="str">
        <f t="shared" si="190"/>
        <v>Action Plan</v>
      </c>
      <c r="DG226" s="299">
        <f t="shared" si="191"/>
        <v>0.90354212717162885</v>
      </c>
      <c r="DH226" s="293" t="str">
        <f t="shared" si="192"/>
        <v>Action Plan</v>
      </c>
    </row>
    <row r="227" spans="1:112" ht="15" thickTop="1" thickBot="1">
      <c r="A227" s="38" t="s">
        <v>564</v>
      </c>
      <c r="B227" s="38" t="s">
        <v>565</v>
      </c>
      <c r="C227" s="38" t="s">
        <v>564</v>
      </c>
      <c r="D227" s="38" t="s">
        <v>116</v>
      </c>
      <c r="E227" s="38" t="str">
        <f>VLOOKUP(C227,PoliticalControl!A:K,11,FALSE)</f>
        <v>LAB</v>
      </c>
      <c r="F227" s="38" t="str">
        <f>VLOOKUP(C227,UrbanRuralClassification!A:N,13,FALSE)</f>
        <v>Urban with Major Conurbation</v>
      </c>
      <c r="G227" s="38" t="str">
        <f>VLOOKUP(C227,UrbanRuralClassification!A:N,14,FALSE)</f>
        <v>Predominantly Urban</v>
      </c>
      <c r="H227" s="258">
        <f>IF(ISBLANK((VLOOKUP($A227,'local-plan-data'!$C$1:$AD$566,27,FALSE)))=TRUE,"",VLOOKUP($A227,'local-plan-data'!$C$1:$AD$566,27,FALSE))</f>
        <v>42845</v>
      </c>
      <c r="I227" s="259">
        <f>VLOOKUP($A227,'local-plan-data'!$C$1:$AD$566,28,FALSE)</f>
        <v>640</v>
      </c>
      <c r="J227" s="260">
        <f t="shared" si="170"/>
        <v>640</v>
      </c>
      <c r="K227" s="259">
        <f t="shared" si="193"/>
        <v>640</v>
      </c>
      <c r="L227" s="259">
        <f t="shared" si="153"/>
        <v>640</v>
      </c>
      <c r="M227" s="259">
        <f t="shared" si="153"/>
        <v>640</v>
      </c>
      <c r="N227" s="259">
        <f t="shared" si="153"/>
        <v>640</v>
      </c>
      <c r="O227" s="259">
        <f t="shared" si="153"/>
        <v>640</v>
      </c>
      <c r="P227" s="259" t="str">
        <f t="shared" si="153"/>
        <v>-</v>
      </c>
      <c r="Q227" s="259" t="str">
        <f t="shared" si="153"/>
        <v>-</v>
      </c>
      <c r="R227" s="259" t="str">
        <f t="shared" si="153"/>
        <v>-</v>
      </c>
      <c r="S227" s="259">
        <f t="shared" si="194"/>
        <v>1480</v>
      </c>
      <c r="T227" s="259">
        <f t="shared" si="154"/>
        <v>1115</v>
      </c>
      <c r="U227" s="259">
        <f t="shared" si="154"/>
        <v>749</v>
      </c>
      <c r="V227" s="259">
        <f t="shared" si="154"/>
        <v>384</v>
      </c>
      <c r="W227" s="259">
        <f t="shared" si="154"/>
        <v>19</v>
      </c>
      <c r="X227" s="259">
        <f t="shared" si="154"/>
        <v>-346</v>
      </c>
      <c r="Y227" s="259">
        <f t="shared" si="154"/>
        <v>-712</v>
      </c>
      <c r="Z227" s="259">
        <f t="shared" si="154"/>
        <v>-1077</v>
      </c>
      <c r="AA227" s="267">
        <f>(VLOOKUP(A227,Hshldprojections2014!$A$2:$AW$319,40, FALSE)-VLOOKUP(A227,Hshldprojections2014!$A$2:$AW$319,30, FALSE))/10</f>
        <v>556.70000000000005</v>
      </c>
      <c r="AB227" s="267">
        <f>(VLOOKUP(A227,Hshldprojections2014!$A$2:$AW$319,41, FALSE)-VLOOKUP(A227,Hshldprojections2014!$A$2:$AW$319,31, FALSE))/10</f>
        <v>546.6</v>
      </c>
      <c r="AC227" s="267">
        <f>(VLOOKUP(A227,Hshldprojections2014!$A$2:$AW$319,42, FALSE)-VLOOKUP(A227,Hshldprojections2014!$A$2:$AW$319,32, FALSE))/10</f>
        <v>536.6</v>
      </c>
      <c r="AD227" s="267">
        <f>IF(IndividualLATest!$J$7=2014,(VLOOKUP($A227,Hshldprojections2014!$A$2:$AY$326,43,FALSE)-VLOOKUP($A227,Hshldprojections2014!$A$2:$AY$326,33,FALSE))/10,IF(IndividualLATest!$J$7=2016,(VLOOKUP($A227,Hshldprojections2016!$A$1:$AQ$322,33,FALSE)-VLOOKUP($A227,Hshldprojections2016!$A$1:$AQ$322,23,FALSE))/10,(VLOOKUP($A227,Hshldprojections2018!$A$1:$AQ$327,33,FALSE)-VLOOKUP($A227,Hshldprojections2018!$A$1:$AQ$327,23,FALSE))/10))</f>
        <v>510.9</v>
      </c>
      <c r="AE227" s="267">
        <f>IF(IndividualLATest!$J$7=2014,(VLOOKUP($A227,Hshldprojections2014!$A$2:$AY$326,44,FALSE)-VLOOKUP($A227,Hshldprojections2014!$A$2:$AY$326,34,FALSE))/10,IF(IndividualLATest!$J$7=2016,(VLOOKUP($A227,Hshldprojections2016!$A$1:$AQ$322,34,FALSE)-VLOOKUP($A227,Hshldprojections2016!$A$1:$AQ$322,24,FALSE))/10,(VLOOKUP($A227,Hshldprojections2018!$A$1:$AQ$327,34,FALSE)-VLOOKUP($A227,Hshldprojections2018!$A$1:$AQ$327,24,FALSE))/10))</f>
        <v>510.2</v>
      </c>
      <c r="AF227" s="267">
        <f>IF(IndividualLATest!$J$7=2014,(VLOOKUP($A227,Hshldprojections2014!$A$2:$AY$326,45,FALSE)-VLOOKUP($A227,Hshldprojections2014!$A$2:$AY$326,35,FALSE))/10,IF(IndividualLATest!$J$7=2016,(VLOOKUP($A227,Hshldprojections2016!$A$1:$AQ$322,35,FALSE)-VLOOKUP($A227,Hshldprojections2016!$A$1:$AQ$322,25,FALSE))/10,(VLOOKUP($A227,Hshldprojections2018!$A$1:$AQ$327,35,FALSE)-VLOOKUP($A227,Hshldprojections2018!$A$1:$AQ$327,25,FALSE))/10))</f>
        <v>515.5</v>
      </c>
      <c r="AG227" s="267">
        <f>IF(IndividualLATest!$J$7=2014,(VLOOKUP($A227,Hshldprojections2014!$A$2:$AY$326,46,FALSE)-VLOOKUP($A227,Hshldprojections2014!$A$2:$AY$326,36,FALSE))/10,IF(IndividualLATest!$J$7=2016,(VLOOKUP($A227,Hshldprojections2016!$A$1:$AQ$322,36,FALSE)-VLOOKUP($A227,Hshldprojections2016!$A$1:$AQ$322,26,FALSE))/10,(VLOOKUP($A227,Hshldprojections2018!$A$1:$AQ$327,36,FALSE)-VLOOKUP($A227,Hshldprojections2018!$A$1:$AQ$327,26,FALSE))/10))</f>
        <v>521.79999999999995</v>
      </c>
      <c r="AH227" s="267">
        <f>IF(IndividualLATest!$J$7=2014,(VLOOKUP($A227,Hshldprojections2014!$A$2:$AY$326,47,FALSE)-VLOOKUP($A227,Hshldprojections2014!$A$2:$AY$326,37,FALSE))/10,IF(IndividualLATest!$J$7=2016,(VLOOKUP($A227,Hshldprojections2016!$A$1:$AQ$322,37,FALSE)-VLOOKUP($A227,Hshldprojections2016!$A$1:$AQ$322,27,FALSE))/10,(VLOOKUP($A227,Hshldprojections2018!$A$1:$AQ$327,37,FALSE)-VLOOKUP($A227,Hshldprojections2018!$A$1:$AQ$327,27,FALSE))/10))</f>
        <v>532.79999999999995</v>
      </c>
      <c r="AI227" s="268">
        <f>IF(ISNUMBER('Sensitivity Tests'!$C$30),'Sensitivity Tests'!$C$30,VLOOKUP($A227,AffordabilityRatio!$A$2:$I$321,5,FALSE))</f>
        <v>6.56</v>
      </c>
      <c r="AJ227" s="268">
        <f>IF(ISNUMBER('Sensitivity Tests'!$C$30),'Sensitivity Tests'!$C$30,VLOOKUP($A227,AffordabilityRatio!$A$2:$I$321,6,FALSE))</f>
        <v>6.5</v>
      </c>
      <c r="AK227" s="268">
        <f>IF(ISNUMBER('Sensitivity Tests'!$C$30),'Sensitivity Tests'!$C$30,VLOOKUP($A227,AffordabilityRatio!$A$2:$I$321,7,FALSE))</f>
        <v>6.56</v>
      </c>
      <c r="AL227" s="268">
        <f>IF(ISNUMBER('Sensitivity Tests'!$C$30),'Sensitivity Tests'!$C$30,IF((VLOOKUP($A227,AffordabilityRatio!$A$2:$I$321,8,FALSE))="",AK227,VLOOKUP($A227,AffordabilityRatio!$A$2:$I$321,8,FALSE)))</f>
        <v>6.48</v>
      </c>
      <c r="AM227" s="268">
        <f>IF(ISNUMBER('Sensitivity Tests'!$C$30),'Sensitivity Tests'!$C$30,IF((VLOOKUP($A227,AffordabilityRatio!$A$2:$I$321,9,FALSE))="",AL227,VLOOKUP($A227,AffordabilityRatio!$A$2:$I$321,9,FALSE)))</f>
        <v>6.78</v>
      </c>
      <c r="AN227" s="268">
        <f>IF(ISNUMBER('Sensitivity Tests'!$C$30),'Sensitivity Tests'!$C$30,IF((VLOOKUP($A227,AffordabilityRatio!$A$2:$I$321,9,FALSE))="",AM227,VLOOKUP($A227,AffordabilityRatio!$A$2:$I$321,9,FALSE)))</f>
        <v>6.78</v>
      </c>
      <c r="AO227" s="268">
        <f>IF(ISNUMBER('Sensitivity Tests'!$C$30),'Sensitivity Tests'!$C$30,IF((VLOOKUP($A227,AffordabilityRatio!$A$2:$I$321,9,FALSE))="",AN227,VLOOKUP($A227,AffordabilityRatio!$A$2:$I$321,9,FALSE)))</f>
        <v>6.78</v>
      </c>
      <c r="AP227" s="268">
        <f>IF(ISNUMBER('Sensitivity Tests'!$C$30),'Sensitivity Tests'!$C$30,IF((VLOOKUP($A227,AffordabilityRatio!$A$2:$I$321,9,FALSE))="",AO227,VLOOKUP($A227,AffordabilityRatio!$A$2:$I$321,9,FALSE)))</f>
        <v>6.78</v>
      </c>
      <c r="AQ227" s="267">
        <f t="shared" si="152"/>
        <v>646</v>
      </c>
      <c r="AR227" s="267">
        <f t="shared" si="152"/>
        <v>632</v>
      </c>
      <c r="AS227" s="267">
        <f t="shared" si="152"/>
        <v>622</v>
      </c>
      <c r="AT227" s="267">
        <f t="shared" si="152"/>
        <v>590</v>
      </c>
      <c r="AU227" s="267">
        <f t="shared" si="152"/>
        <v>599</v>
      </c>
      <c r="AV227" s="267">
        <f t="shared" si="151"/>
        <v>605</v>
      </c>
      <c r="AW227" s="267">
        <f t="shared" si="151"/>
        <v>612</v>
      </c>
      <c r="AX227" s="267">
        <f t="shared" si="151"/>
        <v>625</v>
      </c>
      <c r="AY227" s="267">
        <f t="shared" si="171"/>
        <v>646</v>
      </c>
      <c r="AZ227" s="267">
        <f t="shared" si="172"/>
        <v>632</v>
      </c>
      <c r="BA227" s="267">
        <f t="shared" si="173"/>
        <v>622</v>
      </c>
      <c r="BB227" s="267">
        <f t="shared" si="174"/>
        <v>590</v>
      </c>
      <c r="BC227" s="267">
        <f t="shared" si="175"/>
        <v>599</v>
      </c>
      <c r="BD227" s="267">
        <f t="shared" si="176"/>
        <v>605</v>
      </c>
      <c r="BE227" s="267">
        <f t="shared" si="177"/>
        <v>612</v>
      </c>
      <c r="BF227" s="267">
        <f t="shared" si="178"/>
        <v>625</v>
      </c>
      <c r="BG227" s="269">
        <f>AY227*VLOOKUP($B227,'Major Cities &amp; Towns'!$A$28:$B$345,2,FALSE)</f>
        <v>646</v>
      </c>
      <c r="BH227" s="269">
        <f>AZ227*VLOOKUP($B227,'Major Cities &amp; Towns'!$A$28:$B$345,2,FALSE)</f>
        <v>632</v>
      </c>
      <c r="BI227" s="269">
        <f>BA227*VLOOKUP($B227,'Major Cities &amp; Towns'!$A$28:$B$345,2,FALSE)</f>
        <v>622</v>
      </c>
      <c r="BJ227" s="269">
        <f>BB227*VLOOKUP($B227,'Major Cities &amp; Towns'!$A$28:$B$345,2,FALSE)</f>
        <v>590</v>
      </c>
      <c r="BK227" s="269">
        <f>BC227*VLOOKUP($B227,'Major Cities &amp; Towns'!$A$28:$B$345,2,FALSE)</f>
        <v>599</v>
      </c>
      <c r="BL227" s="269">
        <f>BD227*VLOOKUP($B227,'Major Cities &amp; Towns'!$A$28:$B$345,2,FALSE)</f>
        <v>605</v>
      </c>
      <c r="BM227" s="269">
        <f>BE227*VLOOKUP($B227,'Major Cities &amp; Towns'!$A$28:$B$345,2,FALSE)</f>
        <v>612</v>
      </c>
      <c r="BN227" s="269">
        <f>BF227*VLOOKUP($B227,'Major Cities &amp; Towns'!$A$28:$B$345,2,FALSE)</f>
        <v>625</v>
      </c>
      <c r="BO227" s="270">
        <f t="shared" si="179"/>
        <v>640</v>
      </c>
      <c r="BP227" s="270">
        <f t="shared" si="195"/>
        <v>632</v>
      </c>
      <c r="BQ227" s="270">
        <f t="shared" si="195"/>
        <v>622</v>
      </c>
      <c r="BR227" s="270">
        <f t="shared" si="195"/>
        <v>590</v>
      </c>
      <c r="BS227" s="270">
        <f t="shared" si="195"/>
        <v>599</v>
      </c>
      <c r="BT227" s="270">
        <f t="shared" si="195"/>
        <v>605</v>
      </c>
      <c r="BU227" s="270">
        <f t="shared" si="195"/>
        <v>612</v>
      </c>
      <c r="BV227" s="270">
        <f t="shared" si="195"/>
        <v>625</v>
      </c>
      <c r="BW227" s="39">
        <f>VLOOKUP($A227,NetAdditions!$A$2:$H$336,6,FALSE)</f>
        <v>577</v>
      </c>
      <c r="BX227" s="39">
        <f>VLOOKUP($A227,NetAdditions!$A$2:$H$336,7,FALSE)</f>
        <v>714</v>
      </c>
      <c r="BY227" s="39">
        <f>IF((VLOOKUP($C227,NetAdditions!$A$2:$H$336,8,FALSE))="",(AVERAGE(VLOOKUP($C227,NetAdditions!$A$2:$H$336,5,FALSE),VLOOKUP($C227,NetAdditions!$A$2:$H$336,6,FALSE),VLOOKUP($C227,NetAdditions!$A$2:$H$336,7,FALSE))),VLOOKUP($C227,NetAdditions!$A$2:$H$336,8,FALSE))</f>
        <v>721</v>
      </c>
      <c r="BZ227" s="39">
        <f t="shared" si="196"/>
        <v>670.66666666666663</v>
      </c>
      <c r="CA227" s="39">
        <f t="shared" si="196"/>
        <v>701.8888888888888</v>
      </c>
      <c r="CB227" s="39">
        <f t="shared" si="196"/>
        <v>697.85185185185173</v>
      </c>
      <c r="CC227" s="39">
        <f t="shared" si="196"/>
        <v>690.13580246913568</v>
      </c>
      <c r="CD227" s="39">
        <f t="shared" si="196"/>
        <v>696.62551440329207</v>
      </c>
      <c r="CE227" s="276">
        <f t="shared" si="155"/>
        <v>1894</v>
      </c>
      <c r="CF227" s="276">
        <f t="shared" si="156"/>
        <v>1844</v>
      </c>
      <c r="CG227" s="276">
        <f t="shared" si="157"/>
        <v>1811</v>
      </c>
      <c r="CH227" s="276">
        <f t="shared" si="158"/>
        <v>1794</v>
      </c>
      <c r="CI227" s="276">
        <f t="shared" si="159"/>
        <v>1816</v>
      </c>
      <c r="CJ227" s="276">
        <f t="shared" si="160"/>
        <v>1842</v>
      </c>
      <c r="CK227" s="276">
        <f t="shared" si="180"/>
        <v>1630.9444444444446</v>
      </c>
      <c r="CL227" s="276">
        <f t="shared" si="181"/>
        <v>1587.8888888888889</v>
      </c>
      <c r="CM227" s="276">
        <f t="shared" si="182"/>
        <v>1660.0833333333333</v>
      </c>
      <c r="CN227" s="276">
        <f t="shared" si="183"/>
        <v>1794</v>
      </c>
      <c r="CO227" s="276">
        <f t="shared" si="183"/>
        <v>1816</v>
      </c>
      <c r="CP227" s="276">
        <f t="shared" si="183"/>
        <v>1842</v>
      </c>
      <c r="CQ227" s="39">
        <f t="shared" si="161"/>
        <v>2012</v>
      </c>
      <c r="CR227" s="39">
        <f t="shared" si="162"/>
        <v>2105.6666666666665</v>
      </c>
      <c r="CS227" s="277">
        <f t="shared" si="163"/>
        <v>2093.5555555555552</v>
      </c>
      <c r="CT227" s="39">
        <f t="shared" si="164"/>
        <v>2070.4074074074069</v>
      </c>
      <c r="CU227" s="39">
        <f t="shared" si="165"/>
        <v>2089.8765432098762</v>
      </c>
      <c r="CV227" s="39">
        <f t="shared" si="166"/>
        <v>2084.6131687242796</v>
      </c>
      <c r="CW227" s="297">
        <f t="shared" si="167"/>
        <v>1.2336410396157644</v>
      </c>
      <c r="CX227" s="279" t="str">
        <f t="shared" si="184"/>
        <v>Pass</v>
      </c>
      <c r="CY227" s="278">
        <f t="shared" si="168"/>
        <v>1.3260793506402631</v>
      </c>
      <c r="CZ227" s="279" t="str">
        <f t="shared" si="185"/>
        <v>Pass</v>
      </c>
      <c r="DA227" s="278">
        <f t="shared" si="169"/>
        <v>1.2611147365426767</v>
      </c>
      <c r="DB227" s="292" t="str">
        <f t="shared" si="186"/>
        <v>Pass</v>
      </c>
      <c r="DC227" s="299">
        <f t="shared" si="187"/>
        <v>1.1540732482761467</v>
      </c>
      <c r="DD227" s="293" t="str">
        <f t="shared" si="188"/>
        <v>Pass</v>
      </c>
      <c r="DE227" s="299">
        <f t="shared" si="189"/>
        <v>1.1508130744547778</v>
      </c>
      <c r="DF227" s="293" t="str">
        <f t="shared" si="190"/>
        <v>Pass</v>
      </c>
      <c r="DG227" s="299">
        <f t="shared" si="191"/>
        <v>1.1317118179827794</v>
      </c>
      <c r="DH227" s="293" t="str">
        <f t="shared" si="192"/>
        <v>Pass</v>
      </c>
    </row>
    <row r="228" spans="1:112" ht="15" thickTop="1" thickBot="1">
      <c r="A228" s="38" t="s">
        <v>566</v>
      </c>
      <c r="B228" s="38" t="s">
        <v>567</v>
      </c>
      <c r="C228" s="38" t="s">
        <v>566</v>
      </c>
      <c r="D228" s="38" t="s">
        <v>136</v>
      </c>
      <c r="E228" s="38" t="str">
        <f>VLOOKUP(C228,PoliticalControl!A:K,11,FALSE)</f>
        <v>CON</v>
      </c>
      <c r="F228" s="38" t="str">
        <f>VLOOKUP(C228,UrbanRuralClassification!A:N,13,FALSE)</f>
        <v xml:space="preserve">Mainly Rural (rural including hub towns &gt;=80%) </v>
      </c>
      <c r="G228" s="38" t="str">
        <f>VLOOKUP(C228,UrbanRuralClassification!A:N,14,FALSE)</f>
        <v>Predominantly Rural</v>
      </c>
      <c r="H228" s="258">
        <f>IF(ISBLANK((VLOOKUP($A228,'local-plan-data'!$C$1:$AD$566,27,FALSE)))=TRUE,"",VLOOKUP($A228,'local-plan-data'!$C$1:$AD$566,27,FALSE))</f>
        <v>41569</v>
      </c>
      <c r="I228" s="259">
        <f>VLOOKUP($A228,'local-plan-data'!$C$1:$AD$566,28,FALSE)</f>
        <v>450</v>
      </c>
      <c r="J228" s="260">
        <f t="shared" si="170"/>
        <v>450</v>
      </c>
      <c r="K228" s="259">
        <f t="shared" si="193"/>
        <v>450</v>
      </c>
      <c r="L228" s="259" t="str">
        <f t="shared" si="153"/>
        <v>-</v>
      </c>
      <c r="M228" s="259" t="str">
        <f t="shared" si="153"/>
        <v>-</v>
      </c>
      <c r="N228" s="259" t="str">
        <f t="shared" si="153"/>
        <v>-</v>
      </c>
      <c r="O228" s="259" t="str">
        <f t="shared" si="153"/>
        <v>-</v>
      </c>
      <c r="P228" s="259" t="str">
        <f t="shared" ref="L228:R264" si="197">IF(AND(ISNUMBER($H228),ISNUMBER($J228)),IF(($H228-P$1&gt;0),$J228,IF(DATEDIF($H228,P$1,"y")&lt;5,$J228,"-")),"-")</f>
        <v>-</v>
      </c>
      <c r="Q228" s="259" t="str">
        <f t="shared" si="197"/>
        <v>-</v>
      </c>
      <c r="R228" s="259" t="str">
        <f t="shared" si="197"/>
        <v>-</v>
      </c>
      <c r="S228" s="259">
        <f t="shared" si="194"/>
        <v>204</v>
      </c>
      <c r="T228" s="259">
        <f t="shared" si="154"/>
        <v>-161</v>
      </c>
      <c r="U228" s="259">
        <f t="shared" si="154"/>
        <v>-527</v>
      </c>
      <c r="V228" s="259">
        <f t="shared" si="154"/>
        <v>-892</v>
      </c>
      <c r="W228" s="259">
        <f t="shared" si="154"/>
        <v>-1257</v>
      </c>
      <c r="X228" s="259">
        <f t="shared" ref="T228:Z264" si="198">IFERROR((EDATE($H228,60))-X$1,"-")</f>
        <v>-1622</v>
      </c>
      <c r="Y228" s="259">
        <f t="shared" si="198"/>
        <v>-1988</v>
      </c>
      <c r="Z228" s="259">
        <f t="shared" si="198"/>
        <v>-2353</v>
      </c>
      <c r="AA228" s="267">
        <f>(VLOOKUP(A228,Hshldprojections2014!$A$2:$AW$319,40, FALSE)-VLOOKUP(A228,Hshldprojections2014!$A$2:$AW$319,30, FALSE))/10</f>
        <v>311.2</v>
      </c>
      <c r="AB228" s="267">
        <f>(VLOOKUP(A228,Hshldprojections2014!$A$2:$AW$319,41, FALSE)-VLOOKUP(A228,Hshldprojections2014!$A$2:$AW$319,31, FALSE))/10</f>
        <v>300.89999999999998</v>
      </c>
      <c r="AC228" s="267">
        <f>(VLOOKUP(A228,Hshldprojections2014!$A$2:$AW$319,42, FALSE)-VLOOKUP(A228,Hshldprojections2014!$A$2:$AW$319,32, FALSE))/10</f>
        <v>292.60000000000002</v>
      </c>
      <c r="AD228" s="267">
        <f>IF(IndividualLATest!$J$7=2014,(VLOOKUP($A228,Hshldprojections2014!$A$2:$AY$326,43,FALSE)-VLOOKUP($A228,Hshldprojections2014!$A$2:$AY$326,33,FALSE))/10,IF(IndividualLATest!$J$7=2016,(VLOOKUP($A228,Hshldprojections2016!$A$1:$AQ$322,33,FALSE)-VLOOKUP($A228,Hshldprojections2016!$A$1:$AQ$322,23,FALSE))/10,(VLOOKUP($A228,Hshldprojections2018!$A$1:$AQ$327,33,FALSE)-VLOOKUP($A228,Hshldprojections2018!$A$1:$AQ$327,23,FALSE))/10))</f>
        <v>388.3</v>
      </c>
      <c r="AE228" s="267">
        <f>IF(IndividualLATest!$J$7=2014,(VLOOKUP($A228,Hshldprojections2014!$A$2:$AY$326,44,FALSE)-VLOOKUP($A228,Hshldprojections2014!$A$2:$AY$326,34,FALSE))/10,IF(IndividualLATest!$J$7=2016,(VLOOKUP($A228,Hshldprojections2016!$A$1:$AQ$322,34,FALSE)-VLOOKUP($A228,Hshldprojections2016!$A$1:$AQ$322,24,FALSE))/10,(VLOOKUP($A228,Hshldprojections2018!$A$1:$AQ$327,34,FALSE)-VLOOKUP($A228,Hshldprojections2018!$A$1:$AQ$327,24,FALSE))/10))</f>
        <v>374.9</v>
      </c>
      <c r="AF228" s="267">
        <f>IF(IndividualLATest!$J$7=2014,(VLOOKUP($A228,Hshldprojections2014!$A$2:$AY$326,45,FALSE)-VLOOKUP($A228,Hshldprojections2014!$A$2:$AY$326,35,FALSE))/10,IF(IndividualLATest!$J$7=2016,(VLOOKUP($A228,Hshldprojections2016!$A$1:$AQ$322,35,FALSE)-VLOOKUP($A228,Hshldprojections2016!$A$1:$AQ$322,25,FALSE))/10,(VLOOKUP($A228,Hshldprojections2018!$A$1:$AQ$327,35,FALSE)-VLOOKUP($A228,Hshldprojections2018!$A$1:$AQ$327,25,FALSE))/10))</f>
        <v>362.2</v>
      </c>
      <c r="AG228" s="267">
        <f>IF(IndividualLATest!$J$7=2014,(VLOOKUP($A228,Hshldprojections2014!$A$2:$AY$326,46,FALSE)-VLOOKUP($A228,Hshldprojections2014!$A$2:$AY$326,36,FALSE))/10,IF(IndividualLATest!$J$7=2016,(VLOOKUP($A228,Hshldprojections2016!$A$1:$AQ$322,36,FALSE)-VLOOKUP($A228,Hshldprojections2016!$A$1:$AQ$322,26,FALSE))/10,(VLOOKUP($A228,Hshldprojections2018!$A$1:$AQ$327,36,FALSE)-VLOOKUP($A228,Hshldprojections2018!$A$1:$AQ$327,26,FALSE))/10))</f>
        <v>349.4</v>
      </c>
      <c r="AH228" s="267">
        <f>IF(IndividualLATest!$J$7=2014,(VLOOKUP($A228,Hshldprojections2014!$A$2:$AY$326,47,FALSE)-VLOOKUP($A228,Hshldprojections2014!$A$2:$AY$326,37,FALSE))/10,IF(IndividualLATest!$J$7=2016,(VLOOKUP($A228,Hshldprojections2016!$A$1:$AQ$322,37,FALSE)-VLOOKUP($A228,Hshldprojections2016!$A$1:$AQ$322,27,FALSE))/10,(VLOOKUP($A228,Hshldprojections2018!$A$1:$AQ$327,37,FALSE)-VLOOKUP($A228,Hshldprojections2018!$A$1:$AQ$327,27,FALSE))/10))</f>
        <v>339</v>
      </c>
      <c r="AI228" s="268">
        <f>IF(ISNUMBER('Sensitivity Tests'!$C$30),'Sensitivity Tests'!$C$30,VLOOKUP($A228,AffordabilityRatio!$A$2:$I$321,5,FALSE))</f>
        <v>6.77</v>
      </c>
      <c r="AJ228" s="268">
        <f>IF(ISNUMBER('Sensitivity Tests'!$C$30),'Sensitivity Tests'!$C$30,VLOOKUP($A228,AffordabilityRatio!$A$2:$I$321,6,FALSE))</f>
        <v>6.68</v>
      </c>
      <c r="AK228" s="268">
        <f>IF(ISNUMBER('Sensitivity Tests'!$C$30),'Sensitivity Tests'!$C$30,VLOOKUP($A228,AffordabilityRatio!$A$2:$I$321,7,FALSE))</f>
        <v>6.72</v>
      </c>
      <c r="AL228" s="268">
        <f>IF(ISNUMBER('Sensitivity Tests'!$C$30),'Sensitivity Tests'!$C$30,IF((VLOOKUP($A228,AffordabilityRatio!$A$2:$I$321,8,FALSE))="",AK228,VLOOKUP($A228,AffordabilityRatio!$A$2:$I$321,8,FALSE)))</f>
        <v>7.15</v>
      </c>
      <c r="AM228" s="268">
        <f>IF(ISNUMBER('Sensitivity Tests'!$C$30),'Sensitivity Tests'!$C$30,IF((VLOOKUP($A228,AffordabilityRatio!$A$2:$I$321,9,FALSE))="",AL228,VLOOKUP($A228,AffordabilityRatio!$A$2:$I$321,9,FALSE)))</f>
        <v>7.07</v>
      </c>
      <c r="AN228" s="268">
        <f>IF(ISNUMBER('Sensitivity Tests'!$C$30),'Sensitivity Tests'!$C$30,IF((VLOOKUP($A228,AffordabilityRatio!$A$2:$I$321,9,FALSE))="",AM228,VLOOKUP($A228,AffordabilityRatio!$A$2:$I$321,9,FALSE)))</f>
        <v>7.07</v>
      </c>
      <c r="AO228" s="268">
        <f>IF(ISNUMBER('Sensitivity Tests'!$C$30),'Sensitivity Tests'!$C$30,IF((VLOOKUP($A228,AffordabilityRatio!$A$2:$I$321,9,FALSE))="",AN228,VLOOKUP($A228,AffordabilityRatio!$A$2:$I$321,9,FALSE)))</f>
        <v>7.07</v>
      </c>
      <c r="AP228" s="268">
        <f>IF(ISNUMBER('Sensitivity Tests'!$C$30),'Sensitivity Tests'!$C$30,IF((VLOOKUP($A228,AffordabilityRatio!$A$2:$I$321,9,FALSE))="",AO228,VLOOKUP($A228,AffordabilityRatio!$A$2:$I$321,9,FALSE)))</f>
        <v>7.07</v>
      </c>
      <c r="AQ228" s="267">
        <f t="shared" si="152"/>
        <v>365</v>
      </c>
      <c r="AR228" s="267">
        <f t="shared" si="152"/>
        <v>351</v>
      </c>
      <c r="AS228" s="267">
        <f t="shared" si="152"/>
        <v>342</v>
      </c>
      <c r="AT228" s="267">
        <f t="shared" si="152"/>
        <v>465</v>
      </c>
      <c r="AU228" s="267">
        <f t="shared" si="152"/>
        <v>447</v>
      </c>
      <c r="AV228" s="267">
        <f t="shared" si="151"/>
        <v>432</v>
      </c>
      <c r="AW228" s="267">
        <f t="shared" si="151"/>
        <v>416</v>
      </c>
      <c r="AX228" s="267">
        <f t="shared" si="151"/>
        <v>404</v>
      </c>
      <c r="AY228" s="267">
        <f t="shared" si="171"/>
        <v>365</v>
      </c>
      <c r="AZ228" s="267">
        <f t="shared" si="172"/>
        <v>351</v>
      </c>
      <c r="BA228" s="267">
        <f t="shared" si="173"/>
        <v>342</v>
      </c>
      <c r="BB228" s="267">
        <f t="shared" si="174"/>
        <v>465</v>
      </c>
      <c r="BC228" s="267">
        <f t="shared" si="175"/>
        <v>447</v>
      </c>
      <c r="BD228" s="267">
        <f t="shared" si="176"/>
        <v>432</v>
      </c>
      <c r="BE228" s="267">
        <f t="shared" si="177"/>
        <v>416</v>
      </c>
      <c r="BF228" s="267">
        <f t="shared" si="178"/>
        <v>404</v>
      </c>
      <c r="BG228" s="269">
        <f>AY228*VLOOKUP($B228,'Major Cities &amp; Towns'!$A$28:$B$345,2,FALSE)</f>
        <v>365</v>
      </c>
      <c r="BH228" s="269">
        <f>AZ228*VLOOKUP($B228,'Major Cities &amp; Towns'!$A$28:$B$345,2,FALSE)</f>
        <v>351</v>
      </c>
      <c r="BI228" s="269">
        <f>BA228*VLOOKUP($B228,'Major Cities &amp; Towns'!$A$28:$B$345,2,FALSE)</f>
        <v>342</v>
      </c>
      <c r="BJ228" s="269">
        <f>BB228*VLOOKUP($B228,'Major Cities &amp; Towns'!$A$28:$B$345,2,FALSE)</f>
        <v>465</v>
      </c>
      <c r="BK228" s="269">
        <f>BC228*VLOOKUP($B228,'Major Cities &amp; Towns'!$A$28:$B$345,2,FALSE)</f>
        <v>447</v>
      </c>
      <c r="BL228" s="269">
        <f>BD228*VLOOKUP($B228,'Major Cities &amp; Towns'!$A$28:$B$345,2,FALSE)</f>
        <v>432</v>
      </c>
      <c r="BM228" s="269">
        <f>BE228*VLOOKUP($B228,'Major Cities &amp; Towns'!$A$28:$B$345,2,FALSE)</f>
        <v>416</v>
      </c>
      <c r="BN228" s="269">
        <f>BF228*VLOOKUP($B228,'Major Cities &amp; Towns'!$A$28:$B$345,2,FALSE)</f>
        <v>404</v>
      </c>
      <c r="BO228" s="270">
        <f t="shared" si="179"/>
        <v>365</v>
      </c>
      <c r="BP228" s="270">
        <f t="shared" si="195"/>
        <v>351</v>
      </c>
      <c r="BQ228" s="270">
        <f t="shared" si="195"/>
        <v>342</v>
      </c>
      <c r="BR228" s="270">
        <f t="shared" si="195"/>
        <v>465</v>
      </c>
      <c r="BS228" s="270">
        <f t="shared" si="195"/>
        <v>447</v>
      </c>
      <c r="BT228" s="270">
        <f t="shared" si="195"/>
        <v>432</v>
      </c>
      <c r="BU228" s="270">
        <f t="shared" si="195"/>
        <v>416</v>
      </c>
      <c r="BV228" s="270">
        <f t="shared" si="195"/>
        <v>404</v>
      </c>
      <c r="BW228" s="39">
        <f>VLOOKUP($A228,NetAdditions!$A$2:$H$336,6,FALSE)</f>
        <v>625</v>
      </c>
      <c r="BX228" s="39">
        <f>VLOOKUP($A228,NetAdditions!$A$2:$H$336,7,FALSE)</f>
        <v>492</v>
      </c>
      <c r="BY228" s="39">
        <f>IF((VLOOKUP($C228,NetAdditions!$A$2:$H$336,8,FALSE))="",(AVERAGE(VLOOKUP($C228,NetAdditions!$A$2:$H$336,5,FALSE),VLOOKUP($C228,NetAdditions!$A$2:$H$336,6,FALSE),VLOOKUP($C228,NetAdditions!$A$2:$H$336,7,FALSE))),VLOOKUP($C228,NetAdditions!$A$2:$H$336,8,FALSE))</f>
        <v>484</v>
      </c>
      <c r="BZ228" s="39">
        <f t="shared" si="196"/>
        <v>533.66666666666663</v>
      </c>
      <c r="CA228" s="39">
        <f t="shared" si="196"/>
        <v>503.22222222222217</v>
      </c>
      <c r="CB228" s="39">
        <f t="shared" si="196"/>
        <v>506.96296296296288</v>
      </c>
      <c r="CC228" s="39">
        <f t="shared" si="196"/>
        <v>514.61728395061721</v>
      </c>
      <c r="CD228" s="39">
        <f t="shared" si="196"/>
        <v>508.2674897119341</v>
      </c>
      <c r="CE228" s="276">
        <f t="shared" si="155"/>
        <v>1058</v>
      </c>
      <c r="CF228" s="276">
        <f t="shared" si="156"/>
        <v>1158</v>
      </c>
      <c r="CG228" s="276">
        <f t="shared" si="157"/>
        <v>1254</v>
      </c>
      <c r="CH228" s="276">
        <f t="shared" si="158"/>
        <v>1344</v>
      </c>
      <c r="CI228" s="276">
        <f t="shared" si="159"/>
        <v>1295</v>
      </c>
      <c r="CJ228" s="276">
        <f t="shared" si="160"/>
        <v>1252</v>
      </c>
      <c r="CK228" s="276">
        <f t="shared" si="180"/>
        <v>911.05555555555566</v>
      </c>
      <c r="CL228" s="276">
        <f t="shared" si="181"/>
        <v>997.16666666666674</v>
      </c>
      <c r="CM228" s="276">
        <f t="shared" si="182"/>
        <v>1149.5</v>
      </c>
      <c r="CN228" s="276">
        <f t="shared" si="183"/>
        <v>1344</v>
      </c>
      <c r="CO228" s="276">
        <f t="shared" si="183"/>
        <v>1295</v>
      </c>
      <c r="CP228" s="276">
        <f t="shared" si="183"/>
        <v>1252</v>
      </c>
      <c r="CQ228" s="39">
        <f t="shared" si="161"/>
        <v>1601</v>
      </c>
      <c r="CR228" s="39">
        <f t="shared" si="162"/>
        <v>1509.6666666666665</v>
      </c>
      <c r="CS228" s="277">
        <f t="shared" si="163"/>
        <v>1520.8888888888887</v>
      </c>
      <c r="CT228" s="39">
        <f t="shared" si="164"/>
        <v>1543.8518518518515</v>
      </c>
      <c r="CU228" s="39">
        <f t="shared" si="165"/>
        <v>1524.8024691358023</v>
      </c>
      <c r="CV228" s="39">
        <f t="shared" si="166"/>
        <v>1529.8477366255142</v>
      </c>
      <c r="CW228" s="297">
        <f t="shared" si="167"/>
        <v>1.7573022745289344</v>
      </c>
      <c r="CX228" s="279" t="str">
        <f t="shared" si="184"/>
        <v>Pass</v>
      </c>
      <c r="CY228" s="278">
        <f t="shared" si="168"/>
        <v>1.5139562092595684</v>
      </c>
      <c r="CZ228" s="279" t="str">
        <f t="shared" si="185"/>
        <v>Pass</v>
      </c>
      <c r="DA228" s="278">
        <f t="shared" si="169"/>
        <v>1.3230873326567105</v>
      </c>
      <c r="DB228" s="292" t="str">
        <f t="shared" si="186"/>
        <v>Pass</v>
      </c>
      <c r="DC228" s="299">
        <f t="shared" si="187"/>
        <v>1.1486992945326275</v>
      </c>
      <c r="DD228" s="293" t="str">
        <f t="shared" si="188"/>
        <v>Pass</v>
      </c>
      <c r="DE228" s="299">
        <f t="shared" si="189"/>
        <v>1.1774536441203107</v>
      </c>
      <c r="DF228" s="293" t="str">
        <f t="shared" si="190"/>
        <v>Pass</v>
      </c>
      <c r="DG228" s="299">
        <f t="shared" si="191"/>
        <v>1.2219231123206982</v>
      </c>
      <c r="DH228" s="293" t="str">
        <f t="shared" si="192"/>
        <v>Pass</v>
      </c>
    </row>
    <row r="229" spans="1:112" ht="15" thickTop="1" thickBot="1">
      <c r="A229" s="38" t="s">
        <v>568</v>
      </c>
      <c r="B229" s="38" t="s">
        <v>569</v>
      </c>
      <c r="C229" s="38" t="s">
        <v>568</v>
      </c>
      <c r="D229" s="38" t="s">
        <v>113</v>
      </c>
      <c r="E229" s="38" t="str">
        <f>VLOOKUP(C229,PoliticalControl!A:K,11,FALSE)</f>
        <v>CON</v>
      </c>
      <c r="F229" s="38" t="str">
        <f>VLOOKUP(C229,UrbanRuralClassification!A:N,13,FALSE)</f>
        <v xml:space="preserve">Largely Rural (rural including hub towns 50-79%) </v>
      </c>
      <c r="G229" s="38" t="str">
        <f>VLOOKUP(C229,UrbanRuralClassification!A:N,14,FALSE)</f>
        <v>Predominantly Rural</v>
      </c>
      <c r="H229" s="258">
        <f>IF(ISBLANK((VLOOKUP($A229,'local-plan-data'!$C$1:$AD$566,27,FALSE)))=TRUE,"",VLOOKUP($A229,'local-plan-data'!$C$1:$AD$566,27,FALSE))</f>
        <v>40596</v>
      </c>
      <c r="I229" s="259">
        <f>VLOOKUP($A229,'local-plan-data'!$C$1:$AD$566,28,FALSE)</f>
        <v>165</v>
      </c>
      <c r="J229" s="260">
        <f t="shared" si="170"/>
        <v>165</v>
      </c>
      <c r="K229" s="259" t="str">
        <f t="shared" si="193"/>
        <v>-</v>
      </c>
      <c r="L229" s="259" t="str">
        <f t="shared" si="197"/>
        <v>-</v>
      </c>
      <c r="M229" s="259" t="str">
        <f t="shared" si="197"/>
        <v>-</v>
      </c>
      <c r="N229" s="259" t="str">
        <f t="shared" si="197"/>
        <v>-</v>
      </c>
      <c r="O229" s="259" t="str">
        <f t="shared" si="197"/>
        <v>-</v>
      </c>
      <c r="P229" s="259" t="str">
        <f t="shared" si="197"/>
        <v>-</v>
      </c>
      <c r="Q229" s="259" t="str">
        <f t="shared" si="197"/>
        <v>-</v>
      </c>
      <c r="R229" s="259" t="str">
        <f t="shared" si="197"/>
        <v>-</v>
      </c>
      <c r="S229" s="259">
        <f t="shared" si="194"/>
        <v>-769</v>
      </c>
      <c r="T229" s="259">
        <f t="shared" si="198"/>
        <v>-1134</v>
      </c>
      <c r="U229" s="259">
        <f t="shared" si="198"/>
        <v>-1500</v>
      </c>
      <c r="V229" s="259">
        <f t="shared" si="198"/>
        <v>-1865</v>
      </c>
      <c r="W229" s="259">
        <f t="shared" si="198"/>
        <v>-2230</v>
      </c>
      <c r="X229" s="259">
        <f t="shared" si="198"/>
        <v>-2595</v>
      </c>
      <c r="Y229" s="259">
        <f t="shared" si="198"/>
        <v>-2961</v>
      </c>
      <c r="Z229" s="259">
        <f t="shared" si="198"/>
        <v>-3326</v>
      </c>
      <c r="AA229" s="267">
        <f>(VLOOKUP(A229,Hshldprojections2014!$A$2:$AW$319,40, FALSE)-VLOOKUP(A229,Hshldprojections2014!$A$2:$AW$319,30, FALSE))/10</f>
        <v>505.5</v>
      </c>
      <c r="AB229" s="267">
        <f>(VLOOKUP(A229,Hshldprojections2014!$A$2:$AW$319,41, FALSE)-VLOOKUP(A229,Hshldprojections2014!$A$2:$AW$319,31, FALSE))/10</f>
        <v>505.1</v>
      </c>
      <c r="AC229" s="267">
        <f>(VLOOKUP(A229,Hshldprojections2014!$A$2:$AW$319,42, FALSE)-VLOOKUP(A229,Hshldprojections2014!$A$2:$AW$319,32, FALSE))/10</f>
        <v>508.2</v>
      </c>
      <c r="AD229" s="267">
        <f>IF(IndividualLATest!$J$7=2014,(VLOOKUP($A229,Hshldprojections2014!$A$2:$AY$326,43,FALSE)-VLOOKUP($A229,Hshldprojections2014!$A$2:$AY$326,33,FALSE))/10,IF(IndividualLATest!$J$7=2016,(VLOOKUP($A229,Hshldprojections2016!$A$1:$AQ$322,33,FALSE)-VLOOKUP($A229,Hshldprojections2016!$A$1:$AQ$322,23,FALSE))/10,(VLOOKUP($A229,Hshldprojections2018!$A$1:$AQ$327,33,FALSE)-VLOOKUP($A229,Hshldprojections2018!$A$1:$AQ$327,23,FALSE))/10))</f>
        <v>315.60000000000002</v>
      </c>
      <c r="AE229" s="267">
        <f>IF(IndividualLATest!$J$7=2014,(VLOOKUP($A229,Hshldprojections2014!$A$2:$AY$326,44,FALSE)-VLOOKUP($A229,Hshldprojections2014!$A$2:$AY$326,34,FALSE))/10,IF(IndividualLATest!$J$7=2016,(VLOOKUP($A229,Hshldprojections2016!$A$1:$AQ$322,34,FALSE)-VLOOKUP($A229,Hshldprojections2016!$A$1:$AQ$322,24,FALSE))/10,(VLOOKUP($A229,Hshldprojections2018!$A$1:$AQ$327,34,FALSE)-VLOOKUP($A229,Hshldprojections2018!$A$1:$AQ$327,24,FALSE))/10))</f>
        <v>309.8</v>
      </c>
      <c r="AF229" s="267">
        <f>IF(IndividualLATest!$J$7=2014,(VLOOKUP($A229,Hshldprojections2014!$A$2:$AY$326,45,FALSE)-VLOOKUP($A229,Hshldprojections2014!$A$2:$AY$326,35,FALSE))/10,IF(IndividualLATest!$J$7=2016,(VLOOKUP($A229,Hshldprojections2016!$A$1:$AQ$322,35,FALSE)-VLOOKUP($A229,Hshldprojections2016!$A$1:$AQ$322,25,FALSE))/10,(VLOOKUP($A229,Hshldprojections2018!$A$1:$AQ$327,35,FALSE)-VLOOKUP($A229,Hshldprojections2018!$A$1:$AQ$327,25,FALSE))/10))</f>
        <v>301.7</v>
      </c>
      <c r="AG229" s="267">
        <f>IF(IndividualLATest!$J$7=2014,(VLOOKUP($A229,Hshldprojections2014!$A$2:$AY$326,46,FALSE)-VLOOKUP($A229,Hshldprojections2014!$A$2:$AY$326,36,FALSE))/10,IF(IndividualLATest!$J$7=2016,(VLOOKUP($A229,Hshldprojections2016!$A$1:$AQ$322,36,FALSE)-VLOOKUP($A229,Hshldprojections2016!$A$1:$AQ$322,26,FALSE))/10,(VLOOKUP($A229,Hshldprojections2018!$A$1:$AQ$327,36,FALSE)-VLOOKUP($A229,Hshldprojections2018!$A$1:$AQ$327,26,FALSE))/10))</f>
        <v>294.10000000000002</v>
      </c>
      <c r="AH229" s="267">
        <f>IF(IndividualLATest!$J$7=2014,(VLOOKUP($A229,Hshldprojections2014!$A$2:$AY$326,47,FALSE)-VLOOKUP($A229,Hshldprojections2014!$A$2:$AY$326,37,FALSE))/10,IF(IndividualLATest!$J$7=2016,(VLOOKUP($A229,Hshldprojections2016!$A$1:$AQ$322,37,FALSE)-VLOOKUP($A229,Hshldprojections2016!$A$1:$AQ$322,27,FALSE))/10,(VLOOKUP($A229,Hshldprojections2018!$A$1:$AQ$327,37,FALSE)-VLOOKUP($A229,Hshldprojections2018!$A$1:$AQ$327,27,FALSE))/10))</f>
        <v>292</v>
      </c>
      <c r="AI229" s="268">
        <f>IF(ISNUMBER('Sensitivity Tests'!$C$30),'Sensitivity Tests'!$C$30,VLOOKUP($A229,AffordabilityRatio!$A$2:$I$321,5,FALSE))</f>
        <v>14.73</v>
      </c>
      <c r="AJ229" s="268">
        <f>IF(ISNUMBER('Sensitivity Tests'!$C$30),'Sensitivity Tests'!$C$30,VLOOKUP($A229,AffordabilityRatio!$A$2:$I$321,6,FALSE))</f>
        <v>14.81</v>
      </c>
      <c r="AK229" s="268">
        <f>IF(ISNUMBER('Sensitivity Tests'!$C$30),'Sensitivity Tests'!$C$30,VLOOKUP($A229,AffordabilityRatio!$A$2:$I$321,7,FALSE))</f>
        <v>13.32</v>
      </c>
      <c r="AL229" s="268">
        <f>IF(ISNUMBER('Sensitivity Tests'!$C$30),'Sensitivity Tests'!$C$30,IF((VLOOKUP($A229,AffordabilityRatio!$A$2:$I$321,8,FALSE))="",AK229,VLOOKUP($A229,AffordabilityRatio!$A$2:$I$321,8,FALSE)))</f>
        <v>12.43</v>
      </c>
      <c r="AM229" s="268">
        <f>IF(ISNUMBER('Sensitivity Tests'!$C$30),'Sensitivity Tests'!$C$30,IF((VLOOKUP($A229,AffordabilityRatio!$A$2:$I$321,9,FALSE))="",AL229,VLOOKUP($A229,AffordabilityRatio!$A$2:$I$321,9,FALSE)))</f>
        <v>14.47</v>
      </c>
      <c r="AN229" s="268">
        <f>IF(ISNUMBER('Sensitivity Tests'!$C$30),'Sensitivity Tests'!$C$30,IF((VLOOKUP($A229,AffordabilityRatio!$A$2:$I$321,9,FALSE))="",AM229,VLOOKUP($A229,AffordabilityRatio!$A$2:$I$321,9,FALSE)))</f>
        <v>14.47</v>
      </c>
      <c r="AO229" s="268">
        <f>IF(ISNUMBER('Sensitivity Tests'!$C$30),'Sensitivity Tests'!$C$30,IF((VLOOKUP($A229,AffordabilityRatio!$A$2:$I$321,9,FALSE))="",AN229,VLOOKUP($A229,AffordabilityRatio!$A$2:$I$321,9,FALSE)))</f>
        <v>14.47</v>
      </c>
      <c r="AP229" s="268">
        <f>IF(ISNUMBER('Sensitivity Tests'!$C$30),'Sensitivity Tests'!$C$30,IF((VLOOKUP($A229,AffordabilityRatio!$A$2:$I$321,9,FALSE))="",AO229,VLOOKUP($A229,AffordabilityRatio!$A$2:$I$321,9,FALSE)))</f>
        <v>14.47</v>
      </c>
      <c r="AQ229" s="267">
        <f t="shared" si="152"/>
        <v>845</v>
      </c>
      <c r="AR229" s="267">
        <f t="shared" si="152"/>
        <v>846</v>
      </c>
      <c r="AS229" s="267">
        <f t="shared" si="152"/>
        <v>804</v>
      </c>
      <c r="AT229" s="267">
        <f t="shared" si="152"/>
        <v>482</v>
      </c>
      <c r="AU229" s="267">
        <f t="shared" si="152"/>
        <v>513</v>
      </c>
      <c r="AV229" s="267">
        <f t="shared" si="151"/>
        <v>499</v>
      </c>
      <c r="AW229" s="267">
        <f t="shared" si="151"/>
        <v>487</v>
      </c>
      <c r="AX229" s="267">
        <f t="shared" si="151"/>
        <v>483</v>
      </c>
      <c r="AY229" s="267">
        <f t="shared" si="171"/>
        <v>707.7</v>
      </c>
      <c r="AZ229" s="267">
        <f t="shared" si="172"/>
        <v>707.1400000000001</v>
      </c>
      <c r="BA229" s="267">
        <f t="shared" si="173"/>
        <v>711.48</v>
      </c>
      <c r="BB229" s="267">
        <f t="shared" si="174"/>
        <v>441.84000000000003</v>
      </c>
      <c r="BC229" s="267">
        <f t="shared" si="175"/>
        <v>433.72</v>
      </c>
      <c r="BD229" s="267">
        <f t="shared" si="176"/>
        <v>422.38</v>
      </c>
      <c r="BE229" s="267">
        <f t="shared" si="177"/>
        <v>411.74</v>
      </c>
      <c r="BF229" s="267">
        <f t="shared" si="178"/>
        <v>408.8</v>
      </c>
      <c r="BG229" s="269">
        <f>AY229*VLOOKUP($B229,'Major Cities &amp; Towns'!$A$28:$B$345,2,FALSE)</f>
        <v>707.7</v>
      </c>
      <c r="BH229" s="269">
        <f>AZ229*VLOOKUP($B229,'Major Cities &amp; Towns'!$A$28:$B$345,2,FALSE)</f>
        <v>707.1400000000001</v>
      </c>
      <c r="BI229" s="269">
        <f>BA229*VLOOKUP($B229,'Major Cities &amp; Towns'!$A$28:$B$345,2,FALSE)</f>
        <v>711.48</v>
      </c>
      <c r="BJ229" s="269">
        <f>BB229*VLOOKUP($B229,'Major Cities &amp; Towns'!$A$28:$B$345,2,FALSE)</f>
        <v>441.84000000000003</v>
      </c>
      <c r="BK229" s="269">
        <f>BC229*VLOOKUP($B229,'Major Cities &amp; Towns'!$A$28:$B$345,2,FALSE)</f>
        <v>433.72</v>
      </c>
      <c r="BL229" s="269">
        <f>BD229*VLOOKUP($B229,'Major Cities &amp; Towns'!$A$28:$B$345,2,FALSE)</f>
        <v>422.38</v>
      </c>
      <c r="BM229" s="269">
        <f>BE229*VLOOKUP($B229,'Major Cities &amp; Towns'!$A$28:$B$345,2,FALSE)</f>
        <v>411.74</v>
      </c>
      <c r="BN229" s="269">
        <f>BF229*VLOOKUP($B229,'Major Cities &amp; Towns'!$A$28:$B$345,2,FALSE)</f>
        <v>408.8</v>
      </c>
      <c r="BO229" s="270">
        <f t="shared" si="179"/>
        <v>845</v>
      </c>
      <c r="BP229" s="270">
        <f t="shared" si="195"/>
        <v>846</v>
      </c>
      <c r="BQ229" s="270">
        <f t="shared" si="195"/>
        <v>804</v>
      </c>
      <c r="BR229" s="270">
        <f t="shared" si="195"/>
        <v>482</v>
      </c>
      <c r="BS229" s="270">
        <f t="shared" si="195"/>
        <v>513</v>
      </c>
      <c r="BT229" s="270">
        <f t="shared" si="195"/>
        <v>499</v>
      </c>
      <c r="BU229" s="270">
        <f t="shared" si="195"/>
        <v>487</v>
      </c>
      <c r="BV229" s="270">
        <f t="shared" si="195"/>
        <v>483</v>
      </c>
      <c r="BW229" s="39">
        <f>VLOOKUP($A229,NetAdditions!$A$2:$H$336,6,FALSE)</f>
        <v>255</v>
      </c>
      <c r="BX229" s="39">
        <f>VLOOKUP($A229,NetAdditions!$A$2:$H$336,7,FALSE)</f>
        <v>433</v>
      </c>
      <c r="BY229" s="39">
        <f>IF((VLOOKUP($C229,NetAdditions!$A$2:$H$336,8,FALSE))="",(AVERAGE(VLOOKUP($C229,NetAdditions!$A$2:$H$336,5,FALSE),VLOOKUP($C229,NetAdditions!$A$2:$H$336,6,FALSE),VLOOKUP($C229,NetAdditions!$A$2:$H$336,7,FALSE))),VLOOKUP($C229,NetAdditions!$A$2:$H$336,8,FALSE))</f>
        <v>216</v>
      </c>
      <c r="BZ229" s="39">
        <f t="shared" si="196"/>
        <v>301.33333333333331</v>
      </c>
      <c r="CA229" s="39">
        <f t="shared" si="196"/>
        <v>316.77777777777777</v>
      </c>
      <c r="CB229" s="39">
        <f t="shared" si="196"/>
        <v>278.03703703703701</v>
      </c>
      <c r="CC229" s="39">
        <f t="shared" si="196"/>
        <v>298.71604938271599</v>
      </c>
      <c r="CD229" s="39">
        <f t="shared" si="196"/>
        <v>297.84362139917693</v>
      </c>
      <c r="CE229" s="276">
        <f t="shared" si="155"/>
        <v>2495</v>
      </c>
      <c r="CF229" s="276">
        <f t="shared" si="156"/>
        <v>2132</v>
      </c>
      <c r="CG229" s="276">
        <f t="shared" si="157"/>
        <v>1799</v>
      </c>
      <c r="CH229" s="276">
        <f t="shared" si="158"/>
        <v>1494</v>
      </c>
      <c r="CI229" s="276">
        <f t="shared" si="159"/>
        <v>1499</v>
      </c>
      <c r="CJ229" s="276">
        <f t="shared" si="160"/>
        <v>1469</v>
      </c>
      <c r="CK229" s="276">
        <f t="shared" si="180"/>
        <v>2148.4722222222222</v>
      </c>
      <c r="CL229" s="276">
        <f t="shared" si="181"/>
        <v>1835.8888888888889</v>
      </c>
      <c r="CM229" s="276">
        <f t="shared" si="182"/>
        <v>1649.0833333333333</v>
      </c>
      <c r="CN229" s="276">
        <f t="shared" si="183"/>
        <v>1494</v>
      </c>
      <c r="CO229" s="276">
        <f t="shared" si="183"/>
        <v>1499</v>
      </c>
      <c r="CP229" s="276">
        <f t="shared" si="183"/>
        <v>1469</v>
      </c>
      <c r="CQ229" s="39">
        <f t="shared" si="161"/>
        <v>904</v>
      </c>
      <c r="CR229" s="39">
        <f t="shared" si="162"/>
        <v>950.33333333333326</v>
      </c>
      <c r="CS229" s="277">
        <f t="shared" si="163"/>
        <v>834.11111111111109</v>
      </c>
      <c r="CT229" s="39">
        <f t="shared" si="164"/>
        <v>896.14814814814804</v>
      </c>
      <c r="CU229" s="39">
        <f t="shared" si="165"/>
        <v>893.53086419753072</v>
      </c>
      <c r="CV229" s="39">
        <f t="shared" si="166"/>
        <v>874.59670781892987</v>
      </c>
      <c r="CW229" s="297">
        <f t="shared" si="167"/>
        <v>0.42076410886288707</v>
      </c>
      <c r="CX229" s="279" t="str">
        <f t="shared" si="184"/>
        <v>Buffer and Action Plan</v>
      </c>
      <c r="CY229" s="278">
        <f t="shared" si="168"/>
        <v>0.5176420746837741</v>
      </c>
      <c r="CZ229" s="279" t="str">
        <f t="shared" si="185"/>
        <v>Buffer and Action Plan</v>
      </c>
      <c r="DA229" s="278">
        <f t="shared" si="169"/>
        <v>0.50580288712584431</v>
      </c>
      <c r="DB229" s="292" t="str">
        <f t="shared" si="186"/>
        <v>Presumption</v>
      </c>
      <c r="DC229" s="299">
        <f t="shared" si="187"/>
        <v>0.59983142446328519</v>
      </c>
      <c r="DD229" s="293" t="str">
        <f t="shared" si="188"/>
        <v>Presumption</v>
      </c>
      <c r="DE229" s="299">
        <f t="shared" si="189"/>
        <v>0.59608463255338939</v>
      </c>
      <c r="DF229" s="293" t="str">
        <f t="shared" si="190"/>
        <v>Presumption</v>
      </c>
      <c r="DG229" s="299">
        <f t="shared" si="191"/>
        <v>0.59536875957721569</v>
      </c>
      <c r="DH229" s="293" t="str">
        <f t="shared" si="192"/>
        <v>Presumption</v>
      </c>
    </row>
    <row r="230" spans="1:112" ht="15" thickTop="1" thickBot="1">
      <c r="A230" s="38" t="s">
        <v>570</v>
      </c>
      <c r="B230" s="38" t="s">
        <v>571</v>
      </c>
      <c r="C230" s="38" t="s">
        <v>570</v>
      </c>
      <c r="D230" s="38" t="s">
        <v>136</v>
      </c>
      <c r="E230" s="38" t="str">
        <f>VLOOKUP(C230,PoliticalControl!A:K,11,FALSE)</f>
        <v>NOC</v>
      </c>
      <c r="F230" s="38" t="str">
        <f>VLOOKUP(C230,UrbanRuralClassification!A:N,13,FALSE)</f>
        <v>Urban with Minor Conurbation</v>
      </c>
      <c r="G230" s="38" t="str">
        <f>VLOOKUP(C230,UrbanRuralClassification!A:N,14,FALSE)</f>
        <v>Predominantly Urban</v>
      </c>
      <c r="H230" s="258">
        <f>IF(ISBLANK((VLOOKUP($A230,'local-plan-data'!$C$1:$AD$566,27,FALSE)))=TRUE,"",VLOOKUP($A230,'local-plan-data'!$C$1:$AD$566,27,FALSE))</f>
        <v>39876</v>
      </c>
      <c r="I230" s="259">
        <f>VLOOKUP($A230,'local-plan-data'!$C$1:$AD$566,28,FALSE)</f>
        <v>1352.2727272727273</v>
      </c>
      <c r="J230" s="260">
        <f t="shared" si="170"/>
        <v>1352.2727272727273</v>
      </c>
      <c r="K230" s="259" t="str">
        <f t="shared" si="193"/>
        <v>-</v>
      </c>
      <c r="L230" s="259" t="str">
        <f t="shared" si="197"/>
        <v>-</v>
      </c>
      <c r="M230" s="259" t="str">
        <f t="shared" si="197"/>
        <v>-</v>
      </c>
      <c r="N230" s="259" t="str">
        <f t="shared" si="197"/>
        <v>-</v>
      </c>
      <c r="O230" s="259" t="str">
        <f t="shared" si="197"/>
        <v>-</v>
      </c>
      <c r="P230" s="259" t="str">
        <f t="shared" si="197"/>
        <v>-</v>
      </c>
      <c r="Q230" s="259" t="str">
        <f t="shared" si="197"/>
        <v>-</v>
      </c>
      <c r="R230" s="259" t="str">
        <f t="shared" si="197"/>
        <v>-</v>
      </c>
      <c r="S230" s="259">
        <f t="shared" si="194"/>
        <v>-1489</v>
      </c>
      <c r="T230" s="259">
        <f t="shared" si="198"/>
        <v>-1854</v>
      </c>
      <c r="U230" s="259">
        <f t="shared" si="198"/>
        <v>-2220</v>
      </c>
      <c r="V230" s="259">
        <f t="shared" si="198"/>
        <v>-2585</v>
      </c>
      <c r="W230" s="259">
        <f t="shared" si="198"/>
        <v>-2950</v>
      </c>
      <c r="X230" s="259">
        <f t="shared" si="198"/>
        <v>-3315</v>
      </c>
      <c r="Y230" s="259">
        <f t="shared" si="198"/>
        <v>-3681</v>
      </c>
      <c r="Z230" s="259">
        <f t="shared" si="198"/>
        <v>-4046</v>
      </c>
      <c r="AA230" s="267">
        <f>(VLOOKUP(A230,Hshldprojections2014!$A$2:$AW$319,40, FALSE)-VLOOKUP(A230,Hshldprojections2014!$A$2:$AW$319,30, FALSE))/10</f>
        <v>1916.9</v>
      </c>
      <c r="AB230" s="267">
        <f>(VLOOKUP(A230,Hshldprojections2014!$A$2:$AW$319,41, FALSE)-VLOOKUP(A230,Hshldprojections2014!$A$2:$AW$319,31, FALSE))/10</f>
        <v>1919.9</v>
      </c>
      <c r="AC230" s="267">
        <f>(VLOOKUP(A230,Hshldprojections2014!$A$2:$AW$319,42, FALSE)-VLOOKUP(A230,Hshldprojections2014!$A$2:$AW$319,32, FALSE))/10</f>
        <v>1932</v>
      </c>
      <c r="AD230" s="267">
        <f>IF(IndividualLATest!$J$7=2014,(VLOOKUP($A230,Hshldprojections2014!$A$2:$AY$326,43,FALSE)-VLOOKUP($A230,Hshldprojections2014!$A$2:$AY$326,33,FALSE))/10,IF(IndividualLATest!$J$7=2016,(VLOOKUP($A230,Hshldprojections2016!$A$1:$AQ$322,33,FALSE)-VLOOKUP($A230,Hshldprojections2016!$A$1:$AQ$322,23,FALSE))/10,(VLOOKUP($A230,Hshldprojections2018!$A$1:$AQ$327,33,FALSE)-VLOOKUP($A230,Hshldprojections2018!$A$1:$AQ$327,23,FALSE))/10))</f>
        <v>1403.1</v>
      </c>
      <c r="AE230" s="267">
        <f>IF(IndividualLATest!$J$7=2014,(VLOOKUP($A230,Hshldprojections2014!$A$2:$AY$326,44,FALSE)-VLOOKUP($A230,Hshldprojections2014!$A$2:$AY$326,34,FALSE))/10,IF(IndividualLATest!$J$7=2016,(VLOOKUP($A230,Hshldprojections2016!$A$1:$AQ$322,34,FALSE)-VLOOKUP($A230,Hshldprojections2016!$A$1:$AQ$322,24,FALSE))/10,(VLOOKUP($A230,Hshldprojections2018!$A$1:$AQ$327,34,FALSE)-VLOOKUP($A230,Hshldprojections2018!$A$1:$AQ$327,24,FALSE))/10))</f>
        <v>1415.5</v>
      </c>
      <c r="AF230" s="267">
        <f>IF(IndividualLATest!$J$7=2014,(VLOOKUP($A230,Hshldprojections2014!$A$2:$AY$326,45,FALSE)-VLOOKUP($A230,Hshldprojections2014!$A$2:$AY$326,35,FALSE))/10,IF(IndividualLATest!$J$7=2016,(VLOOKUP($A230,Hshldprojections2016!$A$1:$AQ$322,35,FALSE)-VLOOKUP($A230,Hshldprojections2016!$A$1:$AQ$322,25,FALSE))/10,(VLOOKUP($A230,Hshldprojections2018!$A$1:$AQ$327,35,FALSE)-VLOOKUP($A230,Hshldprojections2018!$A$1:$AQ$327,25,FALSE))/10))</f>
        <v>1425.7</v>
      </c>
      <c r="AG230" s="267">
        <f>IF(IndividualLATest!$J$7=2014,(VLOOKUP($A230,Hshldprojections2014!$A$2:$AY$326,46,FALSE)-VLOOKUP($A230,Hshldprojections2014!$A$2:$AY$326,36,FALSE))/10,IF(IndividualLATest!$J$7=2016,(VLOOKUP($A230,Hshldprojections2016!$A$1:$AQ$322,36,FALSE)-VLOOKUP($A230,Hshldprojections2016!$A$1:$AQ$322,26,FALSE))/10,(VLOOKUP($A230,Hshldprojections2018!$A$1:$AQ$327,36,FALSE)-VLOOKUP($A230,Hshldprojections2018!$A$1:$AQ$327,26,FALSE))/10))</f>
        <v>1428.6</v>
      </c>
      <c r="AH230" s="267">
        <f>IF(IndividualLATest!$J$7=2014,(VLOOKUP($A230,Hshldprojections2014!$A$2:$AY$326,47,FALSE)-VLOOKUP($A230,Hshldprojections2014!$A$2:$AY$326,37,FALSE))/10,IF(IndividualLATest!$J$7=2016,(VLOOKUP($A230,Hshldprojections2016!$A$1:$AQ$322,37,FALSE)-VLOOKUP($A230,Hshldprojections2016!$A$1:$AQ$322,27,FALSE))/10,(VLOOKUP($A230,Hshldprojections2018!$A$1:$AQ$327,37,FALSE)-VLOOKUP($A230,Hshldprojections2018!$A$1:$AQ$327,27,FALSE))/10))</f>
        <v>1432.7</v>
      </c>
      <c r="AI230" s="268">
        <f>IF(ISNUMBER('Sensitivity Tests'!$C$30),'Sensitivity Tests'!$C$30,VLOOKUP($A230,AffordabilityRatio!$A$2:$I$321,5,FALSE))</f>
        <v>5.52</v>
      </c>
      <c r="AJ230" s="268">
        <f>IF(ISNUMBER('Sensitivity Tests'!$C$30),'Sensitivity Tests'!$C$30,VLOOKUP($A230,AffordabilityRatio!$A$2:$I$321,6,FALSE))</f>
        <v>5.66</v>
      </c>
      <c r="AK230" s="268">
        <f>IF(ISNUMBER('Sensitivity Tests'!$C$30),'Sensitivity Tests'!$C$30,VLOOKUP($A230,AffordabilityRatio!$A$2:$I$321,7,FALSE))</f>
        <v>5.65</v>
      </c>
      <c r="AL230" s="268">
        <f>IF(ISNUMBER('Sensitivity Tests'!$C$30),'Sensitivity Tests'!$C$30,IF((VLOOKUP($A230,AffordabilityRatio!$A$2:$I$321,8,FALSE))="",AK230,VLOOKUP($A230,AffordabilityRatio!$A$2:$I$321,8,FALSE)))</f>
        <v>5.78</v>
      </c>
      <c r="AM230" s="268">
        <f>IF(ISNUMBER('Sensitivity Tests'!$C$30),'Sensitivity Tests'!$C$30,IF((VLOOKUP($A230,AffordabilityRatio!$A$2:$I$321,9,FALSE))="",AL230,VLOOKUP($A230,AffordabilityRatio!$A$2:$I$321,9,FALSE)))</f>
        <v>6.14</v>
      </c>
      <c r="AN230" s="268">
        <f>IF(ISNUMBER('Sensitivity Tests'!$C$30),'Sensitivity Tests'!$C$30,IF((VLOOKUP($A230,AffordabilityRatio!$A$2:$I$321,9,FALSE))="",AM230,VLOOKUP($A230,AffordabilityRatio!$A$2:$I$321,9,FALSE)))</f>
        <v>6.14</v>
      </c>
      <c r="AO230" s="268">
        <f>IF(ISNUMBER('Sensitivity Tests'!$C$30),'Sensitivity Tests'!$C$30,IF((VLOOKUP($A230,AffordabilityRatio!$A$2:$I$321,9,FALSE))="",AN230,VLOOKUP($A230,AffordabilityRatio!$A$2:$I$321,9,FALSE)))</f>
        <v>6.14</v>
      </c>
      <c r="AP230" s="268">
        <f>IF(ISNUMBER('Sensitivity Tests'!$C$30),'Sensitivity Tests'!$C$30,IF((VLOOKUP($A230,AffordabilityRatio!$A$2:$I$321,9,FALSE))="",AO230,VLOOKUP($A230,AffordabilityRatio!$A$2:$I$321,9,FALSE)))</f>
        <v>6.14</v>
      </c>
      <c r="AQ230" s="267">
        <f t="shared" si="152"/>
        <v>2099</v>
      </c>
      <c r="AR230" s="267">
        <f t="shared" si="152"/>
        <v>2119</v>
      </c>
      <c r="AS230" s="267">
        <f t="shared" si="152"/>
        <v>2131</v>
      </c>
      <c r="AT230" s="267">
        <f t="shared" si="152"/>
        <v>1559</v>
      </c>
      <c r="AU230" s="267">
        <f t="shared" si="152"/>
        <v>1605</v>
      </c>
      <c r="AV230" s="267">
        <f t="shared" si="151"/>
        <v>1616</v>
      </c>
      <c r="AW230" s="267">
        <f t="shared" si="151"/>
        <v>1620</v>
      </c>
      <c r="AX230" s="267">
        <f t="shared" si="151"/>
        <v>1624</v>
      </c>
      <c r="AY230" s="267">
        <f t="shared" si="171"/>
        <v>2099</v>
      </c>
      <c r="AZ230" s="267">
        <f t="shared" si="172"/>
        <v>2119</v>
      </c>
      <c r="BA230" s="267">
        <f t="shared" si="173"/>
        <v>2131</v>
      </c>
      <c r="BB230" s="267">
        <f t="shared" si="174"/>
        <v>1559</v>
      </c>
      <c r="BC230" s="267">
        <f t="shared" si="175"/>
        <v>1605</v>
      </c>
      <c r="BD230" s="267">
        <f t="shared" si="176"/>
        <v>1616</v>
      </c>
      <c r="BE230" s="267">
        <f t="shared" si="177"/>
        <v>1620</v>
      </c>
      <c r="BF230" s="267">
        <f t="shared" si="178"/>
        <v>1624</v>
      </c>
      <c r="BG230" s="269">
        <f>AY230*VLOOKUP($B230,'Major Cities &amp; Towns'!$A$28:$B$345,2,FALSE)</f>
        <v>2833.65</v>
      </c>
      <c r="BH230" s="269">
        <f>AZ230*VLOOKUP($B230,'Major Cities &amp; Towns'!$A$28:$B$345,2,FALSE)</f>
        <v>2860.65</v>
      </c>
      <c r="BI230" s="269">
        <f>BA230*VLOOKUP($B230,'Major Cities &amp; Towns'!$A$28:$B$345,2,FALSE)</f>
        <v>2876.8500000000004</v>
      </c>
      <c r="BJ230" s="269">
        <f>BB230*VLOOKUP($B230,'Major Cities &amp; Towns'!$A$28:$B$345,2,FALSE)</f>
        <v>2104.65</v>
      </c>
      <c r="BK230" s="269">
        <f>BC230*VLOOKUP($B230,'Major Cities &amp; Towns'!$A$28:$B$345,2,FALSE)</f>
        <v>2166.75</v>
      </c>
      <c r="BL230" s="269">
        <f>BD230*VLOOKUP($B230,'Major Cities &amp; Towns'!$A$28:$B$345,2,FALSE)</f>
        <v>2181.6000000000004</v>
      </c>
      <c r="BM230" s="269">
        <f>BE230*VLOOKUP($B230,'Major Cities &amp; Towns'!$A$28:$B$345,2,FALSE)</f>
        <v>2187</v>
      </c>
      <c r="BN230" s="269">
        <f>BF230*VLOOKUP($B230,'Major Cities &amp; Towns'!$A$28:$B$345,2,FALSE)</f>
        <v>2192.4</v>
      </c>
      <c r="BO230" s="270">
        <f t="shared" si="179"/>
        <v>2099</v>
      </c>
      <c r="BP230" s="270">
        <f t="shared" si="195"/>
        <v>2119</v>
      </c>
      <c r="BQ230" s="270">
        <f t="shared" si="195"/>
        <v>2131</v>
      </c>
      <c r="BR230" s="270">
        <f t="shared" si="195"/>
        <v>1559</v>
      </c>
      <c r="BS230" s="270">
        <f t="shared" si="195"/>
        <v>1605</v>
      </c>
      <c r="BT230" s="270">
        <f t="shared" si="195"/>
        <v>1616</v>
      </c>
      <c r="BU230" s="270">
        <f t="shared" si="195"/>
        <v>1620</v>
      </c>
      <c r="BV230" s="270">
        <f t="shared" si="195"/>
        <v>1624</v>
      </c>
      <c r="BW230" s="39">
        <f>VLOOKUP($A230,NetAdditions!$A$2:$H$336,6,FALSE)</f>
        <v>1976</v>
      </c>
      <c r="BX230" s="39">
        <f>VLOOKUP($A230,NetAdditions!$A$2:$H$336,7,FALSE)</f>
        <v>3083</v>
      </c>
      <c r="BY230" s="39">
        <f>IF((VLOOKUP($C230,NetAdditions!$A$2:$H$336,8,FALSE))="",(AVERAGE(VLOOKUP($C230,NetAdditions!$A$2:$H$336,5,FALSE),VLOOKUP($C230,NetAdditions!$A$2:$H$336,6,FALSE),VLOOKUP($C230,NetAdditions!$A$2:$H$336,7,FALSE))),VLOOKUP($C230,NetAdditions!$A$2:$H$336,8,FALSE))</f>
        <v>1850</v>
      </c>
      <c r="BZ230" s="39">
        <f t="shared" si="196"/>
        <v>2303</v>
      </c>
      <c r="CA230" s="39">
        <f t="shared" si="196"/>
        <v>2412</v>
      </c>
      <c r="CB230" s="39">
        <f t="shared" si="196"/>
        <v>2188.3333333333335</v>
      </c>
      <c r="CC230" s="39">
        <f t="shared" si="196"/>
        <v>2301.1111111111113</v>
      </c>
      <c r="CD230" s="39">
        <f t="shared" si="196"/>
        <v>2300.4814814814818</v>
      </c>
      <c r="CE230" s="276">
        <f t="shared" si="155"/>
        <v>6349</v>
      </c>
      <c r="CF230" s="276">
        <f t="shared" si="156"/>
        <v>5809</v>
      </c>
      <c r="CG230" s="276">
        <f t="shared" si="157"/>
        <v>5295</v>
      </c>
      <c r="CH230" s="276">
        <f t="shared" si="158"/>
        <v>4780</v>
      </c>
      <c r="CI230" s="276">
        <f t="shared" si="159"/>
        <v>4841</v>
      </c>
      <c r="CJ230" s="276">
        <f t="shared" si="160"/>
        <v>4860</v>
      </c>
      <c r="CK230" s="276">
        <f t="shared" si="180"/>
        <v>5467.1944444444443</v>
      </c>
      <c r="CL230" s="276">
        <f t="shared" si="181"/>
        <v>5002.1944444444443</v>
      </c>
      <c r="CM230" s="276">
        <f t="shared" si="182"/>
        <v>4853.75</v>
      </c>
      <c r="CN230" s="276">
        <f t="shared" si="183"/>
        <v>4780</v>
      </c>
      <c r="CO230" s="276">
        <f t="shared" si="183"/>
        <v>4841</v>
      </c>
      <c r="CP230" s="276">
        <f t="shared" si="183"/>
        <v>4860</v>
      </c>
      <c r="CQ230" s="39">
        <f t="shared" si="161"/>
        <v>6909</v>
      </c>
      <c r="CR230" s="39">
        <f t="shared" si="162"/>
        <v>7236</v>
      </c>
      <c r="CS230" s="277">
        <f t="shared" si="163"/>
        <v>6565</v>
      </c>
      <c r="CT230" s="39">
        <f t="shared" si="164"/>
        <v>6903.3333333333339</v>
      </c>
      <c r="CU230" s="39">
        <f t="shared" si="165"/>
        <v>6901.4444444444453</v>
      </c>
      <c r="CV230" s="39">
        <f t="shared" si="166"/>
        <v>6789.925925925927</v>
      </c>
      <c r="CW230" s="297">
        <f t="shared" si="167"/>
        <v>1.2637194579791586</v>
      </c>
      <c r="CX230" s="279" t="str">
        <f t="shared" si="184"/>
        <v>Pass</v>
      </c>
      <c r="CY230" s="278">
        <f t="shared" si="168"/>
        <v>1.4465651186423736</v>
      </c>
      <c r="CZ230" s="279" t="str">
        <f t="shared" si="185"/>
        <v>Pass</v>
      </c>
      <c r="DA230" s="278">
        <f t="shared" si="169"/>
        <v>1.3525624517125934</v>
      </c>
      <c r="DB230" s="292" t="str">
        <f t="shared" si="186"/>
        <v>Pass</v>
      </c>
      <c r="DC230" s="299">
        <f t="shared" si="187"/>
        <v>1.4442119944211995</v>
      </c>
      <c r="DD230" s="293" t="str">
        <f t="shared" si="188"/>
        <v>Pass</v>
      </c>
      <c r="DE230" s="299">
        <f t="shared" si="189"/>
        <v>1.425623723289495</v>
      </c>
      <c r="DF230" s="293" t="str">
        <f t="shared" si="190"/>
        <v>Pass</v>
      </c>
      <c r="DG230" s="299">
        <f t="shared" si="191"/>
        <v>1.3971040999847586</v>
      </c>
      <c r="DH230" s="293" t="str">
        <f t="shared" si="192"/>
        <v>Pass</v>
      </c>
    </row>
    <row r="231" spans="1:112" ht="15" thickTop="1" thickBot="1">
      <c r="A231" s="38" t="s">
        <v>572</v>
      </c>
      <c r="B231" s="38" t="s">
        <v>573</v>
      </c>
      <c r="C231" s="38" t="s">
        <v>572</v>
      </c>
      <c r="D231" s="38" t="s">
        <v>154</v>
      </c>
      <c r="E231" s="38" t="str">
        <f>VLOOKUP(C231,PoliticalControl!A:K,11,FALSE)</f>
        <v>CON</v>
      </c>
      <c r="F231" s="38" t="str">
        <f>VLOOKUP(C231,UrbanRuralClassification!A:N,13,FALSE)</f>
        <v xml:space="preserve">Largely Rural (rural including hub towns 50-79%) </v>
      </c>
      <c r="G231" s="38" t="str">
        <f>VLOOKUP(C231,UrbanRuralClassification!A:N,14,FALSE)</f>
        <v>Predominantly Rural</v>
      </c>
      <c r="H231" s="258">
        <f>IF(ISBLANK((VLOOKUP($A231,'local-plan-data'!$C$1:$AD$566,27,FALSE)))=TRUE,"",VLOOKUP($A231,'local-plan-data'!$C$1:$AD$566,27,FALSE))</f>
        <v>40598</v>
      </c>
      <c r="I231" s="259">
        <f>VLOOKUP($A231,'local-plan-data'!$C$1:$AD$566,28,FALSE)</f>
        <v>1375</v>
      </c>
      <c r="J231" s="260">
        <f t="shared" si="170"/>
        <v>1375</v>
      </c>
      <c r="K231" s="259" t="str">
        <f t="shared" si="193"/>
        <v>-</v>
      </c>
      <c r="L231" s="259" t="str">
        <f t="shared" si="197"/>
        <v>-</v>
      </c>
      <c r="M231" s="259" t="str">
        <f t="shared" si="197"/>
        <v>-</v>
      </c>
      <c r="N231" s="259" t="str">
        <f t="shared" si="197"/>
        <v>-</v>
      </c>
      <c r="O231" s="259" t="str">
        <f t="shared" si="197"/>
        <v>-</v>
      </c>
      <c r="P231" s="259" t="str">
        <f t="shared" si="197"/>
        <v>-</v>
      </c>
      <c r="Q231" s="259" t="str">
        <f t="shared" si="197"/>
        <v>-</v>
      </c>
      <c r="R231" s="259" t="str">
        <f t="shared" si="197"/>
        <v>-</v>
      </c>
      <c r="S231" s="259">
        <f t="shared" si="194"/>
        <v>-767</v>
      </c>
      <c r="T231" s="259">
        <f t="shared" si="198"/>
        <v>-1132</v>
      </c>
      <c r="U231" s="259">
        <f t="shared" si="198"/>
        <v>-1498</v>
      </c>
      <c r="V231" s="259">
        <f t="shared" si="198"/>
        <v>-1863</v>
      </c>
      <c r="W231" s="259">
        <f t="shared" si="198"/>
        <v>-2228</v>
      </c>
      <c r="X231" s="259">
        <f t="shared" si="198"/>
        <v>-2593</v>
      </c>
      <c r="Y231" s="259">
        <f t="shared" si="198"/>
        <v>-2959</v>
      </c>
      <c r="Z231" s="259">
        <f t="shared" si="198"/>
        <v>-3324</v>
      </c>
      <c r="AA231" s="267">
        <f>(VLOOKUP(A231,Hshldprojections2014!$A$2:$AW$319,40, FALSE)-VLOOKUP(A231,Hshldprojections2014!$A$2:$AW$319,30, FALSE))/10</f>
        <v>990.8</v>
      </c>
      <c r="AB231" s="267">
        <f>(VLOOKUP(A231,Hshldprojections2014!$A$2:$AW$319,41, FALSE)-VLOOKUP(A231,Hshldprojections2014!$A$2:$AW$319,31, FALSE))/10</f>
        <v>964.6</v>
      </c>
      <c r="AC231" s="267">
        <f>(VLOOKUP(A231,Hshldprojections2014!$A$2:$AW$319,42, FALSE)-VLOOKUP(A231,Hshldprojections2014!$A$2:$AW$319,32, FALSE))/10</f>
        <v>943</v>
      </c>
      <c r="AD231" s="267">
        <f>IF(IndividualLATest!$J$7=2014,(VLOOKUP($A231,Hshldprojections2014!$A$2:$AY$326,43,FALSE)-VLOOKUP($A231,Hshldprojections2014!$A$2:$AY$326,33,FALSE))/10,IF(IndividualLATest!$J$7=2016,(VLOOKUP($A231,Hshldprojections2016!$A$1:$AQ$322,33,FALSE)-VLOOKUP($A231,Hshldprojections2016!$A$1:$AQ$322,23,FALSE))/10,(VLOOKUP($A231,Hshldprojections2018!$A$1:$AQ$327,33,FALSE)-VLOOKUP($A231,Hshldprojections2018!$A$1:$AQ$327,23,FALSE))/10))</f>
        <v>1713.3</v>
      </c>
      <c r="AE231" s="267">
        <f>IF(IndividualLATest!$J$7=2014,(VLOOKUP($A231,Hshldprojections2014!$A$2:$AY$326,44,FALSE)-VLOOKUP($A231,Hshldprojections2014!$A$2:$AY$326,34,FALSE))/10,IF(IndividualLATest!$J$7=2016,(VLOOKUP($A231,Hshldprojections2016!$A$1:$AQ$322,34,FALSE)-VLOOKUP($A231,Hshldprojections2016!$A$1:$AQ$322,24,FALSE))/10,(VLOOKUP($A231,Hshldprojections2018!$A$1:$AQ$327,34,FALSE)-VLOOKUP($A231,Hshldprojections2018!$A$1:$AQ$327,24,FALSE))/10))</f>
        <v>1669.8</v>
      </c>
      <c r="AF231" s="267">
        <f>IF(IndividualLATest!$J$7=2014,(VLOOKUP($A231,Hshldprojections2014!$A$2:$AY$326,45,FALSE)-VLOOKUP($A231,Hshldprojections2014!$A$2:$AY$326,35,FALSE))/10,IF(IndividualLATest!$J$7=2016,(VLOOKUP($A231,Hshldprojections2016!$A$1:$AQ$322,35,FALSE)-VLOOKUP($A231,Hshldprojections2016!$A$1:$AQ$322,25,FALSE))/10,(VLOOKUP($A231,Hshldprojections2018!$A$1:$AQ$327,35,FALSE)-VLOOKUP($A231,Hshldprojections2018!$A$1:$AQ$327,25,FALSE))/10))</f>
        <v>1630.6</v>
      </c>
      <c r="AG231" s="267">
        <f>IF(IndividualLATest!$J$7=2014,(VLOOKUP($A231,Hshldprojections2014!$A$2:$AY$326,46,FALSE)-VLOOKUP($A231,Hshldprojections2014!$A$2:$AY$326,36,FALSE))/10,IF(IndividualLATest!$J$7=2016,(VLOOKUP($A231,Hshldprojections2016!$A$1:$AQ$322,36,FALSE)-VLOOKUP($A231,Hshldprojections2016!$A$1:$AQ$322,26,FALSE))/10,(VLOOKUP($A231,Hshldprojections2018!$A$1:$AQ$327,36,FALSE)-VLOOKUP($A231,Hshldprojections2018!$A$1:$AQ$327,26,FALSE))/10))</f>
        <v>1588.7</v>
      </c>
      <c r="AH231" s="267">
        <f>IF(IndividualLATest!$J$7=2014,(VLOOKUP($A231,Hshldprojections2014!$A$2:$AY$326,47,FALSE)-VLOOKUP($A231,Hshldprojections2014!$A$2:$AY$326,37,FALSE))/10,IF(IndividualLATest!$J$7=2016,(VLOOKUP($A231,Hshldprojections2016!$A$1:$AQ$322,37,FALSE)-VLOOKUP($A231,Hshldprojections2016!$A$1:$AQ$322,27,FALSE))/10,(VLOOKUP($A231,Hshldprojections2018!$A$1:$AQ$327,37,FALSE)-VLOOKUP($A231,Hshldprojections2018!$A$1:$AQ$327,27,FALSE))/10))</f>
        <v>1555.9</v>
      </c>
      <c r="AI231" s="268">
        <f>IF(ISNUMBER('Sensitivity Tests'!$C$30),'Sensitivity Tests'!$C$30,VLOOKUP($A231,AffordabilityRatio!$A$2:$I$321,5,FALSE))</f>
        <v>8.52</v>
      </c>
      <c r="AJ231" s="268">
        <f>IF(ISNUMBER('Sensitivity Tests'!$C$30),'Sensitivity Tests'!$C$30,VLOOKUP($A231,AffordabilityRatio!$A$2:$I$321,6,FALSE))</f>
        <v>8.11</v>
      </c>
      <c r="AK231" s="268">
        <f>IF(ISNUMBER('Sensitivity Tests'!$C$30),'Sensitivity Tests'!$C$30,VLOOKUP($A231,AffordabilityRatio!$A$2:$I$321,7,FALSE))</f>
        <v>8</v>
      </c>
      <c r="AL231" s="268">
        <f>IF(ISNUMBER('Sensitivity Tests'!$C$30),'Sensitivity Tests'!$C$30,IF((VLOOKUP($A231,AffordabilityRatio!$A$2:$I$321,8,FALSE))="",AK231,VLOOKUP($A231,AffordabilityRatio!$A$2:$I$321,8,FALSE)))</f>
        <v>7.97</v>
      </c>
      <c r="AM231" s="268">
        <f>IF(ISNUMBER('Sensitivity Tests'!$C$30),'Sensitivity Tests'!$C$30,IF((VLOOKUP($A231,AffordabilityRatio!$A$2:$I$321,9,FALSE))="",AL231,VLOOKUP($A231,AffordabilityRatio!$A$2:$I$321,9,FALSE)))</f>
        <v>9.0500000000000007</v>
      </c>
      <c r="AN231" s="268">
        <f>IF(ISNUMBER('Sensitivity Tests'!$C$30),'Sensitivity Tests'!$C$30,IF((VLOOKUP($A231,AffordabilityRatio!$A$2:$I$321,9,FALSE))="",AM231,VLOOKUP($A231,AffordabilityRatio!$A$2:$I$321,9,FALSE)))</f>
        <v>9.0500000000000007</v>
      </c>
      <c r="AO231" s="268">
        <f>IF(ISNUMBER('Sensitivity Tests'!$C$30),'Sensitivity Tests'!$C$30,IF((VLOOKUP($A231,AffordabilityRatio!$A$2:$I$321,9,FALSE))="",AN231,VLOOKUP($A231,AffordabilityRatio!$A$2:$I$321,9,FALSE)))</f>
        <v>9.0500000000000007</v>
      </c>
      <c r="AP231" s="268">
        <f>IF(ISNUMBER('Sensitivity Tests'!$C$30),'Sensitivity Tests'!$C$30,IF((VLOOKUP($A231,AffordabilityRatio!$A$2:$I$321,9,FALSE))="",AO231,VLOOKUP($A231,AffordabilityRatio!$A$2:$I$321,9,FALSE)))</f>
        <v>9.0500000000000007</v>
      </c>
      <c r="AQ231" s="267">
        <f t="shared" si="152"/>
        <v>1271</v>
      </c>
      <c r="AR231" s="267">
        <f t="shared" si="152"/>
        <v>1212</v>
      </c>
      <c r="AS231" s="267">
        <f t="shared" si="152"/>
        <v>1179</v>
      </c>
      <c r="AT231" s="267">
        <f t="shared" si="152"/>
        <v>2138</v>
      </c>
      <c r="AU231" s="267">
        <f t="shared" si="152"/>
        <v>2197</v>
      </c>
      <c r="AV231" s="267">
        <f t="shared" si="151"/>
        <v>2145</v>
      </c>
      <c r="AW231" s="267">
        <f t="shared" si="151"/>
        <v>2090</v>
      </c>
      <c r="AX231" s="267">
        <f t="shared" si="151"/>
        <v>2047</v>
      </c>
      <c r="AY231" s="267">
        <f t="shared" si="171"/>
        <v>1271</v>
      </c>
      <c r="AZ231" s="267">
        <f t="shared" si="172"/>
        <v>1212</v>
      </c>
      <c r="BA231" s="267">
        <f t="shared" si="173"/>
        <v>1179</v>
      </c>
      <c r="BB231" s="267">
        <f t="shared" si="174"/>
        <v>2138</v>
      </c>
      <c r="BC231" s="267">
        <f t="shared" si="175"/>
        <v>2197</v>
      </c>
      <c r="BD231" s="267">
        <f t="shared" si="176"/>
        <v>2145</v>
      </c>
      <c r="BE231" s="267">
        <f t="shared" si="177"/>
        <v>2090</v>
      </c>
      <c r="BF231" s="267">
        <f t="shared" si="178"/>
        <v>2047</v>
      </c>
      <c r="BG231" s="269">
        <f>AY231*VLOOKUP($B231,'Major Cities &amp; Towns'!$A$28:$B$345,2,FALSE)</f>
        <v>1271</v>
      </c>
      <c r="BH231" s="269">
        <f>AZ231*VLOOKUP($B231,'Major Cities &amp; Towns'!$A$28:$B$345,2,FALSE)</f>
        <v>1212</v>
      </c>
      <c r="BI231" s="269">
        <f>BA231*VLOOKUP($B231,'Major Cities &amp; Towns'!$A$28:$B$345,2,FALSE)</f>
        <v>1179</v>
      </c>
      <c r="BJ231" s="269">
        <f>BB231*VLOOKUP($B231,'Major Cities &amp; Towns'!$A$28:$B$345,2,FALSE)</f>
        <v>2138</v>
      </c>
      <c r="BK231" s="269">
        <f>BC231*VLOOKUP($B231,'Major Cities &amp; Towns'!$A$28:$B$345,2,FALSE)</f>
        <v>2197</v>
      </c>
      <c r="BL231" s="269">
        <f>BD231*VLOOKUP($B231,'Major Cities &amp; Towns'!$A$28:$B$345,2,FALSE)</f>
        <v>2145</v>
      </c>
      <c r="BM231" s="269">
        <f>BE231*VLOOKUP($B231,'Major Cities &amp; Towns'!$A$28:$B$345,2,FALSE)</f>
        <v>2090</v>
      </c>
      <c r="BN231" s="269">
        <f>BF231*VLOOKUP($B231,'Major Cities &amp; Towns'!$A$28:$B$345,2,FALSE)</f>
        <v>2047</v>
      </c>
      <c r="BO231" s="270">
        <f t="shared" si="179"/>
        <v>1271</v>
      </c>
      <c r="BP231" s="270">
        <f t="shared" si="195"/>
        <v>1212</v>
      </c>
      <c r="BQ231" s="270">
        <f t="shared" si="195"/>
        <v>1179</v>
      </c>
      <c r="BR231" s="270">
        <f t="shared" si="195"/>
        <v>2138</v>
      </c>
      <c r="BS231" s="270">
        <f t="shared" si="195"/>
        <v>2197</v>
      </c>
      <c r="BT231" s="270">
        <f t="shared" si="195"/>
        <v>2145</v>
      </c>
      <c r="BU231" s="270">
        <f t="shared" si="195"/>
        <v>2090</v>
      </c>
      <c r="BV231" s="270">
        <f t="shared" si="195"/>
        <v>2047</v>
      </c>
      <c r="BW231" s="39">
        <f>VLOOKUP($A231,NetAdditions!$A$2:$H$336,6,FALSE)</f>
        <v>1816</v>
      </c>
      <c r="BX231" s="39">
        <f>VLOOKUP($A231,NetAdditions!$A$2:$H$336,7,FALSE)</f>
        <v>1542</v>
      </c>
      <c r="BY231" s="39">
        <f>IF((VLOOKUP($C231,NetAdditions!$A$2:$H$336,8,FALSE))="",(AVERAGE(VLOOKUP($C231,NetAdditions!$A$2:$H$336,5,FALSE),VLOOKUP($C231,NetAdditions!$A$2:$H$336,6,FALSE),VLOOKUP($C231,NetAdditions!$A$2:$H$336,7,FALSE))),VLOOKUP($C231,NetAdditions!$A$2:$H$336,8,FALSE))</f>
        <v>1582</v>
      </c>
      <c r="BZ231" s="39">
        <f t="shared" si="196"/>
        <v>1646.6666666666667</v>
      </c>
      <c r="CA231" s="39">
        <f t="shared" si="196"/>
        <v>1590.2222222222224</v>
      </c>
      <c r="CB231" s="39">
        <f t="shared" si="196"/>
        <v>1606.2962962962965</v>
      </c>
      <c r="CC231" s="39">
        <f t="shared" si="196"/>
        <v>1614.3950617283954</v>
      </c>
      <c r="CD231" s="39">
        <f t="shared" si="196"/>
        <v>1603.6378600823048</v>
      </c>
      <c r="CE231" s="276">
        <f t="shared" si="155"/>
        <v>3662</v>
      </c>
      <c r="CF231" s="276">
        <f t="shared" si="156"/>
        <v>4529</v>
      </c>
      <c r="CG231" s="276">
        <f t="shared" si="157"/>
        <v>5514</v>
      </c>
      <c r="CH231" s="276">
        <f t="shared" si="158"/>
        <v>6480</v>
      </c>
      <c r="CI231" s="276">
        <f t="shared" si="159"/>
        <v>6432</v>
      </c>
      <c r="CJ231" s="276">
        <f t="shared" si="160"/>
        <v>6282</v>
      </c>
      <c r="CK231" s="276">
        <f t="shared" si="180"/>
        <v>3153.3888888888891</v>
      </c>
      <c r="CL231" s="276">
        <f t="shared" si="181"/>
        <v>3899.9722222222226</v>
      </c>
      <c r="CM231" s="276">
        <f t="shared" si="182"/>
        <v>5054.5</v>
      </c>
      <c r="CN231" s="276">
        <f t="shared" si="183"/>
        <v>6480</v>
      </c>
      <c r="CO231" s="276">
        <f t="shared" si="183"/>
        <v>6432</v>
      </c>
      <c r="CP231" s="276">
        <f t="shared" si="183"/>
        <v>6282</v>
      </c>
      <c r="CQ231" s="39">
        <f t="shared" si="161"/>
        <v>4940</v>
      </c>
      <c r="CR231" s="39">
        <f t="shared" si="162"/>
        <v>4770.666666666667</v>
      </c>
      <c r="CS231" s="277">
        <f t="shared" si="163"/>
        <v>4818.8888888888896</v>
      </c>
      <c r="CT231" s="39">
        <f t="shared" si="164"/>
        <v>4843.1851851851861</v>
      </c>
      <c r="CU231" s="39">
        <f t="shared" si="165"/>
        <v>4810.9135802469145</v>
      </c>
      <c r="CV231" s="39">
        <f t="shared" si="166"/>
        <v>4824.3292181069964</v>
      </c>
      <c r="CW231" s="297">
        <f t="shared" si="167"/>
        <v>1.5665685946336392</v>
      </c>
      <c r="CX231" s="279" t="str">
        <f t="shared" si="184"/>
        <v>Pass</v>
      </c>
      <c r="CY231" s="278">
        <f t="shared" si="168"/>
        <v>1.2232565759015377</v>
      </c>
      <c r="CZ231" s="279" t="str">
        <f t="shared" si="185"/>
        <v>Pass</v>
      </c>
      <c r="DA231" s="278">
        <f t="shared" si="169"/>
        <v>0.95338587177542577</v>
      </c>
      <c r="DB231" s="292" t="str">
        <f t="shared" si="186"/>
        <v>Pass</v>
      </c>
      <c r="DC231" s="299">
        <f t="shared" si="187"/>
        <v>0.74740512117055347</v>
      </c>
      <c r="DD231" s="293" t="str">
        <f t="shared" si="188"/>
        <v>Presumption</v>
      </c>
      <c r="DE231" s="299">
        <f t="shared" si="189"/>
        <v>0.74796541981450781</v>
      </c>
      <c r="DF231" s="293" t="str">
        <f t="shared" si="190"/>
        <v>Presumption</v>
      </c>
      <c r="DG231" s="299">
        <f t="shared" si="191"/>
        <v>0.76796071603104055</v>
      </c>
      <c r="DH231" s="293" t="str">
        <f t="shared" si="192"/>
        <v>Buffer and Action Plan</v>
      </c>
    </row>
    <row r="232" spans="1:112" ht="15" thickTop="1" thickBot="1">
      <c r="A232" s="38" t="s">
        <v>574</v>
      </c>
      <c r="B232" s="38" t="s">
        <v>575</v>
      </c>
      <c r="C232" s="38" t="s">
        <v>574</v>
      </c>
      <c r="D232" s="38" t="s">
        <v>113</v>
      </c>
      <c r="E232" s="38" t="str">
        <f>VLOOKUP(C232,PoliticalControl!A:K,11,FALSE)</f>
        <v>LAB</v>
      </c>
      <c r="F232" s="38" t="str">
        <f>VLOOKUP(C232,UrbanRuralClassification!A:N,13,FALSE)</f>
        <v>Urban with City and Town</v>
      </c>
      <c r="G232" s="38" t="str">
        <f>VLOOKUP(C232,UrbanRuralClassification!A:N,14,FALSE)</f>
        <v>Predominantly Urban</v>
      </c>
      <c r="H232" s="258">
        <f>IF(ISBLANK((VLOOKUP($A232,'local-plan-data'!$C$1:$AD$566,27,FALSE)))=TRUE,"",VLOOKUP($A232,'local-plan-data'!$C$1:$AD$566,27,FALSE))</f>
        <v>39798</v>
      </c>
      <c r="I232" s="259">
        <f>VLOOKUP($A232,'local-plan-data'!$C$1:$AD$566,28,FALSE)</f>
        <v>312.5</v>
      </c>
      <c r="J232" s="260">
        <f t="shared" si="170"/>
        <v>312.5</v>
      </c>
      <c r="K232" s="259" t="str">
        <f t="shared" si="193"/>
        <v>-</v>
      </c>
      <c r="L232" s="259" t="str">
        <f t="shared" si="197"/>
        <v>-</v>
      </c>
      <c r="M232" s="259" t="str">
        <f t="shared" si="197"/>
        <v>-</v>
      </c>
      <c r="N232" s="259" t="str">
        <f t="shared" si="197"/>
        <v>-</v>
      </c>
      <c r="O232" s="259" t="str">
        <f t="shared" si="197"/>
        <v>-</v>
      </c>
      <c r="P232" s="259" t="str">
        <f t="shared" si="197"/>
        <v>-</v>
      </c>
      <c r="Q232" s="259" t="str">
        <f t="shared" si="197"/>
        <v>-</v>
      </c>
      <c r="R232" s="259" t="str">
        <f t="shared" si="197"/>
        <v>-</v>
      </c>
      <c r="S232" s="259">
        <f t="shared" si="194"/>
        <v>-1567</v>
      </c>
      <c r="T232" s="259">
        <f t="shared" si="198"/>
        <v>-1932</v>
      </c>
      <c r="U232" s="259">
        <f t="shared" si="198"/>
        <v>-2298</v>
      </c>
      <c r="V232" s="259">
        <f t="shared" si="198"/>
        <v>-2663</v>
      </c>
      <c r="W232" s="259">
        <f t="shared" si="198"/>
        <v>-3028</v>
      </c>
      <c r="X232" s="259">
        <f t="shared" si="198"/>
        <v>-3393</v>
      </c>
      <c r="Y232" s="259">
        <f t="shared" si="198"/>
        <v>-3759</v>
      </c>
      <c r="Z232" s="259">
        <f t="shared" si="198"/>
        <v>-4124</v>
      </c>
      <c r="AA232" s="267">
        <f>(VLOOKUP(A232,Hshldprojections2014!$A$2:$AW$319,40, FALSE)-VLOOKUP(A232,Hshldprojections2014!$A$2:$AW$319,30, FALSE))/10</f>
        <v>679</v>
      </c>
      <c r="AB232" s="267">
        <f>(VLOOKUP(A232,Hshldprojections2014!$A$2:$AW$319,41, FALSE)-VLOOKUP(A232,Hshldprojections2014!$A$2:$AW$319,31, FALSE))/10</f>
        <v>667.9</v>
      </c>
      <c r="AC232" s="267">
        <f>(VLOOKUP(A232,Hshldprojections2014!$A$2:$AW$319,42, FALSE)-VLOOKUP(A232,Hshldprojections2014!$A$2:$AW$319,32, FALSE))/10</f>
        <v>659.1</v>
      </c>
      <c r="AD232" s="267">
        <f>IF(IndividualLATest!$J$7=2014,(VLOOKUP($A232,Hshldprojections2014!$A$2:$AY$326,43,FALSE)-VLOOKUP($A232,Hshldprojections2014!$A$2:$AY$326,33,FALSE))/10,IF(IndividualLATest!$J$7=2016,(VLOOKUP($A232,Hshldprojections2016!$A$1:$AQ$322,33,FALSE)-VLOOKUP($A232,Hshldprojections2016!$A$1:$AQ$322,23,FALSE))/10,(VLOOKUP($A232,Hshldprojections2018!$A$1:$AQ$327,33,FALSE)-VLOOKUP($A232,Hshldprojections2018!$A$1:$AQ$327,23,FALSE))/10))</f>
        <v>262.7</v>
      </c>
      <c r="AE232" s="267">
        <f>IF(IndividualLATest!$J$7=2014,(VLOOKUP($A232,Hshldprojections2014!$A$2:$AY$326,44,FALSE)-VLOOKUP($A232,Hshldprojections2014!$A$2:$AY$326,34,FALSE))/10,IF(IndividualLATest!$J$7=2016,(VLOOKUP($A232,Hshldprojections2016!$A$1:$AQ$322,34,FALSE)-VLOOKUP($A232,Hshldprojections2016!$A$1:$AQ$322,24,FALSE))/10,(VLOOKUP($A232,Hshldprojections2018!$A$1:$AQ$327,34,FALSE)-VLOOKUP($A232,Hshldprojections2018!$A$1:$AQ$327,24,FALSE))/10))</f>
        <v>248.6</v>
      </c>
      <c r="AF232" s="267">
        <f>IF(IndividualLATest!$J$7=2014,(VLOOKUP($A232,Hshldprojections2014!$A$2:$AY$326,45,FALSE)-VLOOKUP($A232,Hshldprojections2014!$A$2:$AY$326,35,FALSE))/10,IF(IndividualLATest!$J$7=2016,(VLOOKUP($A232,Hshldprojections2016!$A$1:$AQ$322,35,FALSE)-VLOOKUP($A232,Hshldprojections2016!$A$1:$AQ$322,25,FALSE))/10,(VLOOKUP($A232,Hshldprojections2018!$A$1:$AQ$327,35,FALSE)-VLOOKUP($A232,Hshldprojections2018!$A$1:$AQ$327,25,FALSE))/10))</f>
        <v>235.6</v>
      </c>
      <c r="AG232" s="267">
        <f>IF(IndividualLATest!$J$7=2014,(VLOOKUP($A232,Hshldprojections2014!$A$2:$AY$326,46,FALSE)-VLOOKUP($A232,Hshldprojections2014!$A$2:$AY$326,36,FALSE))/10,IF(IndividualLATest!$J$7=2016,(VLOOKUP($A232,Hshldprojections2016!$A$1:$AQ$322,36,FALSE)-VLOOKUP($A232,Hshldprojections2016!$A$1:$AQ$322,26,FALSE))/10,(VLOOKUP($A232,Hshldprojections2018!$A$1:$AQ$327,36,FALSE)-VLOOKUP($A232,Hshldprojections2018!$A$1:$AQ$327,26,FALSE))/10))</f>
        <v>224.4</v>
      </c>
      <c r="AH232" s="267">
        <f>IF(IndividualLATest!$J$7=2014,(VLOOKUP($A232,Hshldprojections2014!$A$2:$AY$326,47,FALSE)-VLOOKUP($A232,Hshldprojections2014!$A$2:$AY$326,37,FALSE))/10,IF(IndividualLATest!$J$7=2016,(VLOOKUP($A232,Hshldprojections2016!$A$1:$AQ$322,37,FALSE)-VLOOKUP($A232,Hshldprojections2016!$A$1:$AQ$322,27,FALSE))/10,(VLOOKUP($A232,Hshldprojections2018!$A$1:$AQ$327,37,FALSE)-VLOOKUP($A232,Hshldprojections2018!$A$1:$AQ$327,27,FALSE))/10))</f>
        <v>214.7</v>
      </c>
      <c r="AI232" s="268">
        <f>IF(ISNUMBER('Sensitivity Tests'!$C$30),'Sensitivity Tests'!$C$30,VLOOKUP($A232,AffordabilityRatio!$A$2:$I$321,5,FALSE))</f>
        <v>9.83</v>
      </c>
      <c r="AJ232" s="268">
        <f>IF(ISNUMBER('Sensitivity Tests'!$C$30),'Sensitivity Tests'!$C$30,VLOOKUP($A232,AffordabilityRatio!$A$2:$I$321,6,FALSE))</f>
        <v>9.58</v>
      </c>
      <c r="AK232" s="268">
        <f>IF(ISNUMBER('Sensitivity Tests'!$C$30),'Sensitivity Tests'!$C$30,VLOOKUP($A232,AffordabilityRatio!$A$2:$I$321,7,FALSE))</f>
        <v>8.84</v>
      </c>
      <c r="AL232" s="268">
        <f>IF(ISNUMBER('Sensitivity Tests'!$C$30),'Sensitivity Tests'!$C$30,IF((VLOOKUP($A232,AffordabilityRatio!$A$2:$I$321,8,FALSE))="",AK232,VLOOKUP($A232,AffordabilityRatio!$A$2:$I$321,8,FALSE)))</f>
        <v>9.34</v>
      </c>
      <c r="AM232" s="268">
        <f>IF(ISNUMBER('Sensitivity Tests'!$C$30),'Sensitivity Tests'!$C$30,IF((VLOOKUP($A232,AffordabilityRatio!$A$2:$I$321,9,FALSE))="",AL232,VLOOKUP($A232,AffordabilityRatio!$A$2:$I$321,9,FALSE)))</f>
        <v>8.99</v>
      </c>
      <c r="AN232" s="268">
        <f>IF(ISNUMBER('Sensitivity Tests'!$C$30),'Sensitivity Tests'!$C$30,IF((VLOOKUP($A232,AffordabilityRatio!$A$2:$I$321,9,FALSE))="",AM232,VLOOKUP($A232,AffordabilityRatio!$A$2:$I$321,9,FALSE)))</f>
        <v>8.99</v>
      </c>
      <c r="AO232" s="268">
        <f>IF(ISNUMBER('Sensitivity Tests'!$C$30),'Sensitivity Tests'!$C$30,IF((VLOOKUP($A232,AffordabilityRatio!$A$2:$I$321,9,FALSE))="",AN232,VLOOKUP($A232,AffordabilityRatio!$A$2:$I$321,9,FALSE)))</f>
        <v>8.99</v>
      </c>
      <c r="AP232" s="268">
        <f>IF(ISNUMBER('Sensitivity Tests'!$C$30),'Sensitivity Tests'!$C$30,IF((VLOOKUP($A232,AffordabilityRatio!$A$2:$I$321,9,FALSE))="",AO232,VLOOKUP($A232,AffordabilityRatio!$A$2:$I$321,9,FALSE)))</f>
        <v>8.99</v>
      </c>
      <c r="AQ232" s="267">
        <f t="shared" si="152"/>
        <v>926</v>
      </c>
      <c r="AR232" s="267">
        <f t="shared" si="152"/>
        <v>901</v>
      </c>
      <c r="AS232" s="267">
        <f t="shared" si="152"/>
        <v>858</v>
      </c>
      <c r="AT232" s="267">
        <f t="shared" si="152"/>
        <v>350</v>
      </c>
      <c r="AU232" s="267">
        <f t="shared" si="152"/>
        <v>326</v>
      </c>
      <c r="AV232" s="267">
        <f t="shared" si="151"/>
        <v>309</v>
      </c>
      <c r="AW232" s="267">
        <f t="shared" si="151"/>
        <v>294</v>
      </c>
      <c r="AX232" s="267">
        <f t="shared" si="151"/>
        <v>282</v>
      </c>
      <c r="AY232" s="267">
        <f t="shared" si="171"/>
        <v>926</v>
      </c>
      <c r="AZ232" s="267">
        <f t="shared" si="172"/>
        <v>901</v>
      </c>
      <c r="BA232" s="267">
        <f t="shared" si="173"/>
        <v>858</v>
      </c>
      <c r="BB232" s="267">
        <f t="shared" si="174"/>
        <v>350</v>
      </c>
      <c r="BC232" s="267">
        <f t="shared" si="175"/>
        <v>326</v>
      </c>
      <c r="BD232" s="267">
        <f t="shared" si="176"/>
        <v>309</v>
      </c>
      <c r="BE232" s="267">
        <f t="shared" si="177"/>
        <v>294</v>
      </c>
      <c r="BF232" s="267">
        <f t="shared" si="178"/>
        <v>282</v>
      </c>
      <c r="BG232" s="269">
        <f>AY232*VLOOKUP($B232,'Major Cities &amp; Towns'!$A$28:$B$345,2,FALSE)</f>
        <v>926</v>
      </c>
      <c r="BH232" s="269">
        <f>AZ232*VLOOKUP($B232,'Major Cities &amp; Towns'!$A$28:$B$345,2,FALSE)</f>
        <v>901</v>
      </c>
      <c r="BI232" s="269">
        <f>BA232*VLOOKUP($B232,'Major Cities &amp; Towns'!$A$28:$B$345,2,FALSE)</f>
        <v>858</v>
      </c>
      <c r="BJ232" s="269">
        <f>BB232*VLOOKUP($B232,'Major Cities &amp; Towns'!$A$28:$B$345,2,FALSE)</f>
        <v>350</v>
      </c>
      <c r="BK232" s="269">
        <f>BC232*VLOOKUP($B232,'Major Cities &amp; Towns'!$A$28:$B$345,2,FALSE)</f>
        <v>326</v>
      </c>
      <c r="BL232" s="269">
        <f>BD232*VLOOKUP($B232,'Major Cities &amp; Towns'!$A$28:$B$345,2,FALSE)</f>
        <v>309</v>
      </c>
      <c r="BM232" s="269">
        <f>BE232*VLOOKUP($B232,'Major Cities &amp; Towns'!$A$28:$B$345,2,FALSE)</f>
        <v>294</v>
      </c>
      <c r="BN232" s="269">
        <f>BF232*VLOOKUP($B232,'Major Cities &amp; Towns'!$A$28:$B$345,2,FALSE)</f>
        <v>282</v>
      </c>
      <c r="BO232" s="270">
        <f t="shared" si="179"/>
        <v>926</v>
      </c>
      <c r="BP232" s="270">
        <f t="shared" si="195"/>
        <v>901</v>
      </c>
      <c r="BQ232" s="270">
        <f t="shared" si="195"/>
        <v>858</v>
      </c>
      <c r="BR232" s="270">
        <f t="shared" si="195"/>
        <v>350</v>
      </c>
      <c r="BS232" s="270">
        <f t="shared" si="195"/>
        <v>326</v>
      </c>
      <c r="BT232" s="270">
        <f t="shared" si="195"/>
        <v>309</v>
      </c>
      <c r="BU232" s="270">
        <f t="shared" si="195"/>
        <v>294</v>
      </c>
      <c r="BV232" s="270">
        <f t="shared" si="195"/>
        <v>282</v>
      </c>
      <c r="BW232" s="39">
        <f>VLOOKUP($A232,NetAdditions!$A$2:$H$336,6,FALSE)</f>
        <v>534</v>
      </c>
      <c r="BX232" s="39">
        <f>VLOOKUP($A232,NetAdditions!$A$2:$H$336,7,FALSE)</f>
        <v>503</v>
      </c>
      <c r="BY232" s="39">
        <f>IF((VLOOKUP($C232,NetAdditions!$A$2:$H$336,8,FALSE))="",(AVERAGE(VLOOKUP($C232,NetAdditions!$A$2:$H$336,5,FALSE),VLOOKUP($C232,NetAdditions!$A$2:$H$336,6,FALSE),VLOOKUP($C232,NetAdditions!$A$2:$H$336,7,FALSE))),VLOOKUP($C232,NetAdditions!$A$2:$H$336,8,FALSE))</f>
        <v>501</v>
      </c>
      <c r="BZ232" s="39">
        <f t="shared" si="196"/>
        <v>512.66666666666663</v>
      </c>
      <c r="CA232" s="39">
        <f t="shared" si="196"/>
        <v>505.55555555555549</v>
      </c>
      <c r="CB232" s="39">
        <f t="shared" si="196"/>
        <v>506.40740740740739</v>
      </c>
      <c r="CC232" s="39">
        <f t="shared" si="196"/>
        <v>508.20987654320987</v>
      </c>
      <c r="CD232" s="39">
        <f t="shared" si="196"/>
        <v>506.72427983539092</v>
      </c>
      <c r="CE232" s="276">
        <f t="shared" si="155"/>
        <v>2685</v>
      </c>
      <c r="CF232" s="276">
        <f t="shared" si="156"/>
        <v>2109</v>
      </c>
      <c r="CG232" s="276">
        <f t="shared" si="157"/>
        <v>1534</v>
      </c>
      <c r="CH232" s="276">
        <f t="shared" si="158"/>
        <v>985</v>
      </c>
      <c r="CI232" s="276">
        <f t="shared" si="159"/>
        <v>929</v>
      </c>
      <c r="CJ232" s="276">
        <f t="shared" si="160"/>
        <v>885</v>
      </c>
      <c r="CK232" s="276">
        <f t="shared" si="180"/>
        <v>2312.0833333333335</v>
      </c>
      <c r="CL232" s="276">
        <f t="shared" si="181"/>
        <v>1816.0833333333335</v>
      </c>
      <c r="CM232" s="276">
        <f t="shared" si="182"/>
        <v>1406.1666666666665</v>
      </c>
      <c r="CN232" s="276">
        <f t="shared" si="183"/>
        <v>985</v>
      </c>
      <c r="CO232" s="276">
        <f t="shared" si="183"/>
        <v>929</v>
      </c>
      <c r="CP232" s="276">
        <f t="shared" si="183"/>
        <v>885</v>
      </c>
      <c r="CQ232" s="39">
        <f t="shared" si="161"/>
        <v>1538</v>
      </c>
      <c r="CR232" s="39">
        <f t="shared" si="162"/>
        <v>1516.6666666666665</v>
      </c>
      <c r="CS232" s="277">
        <f t="shared" si="163"/>
        <v>1519.2222222222222</v>
      </c>
      <c r="CT232" s="39">
        <f t="shared" si="164"/>
        <v>1524.6296296296296</v>
      </c>
      <c r="CU232" s="39">
        <f t="shared" si="165"/>
        <v>1520.1728395061727</v>
      </c>
      <c r="CV232" s="39">
        <f t="shared" si="166"/>
        <v>1521.3415637860082</v>
      </c>
      <c r="CW232" s="297">
        <f t="shared" si="167"/>
        <v>0.66520093710578476</v>
      </c>
      <c r="CX232" s="279" t="str">
        <f t="shared" si="184"/>
        <v>Buffer and Action Plan</v>
      </c>
      <c r="CY232" s="278">
        <f t="shared" si="168"/>
        <v>0.83513054650575858</v>
      </c>
      <c r="CZ232" s="279" t="str">
        <f t="shared" si="185"/>
        <v>Buffer and Action Plan</v>
      </c>
      <c r="DA232" s="278">
        <f t="shared" si="169"/>
        <v>1.080399826162538</v>
      </c>
      <c r="DB232" s="292" t="str">
        <f t="shared" si="186"/>
        <v>Pass</v>
      </c>
      <c r="DC232" s="299">
        <f t="shared" si="187"/>
        <v>1.5478473397255121</v>
      </c>
      <c r="DD232" s="293" t="str">
        <f t="shared" si="188"/>
        <v>Pass</v>
      </c>
      <c r="DE232" s="299">
        <f t="shared" si="189"/>
        <v>1.6363539714813484</v>
      </c>
      <c r="DF232" s="293" t="str">
        <f t="shared" si="190"/>
        <v>Pass</v>
      </c>
      <c r="DG232" s="299">
        <f t="shared" si="191"/>
        <v>1.7190300155774105</v>
      </c>
      <c r="DH232" s="293" t="str">
        <f t="shared" si="192"/>
        <v>Pass</v>
      </c>
    </row>
    <row r="233" spans="1:112" ht="15" thickTop="1" thickBot="1">
      <c r="A233" s="38" t="s">
        <v>576</v>
      </c>
      <c r="B233" s="38" t="s">
        <v>577</v>
      </c>
      <c r="C233" s="38" t="s">
        <v>576</v>
      </c>
      <c r="D233" s="38" t="s">
        <v>154</v>
      </c>
      <c r="E233" s="38" t="str">
        <f>VLOOKUP(C233,PoliticalControl!A:K,11,FALSE)</f>
        <v>CON</v>
      </c>
      <c r="F233" s="38" t="str">
        <f>VLOOKUP(C233,UrbanRuralClassification!A:N,13,FALSE)</f>
        <v>Urban with Major Conurbation</v>
      </c>
      <c r="G233" s="38" t="str">
        <f>VLOOKUP(C233,UrbanRuralClassification!A:N,14,FALSE)</f>
        <v>Predominantly Urban</v>
      </c>
      <c r="H233" s="258">
        <f>IF(ISBLANK((VLOOKUP($A233,'local-plan-data'!$C$1:$AD$566,27,FALSE)))=TRUE,"",VLOOKUP($A233,'local-plan-data'!$C$1:$AD$566,27,FALSE))</f>
        <v>41611</v>
      </c>
      <c r="I233" s="259">
        <f>VLOOKUP($A233,'local-plan-data'!$C$1:$AD$566,28,FALSE)</f>
        <v>0</v>
      </c>
      <c r="J233" s="260">
        <f t="shared" si="170"/>
        <v>0</v>
      </c>
      <c r="K233" s="259">
        <f t="shared" si="193"/>
        <v>0</v>
      </c>
      <c r="L233" s="259" t="str">
        <f t="shared" si="197"/>
        <v>-</v>
      </c>
      <c r="M233" s="259" t="str">
        <f t="shared" si="197"/>
        <v>-</v>
      </c>
      <c r="N233" s="259" t="str">
        <f t="shared" si="197"/>
        <v>-</v>
      </c>
      <c r="O233" s="259" t="str">
        <f t="shared" si="197"/>
        <v>-</v>
      </c>
      <c r="P233" s="259" t="str">
        <f t="shared" si="197"/>
        <v>-</v>
      </c>
      <c r="Q233" s="259" t="str">
        <f t="shared" si="197"/>
        <v>-</v>
      </c>
      <c r="R233" s="259" t="str">
        <f t="shared" si="197"/>
        <v>-</v>
      </c>
      <c r="S233" s="259">
        <f t="shared" si="194"/>
        <v>246</v>
      </c>
      <c r="T233" s="259">
        <f t="shared" si="198"/>
        <v>-119</v>
      </c>
      <c r="U233" s="259">
        <f t="shared" si="198"/>
        <v>-485</v>
      </c>
      <c r="V233" s="259">
        <f t="shared" si="198"/>
        <v>-850</v>
      </c>
      <c r="W233" s="259">
        <f t="shared" si="198"/>
        <v>-1215</v>
      </c>
      <c r="X233" s="259">
        <f t="shared" si="198"/>
        <v>-1580</v>
      </c>
      <c r="Y233" s="259">
        <f t="shared" si="198"/>
        <v>-1946</v>
      </c>
      <c r="Z233" s="259">
        <f t="shared" si="198"/>
        <v>-2311</v>
      </c>
      <c r="AA233" s="267">
        <f>(VLOOKUP(A233,Hshldprojections2014!$A$2:$AW$319,40, FALSE)-VLOOKUP(A233,Hshldprojections2014!$A$2:$AW$319,30, FALSE))/10</f>
        <v>620.5</v>
      </c>
      <c r="AB233" s="267">
        <f>(VLOOKUP(A233,Hshldprojections2014!$A$2:$AW$319,41, FALSE)-VLOOKUP(A233,Hshldprojections2014!$A$2:$AW$319,31, FALSE))/10</f>
        <v>628.6</v>
      </c>
      <c r="AC233" s="267">
        <f>(VLOOKUP(A233,Hshldprojections2014!$A$2:$AW$319,42, FALSE)-VLOOKUP(A233,Hshldprojections2014!$A$2:$AW$319,32, FALSE))/10</f>
        <v>632.20000000000005</v>
      </c>
      <c r="AD233" s="267">
        <f>IF(IndividualLATest!$J$7=2014,(VLOOKUP($A233,Hshldprojections2014!$A$2:$AY$326,43,FALSE)-VLOOKUP($A233,Hshldprojections2014!$A$2:$AY$326,33,FALSE))/10,IF(IndividualLATest!$J$7=2016,(VLOOKUP($A233,Hshldprojections2016!$A$1:$AQ$322,33,FALSE)-VLOOKUP($A233,Hshldprojections2016!$A$1:$AQ$322,23,FALSE))/10,(VLOOKUP($A233,Hshldprojections2018!$A$1:$AQ$327,33,FALSE)-VLOOKUP($A233,Hshldprojections2018!$A$1:$AQ$327,23,FALSE))/10))</f>
        <v>554.20000000000005</v>
      </c>
      <c r="AE233" s="267">
        <f>IF(IndividualLATest!$J$7=2014,(VLOOKUP($A233,Hshldprojections2014!$A$2:$AY$326,44,FALSE)-VLOOKUP($A233,Hshldprojections2014!$A$2:$AY$326,34,FALSE))/10,IF(IndividualLATest!$J$7=2016,(VLOOKUP($A233,Hshldprojections2016!$A$1:$AQ$322,34,FALSE)-VLOOKUP($A233,Hshldprojections2016!$A$1:$AQ$322,24,FALSE))/10,(VLOOKUP($A233,Hshldprojections2018!$A$1:$AQ$327,34,FALSE)-VLOOKUP($A233,Hshldprojections2018!$A$1:$AQ$327,24,FALSE))/10))</f>
        <v>558.4</v>
      </c>
      <c r="AF233" s="267">
        <f>IF(IndividualLATest!$J$7=2014,(VLOOKUP($A233,Hshldprojections2014!$A$2:$AY$326,45,FALSE)-VLOOKUP($A233,Hshldprojections2014!$A$2:$AY$326,35,FALSE))/10,IF(IndividualLATest!$J$7=2016,(VLOOKUP($A233,Hshldprojections2016!$A$1:$AQ$322,35,FALSE)-VLOOKUP($A233,Hshldprojections2016!$A$1:$AQ$322,25,FALSE))/10,(VLOOKUP($A233,Hshldprojections2018!$A$1:$AQ$327,35,FALSE)-VLOOKUP($A233,Hshldprojections2018!$A$1:$AQ$327,25,FALSE))/10))</f>
        <v>559.9</v>
      </c>
      <c r="AG233" s="267">
        <f>IF(IndividualLATest!$J$7=2014,(VLOOKUP($A233,Hshldprojections2014!$A$2:$AY$326,46,FALSE)-VLOOKUP($A233,Hshldprojections2014!$A$2:$AY$326,36,FALSE))/10,IF(IndividualLATest!$J$7=2016,(VLOOKUP($A233,Hshldprojections2016!$A$1:$AQ$322,36,FALSE)-VLOOKUP($A233,Hshldprojections2016!$A$1:$AQ$322,26,FALSE))/10,(VLOOKUP($A233,Hshldprojections2018!$A$1:$AQ$327,36,FALSE)-VLOOKUP($A233,Hshldprojections2018!$A$1:$AQ$327,26,FALSE))/10))</f>
        <v>559.6</v>
      </c>
      <c r="AH233" s="267">
        <f>IF(IndividualLATest!$J$7=2014,(VLOOKUP($A233,Hshldprojections2014!$A$2:$AY$326,47,FALSE)-VLOOKUP($A233,Hshldprojections2014!$A$2:$AY$326,37,FALSE))/10,IF(IndividualLATest!$J$7=2016,(VLOOKUP($A233,Hshldprojections2016!$A$1:$AQ$322,37,FALSE)-VLOOKUP($A233,Hshldprojections2016!$A$1:$AQ$322,27,FALSE))/10,(VLOOKUP($A233,Hshldprojections2018!$A$1:$AQ$327,37,FALSE)-VLOOKUP($A233,Hshldprojections2018!$A$1:$AQ$327,27,FALSE))/10))</f>
        <v>562.70000000000005</v>
      </c>
      <c r="AI233" s="268">
        <f>IF(ISNUMBER('Sensitivity Tests'!$C$30),'Sensitivity Tests'!$C$30,VLOOKUP($A233,AffordabilityRatio!$A$2:$I$321,5,FALSE))</f>
        <v>7.74</v>
      </c>
      <c r="AJ233" s="268">
        <f>IF(ISNUMBER('Sensitivity Tests'!$C$30),'Sensitivity Tests'!$C$30,VLOOKUP($A233,AffordabilityRatio!$A$2:$I$321,6,FALSE))</f>
        <v>7.62</v>
      </c>
      <c r="AK233" s="268">
        <f>IF(ISNUMBER('Sensitivity Tests'!$C$30),'Sensitivity Tests'!$C$30,VLOOKUP($A233,AffordabilityRatio!$A$2:$I$321,7,FALSE))</f>
        <v>8.44</v>
      </c>
      <c r="AL233" s="268">
        <f>IF(ISNUMBER('Sensitivity Tests'!$C$30),'Sensitivity Tests'!$C$30,IF((VLOOKUP($A233,AffordabilityRatio!$A$2:$I$321,8,FALSE))="",AK233,VLOOKUP($A233,AffordabilityRatio!$A$2:$I$321,8,FALSE)))</f>
        <v>9.25</v>
      </c>
      <c r="AM233" s="268">
        <f>IF(ISNUMBER('Sensitivity Tests'!$C$30),'Sensitivity Tests'!$C$30,IF((VLOOKUP($A233,AffordabilityRatio!$A$2:$I$321,9,FALSE))="",AL233,VLOOKUP($A233,AffordabilityRatio!$A$2:$I$321,9,FALSE)))</f>
        <v>9.15</v>
      </c>
      <c r="AN233" s="268">
        <f>IF(ISNUMBER('Sensitivity Tests'!$C$30),'Sensitivity Tests'!$C$30,IF((VLOOKUP($A233,AffordabilityRatio!$A$2:$I$321,9,FALSE))="",AM233,VLOOKUP($A233,AffordabilityRatio!$A$2:$I$321,9,FALSE)))</f>
        <v>9.15</v>
      </c>
      <c r="AO233" s="268">
        <f>IF(ISNUMBER('Sensitivity Tests'!$C$30),'Sensitivity Tests'!$C$30,IF((VLOOKUP($A233,AffordabilityRatio!$A$2:$I$321,9,FALSE))="",AN233,VLOOKUP($A233,AffordabilityRatio!$A$2:$I$321,9,FALSE)))</f>
        <v>9.15</v>
      </c>
      <c r="AP233" s="268">
        <f>IF(ISNUMBER('Sensitivity Tests'!$C$30),'Sensitivity Tests'!$C$30,IF((VLOOKUP($A233,AffordabilityRatio!$A$2:$I$321,9,FALSE))="",AO233,VLOOKUP($A233,AffordabilityRatio!$A$2:$I$321,9,FALSE)))</f>
        <v>9.15</v>
      </c>
      <c r="AQ233" s="267">
        <f t="shared" si="152"/>
        <v>766</v>
      </c>
      <c r="AR233" s="267">
        <f t="shared" si="152"/>
        <v>771</v>
      </c>
      <c r="AS233" s="267">
        <f t="shared" si="152"/>
        <v>808</v>
      </c>
      <c r="AT233" s="267">
        <f t="shared" si="152"/>
        <v>736</v>
      </c>
      <c r="AU233" s="267">
        <f t="shared" si="152"/>
        <v>738</v>
      </c>
      <c r="AV233" s="267">
        <f t="shared" si="151"/>
        <v>740</v>
      </c>
      <c r="AW233" s="267">
        <f t="shared" si="151"/>
        <v>740</v>
      </c>
      <c r="AX233" s="267">
        <f t="shared" si="151"/>
        <v>744</v>
      </c>
      <c r="AY233" s="267">
        <f t="shared" si="171"/>
        <v>0</v>
      </c>
      <c r="AZ233" s="267">
        <f t="shared" si="172"/>
        <v>771</v>
      </c>
      <c r="BA233" s="267">
        <f t="shared" si="173"/>
        <v>808</v>
      </c>
      <c r="BB233" s="267">
        <f t="shared" si="174"/>
        <v>736</v>
      </c>
      <c r="BC233" s="267">
        <f t="shared" si="175"/>
        <v>738</v>
      </c>
      <c r="BD233" s="267">
        <f t="shared" si="176"/>
        <v>740</v>
      </c>
      <c r="BE233" s="267">
        <f t="shared" si="177"/>
        <v>740</v>
      </c>
      <c r="BF233" s="267">
        <f t="shared" si="178"/>
        <v>744</v>
      </c>
      <c r="BG233" s="269">
        <f>AY233*VLOOKUP($B233,'Major Cities &amp; Towns'!$A$28:$B$345,2,FALSE)</f>
        <v>0</v>
      </c>
      <c r="BH233" s="269">
        <f>AZ233*VLOOKUP($B233,'Major Cities &amp; Towns'!$A$28:$B$345,2,FALSE)</f>
        <v>771</v>
      </c>
      <c r="BI233" s="269">
        <f>BA233*VLOOKUP($B233,'Major Cities &amp; Towns'!$A$28:$B$345,2,FALSE)</f>
        <v>808</v>
      </c>
      <c r="BJ233" s="269">
        <f>BB233*VLOOKUP($B233,'Major Cities &amp; Towns'!$A$28:$B$345,2,FALSE)</f>
        <v>736</v>
      </c>
      <c r="BK233" s="269">
        <f>BC233*VLOOKUP($B233,'Major Cities &amp; Towns'!$A$28:$B$345,2,FALSE)</f>
        <v>738</v>
      </c>
      <c r="BL233" s="269">
        <f>BD233*VLOOKUP($B233,'Major Cities &amp; Towns'!$A$28:$B$345,2,FALSE)</f>
        <v>740</v>
      </c>
      <c r="BM233" s="269">
        <f>BE233*VLOOKUP($B233,'Major Cities &amp; Towns'!$A$28:$B$345,2,FALSE)</f>
        <v>740</v>
      </c>
      <c r="BN233" s="269">
        <f>BF233*VLOOKUP($B233,'Major Cities &amp; Towns'!$A$28:$B$345,2,FALSE)</f>
        <v>744</v>
      </c>
      <c r="BO233" s="270">
        <f t="shared" si="179"/>
        <v>249.73698630136985</v>
      </c>
      <c r="BP233" s="270">
        <f t="shared" si="195"/>
        <v>771</v>
      </c>
      <c r="BQ233" s="270">
        <f t="shared" si="195"/>
        <v>808</v>
      </c>
      <c r="BR233" s="270">
        <f t="shared" si="195"/>
        <v>736</v>
      </c>
      <c r="BS233" s="270">
        <f t="shared" si="195"/>
        <v>738</v>
      </c>
      <c r="BT233" s="270">
        <f t="shared" si="195"/>
        <v>740</v>
      </c>
      <c r="BU233" s="270">
        <f t="shared" si="195"/>
        <v>740</v>
      </c>
      <c r="BV233" s="270">
        <f t="shared" si="195"/>
        <v>744</v>
      </c>
      <c r="BW233" s="39">
        <f>VLOOKUP($A233,NetAdditions!$A$2:$H$336,6,FALSE)</f>
        <v>798</v>
      </c>
      <c r="BX233" s="39">
        <f>VLOOKUP($A233,NetAdditions!$A$2:$H$336,7,FALSE)</f>
        <v>640</v>
      </c>
      <c r="BY233" s="39">
        <f>IF((VLOOKUP($C233,NetAdditions!$A$2:$H$336,8,FALSE))="",(AVERAGE(VLOOKUP($C233,NetAdditions!$A$2:$H$336,5,FALSE),VLOOKUP($C233,NetAdditions!$A$2:$H$336,6,FALSE),VLOOKUP($C233,NetAdditions!$A$2:$H$336,7,FALSE))),VLOOKUP($C233,NetAdditions!$A$2:$H$336,8,FALSE))</f>
        <v>664</v>
      </c>
      <c r="BZ233" s="39">
        <f t="shared" si="196"/>
        <v>700.66666666666663</v>
      </c>
      <c r="CA233" s="39">
        <f t="shared" si="196"/>
        <v>668.22222222222217</v>
      </c>
      <c r="CB233" s="39">
        <f t="shared" si="196"/>
        <v>677.62962962962956</v>
      </c>
      <c r="CC233" s="39">
        <f t="shared" si="196"/>
        <v>682.17283950617275</v>
      </c>
      <c r="CD233" s="39">
        <f t="shared" si="196"/>
        <v>676.00823045267487</v>
      </c>
      <c r="CE233" s="276">
        <f t="shared" si="155"/>
        <v>1828.7369863013698</v>
      </c>
      <c r="CF233" s="276">
        <f t="shared" si="156"/>
        <v>2315</v>
      </c>
      <c r="CG233" s="276">
        <f t="shared" si="157"/>
        <v>2282</v>
      </c>
      <c r="CH233" s="276">
        <f t="shared" si="158"/>
        <v>2214</v>
      </c>
      <c r="CI233" s="276">
        <f t="shared" si="159"/>
        <v>2218</v>
      </c>
      <c r="CJ233" s="276">
        <f t="shared" si="160"/>
        <v>2224</v>
      </c>
      <c r="CK233" s="276">
        <f t="shared" si="180"/>
        <v>1574.7457382039574</v>
      </c>
      <c r="CL233" s="276">
        <f t="shared" si="181"/>
        <v>1993.4722222222224</v>
      </c>
      <c r="CM233" s="276">
        <f t="shared" si="182"/>
        <v>2091.833333333333</v>
      </c>
      <c r="CN233" s="276">
        <f t="shared" si="183"/>
        <v>2214</v>
      </c>
      <c r="CO233" s="276">
        <f t="shared" si="183"/>
        <v>2218</v>
      </c>
      <c r="CP233" s="276">
        <f t="shared" si="183"/>
        <v>2224</v>
      </c>
      <c r="CQ233" s="39">
        <f t="shared" si="161"/>
        <v>2102</v>
      </c>
      <c r="CR233" s="39">
        <f t="shared" si="162"/>
        <v>2004.6666666666665</v>
      </c>
      <c r="CS233" s="277">
        <f t="shared" si="163"/>
        <v>2032.8888888888887</v>
      </c>
      <c r="CT233" s="39">
        <f t="shared" si="164"/>
        <v>2046.5185185185182</v>
      </c>
      <c r="CU233" s="39">
        <f t="shared" si="165"/>
        <v>2028.0246913580245</v>
      </c>
      <c r="CV233" s="39">
        <f t="shared" si="166"/>
        <v>2035.8106995884773</v>
      </c>
      <c r="CW233" s="297">
        <f t="shared" si="167"/>
        <v>1.3348186624701657</v>
      </c>
      <c r="CX233" s="279" t="str">
        <f t="shared" si="184"/>
        <v>Pass</v>
      </c>
      <c r="CY233" s="278">
        <f t="shared" si="168"/>
        <v>1.0056155507559394</v>
      </c>
      <c r="CZ233" s="279" t="str">
        <f t="shared" si="185"/>
        <v>Pass</v>
      </c>
      <c r="DA233" s="278">
        <f t="shared" si="169"/>
        <v>0.97182163439832159</v>
      </c>
      <c r="DB233" s="292" t="str">
        <f t="shared" si="186"/>
        <v>Pass</v>
      </c>
      <c r="DC233" s="299">
        <f t="shared" si="187"/>
        <v>0.92435344106527473</v>
      </c>
      <c r="DD233" s="293" t="str">
        <f t="shared" si="188"/>
        <v>Action Plan</v>
      </c>
      <c r="DE233" s="299">
        <f t="shared" si="189"/>
        <v>0.91434837301984873</v>
      </c>
      <c r="DF233" s="293" t="str">
        <f t="shared" si="190"/>
        <v>Action Plan</v>
      </c>
      <c r="DG233" s="299">
        <f t="shared" si="191"/>
        <v>0.91538250880776861</v>
      </c>
      <c r="DH233" s="293" t="str">
        <f t="shared" si="192"/>
        <v>Action Plan</v>
      </c>
    </row>
    <row r="234" spans="1:112" ht="15" thickTop="1" thickBot="1">
      <c r="A234" s="38" t="s">
        <v>578</v>
      </c>
      <c r="B234" s="38" t="s">
        <v>579</v>
      </c>
      <c r="C234" s="38" t="s">
        <v>578</v>
      </c>
      <c r="D234" s="38" t="s">
        <v>147</v>
      </c>
      <c r="E234" s="38" t="str">
        <f>VLOOKUP(C234,PoliticalControl!A:K,11,FALSE)</f>
        <v>LD</v>
      </c>
      <c r="F234" s="38" t="str">
        <f>VLOOKUP(C234,UrbanRuralClassification!A:N,13,FALSE)</f>
        <v xml:space="preserve">Largely Rural (rural including hub towns 50-79%) </v>
      </c>
      <c r="G234" s="38" t="str">
        <f>VLOOKUP(C234,UrbanRuralClassification!A:N,14,FALSE)</f>
        <v>Predominantly Rural</v>
      </c>
      <c r="H234" s="258" t="str">
        <f>IF(ISBLANK((VLOOKUP($A234,'local-plan-data'!$C$1:$AD$566,27,FALSE)))=TRUE,"",VLOOKUP($A234,'local-plan-data'!$C$1:$AD$566,27,FALSE))</f>
        <v/>
      </c>
      <c r="I234" s="259">
        <f>VLOOKUP($A234,'local-plan-data'!$C$1:$AD$566,28,FALSE)</f>
        <v>995</v>
      </c>
      <c r="J234" s="260">
        <f t="shared" si="170"/>
        <v>995</v>
      </c>
      <c r="K234" s="259" t="str">
        <f t="shared" si="193"/>
        <v>-</v>
      </c>
      <c r="L234" s="259" t="str">
        <f t="shared" si="197"/>
        <v>-</v>
      </c>
      <c r="M234" s="259" t="str">
        <f t="shared" si="197"/>
        <v>-</v>
      </c>
      <c r="N234" s="259" t="str">
        <f t="shared" si="197"/>
        <v>-</v>
      </c>
      <c r="O234" s="259" t="str">
        <f t="shared" si="197"/>
        <v>-</v>
      </c>
      <c r="P234" s="259" t="str">
        <f t="shared" si="197"/>
        <v>-</v>
      </c>
      <c r="Q234" s="259" t="str">
        <f t="shared" si="197"/>
        <v>-</v>
      </c>
      <c r="R234" s="259" t="str">
        <f t="shared" si="197"/>
        <v>-</v>
      </c>
      <c r="S234" s="259" t="str">
        <f t="shared" si="194"/>
        <v>-</v>
      </c>
      <c r="T234" s="259" t="str">
        <f t="shared" si="198"/>
        <v>-</v>
      </c>
      <c r="U234" s="259" t="str">
        <f t="shared" si="198"/>
        <v>-</v>
      </c>
      <c r="V234" s="259" t="str">
        <f t="shared" si="198"/>
        <v>-</v>
      </c>
      <c r="W234" s="259" t="str">
        <f t="shared" si="198"/>
        <v>-</v>
      </c>
      <c r="X234" s="259" t="str">
        <f t="shared" si="198"/>
        <v>-</v>
      </c>
      <c r="Y234" s="259" t="str">
        <f t="shared" si="198"/>
        <v>-</v>
      </c>
      <c r="Z234" s="259" t="str">
        <f t="shared" si="198"/>
        <v>-</v>
      </c>
      <c r="AA234" s="267">
        <f>(VLOOKUP(A234,Hshldprojections2014!$A$2:$AW$319,40, FALSE)-VLOOKUP(A234,Hshldprojections2014!$A$2:$AW$319,30, FALSE))/10</f>
        <v>563.29999999999995</v>
      </c>
      <c r="AB234" s="267">
        <f>(VLOOKUP(A234,Hshldprojections2014!$A$2:$AW$319,41, FALSE)-VLOOKUP(A234,Hshldprojections2014!$A$2:$AW$319,31, FALSE))/10</f>
        <v>558.29999999999995</v>
      </c>
      <c r="AC234" s="267">
        <f>(VLOOKUP(A234,Hshldprojections2014!$A$2:$AW$319,42, FALSE)-VLOOKUP(A234,Hshldprojections2014!$A$2:$AW$319,32, FALSE))/10</f>
        <v>555.29999999999995</v>
      </c>
      <c r="AD234" s="267">
        <f>IF(IndividualLATest!$J$7=2014,(VLOOKUP($A234,Hshldprojections2014!$A$2:$AY$326,43,FALSE)-VLOOKUP($A234,Hshldprojections2014!$A$2:$AY$326,33,FALSE))/10,IF(IndividualLATest!$J$7=2016,(VLOOKUP($A234,Hshldprojections2016!$A$1:$AQ$322,33,FALSE)-VLOOKUP($A234,Hshldprojections2016!$A$1:$AQ$322,23,FALSE))/10,(VLOOKUP($A234,Hshldprojections2018!$A$1:$AQ$327,33,FALSE)-VLOOKUP($A234,Hshldprojections2018!$A$1:$AQ$327,23,FALSE))/10))</f>
        <v>858.3</v>
      </c>
      <c r="AE234" s="267">
        <f>IF(IndividualLATest!$J$7=2014,(VLOOKUP($A234,Hshldprojections2014!$A$2:$AY$326,44,FALSE)-VLOOKUP($A234,Hshldprojections2014!$A$2:$AY$326,34,FALSE))/10,IF(IndividualLATest!$J$7=2016,(VLOOKUP($A234,Hshldprojections2016!$A$1:$AQ$322,34,FALSE)-VLOOKUP($A234,Hshldprojections2016!$A$1:$AQ$322,24,FALSE))/10,(VLOOKUP($A234,Hshldprojections2018!$A$1:$AQ$327,34,FALSE)-VLOOKUP($A234,Hshldprojections2018!$A$1:$AQ$327,24,FALSE))/10))</f>
        <v>842.8</v>
      </c>
      <c r="AF234" s="267">
        <f>IF(IndividualLATest!$J$7=2014,(VLOOKUP($A234,Hshldprojections2014!$A$2:$AY$326,45,FALSE)-VLOOKUP($A234,Hshldprojections2014!$A$2:$AY$326,35,FALSE))/10,IF(IndividualLATest!$J$7=2016,(VLOOKUP($A234,Hshldprojections2016!$A$1:$AQ$322,35,FALSE)-VLOOKUP($A234,Hshldprojections2016!$A$1:$AQ$322,25,FALSE))/10,(VLOOKUP($A234,Hshldprojections2018!$A$1:$AQ$327,35,FALSE)-VLOOKUP($A234,Hshldprojections2018!$A$1:$AQ$327,25,FALSE))/10))</f>
        <v>826.2</v>
      </c>
      <c r="AG234" s="267">
        <f>IF(IndividualLATest!$J$7=2014,(VLOOKUP($A234,Hshldprojections2014!$A$2:$AY$326,46,FALSE)-VLOOKUP($A234,Hshldprojections2014!$A$2:$AY$326,36,FALSE))/10,IF(IndividualLATest!$J$7=2016,(VLOOKUP($A234,Hshldprojections2016!$A$1:$AQ$322,36,FALSE)-VLOOKUP($A234,Hshldprojections2016!$A$1:$AQ$322,26,FALSE))/10,(VLOOKUP($A234,Hshldprojections2018!$A$1:$AQ$327,36,FALSE)-VLOOKUP($A234,Hshldprojections2018!$A$1:$AQ$327,26,FALSE))/10))</f>
        <v>810.9</v>
      </c>
      <c r="AH234" s="267">
        <f>IF(IndividualLATest!$J$7=2014,(VLOOKUP($A234,Hshldprojections2014!$A$2:$AY$326,47,FALSE)-VLOOKUP($A234,Hshldprojections2014!$A$2:$AY$326,37,FALSE))/10,IF(IndividualLATest!$J$7=2016,(VLOOKUP($A234,Hshldprojections2016!$A$1:$AQ$322,37,FALSE)-VLOOKUP($A234,Hshldprojections2016!$A$1:$AQ$322,27,FALSE))/10,(VLOOKUP($A234,Hshldprojections2018!$A$1:$AQ$327,37,FALSE)-VLOOKUP($A234,Hshldprojections2018!$A$1:$AQ$327,27,FALSE))/10))</f>
        <v>799.1</v>
      </c>
      <c r="AI234" s="268">
        <f>IF(ISNUMBER('Sensitivity Tests'!$C$30),'Sensitivity Tests'!$C$30,VLOOKUP($A234,AffordabilityRatio!$A$2:$I$321,5,FALSE))</f>
        <v>8.33</v>
      </c>
      <c r="AJ234" s="268">
        <f>IF(ISNUMBER('Sensitivity Tests'!$C$30),'Sensitivity Tests'!$C$30,VLOOKUP($A234,AffordabilityRatio!$A$2:$I$321,6,FALSE))</f>
        <v>8.4499999999999993</v>
      </c>
      <c r="AK234" s="268">
        <f>IF(ISNUMBER('Sensitivity Tests'!$C$30),'Sensitivity Tests'!$C$30,VLOOKUP($A234,AffordabilityRatio!$A$2:$I$321,7,FALSE))</f>
        <v>7.92</v>
      </c>
      <c r="AL234" s="268">
        <f>IF(ISNUMBER('Sensitivity Tests'!$C$30),'Sensitivity Tests'!$C$30,IF((VLOOKUP($A234,AffordabilityRatio!$A$2:$I$321,8,FALSE))="",AK234,VLOOKUP($A234,AffordabilityRatio!$A$2:$I$321,8,FALSE)))</f>
        <v>8.1300000000000008</v>
      </c>
      <c r="AM234" s="268">
        <f>IF(ISNUMBER('Sensitivity Tests'!$C$30),'Sensitivity Tests'!$C$30,IF((VLOOKUP($A234,AffordabilityRatio!$A$2:$I$321,9,FALSE))="",AL234,VLOOKUP($A234,AffordabilityRatio!$A$2:$I$321,9,FALSE)))</f>
        <v>9.16</v>
      </c>
      <c r="AN234" s="268">
        <f>IF(ISNUMBER('Sensitivity Tests'!$C$30),'Sensitivity Tests'!$C$30,IF((VLOOKUP($A234,AffordabilityRatio!$A$2:$I$321,9,FALSE))="",AM234,VLOOKUP($A234,AffordabilityRatio!$A$2:$I$321,9,FALSE)))</f>
        <v>9.16</v>
      </c>
      <c r="AO234" s="268">
        <f>IF(ISNUMBER('Sensitivity Tests'!$C$30),'Sensitivity Tests'!$C$30,IF((VLOOKUP($A234,AffordabilityRatio!$A$2:$I$321,9,FALSE))="",AN234,VLOOKUP($A234,AffordabilityRatio!$A$2:$I$321,9,FALSE)))</f>
        <v>9.16</v>
      </c>
      <c r="AP234" s="268">
        <f>IF(ISNUMBER('Sensitivity Tests'!$C$30),'Sensitivity Tests'!$C$30,IF((VLOOKUP($A234,AffordabilityRatio!$A$2:$I$321,9,FALSE))="",AO234,VLOOKUP($A234,AffordabilityRatio!$A$2:$I$321,9,FALSE)))</f>
        <v>9.16</v>
      </c>
      <c r="AQ234" s="267">
        <f t="shared" si="152"/>
        <v>716</v>
      </c>
      <c r="AR234" s="267">
        <f t="shared" si="152"/>
        <v>714</v>
      </c>
      <c r="AS234" s="267">
        <f t="shared" si="152"/>
        <v>691</v>
      </c>
      <c r="AT234" s="267">
        <f t="shared" si="152"/>
        <v>1080</v>
      </c>
      <c r="AU234" s="267">
        <f t="shared" si="152"/>
        <v>1115</v>
      </c>
      <c r="AV234" s="267">
        <f t="shared" si="151"/>
        <v>1093</v>
      </c>
      <c r="AW234" s="267">
        <f t="shared" si="151"/>
        <v>1072</v>
      </c>
      <c r="AX234" s="267">
        <f t="shared" si="151"/>
        <v>1057</v>
      </c>
      <c r="AY234" s="267">
        <f t="shared" si="171"/>
        <v>716</v>
      </c>
      <c r="AZ234" s="267">
        <f t="shared" si="172"/>
        <v>714</v>
      </c>
      <c r="BA234" s="267">
        <f t="shared" si="173"/>
        <v>691</v>
      </c>
      <c r="BB234" s="267">
        <f t="shared" si="174"/>
        <v>1080</v>
      </c>
      <c r="BC234" s="267">
        <f t="shared" si="175"/>
        <v>1115</v>
      </c>
      <c r="BD234" s="267">
        <f t="shared" si="176"/>
        <v>1093</v>
      </c>
      <c r="BE234" s="267">
        <f t="shared" si="177"/>
        <v>1072</v>
      </c>
      <c r="BF234" s="267">
        <f t="shared" si="178"/>
        <v>1057</v>
      </c>
      <c r="BG234" s="269">
        <f>AY234*VLOOKUP($B234,'Major Cities &amp; Towns'!$A$28:$B$345,2,FALSE)</f>
        <v>716</v>
      </c>
      <c r="BH234" s="269">
        <f>AZ234*VLOOKUP($B234,'Major Cities &amp; Towns'!$A$28:$B$345,2,FALSE)</f>
        <v>714</v>
      </c>
      <c r="BI234" s="269">
        <f>BA234*VLOOKUP($B234,'Major Cities &amp; Towns'!$A$28:$B$345,2,FALSE)</f>
        <v>691</v>
      </c>
      <c r="BJ234" s="269">
        <f>BB234*VLOOKUP($B234,'Major Cities &amp; Towns'!$A$28:$B$345,2,FALSE)</f>
        <v>1080</v>
      </c>
      <c r="BK234" s="269">
        <f>BC234*VLOOKUP($B234,'Major Cities &amp; Towns'!$A$28:$B$345,2,FALSE)</f>
        <v>1115</v>
      </c>
      <c r="BL234" s="269">
        <f>BD234*VLOOKUP($B234,'Major Cities &amp; Towns'!$A$28:$B$345,2,FALSE)</f>
        <v>1093</v>
      </c>
      <c r="BM234" s="269">
        <f>BE234*VLOOKUP($B234,'Major Cities &amp; Towns'!$A$28:$B$345,2,FALSE)</f>
        <v>1072</v>
      </c>
      <c r="BN234" s="269">
        <f>BF234*VLOOKUP($B234,'Major Cities &amp; Towns'!$A$28:$B$345,2,FALSE)</f>
        <v>1057</v>
      </c>
      <c r="BO234" s="270">
        <f t="shared" si="179"/>
        <v>716</v>
      </c>
      <c r="BP234" s="270">
        <f t="shared" si="195"/>
        <v>714</v>
      </c>
      <c r="BQ234" s="270">
        <f t="shared" si="195"/>
        <v>691</v>
      </c>
      <c r="BR234" s="270">
        <f t="shared" si="195"/>
        <v>1080</v>
      </c>
      <c r="BS234" s="270">
        <f t="shared" si="195"/>
        <v>1115</v>
      </c>
      <c r="BT234" s="270">
        <f t="shared" si="195"/>
        <v>1093</v>
      </c>
      <c r="BU234" s="270">
        <f t="shared" si="195"/>
        <v>1072</v>
      </c>
      <c r="BV234" s="270">
        <f t="shared" si="195"/>
        <v>1057</v>
      </c>
      <c r="BW234" s="39" t="str">
        <f>VLOOKUP($A234,NetAdditions!$A$2:$H$336,6,FALSE)</f>
        <v>Not Applicable</v>
      </c>
      <c r="BX234" s="39">
        <f>VLOOKUP($A234,NetAdditions!$A$2:$H$336,7,FALSE)</f>
        <v>487</v>
      </c>
      <c r="BY234" s="39">
        <f>IF((VLOOKUP($C234,NetAdditions!$A$2:$H$336,8,FALSE))="",(AVERAGE(VLOOKUP($C234,NetAdditions!$A$2:$H$336,5,FALSE),VLOOKUP($C234,NetAdditions!$A$2:$H$336,6,FALSE),VLOOKUP($C234,NetAdditions!$A$2:$H$336,7,FALSE))),VLOOKUP($C234,NetAdditions!$A$2:$H$336,8,FALSE))</f>
        <v>440</v>
      </c>
      <c r="BZ234" s="39">
        <f t="shared" si="196"/>
        <v>463.5</v>
      </c>
      <c r="CA234" s="39">
        <f t="shared" si="196"/>
        <v>463.5</v>
      </c>
      <c r="CB234" s="39">
        <f t="shared" si="196"/>
        <v>455.66666666666669</v>
      </c>
      <c r="CC234" s="39">
        <f t="shared" si="196"/>
        <v>460.88888888888891</v>
      </c>
      <c r="CD234" s="39">
        <f t="shared" si="196"/>
        <v>460.01851851851853</v>
      </c>
      <c r="CE234" s="276">
        <f t="shared" si="155"/>
        <v>2121</v>
      </c>
      <c r="CF234" s="276">
        <f t="shared" si="156"/>
        <v>2485</v>
      </c>
      <c r="CG234" s="276">
        <f t="shared" si="157"/>
        <v>2886</v>
      </c>
      <c r="CH234" s="276">
        <f t="shared" si="158"/>
        <v>3288</v>
      </c>
      <c r="CI234" s="276">
        <f t="shared" si="159"/>
        <v>3280</v>
      </c>
      <c r="CJ234" s="276">
        <f t="shared" si="160"/>
        <v>3222</v>
      </c>
      <c r="CK234" s="276">
        <f t="shared" si="180"/>
        <v>1826.4166666666667</v>
      </c>
      <c r="CL234" s="276">
        <f t="shared" si="181"/>
        <v>2139.8611111111113</v>
      </c>
      <c r="CM234" s="276">
        <f t="shared" si="182"/>
        <v>2645.5</v>
      </c>
      <c r="CN234" s="276">
        <f t="shared" si="183"/>
        <v>3288</v>
      </c>
      <c r="CO234" s="276">
        <f t="shared" si="183"/>
        <v>3280</v>
      </c>
      <c r="CP234" s="276">
        <f t="shared" si="183"/>
        <v>3222</v>
      </c>
      <c r="CQ234" s="39">
        <f t="shared" si="161"/>
        <v>927</v>
      </c>
      <c r="CR234" s="39">
        <f t="shared" si="162"/>
        <v>1390.5</v>
      </c>
      <c r="CS234" s="277">
        <f t="shared" si="163"/>
        <v>1367</v>
      </c>
      <c r="CT234" s="39">
        <f t="shared" si="164"/>
        <v>1382.6666666666667</v>
      </c>
      <c r="CU234" s="39">
        <f t="shared" si="165"/>
        <v>1380.0555555555557</v>
      </c>
      <c r="CV234" s="39">
        <f t="shared" si="166"/>
        <v>1376.5740740740741</v>
      </c>
      <c r="CW234" s="297">
        <f t="shared" si="167"/>
        <v>0.50755121595108821</v>
      </c>
      <c r="CX234" s="279" t="str">
        <f t="shared" si="184"/>
        <v>Buffer and Action Plan</v>
      </c>
      <c r="CY234" s="278">
        <f t="shared" si="168"/>
        <v>0.64980852859090021</v>
      </c>
      <c r="CZ234" s="279" t="str">
        <f t="shared" si="185"/>
        <v>Buffer and Action Plan</v>
      </c>
      <c r="DA234" s="278">
        <f t="shared" si="169"/>
        <v>0.5167265167265167</v>
      </c>
      <c r="DB234" s="292" t="str">
        <f t="shared" si="186"/>
        <v>Presumption</v>
      </c>
      <c r="DC234" s="299">
        <f t="shared" si="187"/>
        <v>0.42051905920519062</v>
      </c>
      <c r="DD234" s="293" t="str">
        <f t="shared" si="188"/>
        <v>Presumption</v>
      </c>
      <c r="DE234" s="299">
        <f t="shared" si="189"/>
        <v>0.42074864498644987</v>
      </c>
      <c r="DF234" s="293" t="str">
        <f t="shared" si="190"/>
        <v>Presumption</v>
      </c>
      <c r="DG234" s="299">
        <f t="shared" si="191"/>
        <v>0.42724210865117135</v>
      </c>
      <c r="DH234" s="293" t="str">
        <f t="shared" si="192"/>
        <v>Presumption</v>
      </c>
    </row>
    <row r="235" spans="1:112" ht="15" thickTop="1" thickBot="1">
      <c r="A235" s="38" t="s">
        <v>580</v>
      </c>
      <c r="B235" s="38" t="s">
        <v>581</v>
      </c>
      <c r="C235" s="38" t="s">
        <v>580</v>
      </c>
      <c r="D235" s="38" t="s">
        <v>128</v>
      </c>
      <c r="E235" s="38" t="str">
        <f>VLOOKUP(C235,PoliticalControl!A:K,11,FALSE)</f>
        <v>LD</v>
      </c>
      <c r="F235" s="38" t="str">
        <f>VLOOKUP(C235,UrbanRuralClassification!A:N,13,FALSE)</f>
        <v xml:space="preserve">Largely Rural (rural including hub towns 50-79%) </v>
      </c>
      <c r="G235" s="38" t="str">
        <f>VLOOKUP(C235,UrbanRuralClassification!A:N,14,FALSE)</f>
        <v>Predominantly Rural</v>
      </c>
      <c r="H235" s="258">
        <f>IF(ISBLANK((VLOOKUP($A235,'local-plan-data'!$C$1:$AD$566,27,FALSE)))=TRUE,"",VLOOKUP($A235,'local-plan-data'!$C$1:$AD$566,27,FALSE))</f>
        <v>43370</v>
      </c>
      <c r="I235" s="259">
        <f>VLOOKUP($A235,'local-plan-data'!$C$1:$AD$566,28,FALSE)</f>
        <v>975</v>
      </c>
      <c r="J235" s="260">
        <f t="shared" si="170"/>
        <v>975</v>
      </c>
      <c r="K235" s="259">
        <f t="shared" si="193"/>
        <v>975</v>
      </c>
      <c r="L235" s="259">
        <f t="shared" si="197"/>
        <v>975</v>
      </c>
      <c r="M235" s="259">
        <f t="shared" si="197"/>
        <v>975</v>
      </c>
      <c r="N235" s="259">
        <f t="shared" si="197"/>
        <v>975</v>
      </c>
      <c r="O235" s="259">
        <f t="shared" si="197"/>
        <v>975</v>
      </c>
      <c r="P235" s="259">
        <f t="shared" si="197"/>
        <v>975</v>
      </c>
      <c r="Q235" s="259" t="str">
        <f t="shared" si="197"/>
        <v>-</v>
      </c>
      <c r="R235" s="259" t="str">
        <f t="shared" si="197"/>
        <v>-</v>
      </c>
      <c r="S235" s="259">
        <f t="shared" si="194"/>
        <v>2005</v>
      </c>
      <c r="T235" s="259">
        <f t="shared" si="198"/>
        <v>1640</v>
      </c>
      <c r="U235" s="259">
        <f t="shared" si="198"/>
        <v>1274</v>
      </c>
      <c r="V235" s="259">
        <f t="shared" si="198"/>
        <v>909</v>
      </c>
      <c r="W235" s="259">
        <f t="shared" si="198"/>
        <v>544</v>
      </c>
      <c r="X235" s="259">
        <f t="shared" si="198"/>
        <v>179</v>
      </c>
      <c r="Y235" s="259">
        <f t="shared" si="198"/>
        <v>-187</v>
      </c>
      <c r="Z235" s="259">
        <f t="shared" si="198"/>
        <v>-552</v>
      </c>
      <c r="AA235" s="267">
        <f>(VLOOKUP(A235,Hshldprojections2014!$A$2:$AW$319,40, FALSE)-VLOOKUP(A235,Hshldprojections2014!$A$2:$AW$319,30, FALSE))/10</f>
        <v>826.1</v>
      </c>
      <c r="AB235" s="267">
        <f>(VLOOKUP(A235,Hshldprojections2014!$A$2:$AW$319,41, FALSE)-VLOOKUP(A235,Hshldprojections2014!$A$2:$AW$319,31, FALSE))/10</f>
        <v>811.5</v>
      </c>
      <c r="AC235" s="267">
        <f>(VLOOKUP(A235,Hshldprojections2014!$A$2:$AW$319,42, FALSE)-VLOOKUP(A235,Hshldprojections2014!$A$2:$AW$319,32, FALSE))/10</f>
        <v>796.7</v>
      </c>
      <c r="AD235" s="267">
        <f>IF(IndividualLATest!$J$7=2014,(VLOOKUP($A235,Hshldprojections2014!$A$2:$AY$326,43,FALSE)-VLOOKUP($A235,Hshldprojections2014!$A$2:$AY$326,33,FALSE))/10,IF(IndividualLATest!$J$7=2016,(VLOOKUP($A235,Hshldprojections2016!$A$1:$AQ$322,33,FALSE)-VLOOKUP($A235,Hshldprojections2016!$A$1:$AQ$322,23,FALSE))/10,(VLOOKUP($A235,Hshldprojections2018!$A$1:$AQ$327,33,FALSE)-VLOOKUP($A235,Hshldprojections2018!$A$1:$AQ$327,23,FALSE))/10))</f>
        <v>353.7</v>
      </c>
      <c r="AE235" s="267">
        <f>IF(IndividualLATest!$J$7=2014,(VLOOKUP($A235,Hshldprojections2014!$A$2:$AY$326,44,FALSE)-VLOOKUP($A235,Hshldprojections2014!$A$2:$AY$326,34,FALSE))/10,IF(IndividualLATest!$J$7=2016,(VLOOKUP($A235,Hshldprojections2016!$A$1:$AQ$322,34,FALSE)-VLOOKUP($A235,Hshldprojections2016!$A$1:$AQ$322,24,FALSE))/10,(VLOOKUP($A235,Hshldprojections2018!$A$1:$AQ$327,34,FALSE)-VLOOKUP($A235,Hshldprojections2018!$A$1:$AQ$327,24,FALSE))/10))</f>
        <v>335.1</v>
      </c>
      <c r="AF235" s="267">
        <f>IF(IndividualLATest!$J$7=2014,(VLOOKUP($A235,Hshldprojections2014!$A$2:$AY$326,45,FALSE)-VLOOKUP($A235,Hshldprojections2014!$A$2:$AY$326,35,FALSE))/10,IF(IndividualLATest!$J$7=2016,(VLOOKUP($A235,Hshldprojections2016!$A$1:$AQ$322,35,FALSE)-VLOOKUP($A235,Hshldprojections2016!$A$1:$AQ$322,25,FALSE))/10,(VLOOKUP($A235,Hshldprojections2018!$A$1:$AQ$327,35,FALSE)-VLOOKUP($A235,Hshldprojections2018!$A$1:$AQ$327,25,FALSE))/10))</f>
        <v>319.10000000000002</v>
      </c>
      <c r="AG235" s="267">
        <f>IF(IndividualLATest!$J$7=2014,(VLOOKUP($A235,Hshldprojections2014!$A$2:$AY$326,46,FALSE)-VLOOKUP($A235,Hshldprojections2014!$A$2:$AY$326,36,FALSE))/10,IF(IndividualLATest!$J$7=2016,(VLOOKUP($A235,Hshldprojections2016!$A$1:$AQ$322,36,FALSE)-VLOOKUP($A235,Hshldprojections2016!$A$1:$AQ$322,26,FALSE))/10,(VLOOKUP($A235,Hshldprojections2018!$A$1:$AQ$327,36,FALSE)-VLOOKUP($A235,Hshldprojections2018!$A$1:$AQ$327,26,FALSE))/10))</f>
        <v>306.5</v>
      </c>
      <c r="AH235" s="267">
        <f>IF(IndividualLATest!$J$7=2014,(VLOOKUP($A235,Hshldprojections2014!$A$2:$AY$326,47,FALSE)-VLOOKUP($A235,Hshldprojections2014!$A$2:$AY$326,37,FALSE))/10,IF(IndividualLATest!$J$7=2016,(VLOOKUP($A235,Hshldprojections2016!$A$1:$AQ$322,37,FALSE)-VLOOKUP($A235,Hshldprojections2016!$A$1:$AQ$322,27,FALSE))/10,(VLOOKUP($A235,Hshldprojections2018!$A$1:$AQ$327,37,FALSE)-VLOOKUP($A235,Hshldprojections2018!$A$1:$AQ$327,27,FALSE))/10))</f>
        <v>294.7</v>
      </c>
      <c r="AI235" s="268">
        <f>IF(ISNUMBER('Sensitivity Tests'!$C$30),'Sensitivity Tests'!$C$30,VLOOKUP($A235,AffordabilityRatio!$A$2:$I$321,5,FALSE))</f>
        <v>10.98</v>
      </c>
      <c r="AJ235" s="268">
        <f>IF(ISNUMBER('Sensitivity Tests'!$C$30),'Sensitivity Tests'!$C$30,VLOOKUP($A235,AffordabilityRatio!$A$2:$I$321,6,FALSE))</f>
        <v>10.34</v>
      </c>
      <c r="AK235" s="268">
        <f>IF(ISNUMBER('Sensitivity Tests'!$C$30),'Sensitivity Tests'!$C$30,VLOOKUP($A235,AffordabilityRatio!$A$2:$I$321,7,FALSE))</f>
        <v>9.8000000000000007</v>
      </c>
      <c r="AL235" s="268">
        <f>IF(ISNUMBER('Sensitivity Tests'!$C$30),'Sensitivity Tests'!$C$30,IF((VLOOKUP($A235,AffordabilityRatio!$A$2:$I$321,8,FALSE))="",AK235,VLOOKUP($A235,AffordabilityRatio!$A$2:$I$321,8,FALSE)))</f>
        <v>10.31</v>
      </c>
      <c r="AM235" s="268">
        <f>IF(ISNUMBER('Sensitivity Tests'!$C$30),'Sensitivity Tests'!$C$30,IF((VLOOKUP($A235,AffordabilityRatio!$A$2:$I$321,9,FALSE))="",AL235,VLOOKUP($A235,AffordabilityRatio!$A$2:$I$321,9,FALSE)))</f>
        <v>10.55</v>
      </c>
      <c r="AN235" s="268">
        <f>IF(ISNUMBER('Sensitivity Tests'!$C$30),'Sensitivity Tests'!$C$30,IF((VLOOKUP($A235,AffordabilityRatio!$A$2:$I$321,9,FALSE))="",AM235,VLOOKUP($A235,AffordabilityRatio!$A$2:$I$321,9,FALSE)))</f>
        <v>10.55</v>
      </c>
      <c r="AO235" s="268">
        <f>IF(ISNUMBER('Sensitivity Tests'!$C$30),'Sensitivity Tests'!$C$30,IF((VLOOKUP($A235,AffordabilityRatio!$A$2:$I$321,9,FALSE))="",AN235,VLOOKUP($A235,AffordabilityRatio!$A$2:$I$321,9,FALSE)))</f>
        <v>10.55</v>
      </c>
      <c r="AP235" s="268">
        <f>IF(ISNUMBER('Sensitivity Tests'!$C$30),'Sensitivity Tests'!$C$30,IF((VLOOKUP($A235,AffordabilityRatio!$A$2:$I$321,9,FALSE))="",AO235,VLOOKUP($A235,AffordabilityRatio!$A$2:$I$321,9,FALSE)))</f>
        <v>10.55</v>
      </c>
      <c r="AQ235" s="267">
        <f t="shared" ref="AQ235:AX268" si="199">IF(AA235&lt;0,0,IF(AI235&gt;4,ROUND((1+((AI235-4)/4*0.25))*AA235,0),AA235))</f>
        <v>1186</v>
      </c>
      <c r="AR235" s="267">
        <f t="shared" si="199"/>
        <v>1133</v>
      </c>
      <c r="AS235" s="267">
        <f t="shared" si="199"/>
        <v>1086</v>
      </c>
      <c r="AT235" s="267">
        <f t="shared" si="199"/>
        <v>493</v>
      </c>
      <c r="AU235" s="267">
        <f t="shared" si="199"/>
        <v>472</v>
      </c>
      <c r="AV235" s="267">
        <f t="shared" si="151"/>
        <v>450</v>
      </c>
      <c r="AW235" s="267">
        <f t="shared" si="151"/>
        <v>432</v>
      </c>
      <c r="AX235" s="267">
        <f t="shared" si="151"/>
        <v>415</v>
      </c>
      <c r="AY235" s="267">
        <f t="shared" si="171"/>
        <v>1186</v>
      </c>
      <c r="AZ235" s="267">
        <f t="shared" si="172"/>
        <v>1133</v>
      </c>
      <c r="BA235" s="267">
        <f t="shared" si="173"/>
        <v>1086</v>
      </c>
      <c r="BB235" s="267">
        <f t="shared" si="174"/>
        <v>493</v>
      </c>
      <c r="BC235" s="267">
        <f t="shared" si="175"/>
        <v>472</v>
      </c>
      <c r="BD235" s="267">
        <f t="shared" si="176"/>
        <v>450</v>
      </c>
      <c r="BE235" s="267">
        <f t="shared" si="177"/>
        <v>432</v>
      </c>
      <c r="BF235" s="267">
        <f t="shared" si="178"/>
        <v>415</v>
      </c>
      <c r="BG235" s="269">
        <f>AY235*VLOOKUP($B235,'Major Cities &amp; Towns'!$A$28:$B$345,2,FALSE)</f>
        <v>1186</v>
      </c>
      <c r="BH235" s="269">
        <f>AZ235*VLOOKUP($B235,'Major Cities &amp; Towns'!$A$28:$B$345,2,FALSE)</f>
        <v>1133</v>
      </c>
      <c r="BI235" s="269">
        <f>BA235*VLOOKUP($B235,'Major Cities &amp; Towns'!$A$28:$B$345,2,FALSE)</f>
        <v>1086</v>
      </c>
      <c r="BJ235" s="269">
        <f>BB235*VLOOKUP($B235,'Major Cities &amp; Towns'!$A$28:$B$345,2,FALSE)</f>
        <v>493</v>
      </c>
      <c r="BK235" s="269">
        <f>BC235*VLOOKUP($B235,'Major Cities &amp; Towns'!$A$28:$B$345,2,FALSE)</f>
        <v>472</v>
      </c>
      <c r="BL235" s="269">
        <f>BD235*VLOOKUP($B235,'Major Cities &amp; Towns'!$A$28:$B$345,2,FALSE)</f>
        <v>450</v>
      </c>
      <c r="BM235" s="269">
        <f>BE235*VLOOKUP($B235,'Major Cities &amp; Towns'!$A$28:$B$345,2,FALSE)</f>
        <v>432</v>
      </c>
      <c r="BN235" s="269">
        <f>BF235*VLOOKUP($B235,'Major Cities &amp; Towns'!$A$28:$B$345,2,FALSE)</f>
        <v>415</v>
      </c>
      <c r="BO235" s="270">
        <f t="shared" si="179"/>
        <v>975</v>
      </c>
      <c r="BP235" s="270">
        <f t="shared" si="195"/>
        <v>975</v>
      </c>
      <c r="BQ235" s="270">
        <f t="shared" si="195"/>
        <v>975</v>
      </c>
      <c r="BR235" s="270">
        <f t="shared" si="195"/>
        <v>493</v>
      </c>
      <c r="BS235" s="270">
        <f t="shared" si="195"/>
        <v>472</v>
      </c>
      <c r="BT235" s="270">
        <f t="shared" si="195"/>
        <v>450</v>
      </c>
      <c r="BU235" s="270">
        <f t="shared" si="195"/>
        <v>432</v>
      </c>
      <c r="BV235" s="270">
        <f t="shared" si="195"/>
        <v>415</v>
      </c>
      <c r="BW235" s="39">
        <f>VLOOKUP($A235,NetAdditions!$A$2:$H$336,6,FALSE)</f>
        <v>1154</v>
      </c>
      <c r="BX235" s="39">
        <f>VLOOKUP($A235,NetAdditions!$A$2:$H$336,7,FALSE)</f>
        <v>1068</v>
      </c>
      <c r="BY235" s="39">
        <f>IF((VLOOKUP($C235,NetAdditions!$A$2:$H$336,8,FALSE))="",(AVERAGE(VLOOKUP($C235,NetAdditions!$A$2:$H$336,5,FALSE),VLOOKUP($C235,NetAdditions!$A$2:$H$336,6,FALSE),VLOOKUP($C235,NetAdditions!$A$2:$H$336,7,FALSE))),VLOOKUP($C235,NetAdditions!$A$2:$H$336,8,FALSE))</f>
        <v>1335</v>
      </c>
      <c r="BZ235" s="39">
        <f t="shared" si="196"/>
        <v>1185.6666666666667</v>
      </c>
      <c r="CA235" s="39">
        <f t="shared" si="196"/>
        <v>1196.2222222222224</v>
      </c>
      <c r="CB235" s="39">
        <f t="shared" si="196"/>
        <v>1238.9629629629633</v>
      </c>
      <c r="CC235" s="39">
        <f t="shared" si="196"/>
        <v>1206.9506172839508</v>
      </c>
      <c r="CD235" s="39">
        <f t="shared" si="196"/>
        <v>1214.0452674897122</v>
      </c>
      <c r="CE235" s="276">
        <f t="shared" si="155"/>
        <v>2925</v>
      </c>
      <c r="CF235" s="276">
        <f t="shared" si="156"/>
        <v>2443</v>
      </c>
      <c r="CG235" s="276">
        <f t="shared" si="157"/>
        <v>1940</v>
      </c>
      <c r="CH235" s="276">
        <f t="shared" si="158"/>
        <v>1415</v>
      </c>
      <c r="CI235" s="276">
        <f t="shared" si="159"/>
        <v>1354</v>
      </c>
      <c r="CJ235" s="276">
        <f t="shared" si="160"/>
        <v>1297</v>
      </c>
      <c r="CK235" s="276">
        <f t="shared" si="180"/>
        <v>2518.75</v>
      </c>
      <c r="CL235" s="276">
        <f t="shared" si="181"/>
        <v>2103.6944444444443</v>
      </c>
      <c r="CM235" s="276">
        <f t="shared" si="182"/>
        <v>1778.3333333333333</v>
      </c>
      <c r="CN235" s="276">
        <f t="shared" si="183"/>
        <v>1415</v>
      </c>
      <c r="CO235" s="276">
        <f t="shared" si="183"/>
        <v>1354</v>
      </c>
      <c r="CP235" s="276">
        <f t="shared" si="183"/>
        <v>1297</v>
      </c>
      <c r="CQ235" s="39">
        <f t="shared" si="161"/>
        <v>3557</v>
      </c>
      <c r="CR235" s="39">
        <f t="shared" si="162"/>
        <v>3588.666666666667</v>
      </c>
      <c r="CS235" s="277">
        <f t="shared" si="163"/>
        <v>3716.8888888888896</v>
      </c>
      <c r="CT235" s="39">
        <f t="shared" si="164"/>
        <v>3620.8518518518522</v>
      </c>
      <c r="CU235" s="39">
        <f t="shared" si="165"/>
        <v>3642.1358024691363</v>
      </c>
      <c r="CV235" s="39">
        <f t="shared" si="166"/>
        <v>3659.958847736626</v>
      </c>
      <c r="CW235" s="297">
        <f t="shared" si="167"/>
        <v>1.4122084367245658</v>
      </c>
      <c r="CX235" s="279" t="str">
        <f t="shared" si="184"/>
        <v>Pass</v>
      </c>
      <c r="CY235" s="278">
        <f t="shared" si="168"/>
        <v>1.7058877899990759</v>
      </c>
      <c r="CZ235" s="279" t="str">
        <f t="shared" si="185"/>
        <v>Pass</v>
      </c>
      <c r="DA235" s="278">
        <f t="shared" si="169"/>
        <v>2.0900968447360206</v>
      </c>
      <c r="DB235" s="292" t="str">
        <f t="shared" si="186"/>
        <v>Pass</v>
      </c>
      <c r="DC235" s="299">
        <f t="shared" si="187"/>
        <v>2.5589059023688003</v>
      </c>
      <c r="DD235" s="293" t="str">
        <f t="shared" si="188"/>
        <v>Pass</v>
      </c>
      <c r="DE235" s="299">
        <f t="shared" si="189"/>
        <v>2.6899082736108837</v>
      </c>
      <c r="DF235" s="293" t="str">
        <f t="shared" si="190"/>
        <v>Pass</v>
      </c>
      <c r="DG235" s="299">
        <f t="shared" si="191"/>
        <v>2.8218649558493647</v>
      </c>
      <c r="DH235" s="293" t="str">
        <f t="shared" si="192"/>
        <v>Pass</v>
      </c>
    </row>
    <row r="236" spans="1:112" ht="15" thickTop="1" thickBot="1">
      <c r="A236" s="38" t="s">
        <v>582</v>
      </c>
      <c r="B236" s="38" t="s">
        <v>583</v>
      </c>
      <c r="C236" s="38" t="s">
        <v>582</v>
      </c>
      <c r="D236" s="38" t="s">
        <v>119</v>
      </c>
      <c r="E236" s="38" t="str">
        <f>VLOOKUP(C236,PoliticalControl!A:K,11,FALSE)</f>
        <v>NOC</v>
      </c>
      <c r="F236" s="38" t="str">
        <f>VLOOKUP(C236,UrbanRuralClassification!A:N,13,FALSE)</f>
        <v>Urban with Significant Rural (rural including hub towns 26-49%)</v>
      </c>
      <c r="G236" s="38" t="str">
        <f>VLOOKUP(C236,UrbanRuralClassification!A:N,14,FALSE)</f>
        <v>Urban with Significant Rural</v>
      </c>
      <c r="H236" s="258">
        <f>IF(ISBLANK((VLOOKUP($A236,'local-plan-data'!$C$1:$AD$566,27,FALSE)))=TRUE,"",VLOOKUP($A236,'local-plan-data'!$C$1:$AD$566,27,FALSE))</f>
        <v>42534</v>
      </c>
      <c r="I236" s="259">
        <f>VLOOKUP($A236,'local-plan-data'!$C$1:$AD$566,28,FALSE)</f>
        <v>742.23529411764707</v>
      </c>
      <c r="J236" s="260">
        <f t="shared" si="170"/>
        <v>742.23529411764707</v>
      </c>
      <c r="K236" s="259">
        <f t="shared" si="193"/>
        <v>742.23529411764707</v>
      </c>
      <c r="L236" s="259">
        <f t="shared" si="197"/>
        <v>742.23529411764707</v>
      </c>
      <c r="M236" s="259">
        <f t="shared" si="197"/>
        <v>742.23529411764707</v>
      </c>
      <c r="N236" s="259">
        <f t="shared" si="197"/>
        <v>742.23529411764707</v>
      </c>
      <c r="O236" s="259" t="str">
        <f t="shared" si="197"/>
        <v>-</v>
      </c>
      <c r="P236" s="259" t="str">
        <f t="shared" si="197"/>
        <v>-</v>
      </c>
      <c r="Q236" s="259" t="str">
        <f t="shared" si="197"/>
        <v>-</v>
      </c>
      <c r="R236" s="259" t="str">
        <f t="shared" si="197"/>
        <v>-</v>
      </c>
      <c r="S236" s="259">
        <f t="shared" si="194"/>
        <v>1169</v>
      </c>
      <c r="T236" s="259">
        <f t="shared" si="198"/>
        <v>804</v>
      </c>
      <c r="U236" s="259">
        <f t="shared" si="198"/>
        <v>438</v>
      </c>
      <c r="V236" s="259">
        <f t="shared" si="198"/>
        <v>73</v>
      </c>
      <c r="W236" s="259">
        <f t="shared" si="198"/>
        <v>-292</v>
      </c>
      <c r="X236" s="259">
        <f t="shared" si="198"/>
        <v>-657</v>
      </c>
      <c r="Y236" s="259">
        <f t="shared" si="198"/>
        <v>-1023</v>
      </c>
      <c r="Z236" s="259">
        <f t="shared" si="198"/>
        <v>-1388</v>
      </c>
      <c r="AA236" s="267">
        <f>(VLOOKUP(A236,Hshldprojections2014!$A$2:$AW$319,40, FALSE)-VLOOKUP(A236,Hshldprojections2014!$A$2:$AW$319,30, FALSE))/10</f>
        <v>476.1</v>
      </c>
      <c r="AB236" s="267">
        <f>(VLOOKUP(A236,Hshldprojections2014!$A$2:$AW$319,41, FALSE)-VLOOKUP(A236,Hshldprojections2014!$A$2:$AW$319,31, FALSE))/10</f>
        <v>466</v>
      </c>
      <c r="AC236" s="267">
        <f>(VLOOKUP(A236,Hshldprojections2014!$A$2:$AW$319,42, FALSE)-VLOOKUP(A236,Hshldprojections2014!$A$2:$AW$319,32, FALSE))/10</f>
        <v>457.4</v>
      </c>
      <c r="AD236" s="267">
        <f>IF(IndividualLATest!$J$7=2014,(VLOOKUP($A236,Hshldprojections2014!$A$2:$AY$326,43,FALSE)-VLOOKUP($A236,Hshldprojections2014!$A$2:$AY$326,33,FALSE))/10,IF(IndividualLATest!$J$7=2016,(VLOOKUP($A236,Hshldprojections2016!$A$1:$AQ$322,33,FALSE)-VLOOKUP($A236,Hshldprojections2016!$A$1:$AQ$322,23,FALSE))/10,(VLOOKUP($A236,Hshldprojections2018!$A$1:$AQ$327,33,FALSE)-VLOOKUP($A236,Hshldprojections2018!$A$1:$AQ$327,23,FALSE))/10))</f>
        <v>733.6</v>
      </c>
      <c r="AE236" s="267">
        <f>IF(IndividualLATest!$J$7=2014,(VLOOKUP($A236,Hshldprojections2014!$A$2:$AY$326,44,FALSE)-VLOOKUP($A236,Hshldprojections2014!$A$2:$AY$326,34,FALSE))/10,IF(IndividualLATest!$J$7=2016,(VLOOKUP($A236,Hshldprojections2016!$A$1:$AQ$322,34,FALSE)-VLOOKUP($A236,Hshldprojections2016!$A$1:$AQ$322,24,FALSE))/10,(VLOOKUP($A236,Hshldprojections2018!$A$1:$AQ$327,34,FALSE)-VLOOKUP($A236,Hshldprojections2018!$A$1:$AQ$327,24,FALSE))/10))</f>
        <v>709.9</v>
      </c>
      <c r="AF236" s="267">
        <f>IF(IndividualLATest!$J$7=2014,(VLOOKUP($A236,Hshldprojections2014!$A$2:$AY$326,45,FALSE)-VLOOKUP($A236,Hshldprojections2014!$A$2:$AY$326,35,FALSE))/10,IF(IndividualLATest!$J$7=2016,(VLOOKUP($A236,Hshldprojections2016!$A$1:$AQ$322,35,FALSE)-VLOOKUP($A236,Hshldprojections2016!$A$1:$AQ$322,25,FALSE))/10,(VLOOKUP($A236,Hshldprojections2018!$A$1:$AQ$327,35,FALSE)-VLOOKUP($A236,Hshldprojections2018!$A$1:$AQ$327,25,FALSE))/10))</f>
        <v>687.1</v>
      </c>
      <c r="AG236" s="267">
        <f>IF(IndividualLATest!$J$7=2014,(VLOOKUP($A236,Hshldprojections2014!$A$2:$AY$326,46,FALSE)-VLOOKUP($A236,Hshldprojections2014!$A$2:$AY$326,36,FALSE))/10,IF(IndividualLATest!$J$7=2016,(VLOOKUP($A236,Hshldprojections2016!$A$1:$AQ$322,36,FALSE)-VLOOKUP($A236,Hshldprojections2016!$A$1:$AQ$322,26,FALSE))/10,(VLOOKUP($A236,Hshldprojections2018!$A$1:$AQ$327,36,FALSE)-VLOOKUP($A236,Hshldprojections2018!$A$1:$AQ$327,26,FALSE))/10))</f>
        <v>665.6</v>
      </c>
      <c r="AH236" s="267">
        <f>IF(IndividualLATest!$J$7=2014,(VLOOKUP($A236,Hshldprojections2014!$A$2:$AY$326,47,FALSE)-VLOOKUP($A236,Hshldprojections2014!$A$2:$AY$326,37,FALSE))/10,IF(IndividualLATest!$J$7=2016,(VLOOKUP($A236,Hshldprojections2016!$A$1:$AQ$322,37,FALSE)-VLOOKUP($A236,Hshldprojections2016!$A$1:$AQ$322,27,FALSE))/10,(VLOOKUP($A236,Hshldprojections2018!$A$1:$AQ$327,37,FALSE)-VLOOKUP($A236,Hshldprojections2018!$A$1:$AQ$327,27,FALSE))/10))</f>
        <v>648.5</v>
      </c>
      <c r="AI236" s="268">
        <f>IF(ISNUMBER('Sensitivity Tests'!$C$30),'Sensitivity Tests'!$C$30,VLOOKUP($A236,AffordabilityRatio!$A$2:$I$321,5,FALSE))</f>
        <v>7.45</v>
      </c>
      <c r="AJ236" s="268">
        <f>IF(ISNUMBER('Sensitivity Tests'!$C$30),'Sensitivity Tests'!$C$30,VLOOKUP($A236,AffordabilityRatio!$A$2:$I$321,6,FALSE))</f>
        <v>7.13</v>
      </c>
      <c r="AK236" s="268">
        <f>IF(ISNUMBER('Sensitivity Tests'!$C$30),'Sensitivity Tests'!$C$30,VLOOKUP($A236,AffordabilityRatio!$A$2:$I$321,7,FALSE))</f>
        <v>7.29</v>
      </c>
      <c r="AL236" s="268">
        <f>IF(ISNUMBER('Sensitivity Tests'!$C$30),'Sensitivity Tests'!$C$30,IF((VLOOKUP($A236,AffordabilityRatio!$A$2:$I$321,8,FALSE))="",AK236,VLOOKUP($A236,AffordabilityRatio!$A$2:$I$321,8,FALSE)))</f>
        <v>7.21</v>
      </c>
      <c r="AM236" s="268">
        <f>IF(ISNUMBER('Sensitivity Tests'!$C$30),'Sensitivity Tests'!$C$30,IF((VLOOKUP($A236,AffordabilityRatio!$A$2:$I$321,9,FALSE))="",AL236,VLOOKUP($A236,AffordabilityRatio!$A$2:$I$321,9,FALSE)))</f>
        <v>7.35</v>
      </c>
      <c r="AN236" s="268">
        <f>IF(ISNUMBER('Sensitivity Tests'!$C$30),'Sensitivity Tests'!$C$30,IF((VLOOKUP($A236,AffordabilityRatio!$A$2:$I$321,9,FALSE))="",AM236,VLOOKUP($A236,AffordabilityRatio!$A$2:$I$321,9,FALSE)))</f>
        <v>7.35</v>
      </c>
      <c r="AO236" s="268">
        <f>IF(ISNUMBER('Sensitivity Tests'!$C$30),'Sensitivity Tests'!$C$30,IF((VLOOKUP($A236,AffordabilityRatio!$A$2:$I$321,9,FALSE))="",AN236,VLOOKUP($A236,AffordabilityRatio!$A$2:$I$321,9,FALSE)))</f>
        <v>7.35</v>
      </c>
      <c r="AP236" s="268">
        <f>IF(ISNUMBER('Sensitivity Tests'!$C$30),'Sensitivity Tests'!$C$30,IF((VLOOKUP($A236,AffordabilityRatio!$A$2:$I$321,9,FALSE))="",AO236,VLOOKUP($A236,AffordabilityRatio!$A$2:$I$321,9,FALSE)))</f>
        <v>7.35</v>
      </c>
      <c r="AQ236" s="267">
        <f t="shared" si="199"/>
        <v>579</v>
      </c>
      <c r="AR236" s="267">
        <f t="shared" si="199"/>
        <v>557</v>
      </c>
      <c r="AS236" s="267">
        <f t="shared" si="199"/>
        <v>551</v>
      </c>
      <c r="AT236" s="267">
        <f t="shared" si="199"/>
        <v>881</v>
      </c>
      <c r="AU236" s="267">
        <f t="shared" si="199"/>
        <v>859</v>
      </c>
      <c r="AV236" s="267">
        <f t="shared" si="151"/>
        <v>831</v>
      </c>
      <c r="AW236" s="267">
        <f t="shared" si="151"/>
        <v>805</v>
      </c>
      <c r="AX236" s="267">
        <f t="shared" si="151"/>
        <v>784</v>
      </c>
      <c r="AY236" s="267">
        <f t="shared" si="171"/>
        <v>579</v>
      </c>
      <c r="AZ236" s="267">
        <f t="shared" si="172"/>
        <v>557</v>
      </c>
      <c r="BA236" s="267">
        <f t="shared" si="173"/>
        <v>551</v>
      </c>
      <c r="BB236" s="267">
        <f t="shared" si="174"/>
        <v>881</v>
      </c>
      <c r="BC236" s="267">
        <f t="shared" si="175"/>
        <v>859</v>
      </c>
      <c r="BD236" s="267">
        <f t="shared" si="176"/>
        <v>831</v>
      </c>
      <c r="BE236" s="267">
        <f t="shared" si="177"/>
        <v>805</v>
      </c>
      <c r="BF236" s="267">
        <f t="shared" si="178"/>
        <v>784</v>
      </c>
      <c r="BG236" s="269">
        <f>AY236*VLOOKUP($B236,'Major Cities &amp; Towns'!$A$28:$B$345,2,FALSE)</f>
        <v>579</v>
      </c>
      <c r="BH236" s="269">
        <f>AZ236*VLOOKUP($B236,'Major Cities &amp; Towns'!$A$28:$B$345,2,FALSE)</f>
        <v>557</v>
      </c>
      <c r="BI236" s="269">
        <f>BA236*VLOOKUP($B236,'Major Cities &amp; Towns'!$A$28:$B$345,2,FALSE)</f>
        <v>551</v>
      </c>
      <c r="BJ236" s="269">
        <f>BB236*VLOOKUP($B236,'Major Cities &amp; Towns'!$A$28:$B$345,2,FALSE)</f>
        <v>881</v>
      </c>
      <c r="BK236" s="269">
        <f>BC236*VLOOKUP($B236,'Major Cities &amp; Towns'!$A$28:$B$345,2,FALSE)</f>
        <v>859</v>
      </c>
      <c r="BL236" s="269">
        <f>BD236*VLOOKUP($B236,'Major Cities &amp; Towns'!$A$28:$B$345,2,FALSE)</f>
        <v>831</v>
      </c>
      <c r="BM236" s="269">
        <f>BE236*VLOOKUP($B236,'Major Cities &amp; Towns'!$A$28:$B$345,2,FALSE)</f>
        <v>805</v>
      </c>
      <c r="BN236" s="269">
        <f>BF236*VLOOKUP($B236,'Major Cities &amp; Towns'!$A$28:$B$345,2,FALSE)</f>
        <v>784</v>
      </c>
      <c r="BO236" s="270">
        <f t="shared" si="179"/>
        <v>579</v>
      </c>
      <c r="BP236" s="270">
        <f t="shared" si="195"/>
        <v>557</v>
      </c>
      <c r="BQ236" s="270">
        <f t="shared" si="195"/>
        <v>551</v>
      </c>
      <c r="BR236" s="270">
        <f t="shared" si="195"/>
        <v>853.24705882352953</v>
      </c>
      <c r="BS236" s="270">
        <f t="shared" si="195"/>
        <v>859</v>
      </c>
      <c r="BT236" s="270">
        <f t="shared" si="195"/>
        <v>831</v>
      </c>
      <c r="BU236" s="270">
        <f t="shared" si="195"/>
        <v>805</v>
      </c>
      <c r="BV236" s="270">
        <f t="shared" si="195"/>
        <v>784</v>
      </c>
      <c r="BW236" s="39">
        <f>VLOOKUP($A236,NetAdditions!$A$2:$H$336,6,FALSE)</f>
        <v>1218</v>
      </c>
      <c r="BX236" s="39">
        <f>VLOOKUP($A236,NetAdditions!$A$2:$H$336,7,FALSE)</f>
        <v>1285</v>
      </c>
      <c r="BY236" s="39">
        <f>IF((VLOOKUP($C236,NetAdditions!$A$2:$H$336,8,FALSE))="",(AVERAGE(VLOOKUP($C236,NetAdditions!$A$2:$H$336,5,FALSE),VLOOKUP($C236,NetAdditions!$A$2:$H$336,6,FALSE),VLOOKUP($C236,NetAdditions!$A$2:$H$336,7,FALSE))),VLOOKUP($C236,NetAdditions!$A$2:$H$336,8,FALSE))</f>
        <v>1029</v>
      </c>
      <c r="BZ236" s="39">
        <f t="shared" si="196"/>
        <v>1177.3333333333333</v>
      </c>
      <c r="CA236" s="39">
        <f t="shared" si="196"/>
        <v>1163.7777777777776</v>
      </c>
      <c r="CB236" s="39">
        <f t="shared" si="196"/>
        <v>1123.3703703703702</v>
      </c>
      <c r="CC236" s="39">
        <f t="shared" si="196"/>
        <v>1154.827160493827</v>
      </c>
      <c r="CD236" s="39">
        <f t="shared" si="196"/>
        <v>1147.3251028806583</v>
      </c>
      <c r="CE236" s="276">
        <f t="shared" si="155"/>
        <v>1687</v>
      </c>
      <c r="CF236" s="276">
        <f t="shared" si="156"/>
        <v>1961.2470588235296</v>
      </c>
      <c r="CG236" s="276">
        <f t="shared" si="157"/>
        <v>2263.2470588235296</v>
      </c>
      <c r="CH236" s="276">
        <f t="shared" si="158"/>
        <v>2543.2470588235296</v>
      </c>
      <c r="CI236" s="276">
        <f t="shared" si="159"/>
        <v>2495</v>
      </c>
      <c r="CJ236" s="276">
        <f t="shared" si="160"/>
        <v>2420</v>
      </c>
      <c r="CK236" s="276">
        <f t="shared" si="180"/>
        <v>1452.6944444444446</v>
      </c>
      <c r="CL236" s="276">
        <f t="shared" si="181"/>
        <v>1688.8516339869284</v>
      </c>
      <c r="CM236" s="276">
        <f t="shared" si="182"/>
        <v>2074.6431372549023</v>
      </c>
      <c r="CN236" s="276">
        <f t="shared" si="183"/>
        <v>2543.2470588235296</v>
      </c>
      <c r="CO236" s="276">
        <f t="shared" si="183"/>
        <v>2495</v>
      </c>
      <c r="CP236" s="276">
        <f t="shared" si="183"/>
        <v>2420</v>
      </c>
      <c r="CQ236" s="39">
        <f t="shared" si="161"/>
        <v>3532</v>
      </c>
      <c r="CR236" s="39">
        <f t="shared" si="162"/>
        <v>3491.333333333333</v>
      </c>
      <c r="CS236" s="277">
        <f t="shared" si="163"/>
        <v>3370.1111111111104</v>
      </c>
      <c r="CT236" s="39">
        <f t="shared" si="164"/>
        <v>3464.4814814814808</v>
      </c>
      <c r="CU236" s="39">
        <f t="shared" si="165"/>
        <v>3441.9753086419751</v>
      </c>
      <c r="CV236" s="39">
        <f t="shared" si="166"/>
        <v>3425.5226337448557</v>
      </c>
      <c r="CW236" s="297">
        <f t="shared" si="167"/>
        <v>2.4313440541522455</v>
      </c>
      <c r="CX236" s="279" t="str">
        <f t="shared" si="184"/>
        <v>Pass</v>
      </c>
      <c r="CY236" s="278">
        <f t="shared" si="168"/>
        <v>2.0672824439238786</v>
      </c>
      <c r="CZ236" s="279" t="str">
        <f t="shared" si="185"/>
        <v>Pass</v>
      </c>
      <c r="DA236" s="278">
        <f t="shared" si="169"/>
        <v>1.6244293057409032</v>
      </c>
      <c r="DB236" s="292" t="str">
        <f t="shared" si="186"/>
        <v>Pass</v>
      </c>
      <c r="DC236" s="299">
        <f t="shared" si="187"/>
        <v>1.3622276567515628</v>
      </c>
      <c r="DD236" s="293" t="str">
        <f t="shared" si="188"/>
        <v>Pass</v>
      </c>
      <c r="DE236" s="299">
        <f t="shared" si="189"/>
        <v>1.3795492219005911</v>
      </c>
      <c r="DF236" s="293" t="str">
        <f t="shared" si="190"/>
        <v>Pass</v>
      </c>
      <c r="DG236" s="299">
        <f t="shared" si="191"/>
        <v>1.4155052205557255</v>
      </c>
      <c r="DH236" s="293" t="str">
        <f t="shared" si="192"/>
        <v>Pass</v>
      </c>
    </row>
    <row r="237" spans="1:112" ht="15" thickTop="1" thickBot="1">
      <c r="A237" s="38" t="s">
        <v>584</v>
      </c>
      <c r="B237" s="38" t="s">
        <v>585</v>
      </c>
      <c r="C237" s="38" t="s">
        <v>584</v>
      </c>
      <c r="D237" s="38" t="s">
        <v>147</v>
      </c>
      <c r="E237" s="38" t="str">
        <f>VLOOKUP(C237,PoliticalControl!A:K,11,FALSE)</f>
        <v>CON</v>
      </c>
      <c r="F237" s="38" t="str">
        <f>VLOOKUP(C237,UrbanRuralClassification!A:N,13,FALSE)</f>
        <v>Urban with City and Town</v>
      </c>
      <c r="G237" s="38" t="str">
        <f>VLOOKUP(C237,UrbanRuralClassification!A:N,14,FALSE)</f>
        <v>Predominantly Urban</v>
      </c>
      <c r="H237" s="258">
        <f>IF(ISBLANK((VLOOKUP($A237,'local-plan-data'!$C$1:$AD$566,27,FALSE)))=TRUE,"",VLOOKUP($A237,'local-plan-data'!$C$1:$AD$566,27,FALSE))</f>
        <v>41619</v>
      </c>
      <c r="I237" s="259">
        <f>VLOOKUP($A237,'local-plan-data'!$C$1:$AD$566,28,FALSE)</f>
        <v>1350.2380952380952</v>
      </c>
      <c r="J237" s="260">
        <f t="shared" si="170"/>
        <v>1350.2380952380952</v>
      </c>
      <c r="K237" s="259">
        <f t="shared" si="193"/>
        <v>1350.2380952380952</v>
      </c>
      <c r="L237" s="259" t="str">
        <f t="shared" si="197"/>
        <v>-</v>
      </c>
      <c r="M237" s="259" t="str">
        <f t="shared" si="197"/>
        <v>-</v>
      </c>
      <c r="N237" s="259" t="str">
        <f t="shared" si="197"/>
        <v>-</v>
      </c>
      <c r="O237" s="259" t="str">
        <f t="shared" si="197"/>
        <v>-</v>
      </c>
      <c r="P237" s="259" t="str">
        <f t="shared" si="197"/>
        <v>-</v>
      </c>
      <c r="Q237" s="259" t="str">
        <f t="shared" si="197"/>
        <v>-</v>
      </c>
      <c r="R237" s="259" t="str">
        <f t="shared" si="197"/>
        <v>-</v>
      </c>
      <c r="S237" s="259">
        <f t="shared" si="194"/>
        <v>254</v>
      </c>
      <c r="T237" s="259">
        <f t="shared" si="198"/>
        <v>-111</v>
      </c>
      <c r="U237" s="259">
        <f t="shared" si="198"/>
        <v>-477</v>
      </c>
      <c r="V237" s="259">
        <f t="shared" si="198"/>
        <v>-842</v>
      </c>
      <c r="W237" s="259">
        <f t="shared" si="198"/>
        <v>-1207</v>
      </c>
      <c r="X237" s="259">
        <f t="shared" si="198"/>
        <v>-1572</v>
      </c>
      <c r="Y237" s="259">
        <f t="shared" si="198"/>
        <v>-1938</v>
      </c>
      <c r="Z237" s="259">
        <f t="shared" si="198"/>
        <v>-2303</v>
      </c>
      <c r="AA237" s="267">
        <f>(VLOOKUP(A237,Hshldprojections2014!$A$2:$AW$319,40, FALSE)-VLOOKUP(A237,Hshldprojections2014!$A$2:$AW$319,30, FALSE))/10</f>
        <v>1122.9000000000001</v>
      </c>
      <c r="AB237" s="267">
        <f>(VLOOKUP(A237,Hshldprojections2014!$A$2:$AW$319,41, FALSE)-VLOOKUP(A237,Hshldprojections2014!$A$2:$AW$319,31, FALSE))/10</f>
        <v>1103</v>
      </c>
      <c r="AC237" s="267">
        <f>(VLOOKUP(A237,Hshldprojections2014!$A$2:$AW$319,42, FALSE)-VLOOKUP(A237,Hshldprojections2014!$A$2:$AW$319,32, FALSE))/10</f>
        <v>1087.8</v>
      </c>
      <c r="AD237" s="267">
        <f>IF(IndividualLATest!$J$7=2014,(VLOOKUP($A237,Hshldprojections2014!$A$2:$AY$326,43,FALSE)-VLOOKUP($A237,Hshldprojections2014!$A$2:$AY$326,33,FALSE))/10,IF(IndividualLATest!$J$7=2016,(VLOOKUP($A237,Hshldprojections2016!$A$1:$AQ$322,33,FALSE)-VLOOKUP($A237,Hshldprojections2016!$A$1:$AQ$322,23,FALSE))/10,(VLOOKUP($A237,Hshldprojections2018!$A$1:$AQ$327,33,FALSE)-VLOOKUP($A237,Hshldprojections2018!$A$1:$AQ$327,23,FALSE))/10))</f>
        <v>1280.4000000000001</v>
      </c>
      <c r="AE237" s="267">
        <f>IF(IndividualLATest!$J$7=2014,(VLOOKUP($A237,Hshldprojections2014!$A$2:$AY$326,44,FALSE)-VLOOKUP($A237,Hshldprojections2014!$A$2:$AY$326,34,FALSE))/10,IF(IndividualLATest!$J$7=2016,(VLOOKUP($A237,Hshldprojections2016!$A$1:$AQ$322,34,FALSE)-VLOOKUP($A237,Hshldprojections2016!$A$1:$AQ$322,24,FALSE))/10,(VLOOKUP($A237,Hshldprojections2018!$A$1:$AQ$327,34,FALSE)-VLOOKUP($A237,Hshldprojections2018!$A$1:$AQ$327,24,FALSE))/10))</f>
        <v>1262.9000000000001</v>
      </c>
      <c r="AF237" s="267">
        <f>IF(IndividualLATest!$J$7=2014,(VLOOKUP($A237,Hshldprojections2014!$A$2:$AY$326,45,FALSE)-VLOOKUP($A237,Hshldprojections2014!$A$2:$AY$326,35,FALSE))/10,IF(IndividualLATest!$J$7=2016,(VLOOKUP($A237,Hshldprojections2016!$A$1:$AQ$322,35,FALSE)-VLOOKUP($A237,Hshldprojections2016!$A$1:$AQ$322,25,FALSE))/10,(VLOOKUP($A237,Hshldprojections2018!$A$1:$AQ$327,35,FALSE)-VLOOKUP($A237,Hshldprojections2018!$A$1:$AQ$327,25,FALSE))/10))</f>
        <v>1251.5999999999999</v>
      </c>
      <c r="AG237" s="267">
        <f>IF(IndividualLATest!$J$7=2014,(VLOOKUP($A237,Hshldprojections2014!$A$2:$AY$326,46,FALSE)-VLOOKUP($A237,Hshldprojections2014!$A$2:$AY$326,36,FALSE))/10,IF(IndividualLATest!$J$7=2016,(VLOOKUP($A237,Hshldprojections2016!$A$1:$AQ$322,36,FALSE)-VLOOKUP($A237,Hshldprojections2016!$A$1:$AQ$322,26,FALSE))/10,(VLOOKUP($A237,Hshldprojections2018!$A$1:$AQ$327,36,FALSE)-VLOOKUP($A237,Hshldprojections2018!$A$1:$AQ$327,26,FALSE))/10))</f>
        <v>1236.3</v>
      </c>
      <c r="AH237" s="267">
        <f>IF(IndividualLATest!$J$7=2014,(VLOOKUP($A237,Hshldprojections2014!$A$2:$AY$326,47,FALSE)-VLOOKUP($A237,Hshldprojections2014!$A$2:$AY$326,37,FALSE))/10,IF(IndividualLATest!$J$7=2016,(VLOOKUP($A237,Hshldprojections2016!$A$1:$AQ$322,37,FALSE)-VLOOKUP($A237,Hshldprojections2016!$A$1:$AQ$322,27,FALSE))/10,(VLOOKUP($A237,Hshldprojections2018!$A$1:$AQ$327,37,FALSE)-VLOOKUP($A237,Hshldprojections2018!$A$1:$AQ$327,27,FALSE))/10))</f>
        <v>1227.8</v>
      </c>
      <c r="AI237" s="268">
        <f>IF(ISNUMBER('Sensitivity Tests'!$C$30),'Sensitivity Tests'!$C$30,VLOOKUP($A237,AffordabilityRatio!$A$2:$I$321,5,FALSE))</f>
        <v>8.01</v>
      </c>
      <c r="AJ237" s="268">
        <f>IF(ISNUMBER('Sensitivity Tests'!$C$30),'Sensitivity Tests'!$C$30,VLOOKUP($A237,AffordabilityRatio!$A$2:$I$321,6,FALSE))</f>
        <v>8.19</v>
      </c>
      <c r="AK237" s="268">
        <f>IF(ISNUMBER('Sensitivity Tests'!$C$30),'Sensitivity Tests'!$C$30,VLOOKUP($A237,AffordabilityRatio!$A$2:$I$321,7,FALSE))</f>
        <v>8.75</v>
      </c>
      <c r="AL237" s="268">
        <f>IF(ISNUMBER('Sensitivity Tests'!$C$30),'Sensitivity Tests'!$C$30,IF((VLOOKUP($A237,AffordabilityRatio!$A$2:$I$321,8,FALSE))="",AK237,VLOOKUP($A237,AffordabilityRatio!$A$2:$I$321,8,FALSE)))</f>
        <v>8.18</v>
      </c>
      <c r="AM237" s="268">
        <f>IF(ISNUMBER('Sensitivity Tests'!$C$30),'Sensitivity Tests'!$C$30,IF((VLOOKUP($A237,AffordabilityRatio!$A$2:$I$321,9,FALSE))="",AL237,VLOOKUP($A237,AffordabilityRatio!$A$2:$I$321,9,FALSE)))</f>
        <v>8.82</v>
      </c>
      <c r="AN237" s="268">
        <f>IF(ISNUMBER('Sensitivity Tests'!$C$30),'Sensitivity Tests'!$C$30,IF((VLOOKUP($A237,AffordabilityRatio!$A$2:$I$321,9,FALSE))="",AM237,VLOOKUP($A237,AffordabilityRatio!$A$2:$I$321,9,FALSE)))</f>
        <v>8.82</v>
      </c>
      <c r="AO237" s="268">
        <f>IF(ISNUMBER('Sensitivity Tests'!$C$30),'Sensitivity Tests'!$C$30,IF((VLOOKUP($A237,AffordabilityRatio!$A$2:$I$321,9,FALSE))="",AN237,VLOOKUP($A237,AffordabilityRatio!$A$2:$I$321,9,FALSE)))</f>
        <v>8.82</v>
      </c>
      <c r="AP237" s="268">
        <f>IF(ISNUMBER('Sensitivity Tests'!$C$30),'Sensitivity Tests'!$C$30,IF((VLOOKUP($A237,AffordabilityRatio!$A$2:$I$321,9,FALSE))="",AO237,VLOOKUP($A237,AffordabilityRatio!$A$2:$I$321,9,FALSE)))</f>
        <v>8.82</v>
      </c>
      <c r="AQ237" s="267">
        <f t="shared" si="199"/>
        <v>1404</v>
      </c>
      <c r="AR237" s="267">
        <f t="shared" si="199"/>
        <v>1392</v>
      </c>
      <c r="AS237" s="267">
        <f t="shared" si="199"/>
        <v>1411</v>
      </c>
      <c r="AT237" s="267">
        <f t="shared" si="199"/>
        <v>1615</v>
      </c>
      <c r="AU237" s="267">
        <f t="shared" si="199"/>
        <v>1643</v>
      </c>
      <c r="AV237" s="267">
        <f t="shared" si="151"/>
        <v>1629</v>
      </c>
      <c r="AW237" s="267">
        <f t="shared" si="151"/>
        <v>1609</v>
      </c>
      <c r="AX237" s="267">
        <f t="shared" si="151"/>
        <v>1598</v>
      </c>
      <c r="AY237" s="267">
        <f t="shared" si="171"/>
        <v>1404</v>
      </c>
      <c r="AZ237" s="267">
        <f t="shared" si="172"/>
        <v>1392</v>
      </c>
      <c r="BA237" s="267">
        <f t="shared" si="173"/>
        <v>1411</v>
      </c>
      <c r="BB237" s="267">
        <f t="shared" si="174"/>
        <v>1615</v>
      </c>
      <c r="BC237" s="267">
        <f t="shared" si="175"/>
        <v>1643</v>
      </c>
      <c r="BD237" s="267">
        <f t="shared" si="176"/>
        <v>1629</v>
      </c>
      <c r="BE237" s="267">
        <f t="shared" si="177"/>
        <v>1609</v>
      </c>
      <c r="BF237" s="267">
        <f t="shared" si="178"/>
        <v>1598</v>
      </c>
      <c r="BG237" s="269">
        <f>AY237*VLOOKUP($B237,'Major Cities &amp; Towns'!$A$28:$B$345,2,FALSE)</f>
        <v>1404</v>
      </c>
      <c r="BH237" s="269">
        <f>AZ237*VLOOKUP($B237,'Major Cities &amp; Towns'!$A$28:$B$345,2,FALSE)</f>
        <v>1392</v>
      </c>
      <c r="BI237" s="269">
        <f>BA237*VLOOKUP($B237,'Major Cities &amp; Towns'!$A$28:$B$345,2,FALSE)</f>
        <v>1411</v>
      </c>
      <c r="BJ237" s="269">
        <f>BB237*VLOOKUP($B237,'Major Cities &amp; Towns'!$A$28:$B$345,2,FALSE)</f>
        <v>1615</v>
      </c>
      <c r="BK237" s="269">
        <f>BC237*VLOOKUP($B237,'Major Cities &amp; Towns'!$A$28:$B$345,2,FALSE)</f>
        <v>1643</v>
      </c>
      <c r="BL237" s="269">
        <f>BD237*VLOOKUP($B237,'Major Cities &amp; Towns'!$A$28:$B$345,2,FALSE)</f>
        <v>1629</v>
      </c>
      <c r="BM237" s="269">
        <f>BE237*VLOOKUP($B237,'Major Cities &amp; Towns'!$A$28:$B$345,2,FALSE)</f>
        <v>1609</v>
      </c>
      <c r="BN237" s="269">
        <f>BF237*VLOOKUP($B237,'Major Cities &amp; Towns'!$A$28:$B$345,2,FALSE)</f>
        <v>1598</v>
      </c>
      <c r="BO237" s="270">
        <f>IFERROR(IF(AND(S237&lt;365,S237&gt;0),SUM(((S237/365)*(MIN(K237,BG237)))+(((365-S237)/365)*AQ237)),(MIN(K237,AQ237))),AQ237)</f>
        <v>1366.5876060013047</v>
      </c>
      <c r="BP237" s="270">
        <f t="shared" si="195"/>
        <v>1392</v>
      </c>
      <c r="BQ237" s="270">
        <f t="shared" si="195"/>
        <v>1411</v>
      </c>
      <c r="BR237" s="270">
        <f t="shared" si="195"/>
        <v>1615</v>
      </c>
      <c r="BS237" s="270">
        <f t="shared" si="195"/>
        <v>1643</v>
      </c>
      <c r="BT237" s="270">
        <f t="shared" si="195"/>
        <v>1629</v>
      </c>
      <c r="BU237" s="270">
        <f t="shared" si="195"/>
        <v>1609</v>
      </c>
      <c r="BV237" s="270">
        <f t="shared" si="195"/>
        <v>1598</v>
      </c>
      <c r="BW237" s="39">
        <f>VLOOKUP($A237,NetAdditions!$A$2:$H$336,6,FALSE)</f>
        <v>1573</v>
      </c>
      <c r="BX237" s="39">
        <f>VLOOKUP($A237,NetAdditions!$A$2:$H$336,7,FALSE)</f>
        <v>1514</v>
      </c>
      <c r="BY237" s="39">
        <f>IF((VLOOKUP($C237,NetAdditions!$A$2:$H$336,8,FALSE))="",(AVERAGE(VLOOKUP($C237,NetAdditions!$A$2:$H$336,5,FALSE),VLOOKUP($C237,NetAdditions!$A$2:$H$336,6,FALSE),VLOOKUP($C237,NetAdditions!$A$2:$H$336,7,FALSE))),VLOOKUP($C237,NetAdditions!$A$2:$H$336,8,FALSE))</f>
        <v>1641</v>
      </c>
      <c r="BZ237" s="39">
        <f t="shared" si="196"/>
        <v>1576</v>
      </c>
      <c r="CA237" s="39">
        <f t="shared" si="196"/>
        <v>1577</v>
      </c>
      <c r="CB237" s="39">
        <f t="shared" si="196"/>
        <v>1598</v>
      </c>
      <c r="CC237" s="39">
        <f t="shared" si="196"/>
        <v>1583.6666666666667</v>
      </c>
      <c r="CD237" s="39">
        <f t="shared" si="196"/>
        <v>1586.2222222222224</v>
      </c>
      <c r="CE237" s="276">
        <f t="shared" si="155"/>
        <v>4169.5876060013052</v>
      </c>
      <c r="CF237" s="276">
        <f t="shared" si="156"/>
        <v>4418</v>
      </c>
      <c r="CG237" s="276">
        <f t="shared" si="157"/>
        <v>4669</v>
      </c>
      <c r="CH237" s="276">
        <f t="shared" si="158"/>
        <v>4887</v>
      </c>
      <c r="CI237" s="276">
        <f t="shared" si="159"/>
        <v>4881</v>
      </c>
      <c r="CJ237" s="276">
        <f t="shared" si="160"/>
        <v>4836</v>
      </c>
      <c r="CK237" s="276">
        <f t="shared" si="180"/>
        <v>3590.478216278902</v>
      </c>
      <c r="CL237" s="276">
        <f t="shared" si="181"/>
        <v>3804.3888888888891</v>
      </c>
      <c r="CM237" s="276">
        <f t="shared" si="182"/>
        <v>4279.9166666666661</v>
      </c>
      <c r="CN237" s="276">
        <f t="shared" si="183"/>
        <v>4887</v>
      </c>
      <c r="CO237" s="276">
        <f t="shared" si="183"/>
        <v>4881</v>
      </c>
      <c r="CP237" s="276">
        <f t="shared" si="183"/>
        <v>4836</v>
      </c>
      <c r="CQ237" s="39">
        <f t="shared" si="161"/>
        <v>4728</v>
      </c>
      <c r="CR237" s="39">
        <f t="shared" si="162"/>
        <v>4731</v>
      </c>
      <c r="CS237" s="277">
        <f t="shared" si="163"/>
        <v>4794</v>
      </c>
      <c r="CT237" s="39">
        <f t="shared" si="164"/>
        <v>4751</v>
      </c>
      <c r="CU237" s="39">
        <f t="shared" si="165"/>
        <v>4758.666666666667</v>
      </c>
      <c r="CV237" s="39">
        <f t="shared" si="166"/>
        <v>4767.8888888888896</v>
      </c>
      <c r="CW237" s="297">
        <f t="shared" si="167"/>
        <v>1.3168162331590476</v>
      </c>
      <c r="CX237" s="279" t="str">
        <f t="shared" si="184"/>
        <v>Pass</v>
      </c>
      <c r="CY237" s="278">
        <f t="shared" si="168"/>
        <v>1.2435637202646066</v>
      </c>
      <c r="CZ237" s="279" t="str">
        <f t="shared" si="185"/>
        <v>Pass</v>
      </c>
      <c r="DA237" s="278">
        <f t="shared" si="169"/>
        <v>1.120115267041804</v>
      </c>
      <c r="DB237" s="292" t="str">
        <f t="shared" si="186"/>
        <v>Pass</v>
      </c>
      <c r="DC237" s="299">
        <f t="shared" si="187"/>
        <v>0.97217106609371806</v>
      </c>
      <c r="DD237" s="293" t="str">
        <f t="shared" si="188"/>
        <v>Pass</v>
      </c>
      <c r="DE237" s="299">
        <f t="shared" si="189"/>
        <v>0.97493682988458652</v>
      </c>
      <c r="DF237" s="293" t="str">
        <f t="shared" si="190"/>
        <v>Pass</v>
      </c>
      <c r="DG237" s="299">
        <f t="shared" si="191"/>
        <v>0.98591581656097804</v>
      </c>
      <c r="DH237" s="293" t="str">
        <f t="shared" si="192"/>
        <v>Pass</v>
      </c>
    </row>
    <row r="238" spans="1:112" ht="15" thickTop="1" thickBot="1">
      <c r="A238" s="38" t="s">
        <v>586</v>
      </c>
      <c r="B238" s="38" t="s">
        <v>587</v>
      </c>
      <c r="C238" s="38" t="s">
        <v>586</v>
      </c>
      <c r="D238" s="38" t="s">
        <v>147</v>
      </c>
      <c r="E238" s="38" t="str">
        <f>VLOOKUP(C238,PoliticalControl!A:K,11,FALSE)</f>
        <v>CON</v>
      </c>
      <c r="F238" s="38" t="str">
        <f>VLOOKUP(C238,UrbanRuralClassification!A:N,13,FALSE)</f>
        <v xml:space="preserve">Mainly Rural (rural including hub towns &gt;=80%) </v>
      </c>
      <c r="G238" s="38" t="str">
        <f>VLOOKUP(C238,UrbanRuralClassification!A:N,14,FALSE)</f>
        <v>Predominantly Rural</v>
      </c>
      <c r="H238" s="258">
        <f>IF(ISBLANK((VLOOKUP($A238,'local-plan-data'!$C$1:$AD$566,27,FALSE)))=TRUE,"",VLOOKUP($A238,'local-plan-data'!$C$1:$AD$566,27,FALSE))</f>
        <v>43550</v>
      </c>
      <c r="I238" s="259">
        <f>VLOOKUP($A238,'local-plan-data'!$C$1:$AD$566,28,FALSE)</f>
        <v>1335</v>
      </c>
      <c r="J238" s="260">
        <f t="shared" si="170"/>
        <v>1335</v>
      </c>
      <c r="K238" s="259">
        <f t="shared" si="193"/>
        <v>1335</v>
      </c>
      <c r="L238" s="259">
        <f t="shared" si="197"/>
        <v>1335</v>
      </c>
      <c r="M238" s="259">
        <f t="shared" si="197"/>
        <v>1335</v>
      </c>
      <c r="N238" s="259">
        <f t="shared" si="197"/>
        <v>1335</v>
      </c>
      <c r="O238" s="259">
        <f t="shared" si="197"/>
        <v>1335</v>
      </c>
      <c r="P238" s="259">
        <f t="shared" si="197"/>
        <v>1335</v>
      </c>
      <c r="Q238" s="259" t="str">
        <f t="shared" si="197"/>
        <v>-</v>
      </c>
      <c r="R238" s="259" t="str">
        <f t="shared" si="197"/>
        <v>-</v>
      </c>
      <c r="S238" s="259">
        <f t="shared" si="194"/>
        <v>2186</v>
      </c>
      <c r="T238" s="259">
        <f t="shared" si="198"/>
        <v>1821</v>
      </c>
      <c r="U238" s="259">
        <f t="shared" si="198"/>
        <v>1455</v>
      </c>
      <c r="V238" s="259">
        <f t="shared" si="198"/>
        <v>1090</v>
      </c>
      <c r="W238" s="259">
        <f t="shared" si="198"/>
        <v>725</v>
      </c>
      <c r="X238" s="259">
        <f t="shared" si="198"/>
        <v>360</v>
      </c>
      <c r="Y238" s="259">
        <f t="shared" si="198"/>
        <v>-6</v>
      </c>
      <c r="Z238" s="259">
        <f t="shared" si="198"/>
        <v>-371</v>
      </c>
      <c r="AA238" s="267">
        <f>(VLOOKUP(A238,Hshldprojections2014!$A$2:$AW$319,40, FALSE)-VLOOKUP(A238,Hshldprojections2014!$A$2:$AW$319,30, FALSE))/10</f>
        <v>242.3</v>
      </c>
      <c r="AB238" s="267">
        <f>(VLOOKUP(A238,Hshldprojections2014!$A$2:$AW$319,41, FALSE)-VLOOKUP(A238,Hshldprojections2014!$A$2:$AW$319,31, FALSE))/10</f>
        <v>241.1</v>
      </c>
      <c r="AC238" s="267">
        <f>(VLOOKUP(A238,Hshldprojections2014!$A$2:$AW$319,42, FALSE)-VLOOKUP(A238,Hshldprojections2014!$A$2:$AW$319,32, FALSE))/10</f>
        <v>240.2</v>
      </c>
      <c r="AD238" s="267">
        <f>IF(IndividualLATest!$J$7=2014,(VLOOKUP($A238,Hshldprojections2014!$A$2:$AY$326,43,FALSE)-VLOOKUP($A238,Hshldprojections2014!$A$2:$AY$326,33,FALSE))/10,IF(IndividualLATest!$J$7=2016,(VLOOKUP($A238,Hshldprojections2016!$A$1:$AQ$322,33,FALSE)-VLOOKUP($A238,Hshldprojections2016!$A$1:$AQ$322,23,FALSE))/10,(VLOOKUP($A238,Hshldprojections2018!$A$1:$AQ$327,33,FALSE)-VLOOKUP($A238,Hshldprojections2018!$A$1:$AQ$327,23,FALSE))/10))</f>
        <v>389.5</v>
      </c>
      <c r="AE238" s="267">
        <f>IF(IndividualLATest!$J$7=2014,(VLOOKUP($A238,Hshldprojections2014!$A$2:$AY$326,44,FALSE)-VLOOKUP($A238,Hshldprojections2014!$A$2:$AY$326,34,FALSE))/10,IF(IndividualLATest!$J$7=2016,(VLOOKUP($A238,Hshldprojections2016!$A$1:$AQ$322,34,FALSE)-VLOOKUP($A238,Hshldprojections2016!$A$1:$AQ$322,24,FALSE))/10,(VLOOKUP($A238,Hshldprojections2018!$A$1:$AQ$327,34,FALSE)-VLOOKUP($A238,Hshldprojections2018!$A$1:$AQ$327,24,FALSE))/10))</f>
        <v>376.7</v>
      </c>
      <c r="AF238" s="267">
        <f>IF(IndividualLATest!$J$7=2014,(VLOOKUP($A238,Hshldprojections2014!$A$2:$AY$326,45,FALSE)-VLOOKUP($A238,Hshldprojections2014!$A$2:$AY$326,35,FALSE))/10,IF(IndividualLATest!$J$7=2016,(VLOOKUP($A238,Hshldprojections2016!$A$1:$AQ$322,35,FALSE)-VLOOKUP($A238,Hshldprojections2016!$A$1:$AQ$322,25,FALSE))/10,(VLOOKUP($A238,Hshldprojections2018!$A$1:$AQ$327,35,FALSE)-VLOOKUP($A238,Hshldprojections2018!$A$1:$AQ$327,25,FALSE))/10))</f>
        <v>364.4</v>
      </c>
      <c r="AG238" s="267">
        <f>IF(IndividualLATest!$J$7=2014,(VLOOKUP($A238,Hshldprojections2014!$A$2:$AY$326,46,FALSE)-VLOOKUP($A238,Hshldprojections2014!$A$2:$AY$326,36,FALSE))/10,IF(IndividualLATest!$J$7=2016,(VLOOKUP($A238,Hshldprojections2016!$A$1:$AQ$322,36,FALSE)-VLOOKUP($A238,Hshldprojections2016!$A$1:$AQ$322,26,FALSE))/10,(VLOOKUP($A238,Hshldprojections2018!$A$1:$AQ$327,36,FALSE)-VLOOKUP($A238,Hshldprojections2018!$A$1:$AQ$327,26,FALSE))/10))</f>
        <v>351</v>
      </c>
      <c r="AH238" s="267">
        <f>IF(IndividualLATest!$J$7=2014,(VLOOKUP($A238,Hshldprojections2014!$A$2:$AY$326,47,FALSE)-VLOOKUP($A238,Hshldprojections2014!$A$2:$AY$326,37,FALSE))/10,IF(IndividualLATest!$J$7=2016,(VLOOKUP($A238,Hshldprojections2016!$A$1:$AQ$322,37,FALSE)-VLOOKUP($A238,Hshldprojections2016!$A$1:$AQ$322,27,FALSE))/10,(VLOOKUP($A238,Hshldprojections2018!$A$1:$AQ$327,37,FALSE)-VLOOKUP($A238,Hshldprojections2018!$A$1:$AQ$327,27,FALSE))/10))</f>
        <v>339.2</v>
      </c>
      <c r="AI238" s="268">
        <f>IF(ISNUMBER('Sensitivity Tests'!$C$30),'Sensitivity Tests'!$C$30,VLOOKUP($A238,AffordabilityRatio!$A$2:$I$321,5,FALSE))</f>
        <v>11.88</v>
      </c>
      <c r="AJ238" s="268">
        <f>IF(ISNUMBER('Sensitivity Tests'!$C$30),'Sensitivity Tests'!$C$30,VLOOKUP($A238,AffordabilityRatio!$A$2:$I$321,6,FALSE))</f>
        <v>11.71</v>
      </c>
      <c r="AK238" s="268">
        <f>IF(ISNUMBER('Sensitivity Tests'!$C$30),'Sensitivity Tests'!$C$30,VLOOKUP($A238,AffordabilityRatio!$A$2:$I$321,7,FALSE))</f>
        <v>11.8</v>
      </c>
      <c r="AL238" s="268">
        <f>IF(ISNUMBER('Sensitivity Tests'!$C$30),'Sensitivity Tests'!$C$30,IF((VLOOKUP($A238,AffordabilityRatio!$A$2:$I$321,8,FALSE))="",AK238,VLOOKUP($A238,AffordabilityRatio!$A$2:$I$321,8,FALSE)))</f>
        <v>11.58</v>
      </c>
      <c r="AM238" s="268">
        <f>IF(ISNUMBER('Sensitivity Tests'!$C$30),'Sensitivity Tests'!$C$30,IF((VLOOKUP($A238,AffordabilityRatio!$A$2:$I$321,9,FALSE))="",AL238,VLOOKUP($A238,AffordabilityRatio!$A$2:$I$321,9,FALSE)))</f>
        <v>12.56</v>
      </c>
      <c r="AN238" s="268">
        <f>IF(ISNUMBER('Sensitivity Tests'!$C$30),'Sensitivity Tests'!$C$30,IF((VLOOKUP($A238,AffordabilityRatio!$A$2:$I$321,9,FALSE))="",AM238,VLOOKUP($A238,AffordabilityRatio!$A$2:$I$321,9,FALSE)))</f>
        <v>12.56</v>
      </c>
      <c r="AO238" s="268">
        <f>IF(ISNUMBER('Sensitivity Tests'!$C$30),'Sensitivity Tests'!$C$30,IF((VLOOKUP($A238,AffordabilityRatio!$A$2:$I$321,9,FALSE))="",AN238,VLOOKUP($A238,AffordabilityRatio!$A$2:$I$321,9,FALSE)))</f>
        <v>12.56</v>
      </c>
      <c r="AP238" s="268">
        <f>IF(ISNUMBER('Sensitivity Tests'!$C$30),'Sensitivity Tests'!$C$30,IF((VLOOKUP($A238,AffordabilityRatio!$A$2:$I$321,9,FALSE))="",AO238,VLOOKUP($A238,AffordabilityRatio!$A$2:$I$321,9,FALSE)))</f>
        <v>12.56</v>
      </c>
      <c r="AQ238" s="267">
        <f t="shared" si="199"/>
        <v>362</v>
      </c>
      <c r="AR238" s="267">
        <f t="shared" si="199"/>
        <v>357</v>
      </c>
      <c r="AS238" s="267">
        <f t="shared" si="199"/>
        <v>357</v>
      </c>
      <c r="AT238" s="267">
        <f t="shared" si="199"/>
        <v>574</v>
      </c>
      <c r="AU238" s="267">
        <f t="shared" si="199"/>
        <v>578</v>
      </c>
      <c r="AV238" s="267">
        <f t="shared" si="151"/>
        <v>559</v>
      </c>
      <c r="AW238" s="267">
        <f t="shared" si="151"/>
        <v>539</v>
      </c>
      <c r="AX238" s="267">
        <f t="shared" si="151"/>
        <v>521</v>
      </c>
      <c r="AY238" s="267">
        <f t="shared" si="171"/>
        <v>362</v>
      </c>
      <c r="AZ238" s="267">
        <f t="shared" si="172"/>
        <v>357</v>
      </c>
      <c r="BA238" s="267">
        <f t="shared" si="173"/>
        <v>357</v>
      </c>
      <c r="BB238" s="267">
        <f t="shared" si="174"/>
        <v>574</v>
      </c>
      <c r="BC238" s="267">
        <f t="shared" si="175"/>
        <v>578</v>
      </c>
      <c r="BD238" s="267">
        <f t="shared" si="176"/>
        <v>559</v>
      </c>
      <c r="BE238" s="267">
        <f t="shared" si="177"/>
        <v>539</v>
      </c>
      <c r="BF238" s="267">
        <f t="shared" si="178"/>
        <v>521</v>
      </c>
      <c r="BG238" s="269">
        <f>AY238*VLOOKUP($B238,'Major Cities &amp; Towns'!$A$28:$B$345,2,FALSE)</f>
        <v>362</v>
      </c>
      <c r="BH238" s="269">
        <f>AZ238*VLOOKUP($B238,'Major Cities &amp; Towns'!$A$28:$B$345,2,FALSE)</f>
        <v>357</v>
      </c>
      <c r="BI238" s="269">
        <f>BA238*VLOOKUP($B238,'Major Cities &amp; Towns'!$A$28:$B$345,2,FALSE)</f>
        <v>357</v>
      </c>
      <c r="BJ238" s="269">
        <f>BB238*VLOOKUP($B238,'Major Cities &amp; Towns'!$A$28:$B$345,2,FALSE)</f>
        <v>574</v>
      </c>
      <c r="BK238" s="269">
        <f>BC238*VLOOKUP($B238,'Major Cities &amp; Towns'!$A$28:$B$345,2,FALSE)</f>
        <v>578</v>
      </c>
      <c r="BL238" s="269">
        <f>BD238*VLOOKUP($B238,'Major Cities &amp; Towns'!$A$28:$B$345,2,FALSE)</f>
        <v>559</v>
      </c>
      <c r="BM238" s="269">
        <f>BE238*VLOOKUP($B238,'Major Cities &amp; Towns'!$A$28:$B$345,2,FALSE)</f>
        <v>539</v>
      </c>
      <c r="BN238" s="269">
        <f>BF238*VLOOKUP($B238,'Major Cities &amp; Towns'!$A$28:$B$345,2,FALSE)</f>
        <v>521</v>
      </c>
      <c r="BO238" s="270">
        <f t="shared" si="179"/>
        <v>362</v>
      </c>
      <c r="BP238" s="270">
        <f t="shared" si="195"/>
        <v>357</v>
      </c>
      <c r="BQ238" s="270">
        <f t="shared" si="195"/>
        <v>357</v>
      </c>
      <c r="BR238" s="270">
        <f t="shared" si="195"/>
        <v>574</v>
      </c>
      <c r="BS238" s="270">
        <f t="shared" si="195"/>
        <v>578</v>
      </c>
      <c r="BT238" s="270">
        <f t="shared" si="195"/>
        <v>559</v>
      </c>
      <c r="BU238" s="270">
        <f t="shared" si="195"/>
        <v>539</v>
      </c>
      <c r="BV238" s="270">
        <f t="shared" si="195"/>
        <v>521</v>
      </c>
      <c r="BW238" s="39">
        <f>VLOOKUP($A238,NetAdditions!$A$2:$H$336,6,FALSE)</f>
        <v>471</v>
      </c>
      <c r="BX238" s="39">
        <f>VLOOKUP($A238,NetAdditions!$A$2:$H$336,7,FALSE)</f>
        <v>506</v>
      </c>
      <c r="BY238" s="39">
        <f>IF((VLOOKUP($C238,NetAdditions!$A$2:$H$336,8,FALSE))="",(AVERAGE(VLOOKUP($C238,NetAdditions!$A$2:$H$336,5,FALSE),VLOOKUP($C238,NetAdditions!$A$2:$H$336,6,FALSE),VLOOKUP($C238,NetAdditions!$A$2:$H$336,7,FALSE))),VLOOKUP($C238,NetAdditions!$A$2:$H$336,8,FALSE))</f>
        <v>545</v>
      </c>
      <c r="BZ238" s="39">
        <f t="shared" si="196"/>
        <v>507.33333333333331</v>
      </c>
      <c r="CA238" s="39">
        <f t="shared" si="196"/>
        <v>519.44444444444446</v>
      </c>
      <c r="CB238" s="39">
        <f t="shared" si="196"/>
        <v>523.92592592592598</v>
      </c>
      <c r="CC238" s="39">
        <f t="shared" si="196"/>
        <v>516.90123456790127</v>
      </c>
      <c r="CD238" s="39">
        <f t="shared" si="196"/>
        <v>520.09053497942386</v>
      </c>
      <c r="CE238" s="276">
        <f t="shared" si="155"/>
        <v>1076</v>
      </c>
      <c r="CF238" s="276">
        <f t="shared" si="156"/>
        <v>1288</v>
      </c>
      <c r="CG238" s="276">
        <f t="shared" si="157"/>
        <v>1509</v>
      </c>
      <c r="CH238" s="276">
        <f t="shared" si="158"/>
        <v>1711</v>
      </c>
      <c r="CI238" s="276">
        <f t="shared" si="159"/>
        <v>1676</v>
      </c>
      <c r="CJ238" s="276">
        <f t="shared" si="160"/>
        <v>1619</v>
      </c>
      <c r="CK238" s="276">
        <f t="shared" si="180"/>
        <v>926.55555555555566</v>
      </c>
      <c r="CL238" s="276">
        <f t="shared" si="181"/>
        <v>1109.1111111111111</v>
      </c>
      <c r="CM238" s="276">
        <f t="shared" si="182"/>
        <v>1383.25</v>
      </c>
      <c r="CN238" s="276">
        <f t="shared" si="183"/>
        <v>1711</v>
      </c>
      <c r="CO238" s="276">
        <f t="shared" si="183"/>
        <v>1676</v>
      </c>
      <c r="CP238" s="276">
        <f t="shared" si="183"/>
        <v>1619</v>
      </c>
      <c r="CQ238" s="39">
        <f t="shared" si="161"/>
        <v>1522</v>
      </c>
      <c r="CR238" s="39">
        <f t="shared" si="162"/>
        <v>1558.3333333333333</v>
      </c>
      <c r="CS238" s="277">
        <f t="shared" si="163"/>
        <v>1571.7777777777778</v>
      </c>
      <c r="CT238" s="39">
        <f t="shared" si="164"/>
        <v>1550.7037037037039</v>
      </c>
      <c r="CU238" s="39">
        <f t="shared" si="165"/>
        <v>1560.2716049382716</v>
      </c>
      <c r="CV238" s="39">
        <f t="shared" si="166"/>
        <v>1560.9176954732511</v>
      </c>
      <c r="CW238" s="297">
        <f t="shared" si="167"/>
        <v>1.6426430027581242</v>
      </c>
      <c r="CX238" s="279" t="str">
        <f t="shared" si="184"/>
        <v>Pass</v>
      </c>
      <c r="CY238" s="278">
        <f t="shared" si="168"/>
        <v>1.4050290522941293</v>
      </c>
      <c r="CZ238" s="279" t="str">
        <f t="shared" si="185"/>
        <v>Pass</v>
      </c>
      <c r="DA238" s="278">
        <f t="shared" si="169"/>
        <v>1.1362933510050806</v>
      </c>
      <c r="DB238" s="292" t="str">
        <f t="shared" si="186"/>
        <v>Pass</v>
      </c>
      <c r="DC238" s="299">
        <f t="shared" si="187"/>
        <v>0.90631426283091987</v>
      </c>
      <c r="DD238" s="293" t="str">
        <f t="shared" si="188"/>
        <v>Action Plan</v>
      </c>
      <c r="DE238" s="299">
        <f t="shared" si="189"/>
        <v>0.930949644951236</v>
      </c>
      <c r="DF238" s="293" t="str">
        <f t="shared" si="190"/>
        <v>Action Plan</v>
      </c>
      <c r="DG238" s="299">
        <f t="shared" si="191"/>
        <v>0.9641245802799574</v>
      </c>
      <c r="DH238" s="293" t="str">
        <f t="shared" si="192"/>
        <v>Pass</v>
      </c>
    </row>
    <row r="239" spans="1:112" ht="15" thickTop="1" thickBot="1">
      <c r="A239" s="38" t="s">
        <v>588</v>
      </c>
      <c r="B239" s="38" t="s">
        <v>589</v>
      </c>
      <c r="C239" s="38" t="s">
        <v>588</v>
      </c>
      <c r="D239" s="38" t="s">
        <v>119</v>
      </c>
      <c r="E239" s="38" t="str">
        <f>VLOOKUP(C239,PoliticalControl!A:K,11,FALSE)</f>
        <v>CON</v>
      </c>
      <c r="F239" s="38" t="str">
        <f>VLOOKUP(C239,UrbanRuralClassification!A:N,13,FALSE)</f>
        <v xml:space="preserve">Largely Rural (rural including hub towns 50-79%) </v>
      </c>
      <c r="G239" s="38" t="str">
        <f>VLOOKUP(C239,UrbanRuralClassification!A:N,14,FALSE)</f>
        <v>Predominantly Rural</v>
      </c>
      <c r="H239" s="258">
        <f>IF(ISBLANK((VLOOKUP($A239,'local-plan-data'!$C$1:$AD$566,27,FALSE)))=TRUE,"",VLOOKUP($A239,'local-plan-data'!$C$1:$AD$566,27,FALSE))</f>
        <v>43532</v>
      </c>
      <c r="I239" s="259">
        <f>VLOOKUP($A239,'local-plan-data'!$C$1:$AD$566,28,FALSE)</f>
        <v>467.24</v>
      </c>
      <c r="J239" s="260">
        <f t="shared" si="170"/>
        <v>467.24</v>
      </c>
      <c r="K239" s="259">
        <f t="shared" si="193"/>
        <v>467.24</v>
      </c>
      <c r="L239" s="259">
        <f t="shared" si="197"/>
        <v>467.24</v>
      </c>
      <c r="M239" s="259">
        <f t="shared" si="197"/>
        <v>467.24</v>
      </c>
      <c r="N239" s="259">
        <f t="shared" si="197"/>
        <v>467.24</v>
      </c>
      <c r="O239" s="259">
        <f t="shared" si="197"/>
        <v>467.24</v>
      </c>
      <c r="P239" s="259">
        <f t="shared" si="197"/>
        <v>467.24</v>
      </c>
      <c r="Q239" s="259" t="str">
        <f t="shared" si="197"/>
        <v>-</v>
      </c>
      <c r="R239" s="259" t="str">
        <f t="shared" si="197"/>
        <v>-</v>
      </c>
      <c r="S239" s="259">
        <f t="shared" si="194"/>
        <v>2168</v>
      </c>
      <c r="T239" s="259">
        <f t="shared" si="198"/>
        <v>1803</v>
      </c>
      <c r="U239" s="259">
        <f t="shared" si="198"/>
        <v>1437</v>
      </c>
      <c r="V239" s="259">
        <f t="shared" si="198"/>
        <v>1072</v>
      </c>
      <c r="W239" s="259">
        <f t="shared" si="198"/>
        <v>707</v>
      </c>
      <c r="X239" s="259">
        <f t="shared" si="198"/>
        <v>342</v>
      </c>
      <c r="Y239" s="259">
        <f t="shared" si="198"/>
        <v>-24</v>
      </c>
      <c r="Z239" s="259">
        <f t="shared" si="198"/>
        <v>-389</v>
      </c>
      <c r="AA239" s="267">
        <f>(VLOOKUP(A239,Hshldprojections2014!$A$2:$AW$319,40, FALSE)-VLOOKUP(A239,Hshldprojections2014!$A$2:$AW$319,30, FALSE))/10</f>
        <v>348.3</v>
      </c>
      <c r="AB239" s="267">
        <f>(VLOOKUP(A239,Hshldprojections2014!$A$2:$AW$319,41, FALSE)-VLOOKUP(A239,Hshldprojections2014!$A$2:$AW$319,31, FALSE))/10</f>
        <v>346.4</v>
      </c>
      <c r="AC239" s="267">
        <f>(VLOOKUP(A239,Hshldprojections2014!$A$2:$AW$319,42, FALSE)-VLOOKUP(A239,Hshldprojections2014!$A$2:$AW$319,32, FALSE))/10</f>
        <v>344.7</v>
      </c>
      <c r="AD239" s="267">
        <f>IF(IndividualLATest!$J$7=2014,(VLOOKUP($A239,Hshldprojections2014!$A$2:$AY$326,43,FALSE)-VLOOKUP($A239,Hshldprojections2014!$A$2:$AY$326,33,FALSE))/10,IF(IndividualLATest!$J$7=2016,(VLOOKUP($A239,Hshldprojections2016!$A$1:$AQ$322,33,FALSE)-VLOOKUP($A239,Hshldprojections2016!$A$1:$AQ$322,23,FALSE))/10,(VLOOKUP($A239,Hshldprojections2018!$A$1:$AQ$327,33,FALSE)-VLOOKUP($A239,Hshldprojections2018!$A$1:$AQ$327,23,FALSE))/10))</f>
        <v>377.8</v>
      </c>
      <c r="AE239" s="267">
        <f>IF(IndividualLATest!$J$7=2014,(VLOOKUP($A239,Hshldprojections2014!$A$2:$AY$326,44,FALSE)-VLOOKUP($A239,Hshldprojections2014!$A$2:$AY$326,34,FALSE))/10,IF(IndividualLATest!$J$7=2016,(VLOOKUP($A239,Hshldprojections2016!$A$1:$AQ$322,34,FALSE)-VLOOKUP($A239,Hshldprojections2016!$A$1:$AQ$322,24,FALSE))/10,(VLOOKUP($A239,Hshldprojections2018!$A$1:$AQ$327,34,FALSE)-VLOOKUP($A239,Hshldprojections2018!$A$1:$AQ$327,24,FALSE))/10))</f>
        <v>372.1</v>
      </c>
      <c r="AF239" s="267">
        <f>IF(IndividualLATest!$J$7=2014,(VLOOKUP($A239,Hshldprojections2014!$A$2:$AY$326,45,FALSE)-VLOOKUP($A239,Hshldprojections2014!$A$2:$AY$326,35,FALSE))/10,IF(IndividualLATest!$J$7=2016,(VLOOKUP($A239,Hshldprojections2016!$A$1:$AQ$322,35,FALSE)-VLOOKUP($A239,Hshldprojections2016!$A$1:$AQ$322,25,FALSE))/10,(VLOOKUP($A239,Hshldprojections2018!$A$1:$AQ$327,35,FALSE)-VLOOKUP($A239,Hshldprojections2018!$A$1:$AQ$327,25,FALSE))/10))</f>
        <v>366.4</v>
      </c>
      <c r="AG239" s="267">
        <f>IF(IndividualLATest!$J$7=2014,(VLOOKUP($A239,Hshldprojections2014!$A$2:$AY$326,46,FALSE)-VLOOKUP($A239,Hshldprojections2014!$A$2:$AY$326,36,FALSE))/10,IF(IndividualLATest!$J$7=2016,(VLOOKUP($A239,Hshldprojections2016!$A$1:$AQ$322,36,FALSE)-VLOOKUP($A239,Hshldprojections2016!$A$1:$AQ$322,26,FALSE))/10,(VLOOKUP($A239,Hshldprojections2018!$A$1:$AQ$327,36,FALSE)-VLOOKUP($A239,Hshldprojections2018!$A$1:$AQ$327,26,FALSE))/10))</f>
        <v>362.8</v>
      </c>
      <c r="AH239" s="267">
        <f>IF(IndividualLATest!$J$7=2014,(VLOOKUP($A239,Hshldprojections2014!$A$2:$AY$326,47,FALSE)-VLOOKUP($A239,Hshldprojections2014!$A$2:$AY$326,37,FALSE))/10,IF(IndividualLATest!$J$7=2016,(VLOOKUP($A239,Hshldprojections2016!$A$1:$AQ$322,37,FALSE)-VLOOKUP($A239,Hshldprojections2016!$A$1:$AQ$322,27,FALSE))/10,(VLOOKUP($A239,Hshldprojections2018!$A$1:$AQ$327,37,FALSE)-VLOOKUP($A239,Hshldprojections2018!$A$1:$AQ$327,27,FALSE))/10))</f>
        <v>360.5</v>
      </c>
      <c r="AI239" s="268">
        <f>IF(ISNUMBER('Sensitivity Tests'!$C$30),'Sensitivity Tests'!$C$30,VLOOKUP($A239,AffordabilityRatio!$A$2:$I$321,5,FALSE))</f>
        <v>7.09</v>
      </c>
      <c r="AJ239" s="268">
        <f>IF(ISNUMBER('Sensitivity Tests'!$C$30),'Sensitivity Tests'!$C$30,VLOOKUP($A239,AffordabilityRatio!$A$2:$I$321,6,FALSE))</f>
        <v>7.77</v>
      </c>
      <c r="AK239" s="268">
        <f>IF(ISNUMBER('Sensitivity Tests'!$C$30),'Sensitivity Tests'!$C$30,VLOOKUP($A239,AffordabilityRatio!$A$2:$I$321,7,FALSE))</f>
        <v>7.37</v>
      </c>
      <c r="AL239" s="268">
        <f>IF(ISNUMBER('Sensitivity Tests'!$C$30),'Sensitivity Tests'!$C$30,IF((VLOOKUP($A239,AffordabilityRatio!$A$2:$I$321,8,FALSE))="",AK239,VLOOKUP($A239,AffordabilityRatio!$A$2:$I$321,8,FALSE)))</f>
        <v>7.31</v>
      </c>
      <c r="AM239" s="268">
        <f>IF(ISNUMBER('Sensitivity Tests'!$C$30),'Sensitivity Tests'!$C$30,IF((VLOOKUP($A239,AffordabilityRatio!$A$2:$I$321,9,FALSE))="",AL239,VLOOKUP($A239,AffordabilityRatio!$A$2:$I$321,9,FALSE)))</f>
        <v>8.5299999999999994</v>
      </c>
      <c r="AN239" s="268">
        <f>IF(ISNUMBER('Sensitivity Tests'!$C$30),'Sensitivity Tests'!$C$30,IF((VLOOKUP($A239,AffordabilityRatio!$A$2:$I$321,9,FALSE))="",AM239,VLOOKUP($A239,AffordabilityRatio!$A$2:$I$321,9,FALSE)))</f>
        <v>8.5299999999999994</v>
      </c>
      <c r="AO239" s="268">
        <f>IF(ISNUMBER('Sensitivity Tests'!$C$30),'Sensitivity Tests'!$C$30,IF((VLOOKUP($A239,AffordabilityRatio!$A$2:$I$321,9,FALSE))="",AN239,VLOOKUP($A239,AffordabilityRatio!$A$2:$I$321,9,FALSE)))</f>
        <v>8.5299999999999994</v>
      </c>
      <c r="AP239" s="268">
        <f>IF(ISNUMBER('Sensitivity Tests'!$C$30),'Sensitivity Tests'!$C$30,IF((VLOOKUP($A239,AffordabilityRatio!$A$2:$I$321,9,FALSE))="",AO239,VLOOKUP($A239,AffordabilityRatio!$A$2:$I$321,9,FALSE)))</f>
        <v>8.5299999999999994</v>
      </c>
      <c r="AQ239" s="267">
        <f t="shared" si="199"/>
        <v>416</v>
      </c>
      <c r="AR239" s="267">
        <f t="shared" si="199"/>
        <v>428</v>
      </c>
      <c r="AS239" s="267">
        <f t="shared" si="199"/>
        <v>417</v>
      </c>
      <c r="AT239" s="267">
        <f t="shared" si="199"/>
        <v>456</v>
      </c>
      <c r="AU239" s="267">
        <f t="shared" si="199"/>
        <v>477</v>
      </c>
      <c r="AV239" s="267">
        <f t="shared" si="199"/>
        <v>470</v>
      </c>
      <c r="AW239" s="267">
        <f t="shared" si="199"/>
        <v>466</v>
      </c>
      <c r="AX239" s="267">
        <f t="shared" si="199"/>
        <v>463</v>
      </c>
      <c r="AY239" s="267">
        <f t="shared" si="171"/>
        <v>416</v>
      </c>
      <c r="AZ239" s="267">
        <f t="shared" si="172"/>
        <v>428</v>
      </c>
      <c r="BA239" s="267">
        <f t="shared" si="173"/>
        <v>417</v>
      </c>
      <c r="BB239" s="267">
        <f t="shared" si="174"/>
        <v>456</v>
      </c>
      <c r="BC239" s="267">
        <f t="shared" si="175"/>
        <v>477</v>
      </c>
      <c r="BD239" s="267">
        <f t="shared" si="176"/>
        <v>470</v>
      </c>
      <c r="BE239" s="267">
        <f t="shared" si="177"/>
        <v>466</v>
      </c>
      <c r="BF239" s="267">
        <f t="shared" si="178"/>
        <v>463</v>
      </c>
      <c r="BG239" s="269">
        <f>AY239*VLOOKUP($B239,'Major Cities &amp; Towns'!$A$28:$B$345,2,FALSE)</f>
        <v>416</v>
      </c>
      <c r="BH239" s="269">
        <f>AZ239*VLOOKUP($B239,'Major Cities &amp; Towns'!$A$28:$B$345,2,FALSE)</f>
        <v>428</v>
      </c>
      <c r="BI239" s="269">
        <f>BA239*VLOOKUP($B239,'Major Cities &amp; Towns'!$A$28:$B$345,2,FALSE)</f>
        <v>417</v>
      </c>
      <c r="BJ239" s="269">
        <f>BB239*VLOOKUP($B239,'Major Cities &amp; Towns'!$A$28:$B$345,2,FALSE)</f>
        <v>456</v>
      </c>
      <c r="BK239" s="269">
        <f>BC239*VLOOKUP($B239,'Major Cities &amp; Towns'!$A$28:$B$345,2,FALSE)</f>
        <v>477</v>
      </c>
      <c r="BL239" s="269">
        <f>BD239*VLOOKUP($B239,'Major Cities &amp; Towns'!$A$28:$B$345,2,FALSE)</f>
        <v>470</v>
      </c>
      <c r="BM239" s="269">
        <f>BE239*VLOOKUP($B239,'Major Cities &amp; Towns'!$A$28:$B$345,2,FALSE)</f>
        <v>466</v>
      </c>
      <c r="BN239" s="269">
        <f>BF239*VLOOKUP($B239,'Major Cities &amp; Towns'!$A$28:$B$345,2,FALSE)</f>
        <v>463</v>
      </c>
      <c r="BO239" s="270">
        <f t="shared" si="179"/>
        <v>416</v>
      </c>
      <c r="BP239" s="270">
        <f t="shared" si="195"/>
        <v>428</v>
      </c>
      <c r="BQ239" s="270">
        <f t="shared" si="195"/>
        <v>417</v>
      </c>
      <c r="BR239" s="270">
        <f t="shared" si="195"/>
        <v>456</v>
      </c>
      <c r="BS239" s="270">
        <f t="shared" si="195"/>
        <v>467.24</v>
      </c>
      <c r="BT239" s="270">
        <f t="shared" si="195"/>
        <v>467.4139178082192</v>
      </c>
      <c r="BU239" s="270">
        <f t="shared" si="195"/>
        <v>466</v>
      </c>
      <c r="BV239" s="270">
        <f t="shared" si="195"/>
        <v>463</v>
      </c>
      <c r="BW239" s="39">
        <f>VLOOKUP($A239,NetAdditions!$A$2:$H$336,6,FALSE)</f>
        <v>828</v>
      </c>
      <c r="BX239" s="39">
        <f>VLOOKUP($A239,NetAdditions!$A$2:$H$336,7,FALSE)</f>
        <v>517</v>
      </c>
      <c r="BY239" s="39">
        <f>IF((VLOOKUP($C239,NetAdditions!$A$2:$H$336,8,FALSE))="",(AVERAGE(VLOOKUP($C239,NetAdditions!$A$2:$H$336,5,FALSE),VLOOKUP($C239,NetAdditions!$A$2:$H$336,6,FALSE),VLOOKUP($C239,NetAdditions!$A$2:$H$336,7,FALSE))),VLOOKUP($C239,NetAdditions!$A$2:$H$336,8,FALSE))</f>
        <v>571</v>
      </c>
      <c r="BZ239" s="39">
        <f t="shared" si="196"/>
        <v>638.66666666666663</v>
      </c>
      <c r="CA239" s="39">
        <f t="shared" si="196"/>
        <v>575.55555555555554</v>
      </c>
      <c r="CB239" s="39">
        <f t="shared" si="196"/>
        <v>595.07407407407402</v>
      </c>
      <c r="CC239" s="39">
        <f t="shared" si="196"/>
        <v>603.09876543209873</v>
      </c>
      <c r="CD239" s="39">
        <f t="shared" si="196"/>
        <v>591.24279835390951</v>
      </c>
      <c r="CE239" s="276">
        <f t="shared" si="155"/>
        <v>1261</v>
      </c>
      <c r="CF239" s="276">
        <f t="shared" si="156"/>
        <v>1301</v>
      </c>
      <c r="CG239" s="276">
        <f t="shared" si="157"/>
        <v>1340.24</v>
      </c>
      <c r="CH239" s="276">
        <f t="shared" si="158"/>
        <v>1390.6539178082191</v>
      </c>
      <c r="CI239" s="276">
        <f t="shared" si="159"/>
        <v>1400.6539178082191</v>
      </c>
      <c r="CJ239" s="276">
        <f t="shared" si="160"/>
        <v>1396.4139178082191</v>
      </c>
      <c r="CK239" s="276">
        <f t="shared" si="180"/>
        <v>1085.8611111111111</v>
      </c>
      <c r="CL239" s="276">
        <f t="shared" si="181"/>
        <v>1120.3055555555557</v>
      </c>
      <c r="CM239" s="276">
        <f t="shared" si="182"/>
        <v>1228.5533333333333</v>
      </c>
      <c r="CN239" s="276">
        <f t="shared" si="183"/>
        <v>1390.6539178082191</v>
      </c>
      <c r="CO239" s="276">
        <f t="shared" si="183"/>
        <v>1400.6539178082191</v>
      </c>
      <c r="CP239" s="276">
        <f t="shared" si="183"/>
        <v>1396.4139178082191</v>
      </c>
      <c r="CQ239" s="39">
        <f t="shared" si="161"/>
        <v>1916</v>
      </c>
      <c r="CR239" s="39">
        <f t="shared" si="162"/>
        <v>1726.6666666666665</v>
      </c>
      <c r="CS239" s="277">
        <f t="shared" si="163"/>
        <v>1785.2222222222222</v>
      </c>
      <c r="CT239" s="39">
        <f t="shared" si="164"/>
        <v>1809.2962962962961</v>
      </c>
      <c r="CU239" s="39">
        <f t="shared" si="165"/>
        <v>1773.7283950617284</v>
      </c>
      <c r="CV239" s="39">
        <f t="shared" si="166"/>
        <v>1789.4156378600824</v>
      </c>
      <c r="CW239" s="297">
        <f t="shared" si="167"/>
        <v>1.7644982220971579</v>
      </c>
      <c r="CX239" s="279" t="str">
        <f t="shared" si="184"/>
        <v>Pass</v>
      </c>
      <c r="CY239" s="278">
        <f t="shared" si="168"/>
        <v>1.541246187795988</v>
      </c>
      <c r="CZ239" s="279" t="str">
        <f t="shared" si="185"/>
        <v>Pass</v>
      </c>
      <c r="DA239" s="278">
        <f t="shared" si="169"/>
        <v>1.4531092576815732</v>
      </c>
      <c r="DB239" s="292" t="str">
        <f t="shared" si="186"/>
        <v>Pass</v>
      </c>
      <c r="DC239" s="299">
        <f t="shared" si="187"/>
        <v>1.3010399446814851</v>
      </c>
      <c r="DD239" s="293" t="str">
        <f t="shared" si="188"/>
        <v>Pass</v>
      </c>
      <c r="DE239" s="299">
        <f t="shared" si="189"/>
        <v>1.2663573581668954</v>
      </c>
      <c r="DF239" s="293" t="str">
        <f t="shared" si="190"/>
        <v>Pass</v>
      </c>
      <c r="DG239" s="299">
        <f t="shared" si="191"/>
        <v>1.2814364101073341</v>
      </c>
      <c r="DH239" s="293" t="str">
        <f t="shared" si="192"/>
        <v>Pass</v>
      </c>
    </row>
    <row r="240" spans="1:112" ht="15" thickTop="1" thickBot="1">
      <c r="A240" s="38" t="s">
        <v>590</v>
      </c>
      <c r="B240" s="38" t="s">
        <v>591</v>
      </c>
      <c r="C240" s="38" t="s">
        <v>590</v>
      </c>
      <c r="D240" s="38" t="s">
        <v>119</v>
      </c>
      <c r="E240" s="38" t="str">
        <f>VLOOKUP(C240,PoliticalControl!A:K,11,FALSE)</f>
        <v>CON</v>
      </c>
      <c r="F240" s="38" t="str">
        <f>VLOOKUP(C240,UrbanRuralClassification!A:N,13,FALSE)</f>
        <v xml:space="preserve">Largely Rural (rural including hub towns 50-79%) </v>
      </c>
      <c r="G240" s="38" t="str">
        <f>VLOOKUP(C240,UrbanRuralClassification!A:N,14,FALSE)</f>
        <v>Predominantly Rural</v>
      </c>
      <c r="H240" s="258">
        <f>IF(ISBLANK((VLOOKUP($A240,'local-plan-data'!$C$1:$AD$566,27,FALSE)))=TRUE,"",VLOOKUP($A240,'local-plan-data'!$C$1:$AD$566,27,FALSE))</f>
        <v>43860</v>
      </c>
      <c r="I240" s="259">
        <f>VLOOKUP($A240,'local-plan-data'!$C$1:$AD$566,28,FALSE)</f>
        <v>645</v>
      </c>
      <c r="J240" s="260">
        <f t="shared" si="170"/>
        <v>645</v>
      </c>
      <c r="K240" s="259">
        <f t="shared" si="193"/>
        <v>645</v>
      </c>
      <c r="L240" s="259">
        <f t="shared" si="197"/>
        <v>645</v>
      </c>
      <c r="M240" s="259">
        <f t="shared" si="197"/>
        <v>645</v>
      </c>
      <c r="N240" s="259">
        <f t="shared" si="197"/>
        <v>645</v>
      </c>
      <c r="O240" s="259">
        <f t="shared" si="197"/>
        <v>645</v>
      </c>
      <c r="P240" s="259">
        <f t="shared" si="197"/>
        <v>645</v>
      </c>
      <c r="Q240" s="259">
        <f t="shared" si="197"/>
        <v>645</v>
      </c>
      <c r="R240" s="259" t="str">
        <f t="shared" si="197"/>
        <v>-</v>
      </c>
      <c r="S240" s="259">
        <f t="shared" si="194"/>
        <v>2496</v>
      </c>
      <c r="T240" s="259">
        <f t="shared" si="198"/>
        <v>2131</v>
      </c>
      <c r="U240" s="259">
        <f t="shared" si="198"/>
        <v>1765</v>
      </c>
      <c r="V240" s="259">
        <f t="shared" si="198"/>
        <v>1400</v>
      </c>
      <c r="W240" s="259">
        <f t="shared" si="198"/>
        <v>1035</v>
      </c>
      <c r="X240" s="259">
        <f t="shared" si="198"/>
        <v>670</v>
      </c>
      <c r="Y240" s="259">
        <f t="shared" si="198"/>
        <v>304</v>
      </c>
      <c r="Z240" s="259">
        <f t="shared" si="198"/>
        <v>-61</v>
      </c>
      <c r="AA240" s="267">
        <f>(VLOOKUP(A240,Hshldprojections2014!$A$2:$AW$319,40, FALSE)-VLOOKUP(A240,Hshldprojections2014!$A$2:$AW$319,30, FALSE))/10</f>
        <v>597.20000000000005</v>
      </c>
      <c r="AB240" s="267">
        <f>(VLOOKUP(A240,Hshldprojections2014!$A$2:$AW$319,41, FALSE)-VLOOKUP(A240,Hshldprojections2014!$A$2:$AW$319,31, FALSE))/10</f>
        <v>584.1</v>
      </c>
      <c r="AC240" s="267">
        <f>(VLOOKUP(A240,Hshldprojections2014!$A$2:$AW$319,42, FALSE)-VLOOKUP(A240,Hshldprojections2014!$A$2:$AW$319,32, FALSE))/10</f>
        <v>573.79999999999995</v>
      </c>
      <c r="AD240" s="267">
        <f>IF(IndividualLATest!$J$7=2014,(VLOOKUP($A240,Hshldprojections2014!$A$2:$AY$326,43,FALSE)-VLOOKUP($A240,Hshldprojections2014!$A$2:$AY$326,33,FALSE))/10,IF(IndividualLATest!$J$7=2016,(VLOOKUP($A240,Hshldprojections2016!$A$1:$AQ$322,33,FALSE)-VLOOKUP($A240,Hshldprojections2016!$A$1:$AQ$322,23,FALSE))/10,(VLOOKUP($A240,Hshldprojections2018!$A$1:$AQ$327,33,FALSE)-VLOOKUP($A240,Hshldprojections2018!$A$1:$AQ$327,23,FALSE))/10))</f>
        <v>460.3</v>
      </c>
      <c r="AE240" s="267">
        <f>IF(IndividualLATest!$J$7=2014,(VLOOKUP($A240,Hshldprojections2014!$A$2:$AY$326,44,FALSE)-VLOOKUP($A240,Hshldprojections2014!$A$2:$AY$326,34,FALSE))/10,IF(IndividualLATest!$J$7=2016,(VLOOKUP($A240,Hshldprojections2016!$A$1:$AQ$322,34,FALSE)-VLOOKUP($A240,Hshldprojections2016!$A$1:$AQ$322,24,FALSE))/10,(VLOOKUP($A240,Hshldprojections2018!$A$1:$AQ$327,34,FALSE)-VLOOKUP($A240,Hshldprojections2018!$A$1:$AQ$327,24,FALSE))/10))</f>
        <v>450</v>
      </c>
      <c r="AF240" s="267">
        <f>IF(IndividualLATest!$J$7=2014,(VLOOKUP($A240,Hshldprojections2014!$A$2:$AY$326,45,FALSE)-VLOOKUP($A240,Hshldprojections2014!$A$2:$AY$326,35,FALSE))/10,IF(IndividualLATest!$J$7=2016,(VLOOKUP($A240,Hshldprojections2016!$A$1:$AQ$322,35,FALSE)-VLOOKUP($A240,Hshldprojections2016!$A$1:$AQ$322,25,FALSE))/10,(VLOOKUP($A240,Hshldprojections2018!$A$1:$AQ$327,35,FALSE)-VLOOKUP($A240,Hshldprojections2018!$A$1:$AQ$327,25,FALSE))/10))</f>
        <v>443.5</v>
      </c>
      <c r="AG240" s="267">
        <f>IF(IndividualLATest!$J$7=2014,(VLOOKUP($A240,Hshldprojections2014!$A$2:$AY$326,46,FALSE)-VLOOKUP($A240,Hshldprojections2014!$A$2:$AY$326,36,FALSE))/10,IF(IndividualLATest!$J$7=2016,(VLOOKUP($A240,Hshldprojections2016!$A$1:$AQ$322,36,FALSE)-VLOOKUP($A240,Hshldprojections2016!$A$1:$AQ$322,26,FALSE))/10,(VLOOKUP($A240,Hshldprojections2018!$A$1:$AQ$327,36,FALSE)-VLOOKUP($A240,Hshldprojections2018!$A$1:$AQ$327,26,FALSE))/10))</f>
        <v>437.2</v>
      </c>
      <c r="AH240" s="267">
        <f>IF(IndividualLATest!$J$7=2014,(VLOOKUP($A240,Hshldprojections2014!$A$2:$AY$326,47,FALSE)-VLOOKUP($A240,Hshldprojections2014!$A$2:$AY$326,37,FALSE))/10,IF(IndividualLATest!$J$7=2016,(VLOOKUP($A240,Hshldprojections2016!$A$1:$AQ$322,37,FALSE)-VLOOKUP($A240,Hshldprojections2016!$A$1:$AQ$322,27,FALSE))/10,(VLOOKUP($A240,Hshldprojections2018!$A$1:$AQ$327,37,FALSE)-VLOOKUP($A240,Hshldprojections2018!$A$1:$AQ$327,27,FALSE))/10))</f>
        <v>431.9</v>
      </c>
      <c r="AI240" s="268">
        <f>IF(ISNUMBER('Sensitivity Tests'!$C$30),'Sensitivity Tests'!$C$30,VLOOKUP($A240,AffordabilityRatio!$A$2:$I$321,5,FALSE))</f>
        <v>8.76</v>
      </c>
      <c r="AJ240" s="268">
        <f>IF(ISNUMBER('Sensitivity Tests'!$C$30),'Sensitivity Tests'!$C$30,VLOOKUP($A240,AffordabilityRatio!$A$2:$I$321,6,FALSE))</f>
        <v>9.02</v>
      </c>
      <c r="AK240" s="268">
        <f>IF(ISNUMBER('Sensitivity Tests'!$C$30),'Sensitivity Tests'!$C$30,VLOOKUP($A240,AffordabilityRatio!$A$2:$I$321,7,FALSE))</f>
        <v>8.52</v>
      </c>
      <c r="AL240" s="268">
        <f>IF(ISNUMBER('Sensitivity Tests'!$C$30),'Sensitivity Tests'!$C$30,IF((VLOOKUP($A240,AffordabilityRatio!$A$2:$I$321,8,FALSE))="",AK240,VLOOKUP($A240,AffordabilityRatio!$A$2:$I$321,8,FALSE)))</f>
        <v>8.09</v>
      </c>
      <c r="AM240" s="268">
        <f>IF(ISNUMBER('Sensitivity Tests'!$C$30),'Sensitivity Tests'!$C$30,IF((VLOOKUP($A240,AffordabilityRatio!$A$2:$I$321,9,FALSE))="",AL240,VLOOKUP($A240,AffordabilityRatio!$A$2:$I$321,9,FALSE)))</f>
        <v>9.01</v>
      </c>
      <c r="AN240" s="268">
        <f>IF(ISNUMBER('Sensitivity Tests'!$C$30),'Sensitivity Tests'!$C$30,IF((VLOOKUP($A240,AffordabilityRatio!$A$2:$I$321,9,FALSE))="",AM240,VLOOKUP($A240,AffordabilityRatio!$A$2:$I$321,9,FALSE)))</f>
        <v>9.01</v>
      </c>
      <c r="AO240" s="268">
        <f>IF(ISNUMBER('Sensitivity Tests'!$C$30),'Sensitivity Tests'!$C$30,IF((VLOOKUP($A240,AffordabilityRatio!$A$2:$I$321,9,FALSE))="",AN240,VLOOKUP($A240,AffordabilityRatio!$A$2:$I$321,9,FALSE)))</f>
        <v>9.01</v>
      </c>
      <c r="AP240" s="268">
        <f>IF(ISNUMBER('Sensitivity Tests'!$C$30),'Sensitivity Tests'!$C$30,IF((VLOOKUP($A240,AffordabilityRatio!$A$2:$I$321,9,FALSE))="",AO240,VLOOKUP($A240,AffordabilityRatio!$A$2:$I$321,9,FALSE)))</f>
        <v>9.01</v>
      </c>
      <c r="AQ240" s="267">
        <f t="shared" si="199"/>
        <v>775</v>
      </c>
      <c r="AR240" s="267">
        <f t="shared" si="199"/>
        <v>767</v>
      </c>
      <c r="AS240" s="267">
        <f t="shared" si="199"/>
        <v>736</v>
      </c>
      <c r="AT240" s="267">
        <f t="shared" si="199"/>
        <v>578</v>
      </c>
      <c r="AU240" s="267">
        <f t="shared" si="199"/>
        <v>591</v>
      </c>
      <c r="AV240" s="267">
        <f t="shared" si="199"/>
        <v>582</v>
      </c>
      <c r="AW240" s="267">
        <f t="shared" si="199"/>
        <v>574</v>
      </c>
      <c r="AX240" s="267">
        <f t="shared" si="199"/>
        <v>567</v>
      </c>
      <c r="AY240" s="267">
        <f t="shared" si="171"/>
        <v>775</v>
      </c>
      <c r="AZ240" s="267">
        <f t="shared" si="172"/>
        <v>767</v>
      </c>
      <c r="BA240" s="267">
        <f t="shared" si="173"/>
        <v>736</v>
      </c>
      <c r="BB240" s="267">
        <f t="shared" si="174"/>
        <v>578</v>
      </c>
      <c r="BC240" s="267">
        <f t="shared" si="175"/>
        <v>591</v>
      </c>
      <c r="BD240" s="267">
        <f t="shared" si="176"/>
        <v>582</v>
      </c>
      <c r="BE240" s="267">
        <f t="shared" si="177"/>
        <v>574</v>
      </c>
      <c r="BF240" s="267">
        <f t="shared" si="178"/>
        <v>567</v>
      </c>
      <c r="BG240" s="269">
        <f>AY240*VLOOKUP($B240,'Major Cities &amp; Towns'!$A$28:$B$345,2,FALSE)</f>
        <v>775</v>
      </c>
      <c r="BH240" s="269">
        <f>AZ240*VLOOKUP($B240,'Major Cities &amp; Towns'!$A$28:$B$345,2,FALSE)</f>
        <v>767</v>
      </c>
      <c r="BI240" s="269">
        <f>BA240*VLOOKUP($B240,'Major Cities &amp; Towns'!$A$28:$B$345,2,FALSE)</f>
        <v>736</v>
      </c>
      <c r="BJ240" s="269">
        <f>BB240*VLOOKUP($B240,'Major Cities &amp; Towns'!$A$28:$B$345,2,FALSE)</f>
        <v>578</v>
      </c>
      <c r="BK240" s="269">
        <f>BC240*VLOOKUP($B240,'Major Cities &amp; Towns'!$A$28:$B$345,2,FALSE)</f>
        <v>591</v>
      </c>
      <c r="BL240" s="269">
        <f>BD240*VLOOKUP($B240,'Major Cities &amp; Towns'!$A$28:$B$345,2,FALSE)</f>
        <v>582</v>
      </c>
      <c r="BM240" s="269">
        <f>BE240*VLOOKUP($B240,'Major Cities &amp; Towns'!$A$28:$B$345,2,FALSE)</f>
        <v>574</v>
      </c>
      <c r="BN240" s="269">
        <f>BF240*VLOOKUP($B240,'Major Cities &amp; Towns'!$A$28:$B$345,2,FALSE)</f>
        <v>567</v>
      </c>
      <c r="BO240" s="270">
        <f t="shared" si="179"/>
        <v>645</v>
      </c>
      <c r="BP240" s="270">
        <f t="shared" si="195"/>
        <v>645</v>
      </c>
      <c r="BQ240" s="270">
        <f t="shared" si="195"/>
        <v>645</v>
      </c>
      <c r="BR240" s="270">
        <f t="shared" si="195"/>
        <v>578</v>
      </c>
      <c r="BS240" s="270">
        <f t="shared" si="195"/>
        <v>591</v>
      </c>
      <c r="BT240" s="270">
        <f t="shared" si="195"/>
        <v>582</v>
      </c>
      <c r="BU240" s="270">
        <f t="shared" si="195"/>
        <v>574</v>
      </c>
      <c r="BV240" s="270">
        <f t="shared" si="195"/>
        <v>567</v>
      </c>
      <c r="BW240" s="39">
        <f>VLOOKUP($A240,NetAdditions!$A$2:$H$336,6,FALSE)</f>
        <v>676</v>
      </c>
      <c r="BX240" s="39">
        <f>VLOOKUP($A240,NetAdditions!$A$2:$H$336,7,FALSE)</f>
        <v>729</v>
      </c>
      <c r="BY240" s="39">
        <f>IF((VLOOKUP($C240,NetAdditions!$A$2:$H$336,8,FALSE))="",(AVERAGE(VLOOKUP($C240,NetAdditions!$A$2:$H$336,5,FALSE),VLOOKUP($C240,NetAdditions!$A$2:$H$336,6,FALSE),VLOOKUP($C240,NetAdditions!$A$2:$H$336,7,FALSE))),VLOOKUP($C240,NetAdditions!$A$2:$H$336,8,FALSE))</f>
        <v>446</v>
      </c>
      <c r="BZ240" s="39">
        <f t="shared" si="196"/>
        <v>617</v>
      </c>
      <c r="CA240" s="39">
        <f t="shared" si="196"/>
        <v>597.33333333333337</v>
      </c>
      <c r="CB240" s="39">
        <f t="shared" si="196"/>
        <v>553.44444444444446</v>
      </c>
      <c r="CC240" s="39">
        <f t="shared" si="196"/>
        <v>589.25925925925924</v>
      </c>
      <c r="CD240" s="39">
        <f t="shared" si="196"/>
        <v>580.01234567901236</v>
      </c>
      <c r="CE240" s="276">
        <f t="shared" si="155"/>
        <v>1935</v>
      </c>
      <c r="CF240" s="276">
        <f t="shared" si="156"/>
        <v>1868</v>
      </c>
      <c r="CG240" s="276">
        <f t="shared" si="157"/>
        <v>1814</v>
      </c>
      <c r="CH240" s="276">
        <f t="shared" si="158"/>
        <v>1751</v>
      </c>
      <c r="CI240" s="276">
        <f t="shared" si="159"/>
        <v>1747</v>
      </c>
      <c r="CJ240" s="276">
        <f t="shared" si="160"/>
        <v>1723</v>
      </c>
      <c r="CK240" s="276">
        <f t="shared" si="180"/>
        <v>1666.25</v>
      </c>
      <c r="CL240" s="276">
        <f t="shared" si="181"/>
        <v>1608.5555555555557</v>
      </c>
      <c r="CM240" s="276">
        <f t="shared" si="182"/>
        <v>1662.8333333333333</v>
      </c>
      <c r="CN240" s="276">
        <f t="shared" si="183"/>
        <v>1751</v>
      </c>
      <c r="CO240" s="276">
        <f t="shared" si="183"/>
        <v>1747</v>
      </c>
      <c r="CP240" s="276">
        <f t="shared" si="183"/>
        <v>1723</v>
      </c>
      <c r="CQ240" s="39">
        <f t="shared" si="161"/>
        <v>1851</v>
      </c>
      <c r="CR240" s="39">
        <f t="shared" si="162"/>
        <v>1792</v>
      </c>
      <c r="CS240" s="277">
        <f t="shared" si="163"/>
        <v>1660.3333333333335</v>
      </c>
      <c r="CT240" s="39">
        <f t="shared" si="164"/>
        <v>1767.7777777777778</v>
      </c>
      <c r="CU240" s="39">
        <f t="shared" si="165"/>
        <v>1740.037037037037</v>
      </c>
      <c r="CV240" s="39">
        <f t="shared" si="166"/>
        <v>1722.7160493827159</v>
      </c>
      <c r="CW240" s="297">
        <f t="shared" si="167"/>
        <v>1.1108777194298574</v>
      </c>
      <c r="CX240" s="279" t="str">
        <f t="shared" si="184"/>
        <v>Pass</v>
      </c>
      <c r="CY240" s="278">
        <f t="shared" si="168"/>
        <v>1.1140429647026318</v>
      </c>
      <c r="CZ240" s="279" t="str">
        <f t="shared" si="185"/>
        <v>Pass</v>
      </c>
      <c r="DA240" s="278">
        <f t="shared" si="169"/>
        <v>0.99849654204670757</v>
      </c>
      <c r="DB240" s="292" t="str">
        <f t="shared" si="186"/>
        <v>Pass</v>
      </c>
      <c r="DC240" s="299">
        <f t="shared" si="187"/>
        <v>1.0095818262580114</v>
      </c>
      <c r="DD240" s="293" t="str">
        <f t="shared" si="188"/>
        <v>Pass</v>
      </c>
      <c r="DE240" s="299">
        <f t="shared" si="189"/>
        <v>0.99601433144650087</v>
      </c>
      <c r="DF240" s="293" t="str">
        <f t="shared" si="190"/>
        <v>Pass</v>
      </c>
      <c r="DG240" s="299">
        <f t="shared" si="191"/>
        <v>0.99983519987389202</v>
      </c>
      <c r="DH240" s="293" t="str">
        <f t="shared" si="192"/>
        <v>Pass</v>
      </c>
    </row>
    <row r="241" spans="1:112" ht="15" thickTop="1" thickBot="1">
      <c r="A241" s="38" t="s">
        <v>592</v>
      </c>
      <c r="B241" s="38" t="s">
        <v>593</v>
      </c>
      <c r="C241" s="38" t="s">
        <v>592</v>
      </c>
      <c r="D241" s="38" t="s">
        <v>116</v>
      </c>
      <c r="E241" s="38" t="str">
        <f>VLOOKUP(C241,PoliticalControl!A:K,11,FALSE)</f>
        <v>LD</v>
      </c>
      <c r="F241" s="38" t="str">
        <f>VLOOKUP(C241,UrbanRuralClassification!A:N,13,FALSE)</f>
        <v xml:space="preserve">Mainly Rural (rural including hub towns &gt;=80%) </v>
      </c>
      <c r="G241" s="38" t="str">
        <f>VLOOKUP(C241,UrbanRuralClassification!A:N,14,FALSE)</f>
        <v>Predominantly Rural</v>
      </c>
      <c r="H241" s="258">
        <f>IF(ISBLANK((VLOOKUP($A241,'local-plan-data'!$C$1:$AD$566,27,FALSE)))=TRUE,"",VLOOKUP($A241,'local-plan-data'!$C$1:$AD$566,27,FALSE))</f>
        <v>40471</v>
      </c>
      <c r="I241" s="259">
        <f>VLOOKUP($A241,'local-plan-data'!$C$1:$AD$566,28,FALSE)</f>
        <v>400</v>
      </c>
      <c r="J241" s="260">
        <f t="shared" si="170"/>
        <v>400</v>
      </c>
      <c r="K241" s="259" t="str">
        <f t="shared" si="193"/>
        <v>-</v>
      </c>
      <c r="L241" s="259" t="str">
        <f t="shared" si="197"/>
        <v>-</v>
      </c>
      <c r="M241" s="259" t="str">
        <f t="shared" si="197"/>
        <v>-</v>
      </c>
      <c r="N241" s="259" t="str">
        <f t="shared" si="197"/>
        <v>-</v>
      </c>
      <c r="O241" s="259" t="str">
        <f t="shared" si="197"/>
        <v>-</v>
      </c>
      <c r="P241" s="259" t="str">
        <f t="shared" si="197"/>
        <v>-</v>
      </c>
      <c r="Q241" s="259" t="str">
        <f t="shared" si="197"/>
        <v>-</v>
      </c>
      <c r="R241" s="259" t="str">
        <f t="shared" si="197"/>
        <v>-</v>
      </c>
      <c r="S241" s="259">
        <f t="shared" si="194"/>
        <v>-894</v>
      </c>
      <c r="T241" s="259">
        <f t="shared" si="198"/>
        <v>-1259</v>
      </c>
      <c r="U241" s="259">
        <f t="shared" si="198"/>
        <v>-1625</v>
      </c>
      <c r="V241" s="259">
        <f t="shared" si="198"/>
        <v>-1990</v>
      </c>
      <c r="W241" s="259">
        <f t="shared" si="198"/>
        <v>-2355</v>
      </c>
      <c r="X241" s="259">
        <f t="shared" si="198"/>
        <v>-2720</v>
      </c>
      <c r="Y241" s="259">
        <f t="shared" si="198"/>
        <v>-3086</v>
      </c>
      <c r="Z241" s="259">
        <f t="shared" si="198"/>
        <v>-3451</v>
      </c>
      <c r="AA241" s="267">
        <f>(VLOOKUP(A241,Hshldprojections2014!$A$2:$AW$319,40, FALSE)-VLOOKUP(A241,Hshldprojections2014!$A$2:$AW$319,30, FALSE))/10</f>
        <v>156.4</v>
      </c>
      <c r="AB241" s="267">
        <f>(VLOOKUP(A241,Hshldprojections2014!$A$2:$AW$319,41, FALSE)-VLOOKUP(A241,Hshldprojections2014!$A$2:$AW$319,31, FALSE))/10</f>
        <v>151.30000000000001</v>
      </c>
      <c r="AC241" s="267">
        <f>(VLOOKUP(A241,Hshldprojections2014!$A$2:$AW$319,42, FALSE)-VLOOKUP(A241,Hshldprojections2014!$A$2:$AW$319,32, FALSE))/10</f>
        <v>147.5</v>
      </c>
      <c r="AD241" s="267">
        <f>IF(IndividualLATest!$J$7=2014,(VLOOKUP($A241,Hshldprojections2014!$A$2:$AY$326,43,FALSE)-VLOOKUP($A241,Hshldprojections2014!$A$2:$AY$326,33,FALSE))/10,IF(IndividualLATest!$J$7=2016,(VLOOKUP($A241,Hshldprojections2016!$A$1:$AQ$322,33,FALSE)-VLOOKUP($A241,Hshldprojections2016!$A$1:$AQ$322,23,FALSE))/10,(VLOOKUP($A241,Hshldprojections2018!$A$1:$AQ$327,33,FALSE)-VLOOKUP($A241,Hshldprojections2018!$A$1:$AQ$327,23,FALSE))/10))</f>
        <v>221.1</v>
      </c>
      <c r="AE241" s="267">
        <f>IF(IndividualLATest!$J$7=2014,(VLOOKUP($A241,Hshldprojections2014!$A$2:$AY$326,44,FALSE)-VLOOKUP($A241,Hshldprojections2014!$A$2:$AY$326,34,FALSE))/10,IF(IndividualLATest!$J$7=2016,(VLOOKUP($A241,Hshldprojections2016!$A$1:$AQ$322,34,FALSE)-VLOOKUP($A241,Hshldprojections2016!$A$1:$AQ$322,24,FALSE))/10,(VLOOKUP($A241,Hshldprojections2018!$A$1:$AQ$327,34,FALSE)-VLOOKUP($A241,Hshldprojections2018!$A$1:$AQ$327,24,FALSE))/10))</f>
        <v>209.9</v>
      </c>
      <c r="AF241" s="267">
        <f>IF(IndividualLATest!$J$7=2014,(VLOOKUP($A241,Hshldprojections2014!$A$2:$AY$326,45,FALSE)-VLOOKUP($A241,Hshldprojections2014!$A$2:$AY$326,35,FALSE))/10,IF(IndividualLATest!$J$7=2016,(VLOOKUP($A241,Hshldprojections2016!$A$1:$AQ$322,35,FALSE)-VLOOKUP($A241,Hshldprojections2016!$A$1:$AQ$322,25,FALSE))/10,(VLOOKUP($A241,Hshldprojections2018!$A$1:$AQ$327,35,FALSE)-VLOOKUP($A241,Hshldprojections2018!$A$1:$AQ$327,25,FALSE))/10))</f>
        <v>200.4</v>
      </c>
      <c r="AG241" s="267">
        <f>IF(IndividualLATest!$J$7=2014,(VLOOKUP($A241,Hshldprojections2014!$A$2:$AY$326,46,FALSE)-VLOOKUP($A241,Hshldprojections2014!$A$2:$AY$326,36,FALSE))/10,IF(IndividualLATest!$J$7=2016,(VLOOKUP($A241,Hshldprojections2016!$A$1:$AQ$322,36,FALSE)-VLOOKUP($A241,Hshldprojections2016!$A$1:$AQ$322,26,FALSE))/10,(VLOOKUP($A241,Hshldprojections2018!$A$1:$AQ$327,36,FALSE)-VLOOKUP($A241,Hshldprojections2018!$A$1:$AQ$327,26,FALSE))/10))</f>
        <v>191.1</v>
      </c>
      <c r="AH241" s="267">
        <f>IF(IndividualLATest!$J$7=2014,(VLOOKUP($A241,Hshldprojections2014!$A$2:$AY$326,47,FALSE)-VLOOKUP($A241,Hshldprojections2014!$A$2:$AY$326,37,FALSE))/10,IF(IndividualLATest!$J$7=2016,(VLOOKUP($A241,Hshldprojections2016!$A$1:$AQ$322,37,FALSE)-VLOOKUP($A241,Hshldprojections2016!$A$1:$AQ$322,27,FALSE))/10,(VLOOKUP($A241,Hshldprojections2018!$A$1:$AQ$327,37,FALSE)-VLOOKUP($A241,Hshldprojections2018!$A$1:$AQ$327,27,FALSE))/10))</f>
        <v>183.7</v>
      </c>
      <c r="AI241" s="268">
        <f>IF(ISNUMBER('Sensitivity Tests'!$C$30),'Sensitivity Tests'!$C$30,VLOOKUP($A241,AffordabilityRatio!$A$2:$I$321,5,FALSE))</f>
        <v>9.7100000000000009</v>
      </c>
      <c r="AJ241" s="268">
        <f>IF(ISNUMBER('Sensitivity Tests'!$C$30),'Sensitivity Tests'!$C$30,VLOOKUP($A241,AffordabilityRatio!$A$2:$I$321,6,FALSE))</f>
        <v>8.32</v>
      </c>
      <c r="AK241" s="268">
        <f>IF(ISNUMBER('Sensitivity Tests'!$C$30),'Sensitivity Tests'!$C$30,VLOOKUP($A241,AffordabilityRatio!$A$2:$I$321,7,FALSE))</f>
        <v>9.91</v>
      </c>
      <c r="AL241" s="268">
        <f>IF(ISNUMBER('Sensitivity Tests'!$C$30),'Sensitivity Tests'!$C$30,IF((VLOOKUP($A241,AffordabilityRatio!$A$2:$I$321,8,FALSE))="",AK241,VLOOKUP($A241,AffordabilityRatio!$A$2:$I$321,8,FALSE)))</f>
        <v>10.1</v>
      </c>
      <c r="AM241" s="268">
        <f>IF(ISNUMBER('Sensitivity Tests'!$C$30),'Sensitivity Tests'!$C$30,IF((VLOOKUP($A241,AffordabilityRatio!$A$2:$I$321,9,FALSE))="",AL241,VLOOKUP($A241,AffordabilityRatio!$A$2:$I$321,9,FALSE)))</f>
        <v>10.119999999999999</v>
      </c>
      <c r="AN241" s="268">
        <f>IF(ISNUMBER('Sensitivity Tests'!$C$30),'Sensitivity Tests'!$C$30,IF((VLOOKUP($A241,AffordabilityRatio!$A$2:$I$321,9,FALSE))="",AM241,VLOOKUP($A241,AffordabilityRatio!$A$2:$I$321,9,FALSE)))</f>
        <v>10.119999999999999</v>
      </c>
      <c r="AO241" s="268">
        <f>IF(ISNUMBER('Sensitivity Tests'!$C$30),'Sensitivity Tests'!$C$30,IF((VLOOKUP($A241,AffordabilityRatio!$A$2:$I$321,9,FALSE))="",AN241,VLOOKUP($A241,AffordabilityRatio!$A$2:$I$321,9,FALSE)))</f>
        <v>10.119999999999999</v>
      </c>
      <c r="AP241" s="268">
        <f>IF(ISNUMBER('Sensitivity Tests'!$C$30),'Sensitivity Tests'!$C$30,IF((VLOOKUP($A241,AffordabilityRatio!$A$2:$I$321,9,FALSE))="",AO241,VLOOKUP($A241,AffordabilityRatio!$A$2:$I$321,9,FALSE)))</f>
        <v>10.119999999999999</v>
      </c>
      <c r="AQ241" s="267">
        <f t="shared" si="199"/>
        <v>212</v>
      </c>
      <c r="AR241" s="267">
        <f t="shared" si="199"/>
        <v>192</v>
      </c>
      <c r="AS241" s="267">
        <f t="shared" si="199"/>
        <v>202</v>
      </c>
      <c r="AT241" s="267">
        <f t="shared" si="199"/>
        <v>305</v>
      </c>
      <c r="AU241" s="267">
        <f t="shared" si="199"/>
        <v>290</v>
      </c>
      <c r="AV241" s="267">
        <f t="shared" si="199"/>
        <v>277</v>
      </c>
      <c r="AW241" s="267">
        <f t="shared" si="199"/>
        <v>264</v>
      </c>
      <c r="AX241" s="267">
        <f t="shared" si="199"/>
        <v>254</v>
      </c>
      <c r="AY241" s="267">
        <f t="shared" si="171"/>
        <v>212</v>
      </c>
      <c r="AZ241" s="267">
        <f t="shared" si="172"/>
        <v>192</v>
      </c>
      <c r="BA241" s="267">
        <f t="shared" si="173"/>
        <v>202</v>
      </c>
      <c r="BB241" s="267">
        <f t="shared" si="174"/>
        <v>305</v>
      </c>
      <c r="BC241" s="267">
        <f t="shared" si="175"/>
        <v>290</v>
      </c>
      <c r="BD241" s="267">
        <f t="shared" si="176"/>
        <v>277</v>
      </c>
      <c r="BE241" s="267">
        <f t="shared" si="177"/>
        <v>264</v>
      </c>
      <c r="BF241" s="267">
        <f t="shared" si="178"/>
        <v>254</v>
      </c>
      <c r="BG241" s="269">
        <f>AY241*VLOOKUP($B241,'Major Cities &amp; Towns'!$A$28:$B$345,2,FALSE)</f>
        <v>212</v>
      </c>
      <c r="BH241" s="269">
        <f>AZ241*VLOOKUP($B241,'Major Cities &amp; Towns'!$A$28:$B$345,2,FALSE)</f>
        <v>192</v>
      </c>
      <c r="BI241" s="269">
        <f>BA241*VLOOKUP($B241,'Major Cities &amp; Towns'!$A$28:$B$345,2,FALSE)</f>
        <v>202</v>
      </c>
      <c r="BJ241" s="269">
        <f>BB241*VLOOKUP($B241,'Major Cities &amp; Towns'!$A$28:$B$345,2,FALSE)</f>
        <v>305</v>
      </c>
      <c r="BK241" s="269">
        <f>BC241*VLOOKUP($B241,'Major Cities &amp; Towns'!$A$28:$B$345,2,FALSE)</f>
        <v>290</v>
      </c>
      <c r="BL241" s="269">
        <f>BD241*VLOOKUP($B241,'Major Cities &amp; Towns'!$A$28:$B$345,2,FALSE)</f>
        <v>277</v>
      </c>
      <c r="BM241" s="269">
        <f>BE241*VLOOKUP($B241,'Major Cities &amp; Towns'!$A$28:$B$345,2,FALSE)</f>
        <v>264</v>
      </c>
      <c r="BN241" s="269">
        <f>BF241*VLOOKUP($B241,'Major Cities &amp; Towns'!$A$28:$B$345,2,FALSE)</f>
        <v>254</v>
      </c>
      <c r="BO241" s="270">
        <f t="shared" si="179"/>
        <v>212</v>
      </c>
      <c r="BP241" s="270">
        <f t="shared" si="195"/>
        <v>192</v>
      </c>
      <c r="BQ241" s="270">
        <f t="shared" si="195"/>
        <v>202</v>
      </c>
      <c r="BR241" s="270">
        <f t="shared" si="195"/>
        <v>305</v>
      </c>
      <c r="BS241" s="270">
        <f t="shared" si="195"/>
        <v>290</v>
      </c>
      <c r="BT241" s="270">
        <f t="shared" si="195"/>
        <v>277</v>
      </c>
      <c r="BU241" s="270">
        <f t="shared" si="195"/>
        <v>264</v>
      </c>
      <c r="BV241" s="270">
        <f t="shared" si="195"/>
        <v>254</v>
      </c>
      <c r="BW241" s="39">
        <f>VLOOKUP($A241,NetAdditions!$A$2:$H$336,6,FALSE)</f>
        <v>326</v>
      </c>
      <c r="BX241" s="39">
        <f>VLOOKUP($A241,NetAdditions!$A$2:$H$336,7,FALSE)</f>
        <v>278</v>
      </c>
      <c r="BY241" s="39">
        <f>IF((VLOOKUP($C241,NetAdditions!$A$2:$H$336,8,FALSE))="",(AVERAGE(VLOOKUP($C241,NetAdditions!$A$2:$H$336,5,FALSE),VLOOKUP($C241,NetAdditions!$A$2:$H$336,6,FALSE),VLOOKUP($C241,NetAdditions!$A$2:$H$336,7,FALSE))),VLOOKUP($C241,NetAdditions!$A$2:$H$336,8,FALSE))</f>
        <v>197</v>
      </c>
      <c r="BZ241" s="39">
        <f t="shared" si="196"/>
        <v>267</v>
      </c>
      <c r="CA241" s="39">
        <f t="shared" si="196"/>
        <v>247.33333333333334</v>
      </c>
      <c r="CB241" s="39">
        <f t="shared" si="196"/>
        <v>237.11111111111111</v>
      </c>
      <c r="CC241" s="39">
        <f t="shared" si="196"/>
        <v>250.4814814814815</v>
      </c>
      <c r="CD241" s="39">
        <f t="shared" si="196"/>
        <v>244.97530864197532</v>
      </c>
      <c r="CE241" s="276">
        <f t="shared" si="155"/>
        <v>606</v>
      </c>
      <c r="CF241" s="276">
        <f t="shared" si="156"/>
        <v>699</v>
      </c>
      <c r="CG241" s="276">
        <f t="shared" si="157"/>
        <v>797</v>
      </c>
      <c r="CH241" s="276">
        <f t="shared" si="158"/>
        <v>872</v>
      </c>
      <c r="CI241" s="276">
        <f t="shared" si="159"/>
        <v>831</v>
      </c>
      <c r="CJ241" s="276">
        <f t="shared" si="160"/>
        <v>795</v>
      </c>
      <c r="CK241" s="276">
        <f t="shared" si="180"/>
        <v>521.83333333333337</v>
      </c>
      <c r="CL241" s="276">
        <f t="shared" si="181"/>
        <v>601.91666666666674</v>
      </c>
      <c r="CM241" s="276">
        <f t="shared" si="182"/>
        <v>730.58333333333326</v>
      </c>
      <c r="CN241" s="276">
        <f t="shared" si="183"/>
        <v>872</v>
      </c>
      <c r="CO241" s="276">
        <f t="shared" si="183"/>
        <v>831</v>
      </c>
      <c r="CP241" s="276">
        <f t="shared" si="183"/>
        <v>795</v>
      </c>
      <c r="CQ241" s="39">
        <f t="shared" si="161"/>
        <v>801</v>
      </c>
      <c r="CR241" s="39">
        <f t="shared" si="162"/>
        <v>742</v>
      </c>
      <c r="CS241" s="277">
        <f t="shared" si="163"/>
        <v>711.33333333333337</v>
      </c>
      <c r="CT241" s="39">
        <f t="shared" si="164"/>
        <v>751.44444444444446</v>
      </c>
      <c r="CU241" s="39">
        <f t="shared" si="165"/>
        <v>734.92592592592598</v>
      </c>
      <c r="CV241" s="39">
        <f t="shared" si="166"/>
        <v>732.5679012345679</v>
      </c>
      <c r="CW241" s="297">
        <f t="shared" si="167"/>
        <v>1.5349728521239219</v>
      </c>
      <c r="CX241" s="279" t="str">
        <f t="shared" si="184"/>
        <v>Pass</v>
      </c>
      <c r="CY241" s="278">
        <f t="shared" si="168"/>
        <v>1.2327287830541325</v>
      </c>
      <c r="CZ241" s="279" t="str">
        <f t="shared" si="185"/>
        <v>Pass</v>
      </c>
      <c r="DA241" s="278">
        <f t="shared" si="169"/>
        <v>0.97365119196988725</v>
      </c>
      <c r="DB241" s="292" t="str">
        <f t="shared" si="186"/>
        <v>Pass</v>
      </c>
      <c r="DC241" s="299">
        <f t="shared" si="187"/>
        <v>0.86174821610601426</v>
      </c>
      <c r="DD241" s="293" t="str">
        <f t="shared" si="188"/>
        <v>Action Plan</v>
      </c>
      <c r="DE241" s="299">
        <f t="shared" si="189"/>
        <v>0.88438739581940551</v>
      </c>
      <c r="DF241" s="293" t="str">
        <f t="shared" si="190"/>
        <v>Action Plan</v>
      </c>
      <c r="DG241" s="299">
        <f t="shared" si="191"/>
        <v>0.92146905815668922</v>
      </c>
      <c r="DH241" s="293" t="str">
        <f t="shared" si="192"/>
        <v>Action Plan</v>
      </c>
    </row>
    <row r="242" spans="1:112" ht="15" thickTop="1" thickBot="1">
      <c r="A242" s="38" t="s">
        <v>594</v>
      </c>
      <c r="B242" s="38" t="s">
        <v>595</v>
      </c>
      <c r="C242" s="38" t="s">
        <v>594</v>
      </c>
      <c r="D242" s="38" t="s">
        <v>128</v>
      </c>
      <c r="E242" s="38" t="str">
        <f>VLOOKUP(C242,PoliticalControl!A:K,11,FALSE)</f>
        <v>CON</v>
      </c>
      <c r="F242" s="38" t="str">
        <f>VLOOKUP(C242,UrbanRuralClassification!A:N,13,FALSE)</f>
        <v xml:space="preserve">Mainly Rural (rural including hub towns &gt;=80%) </v>
      </c>
      <c r="G242" s="38" t="str">
        <f>VLOOKUP(C242,UrbanRuralClassification!A:N,14,FALSE)</f>
        <v>Predominantly Rural</v>
      </c>
      <c r="H242" s="258">
        <f>IF(ISBLANK((VLOOKUP($A242,'local-plan-data'!$C$1:$AD$566,27,FALSE)))=TRUE,"",VLOOKUP($A242,'local-plan-data'!$C$1:$AD$566,27,FALSE))</f>
        <v>41649</v>
      </c>
      <c r="I242" s="259">
        <f>VLOOKUP($A242,'local-plan-data'!$C$1:$AD$566,28,FALSE)</f>
        <v>2045.5555555555557</v>
      </c>
      <c r="J242" s="260">
        <f t="shared" si="170"/>
        <v>2045.5555555555557</v>
      </c>
      <c r="K242" s="259">
        <f t="shared" si="193"/>
        <v>2045.5555555555557</v>
      </c>
      <c r="L242" s="259" t="str">
        <f t="shared" si="197"/>
        <v>-</v>
      </c>
      <c r="M242" s="259" t="str">
        <f t="shared" si="197"/>
        <v>-</v>
      </c>
      <c r="N242" s="259" t="str">
        <f t="shared" si="197"/>
        <v>-</v>
      </c>
      <c r="O242" s="259" t="str">
        <f t="shared" si="197"/>
        <v>-</v>
      </c>
      <c r="P242" s="259" t="str">
        <f t="shared" si="197"/>
        <v>-</v>
      </c>
      <c r="Q242" s="259" t="str">
        <f t="shared" si="197"/>
        <v>-</v>
      </c>
      <c r="R242" s="259" t="str">
        <f t="shared" si="197"/>
        <v>-</v>
      </c>
      <c r="S242" s="259">
        <f t="shared" si="194"/>
        <v>284</v>
      </c>
      <c r="T242" s="259">
        <f t="shared" si="198"/>
        <v>-81</v>
      </c>
      <c r="U242" s="259">
        <f t="shared" si="198"/>
        <v>-447</v>
      </c>
      <c r="V242" s="259">
        <f t="shared" si="198"/>
        <v>-812</v>
      </c>
      <c r="W242" s="259">
        <f t="shared" si="198"/>
        <v>-1177</v>
      </c>
      <c r="X242" s="259">
        <f t="shared" si="198"/>
        <v>-1542</v>
      </c>
      <c r="Y242" s="259">
        <f t="shared" si="198"/>
        <v>-1908</v>
      </c>
      <c r="Z242" s="259">
        <f t="shared" si="198"/>
        <v>-2273</v>
      </c>
      <c r="AA242" s="267">
        <f>(VLOOKUP(A242,Hshldprojections2014!$A$2:$AW$319,40, FALSE)-VLOOKUP(A242,Hshldprojections2014!$A$2:$AW$319,30, FALSE))/10</f>
        <v>704</v>
      </c>
      <c r="AB242" s="267">
        <f>(VLOOKUP(A242,Hshldprojections2014!$A$2:$AW$319,41, FALSE)-VLOOKUP(A242,Hshldprojections2014!$A$2:$AW$319,31, FALSE))/10</f>
        <v>690.8</v>
      </c>
      <c r="AC242" s="267">
        <f>(VLOOKUP(A242,Hshldprojections2014!$A$2:$AW$319,42, FALSE)-VLOOKUP(A242,Hshldprojections2014!$A$2:$AW$319,32, FALSE))/10</f>
        <v>679.9</v>
      </c>
      <c r="AD242" s="267">
        <f>IF(IndividualLATest!$J$7=2014,(VLOOKUP($A242,Hshldprojections2014!$A$2:$AY$326,43,FALSE)-VLOOKUP($A242,Hshldprojections2014!$A$2:$AY$326,33,FALSE))/10,IF(IndividualLATest!$J$7=2016,(VLOOKUP($A242,Hshldprojections2016!$A$1:$AQ$322,33,FALSE)-VLOOKUP($A242,Hshldprojections2016!$A$1:$AQ$322,23,FALSE))/10,(VLOOKUP($A242,Hshldprojections2018!$A$1:$AQ$327,33,FALSE)-VLOOKUP($A242,Hshldprojections2018!$A$1:$AQ$327,23,FALSE))/10))</f>
        <v>921.9</v>
      </c>
      <c r="AE242" s="267">
        <f>IF(IndividualLATest!$J$7=2014,(VLOOKUP($A242,Hshldprojections2014!$A$2:$AY$326,44,FALSE)-VLOOKUP($A242,Hshldprojections2014!$A$2:$AY$326,34,FALSE))/10,IF(IndividualLATest!$J$7=2016,(VLOOKUP($A242,Hshldprojections2016!$A$1:$AQ$322,34,FALSE)-VLOOKUP($A242,Hshldprojections2016!$A$1:$AQ$322,24,FALSE))/10,(VLOOKUP($A242,Hshldprojections2018!$A$1:$AQ$327,34,FALSE)-VLOOKUP($A242,Hshldprojections2018!$A$1:$AQ$327,24,FALSE))/10))</f>
        <v>896.8</v>
      </c>
      <c r="AF242" s="267">
        <f>IF(IndividualLATest!$J$7=2014,(VLOOKUP($A242,Hshldprojections2014!$A$2:$AY$326,45,FALSE)-VLOOKUP($A242,Hshldprojections2014!$A$2:$AY$326,35,FALSE))/10,IF(IndividualLATest!$J$7=2016,(VLOOKUP($A242,Hshldprojections2016!$A$1:$AQ$322,35,FALSE)-VLOOKUP($A242,Hshldprojections2016!$A$1:$AQ$322,25,FALSE))/10,(VLOOKUP($A242,Hshldprojections2018!$A$1:$AQ$327,35,FALSE)-VLOOKUP($A242,Hshldprojections2018!$A$1:$AQ$327,25,FALSE))/10))</f>
        <v>872.9</v>
      </c>
      <c r="AG242" s="267">
        <f>IF(IndividualLATest!$J$7=2014,(VLOOKUP($A242,Hshldprojections2014!$A$2:$AY$326,46,FALSE)-VLOOKUP($A242,Hshldprojections2014!$A$2:$AY$326,36,FALSE))/10,IF(IndividualLATest!$J$7=2016,(VLOOKUP($A242,Hshldprojections2016!$A$1:$AQ$322,36,FALSE)-VLOOKUP($A242,Hshldprojections2016!$A$1:$AQ$322,26,FALSE))/10,(VLOOKUP($A242,Hshldprojections2018!$A$1:$AQ$327,36,FALSE)-VLOOKUP($A242,Hshldprojections2018!$A$1:$AQ$327,26,FALSE))/10))</f>
        <v>847.7</v>
      </c>
      <c r="AH242" s="267">
        <f>IF(IndividualLATest!$J$7=2014,(VLOOKUP($A242,Hshldprojections2014!$A$2:$AY$326,47,FALSE)-VLOOKUP($A242,Hshldprojections2014!$A$2:$AY$326,37,FALSE))/10,IF(IndividualLATest!$J$7=2016,(VLOOKUP($A242,Hshldprojections2016!$A$1:$AQ$322,37,FALSE)-VLOOKUP($A242,Hshldprojections2016!$A$1:$AQ$322,27,FALSE))/10,(VLOOKUP($A242,Hshldprojections2018!$A$1:$AQ$327,37,FALSE)-VLOOKUP($A242,Hshldprojections2018!$A$1:$AQ$327,27,FALSE))/10))</f>
        <v>826.8</v>
      </c>
      <c r="AI242" s="268">
        <f>IF(ISNUMBER('Sensitivity Tests'!$C$30),'Sensitivity Tests'!$C$30,VLOOKUP($A242,AffordabilityRatio!$A$2:$I$321,5,FALSE))</f>
        <v>8.93</v>
      </c>
      <c r="AJ242" s="268">
        <f>IF(ISNUMBER('Sensitivity Tests'!$C$30),'Sensitivity Tests'!$C$30,VLOOKUP($A242,AffordabilityRatio!$A$2:$I$321,6,FALSE))</f>
        <v>8.74</v>
      </c>
      <c r="AK242" s="268">
        <f>IF(ISNUMBER('Sensitivity Tests'!$C$30),'Sensitivity Tests'!$C$30,VLOOKUP($A242,AffordabilityRatio!$A$2:$I$321,7,FALSE))</f>
        <v>9.07</v>
      </c>
      <c r="AL242" s="268">
        <f>IF(ISNUMBER('Sensitivity Tests'!$C$30),'Sensitivity Tests'!$C$30,IF((VLOOKUP($A242,AffordabilityRatio!$A$2:$I$321,8,FALSE))="",AK242,VLOOKUP($A242,AffordabilityRatio!$A$2:$I$321,8,FALSE)))</f>
        <v>8.94</v>
      </c>
      <c r="AM242" s="268">
        <f>IF(ISNUMBER('Sensitivity Tests'!$C$30),'Sensitivity Tests'!$C$30,IF((VLOOKUP($A242,AffordabilityRatio!$A$2:$I$321,9,FALSE))="",AL242,VLOOKUP($A242,AffordabilityRatio!$A$2:$I$321,9,FALSE)))</f>
        <v>9.0500000000000007</v>
      </c>
      <c r="AN242" s="268">
        <f>IF(ISNUMBER('Sensitivity Tests'!$C$30),'Sensitivity Tests'!$C$30,IF((VLOOKUP($A242,AffordabilityRatio!$A$2:$I$321,9,FALSE))="",AM242,VLOOKUP($A242,AffordabilityRatio!$A$2:$I$321,9,FALSE)))</f>
        <v>9.0500000000000007</v>
      </c>
      <c r="AO242" s="268">
        <f>IF(ISNUMBER('Sensitivity Tests'!$C$30),'Sensitivity Tests'!$C$30,IF((VLOOKUP($A242,AffordabilityRatio!$A$2:$I$321,9,FALSE))="",AN242,VLOOKUP($A242,AffordabilityRatio!$A$2:$I$321,9,FALSE)))</f>
        <v>9.0500000000000007</v>
      </c>
      <c r="AP242" s="268">
        <f>IF(ISNUMBER('Sensitivity Tests'!$C$30),'Sensitivity Tests'!$C$30,IF((VLOOKUP($A242,AffordabilityRatio!$A$2:$I$321,9,FALSE))="",AO242,VLOOKUP($A242,AffordabilityRatio!$A$2:$I$321,9,FALSE)))</f>
        <v>9.0500000000000007</v>
      </c>
      <c r="AQ242" s="267">
        <f t="shared" si="199"/>
        <v>921</v>
      </c>
      <c r="AR242" s="267">
        <f t="shared" si="199"/>
        <v>895</v>
      </c>
      <c r="AS242" s="267">
        <f t="shared" si="199"/>
        <v>895</v>
      </c>
      <c r="AT242" s="267">
        <f t="shared" si="199"/>
        <v>1207</v>
      </c>
      <c r="AU242" s="267">
        <f t="shared" si="199"/>
        <v>1180</v>
      </c>
      <c r="AV242" s="267">
        <f t="shared" si="199"/>
        <v>1148</v>
      </c>
      <c r="AW242" s="267">
        <f t="shared" si="199"/>
        <v>1115</v>
      </c>
      <c r="AX242" s="267">
        <f t="shared" si="199"/>
        <v>1088</v>
      </c>
      <c r="AY242" s="267">
        <f t="shared" si="171"/>
        <v>921</v>
      </c>
      <c r="AZ242" s="267">
        <f t="shared" si="172"/>
        <v>895</v>
      </c>
      <c r="BA242" s="267">
        <f t="shared" si="173"/>
        <v>895</v>
      </c>
      <c r="BB242" s="267">
        <f t="shared" si="174"/>
        <v>1207</v>
      </c>
      <c r="BC242" s="267">
        <f t="shared" si="175"/>
        <v>1180</v>
      </c>
      <c r="BD242" s="267">
        <f t="shared" si="176"/>
        <v>1148</v>
      </c>
      <c r="BE242" s="267">
        <f t="shared" si="177"/>
        <v>1115</v>
      </c>
      <c r="BF242" s="267">
        <f t="shared" si="178"/>
        <v>1088</v>
      </c>
      <c r="BG242" s="269">
        <f>AY242*VLOOKUP($B242,'Major Cities &amp; Towns'!$A$28:$B$345,2,FALSE)</f>
        <v>921</v>
      </c>
      <c r="BH242" s="269">
        <f>AZ242*VLOOKUP($B242,'Major Cities &amp; Towns'!$A$28:$B$345,2,FALSE)</f>
        <v>895</v>
      </c>
      <c r="BI242" s="269">
        <f>BA242*VLOOKUP($B242,'Major Cities &amp; Towns'!$A$28:$B$345,2,FALSE)</f>
        <v>895</v>
      </c>
      <c r="BJ242" s="269">
        <f>BB242*VLOOKUP($B242,'Major Cities &amp; Towns'!$A$28:$B$345,2,FALSE)</f>
        <v>1207</v>
      </c>
      <c r="BK242" s="269">
        <f>BC242*VLOOKUP($B242,'Major Cities &amp; Towns'!$A$28:$B$345,2,FALSE)</f>
        <v>1180</v>
      </c>
      <c r="BL242" s="269">
        <f>BD242*VLOOKUP($B242,'Major Cities &amp; Towns'!$A$28:$B$345,2,FALSE)</f>
        <v>1148</v>
      </c>
      <c r="BM242" s="269">
        <f>BE242*VLOOKUP($B242,'Major Cities &amp; Towns'!$A$28:$B$345,2,FALSE)</f>
        <v>1115</v>
      </c>
      <c r="BN242" s="269">
        <f>BF242*VLOOKUP($B242,'Major Cities &amp; Towns'!$A$28:$B$345,2,FALSE)</f>
        <v>1088</v>
      </c>
      <c r="BO242" s="270">
        <f t="shared" si="179"/>
        <v>921</v>
      </c>
      <c r="BP242" s="270">
        <f t="shared" si="195"/>
        <v>895</v>
      </c>
      <c r="BQ242" s="270">
        <f t="shared" si="195"/>
        <v>895</v>
      </c>
      <c r="BR242" s="270">
        <f t="shared" si="195"/>
        <v>1207</v>
      </c>
      <c r="BS242" s="270">
        <f t="shared" si="195"/>
        <v>1180</v>
      </c>
      <c r="BT242" s="270">
        <f t="shared" si="195"/>
        <v>1148</v>
      </c>
      <c r="BU242" s="270">
        <f t="shared" si="195"/>
        <v>1115</v>
      </c>
      <c r="BV242" s="270">
        <f t="shared" si="195"/>
        <v>1088</v>
      </c>
      <c r="BW242" s="39">
        <f>VLOOKUP($A242,NetAdditions!$A$2:$H$336,6,FALSE)</f>
        <v>1212</v>
      </c>
      <c r="BX242" s="39">
        <f>VLOOKUP($A242,NetAdditions!$A$2:$H$336,7,FALSE)</f>
        <v>984</v>
      </c>
      <c r="BY242" s="39">
        <f>IF((VLOOKUP($C242,NetAdditions!$A$2:$H$336,8,FALSE))="",(AVERAGE(VLOOKUP($C242,NetAdditions!$A$2:$H$336,5,FALSE),VLOOKUP($C242,NetAdditions!$A$2:$H$336,6,FALSE),VLOOKUP($C242,NetAdditions!$A$2:$H$336,7,FALSE))),VLOOKUP($C242,NetAdditions!$A$2:$H$336,8,FALSE))</f>
        <v>803</v>
      </c>
      <c r="BZ242" s="39">
        <f t="shared" si="196"/>
        <v>999.66666666666663</v>
      </c>
      <c r="CA242" s="39">
        <f t="shared" si="196"/>
        <v>928.8888888888888</v>
      </c>
      <c r="CB242" s="39">
        <f t="shared" si="196"/>
        <v>910.51851851851836</v>
      </c>
      <c r="CC242" s="39">
        <f t="shared" si="196"/>
        <v>946.35802469135797</v>
      </c>
      <c r="CD242" s="39">
        <f t="shared" si="196"/>
        <v>928.58847736625501</v>
      </c>
      <c r="CE242" s="276">
        <f t="shared" si="155"/>
        <v>2711</v>
      </c>
      <c r="CF242" s="276">
        <f t="shared" si="156"/>
        <v>2997</v>
      </c>
      <c r="CG242" s="276">
        <f t="shared" si="157"/>
        <v>3282</v>
      </c>
      <c r="CH242" s="276">
        <f t="shared" si="158"/>
        <v>3535</v>
      </c>
      <c r="CI242" s="276">
        <f t="shared" si="159"/>
        <v>3443</v>
      </c>
      <c r="CJ242" s="276">
        <f t="shared" si="160"/>
        <v>3351</v>
      </c>
      <c r="CK242" s="276">
        <f t="shared" si="180"/>
        <v>2334.4722222222222</v>
      </c>
      <c r="CL242" s="276">
        <f t="shared" si="181"/>
        <v>2580.75</v>
      </c>
      <c r="CM242" s="276">
        <f t="shared" si="182"/>
        <v>3008.5</v>
      </c>
      <c r="CN242" s="276">
        <f t="shared" si="183"/>
        <v>3535</v>
      </c>
      <c r="CO242" s="276">
        <f t="shared" si="183"/>
        <v>3443</v>
      </c>
      <c r="CP242" s="276">
        <f t="shared" si="183"/>
        <v>3351</v>
      </c>
      <c r="CQ242" s="39">
        <f t="shared" si="161"/>
        <v>2999</v>
      </c>
      <c r="CR242" s="39">
        <f t="shared" si="162"/>
        <v>2786.6666666666665</v>
      </c>
      <c r="CS242" s="277">
        <f t="shared" si="163"/>
        <v>2731.5555555555552</v>
      </c>
      <c r="CT242" s="39">
        <f t="shared" si="164"/>
        <v>2839.0740740740739</v>
      </c>
      <c r="CU242" s="39">
        <f t="shared" si="165"/>
        <v>2785.7654320987649</v>
      </c>
      <c r="CV242" s="39">
        <f t="shared" si="166"/>
        <v>2785.4650205761313</v>
      </c>
      <c r="CW242" s="297">
        <f t="shared" si="167"/>
        <v>1.2846586785021596</v>
      </c>
      <c r="CX242" s="279" t="str">
        <f t="shared" si="184"/>
        <v>Pass</v>
      </c>
      <c r="CY242" s="278">
        <f t="shared" si="168"/>
        <v>1.0797894668862411</v>
      </c>
      <c r="CZ242" s="279" t="str">
        <f t="shared" si="185"/>
        <v>Pass</v>
      </c>
      <c r="DA242" s="278">
        <f t="shared" si="169"/>
        <v>0.90794600483814369</v>
      </c>
      <c r="DB242" s="292" t="str">
        <f t="shared" si="186"/>
        <v>Action Plan</v>
      </c>
      <c r="DC242" s="299">
        <f t="shared" si="187"/>
        <v>0.80313269422180311</v>
      </c>
      <c r="DD242" s="293" t="str">
        <f t="shared" si="188"/>
        <v>Buffer and Action Plan</v>
      </c>
      <c r="DE242" s="299">
        <f t="shared" si="189"/>
        <v>0.80910991347626049</v>
      </c>
      <c r="DF242" s="293" t="str">
        <f t="shared" si="190"/>
        <v>Buffer and Action Plan</v>
      </c>
      <c r="DG242" s="299">
        <f t="shared" si="191"/>
        <v>0.83123396615223255</v>
      </c>
      <c r="DH242" s="293" t="str">
        <f t="shared" si="192"/>
        <v>Buffer and Action Plan</v>
      </c>
    </row>
    <row r="243" spans="1:112" ht="15" thickTop="1" thickBot="1">
      <c r="A243" s="38" t="s">
        <v>596</v>
      </c>
      <c r="B243" s="38" t="s">
        <v>597</v>
      </c>
      <c r="C243" s="38" t="s">
        <v>596</v>
      </c>
      <c r="D243" s="38" t="s">
        <v>119</v>
      </c>
      <c r="E243" s="38" t="str">
        <f>VLOOKUP(C243,PoliticalControl!A:K,11,FALSE)</f>
        <v>CON</v>
      </c>
      <c r="F243" s="38" t="str">
        <f>VLOOKUP(C243,UrbanRuralClassification!A:N,13,FALSE)</f>
        <v xml:space="preserve">Mainly Rural (rural including hub towns &gt;=80%) </v>
      </c>
      <c r="G243" s="38" t="str">
        <f>VLOOKUP(C243,UrbanRuralClassification!A:N,14,FALSE)</f>
        <v>Predominantly Rural</v>
      </c>
      <c r="H243" s="258">
        <f>IF(ISBLANK((VLOOKUP($A243,'local-plan-data'!$C$1:$AD$566,27,FALSE)))=TRUE,"",VLOOKUP($A243,'local-plan-data'!$C$1:$AD$566,27,FALSE))</f>
        <v>41988</v>
      </c>
      <c r="I243" s="259">
        <f>VLOOKUP($A243,'local-plan-data'!$C$1:$AD$566,28,FALSE)</f>
        <v>612.22222222222217</v>
      </c>
      <c r="J243" s="260">
        <f t="shared" si="170"/>
        <v>612.22222222222217</v>
      </c>
      <c r="K243" s="259">
        <f t="shared" si="193"/>
        <v>612.22222222222217</v>
      </c>
      <c r="L243" s="259">
        <f t="shared" si="197"/>
        <v>612.22222222222217</v>
      </c>
      <c r="M243" s="259" t="str">
        <f t="shared" si="197"/>
        <v>-</v>
      </c>
      <c r="N243" s="259" t="str">
        <f t="shared" si="197"/>
        <v>-</v>
      </c>
      <c r="O243" s="259" t="str">
        <f t="shared" si="197"/>
        <v>-</v>
      </c>
      <c r="P243" s="259" t="str">
        <f t="shared" si="197"/>
        <v>-</v>
      </c>
      <c r="Q243" s="259" t="str">
        <f t="shared" si="197"/>
        <v>-</v>
      </c>
      <c r="R243" s="259" t="str">
        <f t="shared" si="197"/>
        <v>-</v>
      </c>
      <c r="S243" s="259">
        <f t="shared" si="194"/>
        <v>623</v>
      </c>
      <c r="T243" s="259">
        <f t="shared" si="198"/>
        <v>258</v>
      </c>
      <c r="U243" s="259">
        <f t="shared" si="198"/>
        <v>-108</v>
      </c>
      <c r="V243" s="259">
        <f t="shared" si="198"/>
        <v>-473</v>
      </c>
      <c r="W243" s="259">
        <f t="shared" si="198"/>
        <v>-838</v>
      </c>
      <c r="X243" s="259">
        <f t="shared" si="198"/>
        <v>-1203</v>
      </c>
      <c r="Y243" s="259">
        <f t="shared" si="198"/>
        <v>-1569</v>
      </c>
      <c r="Z243" s="259">
        <f t="shared" si="198"/>
        <v>-1934</v>
      </c>
      <c r="AA243" s="267">
        <f>(VLOOKUP(A243,Hshldprojections2014!$A$2:$AW$319,40, FALSE)-VLOOKUP(A243,Hshldprojections2014!$A$2:$AW$319,30, FALSE))/10</f>
        <v>372</v>
      </c>
      <c r="AB243" s="267">
        <f>(VLOOKUP(A243,Hshldprojections2014!$A$2:$AW$319,41, FALSE)-VLOOKUP(A243,Hshldprojections2014!$A$2:$AW$319,31, FALSE))/10</f>
        <v>368.9</v>
      </c>
      <c r="AC243" s="267">
        <f>(VLOOKUP(A243,Hshldprojections2014!$A$2:$AW$319,42, FALSE)-VLOOKUP(A243,Hshldprojections2014!$A$2:$AW$319,32, FALSE))/10</f>
        <v>366.2</v>
      </c>
      <c r="AD243" s="267">
        <f>IF(IndividualLATest!$J$7=2014,(VLOOKUP($A243,Hshldprojections2014!$A$2:$AY$326,43,FALSE)-VLOOKUP($A243,Hshldprojections2014!$A$2:$AY$326,33,FALSE))/10,IF(IndividualLATest!$J$7=2016,(VLOOKUP($A243,Hshldprojections2016!$A$1:$AQ$322,33,FALSE)-VLOOKUP($A243,Hshldprojections2016!$A$1:$AQ$322,23,FALSE))/10,(VLOOKUP($A243,Hshldprojections2018!$A$1:$AQ$327,33,FALSE)-VLOOKUP($A243,Hshldprojections2018!$A$1:$AQ$327,23,FALSE))/10))</f>
        <v>447.5</v>
      </c>
      <c r="AE243" s="267">
        <f>IF(IndividualLATest!$J$7=2014,(VLOOKUP($A243,Hshldprojections2014!$A$2:$AY$326,44,FALSE)-VLOOKUP($A243,Hshldprojections2014!$A$2:$AY$326,34,FALSE))/10,IF(IndividualLATest!$J$7=2016,(VLOOKUP($A243,Hshldprojections2016!$A$1:$AQ$322,34,FALSE)-VLOOKUP($A243,Hshldprojections2016!$A$1:$AQ$322,24,FALSE))/10,(VLOOKUP($A243,Hshldprojections2018!$A$1:$AQ$327,34,FALSE)-VLOOKUP($A243,Hshldprojections2018!$A$1:$AQ$327,24,FALSE))/10))</f>
        <v>429.5</v>
      </c>
      <c r="AF243" s="267">
        <f>IF(IndividualLATest!$J$7=2014,(VLOOKUP($A243,Hshldprojections2014!$A$2:$AY$326,45,FALSE)-VLOOKUP($A243,Hshldprojections2014!$A$2:$AY$326,35,FALSE))/10,IF(IndividualLATest!$J$7=2016,(VLOOKUP($A243,Hshldprojections2016!$A$1:$AQ$322,35,FALSE)-VLOOKUP($A243,Hshldprojections2016!$A$1:$AQ$322,25,FALSE))/10,(VLOOKUP($A243,Hshldprojections2018!$A$1:$AQ$327,35,FALSE)-VLOOKUP($A243,Hshldprojections2018!$A$1:$AQ$327,25,FALSE))/10))</f>
        <v>415.3</v>
      </c>
      <c r="AG243" s="267">
        <f>IF(IndividualLATest!$J$7=2014,(VLOOKUP($A243,Hshldprojections2014!$A$2:$AY$326,46,FALSE)-VLOOKUP($A243,Hshldprojections2014!$A$2:$AY$326,36,FALSE))/10,IF(IndividualLATest!$J$7=2016,(VLOOKUP($A243,Hshldprojections2016!$A$1:$AQ$322,36,FALSE)-VLOOKUP($A243,Hshldprojections2016!$A$1:$AQ$322,26,FALSE))/10,(VLOOKUP($A243,Hshldprojections2018!$A$1:$AQ$327,36,FALSE)-VLOOKUP($A243,Hshldprojections2018!$A$1:$AQ$327,26,FALSE))/10))</f>
        <v>400.8</v>
      </c>
      <c r="AH243" s="267">
        <f>IF(IndividualLATest!$J$7=2014,(VLOOKUP($A243,Hshldprojections2014!$A$2:$AY$326,47,FALSE)-VLOOKUP($A243,Hshldprojections2014!$A$2:$AY$326,37,FALSE))/10,IF(IndividualLATest!$J$7=2016,(VLOOKUP($A243,Hshldprojections2016!$A$1:$AQ$322,37,FALSE)-VLOOKUP($A243,Hshldprojections2016!$A$1:$AQ$322,27,FALSE))/10,(VLOOKUP($A243,Hshldprojections2018!$A$1:$AQ$327,37,FALSE)-VLOOKUP($A243,Hshldprojections2018!$A$1:$AQ$327,27,FALSE))/10))</f>
        <v>388.5</v>
      </c>
      <c r="AI243" s="268">
        <f>IF(ISNUMBER('Sensitivity Tests'!$C$30),'Sensitivity Tests'!$C$30,VLOOKUP($A243,AffordabilityRatio!$A$2:$I$321,5,FALSE))</f>
        <v>10.3</v>
      </c>
      <c r="AJ243" s="268">
        <f>IF(ISNUMBER('Sensitivity Tests'!$C$30),'Sensitivity Tests'!$C$30,VLOOKUP($A243,AffordabilityRatio!$A$2:$I$321,6,FALSE))</f>
        <v>10.56</v>
      </c>
      <c r="AK243" s="268">
        <f>IF(ISNUMBER('Sensitivity Tests'!$C$30),'Sensitivity Tests'!$C$30,VLOOKUP($A243,AffordabilityRatio!$A$2:$I$321,7,FALSE))</f>
        <v>10</v>
      </c>
      <c r="AL243" s="268">
        <f>IF(ISNUMBER('Sensitivity Tests'!$C$30),'Sensitivity Tests'!$C$30,IF((VLOOKUP($A243,AffordabilityRatio!$A$2:$I$321,8,FALSE))="",AK243,VLOOKUP($A243,AffordabilityRatio!$A$2:$I$321,8,FALSE)))</f>
        <v>10.33</v>
      </c>
      <c r="AM243" s="268">
        <f>IF(ISNUMBER('Sensitivity Tests'!$C$30),'Sensitivity Tests'!$C$30,IF((VLOOKUP($A243,AffordabilityRatio!$A$2:$I$321,9,FALSE))="",AL243,VLOOKUP($A243,AffordabilityRatio!$A$2:$I$321,9,FALSE)))</f>
        <v>10.33</v>
      </c>
      <c r="AN243" s="268">
        <f>IF(ISNUMBER('Sensitivity Tests'!$C$30),'Sensitivity Tests'!$C$30,IF((VLOOKUP($A243,AffordabilityRatio!$A$2:$I$321,9,FALSE))="",AM243,VLOOKUP($A243,AffordabilityRatio!$A$2:$I$321,9,FALSE)))</f>
        <v>10.33</v>
      </c>
      <c r="AO243" s="268">
        <f>IF(ISNUMBER('Sensitivity Tests'!$C$30),'Sensitivity Tests'!$C$30,IF((VLOOKUP($A243,AffordabilityRatio!$A$2:$I$321,9,FALSE))="",AN243,VLOOKUP($A243,AffordabilityRatio!$A$2:$I$321,9,FALSE)))</f>
        <v>10.33</v>
      </c>
      <c r="AP243" s="268">
        <f>IF(ISNUMBER('Sensitivity Tests'!$C$30),'Sensitivity Tests'!$C$30,IF((VLOOKUP($A243,AffordabilityRatio!$A$2:$I$321,9,FALSE))="",AO243,VLOOKUP($A243,AffordabilityRatio!$A$2:$I$321,9,FALSE)))</f>
        <v>10.33</v>
      </c>
      <c r="AQ243" s="267">
        <f t="shared" si="199"/>
        <v>518</v>
      </c>
      <c r="AR243" s="267">
        <f t="shared" si="199"/>
        <v>520</v>
      </c>
      <c r="AS243" s="267">
        <f t="shared" si="199"/>
        <v>504</v>
      </c>
      <c r="AT243" s="267">
        <f t="shared" si="199"/>
        <v>625</v>
      </c>
      <c r="AU243" s="267">
        <f t="shared" si="199"/>
        <v>599</v>
      </c>
      <c r="AV243" s="267">
        <f t="shared" si="199"/>
        <v>580</v>
      </c>
      <c r="AW243" s="267">
        <f t="shared" si="199"/>
        <v>559</v>
      </c>
      <c r="AX243" s="267">
        <f t="shared" si="199"/>
        <v>542</v>
      </c>
      <c r="AY243" s="267">
        <f t="shared" si="171"/>
        <v>518</v>
      </c>
      <c r="AZ243" s="267">
        <f t="shared" si="172"/>
        <v>520</v>
      </c>
      <c r="BA243" s="267">
        <f t="shared" si="173"/>
        <v>504</v>
      </c>
      <c r="BB243" s="267">
        <f t="shared" si="174"/>
        <v>625</v>
      </c>
      <c r="BC243" s="267">
        <f t="shared" si="175"/>
        <v>599</v>
      </c>
      <c r="BD243" s="267">
        <f t="shared" si="176"/>
        <v>580</v>
      </c>
      <c r="BE243" s="267">
        <f t="shared" si="177"/>
        <v>559</v>
      </c>
      <c r="BF243" s="267">
        <f t="shared" si="178"/>
        <v>542</v>
      </c>
      <c r="BG243" s="269">
        <f>AY243*VLOOKUP($B243,'Major Cities &amp; Towns'!$A$28:$B$345,2,FALSE)</f>
        <v>518</v>
      </c>
      <c r="BH243" s="269">
        <f>AZ243*VLOOKUP($B243,'Major Cities &amp; Towns'!$A$28:$B$345,2,FALSE)</f>
        <v>520</v>
      </c>
      <c r="BI243" s="269">
        <f>BA243*VLOOKUP($B243,'Major Cities &amp; Towns'!$A$28:$B$345,2,FALSE)</f>
        <v>504</v>
      </c>
      <c r="BJ243" s="269">
        <f>BB243*VLOOKUP($B243,'Major Cities &amp; Towns'!$A$28:$B$345,2,FALSE)</f>
        <v>625</v>
      </c>
      <c r="BK243" s="269">
        <f>BC243*VLOOKUP($B243,'Major Cities &amp; Towns'!$A$28:$B$345,2,FALSE)</f>
        <v>599</v>
      </c>
      <c r="BL243" s="269">
        <f>BD243*VLOOKUP($B243,'Major Cities &amp; Towns'!$A$28:$B$345,2,FALSE)</f>
        <v>580</v>
      </c>
      <c r="BM243" s="269">
        <f>BE243*VLOOKUP($B243,'Major Cities &amp; Towns'!$A$28:$B$345,2,FALSE)</f>
        <v>559</v>
      </c>
      <c r="BN243" s="269">
        <f>BF243*VLOOKUP($B243,'Major Cities &amp; Towns'!$A$28:$B$345,2,FALSE)</f>
        <v>542</v>
      </c>
      <c r="BO243" s="270">
        <f t="shared" si="179"/>
        <v>518</v>
      </c>
      <c r="BP243" s="270">
        <f t="shared" si="195"/>
        <v>520</v>
      </c>
      <c r="BQ243" s="270">
        <f t="shared" si="195"/>
        <v>504</v>
      </c>
      <c r="BR243" s="270">
        <f t="shared" si="195"/>
        <v>625</v>
      </c>
      <c r="BS243" s="270">
        <f t="shared" si="195"/>
        <v>599</v>
      </c>
      <c r="BT243" s="270">
        <f t="shared" si="195"/>
        <v>580</v>
      </c>
      <c r="BU243" s="270">
        <f t="shared" si="195"/>
        <v>559</v>
      </c>
      <c r="BV243" s="270">
        <f t="shared" si="195"/>
        <v>542</v>
      </c>
      <c r="BW243" s="39">
        <f>VLOOKUP($A243,NetAdditions!$A$2:$H$336,6,FALSE)</f>
        <v>786</v>
      </c>
      <c r="BX243" s="39">
        <f>VLOOKUP($A243,NetAdditions!$A$2:$H$336,7,FALSE)</f>
        <v>459</v>
      </c>
      <c r="BY243" s="39">
        <f>IF((VLOOKUP($C243,NetAdditions!$A$2:$H$336,8,FALSE))="",(AVERAGE(VLOOKUP($C243,NetAdditions!$A$2:$H$336,5,FALSE),VLOOKUP($C243,NetAdditions!$A$2:$H$336,6,FALSE),VLOOKUP($C243,NetAdditions!$A$2:$H$336,7,FALSE))),VLOOKUP($C243,NetAdditions!$A$2:$H$336,8,FALSE))</f>
        <v>692.33333333333337</v>
      </c>
      <c r="BZ243" s="39">
        <f t="shared" si="196"/>
        <v>645.77777777777783</v>
      </c>
      <c r="CA243" s="39">
        <f t="shared" si="196"/>
        <v>599.03703703703707</v>
      </c>
      <c r="CB243" s="39">
        <f t="shared" si="196"/>
        <v>645.71604938271605</v>
      </c>
      <c r="CC243" s="39">
        <f t="shared" si="196"/>
        <v>630.17695473251024</v>
      </c>
      <c r="CD243" s="39">
        <f t="shared" si="196"/>
        <v>624.97668038408779</v>
      </c>
      <c r="CE243" s="276">
        <f t="shared" si="155"/>
        <v>1542</v>
      </c>
      <c r="CF243" s="276">
        <f t="shared" si="156"/>
        <v>1649</v>
      </c>
      <c r="CG243" s="276">
        <f t="shared" si="157"/>
        <v>1728</v>
      </c>
      <c r="CH243" s="276">
        <f t="shared" si="158"/>
        <v>1804</v>
      </c>
      <c r="CI243" s="276">
        <f t="shared" si="159"/>
        <v>1738</v>
      </c>
      <c r="CJ243" s="276">
        <f t="shared" si="160"/>
        <v>1681</v>
      </c>
      <c r="CK243" s="276">
        <f t="shared" si="180"/>
        <v>1327.8333333333335</v>
      </c>
      <c r="CL243" s="276">
        <f t="shared" si="181"/>
        <v>1419.9722222222224</v>
      </c>
      <c r="CM243" s="276">
        <f t="shared" si="182"/>
        <v>1584</v>
      </c>
      <c r="CN243" s="276">
        <f t="shared" si="183"/>
        <v>1804</v>
      </c>
      <c r="CO243" s="276">
        <f t="shared" si="183"/>
        <v>1738</v>
      </c>
      <c r="CP243" s="276">
        <f t="shared" si="183"/>
        <v>1681</v>
      </c>
      <c r="CQ243" s="39">
        <f t="shared" si="161"/>
        <v>1937.3333333333335</v>
      </c>
      <c r="CR243" s="39">
        <f t="shared" si="162"/>
        <v>1797.1111111111113</v>
      </c>
      <c r="CS243" s="277">
        <f t="shared" si="163"/>
        <v>1937.1481481481483</v>
      </c>
      <c r="CT243" s="39">
        <f t="shared" si="164"/>
        <v>1890.5308641975307</v>
      </c>
      <c r="CU243" s="39">
        <f t="shared" si="165"/>
        <v>1874.9300411522634</v>
      </c>
      <c r="CV243" s="39">
        <f t="shared" si="166"/>
        <v>1900.869684499314</v>
      </c>
      <c r="CW243" s="297">
        <f t="shared" si="167"/>
        <v>1.4590184511108322</v>
      </c>
      <c r="CX243" s="279" t="str">
        <f t="shared" si="184"/>
        <v>Pass</v>
      </c>
      <c r="CY243" s="278">
        <f t="shared" si="168"/>
        <v>1.265595962362331</v>
      </c>
      <c r="CZ243" s="279" t="str">
        <f t="shared" si="185"/>
        <v>Pass</v>
      </c>
      <c r="DA243" s="278">
        <f t="shared" si="169"/>
        <v>1.2229470632248411</v>
      </c>
      <c r="DB243" s="292" t="str">
        <f t="shared" si="186"/>
        <v>Pass</v>
      </c>
      <c r="DC243" s="299">
        <f t="shared" si="187"/>
        <v>1.0479661109742411</v>
      </c>
      <c r="DD243" s="293" t="str">
        <f t="shared" si="188"/>
        <v>Pass</v>
      </c>
      <c r="DE243" s="299">
        <f t="shared" si="189"/>
        <v>1.0787859845525105</v>
      </c>
      <c r="DF243" s="293" t="str">
        <f t="shared" si="190"/>
        <v>Pass</v>
      </c>
      <c r="DG243" s="299">
        <f t="shared" si="191"/>
        <v>1.1307969568705021</v>
      </c>
      <c r="DH243" s="293" t="str">
        <f t="shared" si="192"/>
        <v>Pass</v>
      </c>
    </row>
    <row r="244" spans="1:112" ht="15" thickTop="1" thickBot="1">
      <c r="A244" s="38" t="s">
        <v>598</v>
      </c>
      <c r="B244" s="38" t="s">
        <v>599</v>
      </c>
      <c r="C244" s="38" t="s">
        <v>598</v>
      </c>
      <c r="D244" s="38" t="s">
        <v>113</v>
      </c>
      <c r="E244" s="38" t="str">
        <f>VLOOKUP(C244,PoliticalControl!A:K,11,FALSE)</f>
        <v>NOC</v>
      </c>
      <c r="F244" s="38" t="str">
        <f>VLOOKUP(C244,UrbanRuralClassification!A:N,13,FALSE)</f>
        <v xml:space="preserve">Mainly Rural (rural including hub towns &gt;=80%) </v>
      </c>
      <c r="G244" s="38" t="str">
        <f>VLOOKUP(C244,UrbanRuralClassification!A:N,14,FALSE)</f>
        <v>Predominantly Rural</v>
      </c>
      <c r="H244" s="258">
        <f>IF(ISBLANK((VLOOKUP($A244,'local-plan-data'!$C$1:$AD$566,27,FALSE)))=TRUE,"",VLOOKUP($A244,'local-plan-data'!$C$1:$AD$566,27,FALSE))</f>
        <v>44175</v>
      </c>
      <c r="I244" s="259">
        <f>VLOOKUP($A244,'local-plan-data'!$C$1:$AD$566,28,FALSE)</f>
        <v>981.25</v>
      </c>
      <c r="J244" s="260">
        <f t="shared" si="170"/>
        <v>981.25</v>
      </c>
      <c r="K244" s="259">
        <f t="shared" si="193"/>
        <v>981.25</v>
      </c>
      <c r="L244" s="259">
        <f t="shared" si="197"/>
        <v>981.25</v>
      </c>
      <c r="M244" s="259">
        <f t="shared" si="197"/>
        <v>981.25</v>
      </c>
      <c r="N244" s="259">
        <f t="shared" si="197"/>
        <v>981.25</v>
      </c>
      <c r="O244" s="259">
        <f t="shared" si="197"/>
        <v>981.25</v>
      </c>
      <c r="P244" s="259">
        <f t="shared" si="197"/>
        <v>981.25</v>
      </c>
      <c r="Q244" s="259">
        <f t="shared" si="197"/>
        <v>981.25</v>
      </c>
      <c r="R244" s="259">
        <f t="shared" si="197"/>
        <v>981.25</v>
      </c>
      <c r="S244" s="259">
        <f t="shared" si="194"/>
        <v>2810</v>
      </c>
      <c r="T244" s="259">
        <f t="shared" si="198"/>
        <v>2445</v>
      </c>
      <c r="U244" s="259">
        <f t="shared" si="198"/>
        <v>2079</v>
      </c>
      <c r="V244" s="259">
        <f t="shared" si="198"/>
        <v>1714</v>
      </c>
      <c r="W244" s="259">
        <f t="shared" si="198"/>
        <v>1349</v>
      </c>
      <c r="X244" s="259">
        <f t="shared" si="198"/>
        <v>984</v>
      </c>
      <c r="Y244" s="259">
        <f t="shared" si="198"/>
        <v>618</v>
      </c>
      <c r="Z244" s="259">
        <f t="shared" si="198"/>
        <v>253</v>
      </c>
      <c r="AA244" s="267">
        <f>(VLOOKUP(A244,Hshldprojections2014!$A$2:$AW$319,40, FALSE)-VLOOKUP(A244,Hshldprojections2014!$A$2:$AW$319,30, FALSE))/10</f>
        <v>420.3</v>
      </c>
      <c r="AB244" s="267">
        <f>(VLOOKUP(A244,Hshldprojections2014!$A$2:$AW$319,41, FALSE)-VLOOKUP(A244,Hshldprojections2014!$A$2:$AW$319,31, FALSE))/10</f>
        <v>414.9</v>
      </c>
      <c r="AC244" s="267">
        <f>(VLOOKUP(A244,Hshldprojections2014!$A$2:$AW$319,42, FALSE)-VLOOKUP(A244,Hshldprojections2014!$A$2:$AW$319,32, FALSE))/10</f>
        <v>412.3</v>
      </c>
      <c r="AD244" s="267">
        <f>IF(IndividualLATest!$J$7=2014,(VLOOKUP($A244,Hshldprojections2014!$A$2:$AY$326,43,FALSE)-VLOOKUP($A244,Hshldprojections2014!$A$2:$AY$326,33,FALSE))/10,IF(IndividualLATest!$J$7=2016,(VLOOKUP($A244,Hshldprojections2016!$A$1:$AQ$322,33,FALSE)-VLOOKUP($A244,Hshldprojections2016!$A$1:$AQ$322,23,FALSE))/10,(VLOOKUP($A244,Hshldprojections2018!$A$1:$AQ$327,33,FALSE)-VLOOKUP($A244,Hshldprojections2018!$A$1:$AQ$327,23,FALSE))/10))</f>
        <v>349.7</v>
      </c>
      <c r="AE244" s="267">
        <f>IF(IndividualLATest!$J$7=2014,(VLOOKUP($A244,Hshldprojections2014!$A$2:$AY$326,44,FALSE)-VLOOKUP($A244,Hshldprojections2014!$A$2:$AY$326,34,FALSE))/10,IF(IndividualLATest!$J$7=2016,(VLOOKUP($A244,Hshldprojections2016!$A$1:$AQ$322,34,FALSE)-VLOOKUP($A244,Hshldprojections2016!$A$1:$AQ$322,24,FALSE))/10,(VLOOKUP($A244,Hshldprojections2018!$A$1:$AQ$327,34,FALSE)-VLOOKUP($A244,Hshldprojections2018!$A$1:$AQ$327,24,FALSE))/10))</f>
        <v>331.7</v>
      </c>
      <c r="AF244" s="267">
        <f>IF(IndividualLATest!$J$7=2014,(VLOOKUP($A244,Hshldprojections2014!$A$2:$AY$326,45,FALSE)-VLOOKUP($A244,Hshldprojections2014!$A$2:$AY$326,35,FALSE))/10,IF(IndividualLATest!$J$7=2016,(VLOOKUP($A244,Hshldprojections2016!$A$1:$AQ$322,35,FALSE)-VLOOKUP($A244,Hshldprojections2016!$A$1:$AQ$322,25,FALSE))/10,(VLOOKUP($A244,Hshldprojections2018!$A$1:$AQ$327,35,FALSE)-VLOOKUP($A244,Hshldprojections2018!$A$1:$AQ$327,25,FALSE))/10))</f>
        <v>314.2</v>
      </c>
      <c r="AG244" s="267">
        <f>IF(IndividualLATest!$J$7=2014,(VLOOKUP($A244,Hshldprojections2014!$A$2:$AY$326,46,FALSE)-VLOOKUP($A244,Hshldprojections2014!$A$2:$AY$326,36,FALSE))/10,IF(IndividualLATest!$J$7=2016,(VLOOKUP($A244,Hshldprojections2016!$A$1:$AQ$322,36,FALSE)-VLOOKUP($A244,Hshldprojections2016!$A$1:$AQ$322,26,FALSE))/10,(VLOOKUP($A244,Hshldprojections2018!$A$1:$AQ$327,36,FALSE)-VLOOKUP($A244,Hshldprojections2018!$A$1:$AQ$327,26,FALSE))/10))</f>
        <v>298.10000000000002</v>
      </c>
      <c r="AH244" s="267">
        <f>IF(IndividualLATest!$J$7=2014,(VLOOKUP($A244,Hshldprojections2014!$A$2:$AY$326,47,FALSE)-VLOOKUP($A244,Hshldprojections2014!$A$2:$AY$326,37,FALSE))/10,IF(IndividualLATest!$J$7=2016,(VLOOKUP($A244,Hshldprojections2016!$A$1:$AQ$322,37,FALSE)-VLOOKUP($A244,Hshldprojections2016!$A$1:$AQ$322,27,FALSE))/10,(VLOOKUP($A244,Hshldprojections2018!$A$1:$AQ$327,37,FALSE)-VLOOKUP($A244,Hshldprojections2018!$A$1:$AQ$327,27,FALSE))/10))</f>
        <v>287.10000000000002</v>
      </c>
      <c r="AI244" s="268">
        <f>IF(ISNUMBER('Sensitivity Tests'!$C$30),'Sensitivity Tests'!$C$30,VLOOKUP($A244,AffordabilityRatio!$A$2:$I$321,5,FALSE))</f>
        <v>11.81</v>
      </c>
      <c r="AJ244" s="268">
        <f>IF(ISNUMBER('Sensitivity Tests'!$C$30),'Sensitivity Tests'!$C$30,VLOOKUP($A244,AffordabilityRatio!$A$2:$I$321,6,FALSE))</f>
        <v>12.37</v>
      </c>
      <c r="AK244" s="268">
        <f>IF(ISNUMBER('Sensitivity Tests'!$C$30),'Sensitivity Tests'!$C$30,VLOOKUP($A244,AffordabilityRatio!$A$2:$I$321,7,FALSE))</f>
        <v>11.69</v>
      </c>
      <c r="AL244" s="268">
        <f>IF(ISNUMBER('Sensitivity Tests'!$C$30),'Sensitivity Tests'!$C$30,IF((VLOOKUP($A244,AffordabilityRatio!$A$2:$I$321,8,FALSE))="",AK244,VLOOKUP($A244,AffordabilityRatio!$A$2:$I$321,8,FALSE)))</f>
        <v>11.9</v>
      </c>
      <c r="AM244" s="268">
        <f>IF(ISNUMBER('Sensitivity Tests'!$C$30),'Sensitivity Tests'!$C$30,IF((VLOOKUP($A244,AffordabilityRatio!$A$2:$I$321,9,FALSE))="",AL244,VLOOKUP($A244,AffordabilityRatio!$A$2:$I$321,9,FALSE)))</f>
        <v>13.07</v>
      </c>
      <c r="AN244" s="268">
        <f>IF(ISNUMBER('Sensitivity Tests'!$C$30),'Sensitivity Tests'!$C$30,IF((VLOOKUP($A244,AffordabilityRatio!$A$2:$I$321,9,FALSE))="",AM244,VLOOKUP($A244,AffordabilityRatio!$A$2:$I$321,9,FALSE)))</f>
        <v>13.07</v>
      </c>
      <c r="AO244" s="268">
        <f>IF(ISNUMBER('Sensitivity Tests'!$C$30),'Sensitivity Tests'!$C$30,IF((VLOOKUP($A244,AffordabilityRatio!$A$2:$I$321,9,FALSE))="",AN244,VLOOKUP($A244,AffordabilityRatio!$A$2:$I$321,9,FALSE)))</f>
        <v>13.07</v>
      </c>
      <c r="AP244" s="268">
        <f>IF(ISNUMBER('Sensitivity Tests'!$C$30),'Sensitivity Tests'!$C$30,IF((VLOOKUP($A244,AffordabilityRatio!$A$2:$I$321,9,FALSE))="",AO244,VLOOKUP($A244,AffordabilityRatio!$A$2:$I$321,9,FALSE)))</f>
        <v>13.07</v>
      </c>
      <c r="AQ244" s="267">
        <f t="shared" si="199"/>
        <v>625</v>
      </c>
      <c r="AR244" s="267">
        <f t="shared" si="199"/>
        <v>632</v>
      </c>
      <c r="AS244" s="267">
        <f t="shared" si="199"/>
        <v>610</v>
      </c>
      <c r="AT244" s="267">
        <f t="shared" si="199"/>
        <v>522</v>
      </c>
      <c r="AU244" s="267">
        <f t="shared" si="199"/>
        <v>520</v>
      </c>
      <c r="AV244" s="267">
        <f t="shared" si="199"/>
        <v>492</v>
      </c>
      <c r="AW244" s="267">
        <f t="shared" si="199"/>
        <v>467</v>
      </c>
      <c r="AX244" s="267">
        <f t="shared" si="199"/>
        <v>450</v>
      </c>
      <c r="AY244" s="267">
        <f t="shared" si="171"/>
        <v>625</v>
      </c>
      <c r="AZ244" s="267">
        <f t="shared" si="172"/>
        <v>632</v>
      </c>
      <c r="BA244" s="267">
        <f t="shared" si="173"/>
        <v>610</v>
      </c>
      <c r="BB244" s="267">
        <f t="shared" si="174"/>
        <v>522</v>
      </c>
      <c r="BC244" s="267">
        <f t="shared" si="175"/>
        <v>520</v>
      </c>
      <c r="BD244" s="267">
        <f t="shared" si="176"/>
        <v>492</v>
      </c>
      <c r="BE244" s="267">
        <f t="shared" si="177"/>
        <v>467</v>
      </c>
      <c r="BF244" s="267">
        <f t="shared" si="178"/>
        <v>450</v>
      </c>
      <c r="BG244" s="269">
        <f>AY244*VLOOKUP($B244,'Major Cities &amp; Towns'!$A$28:$B$345,2,FALSE)</f>
        <v>625</v>
      </c>
      <c r="BH244" s="269">
        <f>AZ244*VLOOKUP($B244,'Major Cities &amp; Towns'!$A$28:$B$345,2,FALSE)</f>
        <v>632</v>
      </c>
      <c r="BI244" s="269">
        <f>BA244*VLOOKUP($B244,'Major Cities &amp; Towns'!$A$28:$B$345,2,FALSE)</f>
        <v>610</v>
      </c>
      <c r="BJ244" s="269">
        <f>BB244*VLOOKUP($B244,'Major Cities &amp; Towns'!$A$28:$B$345,2,FALSE)</f>
        <v>522</v>
      </c>
      <c r="BK244" s="269">
        <f>BC244*VLOOKUP($B244,'Major Cities &amp; Towns'!$A$28:$B$345,2,FALSE)</f>
        <v>520</v>
      </c>
      <c r="BL244" s="269">
        <f>BD244*VLOOKUP($B244,'Major Cities &amp; Towns'!$A$28:$B$345,2,FALSE)</f>
        <v>492</v>
      </c>
      <c r="BM244" s="269">
        <f>BE244*VLOOKUP($B244,'Major Cities &amp; Towns'!$A$28:$B$345,2,FALSE)</f>
        <v>467</v>
      </c>
      <c r="BN244" s="269">
        <f>BF244*VLOOKUP($B244,'Major Cities &amp; Towns'!$A$28:$B$345,2,FALSE)</f>
        <v>450</v>
      </c>
      <c r="BO244" s="270">
        <f t="shared" si="179"/>
        <v>625</v>
      </c>
      <c r="BP244" s="270">
        <f t="shared" si="195"/>
        <v>632</v>
      </c>
      <c r="BQ244" s="270">
        <f t="shared" si="195"/>
        <v>610</v>
      </c>
      <c r="BR244" s="270">
        <f t="shared" si="195"/>
        <v>522</v>
      </c>
      <c r="BS244" s="270">
        <f t="shared" si="195"/>
        <v>520</v>
      </c>
      <c r="BT244" s="270">
        <f t="shared" si="195"/>
        <v>492</v>
      </c>
      <c r="BU244" s="270">
        <f t="shared" si="195"/>
        <v>467</v>
      </c>
      <c r="BV244" s="270">
        <f t="shared" si="195"/>
        <v>450</v>
      </c>
      <c r="BW244" s="39">
        <f>VLOOKUP($A244,NetAdditions!$A$2:$H$336,6,FALSE)</f>
        <v>1361</v>
      </c>
      <c r="BX244" s="39">
        <f>VLOOKUP($A244,NetAdditions!$A$2:$H$336,7,FALSE)</f>
        <v>1429</v>
      </c>
      <c r="BY244" s="39">
        <f>IF((VLOOKUP($C244,NetAdditions!$A$2:$H$336,8,FALSE))="",(AVERAGE(VLOOKUP($C244,NetAdditions!$A$2:$H$336,5,FALSE),VLOOKUP($C244,NetAdditions!$A$2:$H$336,6,FALSE),VLOOKUP($C244,NetAdditions!$A$2:$H$336,7,FALSE))),VLOOKUP($C244,NetAdditions!$A$2:$H$336,8,FALSE))</f>
        <v>788</v>
      </c>
      <c r="BZ244" s="39">
        <f t="shared" si="196"/>
        <v>1192.6666666666667</v>
      </c>
      <c r="CA244" s="39">
        <f t="shared" si="196"/>
        <v>1136.5555555555557</v>
      </c>
      <c r="CB244" s="39">
        <f t="shared" si="196"/>
        <v>1039.0740740740741</v>
      </c>
      <c r="CC244" s="39">
        <f t="shared" si="196"/>
        <v>1122.7654320987656</v>
      </c>
      <c r="CD244" s="39">
        <f t="shared" si="196"/>
        <v>1099.4650205761318</v>
      </c>
      <c r="CE244" s="276">
        <f t="shared" si="155"/>
        <v>1867</v>
      </c>
      <c r="CF244" s="276">
        <f t="shared" si="156"/>
        <v>1764</v>
      </c>
      <c r="CG244" s="276">
        <f t="shared" si="157"/>
        <v>1652</v>
      </c>
      <c r="CH244" s="276">
        <f t="shared" si="158"/>
        <v>1534</v>
      </c>
      <c r="CI244" s="276">
        <f t="shared" si="159"/>
        <v>1479</v>
      </c>
      <c r="CJ244" s="276">
        <f t="shared" si="160"/>
        <v>1409</v>
      </c>
      <c r="CK244" s="276">
        <f t="shared" si="180"/>
        <v>1607.6944444444446</v>
      </c>
      <c r="CL244" s="276">
        <f t="shared" si="181"/>
        <v>1519</v>
      </c>
      <c r="CM244" s="276">
        <f t="shared" si="182"/>
        <v>1514.3333333333333</v>
      </c>
      <c r="CN244" s="276">
        <f t="shared" si="183"/>
        <v>1534</v>
      </c>
      <c r="CO244" s="276">
        <f t="shared" si="183"/>
        <v>1479</v>
      </c>
      <c r="CP244" s="276">
        <f t="shared" si="183"/>
        <v>1409</v>
      </c>
      <c r="CQ244" s="39">
        <f t="shared" si="161"/>
        <v>3578</v>
      </c>
      <c r="CR244" s="39">
        <f t="shared" si="162"/>
        <v>3409.666666666667</v>
      </c>
      <c r="CS244" s="277">
        <f t="shared" si="163"/>
        <v>3117.2222222222226</v>
      </c>
      <c r="CT244" s="39">
        <f t="shared" si="164"/>
        <v>3368.2962962962965</v>
      </c>
      <c r="CU244" s="39">
        <f t="shared" si="165"/>
        <v>3298.3950617283954</v>
      </c>
      <c r="CV244" s="39">
        <f t="shared" si="166"/>
        <v>3261.3045267489715</v>
      </c>
      <c r="CW244" s="297">
        <f t="shared" si="167"/>
        <v>2.2255472813034536</v>
      </c>
      <c r="CX244" s="279" t="str">
        <f t="shared" si="184"/>
        <v>Pass</v>
      </c>
      <c r="CY244" s="278">
        <f t="shared" si="168"/>
        <v>2.2446785165679177</v>
      </c>
      <c r="CZ244" s="279" t="str">
        <f t="shared" si="185"/>
        <v>Pass</v>
      </c>
      <c r="DA244" s="278">
        <f t="shared" si="169"/>
        <v>2.0584782449189234</v>
      </c>
      <c r="DB244" s="292" t="str">
        <f t="shared" si="186"/>
        <v>Pass</v>
      </c>
      <c r="DC244" s="299">
        <f t="shared" si="187"/>
        <v>2.1957602974552128</v>
      </c>
      <c r="DD244" s="293" t="str">
        <f t="shared" si="188"/>
        <v>Pass</v>
      </c>
      <c r="DE244" s="299">
        <f t="shared" si="189"/>
        <v>2.2301521715540198</v>
      </c>
      <c r="DF244" s="293" t="str">
        <f t="shared" si="190"/>
        <v>Pass</v>
      </c>
      <c r="DG244" s="299">
        <f t="shared" si="191"/>
        <v>2.3146235108225488</v>
      </c>
      <c r="DH244" s="293" t="str">
        <f t="shared" si="192"/>
        <v>Pass</v>
      </c>
    </row>
    <row r="245" spans="1:112" ht="15" thickTop="1" thickBot="1">
      <c r="A245" s="38" t="s">
        <v>600</v>
      </c>
      <c r="B245" s="38" t="s">
        <v>601</v>
      </c>
      <c r="C245" s="38" t="s">
        <v>600</v>
      </c>
      <c r="D245" s="38" t="s">
        <v>116</v>
      </c>
      <c r="E245" s="38" t="str">
        <f>VLOOKUP(C245,PoliticalControl!A:K,11,FALSE)</f>
        <v>NOC</v>
      </c>
      <c r="F245" s="38" t="str">
        <f>VLOOKUP(C245,UrbanRuralClassification!A:N,13,FALSE)</f>
        <v>Urban with City and Town</v>
      </c>
      <c r="G245" s="38" t="str">
        <f>VLOOKUP(C245,UrbanRuralClassification!A:N,14,FALSE)</f>
        <v>Predominantly Urban</v>
      </c>
      <c r="H245" s="258">
        <f>IF(ISBLANK((VLOOKUP($A245,'local-plan-data'!$C$1:$AD$566,27,FALSE)))=TRUE,"",VLOOKUP($A245,'local-plan-data'!$C$1:$AD$566,27,FALSE))</f>
        <v>41108</v>
      </c>
      <c r="I245" s="259">
        <f>VLOOKUP($A245,'local-plan-data'!$C$1:$AD$566,28,FALSE)</f>
        <v>417</v>
      </c>
      <c r="J245" s="260">
        <f t="shared" si="170"/>
        <v>417</v>
      </c>
      <c r="K245" s="259" t="str">
        <f t="shared" si="193"/>
        <v>-</v>
      </c>
      <c r="L245" s="259" t="str">
        <f t="shared" si="197"/>
        <v>-</v>
      </c>
      <c r="M245" s="259" t="str">
        <f t="shared" si="197"/>
        <v>-</v>
      </c>
      <c r="N245" s="259" t="str">
        <f t="shared" si="197"/>
        <v>-</v>
      </c>
      <c r="O245" s="259" t="str">
        <f t="shared" si="197"/>
        <v>-</v>
      </c>
      <c r="P245" s="259" t="str">
        <f t="shared" si="197"/>
        <v>-</v>
      </c>
      <c r="Q245" s="259" t="str">
        <f t="shared" si="197"/>
        <v>-</v>
      </c>
      <c r="R245" s="259" t="str">
        <f t="shared" si="197"/>
        <v>-</v>
      </c>
      <c r="S245" s="259">
        <f t="shared" si="194"/>
        <v>-257</v>
      </c>
      <c r="T245" s="259">
        <f t="shared" si="198"/>
        <v>-622</v>
      </c>
      <c r="U245" s="259">
        <f t="shared" si="198"/>
        <v>-988</v>
      </c>
      <c r="V245" s="259">
        <f t="shared" si="198"/>
        <v>-1353</v>
      </c>
      <c r="W245" s="259">
        <f t="shared" si="198"/>
        <v>-1718</v>
      </c>
      <c r="X245" s="259">
        <f t="shared" si="198"/>
        <v>-2083</v>
      </c>
      <c r="Y245" s="259">
        <f t="shared" si="198"/>
        <v>-2449</v>
      </c>
      <c r="Z245" s="259">
        <f t="shared" si="198"/>
        <v>-2814</v>
      </c>
      <c r="AA245" s="267">
        <f>(VLOOKUP(A245,Hshldprojections2014!$A$2:$AW$319,40, FALSE)-VLOOKUP(A245,Hshldprojections2014!$A$2:$AW$319,30, FALSE))/10</f>
        <v>184.5</v>
      </c>
      <c r="AB245" s="267">
        <f>(VLOOKUP(A245,Hshldprojections2014!$A$2:$AW$319,41, FALSE)-VLOOKUP(A245,Hshldprojections2014!$A$2:$AW$319,31, FALSE))/10</f>
        <v>177.9</v>
      </c>
      <c r="AC245" s="267">
        <f>(VLOOKUP(A245,Hshldprojections2014!$A$2:$AW$319,42, FALSE)-VLOOKUP(A245,Hshldprojections2014!$A$2:$AW$319,32, FALSE))/10</f>
        <v>171.7</v>
      </c>
      <c r="AD245" s="267">
        <f>IF(IndividualLATest!$J$7=2014,(VLOOKUP($A245,Hshldprojections2014!$A$2:$AY$326,43,FALSE)-VLOOKUP($A245,Hshldprojections2014!$A$2:$AY$326,33,FALSE))/10,IF(IndividualLATest!$J$7=2016,(VLOOKUP($A245,Hshldprojections2016!$A$1:$AQ$322,33,FALSE)-VLOOKUP($A245,Hshldprojections2016!$A$1:$AQ$322,23,FALSE))/10,(VLOOKUP($A245,Hshldprojections2018!$A$1:$AQ$327,33,FALSE)-VLOOKUP($A245,Hshldprojections2018!$A$1:$AQ$327,23,FALSE))/10))</f>
        <v>179.1</v>
      </c>
      <c r="AE245" s="267">
        <f>IF(IndividualLATest!$J$7=2014,(VLOOKUP($A245,Hshldprojections2014!$A$2:$AY$326,44,FALSE)-VLOOKUP($A245,Hshldprojections2014!$A$2:$AY$326,34,FALSE))/10,IF(IndividualLATest!$J$7=2016,(VLOOKUP($A245,Hshldprojections2016!$A$1:$AQ$322,34,FALSE)-VLOOKUP($A245,Hshldprojections2016!$A$1:$AQ$322,24,FALSE))/10,(VLOOKUP($A245,Hshldprojections2018!$A$1:$AQ$327,34,FALSE)-VLOOKUP($A245,Hshldprojections2018!$A$1:$AQ$327,24,FALSE))/10))</f>
        <v>174.3</v>
      </c>
      <c r="AF245" s="267">
        <f>IF(IndividualLATest!$J$7=2014,(VLOOKUP($A245,Hshldprojections2014!$A$2:$AY$326,45,FALSE)-VLOOKUP($A245,Hshldprojections2014!$A$2:$AY$326,35,FALSE))/10,IF(IndividualLATest!$J$7=2016,(VLOOKUP($A245,Hshldprojections2016!$A$1:$AQ$322,35,FALSE)-VLOOKUP($A245,Hshldprojections2016!$A$1:$AQ$322,25,FALSE))/10,(VLOOKUP($A245,Hshldprojections2018!$A$1:$AQ$327,35,FALSE)-VLOOKUP($A245,Hshldprojections2018!$A$1:$AQ$327,25,FALSE))/10))</f>
        <v>171.9</v>
      </c>
      <c r="AG245" s="267">
        <f>IF(IndividualLATest!$J$7=2014,(VLOOKUP($A245,Hshldprojections2014!$A$2:$AY$326,46,FALSE)-VLOOKUP($A245,Hshldprojections2014!$A$2:$AY$326,36,FALSE))/10,IF(IndividualLATest!$J$7=2016,(VLOOKUP($A245,Hshldprojections2016!$A$1:$AQ$322,36,FALSE)-VLOOKUP($A245,Hshldprojections2016!$A$1:$AQ$322,26,FALSE))/10,(VLOOKUP($A245,Hshldprojections2018!$A$1:$AQ$327,36,FALSE)-VLOOKUP($A245,Hshldprojections2018!$A$1:$AQ$327,26,FALSE))/10))</f>
        <v>169.6</v>
      </c>
      <c r="AH245" s="267">
        <f>IF(IndividualLATest!$J$7=2014,(VLOOKUP($A245,Hshldprojections2014!$A$2:$AY$326,47,FALSE)-VLOOKUP($A245,Hshldprojections2014!$A$2:$AY$326,37,FALSE))/10,IF(IndividualLATest!$J$7=2016,(VLOOKUP($A245,Hshldprojections2016!$A$1:$AQ$322,37,FALSE)-VLOOKUP($A245,Hshldprojections2016!$A$1:$AQ$322,27,FALSE))/10,(VLOOKUP($A245,Hshldprojections2018!$A$1:$AQ$327,37,FALSE)-VLOOKUP($A245,Hshldprojections2018!$A$1:$AQ$327,27,FALSE))/10))</f>
        <v>169.3</v>
      </c>
      <c r="AI245" s="268">
        <f>IF(ISNUMBER('Sensitivity Tests'!$C$30),'Sensitivity Tests'!$C$30,VLOOKUP($A245,AffordabilityRatio!$A$2:$I$321,5,FALSE))</f>
        <v>6.12</v>
      </c>
      <c r="AJ245" s="268">
        <f>IF(ISNUMBER('Sensitivity Tests'!$C$30),'Sensitivity Tests'!$C$30,VLOOKUP($A245,AffordabilityRatio!$A$2:$I$321,6,FALSE))</f>
        <v>6.58</v>
      </c>
      <c r="AK245" s="268">
        <f>IF(ISNUMBER('Sensitivity Tests'!$C$30),'Sensitivity Tests'!$C$30,VLOOKUP($A245,AffordabilityRatio!$A$2:$I$321,7,FALSE))</f>
        <v>5.77</v>
      </c>
      <c r="AL245" s="268">
        <f>IF(ISNUMBER('Sensitivity Tests'!$C$30),'Sensitivity Tests'!$C$30,IF((VLOOKUP($A245,AffordabilityRatio!$A$2:$I$321,8,FALSE))="",AK245,VLOOKUP($A245,AffordabilityRatio!$A$2:$I$321,8,FALSE)))</f>
        <v>5.51</v>
      </c>
      <c r="AM245" s="268">
        <f>IF(ISNUMBER('Sensitivity Tests'!$C$30),'Sensitivity Tests'!$C$30,IF((VLOOKUP($A245,AffordabilityRatio!$A$2:$I$321,9,FALSE))="",AL245,VLOOKUP($A245,AffordabilityRatio!$A$2:$I$321,9,FALSE)))</f>
        <v>5.98</v>
      </c>
      <c r="AN245" s="268">
        <f>IF(ISNUMBER('Sensitivity Tests'!$C$30),'Sensitivity Tests'!$C$30,IF((VLOOKUP($A245,AffordabilityRatio!$A$2:$I$321,9,FALSE))="",AM245,VLOOKUP($A245,AffordabilityRatio!$A$2:$I$321,9,FALSE)))</f>
        <v>5.98</v>
      </c>
      <c r="AO245" s="268">
        <f>IF(ISNUMBER('Sensitivity Tests'!$C$30),'Sensitivity Tests'!$C$30,IF((VLOOKUP($A245,AffordabilityRatio!$A$2:$I$321,9,FALSE))="",AN245,VLOOKUP($A245,AffordabilityRatio!$A$2:$I$321,9,FALSE)))</f>
        <v>5.98</v>
      </c>
      <c r="AP245" s="268">
        <f>IF(ISNUMBER('Sensitivity Tests'!$C$30),'Sensitivity Tests'!$C$30,IF((VLOOKUP($A245,AffordabilityRatio!$A$2:$I$321,9,FALSE))="",AO245,VLOOKUP($A245,AffordabilityRatio!$A$2:$I$321,9,FALSE)))</f>
        <v>5.98</v>
      </c>
      <c r="AQ245" s="267">
        <f t="shared" si="199"/>
        <v>209</v>
      </c>
      <c r="AR245" s="267">
        <f t="shared" si="199"/>
        <v>207</v>
      </c>
      <c r="AS245" s="267">
        <f t="shared" si="199"/>
        <v>191</v>
      </c>
      <c r="AT245" s="267">
        <f t="shared" si="199"/>
        <v>196</v>
      </c>
      <c r="AU245" s="267">
        <f t="shared" si="199"/>
        <v>196</v>
      </c>
      <c r="AV245" s="267">
        <f t="shared" si="199"/>
        <v>193</v>
      </c>
      <c r="AW245" s="267">
        <f t="shared" si="199"/>
        <v>191</v>
      </c>
      <c r="AX245" s="267">
        <f t="shared" si="199"/>
        <v>190</v>
      </c>
      <c r="AY245" s="267">
        <f t="shared" si="171"/>
        <v>209</v>
      </c>
      <c r="AZ245" s="267">
        <f t="shared" si="172"/>
        <v>207</v>
      </c>
      <c r="BA245" s="267">
        <f t="shared" si="173"/>
        <v>191</v>
      </c>
      <c r="BB245" s="267">
        <f t="shared" si="174"/>
        <v>196</v>
      </c>
      <c r="BC245" s="267">
        <f t="shared" si="175"/>
        <v>196</v>
      </c>
      <c r="BD245" s="267">
        <f t="shared" si="176"/>
        <v>193</v>
      </c>
      <c r="BE245" s="267">
        <f t="shared" si="177"/>
        <v>191</v>
      </c>
      <c r="BF245" s="267">
        <f t="shared" si="178"/>
        <v>190</v>
      </c>
      <c r="BG245" s="269">
        <f>AY245*VLOOKUP($B245,'Major Cities &amp; Towns'!$A$28:$B$345,2,FALSE)</f>
        <v>209</v>
      </c>
      <c r="BH245" s="269">
        <f>AZ245*VLOOKUP($B245,'Major Cities &amp; Towns'!$A$28:$B$345,2,FALSE)</f>
        <v>207</v>
      </c>
      <c r="BI245" s="269">
        <f>BA245*VLOOKUP($B245,'Major Cities &amp; Towns'!$A$28:$B$345,2,FALSE)</f>
        <v>191</v>
      </c>
      <c r="BJ245" s="269">
        <f>BB245*VLOOKUP($B245,'Major Cities &amp; Towns'!$A$28:$B$345,2,FALSE)</f>
        <v>196</v>
      </c>
      <c r="BK245" s="269">
        <f>BC245*VLOOKUP($B245,'Major Cities &amp; Towns'!$A$28:$B$345,2,FALSE)</f>
        <v>196</v>
      </c>
      <c r="BL245" s="269">
        <f>BD245*VLOOKUP($B245,'Major Cities &amp; Towns'!$A$28:$B$345,2,FALSE)</f>
        <v>193</v>
      </c>
      <c r="BM245" s="269">
        <f>BE245*VLOOKUP($B245,'Major Cities &amp; Towns'!$A$28:$B$345,2,FALSE)</f>
        <v>191</v>
      </c>
      <c r="BN245" s="269">
        <f>BF245*VLOOKUP($B245,'Major Cities &amp; Towns'!$A$28:$B$345,2,FALSE)</f>
        <v>190</v>
      </c>
      <c r="BO245" s="270">
        <f t="shared" si="179"/>
        <v>209</v>
      </c>
      <c r="BP245" s="270">
        <f t="shared" si="195"/>
        <v>207</v>
      </c>
      <c r="BQ245" s="270">
        <f t="shared" si="195"/>
        <v>191</v>
      </c>
      <c r="BR245" s="270">
        <f t="shared" si="195"/>
        <v>196</v>
      </c>
      <c r="BS245" s="270">
        <f t="shared" si="195"/>
        <v>196</v>
      </c>
      <c r="BT245" s="270">
        <f t="shared" si="195"/>
        <v>193</v>
      </c>
      <c r="BU245" s="270">
        <f t="shared" si="195"/>
        <v>191</v>
      </c>
      <c r="BV245" s="270">
        <f t="shared" si="195"/>
        <v>190</v>
      </c>
      <c r="BW245" s="39">
        <f>VLOOKUP($A245,NetAdditions!$A$2:$H$336,6,FALSE)</f>
        <v>437</v>
      </c>
      <c r="BX245" s="39">
        <f>VLOOKUP($A245,NetAdditions!$A$2:$H$336,7,FALSE)</f>
        <v>412</v>
      </c>
      <c r="BY245" s="39">
        <f>IF((VLOOKUP($C245,NetAdditions!$A$2:$H$336,8,FALSE))="",(AVERAGE(VLOOKUP($C245,NetAdditions!$A$2:$H$336,5,FALSE),VLOOKUP($C245,NetAdditions!$A$2:$H$336,6,FALSE),VLOOKUP($C245,NetAdditions!$A$2:$H$336,7,FALSE))),VLOOKUP($C245,NetAdditions!$A$2:$H$336,8,FALSE))</f>
        <v>424</v>
      </c>
      <c r="BZ245" s="39">
        <f t="shared" si="196"/>
        <v>424.33333333333331</v>
      </c>
      <c r="CA245" s="39">
        <f t="shared" si="196"/>
        <v>420.11111111111109</v>
      </c>
      <c r="CB245" s="39">
        <f t="shared" si="196"/>
        <v>422.81481481481478</v>
      </c>
      <c r="CC245" s="39">
        <f t="shared" si="196"/>
        <v>422.41975308641969</v>
      </c>
      <c r="CD245" s="39">
        <f t="shared" si="196"/>
        <v>421.78189300411515</v>
      </c>
      <c r="CE245" s="276">
        <f t="shared" si="155"/>
        <v>607</v>
      </c>
      <c r="CF245" s="276">
        <f t="shared" si="156"/>
        <v>594</v>
      </c>
      <c r="CG245" s="276">
        <f t="shared" si="157"/>
        <v>583</v>
      </c>
      <c r="CH245" s="276">
        <f t="shared" si="158"/>
        <v>585</v>
      </c>
      <c r="CI245" s="276">
        <f t="shared" si="159"/>
        <v>580</v>
      </c>
      <c r="CJ245" s="276">
        <f t="shared" si="160"/>
        <v>574</v>
      </c>
      <c r="CK245" s="276">
        <f t="shared" si="180"/>
        <v>522.69444444444446</v>
      </c>
      <c r="CL245" s="276">
        <f t="shared" si="181"/>
        <v>511.50000000000006</v>
      </c>
      <c r="CM245" s="276">
        <f t="shared" si="182"/>
        <v>534.41666666666663</v>
      </c>
      <c r="CN245" s="276">
        <f t="shared" si="183"/>
        <v>585</v>
      </c>
      <c r="CO245" s="276">
        <f t="shared" si="183"/>
        <v>580</v>
      </c>
      <c r="CP245" s="276">
        <f t="shared" si="183"/>
        <v>574</v>
      </c>
      <c r="CQ245" s="39">
        <f t="shared" si="161"/>
        <v>1273</v>
      </c>
      <c r="CR245" s="39">
        <f t="shared" si="162"/>
        <v>1260.3333333333333</v>
      </c>
      <c r="CS245" s="277">
        <f t="shared" si="163"/>
        <v>1268.4444444444443</v>
      </c>
      <c r="CT245" s="39">
        <f t="shared" si="164"/>
        <v>1267.2592592592591</v>
      </c>
      <c r="CU245" s="39">
        <f t="shared" si="165"/>
        <v>1265.3456790123455</v>
      </c>
      <c r="CV245" s="39">
        <f t="shared" si="166"/>
        <v>1267.0164609053495</v>
      </c>
      <c r="CW245" s="297">
        <f t="shared" si="167"/>
        <v>2.4354572992506776</v>
      </c>
      <c r="CX245" s="279" t="str">
        <f t="shared" si="184"/>
        <v>Pass</v>
      </c>
      <c r="CY245" s="278">
        <f t="shared" si="168"/>
        <v>2.4639947865754315</v>
      </c>
      <c r="CZ245" s="279" t="str">
        <f t="shared" si="185"/>
        <v>Pass</v>
      </c>
      <c r="DA245" s="278">
        <f t="shared" si="169"/>
        <v>2.3735121368054473</v>
      </c>
      <c r="DB245" s="292" t="str">
        <f t="shared" si="186"/>
        <v>Pass</v>
      </c>
      <c r="DC245" s="299">
        <f t="shared" si="187"/>
        <v>2.1662551440329216</v>
      </c>
      <c r="DD245" s="293" t="str">
        <f t="shared" si="188"/>
        <v>Pass</v>
      </c>
      <c r="DE245" s="299">
        <f t="shared" si="189"/>
        <v>2.1816304810557683</v>
      </c>
      <c r="DF245" s="293" t="str">
        <f t="shared" si="190"/>
        <v>Pass</v>
      </c>
      <c r="DG245" s="299">
        <f t="shared" si="191"/>
        <v>2.207345750706184</v>
      </c>
      <c r="DH245" s="293" t="str">
        <f t="shared" si="192"/>
        <v>Pass</v>
      </c>
    </row>
    <row r="246" spans="1:112" ht="15" thickTop="1" thickBot="1">
      <c r="A246" s="38" t="s">
        <v>602</v>
      </c>
      <c r="B246" s="38" t="s">
        <v>603</v>
      </c>
      <c r="C246" s="38" t="s">
        <v>602</v>
      </c>
      <c r="D246" s="38" t="s">
        <v>147</v>
      </c>
      <c r="E246" s="38" t="str">
        <f>VLOOKUP(C246,PoliticalControl!A:K,11,FALSE)</f>
        <v>LD</v>
      </c>
      <c r="F246" s="38" t="str">
        <f>VLOOKUP(C246,UrbanRuralClassification!A:N,13,FALSE)</f>
        <v xml:space="preserve">Largely Rural (rural including hub towns 50-79%) </v>
      </c>
      <c r="G246" s="38" t="str">
        <f>VLOOKUP(C246,UrbanRuralClassification!A:N,14,FALSE)</f>
        <v>Predominantly Rural</v>
      </c>
      <c r="H246" s="258">
        <f>IF(ISBLANK((VLOOKUP($A246,'local-plan-data'!$C$1:$AD$566,27,FALSE)))=TRUE,"",VLOOKUP($A246,'local-plan-data'!$C$1:$AD$566,27,FALSE))</f>
        <v>42068</v>
      </c>
      <c r="I246" s="259">
        <f>VLOOKUP($A246,'local-plan-data'!$C$1:$AD$566,28,FALSE)</f>
        <v>725</v>
      </c>
      <c r="J246" s="260">
        <f t="shared" si="170"/>
        <v>725</v>
      </c>
      <c r="K246" s="259">
        <f t="shared" si="193"/>
        <v>725</v>
      </c>
      <c r="L246" s="259">
        <f t="shared" si="197"/>
        <v>725</v>
      </c>
      <c r="M246" s="259" t="str">
        <f t="shared" si="197"/>
        <v>-</v>
      </c>
      <c r="N246" s="259" t="str">
        <f t="shared" si="197"/>
        <v>-</v>
      </c>
      <c r="O246" s="259" t="str">
        <f t="shared" si="197"/>
        <v>-</v>
      </c>
      <c r="P246" s="259" t="str">
        <f t="shared" si="197"/>
        <v>-</v>
      </c>
      <c r="Q246" s="259" t="str">
        <f t="shared" si="197"/>
        <v>-</v>
      </c>
      <c r="R246" s="259" t="str">
        <f t="shared" si="197"/>
        <v>-</v>
      </c>
      <c r="S246" s="259">
        <f t="shared" si="194"/>
        <v>704</v>
      </c>
      <c r="T246" s="259">
        <f t="shared" si="198"/>
        <v>339</v>
      </c>
      <c r="U246" s="259">
        <f t="shared" si="198"/>
        <v>-27</v>
      </c>
      <c r="V246" s="259">
        <f t="shared" si="198"/>
        <v>-392</v>
      </c>
      <c r="W246" s="259">
        <f t="shared" si="198"/>
        <v>-757</v>
      </c>
      <c r="X246" s="259">
        <f t="shared" si="198"/>
        <v>-1122</v>
      </c>
      <c r="Y246" s="259">
        <f t="shared" si="198"/>
        <v>-1488</v>
      </c>
      <c r="Z246" s="259">
        <f t="shared" si="198"/>
        <v>-1853</v>
      </c>
      <c r="AA246" s="267">
        <f>(VLOOKUP(A246,Hshldprojections2014!$A$2:$AW$319,40, FALSE)-VLOOKUP(A246,Hshldprojections2014!$A$2:$AW$319,30, FALSE))/10</f>
        <v>575.79999999999995</v>
      </c>
      <c r="AB246" s="267">
        <f>(VLOOKUP(A246,Hshldprojections2014!$A$2:$AW$319,41, FALSE)-VLOOKUP(A246,Hshldprojections2014!$A$2:$AW$319,31, FALSE))/10</f>
        <v>567.5</v>
      </c>
      <c r="AC246" s="267">
        <f>(VLOOKUP(A246,Hshldprojections2014!$A$2:$AW$319,42, FALSE)-VLOOKUP(A246,Hshldprojections2014!$A$2:$AW$319,32, FALSE))/10</f>
        <v>560.5</v>
      </c>
      <c r="AD246" s="267">
        <f>IF(IndividualLATest!$J$7=2014,(VLOOKUP($A246,Hshldprojections2014!$A$2:$AY$326,43,FALSE)-VLOOKUP($A246,Hshldprojections2014!$A$2:$AY$326,33,FALSE))/10,IF(IndividualLATest!$J$7=2016,(VLOOKUP($A246,Hshldprojections2016!$A$1:$AQ$322,33,FALSE)-VLOOKUP($A246,Hshldprojections2016!$A$1:$AQ$322,23,FALSE))/10,(VLOOKUP($A246,Hshldprojections2018!$A$1:$AQ$327,33,FALSE)-VLOOKUP($A246,Hshldprojections2018!$A$1:$AQ$327,23,FALSE))/10))</f>
        <v>483.3</v>
      </c>
      <c r="AE246" s="267">
        <f>IF(IndividualLATest!$J$7=2014,(VLOOKUP($A246,Hshldprojections2014!$A$2:$AY$326,44,FALSE)-VLOOKUP($A246,Hshldprojections2014!$A$2:$AY$326,34,FALSE))/10,IF(IndividualLATest!$J$7=2016,(VLOOKUP($A246,Hshldprojections2016!$A$1:$AQ$322,34,FALSE)-VLOOKUP($A246,Hshldprojections2016!$A$1:$AQ$322,24,FALSE))/10,(VLOOKUP($A246,Hshldprojections2018!$A$1:$AQ$327,34,FALSE)-VLOOKUP($A246,Hshldprojections2018!$A$1:$AQ$327,24,FALSE))/10))</f>
        <v>471.2</v>
      </c>
      <c r="AF246" s="267">
        <f>IF(IndividualLATest!$J$7=2014,(VLOOKUP($A246,Hshldprojections2014!$A$2:$AY$326,45,FALSE)-VLOOKUP($A246,Hshldprojections2014!$A$2:$AY$326,35,FALSE))/10,IF(IndividualLATest!$J$7=2016,(VLOOKUP($A246,Hshldprojections2016!$A$1:$AQ$322,35,FALSE)-VLOOKUP($A246,Hshldprojections2016!$A$1:$AQ$322,25,FALSE))/10,(VLOOKUP($A246,Hshldprojections2018!$A$1:$AQ$327,35,FALSE)-VLOOKUP($A246,Hshldprojections2018!$A$1:$AQ$327,25,FALSE))/10))</f>
        <v>460.7</v>
      </c>
      <c r="AG246" s="267">
        <f>IF(IndividualLATest!$J$7=2014,(VLOOKUP($A246,Hshldprojections2014!$A$2:$AY$326,46,FALSE)-VLOOKUP($A246,Hshldprojections2014!$A$2:$AY$326,36,FALSE))/10,IF(IndividualLATest!$J$7=2016,(VLOOKUP($A246,Hshldprojections2016!$A$1:$AQ$322,36,FALSE)-VLOOKUP($A246,Hshldprojections2016!$A$1:$AQ$322,26,FALSE))/10,(VLOOKUP($A246,Hshldprojections2018!$A$1:$AQ$327,36,FALSE)-VLOOKUP($A246,Hshldprojections2018!$A$1:$AQ$327,26,FALSE))/10))</f>
        <v>451</v>
      </c>
      <c r="AH246" s="267">
        <f>IF(IndividualLATest!$J$7=2014,(VLOOKUP($A246,Hshldprojections2014!$A$2:$AY$326,47,FALSE)-VLOOKUP($A246,Hshldprojections2014!$A$2:$AY$326,37,FALSE))/10,IF(IndividualLATest!$J$7=2016,(VLOOKUP($A246,Hshldprojections2016!$A$1:$AQ$322,37,FALSE)-VLOOKUP($A246,Hshldprojections2016!$A$1:$AQ$322,27,FALSE))/10,(VLOOKUP($A246,Hshldprojections2018!$A$1:$AQ$327,37,FALSE)-VLOOKUP($A246,Hshldprojections2018!$A$1:$AQ$327,27,FALSE))/10))</f>
        <v>439.6</v>
      </c>
      <c r="AI246" s="268">
        <f>IF(ISNUMBER('Sensitivity Tests'!$C$30),'Sensitivity Tests'!$C$30,VLOOKUP($A246,AffordabilityRatio!$A$2:$I$321,5,FALSE))</f>
        <v>8.19</v>
      </c>
      <c r="AJ246" s="268">
        <f>IF(ISNUMBER('Sensitivity Tests'!$C$30),'Sensitivity Tests'!$C$30,VLOOKUP($A246,AffordabilityRatio!$A$2:$I$321,6,FALSE))</f>
        <v>8.19</v>
      </c>
      <c r="AK246" s="268">
        <f>IF(ISNUMBER('Sensitivity Tests'!$C$30),'Sensitivity Tests'!$C$30,VLOOKUP($A246,AffordabilityRatio!$A$2:$I$321,7,FALSE))</f>
        <v>7.57</v>
      </c>
      <c r="AL246" s="268">
        <f>IF(ISNUMBER('Sensitivity Tests'!$C$30),'Sensitivity Tests'!$C$30,IF((VLOOKUP($A246,AffordabilityRatio!$A$2:$I$321,8,FALSE))="",AK246,VLOOKUP($A246,AffordabilityRatio!$A$2:$I$321,8,FALSE)))</f>
        <v>7.51</v>
      </c>
      <c r="AM246" s="268">
        <f>IF(ISNUMBER('Sensitivity Tests'!$C$30),'Sensitivity Tests'!$C$30,IF((VLOOKUP($A246,AffordabilityRatio!$A$2:$I$321,9,FALSE))="",AL246,VLOOKUP($A246,AffordabilityRatio!$A$2:$I$321,9,FALSE)))</f>
        <v>8.8000000000000007</v>
      </c>
      <c r="AN246" s="268">
        <f>IF(ISNUMBER('Sensitivity Tests'!$C$30),'Sensitivity Tests'!$C$30,IF((VLOOKUP($A246,AffordabilityRatio!$A$2:$I$321,9,FALSE))="",AM246,VLOOKUP($A246,AffordabilityRatio!$A$2:$I$321,9,FALSE)))</f>
        <v>8.8000000000000007</v>
      </c>
      <c r="AO246" s="268">
        <f>IF(ISNUMBER('Sensitivity Tests'!$C$30),'Sensitivity Tests'!$C$30,IF((VLOOKUP($A246,AffordabilityRatio!$A$2:$I$321,9,FALSE))="",AN246,VLOOKUP($A246,AffordabilityRatio!$A$2:$I$321,9,FALSE)))</f>
        <v>8.8000000000000007</v>
      </c>
      <c r="AP246" s="268">
        <f>IF(ISNUMBER('Sensitivity Tests'!$C$30),'Sensitivity Tests'!$C$30,IF((VLOOKUP($A246,AffordabilityRatio!$A$2:$I$321,9,FALSE))="",AO246,VLOOKUP($A246,AffordabilityRatio!$A$2:$I$321,9,FALSE)))</f>
        <v>8.8000000000000007</v>
      </c>
      <c r="AQ246" s="267">
        <f t="shared" si="199"/>
        <v>727</v>
      </c>
      <c r="AR246" s="267">
        <f t="shared" si="199"/>
        <v>716</v>
      </c>
      <c r="AS246" s="267">
        <f t="shared" si="199"/>
        <v>686</v>
      </c>
      <c r="AT246" s="267">
        <f t="shared" si="199"/>
        <v>589</v>
      </c>
      <c r="AU246" s="267">
        <f t="shared" si="199"/>
        <v>613</v>
      </c>
      <c r="AV246" s="267">
        <f t="shared" si="199"/>
        <v>599</v>
      </c>
      <c r="AW246" s="267">
        <f t="shared" si="199"/>
        <v>586</v>
      </c>
      <c r="AX246" s="267">
        <f t="shared" si="199"/>
        <v>571</v>
      </c>
      <c r="AY246" s="267">
        <f t="shared" si="171"/>
        <v>727</v>
      </c>
      <c r="AZ246" s="267">
        <f t="shared" si="172"/>
        <v>716</v>
      </c>
      <c r="BA246" s="267">
        <f t="shared" si="173"/>
        <v>686</v>
      </c>
      <c r="BB246" s="267">
        <f t="shared" si="174"/>
        <v>589</v>
      </c>
      <c r="BC246" s="267">
        <f t="shared" si="175"/>
        <v>613</v>
      </c>
      <c r="BD246" s="267">
        <f t="shared" si="176"/>
        <v>599</v>
      </c>
      <c r="BE246" s="267">
        <f t="shared" si="177"/>
        <v>586</v>
      </c>
      <c r="BF246" s="267">
        <f t="shared" si="178"/>
        <v>571</v>
      </c>
      <c r="BG246" s="269">
        <f>AY246*VLOOKUP($B246,'Major Cities &amp; Towns'!$A$28:$B$345,2,FALSE)</f>
        <v>727</v>
      </c>
      <c r="BH246" s="269">
        <f>AZ246*VLOOKUP($B246,'Major Cities &amp; Towns'!$A$28:$B$345,2,FALSE)</f>
        <v>716</v>
      </c>
      <c r="BI246" s="269">
        <f>BA246*VLOOKUP($B246,'Major Cities &amp; Towns'!$A$28:$B$345,2,FALSE)</f>
        <v>686</v>
      </c>
      <c r="BJ246" s="269">
        <f>BB246*VLOOKUP($B246,'Major Cities &amp; Towns'!$A$28:$B$345,2,FALSE)</f>
        <v>589</v>
      </c>
      <c r="BK246" s="269">
        <f>BC246*VLOOKUP($B246,'Major Cities &amp; Towns'!$A$28:$B$345,2,FALSE)</f>
        <v>613</v>
      </c>
      <c r="BL246" s="269">
        <f>BD246*VLOOKUP($B246,'Major Cities &amp; Towns'!$A$28:$B$345,2,FALSE)</f>
        <v>599</v>
      </c>
      <c r="BM246" s="269">
        <f>BE246*VLOOKUP($B246,'Major Cities &amp; Towns'!$A$28:$B$345,2,FALSE)</f>
        <v>586</v>
      </c>
      <c r="BN246" s="269">
        <f>BF246*VLOOKUP($B246,'Major Cities &amp; Towns'!$A$28:$B$345,2,FALSE)</f>
        <v>571</v>
      </c>
      <c r="BO246" s="270">
        <f t="shared" si="179"/>
        <v>725</v>
      </c>
      <c r="BP246" s="270">
        <f t="shared" si="195"/>
        <v>715.99999999999989</v>
      </c>
      <c r="BQ246" s="270">
        <f t="shared" si="195"/>
        <v>686</v>
      </c>
      <c r="BR246" s="270">
        <f t="shared" si="195"/>
        <v>589</v>
      </c>
      <c r="BS246" s="270">
        <f t="shared" si="195"/>
        <v>613</v>
      </c>
      <c r="BT246" s="270">
        <f t="shared" si="195"/>
        <v>599</v>
      </c>
      <c r="BU246" s="270">
        <f t="shared" si="195"/>
        <v>586</v>
      </c>
      <c r="BV246" s="270">
        <f t="shared" si="195"/>
        <v>571</v>
      </c>
      <c r="BW246" s="39">
        <f>VLOOKUP($A246,NetAdditions!$A$2:$H$336,6,FALSE)</f>
        <v>650</v>
      </c>
      <c r="BX246" s="39">
        <f>VLOOKUP($A246,NetAdditions!$A$2:$H$336,7,FALSE)</f>
        <v>659</v>
      </c>
      <c r="BY246" s="39">
        <f>IF((VLOOKUP($C246,NetAdditions!$A$2:$H$336,8,FALSE))="",(AVERAGE(VLOOKUP($C246,NetAdditions!$A$2:$H$336,5,FALSE),VLOOKUP($C246,NetAdditions!$A$2:$H$336,6,FALSE),VLOOKUP($C246,NetAdditions!$A$2:$H$336,7,FALSE))),VLOOKUP($C246,NetAdditions!$A$2:$H$336,8,FALSE))</f>
        <v>1093</v>
      </c>
      <c r="BZ246" s="39">
        <f t="shared" si="196"/>
        <v>800.66666666666663</v>
      </c>
      <c r="CA246" s="39">
        <f t="shared" si="196"/>
        <v>850.8888888888888</v>
      </c>
      <c r="CB246" s="39">
        <f t="shared" si="196"/>
        <v>914.85185185185173</v>
      </c>
      <c r="CC246" s="39">
        <f t="shared" si="196"/>
        <v>855.46913580246894</v>
      </c>
      <c r="CD246" s="39">
        <f t="shared" si="196"/>
        <v>873.73662551440304</v>
      </c>
      <c r="CE246" s="276">
        <f t="shared" si="155"/>
        <v>2127</v>
      </c>
      <c r="CF246" s="276">
        <f t="shared" si="156"/>
        <v>1991</v>
      </c>
      <c r="CG246" s="276">
        <f t="shared" si="157"/>
        <v>1888</v>
      </c>
      <c r="CH246" s="276">
        <f t="shared" si="158"/>
        <v>1801</v>
      </c>
      <c r="CI246" s="276">
        <f t="shared" si="159"/>
        <v>1798</v>
      </c>
      <c r="CJ246" s="276">
        <f t="shared" si="160"/>
        <v>1756</v>
      </c>
      <c r="CK246" s="276">
        <f t="shared" si="180"/>
        <v>1831.5833333333335</v>
      </c>
      <c r="CL246" s="276">
        <f t="shared" si="181"/>
        <v>1714.4722222222224</v>
      </c>
      <c r="CM246" s="276">
        <f t="shared" si="182"/>
        <v>1730.6666666666665</v>
      </c>
      <c r="CN246" s="276">
        <f t="shared" si="183"/>
        <v>1801</v>
      </c>
      <c r="CO246" s="276">
        <f t="shared" si="183"/>
        <v>1798</v>
      </c>
      <c r="CP246" s="276">
        <f t="shared" si="183"/>
        <v>1756</v>
      </c>
      <c r="CQ246" s="39">
        <f t="shared" si="161"/>
        <v>2402</v>
      </c>
      <c r="CR246" s="39">
        <f t="shared" si="162"/>
        <v>2552.6666666666665</v>
      </c>
      <c r="CS246" s="277">
        <f t="shared" si="163"/>
        <v>2744.5555555555552</v>
      </c>
      <c r="CT246" s="39">
        <f t="shared" si="164"/>
        <v>2566.4074074074069</v>
      </c>
      <c r="CU246" s="39">
        <f t="shared" si="165"/>
        <v>2621.2098765432092</v>
      </c>
      <c r="CV246" s="39">
        <f t="shared" si="166"/>
        <v>2644.0576131687235</v>
      </c>
      <c r="CW246" s="297">
        <f t="shared" si="167"/>
        <v>1.3114336412029663</v>
      </c>
      <c r="CX246" s="279" t="str">
        <f t="shared" si="184"/>
        <v>Pass</v>
      </c>
      <c r="CY246" s="278">
        <f t="shared" si="168"/>
        <v>1.4888935694496199</v>
      </c>
      <c r="CZ246" s="279" t="str">
        <f t="shared" si="185"/>
        <v>Pass</v>
      </c>
      <c r="DA246" s="278">
        <f t="shared" si="169"/>
        <v>1.5858371854134565</v>
      </c>
      <c r="DB246" s="292" t="str">
        <f t="shared" si="186"/>
        <v>Pass</v>
      </c>
      <c r="DC246" s="299">
        <f t="shared" si="187"/>
        <v>1.424990231764246</v>
      </c>
      <c r="DD246" s="293" t="str">
        <f t="shared" si="188"/>
        <v>Pass</v>
      </c>
      <c r="DE246" s="299">
        <f t="shared" si="189"/>
        <v>1.4578475397904389</v>
      </c>
      <c r="DF246" s="293" t="str">
        <f t="shared" si="190"/>
        <v>Pass</v>
      </c>
      <c r="DG246" s="299">
        <f t="shared" si="191"/>
        <v>1.5057275701416422</v>
      </c>
      <c r="DH246" s="293" t="str">
        <f t="shared" si="192"/>
        <v>Pass</v>
      </c>
    </row>
    <row r="247" spans="1:112" ht="15" thickTop="1" thickBot="1">
      <c r="A247" s="38" t="s">
        <v>604</v>
      </c>
      <c r="B247" s="38" t="s">
        <v>605</v>
      </c>
      <c r="C247" s="38" t="s">
        <v>604</v>
      </c>
      <c r="D247" s="38" t="s">
        <v>154</v>
      </c>
      <c r="E247" s="38" t="str">
        <f>VLOOKUP(C247,PoliticalControl!A:K,11,FALSE)</f>
        <v>CON</v>
      </c>
      <c r="F247" s="38" t="str">
        <f>VLOOKUP(C247,UrbanRuralClassification!A:N,13,FALSE)</f>
        <v>Urban with Significant Rural (rural including hub towns 26-49%)</v>
      </c>
      <c r="G247" s="38" t="str">
        <f>VLOOKUP(C247,UrbanRuralClassification!A:N,14,FALSE)</f>
        <v>Urban with Significant Rural</v>
      </c>
      <c r="H247" s="258">
        <f>IF(ISBLANK((VLOOKUP($A247,'local-plan-data'!$C$1:$AD$566,27,FALSE)))=TRUE,"",VLOOKUP($A247,'local-plan-data'!$C$1:$AD$566,27,FALSE))</f>
        <v>41254</v>
      </c>
      <c r="I247" s="259">
        <f>VLOOKUP($A247,'local-plan-data'!$C$1:$AD$566,28,FALSE)</f>
        <v>175</v>
      </c>
      <c r="J247" s="260">
        <f t="shared" si="170"/>
        <v>175</v>
      </c>
      <c r="K247" s="259" t="str">
        <f t="shared" si="193"/>
        <v>-</v>
      </c>
      <c r="L247" s="259" t="str">
        <f t="shared" si="197"/>
        <v>-</v>
      </c>
      <c r="M247" s="259" t="str">
        <f t="shared" si="197"/>
        <v>-</v>
      </c>
      <c r="N247" s="259" t="str">
        <f t="shared" si="197"/>
        <v>-</v>
      </c>
      <c r="O247" s="259" t="str">
        <f t="shared" si="197"/>
        <v>-</v>
      </c>
      <c r="P247" s="259" t="str">
        <f t="shared" si="197"/>
        <v>-</v>
      </c>
      <c r="Q247" s="259" t="str">
        <f t="shared" si="197"/>
        <v>-</v>
      </c>
      <c r="R247" s="259" t="str">
        <f t="shared" si="197"/>
        <v>-</v>
      </c>
      <c r="S247" s="259">
        <f t="shared" si="194"/>
        <v>-111</v>
      </c>
      <c r="T247" s="259">
        <f t="shared" si="198"/>
        <v>-476</v>
      </c>
      <c r="U247" s="259">
        <f t="shared" si="198"/>
        <v>-842</v>
      </c>
      <c r="V247" s="259">
        <f t="shared" si="198"/>
        <v>-1207</v>
      </c>
      <c r="W247" s="259">
        <f t="shared" si="198"/>
        <v>-1572</v>
      </c>
      <c r="X247" s="259">
        <f t="shared" si="198"/>
        <v>-1937</v>
      </c>
      <c r="Y247" s="259">
        <f t="shared" si="198"/>
        <v>-2303</v>
      </c>
      <c r="Z247" s="259">
        <f t="shared" si="198"/>
        <v>-2668</v>
      </c>
      <c r="AA247" s="267">
        <f>(VLOOKUP(A247,Hshldprojections2014!$A$2:$AW$319,40, FALSE)-VLOOKUP(A247,Hshldprojections2014!$A$2:$AW$319,30, FALSE))/10</f>
        <v>219</v>
      </c>
      <c r="AB247" s="267">
        <f>(VLOOKUP(A247,Hshldprojections2014!$A$2:$AW$319,41, FALSE)-VLOOKUP(A247,Hshldprojections2014!$A$2:$AW$319,31, FALSE))/10</f>
        <v>209.3</v>
      </c>
      <c r="AC247" s="267">
        <f>(VLOOKUP(A247,Hshldprojections2014!$A$2:$AW$319,42, FALSE)-VLOOKUP(A247,Hshldprojections2014!$A$2:$AW$319,32, FALSE))/10</f>
        <v>201.2</v>
      </c>
      <c r="AD247" s="267">
        <f>IF(IndividualLATest!$J$7=2014,(VLOOKUP($A247,Hshldprojections2014!$A$2:$AY$326,43,FALSE)-VLOOKUP($A247,Hshldprojections2014!$A$2:$AY$326,33,FALSE))/10,IF(IndividualLATest!$J$7=2016,(VLOOKUP($A247,Hshldprojections2016!$A$1:$AQ$322,33,FALSE)-VLOOKUP($A247,Hshldprojections2016!$A$1:$AQ$322,23,FALSE))/10,(VLOOKUP($A247,Hshldprojections2018!$A$1:$AQ$327,33,FALSE)-VLOOKUP($A247,Hshldprojections2018!$A$1:$AQ$327,23,FALSE))/10))</f>
        <v>204.2</v>
      </c>
      <c r="AE247" s="267">
        <f>IF(IndividualLATest!$J$7=2014,(VLOOKUP($A247,Hshldprojections2014!$A$2:$AY$326,44,FALSE)-VLOOKUP($A247,Hshldprojections2014!$A$2:$AY$326,34,FALSE))/10,IF(IndividualLATest!$J$7=2016,(VLOOKUP($A247,Hshldprojections2016!$A$1:$AQ$322,34,FALSE)-VLOOKUP($A247,Hshldprojections2016!$A$1:$AQ$322,24,FALSE))/10,(VLOOKUP($A247,Hshldprojections2018!$A$1:$AQ$327,34,FALSE)-VLOOKUP($A247,Hshldprojections2018!$A$1:$AQ$327,24,FALSE))/10))</f>
        <v>200.1</v>
      </c>
      <c r="AF247" s="267">
        <f>IF(IndividualLATest!$J$7=2014,(VLOOKUP($A247,Hshldprojections2014!$A$2:$AY$326,45,FALSE)-VLOOKUP($A247,Hshldprojections2014!$A$2:$AY$326,35,FALSE))/10,IF(IndividualLATest!$J$7=2016,(VLOOKUP($A247,Hshldprojections2016!$A$1:$AQ$322,35,FALSE)-VLOOKUP($A247,Hshldprojections2016!$A$1:$AQ$322,25,FALSE))/10,(VLOOKUP($A247,Hshldprojections2018!$A$1:$AQ$327,35,FALSE)-VLOOKUP($A247,Hshldprojections2018!$A$1:$AQ$327,25,FALSE))/10))</f>
        <v>195.8</v>
      </c>
      <c r="AG247" s="267">
        <f>IF(IndividualLATest!$J$7=2014,(VLOOKUP($A247,Hshldprojections2014!$A$2:$AY$326,46,FALSE)-VLOOKUP($A247,Hshldprojections2014!$A$2:$AY$326,36,FALSE))/10,IF(IndividualLATest!$J$7=2016,(VLOOKUP($A247,Hshldprojections2016!$A$1:$AQ$322,36,FALSE)-VLOOKUP($A247,Hshldprojections2016!$A$1:$AQ$322,26,FALSE))/10,(VLOOKUP($A247,Hshldprojections2018!$A$1:$AQ$327,36,FALSE)-VLOOKUP($A247,Hshldprojections2018!$A$1:$AQ$327,26,FALSE))/10))</f>
        <v>190.4</v>
      </c>
      <c r="AH247" s="267">
        <f>IF(IndividualLATest!$J$7=2014,(VLOOKUP($A247,Hshldprojections2014!$A$2:$AY$326,47,FALSE)-VLOOKUP($A247,Hshldprojections2014!$A$2:$AY$326,37,FALSE))/10,IF(IndividualLATest!$J$7=2016,(VLOOKUP($A247,Hshldprojections2016!$A$1:$AQ$322,37,FALSE)-VLOOKUP($A247,Hshldprojections2016!$A$1:$AQ$322,27,FALSE))/10,(VLOOKUP($A247,Hshldprojections2018!$A$1:$AQ$327,37,FALSE)-VLOOKUP($A247,Hshldprojections2018!$A$1:$AQ$327,27,FALSE))/10))</f>
        <v>189.2</v>
      </c>
      <c r="AI247" s="268">
        <f>IF(ISNUMBER('Sensitivity Tests'!$C$30),'Sensitivity Tests'!$C$30,VLOOKUP($A247,AffordabilityRatio!$A$2:$I$321,5,FALSE))</f>
        <v>7.77</v>
      </c>
      <c r="AJ247" s="268">
        <f>IF(ISNUMBER('Sensitivity Tests'!$C$30),'Sensitivity Tests'!$C$30,VLOOKUP($A247,AffordabilityRatio!$A$2:$I$321,6,FALSE))</f>
        <v>7.39</v>
      </c>
      <c r="AK247" s="268">
        <f>IF(ISNUMBER('Sensitivity Tests'!$C$30),'Sensitivity Tests'!$C$30,VLOOKUP($A247,AffordabilityRatio!$A$2:$I$321,7,FALSE))</f>
        <v>8.2100000000000009</v>
      </c>
      <c r="AL247" s="268">
        <f>IF(ISNUMBER('Sensitivity Tests'!$C$30),'Sensitivity Tests'!$C$30,IF((VLOOKUP($A247,AffordabilityRatio!$A$2:$I$321,8,FALSE))="",AK247,VLOOKUP($A247,AffordabilityRatio!$A$2:$I$321,8,FALSE)))</f>
        <v>7.63</v>
      </c>
      <c r="AM247" s="268">
        <f>IF(ISNUMBER('Sensitivity Tests'!$C$30),'Sensitivity Tests'!$C$30,IF((VLOOKUP($A247,AffordabilityRatio!$A$2:$I$321,9,FALSE))="",AL247,VLOOKUP($A247,AffordabilityRatio!$A$2:$I$321,9,FALSE)))</f>
        <v>8.43</v>
      </c>
      <c r="AN247" s="268">
        <f>IF(ISNUMBER('Sensitivity Tests'!$C$30),'Sensitivity Tests'!$C$30,IF((VLOOKUP($A247,AffordabilityRatio!$A$2:$I$321,9,FALSE))="",AM247,VLOOKUP($A247,AffordabilityRatio!$A$2:$I$321,9,FALSE)))</f>
        <v>8.43</v>
      </c>
      <c r="AO247" s="268">
        <f>IF(ISNUMBER('Sensitivity Tests'!$C$30),'Sensitivity Tests'!$C$30,IF((VLOOKUP($A247,AffordabilityRatio!$A$2:$I$321,9,FALSE))="",AN247,VLOOKUP($A247,AffordabilityRatio!$A$2:$I$321,9,FALSE)))</f>
        <v>8.43</v>
      </c>
      <c r="AP247" s="268">
        <f>IF(ISNUMBER('Sensitivity Tests'!$C$30),'Sensitivity Tests'!$C$30,IF((VLOOKUP($A247,AffordabilityRatio!$A$2:$I$321,9,FALSE))="",AO247,VLOOKUP($A247,AffordabilityRatio!$A$2:$I$321,9,FALSE)))</f>
        <v>8.43</v>
      </c>
      <c r="AQ247" s="267">
        <f t="shared" si="199"/>
        <v>271</v>
      </c>
      <c r="AR247" s="267">
        <f t="shared" si="199"/>
        <v>254</v>
      </c>
      <c r="AS247" s="267">
        <f t="shared" si="199"/>
        <v>254</v>
      </c>
      <c r="AT247" s="267">
        <f t="shared" si="199"/>
        <v>251</v>
      </c>
      <c r="AU247" s="267">
        <f t="shared" si="199"/>
        <v>256</v>
      </c>
      <c r="AV247" s="267">
        <f t="shared" si="199"/>
        <v>250</v>
      </c>
      <c r="AW247" s="267">
        <f t="shared" si="199"/>
        <v>243</v>
      </c>
      <c r="AX247" s="267">
        <f t="shared" si="199"/>
        <v>242</v>
      </c>
      <c r="AY247" s="267">
        <f t="shared" si="171"/>
        <v>271</v>
      </c>
      <c r="AZ247" s="267">
        <f t="shared" si="172"/>
        <v>254</v>
      </c>
      <c r="BA247" s="267">
        <f t="shared" si="173"/>
        <v>254</v>
      </c>
      <c r="BB247" s="267">
        <f t="shared" si="174"/>
        <v>251</v>
      </c>
      <c r="BC247" s="267">
        <f t="shared" si="175"/>
        <v>256</v>
      </c>
      <c r="BD247" s="267">
        <f t="shared" si="176"/>
        <v>250</v>
      </c>
      <c r="BE247" s="267">
        <f t="shared" si="177"/>
        <v>243</v>
      </c>
      <c r="BF247" s="267">
        <f t="shared" si="178"/>
        <v>242</v>
      </c>
      <c r="BG247" s="269">
        <f>AY247*VLOOKUP($B247,'Major Cities &amp; Towns'!$A$28:$B$345,2,FALSE)</f>
        <v>271</v>
      </c>
      <c r="BH247" s="269">
        <f>AZ247*VLOOKUP($B247,'Major Cities &amp; Towns'!$A$28:$B$345,2,FALSE)</f>
        <v>254</v>
      </c>
      <c r="BI247" s="269">
        <f>BA247*VLOOKUP($B247,'Major Cities &amp; Towns'!$A$28:$B$345,2,FALSE)</f>
        <v>254</v>
      </c>
      <c r="BJ247" s="269">
        <f>BB247*VLOOKUP($B247,'Major Cities &amp; Towns'!$A$28:$B$345,2,FALSE)</f>
        <v>251</v>
      </c>
      <c r="BK247" s="269">
        <f>BC247*VLOOKUP($B247,'Major Cities &amp; Towns'!$A$28:$B$345,2,FALSE)</f>
        <v>256</v>
      </c>
      <c r="BL247" s="269">
        <f>BD247*VLOOKUP($B247,'Major Cities &amp; Towns'!$A$28:$B$345,2,FALSE)</f>
        <v>250</v>
      </c>
      <c r="BM247" s="269">
        <f>BE247*VLOOKUP($B247,'Major Cities &amp; Towns'!$A$28:$B$345,2,FALSE)</f>
        <v>243</v>
      </c>
      <c r="BN247" s="269">
        <f>BF247*VLOOKUP($B247,'Major Cities &amp; Towns'!$A$28:$B$345,2,FALSE)</f>
        <v>242</v>
      </c>
      <c r="BO247" s="270">
        <f t="shared" si="179"/>
        <v>271</v>
      </c>
      <c r="BP247" s="270">
        <f t="shared" si="195"/>
        <v>254</v>
      </c>
      <c r="BQ247" s="270">
        <f t="shared" si="195"/>
        <v>254</v>
      </c>
      <c r="BR247" s="270">
        <f t="shared" si="195"/>
        <v>251</v>
      </c>
      <c r="BS247" s="270">
        <f t="shared" si="195"/>
        <v>256</v>
      </c>
      <c r="BT247" s="270">
        <f t="shared" si="195"/>
        <v>250</v>
      </c>
      <c r="BU247" s="270">
        <f t="shared" si="195"/>
        <v>243</v>
      </c>
      <c r="BV247" s="270">
        <f t="shared" si="195"/>
        <v>242</v>
      </c>
      <c r="BW247" s="39">
        <f>VLOOKUP($A247,NetAdditions!$A$2:$H$336,6,FALSE)</f>
        <v>273</v>
      </c>
      <c r="BX247" s="39">
        <f>VLOOKUP($A247,NetAdditions!$A$2:$H$336,7,FALSE)</f>
        <v>226</v>
      </c>
      <c r="BY247" s="39">
        <f>IF((VLOOKUP($C247,NetAdditions!$A$2:$H$336,8,FALSE))="",(AVERAGE(VLOOKUP($C247,NetAdditions!$A$2:$H$336,5,FALSE),VLOOKUP($C247,NetAdditions!$A$2:$H$336,6,FALSE),VLOOKUP($C247,NetAdditions!$A$2:$H$336,7,FALSE))),VLOOKUP($C247,NetAdditions!$A$2:$H$336,8,FALSE))</f>
        <v>413</v>
      </c>
      <c r="BZ247" s="39">
        <f t="shared" si="196"/>
        <v>304</v>
      </c>
      <c r="CA247" s="39">
        <f t="shared" si="196"/>
        <v>314.33333333333331</v>
      </c>
      <c r="CB247" s="39">
        <f t="shared" si="196"/>
        <v>343.77777777777777</v>
      </c>
      <c r="CC247" s="39">
        <f t="shared" si="196"/>
        <v>320.7037037037037</v>
      </c>
      <c r="CD247" s="39">
        <f t="shared" si="196"/>
        <v>326.27160493827159</v>
      </c>
      <c r="CE247" s="276">
        <f t="shared" si="155"/>
        <v>779</v>
      </c>
      <c r="CF247" s="276">
        <f t="shared" si="156"/>
        <v>759</v>
      </c>
      <c r="CG247" s="276">
        <f t="shared" si="157"/>
        <v>761</v>
      </c>
      <c r="CH247" s="276">
        <f t="shared" si="158"/>
        <v>757</v>
      </c>
      <c r="CI247" s="276">
        <f t="shared" si="159"/>
        <v>749</v>
      </c>
      <c r="CJ247" s="276">
        <f t="shared" si="160"/>
        <v>735</v>
      </c>
      <c r="CK247" s="276">
        <f t="shared" si="180"/>
        <v>670.80555555555554</v>
      </c>
      <c r="CL247" s="276">
        <f t="shared" si="181"/>
        <v>653.58333333333337</v>
      </c>
      <c r="CM247" s="276">
        <f t="shared" si="182"/>
        <v>697.58333333333326</v>
      </c>
      <c r="CN247" s="276">
        <f t="shared" si="183"/>
        <v>757</v>
      </c>
      <c r="CO247" s="276">
        <f t="shared" si="183"/>
        <v>749</v>
      </c>
      <c r="CP247" s="276">
        <f t="shared" si="183"/>
        <v>735</v>
      </c>
      <c r="CQ247" s="39">
        <f t="shared" si="161"/>
        <v>912</v>
      </c>
      <c r="CR247" s="39">
        <f t="shared" si="162"/>
        <v>943</v>
      </c>
      <c r="CS247" s="277">
        <f t="shared" si="163"/>
        <v>1031.3333333333333</v>
      </c>
      <c r="CT247" s="39">
        <f t="shared" si="164"/>
        <v>962.11111111111109</v>
      </c>
      <c r="CU247" s="39">
        <f t="shared" si="165"/>
        <v>978.81481481481478</v>
      </c>
      <c r="CV247" s="39">
        <f t="shared" si="166"/>
        <v>990.75308641975312</v>
      </c>
      <c r="CW247" s="297">
        <f t="shared" si="167"/>
        <v>1.3595594020456334</v>
      </c>
      <c r="CX247" s="279" t="str">
        <f t="shared" si="184"/>
        <v>Pass</v>
      </c>
      <c r="CY247" s="278">
        <f t="shared" si="168"/>
        <v>1.442815249266862</v>
      </c>
      <c r="CZ247" s="279" t="str">
        <f t="shared" si="185"/>
        <v>Pass</v>
      </c>
      <c r="DA247" s="278">
        <f t="shared" si="169"/>
        <v>1.4784374626687373</v>
      </c>
      <c r="DB247" s="292" t="str">
        <f t="shared" si="186"/>
        <v>Pass</v>
      </c>
      <c r="DC247" s="299">
        <f t="shared" si="187"/>
        <v>1.2709525906355497</v>
      </c>
      <c r="DD247" s="293" t="str">
        <f t="shared" si="188"/>
        <v>Pass</v>
      </c>
      <c r="DE247" s="299">
        <f t="shared" si="189"/>
        <v>1.3068288582307273</v>
      </c>
      <c r="DF247" s="293" t="str">
        <f t="shared" si="190"/>
        <v>Pass</v>
      </c>
      <c r="DG247" s="299">
        <f t="shared" si="191"/>
        <v>1.3479633828840178</v>
      </c>
      <c r="DH247" s="293" t="str">
        <f t="shared" si="192"/>
        <v>Pass</v>
      </c>
    </row>
    <row r="248" spans="1:112" ht="15" thickTop="1" thickBot="1">
      <c r="A248" s="38" t="s">
        <v>606</v>
      </c>
      <c r="B248" s="38" t="s">
        <v>607</v>
      </c>
      <c r="C248" s="38" t="s">
        <v>606</v>
      </c>
      <c r="D248" s="38" t="s">
        <v>259</v>
      </c>
      <c r="E248" s="38" t="str">
        <f>VLOOKUP(C248,PoliticalControl!A:K,11,FALSE)</f>
        <v>LAB</v>
      </c>
      <c r="F248" s="38" t="str">
        <f>VLOOKUP(C248,UrbanRuralClassification!A:N,13,FALSE)</f>
        <v>Urban with Major Conurbation</v>
      </c>
      <c r="G248" s="38" t="str">
        <f>VLOOKUP(C248,UrbanRuralClassification!A:N,14,FALSE)</f>
        <v>Predominantly Urban</v>
      </c>
      <c r="H248" s="258">
        <f>IF(ISBLANK((VLOOKUP($A248,'local-plan-data'!$C$1:$AD$566,27,FALSE)))=TRUE,"",VLOOKUP($A248,'local-plan-data'!$C$1:$AD$566,27,FALSE))</f>
        <v>39261</v>
      </c>
      <c r="I248" s="259">
        <f>VLOOKUP($A248,'local-plan-data'!$C$1:$AD$566,28,FALSE)</f>
        <v>325</v>
      </c>
      <c r="J248" s="260">
        <f t="shared" si="170"/>
        <v>325</v>
      </c>
      <c r="K248" s="259" t="str">
        <f t="shared" si="193"/>
        <v>-</v>
      </c>
      <c r="L248" s="259" t="str">
        <f t="shared" si="197"/>
        <v>-</v>
      </c>
      <c r="M248" s="259" t="str">
        <f t="shared" si="197"/>
        <v>-</v>
      </c>
      <c r="N248" s="259" t="str">
        <f t="shared" si="197"/>
        <v>-</v>
      </c>
      <c r="O248" s="259" t="str">
        <f t="shared" si="197"/>
        <v>-</v>
      </c>
      <c r="P248" s="259" t="str">
        <f t="shared" si="197"/>
        <v>-</v>
      </c>
      <c r="Q248" s="259" t="str">
        <f t="shared" si="197"/>
        <v>-</v>
      </c>
      <c r="R248" s="259" t="str">
        <f t="shared" si="197"/>
        <v>-</v>
      </c>
      <c r="S248" s="259">
        <f t="shared" si="194"/>
        <v>-2103</v>
      </c>
      <c r="T248" s="259">
        <f t="shared" si="198"/>
        <v>-2468</v>
      </c>
      <c r="U248" s="259">
        <f t="shared" si="198"/>
        <v>-2834</v>
      </c>
      <c r="V248" s="259">
        <f t="shared" si="198"/>
        <v>-3199</v>
      </c>
      <c r="W248" s="259">
        <f t="shared" si="198"/>
        <v>-3564</v>
      </c>
      <c r="X248" s="259">
        <f t="shared" si="198"/>
        <v>-3929</v>
      </c>
      <c r="Y248" s="259">
        <f t="shared" si="198"/>
        <v>-4295</v>
      </c>
      <c r="Z248" s="259">
        <f t="shared" si="198"/>
        <v>-4660</v>
      </c>
      <c r="AA248" s="267">
        <f>(VLOOKUP(A248,Hshldprojections2014!$A$2:$AW$319,40, FALSE)-VLOOKUP(A248,Hshldprojections2014!$A$2:$AW$319,30, FALSE))/10</f>
        <v>319.8</v>
      </c>
      <c r="AB248" s="267">
        <f>(VLOOKUP(A248,Hshldprojections2014!$A$2:$AW$319,41, FALSE)-VLOOKUP(A248,Hshldprojections2014!$A$2:$AW$319,31, FALSE))/10</f>
        <v>315</v>
      </c>
      <c r="AC248" s="267">
        <f>(VLOOKUP(A248,Hshldprojections2014!$A$2:$AW$319,42, FALSE)-VLOOKUP(A248,Hshldprojections2014!$A$2:$AW$319,32, FALSE))/10</f>
        <v>310.3</v>
      </c>
      <c r="AD248" s="267">
        <f>IF(IndividualLATest!$J$7=2014,(VLOOKUP($A248,Hshldprojections2014!$A$2:$AY$326,43,FALSE)-VLOOKUP($A248,Hshldprojections2014!$A$2:$AY$326,33,FALSE))/10,IF(IndividualLATest!$J$7=2016,(VLOOKUP($A248,Hshldprojections2016!$A$1:$AQ$322,33,FALSE)-VLOOKUP($A248,Hshldprojections2016!$A$1:$AQ$322,23,FALSE))/10,(VLOOKUP($A248,Hshldprojections2018!$A$1:$AQ$327,33,FALSE)-VLOOKUP($A248,Hshldprojections2018!$A$1:$AQ$327,23,FALSE))/10))</f>
        <v>291.39999999999998</v>
      </c>
      <c r="AE248" s="267">
        <f>IF(IndividualLATest!$J$7=2014,(VLOOKUP($A248,Hshldprojections2014!$A$2:$AY$326,44,FALSE)-VLOOKUP($A248,Hshldprojections2014!$A$2:$AY$326,34,FALSE))/10,IF(IndividualLATest!$J$7=2016,(VLOOKUP($A248,Hshldprojections2016!$A$1:$AQ$322,34,FALSE)-VLOOKUP($A248,Hshldprojections2016!$A$1:$AQ$322,24,FALSE))/10,(VLOOKUP($A248,Hshldprojections2018!$A$1:$AQ$327,34,FALSE)-VLOOKUP($A248,Hshldprojections2018!$A$1:$AQ$327,24,FALSE))/10))</f>
        <v>291.5</v>
      </c>
      <c r="AF248" s="267">
        <f>IF(IndividualLATest!$J$7=2014,(VLOOKUP($A248,Hshldprojections2014!$A$2:$AY$326,45,FALSE)-VLOOKUP($A248,Hshldprojections2014!$A$2:$AY$326,35,FALSE))/10,IF(IndividualLATest!$J$7=2016,(VLOOKUP($A248,Hshldprojections2016!$A$1:$AQ$322,35,FALSE)-VLOOKUP($A248,Hshldprojections2016!$A$1:$AQ$322,25,FALSE))/10,(VLOOKUP($A248,Hshldprojections2018!$A$1:$AQ$327,35,FALSE)-VLOOKUP($A248,Hshldprojections2018!$A$1:$AQ$327,25,FALSE))/10))</f>
        <v>293.89999999999998</v>
      </c>
      <c r="AG248" s="267">
        <f>IF(IndividualLATest!$J$7=2014,(VLOOKUP($A248,Hshldprojections2014!$A$2:$AY$326,46,FALSE)-VLOOKUP($A248,Hshldprojections2014!$A$2:$AY$326,36,FALSE))/10,IF(IndividualLATest!$J$7=2016,(VLOOKUP($A248,Hshldprojections2016!$A$1:$AQ$322,36,FALSE)-VLOOKUP($A248,Hshldprojections2016!$A$1:$AQ$322,26,FALSE))/10,(VLOOKUP($A248,Hshldprojections2018!$A$1:$AQ$327,36,FALSE)-VLOOKUP($A248,Hshldprojections2018!$A$1:$AQ$327,26,FALSE))/10))</f>
        <v>294.8</v>
      </c>
      <c r="AH248" s="267">
        <f>IF(IndividualLATest!$J$7=2014,(VLOOKUP($A248,Hshldprojections2014!$A$2:$AY$326,47,FALSE)-VLOOKUP($A248,Hshldprojections2014!$A$2:$AY$326,37,FALSE))/10,IF(IndividualLATest!$J$7=2016,(VLOOKUP($A248,Hshldprojections2016!$A$1:$AQ$322,37,FALSE)-VLOOKUP($A248,Hshldprojections2016!$A$1:$AQ$322,27,FALSE))/10,(VLOOKUP($A248,Hshldprojections2018!$A$1:$AQ$327,37,FALSE)-VLOOKUP($A248,Hshldprojections2018!$A$1:$AQ$327,27,FALSE))/10))</f>
        <v>295.3</v>
      </c>
      <c r="AI248" s="268">
        <f>IF(ISNUMBER('Sensitivity Tests'!$C$30),'Sensitivity Tests'!$C$30,VLOOKUP($A248,AffordabilityRatio!$A$2:$I$321,5,FALSE))</f>
        <v>5.73</v>
      </c>
      <c r="AJ248" s="268">
        <f>IF(ISNUMBER('Sensitivity Tests'!$C$30),'Sensitivity Tests'!$C$30,VLOOKUP($A248,AffordabilityRatio!$A$2:$I$321,6,FALSE))</f>
        <v>5.8</v>
      </c>
      <c r="AK248" s="268">
        <f>IF(ISNUMBER('Sensitivity Tests'!$C$30),'Sensitivity Tests'!$C$30,VLOOKUP($A248,AffordabilityRatio!$A$2:$I$321,7,FALSE))</f>
        <v>5.52</v>
      </c>
      <c r="AL248" s="268">
        <f>IF(ISNUMBER('Sensitivity Tests'!$C$30),'Sensitivity Tests'!$C$30,IF((VLOOKUP($A248,AffordabilityRatio!$A$2:$I$321,8,FALSE))="",AK248,VLOOKUP($A248,AffordabilityRatio!$A$2:$I$321,8,FALSE)))</f>
        <v>5.04</v>
      </c>
      <c r="AM248" s="268">
        <f>IF(ISNUMBER('Sensitivity Tests'!$C$30),'Sensitivity Tests'!$C$30,IF((VLOOKUP($A248,AffordabilityRatio!$A$2:$I$321,9,FALSE))="",AL248,VLOOKUP($A248,AffordabilityRatio!$A$2:$I$321,9,FALSE)))</f>
        <v>5.85</v>
      </c>
      <c r="AN248" s="268">
        <f>IF(ISNUMBER('Sensitivity Tests'!$C$30),'Sensitivity Tests'!$C$30,IF((VLOOKUP($A248,AffordabilityRatio!$A$2:$I$321,9,FALSE))="",AM248,VLOOKUP($A248,AffordabilityRatio!$A$2:$I$321,9,FALSE)))</f>
        <v>5.85</v>
      </c>
      <c r="AO248" s="268">
        <f>IF(ISNUMBER('Sensitivity Tests'!$C$30),'Sensitivity Tests'!$C$30,IF((VLOOKUP($A248,AffordabilityRatio!$A$2:$I$321,9,FALSE))="",AN248,VLOOKUP($A248,AffordabilityRatio!$A$2:$I$321,9,FALSE)))</f>
        <v>5.85</v>
      </c>
      <c r="AP248" s="268">
        <f>IF(ISNUMBER('Sensitivity Tests'!$C$30),'Sensitivity Tests'!$C$30,IF((VLOOKUP($A248,AffordabilityRatio!$A$2:$I$321,9,FALSE))="",AO248,VLOOKUP($A248,AffordabilityRatio!$A$2:$I$321,9,FALSE)))</f>
        <v>5.85</v>
      </c>
      <c r="AQ248" s="267">
        <f t="shared" si="199"/>
        <v>354</v>
      </c>
      <c r="AR248" s="267">
        <f t="shared" si="199"/>
        <v>350</v>
      </c>
      <c r="AS248" s="267">
        <f t="shared" si="199"/>
        <v>340</v>
      </c>
      <c r="AT248" s="267">
        <f t="shared" si="199"/>
        <v>310</v>
      </c>
      <c r="AU248" s="267">
        <f t="shared" si="199"/>
        <v>325</v>
      </c>
      <c r="AV248" s="267">
        <f t="shared" si="199"/>
        <v>328</v>
      </c>
      <c r="AW248" s="267">
        <f t="shared" si="199"/>
        <v>329</v>
      </c>
      <c r="AX248" s="267">
        <f t="shared" si="199"/>
        <v>329</v>
      </c>
      <c r="AY248" s="267">
        <f t="shared" si="171"/>
        <v>354</v>
      </c>
      <c r="AZ248" s="267">
        <f t="shared" si="172"/>
        <v>350</v>
      </c>
      <c r="BA248" s="267">
        <f t="shared" si="173"/>
        <v>340</v>
      </c>
      <c r="BB248" s="267">
        <f t="shared" si="174"/>
        <v>310</v>
      </c>
      <c r="BC248" s="267">
        <f t="shared" si="175"/>
        <v>325</v>
      </c>
      <c r="BD248" s="267">
        <f t="shared" si="176"/>
        <v>328</v>
      </c>
      <c r="BE248" s="267">
        <f t="shared" si="177"/>
        <v>329</v>
      </c>
      <c r="BF248" s="267">
        <f t="shared" si="178"/>
        <v>329</v>
      </c>
      <c r="BG248" s="269">
        <f>AY248*VLOOKUP($B248,'Major Cities &amp; Towns'!$A$28:$B$345,2,FALSE)</f>
        <v>354</v>
      </c>
      <c r="BH248" s="269">
        <f>AZ248*VLOOKUP($B248,'Major Cities &amp; Towns'!$A$28:$B$345,2,FALSE)</f>
        <v>350</v>
      </c>
      <c r="BI248" s="269">
        <f>BA248*VLOOKUP($B248,'Major Cities &amp; Towns'!$A$28:$B$345,2,FALSE)</f>
        <v>340</v>
      </c>
      <c r="BJ248" s="269">
        <f>BB248*VLOOKUP($B248,'Major Cities &amp; Towns'!$A$28:$B$345,2,FALSE)</f>
        <v>310</v>
      </c>
      <c r="BK248" s="269">
        <f>BC248*VLOOKUP($B248,'Major Cities &amp; Towns'!$A$28:$B$345,2,FALSE)</f>
        <v>325</v>
      </c>
      <c r="BL248" s="269">
        <f>BD248*VLOOKUP($B248,'Major Cities &amp; Towns'!$A$28:$B$345,2,FALSE)</f>
        <v>328</v>
      </c>
      <c r="BM248" s="269">
        <f>BE248*VLOOKUP($B248,'Major Cities &amp; Towns'!$A$28:$B$345,2,FALSE)</f>
        <v>329</v>
      </c>
      <c r="BN248" s="269">
        <f>BF248*VLOOKUP($B248,'Major Cities &amp; Towns'!$A$28:$B$345,2,FALSE)</f>
        <v>329</v>
      </c>
      <c r="BO248" s="270">
        <f t="shared" si="179"/>
        <v>354</v>
      </c>
      <c r="BP248" s="270">
        <f t="shared" si="195"/>
        <v>350</v>
      </c>
      <c r="BQ248" s="270">
        <f t="shared" si="195"/>
        <v>340</v>
      </c>
      <c r="BR248" s="270">
        <f t="shared" si="195"/>
        <v>310</v>
      </c>
      <c r="BS248" s="270">
        <f t="shared" si="195"/>
        <v>325</v>
      </c>
      <c r="BT248" s="270">
        <f t="shared" si="195"/>
        <v>328</v>
      </c>
      <c r="BU248" s="270">
        <f t="shared" si="195"/>
        <v>329</v>
      </c>
      <c r="BV248" s="270">
        <f t="shared" si="195"/>
        <v>329</v>
      </c>
      <c r="BW248" s="39">
        <f>VLOOKUP($A248,NetAdditions!$A$2:$H$336,6,FALSE)</f>
        <v>247</v>
      </c>
      <c r="BX248" s="39">
        <f>VLOOKUP($A248,NetAdditions!$A$2:$H$336,7,FALSE)</f>
        <v>236</v>
      </c>
      <c r="BY248" s="39">
        <f>IF((VLOOKUP($C248,NetAdditions!$A$2:$H$336,8,FALSE))="",(AVERAGE(VLOOKUP($C248,NetAdditions!$A$2:$H$336,5,FALSE),VLOOKUP($C248,NetAdditions!$A$2:$H$336,6,FALSE),VLOOKUP($C248,NetAdditions!$A$2:$H$336,7,FALSE))),VLOOKUP($C248,NetAdditions!$A$2:$H$336,8,FALSE))</f>
        <v>182</v>
      </c>
      <c r="BZ248" s="39">
        <f t="shared" si="196"/>
        <v>221.66666666666666</v>
      </c>
      <c r="CA248" s="39">
        <f t="shared" si="196"/>
        <v>213.2222222222222</v>
      </c>
      <c r="CB248" s="39">
        <f t="shared" si="196"/>
        <v>205.62962962962959</v>
      </c>
      <c r="CC248" s="39">
        <f t="shared" si="196"/>
        <v>213.50617283950615</v>
      </c>
      <c r="CD248" s="39">
        <f t="shared" si="196"/>
        <v>210.78600823045267</v>
      </c>
      <c r="CE248" s="276">
        <f t="shared" si="155"/>
        <v>1044</v>
      </c>
      <c r="CF248" s="276">
        <f t="shared" si="156"/>
        <v>1000</v>
      </c>
      <c r="CG248" s="276">
        <f t="shared" si="157"/>
        <v>975</v>
      </c>
      <c r="CH248" s="276">
        <f t="shared" si="158"/>
        <v>963</v>
      </c>
      <c r="CI248" s="276">
        <f t="shared" si="159"/>
        <v>982</v>
      </c>
      <c r="CJ248" s="276">
        <f t="shared" si="160"/>
        <v>986</v>
      </c>
      <c r="CK248" s="276">
        <f t="shared" si="180"/>
        <v>899</v>
      </c>
      <c r="CL248" s="276">
        <f t="shared" si="181"/>
        <v>861.1111111111112</v>
      </c>
      <c r="CM248" s="276">
        <f t="shared" si="182"/>
        <v>893.75</v>
      </c>
      <c r="CN248" s="276">
        <f t="shared" si="183"/>
        <v>963</v>
      </c>
      <c r="CO248" s="276">
        <f t="shared" si="183"/>
        <v>982</v>
      </c>
      <c r="CP248" s="276">
        <f t="shared" si="183"/>
        <v>986</v>
      </c>
      <c r="CQ248" s="39">
        <f t="shared" si="161"/>
        <v>665</v>
      </c>
      <c r="CR248" s="39">
        <f t="shared" si="162"/>
        <v>639.66666666666663</v>
      </c>
      <c r="CS248" s="277">
        <f t="shared" si="163"/>
        <v>616.8888888888888</v>
      </c>
      <c r="CT248" s="39">
        <f t="shared" si="164"/>
        <v>640.51851851851848</v>
      </c>
      <c r="CU248" s="39">
        <f t="shared" si="165"/>
        <v>632.35802469135797</v>
      </c>
      <c r="CV248" s="39">
        <f t="shared" si="166"/>
        <v>629.92181069958838</v>
      </c>
      <c r="CW248" s="297">
        <f t="shared" si="167"/>
        <v>0.73971078976640714</v>
      </c>
      <c r="CX248" s="279" t="str">
        <f t="shared" si="184"/>
        <v>Buffer and Action Plan</v>
      </c>
      <c r="CY248" s="278">
        <f t="shared" si="168"/>
        <v>0.74283870967741927</v>
      </c>
      <c r="CZ248" s="279" t="str">
        <f t="shared" si="185"/>
        <v>Buffer and Action Plan</v>
      </c>
      <c r="DA248" s="278">
        <f t="shared" si="169"/>
        <v>0.69022533022533017</v>
      </c>
      <c r="DB248" s="292" t="str">
        <f t="shared" si="186"/>
        <v>Presumption</v>
      </c>
      <c r="DC248" s="299">
        <f t="shared" si="187"/>
        <v>0.66512826429752703</v>
      </c>
      <c r="DD248" s="293" t="str">
        <f t="shared" si="188"/>
        <v>Presumption</v>
      </c>
      <c r="DE248" s="299">
        <f t="shared" si="189"/>
        <v>0.64394910864700405</v>
      </c>
      <c r="DF248" s="293" t="str">
        <f t="shared" si="190"/>
        <v>Presumption</v>
      </c>
      <c r="DG248" s="299">
        <f t="shared" si="191"/>
        <v>0.63886593377240197</v>
      </c>
      <c r="DH248" s="293" t="str">
        <f t="shared" si="192"/>
        <v>Presumption</v>
      </c>
    </row>
    <row r="249" spans="1:112" ht="15" thickTop="1" thickBot="1">
      <c r="A249" s="38" t="s">
        <v>608</v>
      </c>
      <c r="B249" s="38" t="s">
        <v>609</v>
      </c>
      <c r="C249" s="38" t="s">
        <v>608</v>
      </c>
      <c r="D249" s="38" t="s">
        <v>113</v>
      </c>
      <c r="E249" s="38" t="str">
        <f>VLOOKUP(C249,PoliticalControl!A:K,11,FALSE)</f>
        <v>CON</v>
      </c>
      <c r="F249" s="38" t="str">
        <f>VLOOKUP(C249,UrbanRuralClassification!A:N,13,FALSE)</f>
        <v>Urban with City and Town</v>
      </c>
      <c r="G249" s="38" t="str">
        <f>VLOOKUP(C249,UrbanRuralClassification!A:N,14,FALSE)</f>
        <v>Predominantly Urban</v>
      </c>
      <c r="H249" s="258">
        <f>IF(ISBLANK((VLOOKUP($A249,'local-plan-data'!$C$1:$AD$566,27,FALSE)))=TRUE,"",VLOOKUP($A249,'local-plan-data'!$C$1:$AD$566,27,FALSE))</f>
        <v>42081</v>
      </c>
      <c r="I249" s="259">
        <f>VLOOKUP($A249,'local-plan-data'!$C$1:$AD$566,28,FALSE)</f>
        <v>815</v>
      </c>
      <c r="J249" s="260">
        <f t="shared" si="170"/>
        <v>815</v>
      </c>
      <c r="K249" s="259">
        <f t="shared" si="193"/>
        <v>815</v>
      </c>
      <c r="L249" s="259">
        <f t="shared" si="197"/>
        <v>815</v>
      </c>
      <c r="M249" s="259" t="str">
        <f t="shared" si="197"/>
        <v>-</v>
      </c>
      <c r="N249" s="259" t="str">
        <f t="shared" si="197"/>
        <v>-</v>
      </c>
      <c r="O249" s="259" t="str">
        <f t="shared" si="197"/>
        <v>-</v>
      </c>
      <c r="P249" s="259" t="str">
        <f t="shared" si="197"/>
        <v>-</v>
      </c>
      <c r="Q249" s="259" t="str">
        <f t="shared" si="197"/>
        <v>-</v>
      </c>
      <c r="R249" s="259" t="str">
        <f t="shared" si="197"/>
        <v>-</v>
      </c>
      <c r="S249" s="259">
        <f t="shared" si="194"/>
        <v>717</v>
      </c>
      <c r="T249" s="259">
        <f t="shared" si="198"/>
        <v>352</v>
      </c>
      <c r="U249" s="259">
        <f t="shared" si="198"/>
        <v>-14</v>
      </c>
      <c r="V249" s="259">
        <f t="shared" si="198"/>
        <v>-379</v>
      </c>
      <c r="W249" s="259">
        <f t="shared" si="198"/>
        <v>-744</v>
      </c>
      <c r="X249" s="259">
        <f t="shared" si="198"/>
        <v>-1109</v>
      </c>
      <c r="Y249" s="259">
        <f t="shared" si="198"/>
        <v>-1475</v>
      </c>
      <c r="Z249" s="259">
        <f t="shared" si="198"/>
        <v>-1840</v>
      </c>
      <c r="AA249" s="267">
        <f>(VLOOKUP(A249,Hshldprojections2014!$A$2:$AW$319,40, FALSE)-VLOOKUP(A249,Hshldprojections2014!$A$2:$AW$319,30, FALSE))/10</f>
        <v>820.5</v>
      </c>
      <c r="AB249" s="267">
        <f>(VLOOKUP(A249,Hshldprojections2014!$A$2:$AW$319,41, FALSE)-VLOOKUP(A249,Hshldprojections2014!$A$2:$AW$319,31, FALSE))/10</f>
        <v>835.5</v>
      </c>
      <c r="AC249" s="267">
        <f>(VLOOKUP(A249,Hshldprojections2014!$A$2:$AW$319,42, FALSE)-VLOOKUP(A249,Hshldprojections2014!$A$2:$AW$319,32, FALSE))/10</f>
        <v>851.3</v>
      </c>
      <c r="AD249" s="267">
        <f>IF(IndividualLATest!$J$7=2014,(VLOOKUP($A249,Hshldprojections2014!$A$2:$AY$326,43,FALSE)-VLOOKUP($A249,Hshldprojections2014!$A$2:$AY$326,33,FALSE))/10,IF(IndividualLATest!$J$7=2016,(VLOOKUP($A249,Hshldprojections2016!$A$1:$AQ$322,33,FALSE)-VLOOKUP($A249,Hshldprojections2016!$A$1:$AQ$322,23,FALSE))/10,(VLOOKUP($A249,Hshldprojections2018!$A$1:$AQ$327,33,FALSE)-VLOOKUP($A249,Hshldprojections2018!$A$1:$AQ$327,23,FALSE))/10))</f>
        <v>446.1</v>
      </c>
      <c r="AE249" s="267">
        <f>IF(IndividualLATest!$J$7=2014,(VLOOKUP($A249,Hshldprojections2014!$A$2:$AY$326,44,FALSE)-VLOOKUP($A249,Hshldprojections2014!$A$2:$AY$326,34,FALSE))/10,IF(IndividualLATest!$J$7=2016,(VLOOKUP($A249,Hshldprojections2016!$A$1:$AQ$322,34,FALSE)-VLOOKUP($A249,Hshldprojections2016!$A$1:$AQ$322,24,FALSE))/10,(VLOOKUP($A249,Hshldprojections2018!$A$1:$AQ$327,34,FALSE)-VLOOKUP($A249,Hshldprojections2018!$A$1:$AQ$327,24,FALSE))/10))</f>
        <v>464.1</v>
      </c>
      <c r="AF249" s="267">
        <f>IF(IndividualLATest!$J$7=2014,(VLOOKUP($A249,Hshldprojections2014!$A$2:$AY$326,45,FALSE)-VLOOKUP($A249,Hshldprojections2014!$A$2:$AY$326,35,FALSE))/10,IF(IndividualLATest!$J$7=2016,(VLOOKUP($A249,Hshldprojections2016!$A$1:$AQ$322,35,FALSE)-VLOOKUP($A249,Hshldprojections2016!$A$1:$AQ$322,25,FALSE))/10,(VLOOKUP($A249,Hshldprojections2018!$A$1:$AQ$327,35,FALSE)-VLOOKUP($A249,Hshldprojections2018!$A$1:$AQ$327,25,FALSE))/10))</f>
        <v>477.6</v>
      </c>
      <c r="AG249" s="267">
        <f>IF(IndividualLATest!$J$7=2014,(VLOOKUP($A249,Hshldprojections2014!$A$2:$AY$326,46,FALSE)-VLOOKUP($A249,Hshldprojections2014!$A$2:$AY$326,36,FALSE))/10,IF(IndividualLATest!$J$7=2016,(VLOOKUP($A249,Hshldprojections2016!$A$1:$AQ$322,36,FALSE)-VLOOKUP($A249,Hshldprojections2016!$A$1:$AQ$322,26,FALSE))/10,(VLOOKUP($A249,Hshldprojections2018!$A$1:$AQ$327,36,FALSE)-VLOOKUP($A249,Hshldprojections2018!$A$1:$AQ$327,26,FALSE))/10))</f>
        <v>484.5</v>
      </c>
      <c r="AH249" s="267">
        <f>IF(IndividualLATest!$J$7=2014,(VLOOKUP($A249,Hshldprojections2014!$A$2:$AY$326,47,FALSE)-VLOOKUP($A249,Hshldprojections2014!$A$2:$AY$326,37,FALSE))/10,IF(IndividualLATest!$J$7=2016,(VLOOKUP($A249,Hshldprojections2016!$A$1:$AQ$322,37,FALSE)-VLOOKUP($A249,Hshldprojections2016!$A$1:$AQ$322,27,FALSE))/10,(VLOOKUP($A249,Hshldprojections2018!$A$1:$AQ$327,37,FALSE)-VLOOKUP($A249,Hshldprojections2018!$A$1:$AQ$327,27,FALSE))/10))</f>
        <v>488.4</v>
      </c>
      <c r="AI249" s="268">
        <f>IF(ISNUMBER('Sensitivity Tests'!$C$30),'Sensitivity Tests'!$C$30,VLOOKUP($A249,AffordabilityRatio!$A$2:$I$321,5,FALSE))</f>
        <v>6.59</v>
      </c>
      <c r="AJ249" s="268">
        <f>IF(ISNUMBER('Sensitivity Tests'!$C$30),'Sensitivity Tests'!$C$30,VLOOKUP($A249,AffordabilityRatio!$A$2:$I$321,6,FALSE))</f>
        <v>7.51</v>
      </c>
      <c r="AK249" s="268">
        <f>IF(ISNUMBER('Sensitivity Tests'!$C$30),'Sensitivity Tests'!$C$30,VLOOKUP($A249,AffordabilityRatio!$A$2:$I$321,7,FALSE))</f>
        <v>6.85</v>
      </c>
      <c r="AL249" s="268">
        <f>IF(ISNUMBER('Sensitivity Tests'!$C$30),'Sensitivity Tests'!$C$30,IF((VLOOKUP($A249,AffordabilityRatio!$A$2:$I$321,8,FALSE))="",AK249,VLOOKUP($A249,AffordabilityRatio!$A$2:$I$321,8,FALSE)))</f>
        <v>6.77</v>
      </c>
      <c r="AM249" s="268">
        <f>IF(ISNUMBER('Sensitivity Tests'!$C$30),'Sensitivity Tests'!$C$30,IF((VLOOKUP($A249,AffordabilityRatio!$A$2:$I$321,9,FALSE))="",AL249,VLOOKUP($A249,AffordabilityRatio!$A$2:$I$321,9,FALSE)))</f>
        <v>7.33</v>
      </c>
      <c r="AN249" s="268">
        <f>IF(ISNUMBER('Sensitivity Tests'!$C$30),'Sensitivity Tests'!$C$30,IF((VLOOKUP($A249,AffordabilityRatio!$A$2:$I$321,9,FALSE))="",AM249,VLOOKUP($A249,AffordabilityRatio!$A$2:$I$321,9,FALSE)))</f>
        <v>7.33</v>
      </c>
      <c r="AO249" s="268">
        <f>IF(ISNUMBER('Sensitivity Tests'!$C$30),'Sensitivity Tests'!$C$30,IF((VLOOKUP($A249,AffordabilityRatio!$A$2:$I$321,9,FALSE))="",AN249,VLOOKUP($A249,AffordabilityRatio!$A$2:$I$321,9,FALSE)))</f>
        <v>7.33</v>
      </c>
      <c r="AP249" s="268">
        <f>IF(ISNUMBER('Sensitivity Tests'!$C$30),'Sensitivity Tests'!$C$30,IF((VLOOKUP($A249,AffordabilityRatio!$A$2:$I$321,9,FALSE))="",AO249,VLOOKUP($A249,AffordabilityRatio!$A$2:$I$321,9,FALSE)))</f>
        <v>7.33</v>
      </c>
      <c r="AQ249" s="267">
        <f t="shared" si="199"/>
        <v>953</v>
      </c>
      <c r="AR249" s="267">
        <f t="shared" si="199"/>
        <v>1019</v>
      </c>
      <c r="AS249" s="267">
        <f t="shared" si="199"/>
        <v>1003</v>
      </c>
      <c r="AT249" s="267">
        <f t="shared" si="199"/>
        <v>523</v>
      </c>
      <c r="AU249" s="267">
        <f t="shared" si="199"/>
        <v>561</v>
      </c>
      <c r="AV249" s="267">
        <f t="shared" si="199"/>
        <v>577</v>
      </c>
      <c r="AW249" s="267">
        <f t="shared" si="199"/>
        <v>585</v>
      </c>
      <c r="AX249" s="267">
        <f t="shared" si="199"/>
        <v>590</v>
      </c>
      <c r="AY249" s="267">
        <f t="shared" si="171"/>
        <v>953</v>
      </c>
      <c r="AZ249" s="267">
        <f t="shared" si="172"/>
        <v>1019</v>
      </c>
      <c r="BA249" s="267">
        <f t="shared" si="173"/>
        <v>1003</v>
      </c>
      <c r="BB249" s="267">
        <f t="shared" si="174"/>
        <v>523</v>
      </c>
      <c r="BC249" s="267">
        <f t="shared" si="175"/>
        <v>561</v>
      </c>
      <c r="BD249" s="267">
        <f t="shared" si="176"/>
        <v>577</v>
      </c>
      <c r="BE249" s="267">
        <f t="shared" si="177"/>
        <v>585</v>
      </c>
      <c r="BF249" s="267">
        <f t="shared" si="178"/>
        <v>590</v>
      </c>
      <c r="BG249" s="269">
        <f>AY249*VLOOKUP($B249,'Major Cities &amp; Towns'!$A$28:$B$345,2,FALSE)</f>
        <v>1286.5500000000002</v>
      </c>
      <c r="BH249" s="269">
        <f>AZ249*VLOOKUP($B249,'Major Cities &amp; Towns'!$A$28:$B$345,2,FALSE)</f>
        <v>1375.65</v>
      </c>
      <c r="BI249" s="269">
        <f>BA249*VLOOKUP($B249,'Major Cities &amp; Towns'!$A$28:$B$345,2,FALSE)</f>
        <v>1354.0500000000002</v>
      </c>
      <c r="BJ249" s="269">
        <f>BB249*VLOOKUP($B249,'Major Cities &amp; Towns'!$A$28:$B$345,2,FALSE)</f>
        <v>706.05000000000007</v>
      </c>
      <c r="BK249" s="269">
        <f>BC249*VLOOKUP($B249,'Major Cities &amp; Towns'!$A$28:$B$345,2,FALSE)</f>
        <v>757.35</v>
      </c>
      <c r="BL249" s="269">
        <f>BD249*VLOOKUP($B249,'Major Cities &amp; Towns'!$A$28:$B$345,2,FALSE)</f>
        <v>778.95</v>
      </c>
      <c r="BM249" s="269">
        <f>BE249*VLOOKUP($B249,'Major Cities &amp; Towns'!$A$28:$B$345,2,FALSE)</f>
        <v>789.75</v>
      </c>
      <c r="BN249" s="269">
        <f>BF249*VLOOKUP($B249,'Major Cities &amp; Towns'!$A$28:$B$345,2,FALSE)</f>
        <v>796.5</v>
      </c>
      <c r="BO249" s="270">
        <f t="shared" si="179"/>
        <v>815</v>
      </c>
      <c r="BP249" s="270">
        <f t="shared" si="195"/>
        <v>822.26575342465753</v>
      </c>
      <c r="BQ249" s="270">
        <f t="shared" si="195"/>
        <v>1003</v>
      </c>
      <c r="BR249" s="270">
        <f t="shared" si="195"/>
        <v>523</v>
      </c>
      <c r="BS249" s="270">
        <f t="shared" si="195"/>
        <v>561</v>
      </c>
      <c r="BT249" s="270">
        <f t="shared" si="195"/>
        <v>577</v>
      </c>
      <c r="BU249" s="270">
        <f t="shared" si="195"/>
        <v>585</v>
      </c>
      <c r="BV249" s="270">
        <f t="shared" si="195"/>
        <v>590</v>
      </c>
      <c r="BW249" s="39">
        <f>VLOOKUP($A249,NetAdditions!$A$2:$H$336,6,FALSE)</f>
        <v>1616</v>
      </c>
      <c r="BX249" s="39">
        <f>VLOOKUP($A249,NetAdditions!$A$2:$H$336,7,FALSE)</f>
        <v>460</v>
      </c>
      <c r="BY249" s="39">
        <f>IF((VLOOKUP($C249,NetAdditions!$A$2:$H$336,8,FALSE))="",(AVERAGE(VLOOKUP($C249,NetAdditions!$A$2:$H$336,5,FALSE),VLOOKUP($C249,NetAdditions!$A$2:$H$336,6,FALSE),VLOOKUP($C249,NetAdditions!$A$2:$H$336,7,FALSE))),VLOOKUP($C249,NetAdditions!$A$2:$H$336,8,FALSE))</f>
        <v>645</v>
      </c>
      <c r="BZ249" s="39">
        <f t="shared" si="196"/>
        <v>907</v>
      </c>
      <c r="CA249" s="39">
        <f t="shared" si="196"/>
        <v>670.66666666666663</v>
      </c>
      <c r="CB249" s="39">
        <f t="shared" si="196"/>
        <v>740.8888888888888</v>
      </c>
      <c r="CC249" s="39">
        <f t="shared" si="196"/>
        <v>772.85185185185173</v>
      </c>
      <c r="CD249" s="39">
        <f t="shared" si="196"/>
        <v>728.13580246913568</v>
      </c>
      <c r="CE249" s="276">
        <f t="shared" si="155"/>
        <v>2640.2657534246573</v>
      </c>
      <c r="CF249" s="276">
        <f t="shared" si="156"/>
        <v>2348.2657534246573</v>
      </c>
      <c r="CG249" s="276">
        <f t="shared" si="157"/>
        <v>2087</v>
      </c>
      <c r="CH249" s="276">
        <f t="shared" si="158"/>
        <v>1661</v>
      </c>
      <c r="CI249" s="276">
        <f t="shared" si="159"/>
        <v>1723</v>
      </c>
      <c r="CJ249" s="276">
        <f t="shared" si="160"/>
        <v>1752</v>
      </c>
      <c r="CK249" s="276">
        <f t="shared" si="180"/>
        <v>2273.5621765601218</v>
      </c>
      <c r="CL249" s="276">
        <f t="shared" si="181"/>
        <v>2022.1177321156772</v>
      </c>
      <c r="CM249" s="276">
        <f t="shared" si="182"/>
        <v>1913.0833333333333</v>
      </c>
      <c r="CN249" s="276">
        <f t="shared" si="183"/>
        <v>1661</v>
      </c>
      <c r="CO249" s="276">
        <f t="shared" si="183"/>
        <v>1723</v>
      </c>
      <c r="CP249" s="276">
        <f t="shared" si="183"/>
        <v>1752</v>
      </c>
      <c r="CQ249" s="39">
        <f t="shared" si="161"/>
        <v>2721</v>
      </c>
      <c r="CR249" s="39">
        <f t="shared" si="162"/>
        <v>2012</v>
      </c>
      <c r="CS249" s="277">
        <f t="shared" si="163"/>
        <v>2222.6666666666665</v>
      </c>
      <c r="CT249" s="39">
        <f t="shared" si="164"/>
        <v>2318.5555555555552</v>
      </c>
      <c r="CU249" s="39">
        <f t="shared" si="165"/>
        <v>2184.4074074074069</v>
      </c>
      <c r="CV249" s="39">
        <f t="shared" si="166"/>
        <v>2241.8765432098762</v>
      </c>
      <c r="CW249" s="297">
        <f t="shared" si="167"/>
        <v>1.1968003461936754</v>
      </c>
      <c r="CX249" s="279" t="str">
        <f t="shared" si="184"/>
        <v>Pass</v>
      </c>
      <c r="CY249" s="278">
        <f t="shared" si="168"/>
        <v>0.99499646733966807</v>
      </c>
      <c r="CZ249" s="279" t="str">
        <f t="shared" si="185"/>
        <v>Pass</v>
      </c>
      <c r="DA249" s="278">
        <f t="shared" si="169"/>
        <v>1.1618242801759811</v>
      </c>
      <c r="DB249" s="292" t="str">
        <f t="shared" si="186"/>
        <v>Pass</v>
      </c>
      <c r="DC249" s="299">
        <f t="shared" si="187"/>
        <v>1.3958793230316406</v>
      </c>
      <c r="DD249" s="293" t="str">
        <f t="shared" si="188"/>
        <v>Pass</v>
      </c>
      <c r="DE249" s="299">
        <f t="shared" si="189"/>
        <v>1.2677930397024997</v>
      </c>
      <c r="DF249" s="293" t="str">
        <f t="shared" si="190"/>
        <v>Pass</v>
      </c>
      <c r="DG249" s="299">
        <f t="shared" si="191"/>
        <v>1.2796098990923952</v>
      </c>
      <c r="DH249" s="293" t="str">
        <f t="shared" si="192"/>
        <v>Pass</v>
      </c>
    </row>
    <row r="250" spans="1:112" ht="15" thickTop="1" thickBot="1">
      <c r="A250" s="38" t="s">
        <v>610</v>
      </c>
      <c r="B250" s="38" t="s">
        <v>611</v>
      </c>
      <c r="C250" s="38" t="s">
        <v>610</v>
      </c>
      <c r="D250" s="38" t="s">
        <v>128</v>
      </c>
      <c r="E250" s="38" t="str">
        <f>VLOOKUP(C250,PoliticalControl!A:K,11,FALSE)</f>
        <v>NOC</v>
      </c>
      <c r="F250" s="38" t="str">
        <f>VLOOKUP(C250,UrbanRuralClassification!A:N,13,FALSE)</f>
        <v>Urban with City and Town</v>
      </c>
      <c r="G250" s="38" t="str">
        <f>VLOOKUP(C250,UrbanRuralClassification!A:N,14,FALSE)</f>
        <v>Predominantly Urban</v>
      </c>
      <c r="H250" s="258">
        <f>IF(ISBLANK((VLOOKUP($A250,'local-plan-data'!$C$1:$AD$566,27,FALSE)))=TRUE,"",VLOOKUP($A250,'local-plan-data'!$C$1:$AD$566,27,FALSE))</f>
        <v>39429</v>
      </c>
      <c r="I250" s="259">
        <f>VLOOKUP($A250,'local-plan-data'!$C$1:$AD$566,28,FALSE)</f>
        <v>325</v>
      </c>
      <c r="J250" s="260">
        <f t="shared" si="170"/>
        <v>325</v>
      </c>
      <c r="K250" s="259" t="str">
        <f t="shared" si="193"/>
        <v>-</v>
      </c>
      <c r="L250" s="259" t="str">
        <f t="shared" si="197"/>
        <v>-</v>
      </c>
      <c r="M250" s="259" t="str">
        <f t="shared" si="197"/>
        <v>-</v>
      </c>
      <c r="N250" s="259" t="str">
        <f t="shared" si="197"/>
        <v>-</v>
      </c>
      <c r="O250" s="259" t="str">
        <f t="shared" si="197"/>
        <v>-</v>
      </c>
      <c r="P250" s="259" t="str">
        <f t="shared" si="197"/>
        <v>-</v>
      </c>
      <c r="Q250" s="259" t="str">
        <f t="shared" si="197"/>
        <v>-</v>
      </c>
      <c r="R250" s="259" t="str">
        <f t="shared" si="197"/>
        <v>-</v>
      </c>
      <c r="S250" s="259">
        <f t="shared" si="194"/>
        <v>-1935</v>
      </c>
      <c r="T250" s="259">
        <f t="shared" si="198"/>
        <v>-2300</v>
      </c>
      <c r="U250" s="259">
        <f t="shared" si="198"/>
        <v>-2666</v>
      </c>
      <c r="V250" s="259">
        <f t="shared" si="198"/>
        <v>-3031</v>
      </c>
      <c r="W250" s="259">
        <f t="shared" si="198"/>
        <v>-3396</v>
      </c>
      <c r="X250" s="259">
        <f t="shared" si="198"/>
        <v>-3761</v>
      </c>
      <c r="Y250" s="259">
        <f t="shared" si="198"/>
        <v>-4127</v>
      </c>
      <c r="Z250" s="259">
        <f t="shared" si="198"/>
        <v>-4492</v>
      </c>
      <c r="AA250" s="267">
        <f>(VLOOKUP(A250,Hshldprojections2014!$A$2:$AW$319,40, FALSE)-VLOOKUP(A250,Hshldprojections2014!$A$2:$AW$319,30, FALSE))/10</f>
        <v>847.6</v>
      </c>
      <c r="AB250" s="267">
        <f>(VLOOKUP(A250,Hshldprojections2014!$A$2:$AW$319,41, FALSE)-VLOOKUP(A250,Hshldprojections2014!$A$2:$AW$319,31, FALSE))/10</f>
        <v>845.9</v>
      </c>
      <c r="AC250" s="267">
        <f>(VLOOKUP(A250,Hshldprojections2014!$A$2:$AW$319,42, FALSE)-VLOOKUP(A250,Hshldprojections2014!$A$2:$AW$319,32, FALSE))/10</f>
        <v>843.3</v>
      </c>
      <c r="AD250" s="267">
        <f>IF(IndividualLATest!$J$7=2014,(VLOOKUP($A250,Hshldprojections2014!$A$2:$AY$326,43,FALSE)-VLOOKUP($A250,Hshldprojections2014!$A$2:$AY$326,33,FALSE))/10,IF(IndividualLATest!$J$7=2016,(VLOOKUP($A250,Hshldprojections2016!$A$1:$AQ$322,33,FALSE)-VLOOKUP($A250,Hshldprojections2016!$A$1:$AQ$322,23,FALSE))/10,(VLOOKUP($A250,Hshldprojections2018!$A$1:$AQ$327,33,FALSE)-VLOOKUP($A250,Hshldprojections2018!$A$1:$AQ$327,23,FALSE))/10))</f>
        <v>624.5</v>
      </c>
      <c r="AE250" s="267">
        <f>IF(IndividualLATest!$J$7=2014,(VLOOKUP($A250,Hshldprojections2014!$A$2:$AY$326,44,FALSE)-VLOOKUP($A250,Hshldprojections2014!$A$2:$AY$326,34,FALSE))/10,IF(IndividualLATest!$J$7=2016,(VLOOKUP($A250,Hshldprojections2016!$A$1:$AQ$322,34,FALSE)-VLOOKUP($A250,Hshldprojections2016!$A$1:$AQ$322,24,FALSE))/10,(VLOOKUP($A250,Hshldprojections2018!$A$1:$AQ$327,34,FALSE)-VLOOKUP($A250,Hshldprojections2018!$A$1:$AQ$327,24,FALSE))/10))</f>
        <v>616.70000000000005</v>
      </c>
      <c r="AF250" s="267">
        <f>IF(IndividualLATest!$J$7=2014,(VLOOKUP($A250,Hshldprojections2014!$A$2:$AY$326,45,FALSE)-VLOOKUP($A250,Hshldprojections2014!$A$2:$AY$326,35,FALSE))/10,IF(IndividualLATest!$J$7=2016,(VLOOKUP($A250,Hshldprojections2016!$A$1:$AQ$322,35,FALSE)-VLOOKUP($A250,Hshldprojections2016!$A$1:$AQ$322,25,FALSE))/10,(VLOOKUP($A250,Hshldprojections2018!$A$1:$AQ$327,35,FALSE)-VLOOKUP($A250,Hshldprojections2018!$A$1:$AQ$327,25,FALSE))/10))</f>
        <v>609.1</v>
      </c>
      <c r="AG250" s="267">
        <f>IF(IndividualLATest!$J$7=2014,(VLOOKUP($A250,Hshldprojections2014!$A$2:$AY$326,46,FALSE)-VLOOKUP($A250,Hshldprojections2014!$A$2:$AY$326,36,FALSE))/10,IF(IndividualLATest!$J$7=2016,(VLOOKUP($A250,Hshldprojections2016!$A$1:$AQ$322,36,FALSE)-VLOOKUP($A250,Hshldprojections2016!$A$1:$AQ$322,26,FALSE))/10,(VLOOKUP($A250,Hshldprojections2018!$A$1:$AQ$327,36,FALSE)-VLOOKUP($A250,Hshldprojections2018!$A$1:$AQ$327,26,FALSE))/10))</f>
        <v>601.70000000000005</v>
      </c>
      <c r="AH250" s="267">
        <f>IF(IndividualLATest!$J$7=2014,(VLOOKUP($A250,Hshldprojections2014!$A$2:$AY$326,47,FALSE)-VLOOKUP($A250,Hshldprojections2014!$A$2:$AY$326,37,FALSE))/10,IF(IndividualLATest!$J$7=2016,(VLOOKUP($A250,Hshldprojections2016!$A$1:$AQ$322,37,FALSE)-VLOOKUP($A250,Hshldprojections2016!$A$1:$AQ$322,27,FALSE))/10,(VLOOKUP($A250,Hshldprojections2018!$A$1:$AQ$327,37,FALSE)-VLOOKUP($A250,Hshldprojections2018!$A$1:$AQ$327,27,FALSE))/10))</f>
        <v>595.29999999999995</v>
      </c>
      <c r="AI250" s="268">
        <f>IF(ISNUMBER('Sensitivity Tests'!$C$30),'Sensitivity Tests'!$C$30,VLOOKUP($A250,AffordabilityRatio!$A$2:$I$321,5,FALSE))</f>
        <v>10.3</v>
      </c>
      <c r="AJ250" s="268">
        <f>IF(ISNUMBER('Sensitivity Tests'!$C$30),'Sensitivity Tests'!$C$30,VLOOKUP($A250,AffordabilityRatio!$A$2:$I$321,6,FALSE))</f>
        <v>10.32</v>
      </c>
      <c r="AK250" s="268">
        <f>IF(ISNUMBER('Sensitivity Tests'!$C$30),'Sensitivity Tests'!$C$30,VLOOKUP($A250,AffordabilityRatio!$A$2:$I$321,7,FALSE))</f>
        <v>10.6</v>
      </c>
      <c r="AL250" s="268">
        <f>IF(ISNUMBER('Sensitivity Tests'!$C$30),'Sensitivity Tests'!$C$30,IF((VLOOKUP($A250,AffordabilityRatio!$A$2:$I$321,8,FALSE))="",AK250,VLOOKUP($A250,AffordabilityRatio!$A$2:$I$321,8,FALSE)))</f>
        <v>10.36</v>
      </c>
      <c r="AM250" s="268">
        <f>IF(ISNUMBER('Sensitivity Tests'!$C$30),'Sensitivity Tests'!$C$30,IF((VLOOKUP($A250,AffordabilityRatio!$A$2:$I$321,9,FALSE))="",AL250,VLOOKUP($A250,AffordabilityRatio!$A$2:$I$321,9,FALSE)))</f>
        <v>11.13</v>
      </c>
      <c r="AN250" s="268">
        <f>IF(ISNUMBER('Sensitivity Tests'!$C$30),'Sensitivity Tests'!$C$30,IF((VLOOKUP($A250,AffordabilityRatio!$A$2:$I$321,9,FALSE))="",AM250,VLOOKUP($A250,AffordabilityRatio!$A$2:$I$321,9,FALSE)))</f>
        <v>11.13</v>
      </c>
      <c r="AO250" s="268">
        <f>IF(ISNUMBER('Sensitivity Tests'!$C$30),'Sensitivity Tests'!$C$30,IF((VLOOKUP($A250,AffordabilityRatio!$A$2:$I$321,9,FALSE))="",AN250,VLOOKUP($A250,AffordabilityRatio!$A$2:$I$321,9,FALSE)))</f>
        <v>11.13</v>
      </c>
      <c r="AP250" s="268">
        <f>IF(ISNUMBER('Sensitivity Tests'!$C$30),'Sensitivity Tests'!$C$30,IF((VLOOKUP($A250,AffordabilityRatio!$A$2:$I$321,9,FALSE))="",AO250,VLOOKUP($A250,AffordabilityRatio!$A$2:$I$321,9,FALSE)))</f>
        <v>11.13</v>
      </c>
      <c r="AQ250" s="267">
        <f t="shared" si="199"/>
        <v>1181</v>
      </c>
      <c r="AR250" s="267">
        <f t="shared" si="199"/>
        <v>1180</v>
      </c>
      <c r="AS250" s="267">
        <f t="shared" si="199"/>
        <v>1191</v>
      </c>
      <c r="AT250" s="267">
        <f t="shared" si="199"/>
        <v>873</v>
      </c>
      <c r="AU250" s="267">
        <f t="shared" si="199"/>
        <v>892</v>
      </c>
      <c r="AV250" s="267">
        <f t="shared" si="199"/>
        <v>881</v>
      </c>
      <c r="AW250" s="267">
        <f t="shared" si="199"/>
        <v>870</v>
      </c>
      <c r="AX250" s="267">
        <f t="shared" si="199"/>
        <v>861</v>
      </c>
      <c r="AY250" s="267">
        <f t="shared" si="171"/>
        <v>1181</v>
      </c>
      <c r="AZ250" s="267">
        <f t="shared" si="172"/>
        <v>1180</v>
      </c>
      <c r="BA250" s="267">
        <f t="shared" si="173"/>
        <v>1180.6199999999999</v>
      </c>
      <c r="BB250" s="267">
        <f t="shared" si="174"/>
        <v>873</v>
      </c>
      <c r="BC250" s="267">
        <f t="shared" si="175"/>
        <v>863.38000000000011</v>
      </c>
      <c r="BD250" s="267">
        <f t="shared" si="176"/>
        <v>852.74</v>
      </c>
      <c r="BE250" s="267">
        <f t="shared" si="177"/>
        <v>842.38000000000011</v>
      </c>
      <c r="BF250" s="267">
        <f t="shared" si="178"/>
        <v>833.42</v>
      </c>
      <c r="BG250" s="269">
        <f>AY250*VLOOKUP($B250,'Major Cities &amp; Towns'!$A$28:$B$345,2,FALSE)</f>
        <v>1181</v>
      </c>
      <c r="BH250" s="269">
        <f>AZ250*VLOOKUP($B250,'Major Cities &amp; Towns'!$A$28:$B$345,2,FALSE)</f>
        <v>1180</v>
      </c>
      <c r="BI250" s="269">
        <f>BA250*VLOOKUP($B250,'Major Cities &amp; Towns'!$A$28:$B$345,2,FALSE)</f>
        <v>1180.6199999999999</v>
      </c>
      <c r="BJ250" s="269">
        <f>BB250*VLOOKUP($B250,'Major Cities &amp; Towns'!$A$28:$B$345,2,FALSE)</f>
        <v>873</v>
      </c>
      <c r="BK250" s="269">
        <f>BC250*VLOOKUP($B250,'Major Cities &amp; Towns'!$A$28:$B$345,2,FALSE)</f>
        <v>863.38000000000011</v>
      </c>
      <c r="BL250" s="269">
        <f>BD250*VLOOKUP($B250,'Major Cities &amp; Towns'!$A$28:$B$345,2,FALSE)</f>
        <v>852.74</v>
      </c>
      <c r="BM250" s="269">
        <f>BE250*VLOOKUP($B250,'Major Cities &amp; Towns'!$A$28:$B$345,2,FALSE)</f>
        <v>842.38000000000011</v>
      </c>
      <c r="BN250" s="269">
        <f>BF250*VLOOKUP($B250,'Major Cities &amp; Towns'!$A$28:$B$345,2,FALSE)</f>
        <v>833.42</v>
      </c>
      <c r="BO250" s="270">
        <f t="shared" si="179"/>
        <v>1181</v>
      </c>
      <c r="BP250" s="270">
        <f t="shared" si="195"/>
        <v>1180</v>
      </c>
      <c r="BQ250" s="270">
        <f t="shared" si="195"/>
        <v>1191</v>
      </c>
      <c r="BR250" s="270">
        <f t="shared" si="195"/>
        <v>873</v>
      </c>
      <c r="BS250" s="270">
        <f t="shared" ref="BS250:BV313" si="200">IFERROR(IF(AND(W250&lt;365,W250&gt;0),SUM(((W250/365)*(MIN(O250,BK250)))+(((365-W250)/365)*AU250)),(MIN(O250,AU250))),AU250)</f>
        <v>892</v>
      </c>
      <c r="BT250" s="270">
        <f t="shared" si="200"/>
        <v>881</v>
      </c>
      <c r="BU250" s="270">
        <f t="shared" si="200"/>
        <v>870</v>
      </c>
      <c r="BV250" s="270">
        <f t="shared" si="200"/>
        <v>861</v>
      </c>
      <c r="BW250" s="39">
        <f>VLOOKUP($A250,NetAdditions!$A$2:$H$336,6,FALSE)</f>
        <v>492</v>
      </c>
      <c r="BX250" s="39">
        <f>VLOOKUP($A250,NetAdditions!$A$2:$H$336,7,FALSE)</f>
        <v>218</v>
      </c>
      <c r="BY250" s="39">
        <f>IF((VLOOKUP($C250,NetAdditions!$A$2:$H$336,8,FALSE))="",(AVERAGE(VLOOKUP($C250,NetAdditions!$A$2:$H$336,5,FALSE),VLOOKUP($C250,NetAdditions!$A$2:$H$336,6,FALSE),VLOOKUP($C250,NetAdditions!$A$2:$H$336,7,FALSE))),VLOOKUP($C250,NetAdditions!$A$2:$H$336,8,FALSE))</f>
        <v>237</v>
      </c>
      <c r="BZ250" s="39">
        <f t="shared" si="196"/>
        <v>315.66666666666669</v>
      </c>
      <c r="CA250" s="39">
        <f t="shared" si="196"/>
        <v>256.88888888888891</v>
      </c>
      <c r="CB250" s="39">
        <f t="shared" si="196"/>
        <v>269.8518518518519</v>
      </c>
      <c r="CC250" s="39">
        <f t="shared" si="196"/>
        <v>280.80246913580254</v>
      </c>
      <c r="CD250" s="39">
        <f t="shared" si="196"/>
        <v>269.18106995884779</v>
      </c>
      <c r="CE250" s="276">
        <f t="shared" si="155"/>
        <v>3552</v>
      </c>
      <c r="CF250" s="276">
        <f t="shared" si="156"/>
        <v>3244</v>
      </c>
      <c r="CG250" s="276">
        <f t="shared" si="157"/>
        <v>2956</v>
      </c>
      <c r="CH250" s="276">
        <f t="shared" si="158"/>
        <v>2646</v>
      </c>
      <c r="CI250" s="276">
        <f t="shared" si="159"/>
        <v>2643</v>
      </c>
      <c r="CJ250" s="276">
        <f t="shared" si="160"/>
        <v>2612</v>
      </c>
      <c r="CK250" s="276">
        <f t="shared" si="180"/>
        <v>3058.666666666667</v>
      </c>
      <c r="CL250" s="276">
        <f t="shared" si="181"/>
        <v>2793.4444444444448</v>
      </c>
      <c r="CM250" s="276">
        <f t="shared" si="182"/>
        <v>2709.6666666666665</v>
      </c>
      <c r="CN250" s="276">
        <f t="shared" si="183"/>
        <v>2646</v>
      </c>
      <c r="CO250" s="276">
        <f t="shared" si="183"/>
        <v>2643</v>
      </c>
      <c r="CP250" s="276">
        <f t="shared" si="183"/>
        <v>2612</v>
      </c>
      <c r="CQ250" s="39">
        <f t="shared" si="161"/>
        <v>947</v>
      </c>
      <c r="CR250" s="39">
        <f t="shared" si="162"/>
        <v>770.66666666666674</v>
      </c>
      <c r="CS250" s="277">
        <f t="shared" si="163"/>
        <v>809.55555555555566</v>
      </c>
      <c r="CT250" s="39">
        <f t="shared" si="164"/>
        <v>842.40740740740762</v>
      </c>
      <c r="CU250" s="39">
        <f t="shared" si="165"/>
        <v>807.54320987654341</v>
      </c>
      <c r="CV250" s="39">
        <f t="shared" si="166"/>
        <v>819.83539094650223</v>
      </c>
      <c r="CW250" s="297">
        <f t="shared" si="167"/>
        <v>0.3096120313862249</v>
      </c>
      <c r="CX250" s="279" t="str">
        <f t="shared" si="184"/>
        <v>Buffer and Action Plan</v>
      </c>
      <c r="CY250" s="278">
        <f t="shared" si="168"/>
        <v>0.2758840141601368</v>
      </c>
      <c r="CZ250" s="279" t="str">
        <f t="shared" si="185"/>
        <v>Presumption</v>
      </c>
      <c r="DA250" s="278">
        <f t="shared" si="169"/>
        <v>0.29876573584286714</v>
      </c>
      <c r="DB250" s="292" t="str">
        <f t="shared" si="186"/>
        <v>Presumption</v>
      </c>
      <c r="DC250" s="299">
        <f t="shared" si="187"/>
        <v>0.31837014641247452</v>
      </c>
      <c r="DD250" s="293" t="str">
        <f t="shared" si="188"/>
        <v>Presumption</v>
      </c>
      <c r="DE250" s="299">
        <f t="shared" si="189"/>
        <v>0.30554037452763655</v>
      </c>
      <c r="DF250" s="293" t="str">
        <f t="shared" si="190"/>
        <v>Presumption</v>
      </c>
      <c r="DG250" s="299">
        <f t="shared" si="191"/>
        <v>0.3138726611586915</v>
      </c>
      <c r="DH250" s="293" t="str">
        <f t="shared" si="192"/>
        <v>Presumption</v>
      </c>
    </row>
    <row r="251" spans="1:112" customFormat="1" ht="15.5" thickTop="1" thickBot="1">
      <c r="A251" s="3" t="s">
        <v>612</v>
      </c>
      <c r="B251" s="3" t="s">
        <v>613</v>
      </c>
      <c r="C251" s="3" t="s">
        <v>612</v>
      </c>
      <c r="D251" s="3" t="s">
        <v>131</v>
      </c>
      <c r="E251" s="3" t="str">
        <f>VLOOKUP(C251,PoliticalControl!A:K,11,FALSE)</f>
        <v>LAB</v>
      </c>
      <c r="F251" s="3" t="str">
        <f>VLOOKUP(C251,UrbanRuralClassification!A:N,13,FALSE)</f>
        <v>Urban with Major Conurbation</v>
      </c>
      <c r="G251" s="3" t="str">
        <f>VLOOKUP(C251,UrbanRuralClassification!A:N,14,FALSE)</f>
        <v>Predominantly Urban</v>
      </c>
      <c r="H251" s="262">
        <f>IF(ISBLANK((VLOOKUP($A251,'local-plan-data'!$C$1:$AD$566,27,FALSE)))=TRUE,"",VLOOKUP($A251,'local-plan-data'!$C$1:$AD$566,27,FALSE))</f>
        <v>40639</v>
      </c>
      <c r="I251" s="263">
        <f>VLOOKUP($A251,'local-plan-data'!$C$1:$AD$566,28,FALSE)</f>
        <v>1630</v>
      </c>
      <c r="J251" s="264">
        <f t="shared" si="170"/>
        <v>1630</v>
      </c>
      <c r="K251" s="259" t="str">
        <f t="shared" si="193"/>
        <v>-</v>
      </c>
      <c r="L251" s="259" t="str">
        <f t="shared" si="197"/>
        <v>-</v>
      </c>
      <c r="M251" s="259" t="str">
        <f t="shared" si="197"/>
        <v>-</v>
      </c>
      <c r="N251" s="259" t="str">
        <f t="shared" si="197"/>
        <v>-</v>
      </c>
      <c r="O251" s="259" t="str">
        <f t="shared" si="197"/>
        <v>-</v>
      </c>
      <c r="P251" s="259" t="str">
        <f t="shared" si="197"/>
        <v>-</v>
      </c>
      <c r="Q251" s="259" t="str">
        <f t="shared" si="197"/>
        <v>-</v>
      </c>
      <c r="R251" s="259" t="str">
        <f t="shared" si="197"/>
        <v>-</v>
      </c>
      <c r="S251" s="259">
        <f t="shared" si="194"/>
        <v>-725</v>
      </c>
      <c r="T251" s="259">
        <f t="shared" si="198"/>
        <v>-1090</v>
      </c>
      <c r="U251" s="259">
        <f t="shared" si="198"/>
        <v>-1456</v>
      </c>
      <c r="V251" s="259">
        <f t="shared" si="198"/>
        <v>-1821</v>
      </c>
      <c r="W251" s="259">
        <f t="shared" si="198"/>
        <v>-2186</v>
      </c>
      <c r="X251" s="259">
        <f t="shared" si="198"/>
        <v>-2551</v>
      </c>
      <c r="Y251" s="259">
        <f t="shared" si="198"/>
        <v>-2917</v>
      </c>
      <c r="Z251" s="259">
        <f t="shared" si="198"/>
        <v>-3282</v>
      </c>
      <c r="AA251" s="267">
        <f>(VLOOKUP(A251,Hshldprojections2014!$A$2:$AW$319,40, FALSE)-VLOOKUP(A251,Hshldprojections2014!$A$2:$AW$319,30, FALSE))/10</f>
        <v>2111.5</v>
      </c>
      <c r="AB251" s="267">
        <f>(VLOOKUP(A251,Hshldprojections2014!$A$2:$AW$319,41, FALSE)-VLOOKUP(A251,Hshldprojections2014!$A$2:$AW$319,31, FALSE))/10</f>
        <v>2071.6999999999998</v>
      </c>
      <c r="AC251" s="267">
        <f>(VLOOKUP(A251,Hshldprojections2014!$A$2:$AW$319,42, FALSE)-VLOOKUP(A251,Hshldprojections2014!$A$2:$AW$319,32, FALSE))/10</f>
        <v>2038.6</v>
      </c>
      <c r="AD251" s="267">
        <f>IF(IndividualLATest!$J$7=2014,(VLOOKUP($A251,Hshldprojections2014!$A$2:$AY$326,43,FALSE)-VLOOKUP($A251,Hshldprojections2014!$A$2:$AY$326,33,FALSE))/10,IF(IndividualLATest!$J$7=2016,(VLOOKUP($A251,Hshldprojections2016!$A$1:$AQ$322,33,FALSE)-VLOOKUP($A251,Hshldprojections2016!$A$1:$AQ$322,23,FALSE))/10,(VLOOKUP($A251,Hshldprojections2018!$A$1:$AQ$327,33,FALSE)-VLOOKUP($A251,Hshldprojections2018!$A$1:$AQ$327,23,FALSE))/10))</f>
        <v>1180</v>
      </c>
      <c r="AE251" s="267">
        <f>IF(IndividualLATest!$J$7=2014,(VLOOKUP($A251,Hshldprojections2014!$A$2:$AY$326,44,FALSE)-VLOOKUP($A251,Hshldprojections2014!$A$2:$AY$326,34,FALSE))/10,IF(IndividualLATest!$J$7=2016,(VLOOKUP($A251,Hshldprojections2016!$A$1:$AQ$322,34,FALSE)-VLOOKUP($A251,Hshldprojections2016!$A$1:$AQ$322,24,FALSE))/10,(VLOOKUP($A251,Hshldprojections2018!$A$1:$AQ$327,34,FALSE)-VLOOKUP($A251,Hshldprojections2018!$A$1:$AQ$327,24,FALSE))/10))</f>
        <v>1144.4000000000001</v>
      </c>
      <c r="AF251" s="267">
        <f>IF(IndividualLATest!$J$7=2014,(VLOOKUP($A251,Hshldprojections2014!$A$2:$AY$326,45,FALSE)-VLOOKUP($A251,Hshldprojections2014!$A$2:$AY$326,35,FALSE))/10,IF(IndividualLATest!$J$7=2016,(VLOOKUP($A251,Hshldprojections2016!$A$1:$AQ$322,35,FALSE)-VLOOKUP($A251,Hshldprojections2016!$A$1:$AQ$322,25,FALSE))/10,(VLOOKUP($A251,Hshldprojections2018!$A$1:$AQ$327,35,FALSE)-VLOOKUP($A251,Hshldprojections2018!$A$1:$AQ$327,25,FALSE))/10))</f>
        <v>1123.8</v>
      </c>
      <c r="AG251" s="267">
        <f>IF(IndividualLATest!$J$7=2014,(VLOOKUP($A251,Hshldprojections2014!$A$2:$AY$326,46,FALSE)-VLOOKUP($A251,Hshldprojections2014!$A$2:$AY$326,36,FALSE))/10,IF(IndividualLATest!$J$7=2016,(VLOOKUP($A251,Hshldprojections2016!$A$1:$AQ$322,36,FALSE)-VLOOKUP($A251,Hshldprojections2016!$A$1:$AQ$322,26,FALSE))/10,(VLOOKUP($A251,Hshldprojections2018!$A$1:$AQ$327,36,FALSE)-VLOOKUP($A251,Hshldprojections2018!$A$1:$AQ$327,26,FALSE))/10))</f>
        <v>1108.8</v>
      </c>
      <c r="AH251" s="267">
        <f>IF(IndividualLATest!$J$7=2014,(VLOOKUP($A251,Hshldprojections2014!$A$2:$AY$326,47,FALSE)-VLOOKUP($A251,Hshldprojections2014!$A$2:$AY$326,37,FALSE))/10,IF(IndividualLATest!$J$7=2016,(VLOOKUP($A251,Hshldprojections2016!$A$1:$AQ$322,37,FALSE)-VLOOKUP($A251,Hshldprojections2016!$A$1:$AQ$322,27,FALSE))/10,(VLOOKUP($A251,Hshldprojections2018!$A$1:$AQ$327,37,FALSE)-VLOOKUP($A251,Hshldprojections2018!$A$1:$AQ$327,27,FALSE))/10))</f>
        <v>1099.2</v>
      </c>
      <c r="AI251" s="268">
        <f>IF(ISNUMBER('Sensitivity Tests'!$C$30),'Sensitivity Tests'!$C$30,VLOOKUP($A251,AffordabilityRatio!$A$2:$I$321,5,FALSE))</f>
        <v>14.16</v>
      </c>
      <c r="AJ251" s="268">
        <f>IF(ISNUMBER('Sensitivity Tests'!$C$30),'Sensitivity Tests'!$C$30,VLOOKUP($A251,AffordabilityRatio!$A$2:$I$321,6,FALSE))</f>
        <v>13.88</v>
      </c>
      <c r="AK251" s="268">
        <f>IF(ISNUMBER('Sensitivity Tests'!$C$30),'Sensitivity Tests'!$C$30,VLOOKUP($A251,AffordabilityRatio!$A$2:$I$321,7,FALSE))</f>
        <v>13.87</v>
      </c>
      <c r="AL251" s="268">
        <f>IF(ISNUMBER('Sensitivity Tests'!$C$30),'Sensitivity Tests'!$C$30,IF((VLOOKUP($A251,AffordabilityRatio!$A$2:$I$321,8,FALSE))="",AK251,VLOOKUP($A251,AffordabilityRatio!$A$2:$I$321,8,FALSE)))</f>
        <v>12.32</v>
      </c>
      <c r="AM251" s="268">
        <f>IF(ISNUMBER('Sensitivity Tests'!$C$30),'Sensitivity Tests'!$C$30,IF((VLOOKUP($A251,AffordabilityRatio!$A$2:$I$321,9,FALSE))="",AL251,VLOOKUP($A251,AffordabilityRatio!$A$2:$I$321,9,FALSE)))</f>
        <v>13.51</v>
      </c>
      <c r="AN251" s="268">
        <f>IF(ISNUMBER('Sensitivity Tests'!$C$30),'Sensitivity Tests'!$C$30,IF((VLOOKUP($A251,AffordabilityRatio!$A$2:$I$321,9,FALSE))="",AM251,VLOOKUP($A251,AffordabilityRatio!$A$2:$I$321,9,FALSE)))</f>
        <v>13.51</v>
      </c>
      <c r="AO251" s="268">
        <f>IF(ISNUMBER('Sensitivity Tests'!$C$30),'Sensitivity Tests'!$C$30,IF((VLOOKUP($A251,AffordabilityRatio!$A$2:$I$321,9,FALSE))="",AN251,VLOOKUP($A251,AffordabilityRatio!$A$2:$I$321,9,FALSE)))</f>
        <v>13.51</v>
      </c>
      <c r="AP251" s="268">
        <f>IF(ISNUMBER('Sensitivity Tests'!$C$30),'Sensitivity Tests'!$C$30,IF((VLOOKUP($A251,AffordabilityRatio!$A$2:$I$321,9,FALSE))="",AO251,VLOOKUP($A251,AffordabilityRatio!$A$2:$I$321,9,FALSE)))</f>
        <v>13.51</v>
      </c>
      <c r="AQ251" s="267">
        <f t="shared" si="199"/>
        <v>3452</v>
      </c>
      <c r="AR251" s="267">
        <f t="shared" si="199"/>
        <v>3351</v>
      </c>
      <c r="AS251" s="267">
        <f t="shared" si="199"/>
        <v>3296</v>
      </c>
      <c r="AT251" s="267">
        <f t="shared" si="199"/>
        <v>1794</v>
      </c>
      <c r="AU251" s="267">
        <f t="shared" si="199"/>
        <v>1825</v>
      </c>
      <c r="AV251" s="267">
        <f t="shared" si="199"/>
        <v>1792</v>
      </c>
      <c r="AW251" s="267">
        <f t="shared" si="199"/>
        <v>1768</v>
      </c>
      <c r="AX251" s="267">
        <f t="shared" si="199"/>
        <v>1753</v>
      </c>
      <c r="AY251" s="267">
        <f t="shared" si="171"/>
        <v>2956.1</v>
      </c>
      <c r="AZ251" s="267">
        <f t="shared" si="172"/>
        <v>2900.3799999999997</v>
      </c>
      <c r="BA251" s="267">
        <f t="shared" si="173"/>
        <v>2854.04</v>
      </c>
      <c r="BB251" s="267">
        <f t="shared" si="174"/>
        <v>1794</v>
      </c>
      <c r="BC251" s="267">
        <f t="shared" si="175"/>
        <v>1825</v>
      </c>
      <c r="BD251" s="267">
        <f t="shared" si="176"/>
        <v>1792</v>
      </c>
      <c r="BE251" s="267">
        <f t="shared" si="177"/>
        <v>1768</v>
      </c>
      <c r="BF251" s="267">
        <f t="shared" si="178"/>
        <v>1753</v>
      </c>
      <c r="BG251" s="269">
        <f>AY251*VLOOKUP($B251,'Major Cities &amp; Towns'!$A$28:$B$345,2,FALSE)</f>
        <v>3990.7350000000001</v>
      </c>
      <c r="BH251" s="269">
        <f>AZ251*VLOOKUP($B251,'Major Cities &amp; Towns'!$A$28:$B$345,2,FALSE)</f>
        <v>3915.5129999999999</v>
      </c>
      <c r="BI251" s="269">
        <f>BA251*VLOOKUP($B251,'Major Cities &amp; Towns'!$A$28:$B$345,2,FALSE)</f>
        <v>3852.9540000000002</v>
      </c>
      <c r="BJ251" s="269">
        <f>BB251*VLOOKUP($B251,'Major Cities &amp; Towns'!$A$28:$B$345,2,FALSE)</f>
        <v>2421.9</v>
      </c>
      <c r="BK251" s="269">
        <f>BC251*VLOOKUP($B251,'Major Cities &amp; Towns'!$A$28:$B$345,2,FALSE)</f>
        <v>2463.75</v>
      </c>
      <c r="BL251" s="269">
        <f>BD251*VLOOKUP($B251,'Major Cities &amp; Towns'!$A$28:$B$345,2,FALSE)</f>
        <v>2419.2000000000003</v>
      </c>
      <c r="BM251" s="269">
        <f>BE251*VLOOKUP($B251,'Major Cities &amp; Towns'!$A$28:$B$345,2,FALSE)</f>
        <v>2386.8000000000002</v>
      </c>
      <c r="BN251" s="269">
        <f>BF251*VLOOKUP($B251,'Major Cities &amp; Towns'!$A$28:$B$345,2,FALSE)</f>
        <v>2366.5500000000002</v>
      </c>
      <c r="BO251" s="270">
        <f t="shared" si="179"/>
        <v>3452</v>
      </c>
      <c r="BP251" s="270">
        <f t="shared" ref="BP251:BU314" si="201">IFERROR(IF(AND(T251&lt;365,T251&gt;0),SUM(((T251/365)*(MIN(L251,BH251)))+(((365-T251)/365)*AR251)),(MIN(L251,AR251))),AR251)</f>
        <v>3351</v>
      </c>
      <c r="BQ251" s="270">
        <f t="shared" si="201"/>
        <v>3296</v>
      </c>
      <c r="BR251" s="270">
        <f t="shared" si="201"/>
        <v>1794</v>
      </c>
      <c r="BS251" s="270">
        <f t="shared" si="200"/>
        <v>1825</v>
      </c>
      <c r="BT251" s="270">
        <f t="shared" si="200"/>
        <v>1792</v>
      </c>
      <c r="BU251" s="270">
        <f t="shared" si="200"/>
        <v>1768</v>
      </c>
      <c r="BV251" s="270">
        <f t="shared" si="200"/>
        <v>1753</v>
      </c>
      <c r="BW251" s="39">
        <f>VLOOKUP($A251,NetAdditions!$A$2:$H$336,6,FALSE)</f>
        <v>3208</v>
      </c>
      <c r="BX251" s="39">
        <f>VLOOKUP($A251,NetAdditions!$A$2:$H$336,7,FALSE)</f>
        <v>1458</v>
      </c>
      <c r="BY251" s="39">
        <f>IF((VLOOKUP($C251,NetAdditions!$A$2:$H$336,8,FALSE))="",(AVERAGE(VLOOKUP($C251,NetAdditions!$A$2:$H$336,5,FALSE),VLOOKUP($C251,NetAdditions!$A$2:$H$336,6,FALSE),VLOOKUP($C251,NetAdditions!$A$2:$H$336,7,FALSE))),VLOOKUP($C251,NetAdditions!$A$2:$H$336,8,FALSE))</f>
        <v>1096</v>
      </c>
      <c r="BZ251" s="39">
        <f t="shared" si="196"/>
        <v>1920.6666666666667</v>
      </c>
      <c r="CA251" s="39">
        <f t="shared" si="196"/>
        <v>1491.5555555555557</v>
      </c>
      <c r="CB251" s="39">
        <f t="shared" si="196"/>
        <v>1502.7407407407409</v>
      </c>
      <c r="CC251" s="39">
        <f t="shared" si="196"/>
        <v>1638.3209876543212</v>
      </c>
      <c r="CD251" s="39">
        <f t="shared" si="196"/>
        <v>1544.2057613168727</v>
      </c>
      <c r="CE251" s="276">
        <f t="shared" si="155"/>
        <v>10099</v>
      </c>
      <c r="CF251" s="276">
        <f t="shared" si="156"/>
        <v>8441</v>
      </c>
      <c r="CG251" s="276">
        <f t="shared" si="157"/>
        <v>6915</v>
      </c>
      <c r="CH251" s="276">
        <f t="shared" si="158"/>
        <v>5411</v>
      </c>
      <c r="CI251" s="276">
        <f t="shared" si="159"/>
        <v>5385</v>
      </c>
      <c r="CJ251" s="276">
        <f t="shared" si="160"/>
        <v>5313</v>
      </c>
      <c r="CK251" s="276">
        <f t="shared" si="180"/>
        <v>8696.3611111111113</v>
      </c>
      <c r="CL251" s="276">
        <f t="shared" si="181"/>
        <v>7268.6388888888896</v>
      </c>
      <c r="CM251" s="276">
        <f t="shared" si="182"/>
        <v>6338.75</v>
      </c>
      <c r="CN251" s="276">
        <f t="shared" si="183"/>
        <v>5411</v>
      </c>
      <c r="CO251" s="276">
        <f t="shared" si="183"/>
        <v>5385</v>
      </c>
      <c r="CP251" s="276">
        <f t="shared" si="183"/>
        <v>5313</v>
      </c>
      <c r="CQ251" s="39">
        <f t="shared" si="161"/>
        <v>5762</v>
      </c>
      <c r="CR251" s="39">
        <f t="shared" si="162"/>
        <v>4474.666666666667</v>
      </c>
      <c r="CS251" s="277">
        <f t="shared" si="163"/>
        <v>4508.2222222222226</v>
      </c>
      <c r="CT251" s="39">
        <f t="shared" si="164"/>
        <v>4914.9629629629635</v>
      </c>
      <c r="CU251" s="39">
        <f t="shared" si="165"/>
        <v>4632.617283950618</v>
      </c>
      <c r="CV251" s="39">
        <f t="shared" si="166"/>
        <v>4685.267489711935</v>
      </c>
      <c r="CW251" s="297">
        <f t="shared" si="167"/>
        <v>0.66257598165260689</v>
      </c>
      <c r="CX251" s="279" t="str">
        <f t="shared" si="184"/>
        <v>Buffer and Action Plan</v>
      </c>
      <c r="CY251" s="278">
        <f t="shared" si="168"/>
        <v>0.61561273507572489</v>
      </c>
      <c r="CZ251" s="279" t="str">
        <f t="shared" si="185"/>
        <v>Buffer and Action Plan</v>
      </c>
      <c r="DA251" s="278">
        <f t="shared" si="169"/>
        <v>0.71121628431823669</v>
      </c>
      <c r="DB251" s="292" t="str">
        <f t="shared" si="186"/>
        <v>Presumption</v>
      </c>
      <c r="DC251" s="299">
        <f t="shared" si="187"/>
        <v>0.90832802863850737</v>
      </c>
      <c r="DD251" s="293" t="str">
        <f t="shared" si="188"/>
        <v>Action Plan</v>
      </c>
      <c r="DE251" s="299">
        <f t="shared" si="189"/>
        <v>0.86028176117931621</v>
      </c>
      <c r="DF251" s="293" t="str">
        <f t="shared" si="190"/>
        <v>Action Plan</v>
      </c>
      <c r="DG251" s="299">
        <f t="shared" si="191"/>
        <v>0.88184970632635706</v>
      </c>
      <c r="DH251" s="293" t="str">
        <f t="shared" si="192"/>
        <v>Action Plan</v>
      </c>
    </row>
    <row r="252" spans="1:112" ht="15" thickTop="1" thickBot="1">
      <c r="A252" s="38" t="s">
        <v>614</v>
      </c>
      <c r="B252" s="38" t="s">
        <v>615</v>
      </c>
      <c r="C252" s="38" t="s">
        <v>614</v>
      </c>
      <c r="D252" s="38" t="s">
        <v>113</v>
      </c>
      <c r="E252" s="38" t="str">
        <f>VLOOKUP(C252,PoliticalControl!A:K,11,FALSE)</f>
        <v>NOC</v>
      </c>
      <c r="F252" s="38" t="str">
        <f>VLOOKUP(C252,UrbanRuralClassification!A:N,13,FALSE)</f>
        <v>Urban with Major Conurbation</v>
      </c>
      <c r="G252" s="38" t="str">
        <f>VLOOKUP(C252,UrbanRuralClassification!A:N,14,FALSE)</f>
        <v>Predominantly Urban</v>
      </c>
      <c r="H252" s="258">
        <f>IF(ISBLANK((VLOOKUP($A252,'local-plan-data'!$C$1:$AD$566,27,FALSE)))=TRUE,"",VLOOKUP($A252,'local-plan-data'!$C$1:$AD$566,27,FALSE))</f>
        <v>39870</v>
      </c>
      <c r="I252" s="259">
        <f>VLOOKUP($A252,'local-plan-data'!$C$1:$AD$566,28,FALSE)</f>
        <v>166</v>
      </c>
      <c r="J252" s="260">
        <f t="shared" si="170"/>
        <v>166</v>
      </c>
      <c r="K252" s="259" t="str">
        <f t="shared" si="193"/>
        <v>-</v>
      </c>
      <c r="L252" s="259" t="str">
        <f t="shared" si="197"/>
        <v>-</v>
      </c>
      <c r="M252" s="259" t="str">
        <f t="shared" si="197"/>
        <v>-</v>
      </c>
      <c r="N252" s="259" t="str">
        <f t="shared" si="197"/>
        <v>-</v>
      </c>
      <c r="O252" s="259" t="str">
        <f t="shared" si="197"/>
        <v>-</v>
      </c>
      <c r="P252" s="259" t="str">
        <f t="shared" si="197"/>
        <v>-</v>
      </c>
      <c r="Q252" s="259" t="str">
        <f t="shared" si="197"/>
        <v>-</v>
      </c>
      <c r="R252" s="259" t="str">
        <f t="shared" si="197"/>
        <v>-</v>
      </c>
      <c r="S252" s="259">
        <f t="shared" si="194"/>
        <v>-1495</v>
      </c>
      <c r="T252" s="259">
        <f t="shared" si="198"/>
        <v>-1860</v>
      </c>
      <c r="U252" s="259">
        <f t="shared" si="198"/>
        <v>-2226</v>
      </c>
      <c r="V252" s="259">
        <f t="shared" si="198"/>
        <v>-2591</v>
      </c>
      <c r="W252" s="259">
        <f t="shared" si="198"/>
        <v>-2956</v>
      </c>
      <c r="X252" s="259">
        <f t="shared" si="198"/>
        <v>-3321</v>
      </c>
      <c r="Y252" s="259">
        <f t="shared" si="198"/>
        <v>-3687</v>
      </c>
      <c r="Z252" s="259">
        <f t="shared" si="198"/>
        <v>-4052</v>
      </c>
      <c r="AA252" s="267">
        <f>(VLOOKUP(A252,Hshldprojections2014!$A$2:$AW$319,40, FALSE)-VLOOKUP(A252,Hshldprojections2014!$A$2:$AW$319,30, FALSE))/10</f>
        <v>427.5</v>
      </c>
      <c r="AB252" s="267">
        <f>(VLOOKUP(A252,Hshldprojections2014!$A$2:$AW$319,41, FALSE)-VLOOKUP(A252,Hshldprojections2014!$A$2:$AW$319,31, FALSE))/10</f>
        <v>430.9</v>
      </c>
      <c r="AC252" s="267">
        <f>(VLOOKUP(A252,Hshldprojections2014!$A$2:$AW$319,42, FALSE)-VLOOKUP(A252,Hshldprojections2014!$A$2:$AW$319,32, FALSE))/10</f>
        <v>432.9</v>
      </c>
      <c r="AD252" s="267">
        <f>IF(IndividualLATest!$J$7=2014,(VLOOKUP($A252,Hshldprojections2014!$A$2:$AY$326,43,FALSE)-VLOOKUP($A252,Hshldprojections2014!$A$2:$AY$326,33,FALSE))/10,IF(IndividualLATest!$J$7=2016,(VLOOKUP($A252,Hshldprojections2016!$A$1:$AQ$322,33,FALSE)-VLOOKUP($A252,Hshldprojections2016!$A$1:$AQ$322,23,FALSE))/10,(VLOOKUP($A252,Hshldprojections2018!$A$1:$AQ$327,33,FALSE)-VLOOKUP($A252,Hshldprojections2018!$A$1:$AQ$327,23,FALSE))/10))</f>
        <v>110.8</v>
      </c>
      <c r="AE252" s="267">
        <f>IF(IndividualLATest!$J$7=2014,(VLOOKUP($A252,Hshldprojections2014!$A$2:$AY$326,44,FALSE)-VLOOKUP($A252,Hshldprojections2014!$A$2:$AY$326,34,FALSE))/10,IF(IndividualLATest!$J$7=2016,(VLOOKUP($A252,Hshldprojections2016!$A$1:$AQ$322,34,FALSE)-VLOOKUP($A252,Hshldprojections2016!$A$1:$AQ$322,24,FALSE))/10,(VLOOKUP($A252,Hshldprojections2018!$A$1:$AQ$327,34,FALSE)-VLOOKUP($A252,Hshldprojections2018!$A$1:$AQ$327,24,FALSE))/10))</f>
        <v>110.1</v>
      </c>
      <c r="AF252" s="267">
        <f>IF(IndividualLATest!$J$7=2014,(VLOOKUP($A252,Hshldprojections2014!$A$2:$AY$326,45,FALSE)-VLOOKUP($A252,Hshldprojections2014!$A$2:$AY$326,35,FALSE))/10,IF(IndividualLATest!$J$7=2016,(VLOOKUP($A252,Hshldprojections2016!$A$1:$AQ$322,35,FALSE)-VLOOKUP($A252,Hshldprojections2016!$A$1:$AQ$322,25,FALSE))/10,(VLOOKUP($A252,Hshldprojections2018!$A$1:$AQ$327,35,FALSE)-VLOOKUP($A252,Hshldprojections2018!$A$1:$AQ$327,25,FALSE))/10))</f>
        <v>110.9</v>
      </c>
      <c r="AG252" s="267">
        <f>IF(IndividualLATest!$J$7=2014,(VLOOKUP($A252,Hshldprojections2014!$A$2:$AY$326,46,FALSE)-VLOOKUP($A252,Hshldprojections2014!$A$2:$AY$326,36,FALSE))/10,IF(IndividualLATest!$J$7=2016,(VLOOKUP($A252,Hshldprojections2016!$A$1:$AQ$322,36,FALSE)-VLOOKUP($A252,Hshldprojections2016!$A$1:$AQ$322,26,FALSE))/10,(VLOOKUP($A252,Hshldprojections2018!$A$1:$AQ$327,36,FALSE)-VLOOKUP($A252,Hshldprojections2018!$A$1:$AQ$327,26,FALSE))/10))</f>
        <v>112.2</v>
      </c>
      <c r="AH252" s="267">
        <f>IF(IndividualLATest!$J$7=2014,(VLOOKUP($A252,Hshldprojections2014!$A$2:$AY$326,47,FALSE)-VLOOKUP($A252,Hshldprojections2014!$A$2:$AY$326,37,FALSE))/10,IF(IndividualLATest!$J$7=2016,(VLOOKUP($A252,Hshldprojections2016!$A$1:$AQ$322,37,FALSE)-VLOOKUP($A252,Hshldprojections2016!$A$1:$AQ$322,27,FALSE))/10,(VLOOKUP($A252,Hshldprojections2018!$A$1:$AQ$327,37,FALSE)-VLOOKUP($A252,Hshldprojections2018!$A$1:$AQ$327,27,FALSE))/10))</f>
        <v>113.4</v>
      </c>
      <c r="AI252" s="268">
        <f>IF(ISNUMBER('Sensitivity Tests'!$C$30),'Sensitivity Tests'!$C$30,VLOOKUP($A252,AffordabilityRatio!$A$2:$I$321,5,FALSE))</f>
        <v>11.08</v>
      </c>
      <c r="AJ252" s="268">
        <f>IF(ISNUMBER('Sensitivity Tests'!$C$30),'Sensitivity Tests'!$C$30,VLOOKUP($A252,AffordabilityRatio!$A$2:$I$321,6,FALSE))</f>
        <v>11.79</v>
      </c>
      <c r="AK252" s="268">
        <f>IF(ISNUMBER('Sensitivity Tests'!$C$30),'Sensitivity Tests'!$C$30,VLOOKUP($A252,AffordabilityRatio!$A$2:$I$321,7,FALSE))</f>
        <v>10.77</v>
      </c>
      <c r="AL252" s="268">
        <f>IF(ISNUMBER('Sensitivity Tests'!$C$30),'Sensitivity Tests'!$C$30,IF((VLOOKUP($A252,AffordabilityRatio!$A$2:$I$321,8,FALSE))="",AK252,VLOOKUP($A252,AffordabilityRatio!$A$2:$I$321,8,FALSE)))</f>
        <v>12.39</v>
      </c>
      <c r="AM252" s="268">
        <f>IF(ISNUMBER('Sensitivity Tests'!$C$30),'Sensitivity Tests'!$C$30,IF((VLOOKUP($A252,AffordabilityRatio!$A$2:$I$321,9,FALSE))="",AL252,VLOOKUP($A252,AffordabilityRatio!$A$2:$I$321,9,FALSE)))</f>
        <v>12.66</v>
      </c>
      <c r="AN252" s="268">
        <f>IF(ISNUMBER('Sensitivity Tests'!$C$30),'Sensitivity Tests'!$C$30,IF((VLOOKUP($A252,AffordabilityRatio!$A$2:$I$321,9,FALSE))="",AM252,VLOOKUP($A252,AffordabilityRatio!$A$2:$I$321,9,FALSE)))</f>
        <v>12.66</v>
      </c>
      <c r="AO252" s="268">
        <f>IF(ISNUMBER('Sensitivity Tests'!$C$30),'Sensitivity Tests'!$C$30,IF((VLOOKUP($A252,AffordabilityRatio!$A$2:$I$321,9,FALSE))="",AN252,VLOOKUP($A252,AffordabilityRatio!$A$2:$I$321,9,FALSE)))</f>
        <v>12.66</v>
      </c>
      <c r="AP252" s="268">
        <f>IF(ISNUMBER('Sensitivity Tests'!$C$30),'Sensitivity Tests'!$C$30,IF((VLOOKUP($A252,AffordabilityRatio!$A$2:$I$321,9,FALSE))="",AO252,VLOOKUP($A252,AffordabilityRatio!$A$2:$I$321,9,FALSE)))</f>
        <v>12.66</v>
      </c>
      <c r="AQ252" s="267">
        <f t="shared" si="199"/>
        <v>617</v>
      </c>
      <c r="AR252" s="267">
        <f t="shared" si="199"/>
        <v>641</v>
      </c>
      <c r="AS252" s="267">
        <f t="shared" si="199"/>
        <v>616</v>
      </c>
      <c r="AT252" s="267">
        <f t="shared" si="199"/>
        <v>169</v>
      </c>
      <c r="AU252" s="267">
        <f t="shared" si="199"/>
        <v>170</v>
      </c>
      <c r="AV252" s="267">
        <f t="shared" si="199"/>
        <v>171</v>
      </c>
      <c r="AW252" s="267">
        <f t="shared" si="199"/>
        <v>173</v>
      </c>
      <c r="AX252" s="267">
        <f t="shared" si="199"/>
        <v>175</v>
      </c>
      <c r="AY252" s="267">
        <f t="shared" si="171"/>
        <v>598.5</v>
      </c>
      <c r="AZ252" s="267">
        <f t="shared" si="172"/>
        <v>603.26</v>
      </c>
      <c r="BA252" s="267">
        <f t="shared" si="173"/>
        <v>606.05999999999995</v>
      </c>
      <c r="BB252" s="267">
        <f t="shared" si="174"/>
        <v>169</v>
      </c>
      <c r="BC252" s="267">
        <f t="shared" si="175"/>
        <v>170</v>
      </c>
      <c r="BD252" s="267">
        <f t="shared" si="176"/>
        <v>171</v>
      </c>
      <c r="BE252" s="267">
        <f t="shared" si="177"/>
        <v>173</v>
      </c>
      <c r="BF252" s="267">
        <f t="shared" si="178"/>
        <v>175</v>
      </c>
      <c r="BG252" s="269">
        <f>AY252*VLOOKUP($B252,'Major Cities &amp; Towns'!$A$28:$B$345,2,FALSE)</f>
        <v>598.5</v>
      </c>
      <c r="BH252" s="269">
        <f>AZ252*VLOOKUP($B252,'Major Cities &amp; Towns'!$A$28:$B$345,2,FALSE)</f>
        <v>603.26</v>
      </c>
      <c r="BI252" s="269">
        <f>BA252*VLOOKUP($B252,'Major Cities &amp; Towns'!$A$28:$B$345,2,FALSE)</f>
        <v>606.05999999999995</v>
      </c>
      <c r="BJ252" s="269">
        <f>BB252*VLOOKUP($B252,'Major Cities &amp; Towns'!$A$28:$B$345,2,FALSE)</f>
        <v>169</v>
      </c>
      <c r="BK252" s="269">
        <f>BC252*VLOOKUP($B252,'Major Cities &amp; Towns'!$A$28:$B$345,2,FALSE)</f>
        <v>170</v>
      </c>
      <c r="BL252" s="269">
        <f>BD252*VLOOKUP($B252,'Major Cities &amp; Towns'!$A$28:$B$345,2,FALSE)</f>
        <v>171</v>
      </c>
      <c r="BM252" s="269">
        <f>BE252*VLOOKUP($B252,'Major Cities &amp; Towns'!$A$28:$B$345,2,FALSE)</f>
        <v>173</v>
      </c>
      <c r="BN252" s="269">
        <f>BF252*VLOOKUP($B252,'Major Cities &amp; Towns'!$A$28:$B$345,2,FALSE)</f>
        <v>175</v>
      </c>
      <c r="BO252" s="270">
        <f t="shared" si="179"/>
        <v>617</v>
      </c>
      <c r="BP252" s="270">
        <f t="shared" si="201"/>
        <v>641</v>
      </c>
      <c r="BQ252" s="270">
        <f t="shared" si="201"/>
        <v>616</v>
      </c>
      <c r="BR252" s="270">
        <f t="shared" si="201"/>
        <v>169</v>
      </c>
      <c r="BS252" s="270">
        <f t="shared" si="200"/>
        <v>170</v>
      </c>
      <c r="BT252" s="270">
        <f t="shared" si="200"/>
        <v>171</v>
      </c>
      <c r="BU252" s="270">
        <f t="shared" si="200"/>
        <v>173</v>
      </c>
      <c r="BV252" s="270">
        <f t="shared" si="200"/>
        <v>175</v>
      </c>
      <c r="BW252" s="39">
        <f>VLOOKUP($A252,NetAdditions!$A$2:$H$336,6,FALSE)</f>
        <v>289</v>
      </c>
      <c r="BX252" s="39">
        <f>VLOOKUP($A252,NetAdditions!$A$2:$H$336,7,FALSE)</f>
        <v>228</v>
      </c>
      <c r="BY252" s="39">
        <f>IF((VLOOKUP($C252,NetAdditions!$A$2:$H$336,8,FALSE))="",(AVERAGE(VLOOKUP($C252,NetAdditions!$A$2:$H$336,5,FALSE),VLOOKUP($C252,NetAdditions!$A$2:$H$336,6,FALSE),VLOOKUP($C252,NetAdditions!$A$2:$H$336,7,FALSE))),VLOOKUP($C252,NetAdditions!$A$2:$H$336,8,FALSE))</f>
        <v>508</v>
      </c>
      <c r="BZ252" s="39">
        <f t="shared" si="196"/>
        <v>341.66666666666669</v>
      </c>
      <c r="CA252" s="39">
        <f t="shared" si="196"/>
        <v>359.22222222222223</v>
      </c>
      <c r="CB252" s="39">
        <f t="shared" si="196"/>
        <v>402.96296296296299</v>
      </c>
      <c r="CC252" s="39">
        <f t="shared" si="196"/>
        <v>367.95061728395063</v>
      </c>
      <c r="CD252" s="39">
        <f t="shared" si="196"/>
        <v>376.71193415637862</v>
      </c>
      <c r="CE252" s="276">
        <f t="shared" si="155"/>
        <v>1874</v>
      </c>
      <c r="CF252" s="276">
        <f t="shared" si="156"/>
        <v>1426</v>
      </c>
      <c r="CG252" s="276">
        <f t="shared" si="157"/>
        <v>955</v>
      </c>
      <c r="CH252" s="276">
        <f t="shared" si="158"/>
        <v>510</v>
      </c>
      <c r="CI252" s="276">
        <f t="shared" si="159"/>
        <v>514</v>
      </c>
      <c r="CJ252" s="276">
        <f t="shared" si="160"/>
        <v>519</v>
      </c>
      <c r="CK252" s="276">
        <f t="shared" si="180"/>
        <v>1613.7222222222224</v>
      </c>
      <c r="CL252" s="276">
        <f t="shared" si="181"/>
        <v>1227.9444444444446</v>
      </c>
      <c r="CM252" s="276">
        <f t="shared" si="182"/>
        <v>875.41666666666663</v>
      </c>
      <c r="CN252" s="276">
        <f t="shared" si="183"/>
        <v>510</v>
      </c>
      <c r="CO252" s="276">
        <f t="shared" si="183"/>
        <v>514</v>
      </c>
      <c r="CP252" s="276">
        <f t="shared" si="183"/>
        <v>519</v>
      </c>
      <c r="CQ252" s="39">
        <f t="shared" si="161"/>
        <v>1025</v>
      </c>
      <c r="CR252" s="39">
        <f t="shared" si="162"/>
        <v>1077.6666666666667</v>
      </c>
      <c r="CS252" s="277">
        <f t="shared" si="163"/>
        <v>1208.8888888888889</v>
      </c>
      <c r="CT252" s="39">
        <f t="shared" si="164"/>
        <v>1103.851851851852</v>
      </c>
      <c r="CU252" s="39">
        <f t="shared" si="165"/>
        <v>1130.1358024691358</v>
      </c>
      <c r="CV252" s="39">
        <f t="shared" si="166"/>
        <v>1147.6255144032923</v>
      </c>
      <c r="CW252" s="297">
        <f t="shared" si="167"/>
        <v>0.63517747099528343</v>
      </c>
      <c r="CX252" s="279" t="str">
        <f t="shared" si="184"/>
        <v>Buffer and Action Plan</v>
      </c>
      <c r="CY252" s="278">
        <f t="shared" si="168"/>
        <v>0.87761842283852864</v>
      </c>
      <c r="CZ252" s="279" t="str">
        <f t="shared" si="185"/>
        <v>Action Plan</v>
      </c>
      <c r="DA252" s="278">
        <f t="shared" si="169"/>
        <v>1.3809297160082501</v>
      </c>
      <c r="DB252" s="292" t="str">
        <f t="shared" si="186"/>
        <v>Pass</v>
      </c>
      <c r="DC252" s="299">
        <f t="shared" si="187"/>
        <v>2.1644153957879451</v>
      </c>
      <c r="DD252" s="293" t="str">
        <f t="shared" si="188"/>
        <v>Pass</v>
      </c>
      <c r="DE252" s="299">
        <f t="shared" si="189"/>
        <v>2.1987077869049334</v>
      </c>
      <c r="DF252" s="293" t="str">
        <f t="shared" si="190"/>
        <v>Pass</v>
      </c>
      <c r="DG252" s="299">
        <f t="shared" si="191"/>
        <v>2.2112244978868829</v>
      </c>
      <c r="DH252" s="293" t="str">
        <f t="shared" si="192"/>
        <v>Pass</v>
      </c>
    </row>
    <row r="253" spans="1:112" ht="15" thickTop="1" thickBot="1">
      <c r="A253" s="38" t="s">
        <v>616</v>
      </c>
      <c r="B253" s="38" t="s">
        <v>617</v>
      </c>
      <c r="C253" s="38" t="s">
        <v>616</v>
      </c>
      <c r="D253" s="38" t="s">
        <v>128</v>
      </c>
      <c r="E253" s="38" t="str">
        <f>VLOOKUP(C253,PoliticalControl!A:K,11,FALSE)</f>
        <v>LD</v>
      </c>
      <c r="F253" s="38" t="str">
        <f>VLOOKUP(C253,UrbanRuralClassification!A:N,13,FALSE)</f>
        <v>Urban with City and Town</v>
      </c>
      <c r="G253" s="38" t="str">
        <f>VLOOKUP(C253,UrbanRuralClassification!A:N,14,FALSE)</f>
        <v>Predominantly Urban</v>
      </c>
      <c r="H253" s="258" t="str">
        <f>IF(ISBLANK((VLOOKUP($A253,'local-plan-data'!$C$1:$AD$566,27,FALSE)))=TRUE,"",VLOOKUP($A253,'local-plan-data'!$C$1:$AD$566,27,FALSE))</f>
        <v/>
      </c>
      <c r="I253" s="259">
        <f>VLOOKUP($A253,'local-plan-data'!$C$1:$AD$566,28,FALSE)</f>
        <v>913</v>
      </c>
      <c r="J253" s="260">
        <f t="shared" si="170"/>
        <v>913</v>
      </c>
      <c r="K253" s="259" t="str">
        <f t="shared" si="193"/>
        <v>-</v>
      </c>
      <c r="L253" s="259" t="str">
        <f t="shared" si="197"/>
        <v>-</v>
      </c>
      <c r="M253" s="259" t="str">
        <f t="shared" si="197"/>
        <v>-</v>
      </c>
      <c r="N253" s="259" t="str">
        <f t="shared" si="197"/>
        <v>-</v>
      </c>
      <c r="O253" s="259" t="str">
        <f t="shared" si="197"/>
        <v>-</v>
      </c>
      <c r="P253" s="259" t="str">
        <f t="shared" si="197"/>
        <v>-</v>
      </c>
      <c r="Q253" s="259" t="str">
        <f t="shared" si="197"/>
        <v>-</v>
      </c>
      <c r="R253" s="259" t="str">
        <f t="shared" si="197"/>
        <v>-</v>
      </c>
      <c r="S253" s="259" t="str">
        <f t="shared" si="194"/>
        <v>-</v>
      </c>
      <c r="T253" s="259" t="str">
        <f t="shared" si="198"/>
        <v>-</v>
      </c>
      <c r="U253" s="259" t="str">
        <f t="shared" si="198"/>
        <v>-</v>
      </c>
      <c r="V253" s="259" t="str">
        <f t="shared" si="198"/>
        <v>-</v>
      </c>
      <c r="W253" s="259" t="str">
        <f t="shared" si="198"/>
        <v>-</v>
      </c>
      <c r="X253" s="259" t="str">
        <f t="shared" si="198"/>
        <v>-</v>
      </c>
      <c r="Y253" s="259" t="str">
        <f t="shared" si="198"/>
        <v>-</v>
      </c>
      <c r="Z253" s="259" t="str">
        <f t="shared" si="198"/>
        <v>-</v>
      </c>
      <c r="AA253" s="267">
        <f>(VLOOKUP(A253,Hshldprojections2014!$A$2:$AW$319,40, FALSE)-VLOOKUP(A253,Hshldprojections2014!$A$2:$AW$319,30, FALSE))/10</f>
        <v>644.4</v>
      </c>
      <c r="AB253" s="267">
        <f>(VLOOKUP(A253,Hshldprojections2014!$A$2:$AW$319,41, FALSE)-VLOOKUP(A253,Hshldprojections2014!$A$2:$AW$319,31, FALSE))/10</f>
        <v>639.9</v>
      </c>
      <c r="AC253" s="267">
        <f>(VLOOKUP(A253,Hshldprojections2014!$A$2:$AW$319,42, FALSE)-VLOOKUP(A253,Hshldprojections2014!$A$2:$AW$319,32, FALSE))/10</f>
        <v>637.79999999999995</v>
      </c>
      <c r="AD253" s="267">
        <f>IF(IndividualLATest!$J$7=2014,(VLOOKUP($A253,Hshldprojections2014!$A$2:$AY$326,43,FALSE)-VLOOKUP($A253,Hshldprojections2014!$A$2:$AY$326,33,FALSE))/10,IF(IndividualLATest!$J$7=2016,(VLOOKUP($A253,Hshldprojections2016!$A$1:$AQ$322,33,FALSE)-VLOOKUP($A253,Hshldprojections2016!$A$1:$AQ$322,23,FALSE))/10,(VLOOKUP($A253,Hshldprojections2018!$A$1:$AQ$327,33,FALSE)-VLOOKUP($A253,Hshldprojections2018!$A$1:$AQ$327,23,FALSE))/10))</f>
        <v>222.8</v>
      </c>
      <c r="AE253" s="267">
        <f>IF(IndividualLATest!$J$7=2014,(VLOOKUP($A253,Hshldprojections2014!$A$2:$AY$326,44,FALSE)-VLOOKUP($A253,Hshldprojections2014!$A$2:$AY$326,34,FALSE))/10,IF(IndividualLATest!$J$7=2016,(VLOOKUP($A253,Hshldprojections2016!$A$1:$AQ$322,34,FALSE)-VLOOKUP($A253,Hshldprojections2016!$A$1:$AQ$322,24,FALSE))/10,(VLOOKUP($A253,Hshldprojections2018!$A$1:$AQ$327,34,FALSE)-VLOOKUP($A253,Hshldprojections2018!$A$1:$AQ$327,24,FALSE))/10))</f>
        <v>213.3</v>
      </c>
      <c r="AF253" s="267">
        <f>IF(IndividualLATest!$J$7=2014,(VLOOKUP($A253,Hshldprojections2014!$A$2:$AY$326,45,FALSE)-VLOOKUP($A253,Hshldprojections2014!$A$2:$AY$326,35,FALSE))/10,IF(IndividualLATest!$J$7=2016,(VLOOKUP($A253,Hshldprojections2016!$A$1:$AQ$322,35,FALSE)-VLOOKUP($A253,Hshldprojections2016!$A$1:$AQ$322,25,FALSE))/10,(VLOOKUP($A253,Hshldprojections2018!$A$1:$AQ$327,35,FALSE)-VLOOKUP($A253,Hshldprojections2018!$A$1:$AQ$327,25,FALSE))/10))</f>
        <v>207.2</v>
      </c>
      <c r="AG253" s="267">
        <f>IF(IndividualLATest!$J$7=2014,(VLOOKUP($A253,Hshldprojections2014!$A$2:$AY$326,46,FALSE)-VLOOKUP($A253,Hshldprojections2014!$A$2:$AY$326,36,FALSE))/10,IF(IndividualLATest!$J$7=2016,(VLOOKUP($A253,Hshldprojections2016!$A$1:$AQ$322,36,FALSE)-VLOOKUP($A253,Hshldprojections2016!$A$1:$AQ$322,26,FALSE))/10,(VLOOKUP($A253,Hshldprojections2018!$A$1:$AQ$327,36,FALSE)-VLOOKUP($A253,Hshldprojections2018!$A$1:$AQ$327,26,FALSE))/10))</f>
        <v>200.2</v>
      </c>
      <c r="AH253" s="267">
        <f>IF(IndividualLATest!$J$7=2014,(VLOOKUP($A253,Hshldprojections2014!$A$2:$AY$326,47,FALSE)-VLOOKUP($A253,Hshldprojections2014!$A$2:$AY$326,37,FALSE))/10,IF(IndividualLATest!$J$7=2016,(VLOOKUP($A253,Hshldprojections2016!$A$1:$AQ$322,37,FALSE)-VLOOKUP($A253,Hshldprojections2016!$A$1:$AQ$322,27,FALSE))/10,(VLOOKUP($A253,Hshldprojections2018!$A$1:$AQ$327,37,FALSE)-VLOOKUP($A253,Hshldprojections2018!$A$1:$AQ$327,27,FALSE))/10))</f>
        <v>197.4</v>
      </c>
      <c r="AI253" s="268">
        <f>IF(ISNUMBER('Sensitivity Tests'!$C$30),'Sensitivity Tests'!$C$30,VLOOKUP($A253,AffordabilityRatio!$A$2:$I$321,5,FALSE))</f>
        <v>16.62</v>
      </c>
      <c r="AJ253" s="268">
        <f>IF(ISNUMBER('Sensitivity Tests'!$C$30),'Sensitivity Tests'!$C$30,VLOOKUP($A253,AffordabilityRatio!$A$2:$I$321,6,FALSE))</f>
        <v>16.75</v>
      </c>
      <c r="AK253" s="268">
        <f>IF(ISNUMBER('Sensitivity Tests'!$C$30),'Sensitivity Tests'!$C$30,VLOOKUP($A253,AffordabilityRatio!$A$2:$I$321,7,FALSE))</f>
        <v>16.09</v>
      </c>
      <c r="AL253" s="268">
        <f>IF(ISNUMBER('Sensitivity Tests'!$C$30),'Sensitivity Tests'!$C$30,IF((VLOOKUP($A253,AffordabilityRatio!$A$2:$I$321,8,FALSE))="",AK253,VLOOKUP($A253,AffordabilityRatio!$A$2:$I$321,8,FALSE)))</f>
        <v>16.239999999999998</v>
      </c>
      <c r="AM253" s="268">
        <f>IF(ISNUMBER('Sensitivity Tests'!$C$30),'Sensitivity Tests'!$C$30,IF((VLOOKUP($A253,AffordabilityRatio!$A$2:$I$321,9,FALSE))="",AL253,VLOOKUP($A253,AffordabilityRatio!$A$2:$I$321,9,FALSE)))</f>
        <v>17.32</v>
      </c>
      <c r="AN253" s="268">
        <f>IF(ISNUMBER('Sensitivity Tests'!$C$30),'Sensitivity Tests'!$C$30,IF((VLOOKUP($A253,AffordabilityRatio!$A$2:$I$321,9,FALSE))="",AM253,VLOOKUP($A253,AffordabilityRatio!$A$2:$I$321,9,FALSE)))</f>
        <v>17.32</v>
      </c>
      <c r="AO253" s="268">
        <f>IF(ISNUMBER('Sensitivity Tests'!$C$30),'Sensitivity Tests'!$C$30,IF((VLOOKUP($A253,AffordabilityRatio!$A$2:$I$321,9,FALSE))="",AN253,VLOOKUP($A253,AffordabilityRatio!$A$2:$I$321,9,FALSE)))</f>
        <v>17.32</v>
      </c>
      <c r="AP253" s="268">
        <f>IF(ISNUMBER('Sensitivity Tests'!$C$30),'Sensitivity Tests'!$C$30,IF((VLOOKUP($A253,AffordabilityRatio!$A$2:$I$321,9,FALSE))="",AO253,VLOOKUP($A253,AffordabilityRatio!$A$2:$I$321,9,FALSE)))</f>
        <v>17.32</v>
      </c>
      <c r="AQ253" s="267">
        <f t="shared" si="199"/>
        <v>1153</v>
      </c>
      <c r="AR253" s="267">
        <f t="shared" si="199"/>
        <v>1150</v>
      </c>
      <c r="AS253" s="267">
        <f t="shared" si="199"/>
        <v>1120</v>
      </c>
      <c r="AT253" s="267">
        <f t="shared" si="199"/>
        <v>393</v>
      </c>
      <c r="AU253" s="267">
        <f t="shared" si="199"/>
        <v>391</v>
      </c>
      <c r="AV253" s="267">
        <f t="shared" si="199"/>
        <v>380</v>
      </c>
      <c r="AW253" s="267">
        <f t="shared" si="199"/>
        <v>367</v>
      </c>
      <c r="AX253" s="267">
        <f t="shared" si="199"/>
        <v>362</v>
      </c>
      <c r="AY253" s="267">
        <f t="shared" si="171"/>
        <v>1153</v>
      </c>
      <c r="AZ253" s="267">
        <f t="shared" si="172"/>
        <v>1150</v>
      </c>
      <c r="BA253" s="267">
        <f t="shared" si="173"/>
        <v>1120</v>
      </c>
      <c r="BB253" s="267">
        <f t="shared" si="174"/>
        <v>393</v>
      </c>
      <c r="BC253" s="267">
        <f t="shared" si="175"/>
        <v>391</v>
      </c>
      <c r="BD253" s="267">
        <f t="shared" si="176"/>
        <v>380</v>
      </c>
      <c r="BE253" s="267">
        <f t="shared" si="177"/>
        <v>367</v>
      </c>
      <c r="BF253" s="267">
        <f t="shared" si="178"/>
        <v>362</v>
      </c>
      <c r="BG253" s="269">
        <f>AY253*VLOOKUP($B253,'Major Cities &amp; Towns'!$A$28:$B$345,2,FALSE)</f>
        <v>1153</v>
      </c>
      <c r="BH253" s="269">
        <f>AZ253*VLOOKUP($B253,'Major Cities &amp; Towns'!$A$28:$B$345,2,FALSE)</f>
        <v>1150</v>
      </c>
      <c r="BI253" s="269">
        <f>BA253*VLOOKUP($B253,'Major Cities &amp; Towns'!$A$28:$B$345,2,FALSE)</f>
        <v>1120</v>
      </c>
      <c r="BJ253" s="269">
        <f>BB253*VLOOKUP($B253,'Major Cities &amp; Towns'!$A$28:$B$345,2,FALSE)</f>
        <v>393</v>
      </c>
      <c r="BK253" s="269">
        <f>BC253*VLOOKUP($B253,'Major Cities &amp; Towns'!$A$28:$B$345,2,FALSE)</f>
        <v>391</v>
      </c>
      <c r="BL253" s="269">
        <f>BD253*VLOOKUP($B253,'Major Cities &amp; Towns'!$A$28:$B$345,2,FALSE)</f>
        <v>380</v>
      </c>
      <c r="BM253" s="269">
        <f>BE253*VLOOKUP($B253,'Major Cities &amp; Towns'!$A$28:$B$345,2,FALSE)</f>
        <v>367</v>
      </c>
      <c r="BN253" s="269">
        <f>BF253*VLOOKUP($B253,'Major Cities &amp; Towns'!$A$28:$B$345,2,FALSE)</f>
        <v>362</v>
      </c>
      <c r="BO253" s="270">
        <f t="shared" si="179"/>
        <v>1153</v>
      </c>
      <c r="BP253" s="270">
        <f t="shared" si="201"/>
        <v>1150</v>
      </c>
      <c r="BQ253" s="270">
        <f t="shared" si="201"/>
        <v>1120</v>
      </c>
      <c r="BR253" s="270">
        <f t="shared" si="201"/>
        <v>393</v>
      </c>
      <c r="BS253" s="270">
        <f t="shared" si="200"/>
        <v>391</v>
      </c>
      <c r="BT253" s="270">
        <f t="shared" si="200"/>
        <v>380</v>
      </c>
      <c r="BU253" s="270">
        <f t="shared" si="200"/>
        <v>367</v>
      </c>
      <c r="BV253" s="270">
        <f t="shared" si="200"/>
        <v>362</v>
      </c>
      <c r="BW253" s="39">
        <f>VLOOKUP($A253,NetAdditions!$A$2:$H$336,6,FALSE)</f>
        <v>624</v>
      </c>
      <c r="BX253" s="39">
        <f>VLOOKUP($A253,NetAdditions!$A$2:$H$336,7,FALSE)</f>
        <v>437</v>
      </c>
      <c r="BY253" s="39">
        <f>IF((VLOOKUP($C253,NetAdditions!$A$2:$H$336,8,FALSE))="",(AVERAGE(VLOOKUP($C253,NetAdditions!$A$2:$H$336,5,FALSE),VLOOKUP($C253,NetAdditions!$A$2:$H$336,6,FALSE),VLOOKUP($C253,NetAdditions!$A$2:$H$336,7,FALSE))),VLOOKUP($C253,NetAdditions!$A$2:$H$336,8,FALSE))</f>
        <v>516</v>
      </c>
      <c r="BZ253" s="39">
        <f t="shared" si="196"/>
        <v>525.66666666666663</v>
      </c>
      <c r="CA253" s="39">
        <f t="shared" si="196"/>
        <v>492.88888888888886</v>
      </c>
      <c r="CB253" s="39">
        <f t="shared" si="196"/>
        <v>511.51851851851848</v>
      </c>
      <c r="CC253" s="39">
        <f t="shared" si="196"/>
        <v>510.02469135802465</v>
      </c>
      <c r="CD253" s="39">
        <f t="shared" si="196"/>
        <v>504.81069958847735</v>
      </c>
      <c r="CE253" s="276">
        <f t="shared" si="155"/>
        <v>3423</v>
      </c>
      <c r="CF253" s="276">
        <f t="shared" si="156"/>
        <v>2663</v>
      </c>
      <c r="CG253" s="276">
        <f t="shared" si="157"/>
        <v>1904</v>
      </c>
      <c r="CH253" s="276">
        <f t="shared" si="158"/>
        <v>1164</v>
      </c>
      <c r="CI253" s="276">
        <f t="shared" si="159"/>
        <v>1138</v>
      </c>
      <c r="CJ253" s="276">
        <f t="shared" si="160"/>
        <v>1109</v>
      </c>
      <c r="CK253" s="276">
        <f t="shared" si="180"/>
        <v>2947.5833333333335</v>
      </c>
      <c r="CL253" s="276">
        <f t="shared" si="181"/>
        <v>2293.1388888888891</v>
      </c>
      <c r="CM253" s="276">
        <f t="shared" si="182"/>
        <v>1745.3333333333333</v>
      </c>
      <c r="CN253" s="276">
        <f t="shared" si="183"/>
        <v>1164</v>
      </c>
      <c r="CO253" s="276">
        <f t="shared" si="183"/>
        <v>1138</v>
      </c>
      <c r="CP253" s="276">
        <f t="shared" si="183"/>
        <v>1109</v>
      </c>
      <c r="CQ253" s="39">
        <f t="shared" si="161"/>
        <v>1577</v>
      </c>
      <c r="CR253" s="39">
        <f t="shared" si="162"/>
        <v>1478.6666666666665</v>
      </c>
      <c r="CS253" s="277">
        <f t="shared" si="163"/>
        <v>1534.5555555555554</v>
      </c>
      <c r="CT253" s="39">
        <f t="shared" si="164"/>
        <v>1530.0740740740739</v>
      </c>
      <c r="CU253" s="39">
        <f t="shared" si="165"/>
        <v>1514.4320987654321</v>
      </c>
      <c r="CV253" s="39">
        <f t="shared" si="166"/>
        <v>1526.3539094650205</v>
      </c>
      <c r="CW253" s="297">
        <f t="shared" si="167"/>
        <v>0.53501455995024172</v>
      </c>
      <c r="CX253" s="279" t="str">
        <f t="shared" si="184"/>
        <v>Buffer and Action Plan</v>
      </c>
      <c r="CY253" s="278">
        <f t="shared" si="168"/>
        <v>0.64482211427809999</v>
      </c>
      <c r="CZ253" s="279" t="str">
        <f t="shared" si="185"/>
        <v>Buffer and Action Plan</v>
      </c>
      <c r="DA253" s="278">
        <f t="shared" si="169"/>
        <v>0.87923351158645269</v>
      </c>
      <c r="DB253" s="292" t="str">
        <f t="shared" si="186"/>
        <v>Action Plan</v>
      </c>
      <c r="DC253" s="299">
        <f t="shared" si="187"/>
        <v>1.3144966272114036</v>
      </c>
      <c r="DD253" s="293" t="str">
        <f t="shared" si="188"/>
        <v>Pass</v>
      </c>
      <c r="DE253" s="299">
        <f t="shared" si="189"/>
        <v>1.3307839180715573</v>
      </c>
      <c r="DF253" s="293" t="str">
        <f t="shared" si="190"/>
        <v>Pass</v>
      </c>
      <c r="DG253" s="299">
        <f t="shared" si="191"/>
        <v>1.3763335522678273</v>
      </c>
      <c r="DH253" s="293" t="str">
        <f t="shared" si="192"/>
        <v>Pass</v>
      </c>
    </row>
    <row r="254" spans="1:112" ht="15" thickTop="1" thickBot="1">
      <c r="A254" s="38" t="s">
        <v>618</v>
      </c>
      <c r="B254" s="38" t="s">
        <v>619</v>
      </c>
      <c r="C254" s="38" t="s">
        <v>618</v>
      </c>
      <c r="D254" s="38" t="s">
        <v>116</v>
      </c>
      <c r="E254" s="38" t="str">
        <f>VLOOKUP(C254,PoliticalControl!A:K,11,FALSE)</f>
        <v>LAB</v>
      </c>
      <c r="F254" s="38" t="str">
        <f>VLOOKUP(C254,UrbanRuralClassification!A:N,13,FALSE)</f>
        <v>Urban with Major Conurbation</v>
      </c>
      <c r="G254" s="38" t="str">
        <f>VLOOKUP(C254,UrbanRuralClassification!A:N,14,FALSE)</f>
        <v>Predominantly Urban</v>
      </c>
      <c r="H254" s="258">
        <f>IF(ISBLANK((VLOOKUP($A254,'local-plan-data'!$C$1:$AD$566,27,FALSE)))=TRUE,"",VLOOKUP($A254,'local-plan-data'!$C$1:$AD$566,27,FALSE))</f>
        <v>41213</v>
      </c>
      <c r="I254" s="259">
        <f>VLOOKUP($A254,'local-plan-data'!$C$1:$AD$566,28,FALSE)</f>
        <v>570</v>
      </c>
      <c r="J254" s="260">
        <f t="shared" si="170"/>
        <v>570</v>
      </c>
      <c r="K254" s="259" t="str">
        <f t="shared" si="193"/>
        <v>-</v>
      </c>
      <c r="L254" s="259" t="str">
        <f t="shared" si="197"/>
        <v>-</v>
      </c>
      <c r="M254" s="259" t="str">
        <f t="shared" si="197"/>
        <v>-</v>
      </c>
      <c r="N254" s="259" t="str">
        <f t="shared" si="197"/>
        <v>-</v>
      </c>
      <c r="O254" s="259" t="str">
        <f t="shared" si="197"/>
        <v>-</v>
      </c>
      <c r="P254" s="259" t="str">
        <f t="shared" si="197"/>
        <v>-</v>
      </c>
      <c r="Q254" s="259" t="str">
        <f t="shared" si="197"/>
        <v>-</v>
      </c>
      <c r="R254" s="259" t="str">
        <f t="shared" si="197"/>
        <v>-</v>
      </c>
      <c r="S254" s="259">
        <f t="shared" si="194"/>
        <v>-152</v>
      </c>
      <c r="T254" s="259">
        <f t="shared" si="198"/>
        <v>-517</v>
      </c>
      <c r="U254" s="259">
        <f t="shared" si="198"/>
        <v>-883</v>
      </c>
      <c r="V254" s="259">
        <f t="shared" si="198"/>
        <v>-1248</v>
      </c>
      <c r="W254" s="259">
        <f t="shared" si="198"/>
        <v>-1613</v>
      </c>
      <c r="X254" s="259">
        <f t="shared" si="198"/>
        <v>-1978</v>
      </c>
      <c r="Y254" s="259">
        <f t="shared" si="198"/>
        <v>-2344</v>
      </c>
      <c r="Z254" s="259">
        <f t="shared" si="198"/>
        <v>-2709</v>
      </c>
      <c r="AA254" s="267">
        <f>(VLOOKUP(A254,Hshldprojections2014!$A$2:$AW$319,40, FALSE)-VLOOKUP(A254,Hshldprojections2014!$A$2:$AW$319,30, FALSE))/10</f>
        <v>438.5</v>
      </c>
      <c r="AB254" s="267">
        <f>(VLOOKUP(A254,Hshldprojections2014!$A$2:$AW$319,41, FALSE)-VLOOKUP(A254,Hshldprojections2014!$A$2:$AW$319,31, FALSE))/10</f>
        <v>425.4</v>
      </c>
      <c r="AC254" s="267">
        <f>(VLOOKUP(A254,Hshldprojections2014!$A$2:$AW$319,42, FALSE)-VLOOKUP(A254,Hshldprojections2014!$A$2:$AW$319,32, FALSE))/10</f>
        <v>411.2</v>
      </c>
      <c r="AD254" s="267">
        <f>IF(IndividualLATest!$J$7=2014,(VLOOKUP($A254,Hshldprojections2014!$A$2:$AY$326,43,FALSE)-VLOOKUP($A254,Hshldprojections2014!$A$2:$AY$326,33,FALSE))/10,IF(IndividualLATest!$J$7=2016,(VLOOKUP($A254,Hshldprojections2016!$A$1:$AQ$322,33,FALSE)-VLOOKUP($A254,Hshldprojections2016!$A$1:$AQ$322,23,FALSE))/10,(VLOOKUP($A254,Hshldprojections2018!$A$1:$AQ$327,33,FALSE)-VLOOKUP($A254,Hshldprojections2018!$A$1:$AQ$327,23,FALSE))/10))</f>
        <v>391.6</v>
      </c>
      <c r="AE254" s="267">
        <f>IF(IndividualLATest!$J$7=2014,(VLOOKUP($A254,Hshldprojections2014!$A$2:$AY$326,44,FALSE)-VLOOKUP($A254,Hshldprojections2014!$A$2:$AY$326,34,FALSE))/10,IF(IndividualLATest!$J$7=2016,(VLOOKUP($A254,Hshldprojections2016!$A$1:$AQ$322,34,FALSE)-VLOOKUP($A254,Hshldprojections2016!$A$1:$AQ$322,24,FALSE))/10,(VLOOKUP($A254,Hshldprojections2018!$A$1:$AQ$327,34,FALSE)-VLOOKUP($A254,Hshldprojections2018!$A$1:$AQ$327,24,FALSE))/10))</f>
        <v>380.2</v>
      </c>
      <c r="AF254" s="267">
        <f>IF(IndividualLATest!$J$7=2014,(VLOOKUP($A254,Hshldprojections2014!$A$2:$AY$326,45,FALSE)-VLOOKUP($A254,Hshldprojections2014!$A$2:$AY$326,35,FALSE))/10,IF(IndividualLATest!$J$7=2016,(VLOOKUP($A254,Hshldprojections2016!$A$1:$AQ$322,35,FALSE)-VLOOKUP($A254,Hshldprojections2016!$A$1:$AQ$322,25,FALSE))/10,(VLOOKUP($A254,Hshldprojections2018!$A$1:$AQ$327,35,FALSE)-VLOOKUP($A254,Hshldprojections2018!$A$1:$AQ$327,25,FALSE))/10))</f>
        <v>371.4</v>
      </c>
      <c r="AG254" s="267">
        <f>IF(IndividualLATest!$J$7=2014,(VLOOKUP($A254,Hshldprojections2014!$A$2:$AY$326,46,FALSE)-VLOOKUP($A254,Hshldprojections2014!$A$2:$AY$326,36,FALSE))/10,IF(IndividualLATest!$J$7=2016,(VLOOKUP($A254,Hshldprojections2016!$A$1:$AQ$322,36,FALSE)-VLOOKUP($A254,Hshldprojections2016!$A$1:$AQ$322,26,FALSE))/10,(VLOOKUP($A254,Hshldprojections2018!$A$1:$AQ$327,36,FALSE)-VLOOKUP($A254,Hshldprojections2018!$A$1:$AQ$327,26,FALSE))/10))</f>
        <v>367.7</v>
      </c>
      <c r="AH254" s="267">
        <f>IF(IndividualLATest!$J$7=2014,(VLOOKUP($A254,Hshldprojections2014!$A$2:$AY$326,47,FALSE)-VLOOKUP($A254,Hshldprojections2014!$A$2:$AY$326,37,FALSE))/10,IF(IndividualLATest!$J$7=2016,(VLOOKUP($A254,Hshldprojections2016!$A$1:$AQ$322,37,FALSE)-VLOOKUP($A254,Hshldprojections2016!$A$1:$AQ$322,27,FALSE))/10,(VLOOKUP($A254,Hshldprojections2018!$A$1:$AQ$327,37,FALSE)-VLOOKUP($A254,Hshldprojections2018!$A$1:$AQ$327,27,FALSE))/10))</f>
        <v>366.6</v>
      </c>
      <c r="AI254" s="268">
        <f>IF(ISNUMBER('Sensitivity Tests'!$C$30),'Sensitivity Tests'!$C$30,VLOOKUP($A254,AffordabilityRatio!$A$2:$I$321,5,FALSE))</f>
        <v>5.64</v>
      </c>
      <c r="AJ254" s="268">
        <f>IF(ISNUMBER('Sensitivity Tests'!$C$30),'Sensitivity Tests'!$C$30,VLOOKUP($A254,AffordabilityRatio!$A$2:$I$321,6,FALSE))</f>
        <v>5.3</v>
      </c>
      <c r="AK254" s="268">
        <f>IF(ISNUMBER('Sensitivity Tests'!$C$30),'Sensitivity Tests'!$C$30,VLOOKUP($A254,AffordabilityRatio!$A$2:$I$321,7,FALSE))</f>
        <v>4.8600000000000003</v>
      </c>
      <c r="AL254" s="268">
        <f>IF(ISNUMBER('Sensitivity Tests'!$C$30),'Sensitivity Tests'!$C$30,IF((VLOOKUP($A254,AffordabilityRatio!$A$2:$I$321,8,FALSE))="",AK254,VLOOKUP($A254,AffordabilityRatio!$A$2:$I$321,8,FALSE)))</f>
        <v>5.27</v>
      </c>
      <c r="AM254" s="268">
        <f>IF(ISNUMBER('Sensitivity Tests'!$C$30),'Sensitivity Tests'!$C$30,IF((VLOOKUP($A254,AffordabilityRatio!$A$2:$I$321,9,FALSE))="",AL254,VLOOKUP($A254,AffordabilityRatio!$A$2:$I$321,9,FALSE)))</f>
        <v>4.6900000000000004</v>
      </c>
      <c r="AN254" s="268">
        <f>IF(ISNUMBER('Sensitivity Tests'!$C$30),'Sensitivity Tests'!$C$30,IF((VLOOKUP($A254,AffordabilityRatio!$A$2:$I$321,9,FALSE))="",AM254,VLOOKUP($A254,AffordabilityRatio!$A$2:$I$321,9,FALSE)))</f>
        <v>4.6900000000000004</v>
      </c>
      <c r="AO254" s="268">
        <f>IF(ISNUMBER('Sensitivity Tests'!$C$30),'Sensitivity Tests'!$C$30,IF((VLOOKUP($A254,AffordabilityRatio!$A$2:$I$321,9,FALSE))="",AN254,VLOOKUP($A254,AffordabilityRatio!$A$2:$I$321,9,FALSE)))</f>
        <v>4.6900000000000004</v>
      </c>
      <c r="AP254" s="268">
        <f>IF(ISNUMBER('Sensitivity Tests'!$C$30),'Sensitivity Tests'!$C$30,IF((VLOOKUP($A254,AffordabilityRatio!$A$2:$I$321,9,FALSE))="",AO254,VLOOKUP($A254,AffordabilityRatio!$A$2:$I$321,9,FALSE)))</f>
        <v>4.6900000000000004</v>
      </c>
      <c r="AQ254" s="267">
        <f t="shared" si="199"/>
        <v>483</v>
      </c>
      <c r="AR254" s="267">
        <f t="shared" si="199"/>
        <v>460</v>
      </c>
      <c r="AS254" s="267">
        <f t="shared" si="199"/>
        <v>433</v>
      </c>
      <c r="AT254" s="267">
        <f t="shared" si="199"/>
        <v>423</v>
      </c>
      <c r="AU254" s="267">
        <f t="shared" si="199"/>
        <v>397</v>
      </c>
      <c r="AV254" s="267">
        <f t="shared" si="199"/>
        <v>387</v>
      </c>
      <c r="AW254" s="267">
        <f t="shared" si="199"/>
        <v>384</v>
      </c>
      <c r="AX254" s="267">
        <f t="shared" si="199"/>
        <v>382</v>
      </c>
      <c r="AY254" s="267">
        <f t="shared" si="171"/>
        <v>483</v>
      </c>
      <c r="AZ254" s="267">
        <f t="shared" si="172"/>
        <v>460</v>
      </c>
      <c r="BA254" s="267">
        <f t="shared" si="173"/>
        <v>433</v>
      </c>
      <c r="BB254" s="267">
        <f t="shared" si="174"/>
        <v>423</v>
      </c>
      <c r="BC254" s="267">
        <f t="shared" si="175"/>
        <v>397</v>
      </c>
      <c r="BD254" s="267">
        <f t="shared" si="176"/>
        <v>387</v>
      </c>
      <c r="BE254" s="267">
        <f t="shared" si="177"/>
        <v>384</v>
      </c>
      <c r="BF254" s="267">
        <f t="shared" si="178"/>
        <v>382</v>
      </c>
      <c r="BG254" s="269">
        <f>AY254*VLOOKUP($B254,'Major Cities &amp; Towns'!$A$28:$B$345,2,FALSE)</f>
        <v>483</v>
      </c>
      <c r="BH254" s="269">
        <f>AZ254*VLOOKUP($B254,'Major Cities &amp; Towns'!$A$28:$B$345,2,FALSE)</f>
        <v>460</v>
      </c>
      <c r="BI254" s="269">
        <f>BA254*VLOOKUP($B254,'Major Cities &amp; Towns'!$A$28:$B$345,2,FALSE)</f>
        <v>433</v>
      </c>
      <c r="BJ254" s="269">
        <f>BB254*VLOOKUP($B254,'Major Cities &amp; Towns'!$A$28:$B$345,2,FALSE)</f>
        <v>423</v>
      </c>
      <c r="BK254" s="269">
        <f>BC254*VLOOKUP($B254,'Major Cities &amp; Towns'!$A$28:$B$345,2,FALSE)</f>
        <v>397</v>
      </c>
      <c r="BL254" s="269">
        <f>BD254*VLOOKUP($B254,'Major Cities &amp; Towns'!$A$28:$B$345,2,FALSE)</f>
        <v>387</v>
      </c>
      <c r="BM254" s="269">
        <f>BE254*VLOOKUP($B254,'Major Cities &amp; Towns'!$A$28:$B$345,2,FALSE)</f>
        <v>384</v>
      </c>
      <c r="BN254" s="269">
        <f>BF254*VLOOKUP($B254,'Major Cities &amp; Towns'!$A$28:$B$345,2,FALSE)</f>
        <v>382</v>
      </c>
      <c r="BO254" s="270">
        <f t="shared" si="179"/>
        <v>483</v>
      </c>
      <c r="BP254" s="270">
        <f t="shared" si="201"/>
        <v>460</v>
      </c>
      <c r="BQ254" s="270">
        <f t="shared" si="201"/>
        <v>433</v>
      </c>
      <c r="BR254" s="270">
        <f t="shared" si="201"/>
        <v>423</v>
      </c>
      <c r="BS254" s="270">
        <f t="shared" si="200"/>
        <v>397</v>
      </c>
      <c r="BT254" s="270">
        <f t="shared" si="200"/>
        <v>387</v>
      </c>
      <c r="BU254" s="270">
        <f t="shared" si="200"/>
        <v>384</v>
      </c>
      <c r="BV254" s="270">
        <f t="shared" si="200"/>
        <v>382</v>
      </c>
      <c r="BW254" s="39">
        <f>VLOOKUP($A254,NetAdditions!$A$2:$H$336,6,FALSE)</f>
        <v>775</v>
      </c>
      <c r="BX254" s="39">
        <f>VLOOKUP($A254,NetAdditions!$A$2:$H$336,7,FALSE)</f>
        <v>758</v>
      </c>
      <c r="BY254" s="39">
        <f>IF((VLOOKUP($C254,NetAdditions!$A$2:$H$336,8,FALSE))="",(AVERAGE(VLOOKUP($C254,NetAdditions!$A$2:$H$336,5,FALSE),VLOOKUP($C254,NetAdditions!$A$2:$H$336,6,FALSE),VLOOKUP($C254,NetAdditions!$A$2:$H$336,7,FALSE))),VLOOKUP($C254,NetAdditions!$A$2:$H$336,8,FALSE))</f>
        <v>646</v>
      </c>
      <c r="BZ254" s="39">
        <f t="shared" si="196"/>
        <v>726.33333333333337</v>
      </c>
      <c r="CA254" s="39">
        <f t="shared" si="196"/>
        <v>710.1111111111112</v>
      </c>
      <c r="CB254" s="39">
        <f t="shared" si="196"/>
        <v>694.14814814814827</v>
      </c>
      <c r="CC254" s="39">
        <f t="shared" si="196"/>
        <v>710.19753086419769</v>
      </c>
      <c r="CD254" s="39">
        <f t="shared" si="196"/>
        <v>704.81893004115238</v>
      </c>
      <c r="CE254" s="276">
        <f t="shared" si="155"/>
        <v>1376</v>
      </c>
      <c r="CF254" s="276">
        <f t="shared" si="156"/>
        <v>1316</v>
      </c>
      <c r="CG254" s="276">
        <f t="shared" si="157"/>
        <v>1253</v>
      </c>
      <c r="CH254" s="276">
        <f t="shared" si="158"/>
        <v>1207</v>
      </c>
      <c r="CI254" s="276">
        <f t="shared" si="159"/>
        <v>1168</v>
      </c>
      <c r="CJ254" s="276">
        <f t="shared" si="160"/>
        <v>1153</v>
      </c>
      <c r="CK254" s="276">
        <f t="shared" si="180"/>
        <v>1184.8888888888889</v>
      </c>
      <c r="CL254" s="276">
        <f t="shared" si="181"/>
        <v>1133.2222222222224</v>
      </c>
      <c r="CM254" s="276">
        <f t="shared" si="182"/>
        <v>1148.5833333333333</v>
      </c>
      <c r="CN254" s="276">
        <f t="shared" si="183"/>
        <v>1207</v>
      </c>
      <c r="CO254" s="276">
        <f t="shared" si="183"/>
        <v>1168</v>
      </c>
      <c r="CP254" s="276">
        <f t="shared" si="183"/>
        <v>1153</v>
      </c>
      <c r="CQ254" s="39">
        <f t="shared" si="161"/>
        <v>2179</v>
      </c>
      <c r="CR254" s="39">
        <f t="shared" si="162"/>
        <v>2130.3333333333335</v>
      </c>
      <c r="CS254" s="277">
        <f t="shared" si="163"/>
        <v>2082.4444444444448</v>
      </c>
      <c r="CT254" s="39">
        <f t="shared" si="164"/>
        <v>2130.5925925925931</v>
      </c>
      <c r="CU254" s="39">
        <f t="shared" si="165"/>
        <v>2114.4567901234573</v>
      </c>
      <c r="CV254" s="39">
        <f t="shared" si="166"/>
        <v>2109.1646090534982</v>
      </c>
      <c r="CW254" s="297">
        <f t="shared" si="167"/>
        <v>1.8389909977494374</v>
      </c>
      <c r="CX254" s="279" t="str">
        <f t="shared" si="184"/>
        <v>Pass</v>
      </c>
      <c r="CY254" s="278">
        <f t="shared" si="168"/>
        <v>1.8798901853122854</v>
      </c>
      <c r="CZ254" s="279" t="str">
        <f t="shared" si="185"/>
        <v>Pass</v>
      </c>
      <c r="DA254" s="278">
        <f t="shared" si="169"/>
        <v>1.813054729255847</v>
      </c>
      <c r="DB254" s="292" t="str">
        <f t="shared" si="186"/>
        <v>Pass</v>
      </c>
      <c r="DC254" s="299">
        <f t="shared" si="187"/>
        <v>1.7651968455613862</v>
      </c>
      <c r="DD254" s="293" t="str">
        <f t="shared" si="188"/>
        <v>Pass</v>
      </c>
      <c r="DE254" s="299">
        <f t="shared" si="189"/>
        <v>1.8103225942837819</v>
      </c>
      <c r="DF254" s="293" t="str">
        <f t="shared" si="190"/>
        <v>Pass</v>
      </c>
      <c r="DG254" s="299">
        <f t="shared" si="191"/>
        <v>1.8292841362129213</v>
      </c>
      <c r="DH254" s="293" t="str">
        <f t="shared" si="192"/>
        <v>Pass</v>
      </c>
    </row>
    <row r="255" spans="1:112" ht="15" thickTop="1" thickBot="1">
      <c r="A255" s="38" t="s">
        <v>620</v>
      </c>
      <c r="B255" s="38" t="s">
        <v>621</v>
      </c>
      <c r="C255" s="38" t="s">
        <v>620</v>
      </c>
      <c r="D255" s="38" t="s">
        <v>154</v>
      </c>
      <c r="E255" s="38" t="str">
        <f>VLOOKUP(C255,PoliticalControl!A:K,11,FALSE)</f>
        <v>CON</v>
      </c>
      <c r="F255" s="38" t="str">
        <f>VLOOKUP(C255,UrbanRuralClassification!A:N,13,FALSE)</f>
        <v>Urban with Significant Rural (rural including hub towns 26-49%)</v>
      </c>
      <c r="G255" s="38" t="str">
        <f>VLOOKUP(C255,UrbanRuralClassification!A:N,14,FALSE)</f>
        <v>Urban with Significant Rural</v>
      </c>
      <c r="H255" s="258">
        <f>IF(ISBLANK((VLOOKUP($A255,'local-plan-data'!$C$1:$AD$566,27,FALSE)))=TRUE,"",VLOOKUP($A255,'local-plan-data'!$C$1:$AD$566,27,FALSE))</f>
        <v>41809</v>
      </c>
      <c r="I255" s="259">
        <f>VLOOKUP($A255,'local-plan-data'!$C$1:$AD$566,28,FALSE)</f>
        <v>500</v>
      </c>
      <c r="J255" s="260">
        <f t="shared" si="170"/>
        <v>500</v>
      </c>
      <c r="K255" s="259">
        <f t="shared" si="193"/>
        <v>500</v>
      </c>
      <c r="L255" s="259">
        <f t="shared" si="197"/>
        <v>500</v>
      </c>
      <c r="M255" s="259" t="str">
        <f t="shared" si="197"/>
        <v>-</v>
      </c>
      <c r="N255" s="259" t="str">
        <f t="shared" si="197"/>
        <v>-</v>
      </c>
      <c r="O255" s="259" t="str">
        <f t="shared" si="197"/>
        <v>-</v>
      </c>
      <c r="P255" s="259" t="str">
        <f t="shared" si="197"/>
        <v>-</v>
      </c>
      <c r="Q255" s="259" t="str">
        <f t="shared" si="197"/>
        <v>-</v>
      </c>
      <c r="R255" s="259" t="str">
        <f t="shared" si="197"/>
        <v>-</v>
      </c>
      <c r="S255" s="259">
        <f t="shared" si="194"/>
        <v>444</v>
      </c>
      <c r="T255" s="259">
        <f t="shared" si="198"/>
        <v>79</v>
      </c>
      <c r="U255" s="259">
        <f t="shared" si="198"/>
        <v>-287</v>
      </c>
      <c r="V255" s="259">
        <f t="shared" si="198"/>
        <v>-652</v>
      </c>
      <c r="W255" s="259">
        <f t="shared" si="198"/>
        <v>-1017</v>
      </c>
      <c r="X255" s="259">
        <f t="shared" si="198"/>
        <v>-1382</v>
      </c>
      <c r="Y255" s="259">
        <f t="shared" si="198"/>
        <v>-1748</v>
      </c>
      <c r="Z255" s="259">
        <f t="shared" si="198"/>
        <v>-2113</v>
      </c>
      <c r="AA255" s="267">
        <f>(VLOOKUP(A255,Hshldprojections2014!$A$2:$AW$319,40, FALSE)-VLOOKUP(A255,Hshldprojections2014!$A$2:$AW$319,30, FALSE))/10</f>
        <v>343.4</v>
      </c>
      <c r="AB255" s="267">
        <f>(VLOOKUP(A255,Hshldprojections2014!$A$2:$AW$319,41, FALSE)-VLOOKUP(A255,Hshldprojections2014!$A$2:$AW$319,31, FALSE))/10</f>
        <v>336.8</v>
      </c>
      <c r="AC255" s="267">
        <f>(VLOOKUP(A255,Hshldprojections2014!$A$2:$AW$319,42, FALSE)-VLOOKUP(A255,Hshldprojections2014!$A$2:$AW$319,32, FALSE))/10</f>
        <v>330.6</v>
      </c>
      <c r="AD255" s="267">
        <f>IF(IndividualLATest!$J$7=2014,(VLOOKUP($A255,Hshldprojections2014!$A$2:$AY$326,43,FALSE)-VLOOKUP($A255,Hshldprojections2014!$A$2:$AY$326,33,FALSE))/10,IF(IndividualLATest!$J$7=2016,(VLOOKUP($A255,Hshldprojections2016!$A$1:$AQ$322,33,FALSE)-VLOOKUP($A255,Hshldprojections2016!$A$1:$AQ$322,23,FALSE))/10,(VLOOKUP($A255,Hshldprojections2018!$A$1:$AQ$327,33,FALSE)-VLOOKUP($A255,Hshldprojections2018!$A$1:$AQ$327,23,FALSE))/10))</f>
        <v>516.4</v>
      </c>
      <c r="AE255" s="267">
        <f>IF(IndividualLATest!$J$7=2014,(VLOOKUP($A255,Hshldprojections2014!$A$2:$AY$326,44,FALSE)-VLOOKUP($A255,Hshldprojections2014!$A$2:$AY$326,34,FALSE))/10,IF(IndividualLATest!$J$7=2016,(VLOOKUP($A255,Hshldprojections2016!$A$1:$AQ$322,34,FALSE)-VLOOKUP($A255,Hshldprojections2016!$A$1:$AQ$322,24,FALSE))/10,(VLOOKUP($A255,Hshldprojections2018!$A$1:$AQ$327,34,FALSE)-VLOOKUP($A255,Hshldprojections2018!$A$1:$AQ$327,24,FALSE))/10))</f>
        <v>500.8</v>
      </c>
      <c r="AF255" s="267">
        <f>IF(IndividualLATest!$J$7=2014,(VLOOKUP($A255,Hshldprojections2014!$A$2:$AY$326,45,FALSE)-VLOOKUP($A255,Hshldprojections2014!$A$2:$AY$326,35,FALSE))/10,IF(IndividualLATest!$J$7=2016,(VLOOKUP($A255,Hshldprojections2016!$A$1:$AQ$322,35,FALSE)-VLOOKUP($A255,Hshldprojections2016!$A$1:$AQ$322,25,FALSE))/10,(VLOOKUP($A255,Hshldprojections2018!$A$1:$AQ$327,35,FALSE)-VLOOKUP($A255,Hshldprojections2018!$A$1:$AQ$327,25,FALSE))/10))</f>
        <v>483.7</v>
      </c>
      <c r="AG255" s="267">
        <f>IF(IndividualLATest!$J$7=2014,(VLOOKUP($A255,Hshldprojections2014!$A$2:$AY$326,46,FALSE)-VLOOKUP($A255,Hshldprojections2014!$A$2:$AY$326,36,FALSE))/10,IF(IndividualLATest!$J$7=2016,(VLOOKUP($A255,Hshldprojections2016!$A$1:$AQ$322,36,FALSE)-VLOOKUP($A255,Hshldprojections2016!$A$1:$AQ$322,26,FALSE))/10,(VLOOKUP($A255,Hshldprojections2018!$A$1:$AQ$327,36,FALSE)-VLOOKUP($A255,Hshldprojections2018!$A$1:$AQ$327,26,FALSE))/10))</f>
        <v>470.1</v>
      </c>
      <c r="AH255" s="267">
        <f>IF(IndividualLATest!$J$7=2014,(VLOOKUP($A255,Hshldprojections2014!$A$2:$AY$326,47,FALSE)-VLOOKUP($A255,Hshldprojections2014!$A$2:$AY$326,37,FALSE))/10,IF(IndividualLATest!$J$7=2016,(VLOOKUP($A255,Hshldprojections2016!$A$1:$AQ$322,37,FALSE)-VLOOKUP($A255,Hshldprojections2016!$A$1:$AQ$322,27,FALSE))/10,(VLOOKUP($A255,Hshldprojections2018!$A$1:$AQ$327,37,FALSE)-VLOOKUP($A255,Hshldprojections2018!$A$1:$AQ$327,27,FALSE))/10))</f>
        <v>460.2</v>
      </c>
      <c r="AI255" s="268">
        <f>IF(ISNUMBER('Sensitivity Tests'!$C$30),'Sensitivity Tests'!$C$30,VLOOKUP($A255,AffordabilityRatio!$A$2:$I$321,5,FALSE))</f>
        <v>7.35</v>
      </c>
      <c r="AJ255" s="268">
        <f>IF(ISNUMBER('Sensitivity Tests'!$C$30),'Sensitivity Tests'!$C$30,VLOOKUP($A255,AffordabilityRatio!$A$2:$I$321,6,FALSE))</f>
        <v>7.38</v>
      </c>
      <c r="AK255" s="268">
        <f>IF(ISNUMBER('Sensitivity Tests'!$C$30),'Sensitivity Tests'!$C$30,VLOOKUP($A255,AffordabilityRatio!$A$2:$I$321,7,FALSE))</f>
        <v>7.37</v>
      </c>
      <c r="AL255" s="268">
        <f>IF(ISNUMBER('Sensitivity Tests'!$C$30),'Sensitivity Tests'!$C$30,IF((VLOOKUP($A255,AffordabilityRatio!$A$2:$I$321,8,FALSE))="",AK255,VLOOKUP($A255,AffordabilityRatio!$A$2:$I$321,8,FALSE)))</f>
        <v>7.4</v>
      </c>
      <c r="AM255" s="268">
        <f>IF(ISNUMBER('Sensitivity Tests'!$C$30),'Sensitivity Tests'!$C$30,IF((VLOOKUP($A255,AffordabilityRatio!$A$2:$I$321,9,FALSE))="",AL255,VLOOKUP($A255,AffordabilityRatio!$A$2:$I$321,9,FALSE)))</f>
        <v>7.71</v>
      </c>
      <c r="AN255" s="268">
        <f>IF(ISNUMBER('Sensitivity Tests'!$C$30),'Sensitivity Tests'!$C$30,IF((VLOOKUP($A255,AffordabilityRatio!$A$2:$I$321,9,FALSE))="",AM255,VLOOKUP($A255,AffordabilityRatio!$A$2:$I$321,9,FALSE)))</f>
        <v>7.71</v>
      </c>
      <c r="AO255" s="268">
        <f>IF(ISNUMBER('Sensitivity Tests'!$C$30),'Sensitivity Tests'!$C$30,IF((VLOOKUP($A255,AffordabilityRatio!$A$2:$I$321,9,FALSE))="",AN255,VLOOKUP($A255,AffordabilityRatio!$A$2:$I$321,9,FALSE)))</f>
        <v>7.71</v>
      </c>
      <c r="AP255" s="268">
        <f>IF(ISNUMBER('Sensitivity Tests'!$C$30),'Sensitivity Tests'!$C$30,IF((VLOOKUP($A255,AffordabilityRatio!$A$2:$I$321,9,FALSE))="",AO255,VLOOKUP($A255,AffordabilityRatio!$A$2:$I$321,9,FALSE)))</f>
        <v>7.71</v>
      </c>
      <c r="AQ255" s="267">
        <f t="shared" si="199"/>
        <v>415</v>
      </c>
      <c r="AR255" s="267">
        <f t="shared" si="199"/>
        <v>408</v>
      </c>
      <c r="AS255" s="267">
        <f t="shared" si="199"/>
        <v>400</v>
      </c>
      <c r="AT255" s="267">
        <f t="shared" si="199"/>
        <v>626</v>
      </c>
      <c r="AU255" s="267">
        <f t="shared" si="199"/>
        <v>617</v>
      </c>
      <c r="AV255" s="267">
        <f t="shared" si="199"/>
        <v>596</v>
      </c>
      <c r="AW255" s="267">
        <f t="shared" si="199"/>
        <v>579</v>
      </c>
      <c r="AX255" s="267">
        <f t="shared" si="199"/>
        <v>567</v>
      </c>
      <c r="AY255" s="267">
        <f t="shared" si="171"/>
        <v>415</v>
      </c>
      <c r="AZ255" s="267">
        <f t="shared" si="172"/>
        <v>408</v>
      </c>
      <c r="BA255" s="267">
        <f t="shared" si="173"/>
        <v>400</v>
      </c>
      <c r="BB255" s="267">
        <f t="shared" si="174"/>
        <v>626</v>
      </c>
      <c r="BC255" s="267">
        <f t="shared" si="175"/>
        <v>617</v>
      </c>
      <c r="BD255" s="267">
        <f t="shared" si="176"/>
        <v>596</v>
      </c>
      <c r="BE255" s="267">
        <f t="shared" si="177"/>
        <v>579</v>
      </c>
      <c r="BF255" s="267">
        <f t="shared" si="178"/>
        <v>567</v>
      </c>
      <c r="BG255" s="269">
        <f>AY255*VLOOKUP($B255,'Major Cities &amp; Towns'!$A$28:$B$345,2,FALSE)</f>
        <v>415</v>
      </c>
      <c r="BH255" s="269">
        <f>AZ255*VLOOKUP($B255,'Major Cities &amp; Towns'!$A$28:$B$345,2,FALSE)</f>
        <v>408</v>
      </c>
      <c r="BI255" s="269">
        <f>BA255*VLOOKUP($B255,'Major Cities &amp; Towns'!$A$28:$B$345,2,FALSE)</f>
        <v>400</v>
      </c>
      <c r="BJ255" s="269">
        <f>BB255*VLOOKUP($B255,'Major Cities &amp; Towns'!$A$28:$B$345,2,FALSE)</f>
        <v>626</v>
      </c>
      <c r="BK255" s="269">
        <f>BC255*VLOOKUP($B255,'Major Cities &amp; Towns'!$A$28:$B$345,2,FALSE)</f>
        <v>617</v>
      </c>
      <c r="BL255" s="269">
        <f>BD255*VLOOKUP($B255,'Major Cities &amp; Towns'!$A$28:$B$345,2,FALSE)</f>
        <v>596</v>
      </c>
      <c r="BM255" s="269">
        <f>BE255*VLOOKUP($B255,'Major Cities &amp; Towns'!$A$28:$B$345,2,FALSE)</f>
        <v>579</v>
      </c>
      <c r="BN255" s="269">
        <f>BF255*VLOOKUP($B255,'Major Cities &amp; Towns'!$A$28:$B$345,2,FALSE)</f>
        <v>567</v>
      </c>
      <c r="BO255" s="270">
        <f t="shared" si="179"/>
        <v>415</v>
      </c>
      <c r="BP255" s="270">
        <f t="shared" si="201"/>
        <v>408</v>
      </c>
      <c r="BQ255" s="270">
        <f t="shared" si="201"/>
        <v>400</v>
      </c>
      <c r="BR255" s="270">
        <f t="shared" si="201"/>
        <v>626</v>
      </c>
      <c r="BS255" s="270">
        <f t="shared" si="200"/>
        <v>617</v>
      </c>
      <c r="BT255" s="270">
        <f t="shared" si="200"/>
        <v>596</v>
      </c>
      <c r="BU255" s="270">
        <f t="shared" si="200"/>
        <v>579</v>
      </c>
      <c r="BV255" s="270">
        <f t="shared" si="200"/>
        <v>567</v>
      </c>
      <c r="BW255" s="39">
        <f>VLOOKUP($A255,NetAdditions!$A$2:$H$336,6,FALSE)</f>
        <v>699</v>
      </c>
      <c r="BX255" s="39">
        <f>VLOOKUP($A255,NetAdditions!$A$2:$H$336,7,FALSE)</f>
        <v>752</v>
      </c>
      <c r="BY255" s="39">
        <f>IF((VLOOKUP($C255,NetAdditions!$A$2:$H$336,8,FALSE))="",(AVERAGE(VLOOKUP($C255,NetAdditions!$A$2:$H$336,5,FALSE),VLOOKUP($C255,NetAdditions!$A$2:$H$336,6,FALSE),VLOOKUP($C255,NetAdditions!$A$2:$H$336,7,FALSE))),VLOOKUP($C255,NetAdditions!$A$2:$H$336,8,FALSE))</f>
        <v>614</v>
      </c>
      <c r="BZ255" s="39">
        <f t="shared" si="196"/>
        <v>688.33333333333337</v>
      </c>
      <c r="CA255" s="39">
        <f t="shared" si="196"/>
        <v>684.77777777777783</v>
      </c>
      <c r="CB255" s="39">
        <f t="shared" si="196"/>
        <v>662.37037037037044</v>
      </c>
      <c r="CC255" s="39">
        <f t="shared" si="196"/>
        <v>678.49382716049388</v>
      </c>
      <c r="CD255" s="39">
        <f t="shared" si="196"/>
        <v>675.21399176954731</v>
      </c>
      <c r="CE255" s="276">
        <f t="shared" si="155"/>
        <v>1223</v>
      </c>
      <c r="CF255" s="276">
        <f t="shared" si="156"/>
        <v>1434</v>
      </c>
      <c r="CG255" s="276">
        <f t="shared" si="157"/>
        <v>1643</v>
      </c>
      <c r="CH255" s="276">
        <f t="shared" si="158"/>
        <v>1839</v>
      </c>
      <c r="CI255" s="276">
        <f t="shared" si="159"/>
        <v>1792</v>
      </c>
      <c r="CJ255" s="276">
        <f t="shared" si="160"/>
        <v>1742</v>
      </c>
      <c r="CK255" s="276">
        <f t="shared" si="180"/>
        <v>1053.1388888888889</v>
      </c>
      <c r="CL255" s="276">
        <f t="shared" si="181"/>
        <v>1234.8333333333335</v>
      </c>
      <c r="CM255" s="276">
        <f t="shared" si="182"/>
        <v>1506.0833333333333</v>
      </c>
      <c r="CN255" s="276">
        <f t="shared" si="183"/>
        <v>1839</v>
      </c>
      <c r="CO255" s="276">
        <f t="shared" si="183"/>
        <v>1792</v>
      </c>
      <c r="CP255" s="276">
        <f t="shared" si="183"/>
        <v>1742</v>
      </c>
      <c r="CQ255" s="39">
        <f t="shared" si="161"/>
        <v>2065</v>
      </c>
      <c r="CR255" s="39">
        <f t="shared" si="162"/>
        <v>2054.3333333333335</v>
      </c>
      <c r="CS255" s="277">
        <f t="shared" si="163"/>
        <v>1987.1111111111113</v>
      </c>
      <c r="CT255" s="39">
        <f t="shared" si="164"/>
        <v>2035.4814814814818</v>
      </c>
      <c r="CU255" s="39">
        <f t="shared" si="165"/>
        <v>2025.641975308642</v>
      </c>
      <c r="CV255" s="39">
        <f t="shared" si="166"/>
        <v>2016.0781893004114</v>
      </c>
      <c r="CW255" s="297">
        <f t="shared" si="167"/>
        <v>1.9608050009231661</v>
      </c>
      <c r="CX255" s="279" t="str">
        <f t="shared" si="184"/>
        <v>Pass</v>
      </c>
      <c r="CY255" s="278">
        <f t="shared" si="168"/>
        <v>1.6636523147523281</v>
      </c>
      <c r="CZ255" s="279" t="str">
        <f t="shared" si="185"/>
        <v>Pass</v>
      </c>
      <c r="DA255" s="278">
        <f t="shared" si="169"/>
        <v>1.3193898817757614</v>
      </c>
      <c r="DB255" s="292" t="str">
        <f t="shared" si="186"/>
        <v>Pass</v>
      </c>
      <c r="DC255" s="299">
        <f t="shared" si="187"/>
        <v>1.1068414798703001</v>
      </c>
      <c r="DD255" s="293" t="str">
        <f t="shared" si="188"/>
        <v>Pass</v>
      </c>
      <c r="DE255" s="299">
        <f t="shared" si="189"/>
        <v>1.1303805665784832</v>
      </c>
      <c r="DF255" s="293" t="str">
        <f t="shared" si="190"/>
        <v>Pass</v>
      </c>
      <c r="DG255" s="299">
        <f t="shared" si="191"/>
        <v>1.1573353555111432</v>
      </c>
      <c r="DH255" s="293" t="str">
        <f t="shared" si="192"/>
        <v>Pass</v>
      </c>
    </row>
    <row r="256" spans="1:112" ht="15" thickTop="1" thickBot="1">
      <c r="A256" s="38" t="s">
        <v>622</v>
      </c>
      <c r="B256" s="38" t="s">
        <v>623</v>
      </c>
      <c r="C256" s="38" t="s">
        <v>622</v>
      </c>
      <c r="D256" s="38" t="s">
        <v>154</v>
      </c>
      <c r="E256" s="38" t="str">
        <f>VLOOKUP(C256,PoliticalControl!A:K,11,FALSE)</f>
        <v>NOC</v>
      </c>
      <c r="F256" s="38" t="str">
        <f>VLOOKUP(C256,UrbanRuralClassification!A:N,13,FALSE)</f>
        <v xml:space="preserve">Largely Rural (rural including hub towns 50-79%) </v>
      </c>
      <c r="G256" s="38" t="str">
        <f>VLOOKUP(C256,UrbanRuralClassification!A:N,14,FALSE)</f>
        <v>Predominantly Rural</v>
      </c>
      <c r="H256" s="258">
        <f>IF(ISBLANK((VLOOKUP($A256,'local-plan-data'!$C$1:$AD$566,27,FALSE)))=TRUE,"",VLOOKUP($A256,'local-plan-data'!$C$1:$AD$566,27,FALSE))</f>
        <v>44083</v>
      </c>
      <c r="I256" s="259">
        <f>VLOOKUP($A256,'local-plan-data'!$C$1:$AD$566,28,FALSE)</f>
        <v>315</v>
      </c>
      <c r="J256" s="260">
        <f t="shared" si="170"/>
        <v>315</v>
      </c>
      <c r="K256" s="259">
        <f t="shared" si="193"/>
        <v>315</v>
      </c>
      <c r="L256" s="259">
        <f t="shared" si="197"/>
        <v>315</v>
      </c>
      <c r="M256" s="259">
        <f t="shared" si="197"/>
        <v>315</v>
      </c>
      <c r="N256" s="259">
        <f t="shared" si="197"/>
        <v>315</v>
      </c>
      <c r="O256" s="259">
        <f t="shared" si="197"/>
        <v>315</v>
      </c>
      <c r="P256" s="259">
        <f t="shared" si="197"/>
        <v>315</v>
      </c>
      <c r="Q256" s="259">
        <f t="shared" si="197"/>
        <v>315</v>
      </c>
      <c r="R256" s="259">
        <f t="shared" si="197"/>
        <v>315</v>
      </c>
      <c r="S256" s="259">
        <f t="shared" si="194"/>
        <v>2718</v>
      </c>
      <c r="T256" s="259">
        <f t="shared" si="198"/>
        <v>2353</v>
      </c>
      <c r="U256" s="259">
        <f t="shared" si="198"/>
        <v>1987</v>
      </c>
      <c r="V256" s="259">
        <f t="shared" si="198"/>
        <v>1622</v>
      </c>
      <c r="W256" s="259">
        <f t="shared" si="198"/>
        <v>1257</v>
      </c>
      <c r="X256" s="259">
        <f t="shared" si="198"/>
        <v>892</v>
      </c>
      <c r="Y256" s="259">
        <f t="shared" si="198"/>
        <v>526</v>
      </c>
      <c r="Z256" s="259">
        <f t="shared" si="198"/>
        <v>161</v>
      </c>
      <c r="AA256" s="267">
        <f>(VLOOKUP(A256,Hshldprojections2014!$A$2:$AW$319,40, FALSE)-VLOOKUP(A256,Hshldprojections2014!$A$2:$AW$319,30, FALSE))/10</f>
        <v>171.7</v>
      </c>
      <c r="AB256" s="267">
        <f>(VLOOKUP(A256,Hshldprojections2014!$A$2:$AW$319,41, FALSE)-VLOOKUP(A256,Hshldprojections2014!$A$2:$AW$319,31, FALSE))/10</f>
        <v>168.7</v>
      </c>
      <c r="AC256" s="267">
        <f>(VLOOKUP(A256,Hshldprojections2014!$A$2:$AW$319,42, FALSE)-VLOOKUP(A256,Hshldprojections2014!$A$2:$AW$319,32, FALSE))/10</f>
        <v>165.9</v>
      </c>
      <c r="AD256" s="267">
        <f>IF(IndividualLATest!$J$7=2014,(VLOOKUP($A256,Hshldprojections2014!$A$2:$AY$326,43,FALSE)-VLOOKUP($A256,Hshldprojections2014!$A$2:$AY$326,33,FALSE))/10,IF(IndividualLATest!$J$7=2016,(VLOOKUP($A256,Hshldprojections2016!$A$1:$AQ$322,33,FALSE)-VLOOKUP($A256,Hshldprojections2016!$A$1:$AQ$322,23,FALSE))/10,(VLOOKUP($A256,Hshldprojections2018!$A$1:$AQ$327,33,FALSE)-VLOOKUP($A256,Hshldprojections2018!$A$1:$AQ$327,23,FALSE))/10))</f>
        <v>148.19999999999999</v>
      </c>
      <c r="AE256" s="267">
        <f>IF(IndividualLATest!$J$7=2014,(VLOOKUP($A256,Hshldprojections2014!$A$2:$AY$326,44,FALSE)-VLOOKUP($A256,Hshldprojections2014!$A$2:$AY$326,34,FALSE))/10,IF(IndividualLATest!$J$7=2016,(VLOOKUP($A256,Hshldprojections2016!$A$1:$AQ$322,34,FALSE)-VLOOKUP($A256,Hshldprojections2016!$A$1:$AQ$322,24,FALSE))/10,(VLOOKUP($A256,Hshldprojections2018!$A$1:$AQ$327,34,FALSE)-VLOOKUP($A256,Hshldprojections2018!$A$1:$AQ$327,24,FALSE))/10))</f>
        <v>138.6</v>
      </c>
      <c r="AF256" s="267">
        <f>IF(IndividualLATest!$J$7=2014,(VLOOKUP($A256,Hshldprojections2014!$A$2:$AY$326,45,FALSE)-VLOOKUP($A256,Hshldprojections2014!$A$2:$AY$326,35,FALSE))/10,IF(IndividualLATest!$J$7=2016,(VLOOKUP($A256,Hshldprojections2016!$A$1:$AQ$322,35,FALSE)-VLOOKUP($A256,Hshldprojections2016!$A$1:$AQ$322,25,FALSE))/10,(VLOOKUP($A256,Hshldprojections2018!$A$1:$AQ$327,35,FALSE)-VLOOKUP($A256,Hshldprojections2018!$A$1:$AQ$327,25,FALSE))/10))</f>
        <v>131.69999999999999</v>
      </c>
      <c r="AG256" s="267">
        <f>IF(IndividualLATest!$J$7=2014,(VLOOKUP($A256,Hshldprojections2014!$A$2:$AY$326,46,FALSE)-VLOOKUP($A256,Hshldprojections2014!$A$2:$AY$326,36,FALSE))/10,IF(IndividualLATest!$J$7=2016,(VLOOKUP($A256,Hshldprojections2016!$A$1:$AQ$322,36,FALSE)-VLOOKUP($A256,Hshldprojections2016!$A$1:$AQ$322,26,FALSE))/10,(VLOOKUP($A256,Hshldprojections2018!$A$1:$AQ$327,36,FALSE)-VLOOKUP($A256,Hshldprojections2018!$A$1:$AQ$327,26,FALSE))/10))</f>
        <v>125.5</v>
      </c>
      <c r="AH256" s="267">
        <f>IF(IndividualLATest!$J$7=2014,(VLOOKUP($A256,Hshldprojections2014!$A$2:$AY$326,47,FALSE)-VLOOKUP($A256,Hshldprojections2014!$A$2:$AY$326,37,FALSE))/10,IF(IndividualLATest!$J$7=2016,(VLOOKUP($A256,Hshldprojections2016!$A$1:$AQ$322,37,FALSE)-VLOOKUP($A256,Hshldprojections2016!$A$1:$AQ$322,27,FALSE))/10,(VLOOKUP($A256,Hshldprojections2018!$A$1:$AQ$327,37,FALSE)-VLOOKUP($A256,Hshldprojections2018!$A$1:$AQ$327,27,FALSE))/10))</f>
        <v>119.1</v>
      </c>
      <c r="AI256" s="268">
        <f>IF(ISNUMBER('Sensitivity Tests'!$C$30),'Sensitivity Tests'!$C$30,VLOOKUP($A256,AffordabilityRatio!$A$2:$I$321,5,FALSE))</f>
        <v>6.07</v>
      </c>
      <c r="AJ256" s="268">
        <f>IF(ISNUMBER('Sensitivity Tests'!$C$30),'Sensitivity Tests'!$C$30,VLOOKUP($A256,AffordabilityRatio!$A$2:$I$321,6,FALSE))</f>
        <v>6.52</v>
      </c>
      <c r="AK256" s="268">
        <f>IF(ISNUMBER('Sensitivity Tests'!$C$30),'Sensitivity Tests'!$C$30,VLOOKUP($A256,AffordabilityRatio!$A$2:$I$321,7,FALSE))</f>
        <v>5.82</v>
      </c>
      <c r="AL256" s="268">
        <f>IF(ISNUMBER('Sensitivity Tests'!$C$30),'Sensitivity Tests'!$C$30,IF((VLOOKUP($A256,AffordabilityRatio!$A$2:$I$321,8,FALSE))="",AK256,VLOOKUP($A256,AffordabilityRatio!$A$2:$I$321,8,FALSE)))</f>
        <v>6.41</v>
      </c>
      <c r="AM256" s="268">
        <f>IF(ISNUMBER('Sensitivity Tests'!$C$30),'Sensitivity Tests'!$C$30,IF((VLOOKUP($A256,AffordabilityRatio!$A$2:$I$321,9,FALSE))="",AL256,VLOOKUP($A256,AffordabilityRatio!$A$2:$I$321,9,FALSE)))</f>
        <v>6.57</v>
      </c>
      <c r="AN256" s="268">
        <f>IF(ISNUMBER('Sensitivity Tests'!$C$30),'Sensitivity Tests'!$C$30,IF((VLOOKUP($A256,AffordabilityRatio!$A$2:$I$321,9,FALSE))="",AM256,VLOOKUP($A256,AffordabilityRatio!$A$2:$I$321,9,FALSE)))</f>
        <v>6.57</v>
      </c>
      <c r="AO256" s="268">
        <f>IF(ISNUMBER('Sensitivity Tests'!$C$30),'Sensitivity Tests'!$C$30,IF((VLOOKUP($A256,AffordabilityRatio!$A$2:$I$321,9,FALSE))="",AN256,VLOOKUP($A256,AffordabilityRatio!$A$2:$I$321,9,FALSE)))</f>
        <v>6.57</v>
      </c>
      <c r="AP256" s="268">
        <f>IF(ISNUMBER('Sensitivity Tests'!$C$30),'Sensitivity Tests'!$C$30,IF((VLOOKUP($A256,AffordabilityRatio!$A$2:$I$321,9,FALSE))="",AO256,VLOOKUP($A256,AffordabilityRatio!$A$2:$I$321,9,FALSE)))</f>
        <v>6.57</v>
      </c>
      <c r="AQ256" s="267">
        <f t="shared" si="199"/>
        <v>194</v>
      </c>
      <c r="AR256" s="267">
        <f t="shared" si="199"/>
        <v>195</v>
      </c>
      <c r="AS256" s="267">
        <f t="shared" si="199"/>
        <v>185</v>
      </c>
      <c r="AT256" s="267">
        <f t="shared" si="199"/>
        <v>171</v>
      </c>
      <c r="AU256" s="267">
        <f t="shared" si="199"/>
        <v>161</v>
      </c>
      <c r="AV256" s="267">
        <f t="shared" si="199"/>
        <v>153</v>
      </c>
      <c r="AW256" s="267">
        <f t="shared" si="199"/>
        <v>146</v>
      </c>
      <c r="AX256" s="267">
        <f t="shared" si="199"/>
        <v>138</v>
      </c>
      <c r="AY256" s="267">
        <f t="shared" si="171"/>
        <v>194</v>
      </c>
      <c r="AZ256" s="267">
        <f t="shared" si="172"/>
        <v>195</v>
      </c>
      <c r="BA256" s="267">
        <f t="shared" si="173"/>
        <v>185</v>
      </c>
      <c r="BB256" s="267">
        <f t="shared" si="174"/>
        <v>171</v>
      </c>
      <c r="BC256" s="267">
        <f t="shared" si="175"/>
        <v>161</v>
      </c>
      <c r="BD256" s="267">
        <f t="shared" si="176"/>
        <v>153</v>
      </c>
      <c r="BE256" s="267">
        <f t="shared" si="177"/>
        <v>146</v>
      </c>
      <c r="BF256" s="267">
        <f t="shared" si="178"/>
        <v>138</v>
      </c>
      <c r="BG256" s="269">
        <f>AY256*VLOOKUP($B256,'Major Cities &amp; Towns'!$A$28:$B$345,2,FALSE)</f>
        <v>194</v>
      </c>
      <c r="BH256" s="269">
        <f>AZ256*VLOOKUP($B256,'Major Cities &amp; Towns'!$A$28:$B$345,2,FALSE)</f>
        <v>195</v>
      </c>
      <c r="BI256" s="269">
        <f>BA256*VLOOKUP($B256,'Major Cities &amp; Towns'!$A$28:$B$345,2,FALSE)</f>
        <v>185</v>
      </c>
      <c r="BJ256" s="269">
        <f>BB256*VLOOKUP($B256,'Major Cities &amp; Towns'!$A$28:$B$345,2,FALSE)</f>
        <v>171</v>
      </c>
      <c r="BK256" s="269">
        <f>BC256*VLOOKUP($B256,'Major Cities &amp; Towns'!$A$28:$B$345,2,FALSE)</f>
        <v>161</v>
      </c>
      <c r="BL256" s="269">
        <f>BD256*VLOOKUP($B256,'Major Cities &amp; Towns'!$A$28:$B$345,2,FALSE)</f>
        <v>153</v>
      </c>
      <c r="BM256" s="269">
        <f>BE256*VLOOKUP($B256,'Major Cities &amp; Towns'!$A$28:$B$345,2,FALSE)</f>
        <v>146</v>
      </c>
      <c r="BN256" s="269">
        <f>BF256*VLOOKUP($B256,'Major Cities &amp; Towns'!$A$28:$B$345,2,FALSE)</f>
        <v>138</v>
      </c>
      <c r="BO256" s="270">
        <f t="shared" si="179"/>
        <v>194</v>
      </c>
      <c r="BP256" s="270">
        <f t="shared" si="201"/>
        <v>195</v>
      </c>
      <c r="BQ256" s="270">
        <f t="shared" si="201"/>
        <v>185</v>
      </c>
      <c r="BR256" s="270">
        <f t="shared" si="201"/>
        <v>171</v>
      </c>
      <c r="BS256" s="270">
        <f t="shared" si="200"/>
        <v>161</v>
      </c>
      <c r="BT256" s="270">
        <f t="shared" si="200"/>
        <v>153</v>
      </c>
      <c r="BU256" s="270">
        <f t="shared" si="200"/>
        <v>146</v>
      </c>
      <c r="BV256" s="270">
        <f t="shared" si="200"/>
        <v>138</v>
      </c>
      <c r="BW256" s="39">
        <f>VLOOKUP($A256,NetAdditions!$A$2:$H$336,6,FALSE)</f>
        <v>168</v>
      </c>
      <c r="BX256" s="39">
        <f>VLOOKUP($A256,NetAdditions!$A$2:$H$336,7,FALSE)</f>
        <v>212</v>
      </c>
      <c r="BY256" s="39">
        <f>IF((VLOOKUP($C256,NetAdditions!$A$2:$H$336,8,FALSE))="",(AVERAGE(VLOOKUP($C256,NetAdditions!$A$2:$H$336,5,FALSE),VLOOKUP($C256,NetAdditions!$A$2:$H$336,6,FALSE),VLOOKUP($C256,NetAdditions!$A$2:$H$336,7,FALSE))),VLOOKUP($C256,NetAdditions!$A$2:$H$336,8,FALSE))</f>
        <v>209</v>
      </c>
      <c r="BZ256" s="39">
        <f t="shared" si="196"/>
        <v>196.33333333333334</v>
      </c>
      <c r="CA256" s="39">
        <f t="shared" si="196"/>
        <v>205.7777777777778</v>
      </c>
      <c r="CB256" s="39">
        <f t="shared" si="196"/>
        <v>203.70370370370372</v>
      </c>
      <c r="CC256" s="39">
        <f t="shared" si="196"/>
        <v>201.93827160493831</v>
      </c>
      <c r="CD256" s="39">
        <f t="shared" si="196"/>
        <v>203.80658436213994</v>
      </c>
      <c r="CE256" s="276">
        <f t="shared" si="155"/>
        <v>574</v>
      </c>
      <c r="CF256" s="276">
        <f t="shared" si="156"/>
        <v>551</v>
      </c>
      <c r="CG256" s="276">
        <f t="shared" si="157"/>
        <v>517</v>
      </c>
      <c r="CH256" s="276">
        <f t="shared" si="158"/>
        <v>485</v>
      </c>
      <c r="CI256" s="276">
        <f t="shared" si="159"/>
        <v>460</v>
      </c>
      <c r="CJ256" s="276">
        <f t="shared" si="160"/>
        <v>437</v>
      </c>
      <c r="CK256" s="276">
        <f t="shared" si="180"/>
        <v>494.27777777777783</v>
      </c>
      <c r="CL256" s="276">
        <f t="shared" si="181"/>
        <v>474.47222222222223</v>
      </c>
      <c r="CM256" s="276">
        <f t="shared" si="182"/>
        <v>473.91666666666663</v>
      </c>
      <c r="CN256" s="276">
        <f t="shared" si="183"/>
        <v>485</v>
      </c>
      <c r="CO256" s="276">
        <f t="shared" si="183"/>
        <v>460</v>
      </c>
      <c r="CP256" s="276">
        <f t="shared" si="183"/>
        <v>437</v>
      </c>
      <c r="CQ256" s="39">
        <f t="shared" si="161"/>
        <v>589</v>
      </c>
      <c r="CR256" s="39">
        <f t="shared" si="162"/>
        <v>617.33333333333337</v>
      </c>
      <c r="CS256" s="277">
        <f t="shared" si="163"/>
        <v>611.1111111111112</v>
      </c>
      <c r="CT256" s="39">
        <f t="shared" si="164"/>
        <v>605.81481481481489</v>
      </c>
      <c r="CU256" s="39">
        <f t="shared" si="165"/>
        <v>611.41975308641986</v>
      </c>
      <c r="CV256" s="39">
        <f t="shared" si="166"/>
        <v>609.44855967078195</v>
      </c>
      <c r="CW256" s="297">
        <f t="shared" si="167"/>
        <v>1.1916376306620209</v>
      </c>
      <c r="CX256" s="279" t="str">
        <f t="shared" si="184"/>
        <v>Pass</v>
      </c>
      <c r="CY256" s="278">
        <f t="shared" si="168"/>
        <v>1.3010947836777706</v>
      </c>
      <c r="CZ256" s="279" t="str">
        <f t="shared" si="185"/>
        <v>Pass</v>
      </c>
      <c r="DA256" s="278">
        <f t="shared" si="169"/>
        <v>1.2894906511927791</v>
      </c>
      <c r="DB256" s="292" t="str">
        <f t="shared" si="186"/>
        <v>Pass</v>
      </c>
      <c r="DC256" s="299">
        <f t="shared" si="187"/>
        <v>1.2491027109583812</v>
      </c>
      <c r="DD256" s="293" t="str">
        <f t="shared" si="188"/>
        <v>Pass</v>
      </c>
      <c r="DE256" s="299">
        <f t="shared" si="189"/>
        <v>1.3291733762748257</v>
      </c>
      <c r="DF256" s="293" t="str">
        <f t="shared" si="190"/>
        <v>Pass</v>
      </c>
      <c r="DG256" s="299">
        <f t="shared" si="191"/>
        <v>1.3946191296814232</v>
      </c>
      <c r="DH256" s="293" t="str">
        <f t="shared" si="192"/>
        <v>Pass</v>
      </c>
    </row>
    <row r="257" spans="1:112" ht="15" thickTop="1" thickBot="1">
      <c r="A257" s="38" t="s">
        <v>624</v>
      </c>
      <c r="B257" s="38" t="s">
        <v>625</v>
      </c>
      <c r="C257" s="38" t="s">
        <v>624</v>
      </c>
      <c r="D257" s="38" t="s">
        <v>128</v>
      </c>
      <c r="E257" s="38" t="str">
        <f>VLOOKUP(C257,PoliticalControl!A:K,11,FALSE)</f>
        <v>LAB</v>
      </c>
      <c r="F257" s="38" t="str">
        <f>VLOOKUP(C257,UrbanRuralClassification!A:N,13,FALSE)</f>
        <v>Urban with City and Town</v>
      </c>
      <c r="G257" s="38" t="str">
        <f>VLOOKUP(C257,UrbanRuralClassification!A:N,14,FALSE)</f>
        <v>Predominantly Urban</v>
      </c>
      <c r="H257" s="258">
        <f>IF(ISBLANK((VLOOKUP($A257,'local-plan-data'!$C$1:$AD$566,27,FALSE)))=TRUE,"",VLOOKUP($A257,'local-plan-data'!$C$1:$AD$566,27,FALSE))</f>
        <v>43607</v>
      </c>
      <c r="I257" s="259">
        <f>VLOOKUP($A257,'local-plan-data'!$C$1:$AD$566,28,FALSE)</f>
        <v>380</v>
      </c>
      <c r="J257" s="260">
        <f t="shared" si="170"/>
        <v>380</v>
      </c>
      <c r="K257" s="259">
        <f t="shared" si="193"/>
        <v>380</v>
      </c>
      <c r="L257" s="259">
        <f t="shared" si="197"/>
        <v>380</v>
      </c>
      <c r="M257" s="259">
        <f t="shared" si="197"/>
        <v>380</v>
      </c>
      <c r="N257" s="259">
        <f t="shared" si="197"/>
        <v>380</v>
      </c>
      <c r="O257" s="259">
        <f t="shared" si="197"/>
        <v>380</v>
      </c>
      <c r="P257" s="259">
        <f t="shared" si="197"/>
        <v>380</v>
      </c>
      <c r="Q257" s="259">
        <f t="shared" si="197"/>
        <v>380</v>
      </c>
      <c r="R257" s="259" t="str">
        <f t="shared" si="197"/>
        <v>-</v>
      </c>
      <c r="S257" s="259">
        <f t="shared" si="194"/>
        <v>2243</v>
      </c>
      <c r="T257" s="259">
        <f t="shared" si="198"/>
        <v>1878</v>
      </c>
      <c r="U257" s="259">
        <f t="shared" si="198"/>
        <v>1512</v>
      </c>
      <c r="V257" s="259">
        <f t="shared" si="198"/>
        <v>1147</v>
      </c>
      <c r="W257" s="259">
        <f t="shared" si="198"/>
        <v>782</v>
      </c>
      <c r="X257" s="259">
        <f t="shared" si="198"/>
        <v>417</v>
      </c>
      <c r="Y257" s="259">
        <f t="shared" si="198"/>
        <v>51</v>
      </c>
      <c r="Z257" s="259">
        <f t="shared" si="198"/>
        <v>-314</v>
      </c>
      <c r="AA257" s="267">
        <f>(VLOOKUP(A257,Hshldprojections2014!$A$2:$AW$319,40, FALSE)-VLOOKUP(A257,Hshldprojections2014!$A$2:$AW$319,30, FALSE))/10</f>
        <v>363.4</v>
      </c>
      <c r="AB257" s="267">
        <f>(VLOOKUP(A257,Hshldprojections2014!$A$2:$AW$319,41, FALSE)-VLOOKUP(A257,Hshldprojections2014!$A$2:$AW$319,31, FALSE))/10</f>
        <v>362.6</v>
      </c>
      <c r="AC257" s="267">
        <f>(VLOOKUP(A257,Hshldprojections2014!$A$2:$AW$319,42, FALSE)-VLOOKUP(A257,Hshldprojections2014!$A$2:$AW$319,32, FALSE))/10</f>
        <v>362</v>
      </c>
      <c r="AD257" s="267">
        <f>IF(IndividualLATest!$J$7=2014,(VLOOKUP($A257,Hshldprojections2014!$A$2:$AY$326,43,FALSE)-VLOOKUP($A257,Hshldprojections2014!$A$2:$AY$326,33,FALSE))/10,IF(IndividualLATest!$J$7=2016,(VLOOKUP($A257,Hshldprojections2016!$A$1:$AQ$322,33,FALSE)-VLOOKUP($A257,Hshldprojections2016!$A$1:$AQ$322,23,FALSE))/10,(VLOOKUP($A257,Hshldprojections2018!$A$1:$AQ$327,33,FALSE)-VLOOKUP($A257,Hshldprojections2018!$A$1:$AQ$327,23,FALSE))/10))</f>
        <v>129.19999999999999</v>
      </c>
      <c r="AE257" s="267">
        <f>IF(IndividualLATest!$J$7=2014,(VLOOKUP($A257,Hshldprojections2014!$A$2:$AY$326,44,FALSE)-VLOOKUP($A257,Hshldprojections2014!$A$2:$AY$326,34,FALSE))/10,IF(IndividualLATest!$J$7=2016,(VLOOKUP($A257,Hshldprojections2016!$A$1:$AQ$322,34,FALSE)-VLOOKUP($A257,Hshldprojections2016!$A$1:$AQ$322,24,FALSE))/10,(VLOOKUP($A257,Hshldprojections2018!$A$1:$AQ$327,34,FALSE)-VLOOKUP($A257,Hshldprojections2018!$A$1:$AQ$327,24,FALSE))/10))</f>
        <v>132.80000000000001</v>
      </c>
      <c r="AF257" s="267">
        <f>IF(IndividualLATest!$J$7=2014,(VLOOKUP($A257,Hshldprojections2014!$A$2:$AY$326,45,FALSE)-VLOOKUP($A257,Hshldprojections2014!$A$2:$AY$326,35,FALSE))/10,IF(IndividualLATest!$J$7=2016,(VLOOKUP($A257,Hshldprojections2016!$A$1:$AQ$322,35,FALSE)-VLOOKUP($A257,Hshldprojections2016!$A$1:$AQ$322,25,FALSE))/10,(VLOOKUP($A257,Hshldprojections2018!$A$1:$AQ$327,35,FALSE)-VLOOKUP($A257,Hshldprojections2018!$A$1:$AQ$327,25,FALSE))/10))</f>
        <v>136.30000000000001</v>
      </c>
      <c r="AG257" s="267">
        <f>IF(IndividualLATest!$J$7=2014,(VLOOKUP($A257,Hshldprojections2014!$A$2:$AY$326,46,FALSE)-VLOOKUP($A257,Hshldprojections2014!$A$2:$AY$326,36,FALSE))/10,IF(IndividualLATest!$J$7=2016,(VLOOKUP($A257,Hshldprojections2016!$A$1:$AQ$322,36,FALSE)-VLOOKUP($A257,Hshldprojections2016!$A$1:$AQ$322,26,FALSE))/10,(VLOOKUP($A257,Hshldprojections2018!$A$1:$AQ$327,36,FALSE)-VLOOKUP($A257,Hshldprojections2018!$A$1:$AQ$327,26,FALSE))/10))</f>
        <v>140.6</v>
      </c>
      <c r="AH257" s="267">
        <f>IF(IndividualLATest!$J$7=2014,(VLOOKUP($A257,Hshldprojections2014!$A$2:$AY$326,47,FALSE)-VLOOKUP($A257,Hshldprojections2014!$A$2:$AY$326,37,FALSE))/10,IF(IndividualLATest!$J$7=2016,(VLOOKUP($A257,Hshldprojections2016!$A$1:$AQ$322,37,FALSE)-VLOOKUP($A257,Hshldprojections2016!$A$1:$AQ$322,27,FALSE))/10,(VLOOKUP($A257,Hshldprojections2018!$A$1:$AQ$327,37,FALSE)-VLOOKUP($A257,Hshldprojections2018!$A$1:$AQ$327,27,FALSE))/10))</f>
        <v>144.69999999999999</v>
      </c>
      <c r="AI257" s="268">
        <f>IF(ISNUMBER('Sensitivity Tests'!$C$30),'Sensitivity Tests'!$C$30,VLOOKUP($A257,AffordabilityRatio!$A$2:$I$321,5,FALSE))</f>
        <v>7.61</v>
      </c>
      <c r="AJ257" s="268">
        <f>IF(ISNUMBER('Sensitivity Tests'!$C$30),'Sensitivity Tests'!$C$30,VLOOKUP($A257,AffordabilityRatio!$A$2:$I$321,6,FALSE))</f>
        <v>8.1999999999999993</v>
      </c>
      <c r="AK257" s="268">
        <f>IF(ISNUMBER('Sensitivity Tests'!$C$30),'Sensitivity Tests'!$C$30,VLOOKUP($A257,AffordabilityRatio!$A$2:$I$321,7,FALSE))</f>
        <v>7.62</v>
      </c>
      <c r="AL257" s="268">
        <f>IF(ISNUMBER('Sensitivity Tests'!$C$30),'Sensitivity Tests'!$C$30,IF((VLOOKUP($A257,AffordabilityRatio!$A$2:$I$321,8,FALSE))="",AK257,VLOOKUP($A257,AffordabilityRatio!$A$2:$I$321,8,FALSE)))</f>
        <v>7.71</v>
      </c>
      <c r="AM257" s="268">
        <f>IF(ISNUMBER('Sensitivity Tests'!$C$30),'Sensitivity Tests'!$C$30,IF((VLOOKUP($A257,AffordabilityRatio!$A$2:$I$321,9,FALSE))="",AL257,VLOOKUP($A257,AffordabilityRatio!$A$2:$I$321,9,FALSE)))</f>
        <v>8.2899999999999991</v>
      </c>
      <c r="AN257" s="268">
        <f>IF(ISNUMBER('Sensitivity Tests'!$C$30),'Sensitivity Tests'!$C$30,IF((VLOOKUP($A257,AffordabilityRatio!$A$2:$I$321,9,FALSE))="",AM257,VLOOKUP($A257,AffordabilityRatio!$A$2:$I$321,9,FALSE)))</f>
        <v>8.2899999999999991</v>
      </c>
      <c r="AO257" s="268">
        <f>IF(ISNUMBER('Sensitivity Tests'!$C$30),'Sensitivity Tests'!$C$30,IF((VLOOKUP($A257,AffordabilityRatio!$A$2:$I$321,9,FALSE))="",AN257,VLOOKUP($A257,AffordabilityRatio!$A$2:$I$321,9,FALSE)))</f>
        <v>8.2899999999999991</v>
      </c>
      <c r="AP257" s="268">
        <f>IF(ISNUMBER('Sensitivity Tests'!$C$30),'Sensitivity Tests'!$C$30,IF((VLOOKUP($A257,AffordabilityRatio!$A$2:$I$321,9,FALSE))="",AO257,VLOOKUP($A257,AffordabilityRatio!$A$2:$I$321,9,FALSE)))</f>
        <v>8.2899999999999991</v>
      </c>
      <c r="AQ257" s="267">
        <f t="shared" si="199"/>
        <v>445</v>
      </c>
      <c r="AR257" s="267">
        <f t="shared" si="199"/>
        <v>458</v>
      </c>
      <c r="AS257" s="267">
        <f t="shared" si="199"/>
        <v>444</v>
      </c>
      <c r="AT257" s="267">
        <f t="shared" si="199"/>
        <v>159</v>
      </c>
      <c r="AU257" s="267">
        <f t="shared" si="199"/>
        <v>168</v>
      </c>
      <c r="AV257" s="267">
        <f t="shared" si="199"/>
        <v>173</v>
      </c>
      <c r="AW257" s="267">
        <f t="shared" si="199"/>
        <v>178</v>
      </c>
      <c r="AX257" s="267">
        <f t="shared" si="199"/>
        <v>183</v>
      </c>
      <c r="AY257" s="267">
        <f t="shared" si="171"/>
        <v>445</v>
      </c>
      <c r="AZ257" s="267">
        <f t="shared" si="172"/>
        <v>458</v>
      </c>
      <c r="BA257" s="267">
        <f t="shared" si="173"/>
        <v>444</v>
      </c>
      <c r="BB257" s="267">
        <f t="shared" si="174"/>
        <v>159</v>
      </c>
      <c r="BC257" s="267">
        <f t="shared" si="175"/>
        <v>168</v>
      </c>
      <c r="BD257" s="267">
        <f t="shared" si="176"/>
        <v>173</v>
      </c>
      <c r="BE257" s="267">
        <f t="shared" si="177"/>
        <v>178</v>
      </c>
      <c r="BF257" s="267">
        <f t="shared" si="178"/>
        <v>183</v>
      </c>
      <c r="BG257" s="269">
        <f>AY257*VLOOKUP($B257,'Major Cities &amp; Towns'!$A$28:$B$345,2,FALSE)</f>
        <v>445</v>
      </c>
      <c r="BH257" s="269">
        <f>AZ257*VLOOKUP($B257,'Major Cities &amp; Towns'!$A$28:$B$345,2,FALSE)</f>
        <v>458</v>
      </c>
      <c r="BI257" s="269">
        <f>BA257*VLOOKUP($B257,'Major Cities &amp; Towns'!$A$28:$B$345,2,FALSE)</f>
        <v>444</v>
      </c>
      <c r="BJ257" s="269">
        <f>BB257*VLOOKUP($B257,'Major Cities &amp; Towns'!$A$28:$B$345,2,FALSE)</f>
        <v>159</v>
      </c>
      <c r="BK257" s="269">
        <f>BC257*VLOOKUP($B257,'Major Cities &amp; Towns'!$A$28:$B$345,2,FALSE)</f>
        <v>168</v>
      </c>
      <c r="BL257" s="269">
        <f>BD257*VLOOKUP($B257,'Major Cities &amp; Towns'!$A$28:$B$345,2,FALSE)</f>
        <v>173</v>
      </c>
      <c r="BM257" s="269">
        <f>BE257*VLOOKUP($B257,'Major Cities &amp; Towns'!$A$28:$B$345,2,FALSE)</f>
        <v>178</v>
      </c>
      <c r="BN257" s="269">
        <f>BF257*VLOOKUP($B257,'Major Cities &amp; Towns'!$A$28:$B$345,2,FALSE)</f>
        <v>183</v>
      </c>
      <c r="BO257" s="270">
        <f t="shared" si="179"/>
        <v>380</v>
      </c>
      <c r="BP257" s="270">
        <f t="shared" si="201"/>
        <v>380</v>
      </c>
      <c r="BQ257" s="270">
        <f t="shared" si="201"/>
        <v>380</v>
      </c>
      <c r="BR257" s="270">
        <f t="shared" si="201"/>
        <v>159</v>
      </c>
      <c r="BS257" s="270">
        <f t="shared" si="200"/>
        <v>168</v>
      </c>
      <c r="BT257" s="270">
        <f t="shared" si="200"/>
        <v>173</v>
      </c>
      <c r="BU257" s="270">
        <f t="shared" si="200"/>
        <v>178</v>
      </c>
      <c r="BV257" s="270">
        <f t="shared" si="200"/>
        <v>183</v>
      </c>
      <c r="BW257" s="39">
        <f>VLOOKUP($A257,NetAdditions!$A$2:$H$336,6,FALSE)</f>
        <v>285</v>
      </c>
      <c r="BX257" s="39">
        <f>VLOOKUP($A257,NetAdditions!$A$2:$H$336,7,FALSE)</f>
        <v>321</v>
      </c>
      <c r="BY257" s="39">
        <f>IF((VLOOKUP($C257,NetAdditions!$A$2:$H$336,8,FALSE))="",(AVERAGE(VLOOKUP($C257,NetAdditions!$A$2:$H$336,5,FALSE),VLOOKUP($C257,NetAdditions!$A$2:$H$336,6,FALSE),VLOOKUP($C257,NetAdditions!$A$2:$H$336,7,FALSE))),VLOOKUP($C257,NetAdditions!$A$2:$H$336,8,FALSE))</f>
        <v>141</v>
      </c>
      <c r="BZ257" s="39">
        <f t="shared" si="196"/>
        <v>249</v>
      </c>
      <c r="CA257" s="39">
        <f t="shared" si="196"/>
        <v>237</v>
      </c>
      <c r="CB257" s="39">
        <f t="shared" si="196"/>
        <v>209</v>
      </c>
      <c r="CC257" s="39">
        <f t="shared" si="196"/>
        <v>231.66666666666666</v>
      </c>
      <c r="CD257" s="39">
        <f t="shared" si="196"/>
        <v>225.88888888888889</v>
      </c>
      <c r="CE257" s="276">
        <f t="shared" si="155"/>
        <v>1140</v>
      </c>
      <c r="CF257" s="276">
        <f t="shared" si="156"/>
        <v>919</v>
      </c>
      <c r="CG257" s="276">
        <f t="shared" si="157"/>
        <v>707</v>
      </c>
      <c r="CH257" s="276">
        <f t="shared" si="158"/>
        <v>500</v>
      </c>
      <c r="CI257" s="276">
        <f t="shared" si="159"/>
        <v>519</v>
      </c>
      <c r="CJ257" s="276">
        <f t="shared" si="160"/>
        <v>534</v>
      </c>
      <c r="CK257" s="276">
        <f t="shared" si="180"/>
        <v>981.66666666666674</v>
      </c>
      <c r="CL257" s="276">
        <f t="shared" si="181"/>
        <v>791.3611111111112</v>
      </c>
      <c r="CM257" s="276">
        <f t="shared" si="182"/>
        <v>648.08333333333326</v>
      </c>
      <c r="CN257" s="276">
        <f t="shared" si="183"/>
        <v>500</v>
      </c>
      <c r="CO257" s="276">
        <f t="shared" si="183"/>
        <v>519</v>
      </c>
      <c r="CP257" s="276">
        <f t="shared" si="183"/>
        <v>534</v>
      </c>
      <c r="CQ257" s="39">
        <f t="shared" si="161"/>
        <v>747</v>
      </c>
      <c r="CR257" s="39">
        <f t="shared" si="162"/>
        <v>711</v>
      </c>
      <c r="CS257" s="277">
        <f t="shared" si="163"/>
        <v>627</v>
      </c>
      <c r="CT257" s="39">
        <f t="shared" si="164"/>
        <v>695</v>
      </c>
      <c r="CU257" s="39">
        <f t="shared" si="165"/>
        <v>677.66666666666663</v>
      </c>
      <c r="CV257" s="39">
        <f t="shared" si="166"/>
        <v>666.55555555555554</v>
      </c>
      <c r="CW257" s="297">
        <f t="shared" si="167"/>
        <v>0.76095076400679107</v>
      </c>
      <c r="CX257" s="279" t="str">
        <f t="shared" si="184"/>
        <v>Buffer and Action Plan</v>
      </c>
      <c r="CY257" s="278">
        <f t="shared" si="168"/>
        <v>0.89845203411843155</v>
      </c>
      <c r="CZ257" s="279" t="str">
        <f t="shared" si="185"/>
        <v>Action Plan</v>
      </c>
      <c r="DA257" s="278">
        <f t="shared" si="169"/>
        <v>0.96746817538896757</v>
      </c>
      <c r="DB257" s="292" t="str">
        <f t="shared" si="186"/>
        <v>Pass</v>
      </c>
      <c r="DC257" s="299">
        <f t="shared" si="187"/>
        <v>1.39</v>
      </c>
      <c r="DD257" s="293" t="str">
        <f t="shared" si="188"/>
        <v>Pass</v>
      </c>
      <c r="DE257" s="299">
        <f t="shared" si="189"/>
        <v>1.3057161207450223</v>
      </c>
      <c r="DF257" s="293" t="str">
        <f t="shared" si="190"/>
        <v>Pass</v>
      </c>
      <c r="DG257" s="299">
        <f t="shared" si="191"/>
        <v>1.2482313774448606</v>
      </c>
      <c r="DH257" s="293" t="str">
        <f t="shared" si="192"/>
        <v>Pass</v>
      </c>
    </row>
    <row r="258" spans="1:112" ht="15" thickTop="1" thickBot="1">
      <c r="A258" s="38" t="s">
        <v>626</v>
      </c>
      <c r="B258" s="38" t="s">
        <v>627</v>
      </c>
      <c r="C258" s="38" t="s">
        <v>626</v>
      </c>
      <c r="D258" s="38" t="s">
        <v>116</v>
      </c>
      <c r="E258" s="38" t="str">
        <f>VLOOKUP(C258,PoliticalControl!A:K,11,FALSE)</f>
        <v>NOC</v>
      </c>
      <c r="F258" s="38" t="str">
        <f>VLOOKUP(C258,UrbanRuralClassification!A:N,13,FALSE)</f>
        <v>Urban with Major Conurbation</v>
      </c>
      <c r="G258" s="38" t="str">
        <f>VLOOKUP(C258,UrbanRuralClassification!A:N,14,FALSE)</f>
        <v>Predominantly Urban</v>
      </c>
      <c r="H258" s="258">
        <f>IF(ISBLANK((VLOOKUP($A258,'local-plan-data'!$C$1:$AD$566,27,FALSE)))=TRUE,"",VLOOKUP($A258,'local-plan-data'!$C$1:$AD$566,27,FALSE))</f>
        <v>40619</v>
      </c>
      <c r="I258" s="259">
        <f>VLOOKUP($A258,'local-plan-data'!$C$1:$AD$566,28,FALSE)</f>
        <v>480</v>
      </c>
      <c r="J258" s="260">
        <f t="shared" si="170"/>
        <v>480</v>
      </c>
      <c r="K258" s="259" t="str">
        <f t="shared" si="193"/>
        <v>-</v>
      </c>
      <c r="L258" s="259" t="str">
        <f t="shared" si="197"/>
        <v>-</v>
      </c>
      <c r="M258" s="259" t="str">
        <f t="shared" si="197"/>
        <v>-</v>
      </c>
      <c r="N258" s="259" t="str">
        <f t="shared" si="197"/>
        <v>-</v>
      </c>
      <c r="O258" s="259" t="str">
        <f t="shared" si="197"/>
        <v>-</v>
      </c>
      <c r="P258" s="259" t="str">
        <f t="shared" si="197"/>
        <v>-</v>
      </c>
      <c r="Q258" s="259" t="str">
        <f t="shared" si="197"/>
        <v>-</v>
      </c>
      <c r="R258" s="259" t="str">
        <f t="shared" si="197"/>
        <v>-</v>
      </c>
      <c r="S258" s="259">
        <f t="shared" si="194"/>
        <v>-745</v>
      </c>
      <c r="T258" s="259">
        <f t="shared" si="198"/>
        <v>-1110</v>
      </c>
      <c r="U258" s="259">
        <f t="shared" si="198"/>
        <v>-1476</v>
      </c>
      <c r="V258" s="259">
        <f t="shared" si="198"/>
        <v>-1841</v>
      </c>
      <c r="W258" s="259">
        <f t="shared" si="198"/>
        <v>-2206</v>
      </c>
      <c r="X258" s="259">
        <f t="shared" si="198"/>
        <v>-2571</v>
      </c>
      <c r="Y258" s="259">
        <f t="shared" si="198"/>
        <v>-2937</v>
      </c>
      <c r="Z258" s="259">
        <f t="shared" si="198"/>
        <v>-3302</v>
      </c>
      <c r="AA258" s="267">
        <f>(VLOOKUP(A258,Hshldprojections2014!$A$2:$AW$319,40, FALSE)-VLOOKUP(A258,Hshldprojections2014!$A$2:$AW$319,30, FALSE))/10</f>
        <v>889.5</v>
      </c>
      <c r="AB258" s="267">
        <f>(VLOOKUP(A258,Hshldprojections2014!$A$2:$AW$319,41, FALSE)-VLOOKUP(A258,Hshldprojections2014!$A$2:$AW$319,31, FALSE))/10</f>
        <v>882</v>
      </c>
      <c r="AC258" s="267">
        <f>(VLOOKUP(A258,Hshldprojections2014!$A$2:$AW$319,42, FALSE)-VLOOKUP(A258,Hshldprojections2014!$A$2:$AW$319,32, FALSE))/10</f>
        <v>874.2</v>
      </c>
      <c r="AD258" s="267">
        <f>IF(IndividualLATest!$J$7=2014,(VLOOKUP($A258,Hshldprojections2014!$A$2:$AY$326,43,FALSE)-VLOOKUP($A258,Hshldprojections2014!$A$2:$AY$326,33,FALSE))/10,IF(IndividualLATest!$J$7=2016,(VLOOKUP($A258,Hshldprojections2016!$A$1:$AQ$322,33,FALSE)-VLOOKUP($A258,Hshldprojections2016!$A$1:$AQ$322,23,FALSE))/10,(VLOOKUP($A258,Hshldprojections2018!$A$1:$AQ$327,33,FALSE)-VLOOKUP($A258,Hshldprojections2018!$A$1:$AQ$327,23,FALSE))/10))</f>
        <v>630.79999999999995</v>
      </c>
      <c r="AE258" s="267">
        <f>IF(IndividualLATest!$J$7=2014,(VLOOKUP($A258,Hshldprojections2014!$A$2:$AY$326,44,FALSE)-VLOOKUP($A258,Hshldprojections2014!$A$2:$AY$326,34,FALSE))/10,IF(IndividualLATest!$J$7=2016,(VLOOKUP($A258,Hshldprojections2016!$A$1:$AQ$322,34,FALSE)-VLOOKUP($A258,Hshldprojections2016!$A$1:$AQ$322,24,FALSE))/10,(VLOOKUP($A258,Hshldprojections2018!$A$1:$AQ$327,34,FALSE)-VLOOKUP($A258,Hshldprojections2018!$A$1:$AQ$327,24,FALSE))/10))</f>
        <v>624.29999999999995</v>
      </c>
      <c r="AF258" s="267">
        <f>IF(IndividualLATest!$J$7=2014,(VLOOKUP($A258,Hshldprojections2014!$A$2:$AY$326,45,FALSE)-VLOOKUP($A258,Hshldprojections2014!$A$2:$AY$326,35,FALSE))/10,IF(IndividualLATest!$J$7=2016,(VLOOKUP($A258,Hshldprojections2016!$A$1:$AQ$322,35,FALSE)-VLOOKUP($A258,Hshldprojections2016!$A$1:$AQ$322,25,FALSE))/10,(VLOOKUP($A258,Hshldprojections2018!$A$1:$AQ$327,35,FALSE)-VLOOKUP($A258,Hshldprojections2018!$A$1:$AQ$327,25,FALSE))/10))</f>
        <v>626.20000000000005</v>
      </c>
      <c r="AG258" s="267">
        <f>IF(IndividualLATest!$J$7=2014,(VLOOKUP($A258,Hshldprojections2014!$A$2:$AY$326,46,FALSE)-VLOOKUP($A258,Hshldprojections2014!$A$2:$AY$326,36,FALSE))/10,IF(IndividualLATest!$J$7=2016,(VLOOKUP($A258,Hshldprojections2016!$A$1:$AQ$322,36,FALSE)-VLOOKUP($A258,Hshldprojections2016!$A$1:$AQ$322,26,FALSE))/10,(VLOOKUP($A258,Hshldprojections2018!$A$1:$AQ$327,36,FALSE)-VLOOKUP($A258,Hshldprojections2018!$A$1:$AQ$327,26,FALSE))/10))</f>
        <v>626.70000000000005</v>
      </c>
      <c r="AH258" s="267">
        <f>IF(IndividualLATest!$J$7=2014,(VLOOKUP($A258,Hshldprojections2014!$A$2:$AY$326,47,FALSE)-VLOOKUP($A258,Hshldprojections2014!$A$2:$AY$326,37,FALSE))/10,IF(IndividualLATest!$J$7=2016,(VLOOKUP($A258,Hshldprojections2016!$A$1:$AQ$322,37,FALSE)-VLOOKUP($A258,Hshldprojections2016!$A$1:$AQ$322,27,FALSE))/10,(VLOOKUP($A258,Hshldprojections2018!$A$1:$AQ$327,37,FALSE)-VLOOKUP($A258,Hshldprojections2018!$A$1:$AQ$327,27,FALSE))/10))</f>
        <v>631.70000000000005</v>
      </c>
      <c r="AI258" s="268">
        <f>IF(ISNUMBER('Sensitivity Tests'!$C$30),'Sensitivity Tests'!$C$30,VLOOKUP($A258,AffordabilityRatio!$A$2:$I$321,5,FALSE))</f>
        <v>7.55</v>
      </c>
      <c r="AJ258" s="268">
        <f>IF(ISNUMBER('Sensitivity Tests'!$C$30),'Sensitivity Tests'!$C$30,VLOOKUP($A258,AffordabilityRatio!$A$2:$I$321,6,FALSE))</f>
        <v>7.99</v>
      </c>
      <c r="AK258" s="268">
        <f>IF(ISNUMBER('Sensitivity Tests'!$C$30),'Sensitivity Tests'!$C$30,VLOOKUP($A258,AffordabilityRatio!$A$2:$I$321,7,FALSE))</f>
        <v>7.74</v>
      </c>
      <c r="AL258" s="268">
        <f>IF(ISNUMBER('Sensitivity Tests'!$C$30),'Sensitivity Tests'!$C$30,IF((VLOOKUP($A258,AffordabilityRatio!$A$2:$I$321,8,FALSE))="",AK258,VLOOKUP($A258,AffordabilityRatio!$A$2:$I$321,8,FALSE)))</f>
        <v>8.07</v>
      </c>
      <c r="AM258" s="268">
        <f>IF(ISNUMBER('Sensitivity Tests'!$C$30),'Sensitivity Tests'!$C$30,IF((VLOOKUP($A258,AffordabilityRatio!$A$2:$I$321,9,FALSE))="",AL258,VLOOKUP($A258,AffordabilityRatio!$A$2:$I$321,9,FALSE)))</f>
        <v>10.01</v>
      </c>
      <c r="AN258" s="268">
        <f>IF(ISNUMBER('Sensitivity Tests'!$C$30),'Sensitivity Tests'!$C$30,IF((VLOOKUP($A258,AffordabilityRatio!$A$2:$I$321,9,FALSE))="",AM258,VLOOKUP($A258,AffordabilityRatio!$A$2:$I$321,9,FALSE)))</f>
        <v>10.01</v>
      </c>
      <c r="AO258" s="268">
        <f>IF(ISNUMBER('Sensitivity Tests'!$C$30),'Sensitivity Tests'!$C$30,IF((VLOOKUP($A258,AffordabilityRatio!$A$2:$I$321,9,FALSE))="",AN258,VLOOKUP($A258,AffordabilityRatio!$A$2:$I$321,9,FALSE)))</f>
        <v>10.01</v>
      </c>
      <c r="AP258" s="268">
        <f>IF(ISNUMBER('Sensitivity Tests'!$C$30),'Sensitivity Tests'!$C$30,IF((VLOOKUP($A258,AffordabilityRatio!$A$2:$I$321,9,FALSE))="",AO258,VLOOKUP($A258,AffordabilityRatio!$A$2:$I$321,9,FALSE)))</f>
        <v>10.01</v>
      </c>
      <c r="AQ258" s="267">
        <f t="shared" si="199"/>
        <v>1087</v>
      </c>
      <c r="AR258" s="267">
        <f t="shared" si="199"/>
        <v>1102</v>
      </c>
      <c r="AS258" s="267">
        <f t="shared" si="199"/>
        <v>1079</v>
      </c>
      <c r="AT258" s="267">
        <f t="shared" si="199"/>
        <v>791</v>
      </c>
      <c r="AU258" s="267">
        <f t="shared" si="199"/>
        <v>859</v>
      </c>
      <c r="AV258" s="267">
        <f t="shared" si="199"/>
        <v>861</v>
      </c>
      <c r="AW258" s="267">
        <f t="shared" si="199"/>
        <v>862</v>
      </c>
      <c r="AX258" s="267">
        <f t="shared" si="199"/>
        <v>869</v>
      </c>
      <c r="AY258" s="267">
        <f t="shared" si="171"/>
        <v>1087</v>
      </c>
      <c r="AZ258" s="267">
        <f t="shared" si="172"/>
        <v>1102</v>
      </c>
      <c r="BA258" s="267">
        <f t="shared" si="173"/>
        <v>1079</v>
      </c>
      <c r="BB258" s="267">
        <f t="shared" si="174"/>
        <v>791</v>
      </c>
      <c r="BC258" s="267">
        <f t="shared" si="175"/>
        <v>859</v>
      </c>
      <c r="BD258" s="267">
        <f t="shared" si="176"/>
        <v>861</v>
      </c>
      <c r="BE258" s="267">
        <f t="shared" si="177"/>
        <v>862</v>
      </c>
      <c r="BF258" s="267">
        <f t="shared" si="178"/>
        <v>869</v>
      </c>
      <c r="BG258" s="269">
        <f>AY258*VLOOKUP($B258,'Major Cities &amp; Towns'!$A$28:$B$345,2,FALSE)</f>
        <v>1087</v>
      </c>
      <c r="BH258" s="269">
        <f>AZ258*VLOOKUP($B258,'Major Cities &amp; Towns'!$A$28:$B$345,2,FALSE)</f>
        <v>1102</v>
      </c>
      <c r="BI258" s="269">
        <f>BA258*VLOOKUP($B258,'Major Cities &amp; Towns'!$A$28:$B$345,2,FALSE)</f>
        <v>1079</v>
      </c>
      <c r="BJ258" s="269">
        <f>BB258*VLOOKUP($B258,'Major Cities &amp; Towns'!$A$28:$B$345,2,FALSE)</f>
        <v>791</v>
      </c>
      <c r="BK258" s="269">
        <f>BC258*VLOOKUP($B258,'Major Cities &amp; Towns'!$A$28:$B$345,2,FALSE)</f>
        <v>859</v>
      </c>
      <c r="BL258" s="269">
        <f>BD258*VLOOKUP($B258,'Major Cities &amp; Towns'!$A$28:$B$345,2,FALSE)</f>
        <v>861</v>
      </c>
      <c r="BM258" s="269">
        <f>BE258*VLOOKUP($B258,'Major Cities &amp; Towns'!$A$28:$B$345,2,FALSE)</f>
        <v>862</v>
      </c>
      <c r="BN258" s="269">
        <f>BF258*VLOOKUP($B258,'Major Cities &amp; Towns'!$A$28:$B$345,2,FALSE)</f>
        <v>869</v>
      </c>
      <c r="BO258" s="270">
        <f t="shared" si="179"/>
        <v>1087</v>
      </c>
      <c r="BP258" s="270">
        <f t="shared" si="201"/>
        <v>1102</v>
      </c>
      <c r="BQ258" s="270">
        <f t="shared" si="201"/>
        <v>1079</v>
      </c>
      <c r="BR258" s="270">
        <f t="shared" si="201"/>
        <v>791</v>
      </c>
      <c r="BS258" s="270">
        <f t="shared" si="200"/>
        <v>859</v>
      </c>
      <c r="BT258" s="270">
        <f t="shared" si="200"/>
        <v>861</v>
      </c>
      <c r="BU258" s="270">
        <f t="shared" si="200"/>
        <v>862</v>
      </c>
      <c r="BV258" s="270">
        <f t="shared" si="200"/>
        <v>869</v>
      </c>
      <c r="BW258" s="39">
        <f>VLOOKUP($A258,NetAdditions!$A$2:$H$336,6,FALSE)</f>
        <v>729</v>
      </c>
      <c r="BX258" s="39">
        <f>VLOOKUP($A258,NetAdditions!$A$2:$H$336,7,FALSE)</f>
        <v>1299</v>
      </c>
      <c r="BY258" s="39">
        <f>IF((VLOOKUP($C258,NetAdditions!$A$2:$H$336,8,FALSE))="",(AVERAGE(VLOOKUP($C258,NetAdditions!$A$2:$H$336,5,FALSE),VLOOKUP($C258,NetAdditions!$A$2:$H$336,6,FALSE),VLOOKUP($C258,NetAdditions!$A$2:$H$336,7,FALSE))),VLOOKUP($C258,NetAdditions!$A$2:$H$336,8,FALSE))</f>
        <v>551</v>
      </c>
      <c r="BZ258" s="39">
        <f t="shared" si="196"/>
        <v>859.66666666666663</v>
      </c>
      <c r="CA258" s="39">
        <f t="shared" si="196"/>
        <v>903.22222222222217</v>
      </c>
      <c r="CB258" s="39">
        <f t="shared" si="196"/>
        <v>771.29629629629619</v>
      </c>
      <c r="CC258" s="39">
        <f t="shared" si="196"/>
        <v>844.72839506172829</v>
      </c>
      <c r="CD258" s="39">
        <f t="shared" si="196"/>
        <v>839.74897119341551</v>
      </c>
      <c r="CE258" s="276">
        <f t="shared" si="155"/>
        <v>3268</v>
      </c>
      <c r="CF258" s="276">
        <f t="shared" si="156"/>
        <v>2972</v>
      </c>
      <c r="CG258" s="276">
        <f t="shared" si="157"/>
        <v>2729</v>
      </c>
      <c r="CH258" s="276">
        <f t="shared" si="158"/>
        <v>2511</v>
      </c>
      <c r="CI258" s="276">
        <f t="shared" si="159"/>
        <v>2582</v>
      </c>
      <c r="CJ258" s="276">
        <f t="shared" si="160"/>
        <v>2592</v>
      </c>
      <c r="CK258" s="276">
        <f t="shared" si="180"/>
        <v>2814.1111111111113</v>
      </c>
      <c r="CL258" s="276">
        <f t="shared" si="181"/>
        <v>2559.2222222222222</v>
      </c>
      <c r="CM258" s="276">
        <f t="shared" si="182"/>
        <v>2501.583333333333</v>
      </c>
      <c r="CN258" s="276">
        <f t="shared" si="183"/>
        <v>2511</v>
      </c>
      <c r="CO258" s="276">
        <f t="shared" si="183"/>
        <v>2582</v>
      </c>
      <c r="CP258" s="276">
        <f t="shared" si="183"/>
        <v>2592</v>
      </c>
      <c r="CQ258" s="39">
        <f t="shared" si="161"/>
        <v>2579</v>
      </c>
      <c r="CR258" s="39">
        <f t="shared" si="162"/>
        <v>2709.6666666666665</v>
      </c>
      <c r="CS258" s="277">
        <f t="shared" si="163"/>
        <v>2313.8888888888887</v>
      </c>
      <c r="CT258" s="39">
        <f t="shared" si="164"/>
        <v>2534.1851851851848</v>
      </c>
      <c r="CU258" s="39">
        <f t="shared" si="165"/>
        <v>2519.2469135802467</v>
      </c>
      <c r="CV258" s="39">
        <f t="shared" si="166"/>
        <v>2455.7736625514399</v>
      </c>
      <c r="CW258" s="297">
        <f t="shared" si="167"/>
        <v>0.91645279740987873</v>
      </c>
      <c r="CX258" s="279" t="str">
        <f t="shared" si="184"/>
        <v>Action Plan</v>
      </c>
      <c r="CY258" s="278">
        <f t="shared" si="168"/>
        <v>1.0587852212043589</v>
      </c>
      <c r="CZ258" s="279" t="str">
        <f t="shared" si="185"/>
        <v>Pass</v>
      </c>
      <c r="DA258" s="278">
        <f t="shared" si="169"/>
        <v>0.92496974138601107</v>
      </c>
      <c r="DB258" s="292" t="str">
        <f t="shared" si="186"/>
        <v>Action Plan</v>
      </c>
      <c r="DC258" s="299">
        <f t="shared" si="187"/>
        <v>1.00923344690768</v>
      </c>
      <c r="DD258" s="293" t="str">
        <f t="shared" si="188"/>
        <v>Pass</v>
      </c>
      <c r="DE258" s="299">
        <f t="shared" si="189"/>
        <v>0.97569593864455717</v>
      </c>
      <c r="DF258" s="293" t="str">
        <f t="shared" si="190"/>
        <v>Pass</v>
      </c>
      <c r="DG258" s="299">
        <f t="shared" si="191"/>
        <v>0.94744354265101849</v>
      </c>
      <c r="DH258" s="293" t="str">
        <f t="shared" si="192"/>
        <v>Action Plan</v>
      </c>
    </row>
    <row r="259" spans="1:112" ht="15" thickTop="1" thickBot="1">
      <c r="A259" s="38" t="s">
        <v>628</v>
      </c>
      <c r="B259" s="38" t="s">
        <v>629</v>
      </c>
      <c r="C259" s="38" t="s">
        <v>628</v>
      </c>
      <c r="D259" s="38" t="s">
        <v>259</v>
      </c>
      <c r="E259" s="38" t="str">
        <f>VLOOKUP(C259,PoliticalControl!A:K,11,FALSE)</f>
        <v>NOC</v>
      </c>
      <c r="F259" s="38" t="str">
        <f>VLOOKUP(C259,UrbanRuralClassification!A:N,13,FALSE)</f>
        <v>Urban with City and Town</v>
      </c>
      <c r="G259" s="38" t="str">
        <f>VLOOKUP(C259,UrbanRuralClassification!A:N,14,FALSE)</f>
        <v>Predominantly Urban</v>
      </c>
      <c r="H259" s="258">
        <f>IF(ISBLANK((VLOOKUP($A259,'local-plan-data'!$C$1:$AD$566,27,FALSE)))=TRUE,"",VLOOKUP($A259,'local-plan-data'!$C$1:$AD$566,27,FALSE))</f>
        <v>43495</v>
      </c>
      <c r="I259" s="259">
        <f>VLOOKUP($A259,'local-plan-data'!$C$1:$AD$566,28,FALSE)</f>
        <v>676.66666666666663</v>
      </c>
      <c r="J259" s="260">
        <f t="shared" si="170"/>
        <v>676.66666666666663</v>
      </c>
      <c r="K259" s="259">
        <f t="shared" si="193"/>
        <v>676.66666666666663</v>
      </c>
      <c r="L259" s="259">
        <f t="shared" si="197"/>
        <v>676.66666666666663</v>
      </c>
      <c r="M259" s="259">
        <f t="shared" si="197"/>
        <v>676.66666666666663</v>
      </c>
      <c r="N259" s="259">
        <f t="shared" si="197"/>
        <v>676.66666666666663</v>
      </c>
      <c r="O259" s="259">
        <f t="shared" si="197"/>
        <v>676.66666666666663</v>
      </c>
      <c r="P259" s="259">
        <f t="shared" si="197"/>
        <v>676.66666666666663</v>
      </c>
      <c r="Q259" s="259" t="str">
        <f t="shared" si="197"/>
        <v>-</v>
      </c>
      <c r="R259" s="259" t="str">
        <f t="shared" si="197"/>
        <v>-</v>
      </c>
      <c r="S259" s="259">
        <f t="shared" si="194"/>
        <v>2130</v>
      </c>
      <c r="T259" s="259">
        <f t="shared" si="198"/>
        <v>1765</v>
      </c>
      <c r="U259" s="259">
        <f t="shared" si="198"/>
        <v>1399</v>
      </c>
      <c r="V259" s="259">
        <f t="shared" si="198"/>
        <v>1034</v>
      </c>
      <c r="W259" s="259">
        <f t="shared" si="198"/>
        <v>669</v>
      </c>
      <c r="X259" s="259">
        <f t="shared" si="198"/>
        <v>304</v>
      </c>
      <c r="Y259" s="259">
        <f t="shared" si="198"/>
        <v>-62</v>
      </c>
      <c r="Z259" s="259">
        <f t="shared" si="198"/>
        <v>-427</v>
      </c>
      <c r="AA259" s="267">
        <f>(VLOOKUP(A259,Hshldprojections2014!$A$2:$AW$319,40, FALSE)-VLOOKUP(A259,Hshldprojections2014!$A$2:$AW$319,30, FALSE))/10</f>
        <v>471.8</v>
      </c>
      <c r="AB259" s="267">
        <f>(VLOOKUP(A259,Hshldprojections2014!$A$2:$AW$319,41, FALSE)-VLOOKUP(A259,Hshldprojections2014!$A$2:$AW$319,31, FALSE))/10</f>
        <v>456.8</v>
      </c>
      <c r="AC259" s="267">
        <f>(VLOOKUP(A259,Hshldprojections2014!$A$2:$AW$319,42, FALSE)-VLOOKUP(A259,Hshldprojections2014!$A$2:$AW$319,32, FALSE))/10</f>
        <v>443.9</v>
      </c>
      <c r="AD259" s="267">
        <f>IF(IndividualLATest!$J$7=2014,(VLOOKUP($A259,Hshldprojections2014!$A$2:$AY$326,43,FALSE)-VLOOKUP($A259,Hshldprojections2014!$A$2:$AY$326,33,FALSE))/10,IF(IndividualLATest!$J$7=2016,(VLOOKUP($A259,Hshldprojections2016!$A$1:$AQ$322,33,FALSE)-VLOOKUP($A259,Hshldprojections2016!$A$1:$AQ$322,23,FALSE))/10,(VLOOKUP($A259,Hshldprojections2018!$A$1:$AQ$327,33,FALSE)-VLOOKUP($A259,Hshldprojections2018!$A$1:$AQ$327,23,FALSE))/10))</f>
        <v>329.4</v>
      </c>
      <c r="AE259" s="267">
        <f>IF(IndividualLATest!$J$7=2014,(VLOOKUP($A259,Hshldprojections2014!$A$2:$AY$326,44,FALSE)-VLOOKUP($A259,Hshldprojections2014!$A$2:$AY$326,34,FALSE))/10,IF(IndividualLATest!$J$7=2016,(VLOOKUP($A259,Hshldprojections2016!$A$1:$AQ$322,34,FALSE)-VLOOKUP($A259,Hshldprojections2016!$A$1:$AQ$322,24,FALSE))/10,(VLOOKUP($A259,Hshldprojections2018!$A$1:$AQ$327,34,FALSE)-VLOOKUP($A259,Hshldprojections2018!$A$1:$AQ$327,24,FALSE))/10))</f>
        <v>322</v>
      </c>
      <c r="AF259" s="267">
        <f>IF(IndividualLATest!$J$7=2014,(VLOOKUP($A259,Hshldprojections2014!$A$2:$AY$326,45,FALSE)-VLOOKUP($A259,Hshldprojections2014!$A$2:$AY$326,35,FALSE))/10,IF(IndividualLATest!$J$7=2016,(VLOOKUP($A259,Hshldprojections2016!$A$1:$AQ$322,35,FALSE)-VLOOKUP($A259,Hshldprojections2016!$A$1:$AQ$322,25,FALSE))/10,(VLOOKUP($A259,Hshldprojections2018!$A$1:$AQ$327,35,FALSE)-VLOOKUP($A259,Hshldprojections2018!$A$1:$AQ$327,25,FALSE))/10))</f>
        <v>319.3</v>
      </c>
      <c r="AG259" s="267">
        <f>IF(IndividualLATest!$J$7=2014,(VLOOKUP($A259,Hshldprojections2014!$A$2:$AY$326,46,FALSE)-VLOOKUP($A259,Hshldprojections2014!$A$2:$AY$326,36,FALSE))/10,IF(IndividualLATest!$J$7=2016,(VLOOKUP($A259,Hshldprojections2016!$A$1:$AQ$322,36,FALSE)-VLOOKUP($A259,Hshldprojections2016!$A$1:$AQ$322,26,FALSE))/10,(VLOOKUP($A259,Hshldprojections2018!$A$1:$AQ$327,36,FALSE)-VLOOKUP($A259,Hshldprojections2018!$A$1:$AQ$327,26,FALSE))/10))</f>
        <v>312.89999999999998</v>
      </c>
      <c r="AH259" s="267">
        <f>IF(IndividualLATest!$J$7=2014,(VLOOKUP($A259,Hshldprojections2014!$A$2:$AY$326,47,FALSE)-VLOOKUP($A259,Hshldprojections2014!$A$2:$AY$326,37,FALSE))/10,IF(IndividualLATest!$J$7=2016,(VLOOKUP($A259,Hshldprojections2016!$A$1:$AQ$322,37,FALSE)-VLOOKUP($A259,Hshldprojections2016!$A$1:$AQ$322,27,FALSE))/10,(VLOOKUP($A259,Hshldprojections2018!$A$1:$AQ$327,37,FALSE)-VLOOKUP($A259,Hshldprojections2018!$A$1:$AQ$327,27,FALSE))/10))</f>
        <v>310.60000000000002</v>
      </c>
      <c r="AI259" s="268">
        <f>IF(ISNUMBER('Sensitivity Tests'!$C$30),'Sensitivity Tests'!$C$30,VLOOKUP($A259,AffordabilityRatio!$A$2:$I$321,5,FALSE))</f>
        <v>5.64</v>
      </c>
      <c r="AJ259" s="268">
        <f>IF(ISNUMBER('Sensitivity Tests'!$C$30),'Sensitivity Tests'!$C$30,VLOOKUP($A259,AffordabilityRatio!$A$2:$I$321,6,FALSE))</f>
        <v>5.5</v>
      </c>
      <c r="AK259" s="268">
        <f>IF(ISNUMBER('Sensitivity Tests'!$C$30),'Sensitivity Tests'!$C$30,VLOOKUP($A259,AffordabilityRatio!$A$2:$I$321,7,FALSE))</f>
        <v>5.04</v>
      </c>
      <c r="AL259" s="268">
        <f>IF(ISNUMBER('Sensitivity Tests'!$C$30),'Sensitivity Tests'!$C$30,IF((VLOOKUP($A259,AffordabilityRatio!$A$2:$I$321,8,FALSE))="",AK259,VLOOKUP($A259,AffordabilityRatio!$A$2:$I$321,8,FALSE)))</f>
        <v>4.91</v>
      </c>
      <c r="AM259" s="268">
        <f>IF(ISNUMBER('Sensitivity Tests'!$C$30),'Sensitivity Tests'!$C$30,IF((VLOOKUP($A259,AffordabilityRatio!$A$2:$I$321,9,FALSE))="",AL259,VLOOKUP($A259,AffordabilityRatio!$A$2:$I$321,9,FALSE)))</f>
        <v>5.35</v>
      </c>
      <c r="AN259" s="268">
        <f>IF(ISNUMBER('Sensitivity Tests'!$C$30),'Sensitivity Tests'!$C$30,IF((VLOOKUP($A259,AffordabilityRatio!$A$2:$I$321,9,FALSE))="",AM259,VLOOKUP($A259,AffordabilityRatio!$A$2:$I$321,9,FALSE)))</f>
        <v>5.35</v>
      </c>
      <c r="AO259" s="268">
        <f>IF(ISNUMBER('Sensitivity Tests'!$C$30),'Sensitivity Tests'!$C$30,IF((VLOOKUP($A259,AffordabilityRatio!$A$2:$I$321,9,FALSE))="",AN259,VLOOKUP($A259,AffordabilityRatio!$A$2:$I$321,9,FALSE)))</f>
        <v>5.35</v>
      </c>
      <c r="AP259" s="268">
        <f>IF(ISNUMBER('Sensitivity Tests'!$C$30),'Sensitivity Tests'!$C$30,IF((VLOOKUP($A259,AffordabilityRatio!$A$2:$I$321,9,FALSE))="",AO259,VLOOKUP($A259,AffordabilityRatio!$A$2:$I$321,9,FALSE)))</f>
        <v>5.35</v>
      </c>
      <c r="AQ259" s="267">
        <f t="shared" si="199"/>
        <v>520</v>
      </c>
      <c r="AR259" s="267">
        <f t="shared" si="199"/>
        <v>500</v>
      </c>
      <c r="AS259" s="267">
        <f t="shared" si="199"/>
        <v>473</v>
      </c>
      <c r="AT259" s="267">
        <f t="shared" si="199"/>
        <v>348</v>
      </c>
      <c r="AU259" s="267">
        <f t="shared" si="199"/>
        <v>349</v>
      </c>
      <c r="AV259" s="267">
        <f t="shared" si="199"/>
        <v>346</v>
      </c>
      <c r="AW259" s="267">
        <f t="shared" si="199"/>
        <v>339</v>
      </c>
      <c r="AX259" s="267">
        <f t="shared" si="199"/>
        <v>337</v>
      </c>
      <c r="AY259" s="267">
        <f t="shared" si="171"/>
        <v>520</v>
      </c>
      <c r="AZ259" s="267">
        <f t="shared" si="172"/>
        <v>500</v>
      </c>
      <c r="BA259" s="267">
        <f t="shared" si="173"/>
        <v>473</v>
      </c>
      <c r="BB259" s="267">
        <f t="shared" si="174"/>
        <v>348</v>
      </c>
      <c r="BC259" s="267">
        <f t="shared" si="175"/>
        <v>349</v>
      </c>
      <c r="BD259" s="267">
        <f t="shared" si="176"/>
        <v>346</v>
      </c>
      <c r="BE259" s="267">
        <f t="shared" si="177"/>
        <v>339</v>
      </c>
      <c r="BF259" s="267">
        <f t="shared" si="178"/>
        <v>337</v>
      </c>
      <c r="BG259" s="269">
        <f>AY259*VLOOKUP($B259,'Major Cities &amp; Towns'!$A$28:$B$345,2,FALSE)</f>
        <v>520</v>
      </c>
      <c r="BH259" s="269">
        <f>AZ259*VLOOKUP($B259,'Major Cities &amp; Towns'!$A$28:$B$345,2,FALSE)</f>
        <v>500</v>
      </c>
      <c r="BI259" s="269">
        <f>BA259*VLOOKUP($B259,'Major Cities &amp; Towns'!$A$28:$B$345,2,FALSE)</f>
        <v>473</v>
      </c>
      <c r="BJ259" s="269">
        <f>BB259*VLOOKUP($B259,'Major Cities &amp; Towns'!$A$28:$B$345,2,FALSE)</f>
        <v>348</v>
      </c>
      <c r="BK259" s="269">
        <f>BC259*VLOOKUP($B259,'Major Cities &amp; Towns'!$A$28:$B$345,2,FALSE)</f>
        <v>349</v>
      </c>
      <c r="BL259" s="269">
        <f>BD259*VLOOKUP($B259,'Major Cities &amp; Towns'!$A$28:$B$345,2,FALSE)</f>
        <v>346</v>
      </c>
      <c r="BM259" s="269">
        <f>BE259*VLOOKUP($B259,'Major Cities &amp; Towns'!$A$28:$B$345,2,FALSE)</f>
        <v>339</v>
      </c>
      <c r="BN259" s="269">
        <f>BF259*VLOOKUP($B259,'Major Cities &amp; Towns'!$A$28:$B$345,2,FALSE)</f>
        <v>337</v>
      </c>
      <c r="BO259" s="270">
        <f t="shared" si="179"/>
        <v>520</v>
      </c>
      <c r="BP259" s="270">
        <f t="shared" si="201"/>
        <v>500</v>
      </c>
      <c r="BQ259" s="270">
        <f t="shared" si="201"/>
        <v>473</v>
      </c>
      <c r="BR259" s="270">
        <f t="shared" si="201"/>
        <v>348</v>
      </c>
      <c r="BS259" s="270">
        <f t="shared" si="200"/>
        <v>349</v>
      </c>
      <c r="BT259" s="270">
        <f t="shared" si="200"/>
        <v>346</v>
      </c>
      <c r="BU259" s="270">
        <f t="shared" si="200"/>
        <v>339</v>
      </c>
      <c r="BV259" s="270">
        <f t="shared" si="200"/>
        <v>337</v>
      </c>
      <c r="BW259" s="39">
        <f>VLOOKUP($A259,NetAdditions!$A$2:$H$336,6,FALSE)</f>
        <v>798</v>
      </c>
      <c r="BX259" s="39">
        <f>VLOOKUP($A259,NetAdditions!$A$2:$H$336,7,FALSE)</f>
        <v>1012</v>
      </c>
      <c r="BY259" s="39">
        <f>IF((VLOOKUP($C259,NetAdditions!$A$2:$H$336,8,FALSE))="",(AVERAGE(VLOOKUP($C259,NetAdditions!$A$2:$H$336,5,FALSE),VLOOKUP($C259,NetAdditions!$A$2:$H$336,6,FALSE),VLOOKUP($C259,NetAdditions!$A$2:$H$336,7,FALSE))),VLOOKUP($C259,NetAdditions!$A$2:$H$336,8,FALSE))</f>
        <v>616</v>
      </c>
      <c r="BZ259" s="39">
        <f t="shared" si="196"/>
        <v>808.66666666666663</v>
      </c>
      <c r="CA259" s="39">
        <f t="shared" si="196"/>
        <v>812.22222222222217</v>
      </c>
      <c r="CB259" s="39">
        <f t="shared" si="196"/>
        <v>745.62962962962956</v>
      </c>
      <c r="CC259" s="39">
        <f t="shared" si="196"/>
        <v>788.83950617283938</v>
      </c>
      <c r="CD259" s="39">
        <f t="shared" si="196"/>
        <v>782.23045267489704</v>
      </c>
      <c r="CE259" s="276">
        <f t="shared" si="155"/>
        <v>1493</v>
      </c>
      <c r="CF259" s="276">
        <f t="shared" si="156"/>
        <v>1321</v>
      </c>
      <c r="CG259" s="276">
        <f t="shared" si="157"/>
        <v>1170</v>
      </c>
      <c r="CH259" s="276">
        <f t="shared" si="158"/>
        <v>1043</v>
      </c>
      <c r="CI259" s="276">
        <f t="shared" si="159"/>
        <v>1034</v>
      </c>
      <c r="CJ259" s="276">
        <f t="shared" si="160"/>
        <v>1022</v>
      </c>
      <c r="CK259" s="276">
        <f t="shared" si="180"/>
        <v>1285.6388888888889</v>
      </c>
      <c r="CL259" s="276">
        <f t="shared" si="181"/>
        <v>1137.5277777777778</v>
      </c>
      <c r="CM259" s="276">
        <f t="shared" si="182"/>
        <v>1072.5</v>
      </c>
      <c r="CN259" s="276">
        <f t="shared" si="183"/>
        <v>1043</v>
      </c>
      <c r="CO259" s="276">
        <f t="shared" si="183"/>
        <v>1034</v>
      </c>
      <c r="CP259" s="276">
        <f t="shared" si="183"/>
        <v>1022</v>
      </c>
      <c r="CQ259" s="39">
        <f t="shared" si="161"/>
        <v>2426</v>
      </c>
      <c r="CR259" s="39">
        <f t="shared" si="162"/>
        <v>2436.6666666666665</v>
      </c>
      <c r="CS259" s="277">
        <f t="shared" si="163"/>
        <v>2236.8888888888887</v>
      </c>
      <c r="CT259" s="39">
        <f t="shared" si="164"/>
        <v>2366.5185185185182</v>
      </c>
      <c r="CU259" s="39">
        <f t="shared" si="165"/>
        <v>2346.691358024691</v>
      </c>
      <c r="CV259" s="39">
        <f t="shared" si="166"/>
        <v>2316.699588477366</v>
      </c>
      <c r="CW259" s="297">
        <f t="shared" si="167"/>
        <v>1.8869995462696887</v>
      </c>
      <c r="CX259" s="279" t="str">
        <f t="shared" si="184"/>
        <v>Pass</v>
      </c>
      <c r="CY259" s="278">
        <f t="shared" si="168"/>
        <v>2.1420722326683106</v>
      </c>
      <c r="CZ259" s="279" t="str">
        <f t="shared" si="185"/>
        <v>Pass</v>
      </c>
      <c r="DA259" s="278">
        <f t="shared" si="169"/>
        <v>2.0856772856772854</v>
      </c>
      <c r="DB259" s="292" t="str">
        <f t="shared" si="186"/>
        <v>Pass</v>
      </c>
      <c r="DC259" s="299">
        <f t="shared" si="187"/>
        <v>2.2689535172756647</v>
      </c>
      <c r="DD259" s="293" t="str">
        <f t="shared" si="188"/>
        <v>Pass</v>
      </c>
      <c r="DE259" s="299">
        <f t="shared" si="189"/>
        <v>2.2695274255557938</v>
      </c>
      <c r="DF259" s="293" t="str">
        <f t="shared" si="190"/>
        <v>Pass</v>
      </c>
      <c r="DG259" s="299">
        <f t="shared" si="191"/>
        <v>2.2668293429328434</v>
      </c>
      <c r="DH259" s="293" t="str">
        <f t="shared" si="192"/>
        <v>Pass</v>
      </c>
    </row>
    <row r="260" spans="1:112" ht="15" thickTop="1" thickBot="1">
      <c r="A260" s="38" t="s">
        <v>630</v>
      </c>
      <c r="B260" s="38" t="s">
        <v>631</v>
      </c>
      <c r="C260" s="38" t="s">
        <v>630</v>
      </c>
      <c r="D260" s="38" t="s">
        <v>154</v>
      </c>
      <c r="E260" s="38" t="str">
        <f>VLOOKUP(C260,PoliticalControl!A:K,11,FALSE)</f>
        <v>NOC</v>
      </c>
      <c r="F260" s="38" t="str">
        <f>VLOOKUP(C260,UrbanRuralClassification!A:N,13,FALSE)</f>
        <v>Urban with City and Town</v>
      </c>
      <c r="G260" s="38" t="str">
        <f>VLOOKUP(C260,UrbanRuralClassification!A:N,14,FALSE)</f>
        <v>Predominantly Urban</v>
      </c>
      <c r="H260" s="258">
        <f>IF(ISBLANK((VLOOKUP($A260,'local-plan-data'!$C$1:$AD$566,27,FALSE)))=TRUE,"",VLOOKUP($A260,'local-plan-data'!$C$1:$AD$566,27,FALSE))</f>
        <v>40087</v>
      </c>
      <c r="I260" s="259">
        <f>VLOOKUP($A260,'local-plan-data'!$C$1:$AD$566,28,FALSE)</f>
        <v>570</v>
      </c>
      <c r="J260" s="260">
        <f t="shared" si="170"/>
        <v>570</v>
      </c>
      <c r="K260" s="259" t="str">
        <f t="shared" si="193"/>
        <v>-</v>
      </c>
      <c r="L260" s="259" t="str">
        <f t="shared" si="197"/>
        <v>-</v>
      </c>
      <c r="M260" s="259" t="str">
        <f t="shared" si="197"/>
        <v>-</v>
      </c>
      <c r="N260" s="259" t="str">
        <f t="shared" si="197"/>
        <v>-</v>
      </c>
      <c r="O260" s="259" t="str">
        <f t="shared" si="197"/>
        <v>-</v>
      </c>
      <c r="P260" s="259" t="str">
        <f t="shared" si="197"/>
        <v>-</v>
      </c>
      <c r="Q260" s="259" t="str">
        <f t="shared" si="197"/>
        <v>-</v>
      </c>
      <c r="R260" s="259" t="str">
        <f t="shared" si="197"/>
        <v>-</v>
      </c>
      <c r="S260" s="259">
        <f t="shared" si="194"/>
        <v>-1278</v>
      </c>
      <c r="T260" s="259">
        <f t="shared" si="198"/>
        <v>-1643</v>
      </c>
      <c r="U260" s="259">
        <f t="shared" si="198"/>
        <v>-2009</v>
      </c>
      <c r="V260" s="259">
        <f t="shared" si="198"/>
        <v>-2374</v>
      </c>
      <c r="W260" s="259">
        <f t="shared" si="198"/>
        <v>-2739</v>
      </c>
      <c r="X260" s="259">
        <f t="shared" si="198"/>
        <v>-3104</v>
      </c>
      <c r="Y260" s="259">
        <f t="shared" si="198"/>
        <v>-3470</v>
      </c>
      <c r="Z260" s="259">
        <f t="shared" si="198"/>
        <v>-3835</v>
      </c>
      <c r="AA260" s="267">
        <f>(VLOOKUP(A260,Hshldprojections2014!$A$2:$AW$319,40, FALSE)-VLOOKUP(A260,Hshldprojections2014!$A$2:$AW$319,30, FALSE))/10</f>
        <v>480.9</v>
      </c>
      <c r="AB260" s="267">
        <f>(VLOOKUP(A260,Hshldprojections2014!$A$2:$AW$319,41, FALSE)-VLOOKUP(A260,Hshldprojections2014!$A$2:$AW$319,31, FALSE))/10</f>
        <v>483.1</v>
      </c>
      <c r="AC260" s="267">
        <f>(VLOOKUP(A260,Hshldprojections2014!$A$2:$AW$319,42, FALSE)-VLOOKUP(A260,Hshldprojections2014!$A$2:$AW$319,32, FALSE))/10</f>
        <v>484.4</v>
      </c>
      <c r="AD260" s="267">
        <f>IF(IndividualLATest!$J$7=2014,(VLOOKUP($A260,Hshldprojections2014!$A$2:$AY$326,43,FALSE)-VLOOKUP($A260,Hshldprojections2014!$A$2:$AY$326,33,FALSE))/10,IF(IndividualLATest!$J$7=2016,(VLOOKUP($A260,Hshldprojections2016!$A$1:$AQ$322,33,FALSE)-VLOOKUP($A260,Hshldprojections2016!$A$1:$AQ$322,23,FALSE))/10,(VLOOKUP($A260,Hshldprojections2018!$A$1:$AQ$327,33,FALSE)-VLOOKUP($A260,Hshldprojections2018!$A$1:$AQ$327,23,FALSE))/10))</f>
        <v>444.3</v>
      </c>
      <c r="AE260" s="267">
        <f>IF(IndividualLATest!$J$7=2014,(VLOOKUP($A260,Hshldprojections2014!$A$2:$AY$326,44,FALSE)-VLOOKUP($A260,Hshldprojections2014!$A$2:$AY$326,34,FALSE))/10,IF(IndividualLATest!$J$7=2016,(VLOOKUP($A260,Hshldprojections2016!$A$1:$AQ$322,34,FALSE)-VLOOKUP($A260,Hshldprojections2016!$A$1:$AQ$322,24,FALSE))/10,(VLOOKUP($A260,Hshldprojections2018!$A$1:$AQ$327,34,FALSE)-VLOOKUP($A260,Hshldprojections2018!$A$1:$AQ$327,24,FALSE))/10))</f>
        <v>446.8</v>
      </c>
      <c r="AF260" s="267">
        <f>IF(IndividualLATest!$J$7=2014,(VLOOKUP($A260,Hshldprojections2014!$A$2:$AY$326,45,FALSE)-VLOOKUP($A260,Hshldprojections2014!$A$2:$AY$326,35,FALSE))/10,IF(IndividualLATest!$J$7=2016,(VLOOKUP($A260,Hshldprojections2016!$A$1:$AQ$322,35,FALSE)-VLOOKUP($A260,Hshldprojections2016!$A$1:$AQ$322,25,FALSE))/10,(VLOOKUP($A260,Hshldprojections2018!$A$1:$AQ$327,35,FALSE)-VLOOKUP($A260,Hshldprojections2018!$A$1:$AQ$327,25,FALSE))/10))</f>
        <v>452.6</v>
      </c>
      <c r="AG260" s="267">
        <f>IF(IndividualLATest!$J$7=2014,(VLOOKUP($A260,Hshldprojections2014!$A$2:$AY$326,46,FALSE)-VLOOKUP($A260,Hshldprojections2014!$A$2:$AY$326,36,FALSE))/10,IF(IndividualLATest!$J$7=2016,(VLOOKUP($A260,Hshldprojections2016!$A$1:$AQ$322,36,FALSE)-VLOOKUP($A260,Hshldprojections2016!$A$1:$AQ$322,26,FALSE))/10,(VLOOKUP($A260,Hshldprojections2018!$A$1:$AQ$327,36,FALSE)-VLOOKUP($A260,Hshldprojections2018!$A$1:$AQ$327,26,FALSE))/10))</f>
        <v>453.5</v>
      </c>
      <c r="AH260" s="267">
        <f>IF(IndividualLATest!$J$7=2014,(VLOOKUP($A260,Hshldprojections2014!$A$2:$AY$326,47,FALSE)-VLOOKUP($A260,Hshldprojections2014!$A$2:$AY$326,37,FALSE))/10,IF(IndividualLATest!$J$7=2016,(VLOOKUP($A260,Hshldprojections2016!$A$1:$AQ$322,37,FALSE)-VLOOKUP($A260,Hshldprojections2016!$A$1:$AQ$322,27,FALSE))/10,(VLOOKUP($A260,Hshldprojections2018!$A$1:$AQ$327,37,FALSE)-VLOOKUP($A260,Hshldprojections2018!$A$1:$AQ$327,27,FALSE))/10))</f>
        <v>456.3</v>
      </c>
      <c r="AI260" s="268">
        <f>IF(ISNUMBER('Sensitivity Tests'!$C$30),'Sensitivity Tests'!$C$30,VLOOKUP($A260,AffordabilityRatio!$A$2:$I$321,5,FALSE))</f>
        <v>4.5</v>
      </c>
      <c r="AJ260" s="268">
        <f>IF(ISNUMBER('Sensitivity Tests'!$C$30),'Sensitivity Tests'!$C$30,VLOOKUP($A260,AffordabilityRatio!$A$2:$I$321,6,FALSE))</f>
        <v>4.3899999999999997</v>
      </c>
      <c r="AK260" s="268">
        <f>IF(ISNUMBER('Sensitivity Tests'!$C$30),'Sensitivity Tests'!$C$30,VLOOKUP($A260,AffordabilityRatio!$A$2:$I$321,7,FALSE))</f>
        <v>4.51</v>
      </c>
      <c r="AL260" s="268">
        <f>IF(ISNUMBER('Sensitivity Tests'!$C$30),'Sensitivity Tests'!$C$30,IF((VLOOKUP($A260,AffordabilityRatio!$A$2:$I$321,8,FALSE))="",AK260,VLOOKUP($A260,AffordabilityRatio!$A$2:$I$321,8,FALSE)))</f>
        <v>4.4000000000000004</v>
      </c>
      <c r="AM260" s="268">
        <f>IF(ISNUMBER('Sensitivity Tests'!$C$30),'Sensitivity Tests'!$C$30,IF((VLOOKUP($A260,AffordabilityRatio!$A$2:$I$321,9,FALSE))="",AL260,VLOOKUP($A260,AffordabilityRatio!$A$2:$I$321,9,FALSE)))</f>
        <v>4.58</v>
      </c>
      <c r="AN260" s="268">
        <f>IF(ISNUMBER('Sensitivity Tests'!$C$30),'Sensitivity Tests'!$C$30,IF((VLOOKUP($A260,AffordabilityRatio!$A$2:$I$321,9,FALSE))="",AM260,VLOOKUP($A260,AffordabilityRatio!$A$2:$I$321,9,FALSE)))</f>
        <v>4.58</v>
      </c>
      <c r="AO260" s="268">
        <f>IF(ISNUMBER('Sensitivity Tests'!$C$30),'Sensitivity Tests'!$C$30,IF((VLOOKUP($A260,AffordabilityRatio!$A$2:$I$321,9,FALSE))="",AN260,VLOOKUP($A260,AffordabilityRatio!$A$2:$I$321,9,FALSE)))</f>
        <v>4.58</v>
      </c>
      <c r="AP260" s="268">
        <f>IF(ISNUMBER('Sensitivity Tests'!$C$30),'Sensitivity Tests'!$C$30,IF((VLOOKUP($A260,AffordabilityRatio!$A$2:$I$321,9,FALSE))="",AO260,VLOOKUP($A260,AffordabilityRatio!$A$2:$I$321,9,FALSE)))</f>
        <v>4.58</v>
      </c>
      <c r="AQ260" s="267">
        <f t="shared" si="199"/>
        <v>496</v>
      </c>
      <c r="AR260" s="267">
        <f t="shared" si="199"/>
        <v>495</v>
      </c>
      <c r="AS260" s="267">
        <f t="shared" si="199"/>
        <v>500</v>
      </c>
      <c r="AT260" s="267">
        <f t="shared" si="199"/>
        <v>455</v>
      </c>
      <c r="AU260" s="267">
        <f t="shared" si="199"/>
        <v>463</v>
      </c>
      <c r="AV260" s="267">
        <f t="shared" si="199"/>
        <v>469</v>
      </c>
      <c r="AW260" s="267">
        <f t="shared" si="199"/>
        <v>470</v>
      </c>
      <c r="AX260" s="267">
        <f t="shared" si="199"/>
        <v>473</v>
      </c>
      <c r="AY260" s="267">
        <f t="shared" si="171"/>
        <v>496</v>
      </c>
      <c r="AZ260" s="267">
        <f t="shared" si="172"/>
        <v>495</v>
      </c>
      <c r="BA260" s="267">
        <f t="shared" si="173"/>
        <v>500</v>
      </c>
      <c r="BB260" s="267">
        <f t="shared" si="174"/>
        <v>455</v>
      </c>
      <c r="BC260" s="267">
        <f t="shared" si="175"/>
        <v>463</v>
      </c>
      <c r="BD260" s="267">
        <f t="shared" si="176"/>
        <v>469</v>
      </c>
      <c r="BE260" s="267">
        <f t="shared" si="177"/>
        <v>470</v>
      </c>
      <c r="BF260" s="267">
        <f t="shared" si="178"/>
        <v>473</v>
      </c>
      <c r="BG260" s="269">
        <f>AY260*VLOOKUP($B260,'Major Cities &amp; Towns'!$A$28:$B$345,2,FALSE)</f>
        <v>669.6</v>
      </c>
      <c r="BH260" s="269">
        <f>AZ260*VLOOKUP($B260,'Major Cities &amp; Towns'!$A$28:$B$345,2,FALSE)</f>
        <v>668.25</v>
      </c>
      <c r="BI260" s="269">
        <f>BA260*VLOOKUP($B260,'Major Cities &amp; Towns'!$A$28:$B$345,2,FALSE)</f>
        <v>675</v>
      </c>
      <c r="BJ260" s="269">
        <f>BB260*VLOOKUP($B260,'Major Cities &amp; Towns'!$A$28:$B$345,2,FALSE)</f>
        <v>614.25</v>
      </c>
      <c r="BK260" s="269">
        <f>BC260*VLOOKUP($B260,'Major Cities &amp; Towns'!$A$28:$B$345,2,FALSE)</f>
        <v>625.05000000000007</v>
      </c>
      <c r="BL260" s="269">
        <f>BD260*VLOOKUP($B260,'Major Cities &amp; Towns'!$A$28:$B$345,2,FALSE)</f>
        <v>633.15000000000009</v>
      </c>
      <c r="BM260" s="269">
        <f>BE260*VLOOKUP($B260,'Major Cities &amp; Towns'!$A$28:$B$345,2,FALSE)</f>
        <v>634.5</v>
      </c>
      <c r="BN260" s="269">
        <f>BF260*VLOOKUP($B260,'Major Cities &amp; Towns'!$A$28:$B$345,2,FALSE)</f>
        <v>638.55000000000007</v>
      </c>
      <c r="BO260" s="270">
        <f t="shared" si="179"/>
        <v>496</v>
      </c>
      <c r="BP260" s="270">
        <f t="shared" si="201"/>
        <v>495</v>
      </c>
      <c r="BQ260" s="270">
        <f t="shared" si="201"/>
        <v>500</v>
      </c>
      <c r="BR260" s="270">
        <f t="shared" si="201"/>
        <v>455</v>
      </c>
      <c r="BS260" s="270">
        <f t="shared" si="200"/>
        <v>463</v>
      </c>
      <c r="BT260" s="270">
        <f t="shared" si="200"/>
        <v>469</v>
      </c>
      <c r="BU260" s="270">
        <f t="shared" si="200"/>
        <v>470</v>
      </c>
      <c r="BV260" s="270">
        <f t="shared" si="200"/>
        <v>473</v>
      </c>
      <c r="BW260" s="39">
        <f>VLOOKUP($A260,NetAdditions!$A$2:$H$336,6,FALSE)</f>
        <v>1008</v>
      </c>
      <c r="BX260" s="39">
        <f>VLOOKUP($A260,NetAdditions!$A$2:$H$336,7,FALSE)</f>
        <v>905</v>
      </c>
      <c r="BY260" s="39">
        <f>IF((VLOOKUP($C260,NetAdditions!$A$2:$H$336,8,FALSE))="",(AVERAGE(VLOOKUP($C260,NetAdditions!$A$2:$H$336,5,FALSE),VLOOKUP($C260,NetAdditions!$A$2:$H$336,6,FALSE),VLOOKUP($C260,NetAdditions!$A$2:$H$336,7,FALSE))),VLOOKUP($C260,NetAdditions!$A$2:$H$336,8,FALSE))</f>
        <v>475</v>
      </c>
      <c r="BZ260" s="39">
        <f t="shared" si="196"/>
        <v>796</v>
      </c>
      <c r="CA260" s="39">
        <f t="shared" si="196"/>
        <v>725.33333333333337</v>
      </c>
      <c r="CB260" s="39">
        <f t="shared" si="196"/>
        <v>665.44444444444446</v>
      </c>
      <c r="CC260" s="39">
        <f t="shared" si="196"/>
        <v>728.92592592592598</v>
      </c>
      <c r="CD260" s="39">
        <f t="shared" si="196"/>
        <v>706.56790123456801</v>
      </c>
      <c r="CE260" s="276">
        <f t="shared" si="155"/>
        <v>1491</v>
      </c>
      <c r="CF260" s="276">
        <f t="shared" si="156"/>
        <v>1450</v>
      </c>
      <c r="CG260" s="276">
        <f t="shared" si="157"/>
        <v>1418</v>
      </c>
      <c r="CH260" s="276">
        <f t="shared" si="158"/>
        <v>1387</v>
      </c>
      <c r="CI260" s="276">
        <f t="shared" si="159"/>
        <v>1402</v>
      </c>
      <c r="CJ260" s="276">
        <f t="shared" si="160"/>
        <v>1412</v>
      </c>
      <c r="CK260" s="276">
        <f t="shared" si="180"/>
        <v>1283.9166666666667</v>
      </c>
      <c r="CL260" s="276">
        <f t="shared" si="181"/>
        <v>1248.6111111111111</v>
      </c>
      <c r="CM260" s="276">
        <f t="shared" si="182"/>
        <v>1299.8333333333333</v>
      </c>
      <c r="CN260" s="276">
        <f t="shared" si="183"/>
        <v>1387</v>
      </c>
      <c r="CO260" s="276">
        <f t="shared" si="183"/>
        <v>1402</v>
      </c>
      <c r="CP260" s="276">
        <f t="shared" si="183"/>
        <v>1412</v>
      </c>
      <c r="CQ260" s="39">
        <f t="shared" si="161"/>
        <v>2388</v>
      </c>
      <c r="CR260" s="39">
        <f t="shared" si="162"/>
        <v>2176</v>
      </c>
      <c r="CS260" s="277">
        <f t="shared" si="163"/>
        <v>1996.3333333333335</v>
      </c>
      <c r="CT260" s="39">
        <f t="shared" si="164"/>
        <v>2186.7777777777778</v>
      </c>
      <c r="CU260" s="39">
        <f t="shared" si="165"/>
        <v>2119.7037037037039</v>
      </c>
      <c r="CV260" s="39">
        <f t="shared" si="166"/>
        <v>2100.9382716049386</v>
      </c>
      <c r="CW260" s="297">
        <f t="shared" si="167"/>
        <v>1.8599337963263451</v>
      </c>
      <c r="CX260" s="279" t="str">
        <f t="shared" si="184"/>
        <v>Pass</v>
      </c>
      <c r="CY260" s="278">
        <f t="shared" si="168"/>
        <v>1.7427363737486097</v>
      </c>
      <c r="CZ260" s="279" t="str">
        <f t="shared" si="185"/>
        <v>Pass</v>
      </c>
      <c r="DA260" s="278">
        <f t="shared" si="169"/>
        <v>1.5358379279394796</v>
      </c>
      <c r="DB260" s="292" t="str">
        <f t="shared" si="186"/>
        <v>Pass</v>
      </c>
      <c r="DC260" s="299">
        <f t="shared" si="187"/>
        <v>1.5766242089241369</v>
      </c>
      <c r="DD260" s="293" t="str">
        <f t="shared" si="188"/>
        <v>Pass</v>
      </c>
      <c r="DE260" s="299">
        <f t="shared" si="189"/>
        <v>1.511914196650288</v>
      </c>
      <c r="DF260" s="293" t="str">
        <f t="shared" si="190"/>
        <v>Pass</v>
      </c>
      <c r="DG260" s="299">
        <f t="shared" si="191"/>
        <v>1.4879166229496732</v>
      </c>
      <c r="DH260" s="293" t="str">
        <f t="shared" si="192"/>
        <v>Pass</v>
      </c>
    </row>
    <row r="261" spans="1:112" ht="15" thickTop="1" thickBot="1">
      <c r="A261" s="38" t="s">
        <v>632</v>
      </c>
      <c r="B261" s="38" t="s">
        <v>633</v>
      </c>
      <c r="C261" s="38" t="s">
        <v>632</v>
      </c>
      <c r="D261" s="38" t="s">
        <v>154</v>
      </c>
      <c r="E261" s="38" t="str">
        <f>VLOOKUP(C261,PoliticalControl!A:K,11,FALSE)</f>
        <v>CON</v>
      </c>
      <c r="F261" s="38" t="str">
        <f>VLOOKUP(C261,UrbanRuralClassification!A:N,13,FALSE)</f>
        <v xml:space="preserve">Mainly Rural (rural including hub towns &gt;=80%) </v>
      </c>
      <c r="G261" s="38" t="str">
        <f>VLOOKUP(C261,UrbanRuralClassification!A:N,14,FALSE)</f>
        <v>Predominantly Rural</v>
      </c>
      <c r="H261" s="258">
        <f>IF(ISBLANK((VLOOKUP($A261,'local-plan-data'!$C$1:$AD$566,27,FALSE)))=TRUE,"",VLOOKUP($A261,'local-plan-data'!$C$1:$AD$566,27,FALSE))</f>
        <v>42562</v>
      </c>
      <c r="I261" s="259">
        <f>VLOOKUP($A261,'local-plan-data'!$C$1:$AD$566,28,FALSE)</f>
        <v>730</v>
      </c>
      <c r="J261" s="260">
        <f t="shared" si="170"/>
        <v>730</v>
      </c>
      <c r="K261" s="259">
        <f t="shared" si="193"/>
        <v>730</v>
      </c>
      <c r="L261" s="259">
        <f t="shared" si="197"/>
        <v>730</v>
      </c>
      <c r="M261" s="259">
        <f t="shared" si="197"/>
        <v>730</v>
      </c>
      <c r="N261" s="259">
        <f t="shared" si="197"/>
        <v>730</v>
      </c>
      <c r="O261" s="259" t="str">
        <f t="shared" si="197"/>
        <v>-</v>
      </c>
      <c r="P261" s="259" t="str">
        <f t="shared" si="197"/>
        <v>-</v>
      </c>
      <c r="Q261" s="259" t="str">
        <f t="shared" si="197"/>
        <v>-</v>
      </c>
      <c r="R261" s="259" t="str">
        <f t="shared" si="197"/>
        <v>-</v>
      </c>
      <c r="S261" s="259">
        <f t="shared" si="194"/>
        <v>1197</v>
      </c>
      <c r="T261" s="259">
        <f t="shared" si="198"/>
        <v>832</v>
      </c>
      <c r="U261" s="259">
        <f t="shared" si="198"/>
        <v>466</v>
      </c>
      <c r="V261" s="259">
        <f t="shared" si="198"/>
        <v>101</v>
      </c>
      <c r="W261" s="259">
        <f t="shared" si="198"/>
        <v>-264</v>
      </c>
      <c r="X261" s="259">
        <f t="shared" si="198"/>
        <v>-629</v>
      </c>
      <c r="Y261" s="259">
        <f t="shared" si="198"/>
        <v>-995</v>
      </c>
      <c r="Z261" s="259">
        <f t="shared" si="198"/>
        <v>-1360</v>
      </c>
      <c r="AA261" s="267">
        <f>(VLOOKUP(A261,Hshldprojections2014!$A$2:$AW$319,40, FALSE)-VLOOKUP(A261,Hshldprojections2014!$A$2:$AW$319,30, FALSE))/10</f>
        <v>429.2</v>
      </c>
      <c r="AB261" s="267">
        <f>(VLOOKUP(A261,Hshldprojections2014!$A$2:$AW$319,41, FALSE)-VLOOKUP(A261,Hshldprojections2014!$A$2:$AW$319,31, FALSE))/10</f>
        <v>422.6</v>
      </c>
      <c r="AC261" s="267">
        <f>(VLOOKUP(A261,Hshldprojections2014!$A$2:$AW$319,42, FALSE)-VLOOKUP(A261,Hshldprojections2014!$A$2:$AW$319,32, FALSE))/10</f>
        <v>414.8</v>
      </c>
      <c r="AD261" s="267">
        <f>IF(IndividualLATest!$J$7=2014,(VLOOKUP($A261,Hshldprojections2014!$A$2:$AY$326,43,FALSE)-VLOOKUP($A261,Hshldprojections2014!$A$2:$AY$326,33,FALSE))/10,IF(IndividualLATest!$J$7=2016,(VLOOKUP($A261,Hshldprojections2016!$A$1:$AQ$322,33,FALSE)-VLOOKUP($A261,Hshldprojections2016!$A$1:$AQ$322,23,FALSE))/10,(VLOOKUP($A261,Hshldprojections2018!$A$1:$AQ$327,33,FALSE)-VLOOKUP($A261,Hshldprojections2018!$A$1:$AQ$327,23,FALSE))/10))</f>
        <v>771.8</v>
      </c>
      <c r="AE261" s="267">
        <f>IF(IndividualLATest!$J$7=2014,(VLOOKUP($A261,Hshldprojections2014!$A$2:$AY$326,44,FALSE)-VLOOKUP($A261,Hshldprojections2014!$A$2:$AY$326,34,FALSE))/10,IF(IndividualLATest!$J$7=2016,(VLOOKUP($A261,Hshldprojections2016!$A$1:$AQ$322,34,FALSE)-VLOOKUP($A261,Hshldprojections2016!$A$1:$AQ$322,24,FALSE))/10,(VLOOKUP($A261,Hshldprojections2018!$A$1:$AQ$327,34,FALSE)-VLOOKUP($A261,Hshldprojections2018!$A$1:$AQ$327,24,FALSE))/10))</f>
        <v>753.4</v>
      </c>
      <c r="AF261" s="267">
        <f>IF(IndividualLATest!$J$7=2014,(VLOOKUP($A261,Hshldprojections2014!$A$2:$AY$326,45,FALSE)-VLOOKUP($A261,Hshldprojections2014!$A$2:$AY$326,35,FALSE))/10,IF(IndividualLATest!$J$7=2016,(VLOOKUP($A261,Hshldprojections2016!$A$1:$AQ$322,35,FALSE)-VLOOKUP($A261,Hshldprojections2016!$A$1:$AQ$322,25,FALSE))/10,(VLOOKUP($A261,Hshldprojections2018!$A$1:$AQ$327,35,FALSE)-VLOOKUP($A261,Hshldprojections2018!$A$1:$AQ$327,25,FALSE))/10))</f>
        <v>735.8</v>
      </c>
      <c r="AG261" s="267">
        <f>IF(IndividualLATest!$J$7=2014,(VLOOKUP($A261,Hshldprojections2014!$A$2:$AY$326,46,FALSE)-VLOOKUP($A261,Hshldprojections2014!$A$2:$AY$326,36,FALSE))/10,IF(IndividualLATest!$J$7=2016,(VLOOKUP($A261,Hshldprojections2016!$A$1:$AQ$322,36,FALSE)-VLOOKUP($A261,Hshldprojections2016!$A$1:$AQ$322,26,FALSE))/10,(VLOOKUP($A261,Hshldprojections2018!$A$1:$AQ$327,36,FALSE)-VLOOKUP($A261,Hshldprojections2018!$A$1:$AQ$327,26,FALSE))/10))</f>
        <v>717.1</v>
      </c>
      <c r="AH261" s="267">
        <f>IF(IndividualLATest!$J$7=2014,(VLOOKUP($A261,Hshldprojections2014!$A$2:$AY$326,47,FALSE)-VLOOKUP($A261,Hshldprojections2014!$A$2:$AY$326,37,FALSE))/10,IF(IndividualLATest!$J$7=2016,(VLOOKUP($A261,Hshldprojections2016!$A$1:$AQ$322,37,FALSE)-VLOOKUP($A261,Hshldprojections2016!$A$1:$AQ$322,27,FALSE))/10,(VLOOKUP($A261,Hshldprojections2018!$A$1:$AQ$327,37,FALSE)-VLOOKUP($A261,Hshldprojections2018!$A$1:$AQ$327,27,FALSE))/10))</f>
        <v>700.5</v>
      </c>
      <c r="AI261" s="268">
        <f>IF(ISNUMBER('Sensitivity Tests'!$C$30),'Sensitivity Tests'!$C$30,VLOOKUP($A261,AffordabilityRatio!$A$2:$I$321,5,FALSE))</f>
        <v>9.32</v>
      </c>
      <c r="AJ261" s="268">
        <f>IF(ISNUMBER('Sensitivity Tests'!$C$30),'Sensitivity Tests'!$C$30,VLOOKUP($A261,AffordabilityRatio!$A$2:$I$321,6,FALSE))</f>
        <v>10.33</v>
      </c>
      <c r="AK261" s="268">
        <f>IF(ISNUMBER('Sensitivity Tests'!$C$30),'Sensitivity Tests'!$C$30,VLOOKUP($A261,AffordabilityRatio!$A$2:$I$321,7,FALSE))</f>
        <v>11.26</v>
      </c>
      <c r="AL261" s="268">
        <f>IF(ISNUMBER('Sensitivity Tests'!$C$30),'Sensitivity Tests'!$C$30,IF((VLOOKUP($A261,AffordabilityRatio!$A$2:$I$321,8,FALSE))="",AK261,VLOOKUP($A261,AffordabilityRatio!$A$2:$I$321,8,FALSE)))</f>
        <v>9.82</v>
      </c>
      <c r="AM261" s="268">
        <f>IF(ISNUMBER('Sensitivity Tests'!$C$30),'Sensitivity Tests'!$C$30,IF((VLOOKUP($A261,AffordabilityRatio!$A$2:$I$321,9,FALSE))="",AL261,VLOOKUP($A261,AffordabilityRatio!$A$2:$I$321,9,FALSE)))</f>
        <v>10.62</v>
      </c>
      <c r="AN261" s="268">
        <f>IF(ISNUMBER('Sensitivity Tests'!$C$30),'Sensitivity Tests'!$C$30,IF((VLOOKUP($A261,AffordabilityRatio!$A$2:$I$321,9,FALSE))="",AM261,VLOOKUP($A261,AffordabilityRatio!$A$2:$I$321,9,FALSE)))</f>
        <v>10.62</v>
      </c>
      <c r="AO261" s="268">
        <f>IF(ISNUMBER('Sensitivity Tests'!$C$30),'Sensitivity Tests'!$C$30,IF((VLOOKUP($A261,AffordabilityRatio!$A$2:$I$321,9,FALSE))="",AN261,VLOOKUP($A261,AffordabilityRatio!$A$2:$I$321,9,FALSE)))</f>
        <v>10.62</v>
      </c>
      <c r="AP261" s="268">
        <f>IF(ISNUMBER('Sensitivity Tests'!$C$30),'Sensitivity Tests'!$C$30,IF((VLOOKUP($A261,AffordabilityRatio!$A$2:$I$321,9,FALSE))="",AO261,VLOOKUP($A261,AffordabilityRatio!$A$2:$I$321,9,FALSE)))</f>
        <v>10.62</v>
      </c>
      <c r="AQ261" s="267">
        <f t="shared" si="199"/>
        <v>572</v>
      </c>
      <c r="AR261" s="267">
        <f t="shared" si="199"/>
        <v>590</v>
      </c>
      <c r="AS261" s="267">
        <f t="shared" si="199"/>
        <v>603</v>
      </c>
      <c r="AT261" s="267">
        <f t="shared" si="199"/>
        <v>1053</v>
      </c>
      <c r="AU261" s="267">
        <f t="shared" si="199"/>
        <v>1065</v>
      </c>
      <c r="AV261" s="267">
        <f t="shared" si="199"/>
        <v>1040</v>
      </c>
      <c r="AW261" s="267">
        <f t="shared" si="199"/>
        <v>1014</v>
      </c>
      <c r="AX261" s="267">
        <f t="shared" si="199"/>
        <v>990</v>
      </c>
      <c r="AY261" s="267">
        <f t="shared" si="171"/>
        <v>572</v>
      </c>
      <c r="AZ261" s="267">
        <f t="shared" si="172"/>
        <v>590</v>
      </c>
      <c r="BA261" s="267">
        <f t="shared" si="173"/>
        <v>603</v>
      </c>
      <c r="BB261" s="267">
        <f t="shared" si="174"/>
        <v>1022</v>
      </c>
      <c r="BC261" s="267">
        <f t="shared" si="175"/>
        <v>1054.76</v>
      </c>
      <c r="BD261" s="267">
        <f t="shared" si="176"/>
        <v>1030.1199999999999</v>
      </c>
      <c r="BE261" s="267">
        <f t="shared" si="177"/>
        <v>1014</v>
      </c>
      <c r="BF261" s="267">
        <f t="shared" si="178"/>
        <v>990</v>
      </c>
      <c r="BG261" s="269">
        <f>AY261*VLOOKUP($B261,'Major Cities &amp; Towns'!$A$28:$B$345,2,FALSE)</f>
        <v>572</v>
      </c>
      <c r="BH261" s="269">
        <f>AZ261*VLOOKUP($B261,'Major Cities &amp; Towns'!$A$28:$B$345,2,FALSE)</f>
        <v>590</v>
      </c>
      <c r="BI261" s="269">
        <f>BA261*VLOOKUP($B261,'Major Cities &amp; Towns'!$A$28:$B$345,2,FALSE)</f>
        <v>603</v>
      </c>
      <c r="BJ261" s="269">
        <f>BB261*VLOOKUP($B261,'Major Cities &amp; Towns'!$A$28:$B$345,2,FALSE)</f>
        <v>1022</v>
      </c>
      <c r="BK261" s="269">
        <f>BC261*VLOOKUP($B261,'Major Cities &amp; Towns'!$A$28:$B$345,2,FALSE)</f>
        <v>1054.76</v>
      </c>
      <c r="BL261" s="269">
        <f>BD261*VLOOKUP($B261,'Major Cities &amp; Towns'!$A$28:$B$345,2,FALSE)</f>
        <v>1030.1199999999999</v>
      </c>
      <c r="BM261" s="269">
        <f>BE261*VLOOKUP($B261,'Major Cities &amp; Towns'!$A$28:$B$345,2,FALSE)</f>
        <v>1014</v>
      </c>
      <c r="BN261" s="269">
        <f>BF261*VLOOKUP($B261,'Major Cities &amp; Towns'!$A$28:$B$345,2,FALSE)</f>
        <v>990</v>
      </c>
      <c r="BO261" s="270">
        <f t="shared" si="179"/>
        <v>572</v>
      </c>
      <c r="BP261" s="270">
        <f t="shared" si="201"/>
        <v>590</v>
      </c>
      <c r="BQ261" s="270">
        <f t="shared" si="201"/>
        <v>603</v>
      </c>
      <c r="BR261" s="270">
        <f t="shared" si="201"/>
        <v>963.62191780821922</v>
      </c>
      <c r="BS261" s="270">
        <f t="shared" si="200"/>
        <v>1065</v>
      </c>
      <c r="BT261" s="270">
        <f t="shared" si="200"/>
        <v>1040</v>
      </c>
      <c r="BU261" s="270">
        <f t="shared" si="200"/>
        <v>1014</v>
      </c>
      <c r="BV261" s="270">
        <f t="shared" si="200"/>
        <v>990</v>
      </c>
      <c r="BW261" s="39">
        <f>VLOOKUP($A261,NetAdditions!$A$2:$H$336,6,FALSE)</f>
        <v>1408</v>
      </c>
      <c r="BX261" s="39">
        <f>VLOOKUP($A261,NetAdditions!$A$2:$H$336,7,FALSE)</f>
        <v>1342</v>
      </c>
      <c r="BY261" s="39">
        <f>IF((VLOOKUP($C261,NetAdditions!$A$2:$H$336,8,FALSE))="",(AVERAGE(VLOOKUP($C261,NetAdditions!$A$2:$H$336,5,FALSE),VLOOKUP($C261,NetAdditions!$A$2:$H$336,6,FALSE),VLOOKUP($C261,NetAdditions!$A$2:$H$336,7,FALSE))),VLOOKUP($C261,NetAdditions!$A$2:$H$336,8,FALSE))</f>
        <v>843</v>
      </c>
      <c r="BZ261" s="39">
        <f t="shared" si="196"/>
        <v>1197.6666666666667</v>
      </c>
      <c r="CA261" s="39">
        <f t="shared" si="196"/>
        <v>1127.5555555555557</v>
      </c>
      <c r="CB261" s="39">
        <f t="shared" si="196"/>
        <v>1056.0740740740741</v>
      </c>
      <c r="CC261" s="39">
        <f t="shared" si="196"/>
        <v>1127.0987654320988</v>
      </c>
      <c r="CD261" s="39">
        <f t="shared" si="196"/>
        <v>1103.5761316872429</v>
      </c>
      <c r="CE261" s="276">
        <f t="shared" ref="CE261:CE322" si="202">SUM(BO261:BQ261)</f>
        <v>1765</v>
      </c>
      <c r="CF261" s="276">
        <f t="shared" ref="CF261:CF322" si="203">SUM(BP261:BR261)</f>
        <v>2156.6219178082192</v>
      </c>
      <c r="CG261" s="276">
        <f t="shared" ref="CG261:CG322" si="204">SUM(BQ261:BS261)</f>
        <v>2631.6219178082192</v>
      </c>
      <c r="CH261" s="276">
        <f t="shared" ref="CH261:CH322" si="205">SUM(BR261:BT261)</f>
        <v>3068.6219178082192</v>
      </c>
      <c r="CI261" s="276">
        <f t="shared" ref="CI261:CI322" si="206">SUM(BS261:BU261)</f>
        <v>3119</v>
      </c>
      <c r="CJ261" s="276">
        <f t="shared" ref="CJ261:CJ322" si="207">SUM(BT261:BV261)</f>
        <v>3044</v>
      </c>
      <c r="CK261" s="276">
        <f t="shared" si="180"/>
        <v>1519.8611111111111</v>
      </c>
      <c r="CL261" s="276">
        <f t="shared" si="181"/>
        <v>1857.091095890411</v>
      </c>
      <c r="CM261" s="276">
        <f t="shared" si="182"/>
        <v>2412.3200913242008</v>
      </c>
      <c r="CN261" s="276">
        <f t="shared" si="183"/>
        <v>3068.6219178082192</v>
      </c>
      <c r="CO261" s="276">
        <f t="shared" si="183"/>
        <v>3119</v>
      </c>
      <c r="CP261" s="276">
        <f t="shared" si="183"/>
        <v>3044</v>
      </c>
      <c r="CQ261" s="39">
        <f t="shared" ref="CQ261:CQ322" si="208">SUM(BW261:BY261)</f>
        <v>3593</v>
      </c>
      <c r="CR261" s="39">
        <f t="shared" ref="CR261:CR322" si="209">SUM(BX261:BZ261)</f>
        <v>3382.666666666667</v>
      </c>
      <c r="CS261" s="277">
        <f t="shared" ref="CS261:CS322" si="210">SUM(BY261:CA261)</f>
        <v>3168.2222222222226</v>
      </c>
      <c r="CT261" s="39">
        <f t="shared" ref="CT261:CT322" si="211">SUM(BZ261:CB261)</f>
        <v>3381.2962962962965</v>
      </c>
      <c r="CU261" s="39">
        <f t="shared" ref="CU261:CU322" si="212">SUM(CA261:CC261)</f>
        <v>3310.7283950617284</v>
      </c>
      <c r="CV261" s="39">
        <f t="shared" ref="CV261:CV322" si="213">SUM(CB261:CD261)</f>
        <v>3286.7489711934159</v>
      </c>
      <c r="CW261" s="297">
        <f t="shared" ref="CW261:CW322" si="214">IFERROR(CQ261/CK261,"-")</f>
        <v>2.364031801151421</v>
      </c>
      <c r="CX261" s="279" t="str">
        <f t="shared" si="184"/>
        <v>Pass</v>
      </c>
      <c r="CY261" s="278">
        <f t="shared" ref="CY261:CY322" si="215">IFERROR(CR261/CL261,"-")</f>
        <v>1.8214866648987917</v>
      </c>
      <c r="CZ261" s="279" t="str">
        <f t="shared" si="185"/>
        <v>Pass</v>
      </c>
      <c r="DA261" s="278">
        <f t="shared" ref="DA261:DA322" si="216">IFERROR(CS261/CM261,"-")</f>
        <v>1.3133506758147848</v>
      </c>
      <c r="DB261" s="292" t="str">
        <f t="shared" si="186"/>
        <v>Pass</v>
      </c>
      <c r="DC261" s="299">
        <f t="shared" si="187"/>
        <v>1.1018940706489533</v>
      </c>
      <c r="DD261" s="293" t="str">
        <f t="shared" si="188"/>
        <v>Pass</v>
      </c>
      <c r="DE261" s="299">
        <f t="shared" si="189"/>
        <v>1.0614711109527823</v>
      </c>
      <c r="DF261" s="293" t="str">
        <f t="shared" si="190"/>
        <v>Pass</v>
      </c>
      <c r="DG261" s="299">
        <f t="shared" si="191"/>
        <v>1.0797467053854848</v>
      </c>
      <c r="DH261" s="293" t="str">
        <f t="shared" si="192"/>
        <v>Pass</v>
      </c>
    </row>
    <row r="262" spans="1:112" ht="15" thickTop="1" thickBot="1">
      <c r="A262" s="38" t="s">
        <v>634</v>
      </c>
      <c r="B262" s="38" t="s">
        <v>635</v>
      </c>
      <c r="C262" s="38" t="s">
        <v>634</v>
      </c>
      <c r="D262" s="38" t="s">
        <v>147</v>
      </c>
      <c r="E262" s="38" t="str">
        <f>VLOOKUP(C262,PoliticalControl!A:K,11,FALSE)</f>
        <v>NOC</v>
      </c>
      <c r="F262" s="38" t="str">
        <f>VLOOKUP(C262,UrbanRuralClassification!A:N,13,FALSE)</f>
        <v>Urban with Significant Rural (rural including hub towns 26-49%)</v>
      </c>
      <c r="G262" s="38" t="str">
        <f>VLOOKUP(C262,UrbanRuralClassification!A:N,14,FALSE)</f>
        <v>Urban with Significant Rural</v>
      </c>
      <c r="H262" s="258">
        <f>IF(ISBLANK((VLOOKUP($A262,'local-plan-data'!$C$1:$AD$566,27,FALSE)))=TRUE,"",VLOOKUP($A262,'local-plan-data'!$C$1:$AD$566,27,FALSE))</f>
        <v>42327</v>
      </c>
      <c r="I262" s="259">
        <f>VLOOKUP($A262,'local-plan-data'!$C$1:$AD$566,28,FALSE)</f>
        <v>456</v>
      </c>
      <c r="J262" s="260">
        <f t="shared" ref="J262:J322" si="217">IFERROR(IF(ISNUMBER(I262),I262,VALUE(LEFT(I262,FIND("-",I262)-1))),"-")</f>
        <v>456</v>
      </c>
      <c r="K262" s="259">
        <f t="shared" si="193"/>
        <v>456</v>
      </c>
      <c r="L262" s="259">
        <f t="shared" si="197"/>
        <v>456</v>
      </c>
      <c r="M262" s="259">
        <f t="shared" si="197"/>
        <v>456</v>
      </c>
      <c r="N262" s="259" t="str">
        <f t="shared" si="197"/>
        <v>-</v>
      </c>
      <c r="O262" s="259" t="str">
        <f t="shared" si="197"/>
        <v>-</v>
      </c>
      <c r="P262" s="259" t="str">
        <f t="shared" si="197"/>
        <v>-</v>
      </c>
      <c r="Q262" s="259" t="str">
        <f t="shared" si="197"/>
        <v>-</v>
      </c>
      <c r="R262" s="259" t="str">
        <f t="shared" si="197"/>
        <v>-</v>
      </c>
      <c r="S262" s="259">
        <f t="shared" si="194"/>
        <v>963</v>
      </c>
      <c r="T262" s="259">
        <f t="shared" si="198"/>
        <v>598</v>
      </c>
      <c r="U262" s="259">
        <f t="shared" si="198"/>
        <v>232</v>
      </c>
      <c r="V262" s="259">
        <f t="shared" si="198"/>
        <v>-133</v>
      </c>
      <c r="W262" s="259">
        <f t="shared" si="198"/>
        <v>-498</v>
      </c>
      <c r="X262" s="259">
        <f t="shared" si="198"/>
        <v>-863</v>
      </c>
      <c r="Y262" s="259">
        <f t="shared" si="198"/>
        <v>-1229</v>
      </c>
      <c r="Z262" s="259">
        <f t="shared" si="198"/>
        <v>-1594</v>
      </c>
      <c r="AA262" s="267">
        <f>(VLOOKUP(A262,Hshldprojections2014!$A$2:$AW$319,40, FALSE)-VLOOKUP(A262,Hshldprojections2014!$A$2:$AW$319,30, FALSE))/10</f>
        <v>501</v>
      </c>
      <c r="AB262" s="267">
        <f>(VLOOKUP(A262,Hshldprojections2014!$A$2:$AW$319,41, FALSE)-VLOOKUP(A262,Hshldprojections2014!$A$2:$AW$319,31, FALSE))/10</f>
        <v>496.2</v>
      </c>
      <c r="AC262" s="267">
        <f>(VLOOKUP(A262,Hshldprojections2014!$A$2:$AW$319,42, FALSE)-VLOOKUP(A262,Hshldprojections2014!$A$2:$AW$319,32, FALSE))/10</f>
        <v>491.3</v>
      </c>
      <c r="AD262" s="267">
        <f>IF(IndividualLATest!$J$7=2014,(VLOOKUP($A262,Hshldprojections2014!$A$2:$AY$326,43,FALSE)-VLOOKUP($A262,Hshldprojections2014!$A$2:$AY$326,33,FALSE))/10,IF(IndividualLATest!$J$7=2016,(VLOOKUP($A262,Hshldprojections2016!$A$1:$AQ$322,33,FALSE)-VLOOKUP($A262,Hshldprojections2016!$A$1:$AQ$322,23,FALSE))/10,(VLOOKUP($A262,Hshldprojections2018!$A$1:$AQ$327,33,FALSE)-VLOOKUP($A262,Hshldprojections2018!$A$1:$AQ$327,23,FALSE))/10))</f>
        <v>469.6</v>
      </c>
      <c r="AE262" s="267">
        <f>IF(IndividualLATest!$J$7=2014,(VLOOKUP($A262,Hshldprojections2014!$A$2:$AY$326,44,FALSE)-VLOOKUP($A262,Hshldprojections2014!$A$2:$AY$326,34,FALSE))/10,IF(IndividualLATest!$J$7=2016,(VLOOKUP($A262,Hshldprojections2016!$A$1:$AQ$322,34,FALSE)-VLOOKUP($A262,Hshldprojections2016!$A$1:$AQ$322,24,FALSE))/10,(VLOOKUP($A262,Hshldprojections2018!$A$1:$AQ$327,34,FALSE)-VLOOKUP($A262,Hshldprojections2018!$A$1:$AQ$327,24,FALSE))/10))</f>
        <v>459.8</v>
      </c>
      <c r="AF262" s="267">
        <f>IF(IndividualLATest!$J$7=2014,(VLOOKUP($A262,Hshldprojections2014!$A$2:$AY$326,45,FALSE)-VLOOKUP($A262,Hshldprojections2014!$A$2:$AY$326,35,FALSE))/10,IF(IndividualLATest!$J$7=2016,(VLOOKUP($A262,Hshldprojections2016!$A$1:$AQ$322,35,FALSE)-VLOOKUP($A262,Hshldprojections2016!$A$1:$AQ$322,25,FALSE))/10,(VLOOKUP($A262,Hshldprojections2018!$A$1:$AQ$327,35,FALSE)-VLOOKUP($A262,Hshldprojections2018!$A$1:$AQ$327,25,FALSE))/10))</f>
        <v>450.7</v>
      </c>
      <c r="AG262" s="267">
        <f>IF(IndividualLATest!$J$7=2014,(VLOOKUP($A262,Hshldprojections2014!$A$2:$AY$326,46,FALSE)-VLOOKUP($A262,Hshldprojections2014!$A$2:$AY$326,36,FALSE))/10,IF(IndividualLATest!$J$7=2016,(VLOOKUP($A262,Hshldprojections2016!$A$1:$AQ$322,36,FALSE)-VLOOKUP($A262,Hshldprojections2016!$A$1:$AQ$322,26,FALSE))/10,(VLOOKUP($A262,Hshldprojections2018!$A$1:$AQ$327,36,FALSE)-VLOOKUP($A262,Hshldprojections2018!$A$1:$AQ$327,26,FALSE))/10))</f>
        <v>441.2</v>
      </c>
      <c r="AH262" s="267">
        <f>IF(IndividualLATest!$J$7=2014,(VLOOKUP($A262,Hshldprojections2014!$A$2:$AY$326,47,FALSE)-VLOOKUP($A262,Hshldprojections2014!$A$2:$AY$326,37,FALSE))/10,IF(IndividualLATest!$J$7=2016,(VLOOKUP($A262,Hshldprojections2016!$A$1:$AQ$322,37,FALSE)-VLOOKUP($A262,Hshldprojections2016!$A$1:$AQ$322,27,FALSE))/10,(VLOOKUP($A262,Hshldprojections2018!$A$1:$AQ$327,37,FALSE)-VLOOKUP($A262,Hshldprojections2018!$A$1:$AQ$327,27,FALSE))/10))</f>
        <v>433.4</v>
      </c>
      <c r="AI262" s="268">
        <f>IF(ISNUMBER('Sensitivity Tests'!$C$30),'Sensitivity Tests'!$C$30,VLOOKUP($A262,AffordabilityRatio!$A$2:$I$321,5,FALSE))</f>
        <v>8.7899999999999991</v>
      </c>
      <c r="AJ262" s="268">
        <f>IF(ISNUMBER('Sensitivity Tests'!$C$30),'Sensitivity Tests'!$C$30,VLOOKUP($A262,AffordabilityRatio!$A$2:$I$321,6,FALSE))</f>
        <v>8.99</v>
      </c>
      <c r="AK262" s="268">
        <f>IF(ISNUMBER('Sensitivity Tests'!$C$30),'Sensitivity Tests'!$C$30,VLOOKUP($A262,AffordabilityRatio!$A$2:$I$321,7,FALSE))</f>
        <v>8.69</v>
      </c>
      <c r="AL262" s="268">
        <f>IF(ISNUMBER('Sensitivity Tests'!$C$30),'Sensitivity Tests'!$C$30,IF((VLOOKUP($A262,AffordabilityRatio!$A$2:$I$321,8,FALSE))="",AK262,VLOOKUP($A262,AffordabilityRatio!$A$2:$I$321,8,FALSE)))</f>
        <v>8.44</v>
      </c>
      <c r="AM262" s="268">
        <f>IF(ISNUMBER('Sensitivity Tests'!$C$30),'Sensitivity Tests'!$C$30,IF((VLOOKUP($A262,AffordabilityRatio!$A$2:$I$321,9,FALSE))="",AL262,VLOOKUP($A262,AffordabilityRatio!$A$2:$I$321,9,FALSE)))</f>
        <v>10.27</v>
      </c>
      <c r="AN262" s="268">
        <f>IF(ISNUMBER('Sensitivity Tests'!$C$30),'Sensitivity Tests'!$C$30,IF((VLOOKUP($A262,AffordabilityRatio!$A$2:$I$321,9,FALSE))="",AM262,VLOOKUP($A262,AffordabilityRatio!$A$2:$I$321,9,FALSE)))</f>
        <v>10.27</v>
      </c>
      <c r="AO262" s="268">
        <f>IF(ISNUMBER('Sensitivity Tests'!$C$30),'Sensitivity Tests'!$C$30,IF((VLOOKUP($A262,AffordabilityRatio!$A$2:$I$321,9,FALSE))="",AN262,VLOOKUP($A262,AffordabilityRatio!$A$2:$I$321,9,FALSE)))</f>
        <v>10.27</v>
      </c>
      <c r="AP262" s="268">
        <f>IF(ISNUMBER('Sensitivity Tests'!$C$30),'Sensitivity Tests'!$C$30,IF((VLOOKUP($A262,AffordabilityRatio!$A$2:$I$321,9,FALSE))="",AO262,VLOOKUP($A262,AffordabilityRatio!$A$2:$I$321,9,FALSE)))</f>
        <v>10.27</v>
      </c>
      <c r="AQ262" s="267">
        <f t="shared" si="199"/>
        <v>651</v>
      </c>
      <c r="AR262" s="267">
        <f t="shared" si="199"/>
        <v>651</v>
      </c>
      <c r="AS262" s="267">
        <f t="shared" si="199"/>
        <v>635</v>
      </c>
      <c r="AT262" s="267">
        <f t="shared" si="199"/>
        <v>600</v>
      </c>
      <c r="AU262" s="267">
        <f t="shared" si="199"/>
        <v>640</v>
      </c>
      <c r="AV262" s="267">
        <f t="shared" si="199"/>
        <v>627</v>
      </c>
      <c r="AW262" s="267">
        <f t="shared" si="199"/>
        <v>614</v>
      </c>
      <c r="AX262" s="267">
        <f t="shared" si="199"/>
        <v>603</v>
      </c>
      <c r="AY262" s="267">
        <f t="shared" ref="AY262:AY322" si="218">IF(AA262&lt;0,0,IF(K262="-",MIN((MAX(J262, AA262)+((MAX(J262, AA262))*0.4)),AQ262),MIN(K262+(K262*0.4),AQ262)))</f>
        <v>638.4</v>
      </c>
      <c r="AZ262" s="267">
        <f t="shared" ref="AZ262:AZ322" si="219">IF(AB262&lt;0,0,IF(L262="-",MIN((MAX(J262, AB262)+((MAX(J262, AB262))*0.4)),AR262),MIN(L262+(L262*0.4),AR262)))</f>
        <v>638.4</v>
      </c>
      <c r="BA262" s="267">
        <f t="shared" ref="BA262:BA322" si="220">IF(AC262&lt;0,0,IF(M262="-",MIN((MAX(J262, AC262)+((MAX(J262, AC262))*0.4)),AS262),MIN(M262+(M262*0.4),AS262)))</f>
        <v>635</v>
      </c>
      <c r="BB262" s="267">
        <f t="shared" ref="BB262:BB322" si="221">IF(AD262&lt;0,0,IF(N262="-",MIN((MAX(J262, AD262)+((MAX(J262, AD262))*0.4)),AT262),MIN(N262+(N262*0.4),AT262)))</f>
        <v>600</v>
      </c>
      <c r="BC262" s="267">
        <f t="shared" ref="BC262:BC322" si="222">IF(AE262&lt;0,0,IF(O262="-",MIN((MAX(J262, AE262)+((MAX(J262, AE262))*0.4)),AU262),MIN(O262+(O262*0.4),AU262)))</f>
        <v>640</v>
      </c>
      <c r="BD262" s="267">
        <f t="shared" ref="BD262:BD322" si="223">IF(AF262&lt;0,0,IF(P262="-",MIN((MAX(J262, AF262)+((MAX(J262, AF262))*0.4)),AV262),MIN(P262+(P262*0.4),AV262)))</f>
        <v>627</v>
      </c>
      <c r="BE262" s="267">
        <f t="shared" ref="BE262:BE322" si="224">IF(AG262&lt;0,0,IF(Q262="-",MIN((MAX(J262, AG262)+((MAX(J262, AG262))*0.4)),AW262),MIN(Q262+(Q262*0.4),AW262)))</f>
        <v>614</v>
      </c>
      <c r="BF262" s="267">
        <f t="shared" ref="BF262:BF322" si="225">IF(AH262&lt;0,0,IF(R262="-",MIN((MAX(J262, AH262)+((MAX(J262, AH262))*0.4)),AX262),MIN(R262+(R262*0.4),AX262)))</f>
        <v>603</v>
      </c>
      <c r="BG262" s="269">
        <f>AY262*VLOOKUP($B262,'Major Cities &amp; Towns'!$A$28:$B$345,2,FALSE)</f>
        <v>638.4</v>
      </c>
      <c r="BH262" s="269">
        <f>AZ262*VLOOKUP($B262,'Major Cities &amp; Towns'!$A$28:$B$345,2,FALSE)</f>
        <v>638.4</v>
      </c>
      <c r="BI262" s="269">
        <f>BA262*VLOOKUP($B262,'Major Cities &amp; Towns'!$A$28:$B$345,2,FALSE)</f>
        <v>635</v>
      </c>
      <c r="BJ262" s="269">
        <f>BB262*VLOOKUP($B262,'Major Cities &amp; Towns'!$A$28:$B$345,2,FALSE)</f>
        <v>600</v>
      </c>
      <c r="BK262" s="269">
        <f>BC262*VLOOKUP($B262,'Major Cities &amp; Towns'!$A$28:$B$345,2,FALSE)</f>
        <v>640</v>
      </c>
      <c r="BL262" s="269">
        <f>BD262*VLOOKUP($B262,'Major Cities &amp; Towns'!$A$28:$B$345,2,FALSE)</f>
        <v>627</v>
      </c>
      <c r="BM262" s="269">
        <f>BE262*VLOOKUP($B262,'Major Cities &amp; Towns'!$A$28:$B$345,2,FALSE)</f>
        <v>614</v>
      </c>
      <c r="BN262" s="269">
        <f>BF262*VLOOKUP($B262,'Major Cities &amp; Towns'!$A$28:$B$345,2,FALSE)</f>
        <v>603</v>
      </c>
      <c r="BO262" s="270">
        <f t="shared" ref="BO262:BO322" si="226">IFERROR(IF(AND(S262&lt;365,S262&gt;0),SUM(((S262/365)*(MIN(K262,BG262)))+(((365-S262)/365)*AQ262)),(MIN(K262,AQ262))),AQ262)</f>
        <v>456</v>
      </c>
      <c r="BP262" s="270">
        <f t="shared" si="201"/>
        <v>456</v>
      </c>
      <c r="BQ262" s="270">
        <f t="shared" si="201"/>
        <v>521.2246575342466</v>
      </c>
      <c r="BR262" s="270">
        <f t="shared" si="201"/>
        <v>600</v>
      </c>
      <c r="BS262" s="270">
        <f t="shared" si="200"/>
        <v>640</v>
      </c>
      <c r="BT262" s="270">
        <f t="shared" si="200"/>
        <v>627</v>
      </c>
      <c r="BU262" s="270">
        <f t="shared" si="200"/>
        <v>614</v>
      </c>
      <c r="BV262" s="270">
        <f t="shared" si="200"/>
        <v>603</v>
      </c>
      <c r="BW262" s="39">
        <f>VLOOKUP($A262,NetAdditions!$A$2:$H$336,6,FALSE)</f>
        <v>564</v>
      </c>
      <c r="BX262" s="39">
        <f>VLOOKUP($A262,NetAdditions!$A$2:$H$336,7,FALSE)</f>
        <v>663</v>
      </c>
      <c r="BY262" s="39">
        <f>IF((VLOOKUP($C262,NetAdditions!$A$2:$H$336,8,FALSE))="",(AVERAGE(VLOOKUP($C262,NetAdditions!$A$2:$H$336,5,FALSE),VLOOKUP($C262,NetAdditions!$A$2:$H$336,6,FALSE),VLOOKUP($C262,NetAdditions!$A$2:$H$336,7,FALSE))),VLOOKUP($C262,NetAdditions!$A$2:$H$336,8,FALSE))</f>
        <v>749</v>
      </c>
      <c r="BZ262" s="39">
        <f t="shared" si="196"/>
        <v>658.66666666666663</v>
      </c>
      <c r="CA262" s="39">
        <f t="shared" si="196"/>
        <v>690.22222222222217</v>
      </c>
      <c r="CB262" s="39">
        <f t="shared" si="196"/>
        <v>699.29629629629619</v>
      </c>
      <c r="CC262" s="39">
        <f t="shared" si="196"/>
        <v>682.72839506172829</v>
      </c>
      <c r="CD262" s="39">
        <f t="shared" si="196"/>
        <v>690.74897119341551</v>
      </c>
      <c r="CE262" s="276">
        <f t="shared" si="202"/>
        <v>1433.2246575342465</v>
      </c>
      <c r="CF262" s="276">
        <f t="shared" si="203"/>
        <v>1577.2246575342465</v>
      </c>
      <c r="CG262" s="276">
        <f t="shared" si="204"/>
        <v>1761.2246575342465</v>
      </c>
      <c r="CH262" s="276">
        <f t="shared" si="205"/>
        <v>1867</v>
      </c>
      <c r="CI262" s="276">
        <f t="shared" si="206"/>
        <v>1881</v>
      </c>
      <c r="CJ262" s="276">
        <f t="shared" si="207"/>
        <v>1844</v>
      </c>
      <c r="CK262" s="276">
        <f t="shared" ref="CK262:CK322" si="227">CE262*((24+7)/36)</f>
        <v>1234.1656773211569</v>
      </c>
      <c r="CL262" s="276">
        <f t="shared" ref="CL262:CL322" si="228">CF262*((24+7)/36)</f>
        <v>1358.1656773211569</v>
      </c>
      <c r="CM262" s="276">
        <f t="shared" ref="CM262:CM322" si="229">CG262*((24+9)/36)</f>
        <v>1614.4559360730593</v>
      </c>
      <c r="CN262" s="276">
        <f t="shared" ref="CN262:CP322" si="230">CH262</f>
        <v>1867</v>
      </c>
      <c r="CO262" s="276">
        <f t="shared" si="230"/>
        <v>1881</v>
      </c>
      <c r="CP262" s="276">
        <f t="shared" si="230"/>
        <v>1844</v>
      </c>
      <c r="CQ262" s="39">
        <f t="shared" si="208"/>
        <v>1976</v>
      </c>
      <c r="CR262" s="39">
        <f t="shared" si="209"/>
        <v>2070.6666666666665</v>
      </c>
      <c r="CS262" s="277">
        <f t="shared" si="210"/>
        <v>2097.8888888888887</v>
      </c>
      <c r="CT262" s="39">
        <f t="shared" si="211"/>
        <v>2048.1851851851848</v>
      </c>
      <c r="CU262" s="39">
        <f t="shared" si="212"/>
        <v>2072.2469135802467</v>
      </c>
      <c r="CV262" s="39">
        <f t="shared" si="213"/>
        <v>2072.7736625514399</v>
      </c>
      <c r="CW262" s="297">
        <f t="shared" si="214"/>
        <v>1.6010816345898118</v>
      </c>
      <c r="CX262" s="279" t="str">
        <f t="shared" ref="CX262:CX322" si="231">IF(CW262&lt;0.25, "Presumption", IF(CW262&lt;0.85, "Buffer and Action Plan", IF(CW262&lt;0.95, "Action Plan", "Pass")))</f>
        <v>Pass</v>
      </c>
      <c r="CY262" s="278">
        <f t="shared" si="215"/>
        <v>1.5246053565061701</v>
      </c>
      <c r="CZ262" s="279" t="str">
        <f t="shared" ref="CZ262:CZ322" si="232">IF(CY262&lt;0.45, "Presumption", IF(CY262&lt;0.85, "Buffer and Action Plan", IF(CY262&lt;0.95, "Action Plan", "Pass")))</f>
        <v>Pass</v>
      </c>
      <c r="DA262" s="278">
        <f t="shared" si="216"/>
        <v>1.2994401655778312</v>
      </c>
      <c r="DB262" s="292" t="str">
        <f t="shared" ref="DB262:DB322" si="233">IF(DA262&lt;0.75, "Presumption", IF(DA262&lt;0.85, "Buffer and Action Plan", IF(DA262&lt;0.95, "Action Plan", "Pass")))</f>
        <v>Pass</v>
      </c>
      <c r="DC262" s="299">
        <f t="shared" ref="DC262:DC322" si="234">IFERROR(CT262/CN262,"-")</f>
        <v>1.0970461623916361</v>
      </c>
      <c r="DD262" s="293" t="str">
        <f t="shared" ref="DD262:DD322" si="235">IF(DC262&lt;0.75, "Presumption", IF(DC262&lt;0.85, "Buffer and Action Plan", IF(DC262&lt;0.95, "Action Plan", "Pass")))</f>
        <v>Pass</v>
      </c>
      <c r="DE262" s="299">
        <f t="shared" ref="DE262:DE322" si="236">IFERROR(CU262/CO262,"-")</f>
        <v>1.1016730003084778</v>
      </c>
      <c r="DF262" s="293" t="str">
        <f t="shared" ref="DF262:DF322" si="237">IF(DE262&lt;0.75, "Presumption", IF(DE262&lt;0.85, "Buffer and Action Plan", IF(DE262&lt;0.95, "Action Plan", "Pass")))</f>
        <v>Pass</v>
      </c>
      <c r="DG262" s="299">
        <f t="shared" ref="DG262:DG322" si="238">IFERROR(CV262/CP262,"-")</f>
        <v>1.1240638083250758</v>
      </c>
      <c r="DH262" s="293" t="str">
        <f t="shared" ref="DH262:DH322" si="239">IF(DG262&lt;0.75, "Presumption", IF(DG262&lt;0.85, "Buffer and Action Plan", IF(DG262&lt;0.95, "Action Plan", "Pass")))</f>
        <v>Pass</v>
      </c>
    </row>
    <row r="263" spans="1:112" ht="15" thickTop="1" thickBot="1">
      <c r="A263" s="38" t="s">
        <v>636</v>
      </c>
      <c r="B263" s="38" t="s">
        <v>637</v>
      </c>
      <c r="C263" s="38" t="s">
        <v>636</v>
      </c>
      <c r="D263" s="38" t="s">
        <v>259</v>
      </c>
      <c r="E263" s="38" t="str">
        <f>VLOOKUP(C263,PoliticalControl!A:K,11,FALSE)</f>
        <v>LAB</v>
      </c>
      <c r="F263" s="38" t="str">
        <f>VLOOKUP(C263,UrbanRuralClassification!A:N,13,FALSE)</f>
        <v>Urban with Major Conurbation</v>
      </c>
      <c r="G263" s="38" t="str">
        <f>VLOOKUP(C263,UrbanRuralClassification!A:N,14,FALSE)</f>
        <v>Predominantly Urban</v>
      </c>
      <c r="H263" s="258">
        <f>IF(ISBLANK((VLOOKUP($A263,'local-plan-data'!$C$1:$AD$566,27,FALSE)))=TRUE,"",VLOOKUP($A263,'local-plan-data'!$C$1:$AD$566,27,FALSE))</f>
        <v>43860</v>
      </c>
      <c r="I263" s="259">
        <f>VLOOKUP($A263,'local-plan-data'!$C$1:$AD$566,28,FALSE)</f>
        <v>745</v>
      </c>
      <c r="J263" s="260">
        <f t="shared" si="217"/>
        <v>745</v>
      </c>
      <c r="K263" s="259">
        <f t="shared" si="193"/>
        <v>745</v>
      </c>
      <c r="L263" s="259">
        <f t="shared" si="197"/>
        <v>745</v>
      </c>
      <c r="M263" s="259">
        <f t="shared" si="197"/>
        <v>745</v>
      </c>
      <c r="N263" s="259">
        <f t="shared" si="197"/>
        <v>745</v>
      </c>
      <c r="O263" s="259">
        <f t="shared" si="197"/>
        <v>745</v>
      </c>
      <c r="P263" s="259">
        <f t="shared" si="197"/>
        <v>745</v>
      </c>
      <c r="Q263" s="259">
        <f t="shared" si="197"/>
        <v>745</v>
      </c>
      <c r="R263" s="259" t="str">
        <f t="shared" si="197"/>
        <v>-</v>
      </c>
      <c r="S263" s="259">
        <f t="shared" si="194"/>
        <v>2496</v>
      </c>
      <c r="T263" s="259">
        <f t="shared" si="198"/>
        <v>2131</v>
      </c>
      <c r="U263" s="259">
        <f t="shared" si="198"/>
        <v>1765</v>
      </c>
      <c r="V263" s="259">
        <f t="shared" si="198"/>
        <v>1400</v>
      </c>
      <c r="W263" s="259">
        <f t="shared" si="198"/>
        <v>1035</v>
      </c>
      <c r="X263" s="259">
        <f t="shared" si="198"/>
        <v>670</v>
      </c>
      <c r="Y263" s="259">
        <f t="shared" si="198"/>
        <v>304</v>
      </c>
      <c r="Z263" s="259">
        <f t="shared" si="198"/>
        <v>-61</v>
      </c>
      <c r="AA263" s="267">
        <f>(VLOOKUP(A263,Hshldprojections2014!$A$2:$AW$319,40, FALSE)-VLOOKUP(A263,Hshldprojections2014!$A$2:$AW$319,30, FALSE))/10</f>
        <v>554.29999999999995</v>
      </c>
      <c r="AB263" s="267">
        <f>(VLOOKUP(A263,Hshldprojections2014!$A$2:$AW$319,41, FALSE)-VLOOKUP(A263,Hshldprojections2014!$A$2:$AW$319,31, FALSE))/10</f>
        <v>544</v>
      </c>
      <c r="AC263" s="267">
        <f>(VLOOKUP(A263,Hshldprojections2014!$A$2:$AW$319,42, FALSE)-VLOOKUP(A263,Hshldprojections2014!$A$2:$AW$319,32, FALSE))/10</f>
        <v>531.29999999999995</v>
      </c>
      <c r="AD263" s="267">
        <f>IF(IndividualLATest!$J$7=2014,(VLOOKUP($A263,Hshldprojections2014!$A$2:$AY$326,43,FALSE)-VLOOKUP($A263,Hshldprojections2014!$A$2:$AY$326,33,FALSE))/10,IF(IndividualLATest!$J$7=2016,(VLOOKUP($A263,Hshldprojections2016!$A$1:$AQ$322,33,FALSE)-VLOOKUP($A263,Hshldprojections2016!$A$1:$AQ$322,23,FALSE))/10,(VLOOKUP($A263,Hshldprojections2018!$A$1:$AQ$327,33,FALSE)-VLOOKUP($A263,Hshldprojections2018!$A$1:$AQ$327,23,FALSE))/10))</f>
        <v>197.7</v>
      </c>
      <c r="AE263" s="267">
        <f>IF(IndividualLATest!$J$7=2014,(VLOOKUP($A263,Hshldprojections2014!$A$2:$AY$326,44,FALSE)-VLOOKUP($A263,Hshldprojections2014!$A$2:$AY$326,34,FALSE))/10,IF(IndividualLATest!$J$7=2016,(VLOOKUP($A263,Hshldprojections2016!$A$1:$AQ$322,34,FALSE)-VLOOKUP($A263,Hshldprojections2016!$A$1:$AQ$322,24,FALSE))/10,(VLOOKUP($A263,Hshldprojections2018!$A$1:$AQ$327,34,FALSE)-VLOOKUP($A263,Hshldprojections2018!$A$1:$AQ$327,24,FALSE))/10))</f>
        <v>200.6</v>
      </c>
      <c r="AF263" s="267">
        <f>IF(IndividualLATest!$J$7=2014,(VLOOKUP($A263,Hshldprojections2014!$A$2:$AY$326,45,FALSE)-VLOOKUP($A263,Hshldprojections2014!$A$2:$AY$326,35,FALSE))/10,IF(IndividualLATest!$J$7=2016,(VLOOKUP($A263,Hshldprojections2016!$A$1:$AQ$322,35,FALSE)-VLOOKUP($A263,Hshldprojections2016!$A$1:$AQ$322,25,FALSE))/10,(VLOOKUP($A263,Hshldprojections2018!$A$1:$AQ$327,35,FALSE)-VLOOKUP($A263,Hshldprojections2018!$A$1:$AQ$327,25,FALSE))/10))</f>
        <v>200.8</v>
      </c>
      <c r="AG263" s="267">
        <f>IF(IndividualLATest!$J$7=2014,(VLOOKUP($A263,Hshldprojections2014!$A$2:$AY$326,46,FALSE)-VLOOKUP($A263,Hshldprojections2014!$A$2:$AY$326,36,FALSE))/10,IF(IndividualLATest!$J$7=2016,(VLOOKUP($A263,Hshldprojections2016!$A$1:$AQ$322,36,FALSE)-VLOOKUP($A263,Hshldprojections2016!$A$1:$AQ$322,26,FALSE))/10,(VLOOKUP($A263,Hshldprojections2018!$A$1:$AQ$327,36,FALSE)-VLOOKUP($A263,Hshldprojections2018!$A$1:$AQ$327,26,FALSE))/10))</f>
        <v>201.8</v>
      </c>
      <c r="AH263" s="267">
        <f>IF(IndividualLATest!$J$7=2014,(VLOOKUP($A263,Hshldprojections2014!$A$2:$AY$326,47,FALSE)-VLOOKUP($A263,Hshldprojections2014!$A$2:$AY$326,37,FALSE))/10,IF(IndividualLATest!$J$7=2016,(VLOOKUP($A263,Hshldprojections2016!$A$1:$AQ$322,37,FALSE)-VLOOKUP($A263,Hshldprojections2016!$A$1:$AQ$322,27,FALSE))/10,(VLOOKUP($A263,Hshldprojections2018!$A$1:$AQ$327,37,FALSE)-VLOOKUP($A263,Hshldprojections2018!$A$1:$AQ$327,27,FALSE))/10))</f>
        <v>201.8</v>
      </c>
      <c r="AI263" s="268">
        <f>IF(ISNUMBER('Sensitivity Tests'!$C$30),'Sensitivity Tests'!$C$30,VLOOKUP($A263,AffordabilityRatio!$A$2:$I$321,5,FALSE))</f>
        <v>4.78</v>
      </c>
      <c r="AJ263" s="268">
        <f>IF(ISNUMBER('Sensitivity Tests'!$C$30),'Sensitivity Tests'!$C$30,VLOOKUP($A263,AffordabilityRatio!$A$2:$I$321,6,FALSE))</f>
        <v>4.87</v>
      </c>
      <c r="AK263" s="268">
        <f>IF(ISNUMBER('Sensitivity Tests'!$C$30),'Sensitivity Tests'!$C$30,VLOOKUP($A263,AffordabilityRatio!$A$2:$I$321,7,FALSE))</f>
        <v>4.79</v>
      </c>
      <c r="AL263" s="268">
        <f>IF(ISNUMBER('Sensitivity Tests'!$C$30),'Sensitivity Tests'!$C$30,IF((VLOOKUP($A263,AffordabilityRatio!$A$2:$I$321,8,FALSE))="",AK263,VLOOKUP($A263,AffordabilityRatio!$A$2:$I$321,8,FALSE)))</f>
        <v>4.46</v>
      </c>
      <c r="AM263" s="268">
        <f>IF(ISNUMBER('Sensitivity Tests'!$C$30),'Sensitivity Tests'!$C$30,IF((VLOOKUP($A263,AffordabilityRatio!$A$2:$I$321,9,FALSE))="",AL263,VLOOKUP($A263,AffordabilityRatio!$A$2:$I$321,9,FALSE)))</f>
        <v>4.96</v>
      </c>
      <c r="AN263" s="268">
        <f>IF(ISNUMBER('Sensitivity Tests'!$C$30),'Sensitivity Tests'!$C$30,IF((VLOOKUP($A263,AffordabilityRatio!$A$2:$I$321,9,FALSE))="",AM263,VLOOKUP($A263,AffordabilityRatio!$A$2:$I$321,9,FALSE)))</f>
        <v>4.96</v>
      </c>
      <c r="AO263" s="268">
        <f>IF(ISNUMBER('Sensitivity Tests'!$C$30),'Sensitivity Tests'!$C$30,IF((VLOOKUP($A263,AffordabilityRatio!$A$2:$I$321,9,FALSE))="",AN263,VLOOKUP($A263,AffordabilityRatio!$A$2:$I$321,9,FALSE)))</f>
        <v>4.96</v>
      </c>
      <c r="AP263" s="268">
        <f>IF(ISNUMBER('Sensitivity Tests'!$C$30),'Sensitivity Tests'!$C$30,IF((VLOOKUP($A263,AffordabilityRatio!$A$2:$I$321,9,FALSE))="",AO263,VLOOKUP($A263,AffordabilityRatio!$A$2:$I$321,9,FALSE)))</f>
        <v>4.96</v>
      </c>
      <c r="AQ263" s="267">
        <f t="shared" si="199"/>
        <v>581</v>
      </c>
      <c r="AR263" s="267">
        <f t="shared" si="199"/>
        <v>574</v>
      </c>
      <c r="AS263" s="267">
        <f t="shared" si="199"/>
        <v>558</v>
      </c>
      <c r="AT263" s="267">
        <f t="shared" si="199"/>
        <v>203</v>
      </c>
      <c r="AU263" s="267">
        <f t="shared" si="199"/>
        <v>213</v>
      </c>
      <c r="AV263" s="267">
        <f t="shared" si="199"/>
        <v>213</v>
      </c>
      <c r="AW263" s="267">
        <f t="shared" si="199"/>
        <v>214</v>
      </c>
      <c r="AX263" s="267">
        <f t="shared" si="199"/>
        <v>214</v>
      </c>
      <c r="AY263" s="267">
        <f t="shared" si="218"/>
        <v>581</v>
      </c>
      <c r="AZ263" s="267">
        <f t="shared" si="219"/>
        <v>574</v>
      </c>
      <c r="BA263" s="267">
        <f t="shared" si="220"/>
        <v>558</v>
      </c>
      <c r="BB263" s="267">
        <f t="shared" si="221"/>
        <v>203</v>
      </c>
      <c r="BC263" s="267">
        <f t="shared" si="222"/>
        <v>213</v>
      </c>
      <c r="BD263" s="267">
        <f t="shared" si="223"/>
        <v>213</v>
      </c>
      <c r="BE263" s="267">
        <f t="shared" si="224"/>
        <v>214</v>
      </c>
      <c r="BF263" s="267">
        <f t="shared" si="225"/>
        <v>214</v>
      </c>
      <c r="BG263" s="269">
        <f>AY263*VLOOKUP($B263,'Major Cities &amp; Towns'!$A$28:$B$345,2,FALSE)</f>
        <v>581</v>
      </c>
      <c r="BH263" s="269">
        <f>AZ263*VLOOKUP($B263,'Major Cities &amp; Towns'!$A$28:$B$345,2,FALSE)</f>
        <v>574</v>
      </c>
      <c r="BI263" s="269">
        <f>BA263*VLOOKUP($B263,'Major Cities &amp; Towns'!$A$28:$B$345,2,FALSE)</f>
        <v>558</v>
      </c>
      <c r="BJ263" s="269">
        <f>BB263*VLOOKUP($B263,'Major Cities &amp; Towns'!$A$28:$B$345,2,FALSE)</f>
        <v>203</v>
      </c>
      <c r="BK263" s="269">
        <f>BC263*VLOOKUP($B263,'Major Cities &amp; Towns'!$A$28:$B$345,2,FALSE)</f>
        <v>213</v>
      </c>
      <c r="BL263" s="269">
        <f>BD263*VLOOKUP($B263,'Major Cities &amp; Towns'!$A$28:$B$345,2,FALSE)</f>
        <v>213</v>
      </c>
      <c r="BM263" s="269">
        <f>BE263*VLOOKUP($B263,'Major Cities &amp; Towns'!$A$28:$B$345,2,FALSE)</f>
        <v>214</v>
      </c>
      <c r="BN263" s="269">
        <f>BF263*VLOOKUP($B263,'Major Cities &amp; Towns'!$A$28:$B$345,2,FALSE)</f>
        <v>214</v>
      </c>
      <c r="BO263" s="270">
        <f t="shared" si="226"/>
        <v>581</v>
      </c>
      <c r="BP263" s="270">
        <f t="shared" si="201"/>
        <v>574</v>
      </c>
      <c r="BQ263" s="270">
        <f t="shared" si="201"/>
        <v>558</v>
      </c>
      <c r="BR263" s="270">
        <f t="shared" si="201"/>
        <v>203</v>
      </c>
      <c r="BS263" s="270">
        <f t="shared" si="200"/>
        <v>213</v>
      </c>
      <c r="BT263" s="270">
        <f t="shared" si="200"/>
        <v>213</v>
      </c>
      <c r="BU263" s="270">
        <f t="shared" si="200"/>
        <v>214</v>
      </c>
      <c r="BV263" s="270">
        <f t="shared" si="200"/>
        <v>214</v>
      </c>
      <c r="BW263" s="39">
        <f>VLOOKUP($A263,NetAdditions!$A$2:$H$336,6,FALSE)</f>
        <v>706</v>
      </c>
      <c r="BX263" s="39">
        <f>VLOOKUP($A263,NetAdditions!$A$2:$H$336,7,FALSE)</f>
        <v>813</v>
      </c>
      <c r="BY263" s="39">
        <f>IF((VLOOKUP($C263,NetAdditions!$A$2:$H$336,8,FALSE))="",(AVERAGE(VLOOKUP($C263,NetAdditions!$A$2:$H$336,5,FALSE),VLOOKUP($C263,NetAdditions!$A$2:$H$336,6,FALSE),VLOOKUP($C263,NetAdditions!$A$2:$H$336,7,FALSE))),VLOOKUP($C263,NetAdditions!$A$2:$H$336,8,FALSE))</f>
        <v>669</v>
      </c>
      <c r="BZ263" s="39">
        <f t="shared" si="196"/>
        <v>729.33333333333337</v>
      </c>
      <c r="CA263" s="39">
        <f t="shared" si="196"/>
        <v>737.1111111111112</v>
      </c>
      <c r="CB263" s="39">
        <f t="shared" si="196"/>
        <v>711.81481481481489</v>
      </c>
      <c r="CC263" s="39">
        <f t="shared" si="196"/>
        <v>726.08641975308649</v>
      </c>
      <c r="CD263" s="39">
        <f t="shared" si="196"/>
        <v>725.00411522633749</v>
      </c>
      <c r="CE263" s="276">
        <f t="shared" si="202"/>
        <v>1713</v>
      </c>
      <c r="CF263" s="276">
        <f t="shared" si="203"/>
        <v>1335</v>
      </c>
      <c r="CG263" s="276">
        <f t="shared" si="204"/>
        <v>974</v>
      </c>
      <c r="CH263" s="276">
        <f t="shared" si="205"/>
        <v>629</v>
      </c>
      <c r="CI263" s="276">
        <f t="shared" si="206"/>
        <v>640</v>
      </c>
      <c r="CJ263" s="276">
        <f t="shared" si="207"/>
        <v>641</v>
      </c>
      <c r="CK263" s="276">
        <f t="shared" si="227"/>
        <v>1475.0833333333335</v>
      </c>
      <c r="CL263" s="276">
        <f t="shared" si="228"/>
        <v>1149.5833333333335</v>
      </c>
      <c r="CM263" s="276">
        <f t="shared" si="229"/>
        <v>892.83333333333326</v>
      </c>
      <c r="CN263" s="276">
        <f t="shared" si="230"/>
        <v>629</v>
      </c>
      <c r="CO263" s="276">
        <f t="shared" si="230"/>
        <v>640</v>
      </c>
      <c r="CP263" s="276">
        <f t="shared" si="230"/>
        <v>641</v>
      </c>
      <c r="CQ263" s="39">
        <f t="shared" si="208"/>
        <v>2188</v>
      </c>
      <c r="CR263" s="39">
        <f t="shared" si="209"/>
        <v>2211.3333333333335</v>
      </c>
      <c r="CS263" s="277">
        <f t="shared" si="210"/>
        <v>2135.4444444444448</v>
      </c>
      <c r="CT263" s="39">
        <f t="shared" si="211"/>
        <v>2178.2592592592596</v>
      </c>
      <c r="CU263" s="39">
        <f t="shared" si="212"/>
        <v>2175.0123456790125</v>
      </c>
      <c r="CV263" s="39">
        <f t="shared" si="213"/>
        <v>2162.9053497942386</v>
      </c>
      <c r="CW263" s="297">
        <f t="shared" si="214"/>
        <v>1.4833060279080277</v>
      </c>
      <c r="CX263" s="279" t="str">
        <f t="shared" si="231"/>
        <v>Pass</v>
      </c>
      <c r="CY263" s="278">
        <f t="shared" si="215"/>
        <v>1.9235955056179774</v>
      </c>
      <c r="CZ263" s="279" t="str">
        <f t="shared" si="232"/>
        <v>Pass</v>
      </c>
      <c r="DA263" s="278">
        <f t="shared" si="216"/>
        <v>2.3917615580859941</v>
      </c>
      <c r="DB263" s="292" t="str">
        <f t="shared" si="233"/>
        <v>Pass</v>
      </c>
      <c r="DC263" s="299">
        <f t="shared" si="234"/>
        <v>3.4630512865806988</v>
      </c>
      <c r="DD263" s="293" t="str">
        <f t="shared" si="235"/>
        <v>Pass</v>
      </c>
      <c r="DE263" s="299">
        <f t="shared" si="236"/>
        <v>3.3984567901234568</v>
      </c>
      <c r="DF263" s="293" t="str">
        <f t="shared" si="237"/>
        <v>Pass</v>
      </c>
      <c r="DG263" s="299">
        <f t="shared" si="238"/>
        <v>3.3742673163716672</v>
      </c>
      <c r="DH263" s="293" t="str">
        <f t="shared" si="239"/>
        <v>Pass</v>
      </c>
    </row>
    <row r="264" spans="1:112" ht="15" thickTop="1" thickBot="1">
      <c r="A264" s="38" t="s">
        <v>638</v>
      </c>
      <c r="B264" s="38" t="s">
        <v>639</v>
      </c>
      <c r="C264" s="38" t="s">
        <v>638</v>
      </c>
      <c r="D264" s="38" t="s">
        <v>113</v>
      </c>
      <c r="E264" s="38" t="str">
        <f>VLOOKUP(C264,PoliticalControl!A:K,11,FALSE)</f>
        <v>NOC</v>
      </c>
      <c r="F264" s="38" t="str">
        <f>VLOOKUP(C264,UrbanRuralClassification!A:N,13,FALSE)</f>
        <v>Urban with City and Town</v>
      </c>
      <c r="G264" s="38" t="str">
        <f>VLOOKUP(C264,UrbanRuralClassification!A:N,14,FALSE)</f>
        <v>Predominantly Urban</v>
      </c>
      <c r="H264" s="258">
        <f>IF(ISBLANK((VLOOKUP($A264,'local-plan-data'!$C$1:$AD$566,27,FALSE)))=TRUE,"",VLOOKUP($A264,'local-plan-data'!$C$1:$AD$566,27,FALSE))</f>
        <v>40940</v>
      </c>
      <c r="I264" s="259">
        <f>VLOOKUP($A264,'local-plan-data'!$C$1:$AD$566,28,FALSE)</f>
        <v>190.58823529411765</v>
      </c>
      <c r="J264" s="260">
        <f t="shared" si="217"/>
        <v>190.58823529411765</v>
      </c>
      <c r="K264" s="259" t="str">
        <f t="shared" si="193"/>
        <v>-</v>
      </c>
      <c r="L264" s="259" t="str">
        <f t="shared" si="197"/>
        <v>-</v>
      </c>
      <c r="M264" s="259" t="str">
        <f t="shared" si="197"/>
        <v>-</v>
      </c>
      <c r="N264" s="259" t="str">
        <f t="shared" si="197"/>
        <v>-</v>
      </c>
      <c r="O264" s="259" t="str">
        <f t="shared" si="197"/>
        <v>-</v>
      </c>
      <c r="P264" s="259" t="str">
        <f t="shared" si="197"/>
        <v>-</v>
      </c>
      <c r="Q264" s="259" t="str">
        <f t="shared" si="197"/>
        <v>-</v>
      </c>
      <c r="R264" s="259" t="str">
        <f t="shared" si="197"/>
        <v>-</v>
      </c>
      <c r="S264" s="259">
        <f t="shared" si="194"/>
        <v>-424</v>
      </c>
      <c r="T264" s="259">
        <f t="shared" si="198"/>
        <v>-789</v>
      </c>
      <c r="U264" s="259">
        <f t="shared" si="198"/>
        <v>-1155</v>
      </c>
      <c r="V264" s="259">
        <f t="shared" si="198"/>
        <v>-1520</v>
      </c>
      <c r="W264" s="259">
        <f t="shared" si="198"/>
        <v>-1885</v>
      </c>
      <c r="X264" s="259">
        <f t="shared" si="198"/>
        <v>-2250</v>
      </c>
      <c r="Y264" s="259">
        <f t="shared" si="198"/>
        <v>-2616</v>
      </c>
      <c r="Z264" s="259">
        <f t="shared" si="198"/>
        <v>-2981</v>
      </c>
      <c r="AA264" s="267">
        <f>(VLOOKUP(A264,Hshldprojections2014!$A$2:$AW$319,40, FALSE)-VLOOKUP(A264,Hshldprojections2014!$A$2:$AW$319,30, FALSE))/10</f>
        <v>240.3</v>
      </c>
      <c r="AB264" s="267">
        <f>(VLOOKUP(A264,Hshldprojections2014!$A$2:$AW$319,41, FALSE)-VLOOKUP(A264,Hshldprojections2014!$A$2:$AW$319,31, FALSE))/10</f>
        <v>237.2</v>
      </c>
      <c r="AC264" s="267">
        <f>(VLOOKUP(A264,Hshldprojections2014!$A$2:$AW$319,42, FALSE)-VLOOKUP(A264,Hshldprojections2014!$A$2:$AW$319,32, FALSE))/10</f>
        <v>234</v>
      </c>
      <c r="AD264" s="267">
        <f>IF(IndividualLATest!$J$7=2014,(VLOOKUP($A264,Hshldprojections2014!$A$2:$AY$326,43,FALSE)-VLOOKUP($A264,Hshldprojections2014!$A$2:$AY$326,33,FALSE))/10,IF(IndividualLATest!$J$7=2016,(VLOOKUP($A264,Hshldprojections2016!$A$1:$AQ$322,33,FALSE)-VLOOKUP($A264,Hshldprojections2016!$A$1:$AQ$322,23,FALSE))/10,(VLOOKUP($A264,Hshldprojections2018!$A$1:$AQ$327,33,FALSE)-VLOOKUP($A264,Hshldprojections2018!$A$1:$AQ$327,23,FALSE))/10))</f>
        <v>68.7</v>
      </c>
      <c r="AE264" s="267">
        <f>IF(IndividualLATest!$J$7=2014,(VLOOKUP($A264,Hshldprojections2014!$A$2:$AY$326,44,FALSE)-VLOOKUP($A264,Hshldprojections2014!$A$2:$AY$326,34,FALSE))/10,IF(IndividualLATest!$J$7=2016,(VLOOKUP($A264,Hshldprojections2016!$A$1:$AQ$322,34,FALSE)-VLOOKUP($A264,Hshldprojections2016!$A$1:$AQ$322,24,FALSE))/10,(VLOOKUP($A264,Hshldprojections2018!$A$1:$AQ$327,34,FALSE)-VLOOKUP($A264,Hshldprojections2018!$A$1:$AQ$327,24,FALSE))/10))</f>
        <v>64</v>
      </c>
      <c r="AF264" s="267">
        <f>IF(IndividualLATest!$J$7=2014,(VLOOKUP($A264,Hshldprojections2014!$A$2:$AY$326,45,FALSE)-VLOOKUP($A264,Hshldprojections2014!$A$2:$AY$326,35,FALSE))/10,IF(IndividualLATest!$J$7=2016,(VLOOKUP($A264,Hshldprojections2016!$A$1:$AQ$322,35,FALSE)-VLOOKUP($A264,Hshldprojections2016!$A$1:$AQ$322,25,FALSE))/10,(VLOOKUP($A264,Hshldprojections2018!$A$1:$AQ$327,35,FALSE)-VLOOKUP($A264,Hshldprojections2018!$A$1:$AQ$327,25,FALSE))/10))</f>
        <v>59.8</v>
      </c>
      <c r="AG264" s="267">
        <f>IF(IndividualLATest!$J$7=2014,(VLOOKUP($A264,Hshldprojections2014!$A$2:$AY$326,46,FALSE)-VLOOKUP($A264,Hshldprojections2014!$A$2:$AY$326,36,FALSE))/10,IF(IndividualLATest!$J$7=2016,(VLOOKUP($A264,Hshldprojections2016!$A$1:$AQ$322,36,FALSE)-VLOOKUP($A264,Hshldprojections2016!$A$1:$AQ$322,26,FALSE))/10,(VLOOKUP($A264,Hshldprojections2018!$A$1:$AQ$327,36,FALSE)-VLOOKUP($A264,Hshldprojections2018!$A$1:$AQ$327,26,FALSE))/10))</f>
        <v>59.1</v>
      </c>
      <c r="AH264" s="267">
        <f>IF(IndividualLATest!$J$7=2014,(VLOOKUP($A264,Hshldprojections2014!$A$2:$AY$326,47,FALSE)-VLOOKUP($A264,Hshldprojections2014!$A$2:$AY$326,37,FALSE))/10,IF(IndividualLATest!$J$7=2016,(VLOOKUP($A264,Hshldprojections2016!$A$1:$AQ$322,37,FALSE)-VLOOKUP($A264,Hshldprojections2016!$A$1:$AQ$322,27,FALSE))/10,(VLOOKUP($A264,Hshldprojections2018!$A$1:$AQ$327,37,FALSE)-VLOOKUP($A264,Hshldprojections2018!$A$1:$AQ$327,27,FALSE))/10))</f>
        <v>59.1</v>
      </c>
      <c r="AI264" s="268">
        <f>IF(ISNUMBER('Sensitivity Tests'!$C$30),'Sensitivity Tests'!$C$30,VLOOKUP($A264,AffordabilityRatio!$A$2:$I$321,5,FALSE))</f>
        <v>13.04</v>
      </c>
      <c r="AJ264" s="268">
        <f>IF(ISNUMBER('Sensitivity Tests'!$C$30),'Sensitivity Tests'!$C$30,VLOOKUP($A264,AffordabilityRatio!$A$2:$I$321,6,FALSE))</f>
        <v>13.13</v>
      </c>
      <c r="AK264" s="268">
        <f>IF(ISNUMBER('Sensitivity Tests'!$C$30),'Sensitivity Tests'!$C$30,VLOOKUP($A264,AffordabilityRatio!$A$2:$I$321,7,FALSE))</f>
        <v>11.22</v>
      </c>
      <c r="AL264" s="268">
        <f>IF(ISNUMBER('Sensitivity Tests'!$C$30),'Sensitivity Tests'!$C$30,IF((VLOOKUP($A264,AffordabilityRatio!$A$2:$I$321,8,FALSE))="",AK264,VLOOKUP($A264,AffordabilityRatio!$A$2:$I$321,8,FALSE)))</f>
        <v>11.09</v>
      </c>
      <c r="AM264" s="268">
        <f>IF(ISNUMBER('Sensitivity Tests'!$C$30),'Sensitivity Tests'!$C$30,IF((VLOOKUP($A264,AffordabilityRatio!$A$2:$I$321,9,FALSE))="",AL264,VLOOKUP($A264,AffordabilityRatio!$A$2:$I$321,9,FALSE)))</f>
        <v>11.84</v>
      </c>
      <c r="AN264" s="268">
        <f>IF(ISNUMBER('Sensitivity Tests'!$C$30),'Sensitivity Tests'!$C$30,IF((VLOOKUP($A264,AffordabilityRatio!$A$2:$I$321,9,FALSE))="",AM264,VLOOKUP($A264,AffordabilityRatio!$A$2:$I$321,9,FALSE)))</f>
        <v>11.84</v>
      </c>
      <c r="AO264" s="268">
        <f>IF(ISNUMBER('Sensitivity Tests'!$C$30),'Sensitivity Tests'!$C$30,IF((VLOOKUP($A264,AffordabilityRatio!$A$2:$I$321,9,FALSE))="",AN264,VLOOKUP($A264,AffordabilityRatio!$A$2:$I$321,9,FALSE)))</f>
        <v>11.84</v>
      </c>
      <c r="AP264" s="268">
        <f>IF(ISNUMBER('Sensitivity Tests'!$C$30),'Sensitivity Tests'!$C$30,IF((VLOOKUP($A264,AffordabilityRatio!$A$2:$I$321,9,FALSE))="",AO264,VLOOKUP($A264,AffordabilityRatio!$A$2:$I$321,9,FALSE)))</f>
        <v>11.84</v>
      </c>
      <c r="AQ264" s="267">
        <f t="shared" si="199"/>
        <v>376</v>
      </c>
      <c r="AR264" s="267">
        <f t="shared" si="199"/>
        <v>373</v>
      </c>
      <c r="AS264" s="267">
        <f t="shared" si="199"/>
        <v>340</v>
      </c>
      <c r="AT264" s="267">
        <f t="shared" si="199"/>
        <v>99</v>
      </c>
      <c r="AU264" s="267">
        <f t="shared" si="199"/>
        <v>95</v>
      </c>
      <c r="AV264" s="267">
        <f t="shared" si="199"/>
        <v>89</v>
      </c>
      <c r="AW264" s="267">
        <f t="shared" si="199"/>
        <v>88</v>
      </c>
      <c r="AX264" s="267">
        <f t="shared" si="199"/>
        <v>88</v>
      </c>
      <c r="AY264" s="267">
        <f t="shared" si="218"/>
        <v>336.42</v>
      </c>
      <c r="AZ264" s="267">
        <f t="shared" si="219"/>
        <v>332.08</v>
      </c>
      <c r="BA264" s="267">
        <f t="shared" si="220"/>
        <v>327.60000000000002</v>
      </c>
      <c r="BB264" s="267">
        <f t="shared" si="221"/>
        <v>99</v>
      </c>
      <c r="BC264" s="267">
        <f t="shared" si="222"/>
        <v>95</v>
      </c>
      <c r="BD264" s="267">
        <f t="shared" si="223"/>
        <v>89</v>
      </c>
      <c r="BE264" s="267">
        <f t="shared" si="224"/>
        <v>88</v>
      </c>
      <c r="BF264" s="267">
        <f t="shared" si="225"/>
        <v>88</v>
      </c>
      <c r="BG264" s="269">
        <f>AY264*VLOOKUP($B264,'Major Cities &amp; Towns'!$A$28:$B$345,2,FALSE)</f>
        <v>336.42</v>
      </c>
      <c r="BH264" s="269">
        <f>AZ264*VLOOKUP($B264,'Major Cities &amp; Towns'!$A$28:$B$345,2,FALSE)</f>
        <v>332.08</v>
      </c>
      <c r="BI264" s="269">
        <f>BA264*VLOOKUP($B264,'Major Cities &amp; Towns'!$A$28:$B$345,2,FALSE)</f>
        <v>327.60000000000002</v>
      </c>
      <c r="BJ264" s="269">
        <f>BB264*VLOOKUP($B264,'Major Cities &amp; Towns'!$A$28:$B$345,2,FALSE)</f>
        <v>99</v>
      </c>
      <c r="BK264" s="269">
        <f>BC264*VLOOKUP($B264,'Major Cities &amp; Towns'!$A$28:$B$345,2,FALSE)</f>
        <v>95</v>
      </c>
      <c r="BL264" s="269">
        <f>BD264*VLOOKUP($B264,'Major Cities &amp; Towns'!$A$28:$B$345,2,FALSE)</f>
        <v>89</v>
      </c>
      <c r="BM264" s="269">
        <f>BE264*VLOOKUP($B264,'Major Cities &amp; Towns'!$A$28:$B$345,2,FALSE)</f>
        <v>88</v>
      </c>
      <c r="BN264" s="269">
        <f>BF264*VLOOKUP($B264,'Major Cities &amp; Towns'!$A$28:$B$345,2,FALSE)</f>
        <v>88</v>
      </c>
      <c r="BO264" s="270">
        <f t="shared" si="226"/>
        <v>376</v>
      </c>
      <c r="BP264" s="270">
        <f t="shared" si="201"/>
        <v>373</v>
      </c>
      <c r="BQ264" s="270">
        <f t="shared" si="201"/>
        <v>340</v>
      </c>
      <c r="BR264" s="270">
        <f t="shared" si="201"/>
        <v>99</v>
      </c>
      <c r="BS264" s="270">
        <f t="shared" si="200"/>
        <v>95</v>
      </c>
      <c r="BT264" s="270">
        <f t="shared" si="200"/>
        <v>89</v>
      </c>
      <c r="BU264" s="270">
        <f t="shared" si="200"/>
        <v>88</v>
      </c>
      <c r="BV264" s="270">
        <f t="shared" si="200"/>
        <v>88</v>
      </c>
      <c r="BW264" s="39">
        <f>VLOOKUP($A264,NetAdditions!$A$2:$H$336,6,FALSE)</f>
        <v>368</v>
      </c>
      <c r="BX264" s="39">
        <f>VLOOKUP($A264,NetAdditions!$A$2:$H$336,7,FALSE)</f>
        <v>376</v>
      </c>
      <c r="BY264" s="39">
        <f>IF((VLOOKUP($C264,NetAdditions!$A$2:$H$336,8,FALSE))="",(AVERAGE(VLOOKUP($C264,NetAdditions!$A$2:$H$336,5,FALSE),VLOOKUP($C264,NetAdditions!$A$2:$H$336,6,FALSE),VLOOKUP($C264,NetAdditions!$A$2:$H$336,7,FALSE))),VLOOKUP($C264,NetAdditions!$A$2:$H$336,8,FALSE))</f>
        <v>352</v>
      </c>
      <c r="BZ264" s="39">
        <f t="shared" si="196"/>
        <v>365.33333333333331</v>
      </c>
      <c r="CA264" s="39">
        <f t="shared" si="196"/>
        <v>364.4444444444444</v>
      </c>
      <c r="CB264" s="39">
        <f t="shared" si="196"/>
        <v>360.59259259259255</v>
      </c>
      <c r="CC264" s="39">
        <f t="shared" si="196"/>
        <v>363.45679012345676</v>
      </c>
      <c r="CD264" s="39">
        <f t="shared" si="196"/>
        <v>362.83127572016457</v>
      </c>
      <c r="CE264" s="276">
        <f t="shared" si="202"/>
        <v>1089</v>
      </c>
      <c r="CF264" s="276">
        <f t="shared" si="203"/>
        <v>812</v>
      </c>
      <c r="CG264" s="276">
        <f t="shared" si="204"/>
        <v>534</v>
      </c>
      <c r="CH264" s="276">
        <f t="shared" si="205"/>
        <v>283</v>
      </c>
      <c r="CI264" s="276">
        <f t="shared" si="206"/>
        <v>272</v>
      </c>
      <c r="CJ264" s="276">
        <f t="shared" si="207"/>
        <v>265</v>
      </c>
      <c r="CK264" s="276">
        <f t="shared" si="227"/>
        <v>937.75</v>
      </c>
      <c r="CL264" s="276">
        <f t="shared" si="228"/>
        <v>699.22222222222229</v>
      </c>
      <c r="CM264" s="276">
        <f t="shared" si="229"/>
        <v>489.5</v>
      </c>
      <c r="CN264" s="276">
        <f t="shared" si="230"/>
        <v>283</v>
      </c>
      <c r="CO264" s="276">
        <f t="shared" si="230"/>
        <v>272</v>
      </c>
      <c r="CP264" s="276">
        <f t="shared" si="230"/>
        <v>265</v>
      </c>
      <c r="CQ264" s="39">
        <f t="shared" si="208"/>
        <v>1096</v>
      </c>
      <c r="CR264" s="39">
        <f t="shared" si="209"/>
        <v>1093.3333333333333</v>
      </c>
      <c r="CS264" s="277">
        <f t="shared" si="210"/>
        <v>1081.7777777777776</v>
      </c>
      <c r="CT264" s="39">
        <f t="shared" si="211"/>
        <v>1090.3703703703702</v>
      </c>
      <c r="CU264" s="39">
        <f t="shared" si="212"/>
        <v>1088.4938271604938</v>
      </c>
      <c r="CV264" s="39">
        <f t="shared" si="213"/>
        <v>1086.8806584362139</v>
      </c>
      <c r="CW264" s="297">
        <f t="shared" si="214"/>
        <v>1.168754998667022</v>
      </c>
      <c r="CX264" s="279" t="str">
        <f t="shared" si="231"/>
        <v>Pass</v>
      </c>
      <c r="CY264" s="278">
        <f t="shared" si="215"/>
        <v>1.563642142062609</v>
      </c>
      <c r="CZ264" s="279" t="str">
        <f t="shared" si="232"/>
        <v>Pass</v>
      </c>
      <c r="DA264" s="278">
        <f t="shared" si="216"/>
        <v>2.2099648167063894</v>
      </c>
      <c r="DB264" s="292" t="str">
        <f t="shared" si="233"/>
        <v>Pass</v>
      </c>
      <c r="DC264" s="299">
        <f t="shared" si="234"/>
        <v>3.8528988352309903</v>
      </c>
      <c r="DD264" s="293" t="str">
        <f t="shared" si="235"/>
        <v>Pass</v>
      </c>
      <c r="DE264" s="299">
        <f t="shared" si="236"/>
        <v>4.0018155410312275</v>
      </c>
      <c r="DF264" s="293" t="str">
        <f t="shared" si="237"/>
        <v>Pass</v>
      </c>
      <c r="DG264" s="299">
        <f t="shared" si="238"/>
        <v>4.1014364469291094</v>
      </c>
      <c r="DH264" s="293" t="str">
        <f t="shared" si="239"/>
        <v>Pass</v>
      </c>
    </row>
    <row r="265" spans="1:112" customFormat="1" ht="15.5" thickTop="1" thickBot="1">
      <c r="A265" s="3" t="s">
        <v>640</v>
      </c>
      <c r="B265" s="3" t="s">
        <v>641</v>
      </c>
      <c r="C265" s="3" t="s">
        <v>640</v>
      </c>
      <c r="D265" s="3" t="s">
        <v>131</v>
      </c>
      <c r="E265" s="3" t="str">
        <f>VLOOKUP(C265,PoliticalControl!A:K,11,FALSE)</f>
        <v>LD</v>
      </c>
      <c r="F265" s="3" t="str">
        <f>VLOOKUP(C265,UrbanRuralClassification!A:N,13,FALSE)</f>
        <v>Urban with Major Conurbation</v>
      </c>
      <c r="G265" s="3" t="str">
        <f>VLOOKUP(C265,UrbanRuralClassification!A:N,14,FALSE)</f>
        <v>Predominantly Urban</v>
      </c>
      <c r="H265" s="262">
        <f>IF(ISBLANK((VLOOKUP($A265,'local-plan-data'!$C$1:$AD$566,27,FALSE)))=TRUE,"",VLOOKUP($A265,'local-plan-data'!$C$1:$AD$566,27,FALSE))</f>
        <v>43157</v>
      </c>
      <c r="I265" s="263">
        <f>VLOOKUP($A265,'local-plan-data'!$C$1:$AD$566,28,FALSE)</f>
        <v>427</v>
      </c>
      <c r="J265" s="264">
        <f t="shared" si="217"/>
        <v>427</v>
      </c>
      <c r="K265" s="259">
        <f t="shared" si="193"/>
        <v>427</v>
      </c>
      <c r="L265" s="259">
        <f t="shared" si="193"/>
        <v>427</v>
      </c>
      <c r="M265" s="259">
        <f t="shared" si="193"/>
        <v>427</v>
      </c>
      <c r="N265" s="259">
        <f t="shared" si="193"/>
        <v>427</v>
      </c>
      <c r="O265" s="259">
        <f t="shared" si="193"/>
        <v>427</v>
      </c>
      <c r="P265" s="259" t="str">
        <f t="shared" si="193"/>
        <v>-</v>
      </c>
      <c r="Q265" s="259" t="str">
        <f t="shared" si="193"/>
        <v>-</v>
      </c>
      <c r="R265" s="259" t="str">
        <f t="shared" si="193"/>
        <v>-</v>
      </c>
      <c r="S265" s="259">
        <f t="shared" si="194"/>
        <v>1792</v>
      </c>
      <c r="T265" s="259">
        <f t="shared" si="194"/>
        <v>1427</v>
      </c>
      <c r="U265" s="259">
        <f t="shared" si="194"/>
        <v>1061</v>
      </c>
      <c r="V265" s="259">
        <f t="shared" si="194"/>
        <v>696</v>
      </c>
      <c r="W265" s="259">
        <f t="shared" si="194"/>
        <v>331</v>
      </c>
      <c r="X265" s="259">
        <f t="shared" si="194"/>
        <v>-34</v>
      </c>
      <c r="Y265" s="259">
        <f t="shared" si="194"/>
        <v>-400</v>
      </c>
      <c r="Z265" s="259">
        <f t="shared" si="194"/>
        <v>-765</v>
      </c>
      <c r="AA265" s="267">
        <f>(VLOOKUP(A265,Hshldprojections2014!$A$2:$AW$319,40, FALSE)-VLOOKUP(A265,Hshldprojections2014!$A$2:$AW$319,30, FALSE))/10</f>
        <v>1260.7</v>
      </c>
      <c r="AB265" s="267">
        <f>(VLOOKUP(A265,Hshldprojections2014!$A$2:$AW$319,41, FALSE)-VLOOKUP(A265,Hshldprojections2014!$A$2:$AW$319,31, FALSE))/10</f>
        <v>1255.7</v>
      </c>
      <c r="AC265" s="267">
        <f>(VLOOKUP(A265,Hshldprojections2014!$A$2:$AW$319,42, FALSE)-VLOOKUP(A265,Hshldprojections2014!$A$2:$AW$319,32, FALSE))/10</f>
        <v>1251.2</v>
      </c>
      <c r="AD265" s="267">
        <f>IF(IndividualLATest!$J$7=2014,(VLOOKUP($A265,Hshldprojections2014!$A$2:$AY$326,43,FALSE)-VLOOKUP($A265,Hshldprojections2014!$A$2:$AY$326,33,FALSE))/10,IF(IndividualLATest!$J$7=2016,(VLOOKUP($A265,Hshldprojections2016!$A$1:$AQ$322,33,FALSE)-VLOOKUP($A265,Hshldprojections2016!$A$1:$AQ$322,23,FALSE))/10,(VLOOKUP($A265,Hshldprojections2018!$A$1:$AQ$327,33,FALSE)-VLOOKUP($A265,Hshldprojections2018!$A$1:$AQ$327,23,FALSE))/10))</f>
        <v>537.70000000000005</v>
      </c>
      <c r="AE265" s="267">
        <f>IF(IndividualLATest!$J$7=2014,(VLOOKUP($A265,Hshldprojections2014!$A$2:$AY$326,44,FALSE)-VLOOKUP($A265,Hshldprojections2014!$A$2:$AY$326,34,FALSE))/10,IF(IndividualLATest!$J$7=2016,(VLOOKUP($A265,Hshldprojections2016!$A$1:$AQ$322,34,FALSE)-VLOOKUP($A265,Hshldprojections2016!$A$1:$AQ$322,24,FALSE))/10,(VLOOKUP($A265,Hshldprojections2018!$A$1:$AQ$327,34,FALSE)-VLOOKUP($A265,Hshldprojections2018!$A$1:$AQ$327,24,FALSE))/10))</f>
        <v>517.5</v>
      </c>
      <c r="AF265" s="267">
        <f>IF(IndividualLATest!$J$7=2014,(VLOOKUP($A265,Hshldprojections2014!$A$2:$AY$326,45,FALSE)-VLOOKUP($A265,Hshldprojections2014!$A$2:$AY$326,35,FALSE))/10,IF(IndividualLATest!$J$7=2016,(VLOOKUP($A265,Hshldprojections2016!$A$1:$AQ$322,35,FALSE)-VLOOKUP($A265,Hshldprojections2016!$A$1:$AQ$322,25,FALSE))/10,(VLOOKUP($A265,Hshldprojections2018!$A$1:$AQ$327,35,FALSE)-VLOOKUP($A265,Hshldprojections2018!$A$1:$AQ$327,25,FALSE))/10))</f>
        <v>501.2</v>
      </c>
      <c r="AG265" s="267">
        <f>IF(IndividualLATest!$J$7=2014,(VLOOKUP($A265,Hshldprojections2014!$A$2:$AY$326,46,FALSE)-VLOOKUP($A265,Hshldprojections2014!$A$2:$AY$326,36,FALSE))/10,IF(IndividualLATest!$J$7=2016,(VLOOKUP($A265,Hshldprojections2016!$A$1:$AQ$322,36,FALSE)-VLOOKUP($A265,Hshldprojections2016!$A$1:$AQ$322,26,FALSE))/10,(VLOOKUP($A265,Hshldprojections2018!$A$1:$AQ$327,36,FALSE)-VLOOKUP($A265,Hshldprojections2018!$A$1:$AQ$327,26,FALSE))/10))</f>
        <v>487.1</v>
      </c>
      <c r="AH265" s="267">
        <f>IF(IndividualLATest!$J$7=2014,(VLOOKUP($A265,Hshldprojections2014!$A$2:$AY$326,47,FALSE)-VLOOKUP($A265,Hshldprojections2014!$A$2:$AY$326,37,FALSE))/10,IF(IndividualLATest!$J$7=2016,(VLOOKUP($A265,Hshldprojections2016!$A$1:$AQ$322,37,FALSE)-VLOOKUP($A265,Hshldprojections2016!$A$1:$AQ$322,27,FALSE))/10,(VLOOKUP($A265,Hshldprojections2018!$A$1:$AQ$327,37,FALSE)-VLOOKUP($A265,Hshldprojections2018!$A$1:$AQ$327,27,FALSE))/10))</f>
        <v>476</v>
      </c>
      <c r="AI265" s="268">
        <f>IF(ISNUMBER('Sensitivity Tests'!$C$30),'Sensitivity Tests'!$C$30,VLOOKUP($A265,AffordabilityRatio!$A$2:$I$321,5,FALSE))</f>
        <v>12.88</v>
      </c>
      <c r="AJ265" s="268">
        <f>IF(ISNUMBER('Sensitivity Tests'!$C$30),'Sensitivity Tests'!$C$30,VLOOKUP($A265,AffordabilityRatio!$A$2:$I$321,6,FALSE))</f>
        <v>13.34</v>
      </c>
      <c r="AK265" s="268">
        <f>IF(ISNUMBER('Sensitivity Tests'!$C$30),'Sensitivity Tests'!$C$30,VLOOKUP($A265,AffordabilityRatio!$A$2:$I$321,7,FALSE))</f>
        <v>11.52</v>
      </c>
      <c r="AL265" s="268">
        <f>IF(ISNUMBER('Sensitivity Tests'!$C$30),'Sensitivity Tests'!$C$30,IF((VLOOKUP($A265,AffordabilityRatio!$A$2:$I$321,8,FALSE))="",AK265,VLOOKUP($A265,AffordabilityRatio!$A$2:$I$321,8,FALSE)))</f>
        <v>11.11</v>
      </c>
      <c r="AM265" s="268">
        <f>IF(ISNUMBER('Sensitivity Tests'!$C$30),'Sensitivity Tests'!$C$30,IF((VLOOKUP($A265,AffordabilityRatio!$A$2:$I$321,9,FALSE))="",AL265,VLOOKUP($A265,AffordabilityRatio!$A$2:$I$321,9,FALSE)))</f>
        <v>14.24</v>
      </c>
      <c r="AN265" s="268">
        <f>IF(ISNUMBER('Sensitivity Tests'!$C$30),'Sensitivity Tests'!$C$30,IF((VLOOKUP($A265,AffordabilityRatio!$A$2:$I$321,9,FALSE))="",AM265,VLOOKUP($A265,AffordabilityRatio!$A$2:$I$321,9,FALSE)))</f>
        <v>14.24</v>
      </c>
      <c r="AO265" s="268">
        <f>IF(ISNUMBER('Sensitivity Tests'!$C$30),'Sensitivity Tests'!$C$30,IF((VLOOKUP($A265,AffordabilityRatio!$A$2:$I$321,9,FALSE))="",AN265,VLOOKUP($A265,AffordabilityRatio!$A$2:$I$321,9,FALSE)))</f>
        <v>14.24</v>
      </c>
      <c r="AP265" s="268">
        <f>IF(ISNUMBER('Sensitivity Tests'!$C$30),'Sensitivity Tests'!$C$30,IF((VLOOKUP($A265,AffordabilityRatio!$A$2:$I$321,9,FALSE))="",AO265,VLOOKUP($A265,AffordabilityRatio!$A$2:$I$321,9,FALSE)))</f>
        <v>14.24</v>
      </c>
      <c r="AQ265" s="267">
        <f t="shared" si="199"/>
        <v>1960</v>
      </c>
      <c r="AR265" s="267">
        <f t="shared" si="199"/>
        <v>1989</v>
      </c>
      <c r="AS265" s="267">
        <f t="shared" si="199"/>
        <v>1839</v>
      </c>
      <c r="AT265" s="267">
        <f t="shared" si="199"/>
        <v>777</v>
      </c>
      <c r="AU265" s="267">
        <f t="shared" si="199"/>
        <v>849</v>
      </c>
      <c r="AV265" s="267">
        <f t="shared" si="199"/>
        <v>822</v>
      </c>
      <c r="AW265" s="267">
        <f t="shared" si="199"/>
        <v>799</v>
      </c>
      <c r="AX265" s="267">
        <f t="shared" si="199"/>
        <v>781</v>
      </c>
      <c r="AY265" s="267">
        <f t="shared" si="218"/>
        <v>597.79999999999995</v>
      </c>
      <c r="AZ265" s="267">
        <f t="shared" si="219"/>
        <v>597.79999999999995</v>
      </c>
      <c r="BA265" s="267">
        <f t="shared" si="220"/>
        <v>597.79999999999995</v>
      </c>
      <c r="BB265" s="267">
        <f t="shared" si="221"/>
        <v>597.79999999999995</v>
      </c>
      <c r="BC265" s="267">
        <f t="shared" si="222"/>
        <v>597.79999999999995</v>
      </c>
      <c r="BD265" s="267">
        <f t="shared" si="223"/>
        <v>701.68000000000006</v>
      </c>
      <c r="BE265" s="267">
        <f t="shared" si="224"/>
        <v>681.94</v>
      </c>
      <c r="BF265" s="267">
        <f t="shared" si="225"/>
        <v>666.4</v>
      </c>
      <c r="BG265" s="269">
        <f>AY265*VLOOKUP($B265,'Major Cities &amp; Towns'!$A$28:$B$345,2,FALSE)</f>
        <v>807.03</v>
      </c>
      <c r="BH265" s="269">
        <f>AZ265*VLOOKUP($B265,'Major Cities &amp; Towns'!$A$28:$B$345,2,FALSE)</f>
        <v>807.03</v>
      </c>
      <c r="BI265" s="269">
        <f>BA265*VLOOKUP($B265,'Major Cities &amp; Towns'!$A$28:$B$345,2,FALSE)</f>
        <v>807.03</v>
      </c>
      <c r="BJ265" s="269">
        <f>BB265*VLOOKUP($B265,'Major Cities &amp; Towns'!$A$28:$B$345,2,FALSE)</f>
        <v>807.03</v>
      </c>
      <c r="BK265" s="269">
        <f>BC265*VLOOKUP($B265,'Major Cities &amp; Towns'!$A$28:$B$345,2,FALSE)</f>
        <v>807.03</v>
      </c>
      <c r="BL265" s="269">
        <f>BD265*VLOOKUP($B265,'Major Cities &amp; Towns'!$A$28:$B$345,2,FALSE)</f>
        <v>947.26800000000014</v>
      </c>
      <c r="BM265" s="269">
        <f>BE265*VLOOKUP($B265,'Major Cities &amp; Towns'!$A$28:$B$345,2,FALSE)</f>
        <v>920.61900000000014</v>
      </c>
      <c r="BN265" s="269">
        <f>BF265*VLOOKUP($B265,'Major Cities &amp; Towns'!$A$28:$B$345,2,FALSE)</f>
        <v>899.64</v>
      </c>
      <c r="BO265" s="270">
        <f t="shared" si="226"/>
        <v>427</v>
      </c>
      <c r="BP265" s="270">
        <f t="shared" si="201"/>
        <v>427</v>
      </c>
      <c r="BQ265" s="270">
        <f t="shared" si="201"/>
        <v>427</v>
      </c>
      <c r="BR265" s="270">
        <f t="shared" si="201"/>
        <v>427</v>
      </c>
      <c r="BS265" s="270">
        <f t="shared" si="200"/>
        <v>466.30958904109593</v>
      </c>
      <c r="BT265" s="270">
        <f t="shared" si="200"/>
        <v>822</v>
      </c>
      <c r="BU265" s="270">
        <f t="shared" si="200"/>
        <v>799</v>
      </c>
      <c r="BV265" s="270">
        <f t="shared" si="200"/>
        <v>781</v>
      </c>
      <c r="BW265" s="39">
        <f>VLOOKUP($A265,NetAdditions!$A$2:$H$336,6,FALSE)</f>
        <v>575</v>
      </c>
      <c r="BX265" s="39">
        <f>VLOOKUP($A265,NetAdditions!$A$2:$H$336,7,FALSE)</f>
        <v>573</v>
      </c>
      <c r="BY265" s="39">
        <f>IF((VLOOKUP($C265,NetAdditions!$A$2:$H$336,8,FALSE))="",(AVERAGE(VLOOKUP($C265,NetAdditions!$A$2:$H$336,5,FALSE),VLOOKUP($C265,NetAdditions!$A$2:$H$336,6,FALSE),VLOOKUP($C265,NetAdditions!$A$2:$H$336,7,FALSE))),VLOOKUP($C265,NetAdditions!$A$2:$H$336,8,FALSE))</f>
        <v>313</v>
      </c>
      <c r="BZ265" s="39">
        <f t="shared" si="196"/>
        <v>487</v>
      </c>
      <c r="CA265" s="39">
        <f t="shared" si="196"/>
        <v>457.66666666666669</v>
      </c>
      <c r="CB265" s="39">
        <f t="shared" si="196"/>
        <v>419.22222222222223</v>
      </c>
      <c r="CC265" s="39">
        <f t="shared" si="196"/>
        <v>454.62962962962962</v>
      </c>
      <c r="CD265" s="39">
        <f t="shared" si="196"/>
        <v>443.83950617283949</v>
      </c>
      <c r="CE265" s="276">
        <f t="shared" si="202"/>
        <v>1281</v>
      </c>
      <c r="CF265" s="276">
        <f t="shared" si="203"/>
        <v>1281</v>
      </c>
      <c r="CG265" s="276">
        <f t="shared" si="204"/>
        <v>1320.3095890410959</v>
      </c>
      <c r="CH265" s="276">
        <f t="shared" si="205"/>
        <v>1715.3095890410959</v>
      </c>
      <c r="CI265" s="276">
        <f t="shared" si="206"/>
        <v>2087.3095890410959</v>
      </c>
      <c r="CJ265" s="276">
        <f t="shared" si="207"/>
        <v>2402</v>
      </c>
      <c r="CK265" s="276">
        <f t="shared" si="227"/>
        <v>1103.0833333333335</v>
      </c>
      <c r="CL265" s="276">
        <f t="shared" si="228"/>
        <v>1103.0833333333335</v>
      </c>
      <c r="CM265" s="276">
        <f t="shared" si="229"/>
        <v>1210.2837899543379</v>
      </c>
      <c r="CN265" s="276">
        <f t="shared" si="230"/>
        <v>1715.3095890410959</v>
      </c>
      <c r="CO265" s="276">
        <f t="shared" si="230"/>
        <v>2087.3095890410959</v>
      </c>
      <c r="CP265" s="276">
        <f t="shared" si="230"/>
        <v>2402</v>
      </c>
      <c r="CQ265" s="39">
        <f t="shared" si="208"/>
        <v>1461</v>
      </c>
      <c r="CR265" s="39">
        <f t="shared" si="209"/>
        <v>1373</v>
      </c>
      <c r="CS265" s="277">
        <f t="shared" si="210"/>
        <v>1257.6666666666667</v>
      </c>
      <c r="CT265" s="39">
        <f t="shared" si="211"/>
        <v>1363.8888888888889</v>
      </c>
      <c r="CU265" s="39">
        <f t="shared" si="212"/>
        <v>1331.5185185185185</v>
      </c>
      <c r="CV265" s="39">
        <f t="shared" si="213"/>
        <v>1317.6913580246915</v>
      </c>
      <c r="CW265" s="297">
        <f t="shared" si="214"/>
        <v>1.3244692906247637</v>
      </c>
      <c r="CX265" s="279" t="str">
        <f t="shared" si="231"/>
        <v>Pass</v>
      </c>
      <c r="CY265" s="278">
        <f t="shared" si="215"/>
        <v>1.2446929062476391</v>
      </c>
      <c r="CZ265" s="279" t="str">
        <f t="shared" si="232"/>
        <v>Pass</v>
      </c>
      <c r="DA265" s="278">
        <f t="shared" si="216"/>
        <v>1.0391502200604674</v>
      </c>
      <c r="DB265" s="292" t="str">
        <f t="shared" si="233"/>
        <v>Pass</v>
      </c>
      <c r="DC265" s="299">
        <f t="shared" si="234"/>
        <v>0.79512695410939749</v>
      </c>
      <c r="DD265" s="293" t="str">
        <f t="shared" si="235"/>
        <v>Buffer and Action Plan</v>
      </c>
      <c r="DE265" s="299">
        <f t="shared" si="236"/>
        <v>0.63791136950135618</v>
      </c>
      <c r="DF265" s="293" t="str">
        <f t="shared" si="237"/>
        <v>Presumption</v>
      </c>
      <c r="DG265" s="299">
        <f t="shared" si="238"/>
        <v>0.54858091508105389</v>
      </c>
      <c r="DH265" s="293" t="str">
        <f t="shared" si="239"/>
        <v>Presumption</v>
      </c>
    </row>
    <row r="266" spans="1:112" ht="15" thickTop="1" thickBot="1">
      <c r="A266" s="38" t="s">
        <v>642</v>
      </c>
      <c r="B266" s="38" t="s">
        <v>643</v>
      </c>
      <c r="C266" s="38" t="s">
        <v>642</v>
      </c>
      <c r="D266" s="38" t="s">
        <v>113</v>
      </c>
      <c r="E266" s="38" t="str">
        <f>VLOOKUP(C266,PoliticalControl!A:K,11,FALSE)</f>
        <v>NOC</v>
      </c>
      <c r="F266" s="38" t="str">
        <f>VLOOKUP(C266,UrbanRuralClassification!A:N,13,FALSE)</f>
        <v xml:space="preserve">Largely Rural (rural including hub towns 50-79%) </v>
      </c>
      <c r="G266" s="38" t="str">
        <f>VLOOKUP(C266,UrbanRuralClassification!A:N,14,FALSE)</f>
        <v>Predominantly Rural</v>
      </c>
      <c r="H266" s="258">
        <f>IF(ISBLANK((VLOOKUP($A266,'local-plan-data'!$C$1:$AD$566,27,FALSE)))=TRUE,"",VLOOKUP($A266,'local-plan-data'!$C$1:$AD$566,27,FALSE))</f>
        <v>42942</v>
      </c>
      <c r="I266" s="259">
        <f>VLOOKUP($A266,'local-plan-data'!$C$1:$AD$566,28,FALSE)</f>
        <v>776</v>
      </c>
      <c r="J266" s="260">
        <f t="shared" si="217"/>
        <v>776</v>
      </c>
      <c r="K266" s="259">
        <f t="shared" ref="K266:R297" si="240">IF(AND(ISNUMBER($H266),ISNUMBER($J266)),IF(($H266-K$1&gt;0),$J266,IF(DATEDIF($H266,K$1,"y")&lt;5,$J266,"-")),"-")</f>
        <v>776</v>
      </c>
      <c r="L266" s="259">
        <f t="shared" si="240"/>
        <v>776</v>
      </c>
      <c r="M266" s="259">
        <f t="shared" si="240"/>
        <v>776</v>
      </c>
      <c r="N266" s="259">
        <f t="shared" si="240"/>
        <v>776</v>
      </c>
      <c r="O266" s="259">
        <f t="shared" si="240"/>
        <v>776</v>
      </c>
      <c r="P266" s="259" t="str">
        <f t="shared" si="240"/>
        <v>-</v>
      </c>
      <c r="Q266" s="259" t="str">
        <f t="shared" si="240"/>
        <v>-</v>
      </c>
      <c r="R266" s="259" t="str">
        <f t="shared" si="240"/>
        <v>-</v>
      </c>
      <c r="S266" s="259">
        <f t="shared" ref="S266:Z297" si="241">IFERROR((EDATE($H266,60))-S$1,"-")</f>
        <v>1577</v>
      </c>
      <c r="T266" s="259">
        <f t="shared" si="241"/>
        <v>1212</v>
      </c>
      <c r="U266" s="259">
        <f t="shared" si="241"/>
        <v>846</v>
      </c>
      <c r="V266" s="259">
        <f t="shared" si="241"/>
        <v>481</v>
      </c>
      <c r="W266" s="259">
        <f t="shared" si="241"/>
        <v>116</v>
      </c>
      <c r="X266" s="259">
        <f t="shared" si="241"/>
        <v>-249</v>
      </c>
      <c r="Y266" s="259">
        <f t="shared" si="241"/>
        <v>-615</v>
      </c>
      <c r="Z266" s="259">
        <f t="shared" si="241"/>
        <v>-980</v>
      </c>
      <c r="AA266" s="267">
        <f>(VLOOKUP(A266,Hshldprojections2014!$A$2:$AW$319,40, FALSE)-VLOOKUP(A266,Hshldprojections2014!$A$2:$AW$319,30, FALSE))/10</f>
        <v>804.8</v>
      </c>
      <c r="AB266" s="267">
        <f>(VLOOKUP(A266,Hshldprojections2014!$A$2:$AW$319,41, FALSE)-VLOOKUP(A266,Hshldprojections2014!$A$2:$AW$319,31, FALSE))/10</f>
        <v>797.5</v>
      </c>
      <c r="AC266" s="267">
        <f>(VLOOKUP(A266,Hshldprojections2014!$A$2:$AW$319,42, FALSE)-VLOOKUP(A266,Hshldprojections2014!$A$2:$AW$319,32, FALSE))/10</f>
        <v>789.7</v>
      </c>
      <c r="AD266" s="267">
        <f>IF(IndividualLATest!$J$7=2014,(VLOOKUP($A266,Hshldprojections2014!$A$2:$AY$326,43,FALSE)-VLOOKUP($A266,Hshldprojections2014!$A$2:$AY$326,33,FALSE))/10,IF(IndividualLATest!$J$7=2016,(VLOOKUP($A266,Hshldprojections2016!$A$1:$AQ$322,33,FALSE)-VLOOKUP($A266,Hshldprojections2016!$A$1:$AQ$322,23,FALSE))/10,(VLOOKUP($A266,Hshldprojections2018!$A$1:$AQ$327,33,FALSE)-VLOOKUP($A266,Hshldprojections2018!$A$1:$AQ$327,23,FALSE))/10))</f>
        <v>686.7</v>
      </c>
      <c r="AE266" s="267">
        <f>IF(IndividualLATest!$J$7=2014,(VLOOKUP($A266,Hshldprojections2014!$A$2:$AY$326,44,FALSE)-VLOOKUP($A266,Hshldprojections2014!$A$2:$AY$326,34,FALSE))/10,IF(IndividualLATest!$J$7=2016,(VLOOKUP($A266,Hshldprojections2016!$A$1:$AQ$322,34,FALSE)-VLOOKUP($A266,Hshldprojections2016!$A$1:$AQ$322,24,FALSE))/10,(VLOOKUP($A266,Hshldprojections2018!$A$1:$AQ$327,34,FALSE)-VLOOKUP($A266,Hshldprojections2018!$A$1:$AQ$327,24,FALSE))/10))</f>
        <v>669.6</v>
      </c>
      <c r="AF266" s="267">
        <f>IF(IndividualLATest!$J$7=2014,(VLOOKUP($A266,Hshldprojections2014!$A$2:$AY$326,45,FALSE)-VLOOKUP($A266,Hshldprojections2014!$A$2:$AY$326,35,FALSE))/10,IF(IndividualLATest!$J$7=2016,(VLOOKUP($A266,Hshldprojections2016!$A$1:$AQ$322,35,FALSE)-VLOOKUP($A266,Hshldprojections2016!$A$1:$AQ$322,25,FALSE))/10,(VLOOKUP($A266,Hshldprojections2018!$A$1:$AQ$327,35,FALSE)-VLOOKUP($A266,Hshldprojections2018!$A$1:$AQ$327,25,FALSE))/10))</f>
        <v>654.79999999999995</v>
      </c>
      <c r="AG266" s="267">
        <f>IF(IndividualLATest!$J$7=2014,(VLOOKUP($A266,Hshldprojections2014!$A$2:$AY$326,46,FALSE)-VLOOKUP($A266,Hshldprojections2014!$A$2:$AY$326,36,FALSE))/10,IF(IndividualLATest!$J$7=2016,(VLOOKUP($A266,Hshldprojections2016!$A$1:$AQ$322,36,FALSE)-VLOOKUP($A266,Hshldprojections2016!$A$1:$AQ$322,26,FALSE))/10,(VLOOKUP($A266,Hshldprojections2018!$A$1:$AQ$327,36,FALSE)-VLOOKUP($A266,Hshldprojections2018!$A$1:$AQ$327,26,FALSE))/10))</f>
        <v>641</v>
      </c>
      <c r="AH266" s="267">
        <f>IF(IndividualLATest!$J$7=2014,(VLOOKUP($A266,Hshldprojections2014!$A$2:$AY$326,47,FALSE)-VLOOKUP($A266,Hshldprojections2014!$A$2:$AY$326,37,FALSE))/10,IF(IndividualLATest!$J$7=2016,(VLOOKUP($A266,Hshldprojections2016!$A$1:$AQ$322,37,FALSE)-VLOOKUP($A266,Hshldprojections2016!$A$1:$AQ$322,27,FALSE))/10,(VLOOKUP($A266,Hshldprojections2018!$A$1:$AQ$327,37,FALSE)-VLOOKUP($A266,Hshldprojections2018!$A$1:$AQ$327,27,FALSE))/10))</f>
        <v>629.70000000000005</v>
      </c>
      <c r="AI266" s="268">
        <f>IF(ISNUMBER('Sensitivity Tests'!$C$30),'Sensitivity Tests'!$C$30,VLOOKUP($A266,AffordabilityRatio!$A$2:$I$321,5,FALSE))</f>
        <v>9.1300000000000008</v>
      </c>
      <c r="AJ266" s="268">
        <f>IF(ISNUMBER('Sensitivity Tests'!$C$30),'Sensitivity Tests'!$C$30,VLOOKUP($A266,AffordabilityRatio!$A$2:$I$321,6,FALSE))</f>
        <v>9.1300000000000008</v>
      </c>
      <c r="AK266" s="268">
        <f>IF(ISNUMBER('Sensitivity Tests'!$C$30),'Sensitivity Tests'!$C$30,VLOOKUP($A266,AffordabilityRatio!$A$2:$I$321,7,FALSE))</f>
        <v>9.07</v>
      </c>
      <c r="AL266" s="268">
        <f>IF(ISNUMBER('Sensitivity Tests'!$C$30),'Sensitivity Tests'!$C$30,IF((VLOOKUP($A266,AffordabilityRatio!$A$2:$I$321,8,FALSE))="",AK266,VLOOKUP($A266,AffordabilityRatio!$A$2:$I$321,8,FALSE)))</f>
        <v>9.31</v>
      </c>
      <c r="AM266" s="268">
        <f>IF(ISNUMBER('Sensitivity Tests'!$C$30),'Sensitivity Tests'!$C$30,IF((VLOOKUP($A266,AffordabilityRatio!$A$2:$I$321,9,FALSE))="",AL266,VLOOKUP($A266,AffordabilityRatio!$A$2:$I$321,9,FALSE)))</f>
        <v>10.1</v>
      </c>
      <c r="AN266" s="268">
        <f>IF(ISNUMBER('Sensitivity Tests'!$C$30),'Sensitivity Tests'!$C$30,IF((VLOOKUP($A266,AffordabilityRatio!$A$2:$I$321,9,FALSE))="",AM266,VLOOKUP($A266,AffordabilityRatio!$A$2:$I$321,9,FALSE)))</f>
        <v>10.1</v>
      </c>
      <c r="AO266" s="268">
        <f>IF(ISNUMBER('Sensitivity Tests'!$C$30),'Sensitivity Tests'!$C$30,IF((VLOOKUP($A266,AffordabilityRatio!$A$2:$I$321,9,FALSE))="",AN266,VLOOKUP($A266,AffordabilityRatio!$A$2:$I$321,9,FALSE)))</f>
        <v>10.1</v>
      </c>
      <c r="AP266" s="268">
        <f>IF(ISNUMBER('Sensitivity Tests'!$C$30),'Sensitivity Tests'!$C$30,IF((VLOOKUP($A266,AffordabilityRatio!$A$2:$I$321,9,FALSE))="",AO266,VLOOKUP($A266,AffordabilityRatio!$A$2:$I$321,9,FALSE)))</f>
        <v>10.1</v>
      </c>
      <c r="AQ266" s="267">
        <f t="shared" si="199"/>
        <v>1063</v>
      </c>
      <c r="AR266" s="267">
        <f t="shared" si="199"/>
        <v>1053</v>
      </c>
      <c r="AS266" s="267">
        <f t="shared" si="199"/>
        <v>1040</v>
      </c>
      <c r="AT266" s="267">
        <f t="shared" si="199"/>
        <v>915</v>
      </c>
      <c r="AU266" s="267">
        <f t="shared" si="199"/>
        <v>925</v>
      </c>
      <c r="AV266" s="267">
        <f t="shared" si="199"/>
        <v>904</v>
      </c>
      <c r="AW266" s="267">
        <f t="shared" si="199"/>
        <v>885</v>
      </c>
      <c r="AX266" s="267">
        <f t="shared" si="199"/>
        <v>870</v>
      </c>
      <c r="AY266" s="267">
        <f t="shared" si="218"/>
        <v>1063</v>
      </c>
      <c r="AZ266" s="267">
        <f t="shared" si="219"/>
        <v>1053</v>
      </c>
      <c r="BA266" s="267">
        <f t="shared" si="220"/>
        <v>1040</v>
      </c>
      <c r="BB266" s="267">
        <f t="shared" si="221"/>
        <v>915</v>
      </c>
      <c r="BC266" s="267">
        <f t="shared" si="222"/>
        <v>925</v>
      </c>
      <c r="BD266" s="267">
        <f t="shared" si="223"/>
        <v>904</v>
      </c>
      <c r="BE266" s="267">
        <f t="shared" si="224"/>
        <v>885</v>
      </c>
      <c r="BF266" s="267">
        <f t="shared" si="225"/>
        <v>870</v>
      </c>
      <c r="BG266" s="269">
        <f>AY266*VLOOKUP($B266,'Major Cities &amp; Towns'!$A$28:$B$345,2,FALSE)</f>
        <v>1063</v>
      </c>
      <c r="BH266" s="269">
        <f>AZ266*VLOOKUP($B266,'Major Cities &amp; Towns'!$A$28:$B$345,2,FALSE)</f>
        <v>1053</v>
      </c>
      <c r="BI266" s="269">
        <f>BA266*VLOOKUP($B266,'Major Cities &amp; Towns'!$A$28:$B$345,2,FALSE)</f>
        <v>1040</v>
      </c>
      <c r="BJ266" s="269">
        <f>BB266*VLOOKUP($B266,'Major Cities &amp; Towns'!$A$28:$B$345,2,FALSE)</f>
        <v>915</v>
      </c>
      <c r="BK266" s="269">
        <f>BC266*VLOOKUP($B266,'Major Cities &amp; Towns'!$A$28:$B$345,2,FALSE)</f>
        <v>925</v>
      </c>
      <c r="BL266" s="269">
        <f>BD266*VLOOKUP($B266,'Major Cities &amp; Towns'!$A$28:$B$345,2,FALSE)</f>
        <v>904</v>
      </c>
      <c r="BM266" s="269">
        <f>BE266*VLOOKUP($B266,'Major Cities &amp; Towns'!$A$28:$B$345,2,FALSE)</f>
        <v>885</v>
      </c>
      <c r="BN266" s="269">
        <f>BF266*VLOOKUP($B266,'Major Cities &amp; Towns'!$A$28:$B$345,2,FALSE)</f>
        <v>870</v>
      </c>
      <c r="BO266" s="270">
        <f t="shared" si="226"/>
        <v>776</v>
      </c>
      <c r="BP266" s="270">
        <f t="shared" si="201"/>
        <v>776</v>
      </c>
      <c r="BQ266" s="270">
        <f t="shared" si="201"/>
        <v>776</v>
      </c>
      <c r="BR266" s="270">
        <f t="shared" si="201"/>
        <v>776</v>
      </c>
      <c r="BS266" s="270">
        <f t="shared" si="200"/>
        <v>877.64657534246567</v>
      </c>
      <c r="BT266" s="270">
        <f t="shared" si="200"/>
        <v>904</v>
      </c>
      <c r="BU266" s="270">
        <f t="shared" si="200"/>
        <v>885</v>
      </c>
      <c r="BV266" s="270">
        <f t="shared" si="200"/>
        <v>870</v>
      </c>
      <c r="BW266" s="39">
        <f>VLOOKUP($A266,NetAdditions!$A$2:$H$336,6,FALSE)</f>
        <v>674</v>
      </c>
      <c r="BX266" s="39">
        <f>VLOOKUP($A266,NetAdditions!$A$2:$H$336,7,FALSE)</f>
        <v>783</v>
      </c>
      <c r="BY266" s="39">
        <f>IF((VLOOKUP($C266,NetAdditions!$A$2:$H$336,8,FALSE))="",(AVERAGE(VLOOKUP($C266,NetAdditions!$A$2:$H$336,5,FALSE),VLOOKUP($C266,NetAdditions!$A$2:$H$336,6,FALSE),VLOOKUP($C266,NetAdditions!$A$2:$H$336,7,FALSE))),VLOOKUP($C266,NetAdditions!$A$2:$H$336,8,FALSE))</f>
        <v>610</v>
      </c>
      <c r="BZ266" s="39">
        <f t="shared" si="196"/>
        <v>689</v>
      </c>
      <c r="CA266" s="39">
        <f t="shared" si="196"/>
        <v>694</v>
      </c>
      <c r="CB266" s="39">
        <f t="shared" si="196"/>
        <v>664.33333333333337</v>
      </c>
      <c r="CC266" s="39">
        <f t="shared" si="196"/>
        <v>682.44444444444446</v>
      </c>
      <c r="CD266" s="39">
        <f t="shared" si="196"/>
        <v>680.25925925925924</v>
      </c>
      <c r="CE266" s="276">
        <f t="shared" si="202"/>
        <v>2328</v>
      </c>
      <c r="CF266" s="276">
        <f t="shared" si="203"/>
        <v>2328</v>
      </c>
      <c r="CG266" s="276">
        <f t="shared" si="204"/>
        <v>2429.6465753424654</v>
      </c>
      <c r="CH266" s="276">
        <f t="shared" si="205"/>
        <v>2557.6465753424654</v>
      </c>
      <c r="CI266" s="276">
        <f t="shared" si="206"/>
        <v>2666.6465753424654</v>
      </c>
      <c r="CJ266" s="276">
        <f t="shared" si="207"/>
        <v>2659</v>
      </c>
      <c r="CK266" s="276">
        <f t="shared" si="227"/>
        <v>2004.6666666666667</v>
      </c>
      <c r="CL266" s="276">
        <f t="shared" si="228"/>
        <v>2004.6666666666667</v>
      </c>
      <c r="CM266" s="276">
        <f t="shared" si="229"/>
        <v>2227.17602739726</v>
      </c>
      <c r="CN266" s="276">
        <f t="shared" si="230"/>
        <v>2557.6465753424654</v>
      </c>
      <c r="CO266" s="276">
        <f t="shared" si="230"/>
        <v>2666.6465753424654</v>
      </c>
      <c r="CP266" s="276">
        <f t="shared" si="230"/>
        <v>2659</v>
      </c>
      <c r="CQ266" s="39">
        <f t="shared" si="208"/>
        <v>2067</v>
      </c>
      <c r="CR266" s="39">
        <f t="shared" si="209"/>
        <v>2082</v>
      </c>
      <c r="CS266" s="277">
        <f t="shared" si="210"/>
        <v>1993</v>
      </c>
      <c r="CT266" s="39">
        <f t="shared" si="211"/>
        <v>2047.3333333333335</v>
      </c>
      <c r="CU266" s="39">
        <f t="shared" si="212"/>
        <v>2040.7777777777778</v>
      </c>
      <c r="CV266" s="39">
        <f t="shared" si="213"/>
        <v>2027.037037037037</v>
      </c>
      <c r="CW266" s="297">
        <f t="shared" si="214"/>
        <v>1.0310941137346192</v>
      </c>
      <c r="CX266" s="279" t="str">
        <f t="shared" si="231"/>
        <v>Pass</v>
      </c>
      <c r="CY266" s="278">
        <f t="shared" si="215"/>
        <v>1.0385766544728965</v>
      </c>
      <c r="CZ266" s="279" t="str">
        <f t="shared" si="232"/>
        <v>Pass</v>
      </c>
      <c r="DA266" s="278">
        <f t="shared" si="216"/>
        <v>0.89485517780517576</v>
      </c>
      <c r="DB266" s="292" t="str">
        <f t="shared" si="233"/>
        <v>Action Plan</v>
      </c>
      <c r="DC266" s="299">
        <f t="shared" si="234"/>
        <v>0.8004754656374673</v>
      </c>
      <c r="DD266" s="293" t="str">
        <f t="shared" si="235"/>
        <v>Buffer and Action Plan</v>
      </c>
      <c r="DE266" s="299">
        <f t="shared" si="236"/>
        <v>0.76529743260622751</v>
      </c>
      <c r="DF266" s="293" t="str">
        <f t="shared" si="237"/>
        <v>Buffer and Action Plan</v>
      </c>
      <c r="DG266" s="299">
        <f t="shared" si="238"/>
        <v>0.76233058933322184</v>
      </c>
      <c r="DH266" s="293" t="str">
        <f t="shared" si="239"/>
        <v>Buffer and Action Plan</v>
      </c>
    </row>
    <row r="267" spans="1:112" ht="15" thickTop="1" thickBot="1">
      <c r="A267" s="38" t="s">
        <v>644</v>
      </c>
      <c r="B267" s="38" t="s">
        <v>645</v>
      </c>
      <c r="C267" s="38" t="s">
        <v>644</v>
      </c>
      <c r="D267" s="38" t="s">
        <v>147</v>
      </c>
      <c r="E267" s="38" t="str">
        <f>VLOOKUP(C267,PoliticalControl!A:K,11,FALSE)</f>
        <v>CON</v>
      </c>
      <c r="F267" s="38" t="str">
        <f>VLOOKUP(C267,UrbanRuralClassification!A:N,13,FALSE)</f>
        <v>Urban with City and Town</v>
      </c>
      <c r="G267" s="38" t="str">
        <f>VLOOKUP(C267,UrbanRuralClassification!A:N,14,FALSE)</f>
        <v>Predominantly Urban</v>
      </c>
      <c r="H267" s="258">
        <f>IF(ISBLANK((VLOOKUP($A267,'local-plan-data'!$C$1:$AD$566,27,FALSE)))=TRUE,"",VLOOKUP($A267,'local-plan-data'!$C$1:$AD$566,27,FALSE))</f>
        <v>42089</v>
      </c>
      <c r="I267" s="259">
        <f>VLOOKUP($A267,'local-plan-data'!$C$1:$AD$566,28,FALSE)</f>
        <v>1466.6666666666667</v>
      </c>
      <c r="J267" s="260">
        <f t="shared" si="217"/>
        <v>1466.6666666666667</v>
      </c>
      <c r="K267" s="259">
        <f t="shared" si="240"/>
        <v>1466.6666666666667</v>
      </c>
      <c r="L267" s="259">
        <f t="shared" si="240"/>
        <v>1466.6666666666667</v>
      </c>
      <c r="M267" s="259" t="str">
        <f t="shared" si="240"/>
        <v>-</v>
      </c>
      <c r="N267" s="259" t="str">
        <f t="shared" si="240"/>
        <v>-</v>
      </c>
      <c r="O267" s="259" t="str">
        <f t="shared" si="240"/>
        <v>-</v>
      </c>
      <c r="P267" s="259" t="str">
        <f t="shared" si="240"/>
        <v>-</v>
      </c>
      <c r="Q267" s="259" t="str">
        <f t="shared" si="240"/>
        <v>-</v>
      </c>
      <c r="R267" s="259" t="str">
        <f t="shared" si="240"/>
        <v>-</v>
      </c>
      <c r="S267" s="259">
        <f t="shared" si="241"/>
        <v>725</v>
      </c>
      <c r="T267" s="259">
        <f t="shared" si="241"/>
        <v>360</v>
      </c>
      <c r="U267" s="259">
        <f t="shared" si="241"/>
        <v>-6</v>
      </c>
      <c r="V267" s="259">
        <f t="shared" si="241"/>
        <v>-371</v>
      </c>
      <c r="W267" s="259">
        <f t="shared" si="241"/>
        <v>-736</v>
      </c>
      <c r="X267" s="259">
        <f t="shared" si="241"/>
        <v>-1101</v>
      </c>
      <c r="Y267" s="259">
        <f t="shared" si="241"/>
        <v>-1467</v>
      </c>
      <c r="Z267" s="259">
        <f t="shared" si="241"/>
        <v>-1832</v>
      </c>
      <c r="AA267" s="267">
        <f>(VLOOKUP(A267,Hshldprojections2014!$A$2:$AW$319,40, FALSE)-VLOOKUP(A267,Hshldprojections2014!$A$2:$AW$319,30, FALSE))/10</f>
        <v>861.2</v>
      </c>
      <c r="AB267" s="267">
        <f>(VLOOKUP(A267,Hshldprojections2014!$A$2:$AW$319,41, FALSE)-VLOOKUP(A267,Hshldprojections2014!$A$2:$AW$319,31, FALSE))/10</f>
        <v>847.8</v>
      </c>
      <c r="AC267" s="267">
        <f>(VLOOKUP(A267,Hshldprojections2014!$A$2:$AW$319,42, FALSE)-VLOOKUP(A267,Hshldprojections2014!$A$2:$AW$319,32, FALSE))/10</f>
        <v>838.7</v>
      </c>
      <c r="AD267" s="267">
        <f>IF(IndividualLATest!$J$7=2014,(VLOOKUP($A267,Hshldprojections2014!$A$2:$AY$326,43,FALSE)-VLOOKUP($A267,Hshldprojections2014!$A$2:$AY$326,33,FALSE))/10,IF(IndividualLATest!$J$7=2016,(VLOOKUP($A267,Hshldprojections2016!$A$1:$AQ$322,33,FALSE)-VLOOKUP($A267,Hshldprojections2016!$A$1:$AQ$322,23,FALSE))/10,(VLOOKUP($A267,Hshldprojections2018!$A$1:$AQ$327,33,FALSE)-VLOOKUP($A267,Hshldprojections2018!$A$1:$AQ$327,23,FALSE))/10))</f>
        <v>793.6</v>
      </c>
      <c r="AE267" s="267">
        <f>IF(IndividualLATest!$J$7=2014,(VLOOKUP($A267,Hshldprojections2014!$A$2:$AY$326,44,FALSE)-VLOOKUP($A267,Hshldprojections2014!$A$2:$AY$326,34,FALSE))/10,IF(IndividualLATest!$J$7=2016,(VLOOKUP($A267,Hshldprojections2016!$A$1:$AQ$322,34,FALSE)-VLOOKUP($A267,Hshldprojections2016!$A$1:$AQ$322,24,FALSE))/10,(VLOOKUP($A267,Hshldprojections2018!$A$1:$AQ$327,34,FALSE)-VLOOKUP($A267,Hshldprojections2018!$A$1:$AQ$327,24,FALSE))/10))</f>
        <v>782.4</v>
      </c>
      <c r="AF267" s="267">
        <f>IF(IndividualLATest!$J$7=2014,(VLOOKUP($A267,Hshldprojections2014!$A$2:$AY$326,45,FALSE)-VLOOKUP($A267,Hshldprojections2014!$A$2:$AY$326,35,FALSE))/10,IF(IndividualLATest!$J$7=2016,(VLOOKUP($A267,Hshldprojections2016!$A$1:$AQ$322,35,FALSE)-VLOOKUP($A267,Hshldprojections2016!$A$1:$AQ$322,25,FALSE))/10,(VLOOKUP($A267,Hshldprojections2018!$A$1:$AQ$327,35,FALSE)-VLOOKUP($A267,Hshldprojections2018!$A$1:$AQ$327,25,FALSE))/10))</f>
        <v>773.5</v>
      </c>
      <c r="AG267" s="267">
        <f>IF(IndividualLATest!$J$7=2014,(VLOOKUP($A267,Hshldprojections2014!$A$2:$AY$326,46,FALSE)-VLOOKUP($A267,Hshldprojections2014!$A$2:$AY$326,36,FALSE))/10,IF(IndividualLATest!$J$7=2016,(VLOOKUP($A267,Hshldprojections2016!$A$1:$AQ$322,36,FALSE)-VLOOKUP($A267,Hshldprojections2016!$A$1:$AQ$322,26,FALSE))/10,(VLOOKUP($A267,Hshldprojections2018!$A$1:$AQ$327,36,FALSE)-VLOOKUP($A267,Hshldprojections2018!$A$1:$AQ$327,26,FALSE))/10))</f>
        <v>764.1</v>
      </c>
      <c r="AH267" s="267">
        <f>IF(IndividualLATest!$J$7=2014,(VLOOKUP($A267,Hshldprojections2014!$A$2:$AY$326,47,FALSE)-VLOOKUP($A267,Hshldprojections2014!$A$2:$AY$326,37,FALSE))/10,IF(IndividualLATest!$J$7=2016,(VLOOKUP($A267,Hshldprojections2016!$A$1:$AQ$322,37,FALSE)-VLOOKUP($A267,Hshldprojections2016!$A$1:$AQ$322,27,FALSE))/10,(VLOOKUP($A267,Hshldprojections2018!$A$1:$AQ$327,37,FALSE)-VLOOKUP($A267,Hshldprojections2018!$A$1:$AQ$327,27,FALSE))/10))</f>
        <v>757.7</v>
      </c>
      <c r="AI267" s="268">
        <f>IF(ISNUMBER('Sensitivity Tests'!$C$30),'Sensitivity Tests'!$C$30,VLOOKUP($A267,AffordabilityRatio!$A$2:$I$321,5,FALSE))</f>
        <v>7.09</v>
      </c>
      <c r="AJ267" s="268">
        <f>IF(ISNUMBER('Sensitivity Tests'!$C$30),'Sensitivity Tests'!$C$30,VLOOKUP($A267,AffordabilityRatio!$A$2:$I$321,6,FALSE))</f>
        <v>7.6</v>
      </c>
      <c r="AK267" s="268">
        <f>IF(ISNUMBER('Sensitivity Tests'!$C$30),'Sensitivity Tests'!$C$30,VLOOKUP($A267,AffordabilityRatio!$A$2:$I$321,7,FALSE))</f>
        <v>7.62</v>
      </c>
      <c r="AL267" s="268">
        <f>IF(ISNUMBER('Sensitivity Tests'!$C$30),'Sensitivity Tests'!$C$30,IF((VLOOKUP($A267,AffordabilityRatio!$A$2:$I$321,8,FALSE))="",AK267,VLOOKUP($A267,AffordabilityRatio!$A$2:$I$321,8,FALSE)))</f>
        <v>7.17</v>
      </c>
      <c r="AM267" s="268">
        <f>IF(ISNUMBER('Sensitivity Tests'!$C$30),'Sensitivity Tests'!$C$30,IF((VLOOKUP($A267,AffordabilityRatio!$A$2:$I$321,9,FALSE))="",AL267,VLOOKUP($A267,AffordabilityRatio!$A$2:$I$321,9,FALSE)))</f>
        <v>7.69</v>
      </c>
      <c r="AN267" s="268">
        <f>IF(ISNUMBER('Sensitivity Tests'!$C$30),'Sensitivity Tests'!$C$30,IF((VLOOKUP($A267,AffordabilityRatio!$A$2:$I$321,9,FALSE))="",AM267,VLOOKUP($A267,AffordabilityRatio!$A$2:$I$321,9,FALSE)))</f>
        <v>7.69</v>
      </c>
      <c r="AO267" s="268">
        <f>IF(ISNUMBER('Sensitivity Tests'!$C$30),'Sensitivity Tests'!$C$30,IF((VLOOKUP($A267,AffordabilityRatio!$A$2:$I$321,9,FALSE))="",AN267,VLOOKUP($A267,AffordabilityRatio!$A$2:$I$321,9,FALSE)))</f>
        <v>7.69</v>
      </c>
      <c r="AP267" s="268">
        <f>IF(ISNUMBER('Sensitivity Tests'!$C$30),'Sensitivity Tests'!$C$30,IF((VLOOKUP($A267,AffordabilityRatio!$A$2:$I$321,9,FALSE))="",AO267,VLOOKUP($A267,AffordabilityRatio!$A$2:$I$321,9,FALSE)))</f>
        <v>7.69</v>
      </c>
      <c r="AQ267" s="267">
        <f t="shared" si="199"/>
        <v>1028</v>
      </c>
      <c r="AR267" s="267">
        <f t="shared" si="199"/>
        <v>1039</v>
      </c>
      <c r="AS267" s="267">
        <f t="shared" si="199"/>
        <v>1028</v>
      </c>
      <c r="AT267" s="267">
        <f t="shared" si="199"/>
        <v>951</v>
      </c>
      <c r="AU267" s="267">
        <f t="shared" si="199"/>
        <v>963</v>
      </c>
      <c r="AV267" s="267">
        <f t="shared" si="199"/>
        <v>952</v>
      </c>
      <c r="AW267" s="267">
        <f t="shared" si="199"/>
        <v>940</v>
      </c>
      <c r="AX267" s="267">
        <f t="shared" si="199"/>
        <v>932</v>
      </c>
      <c r="AY267" s="267">
        <f t="shared" si="218"/>
        <v>1028</v>
      </c>
      <c r="AZ267" s="267">
        <f t="shared" si="219"/>
        <v>1039</v>
      </c>
      <c r="BA267" s="267">
        <f t="shared" si="220"/>
        <v>1028</v>
      </c>
      <c r="BB267" s="267">
        <f t="shared" si="221"/>
        <v>951</v>
      </c>
      <c r="BC267" s="267">
        <f t="shared" si="222"/>
        <v>963</v>
      </c>
      <c r="BD267" s="267">
        <f t="shared" si="223"/>
        <v>952</v>
      </c>
      <c r="BE267" s="267">
        <f t="shared" si="224"/>
        <v>940</v>
      </c>
      <c r="BF267" s="267">
        <f t="shared" si="225"/>
        <v>932</v>
      </c>
      <c r="BG267" s="269">
        <f>AY267*VLOOKUP($B267,'Major Cities &amp; Towns'!$A$28:$B$345,2,FALSE)</f>
        <v>1028</v>
      </c>
      <c r="BH267" s="269">
        <f>AZ267*VLOOKUP($B267,'Major Cities &amp; Towns'!$A$28:$B$345,2,FALSE)</f>
        <v>1039</v>
      </c>
      <c r="BI267" s="269">
        <f>BA267*VLOOKUP($B267,'Major Cities &amp; Towns'!$A$28:$B$345,2,FALSE)</f>
        <v>1028</v>
      </c>
      <c r="BJ267" s="269">
        <f>BB267*VLOOKUP($B267,'Major Cities &amp; Towns'!$A$28:$B$345,2,FALSE)</f>
        <v>951</v>
      </c>
      <c r="BK267" s="269">
        <f>BC267*VLOOKUP($B267,'Major Cities &amp; Towns'!$A$28:$B$345,2,FALSE)</f>
        <v>963</v>
      </c>
      <c r="BL267" s="269">
        <f>BD267*VLOOKUP($B267,'Major Cities &amp; Towns'!$A$28:$B$345,2,FALSE)</f>
        <v>952</v>
      </c>
      <c r="BM267" s="269">
        <f>BE267*VLOOKUP($B267,'Major Cities &amp; Towns'!$A$28:$B$345,2,FALSE)</f>
        <v>940</v>
      </c>
      <c r="BN267" s="269">
        <f>BF267*VLOOKUP($B267,'Major Cities &amp; Towns'!$A$28:$B$345,2,FALSE)</f>
        <v>932</v>
      </c>
      <c r="BO267" s="270">
        <f t="shared" si="226"/>
        <v>1028</v>
      </c>
      <c r="BP267" s="270">
        <f t="shared" si="201"/>
        <v>1039</v>
      </c>
      <c r="BQ267" s="270">
        <f t="shared" si="201"/>
        <v>1028</v>
      </c>
      <c r="BR267" s="270">
        <f t="shared" si="201"/>
        <v>951</v>
      </c>
      <c r="BS267" s="270">
        <f t="shared" si="200"/>
        <v>963</v>
      </c>
      <c r="BT267" s="270">
        <f t="shared" si="200"/>
        <v>952</v>
      </c>
      <c r="BU267" s="270">
        <f t="shared" si="200"/>
        <v>940</v>
      </c>
      <c r="BV267" s="270">
        <f t="shared" si="200"/>
        <v>932</v>
      </c>
      <c r="BW267" s="39">
        <f>VLOOKUP($A267,NetAdditions!$A$2:$H$336,6,FALSE)</f>
        <v>1124</v>
      </c>
      <c r="BX267" s="39">
        <f>VLOOKUP($A267,NetAdditions!$A$2:$H$336,7,FALSE)</f>
        <v>723</v>
      </c>
      <c r="BY267" s="39">
        <f>IF((VLOOKUP($C267,NetAdditions!$A$2:$H$336,8,FALSE))="",(AVERAGE(VLOOKUP($C267,NetAdditions!$A$2:$H$336,5,FALSE),VLOOKUP($C267,NetAdditions!$A$2:$H$336,6,FALSE),VLOOKUP($C267,NetAdditions!$A$2:$H$336,7,FALSE))),VLOOKUP($C267,NetAdditions!$A$2:$H$336,8,FALSE))</f>
        <v>567</v>
      </c>
      <c r="BZ267" s="39">
        <f t="shared" si="196"/>
        <v>804.66666666666663</v>
      </c>
      <c r="CA267" s="39">
        <f t="shared" si="196"/>
        <v>698.22222222222217</v>
      </c>
      <c r="CB267" s="39">
        <f t="shared" si="196"/>
        <v>689.96296296296293</v>
      </c>
      <c r="CC267" s="39">
        <f t="shared" si="196"/>
        <v>730.95061728395058</v>
      </c>
      <c r="CD267" s="39">
        <f t="shared" si="196"/>
        <v>706.3786008230453</v>
      </c>
      <c r="CE267" s="276">
        <f t="shared" si="202"/>
        <v>3095</v>
      </c>
      <c r="CF267" s="276">
        <f t="shared" si="203"/>
        <v>3018</v>
      </c>
      <c r="CG267" s="276">
        <f t="shared" si="204"/>
        <v>2942</v>
      </c>
      <c r="CH267" s="276">
        <f t="shared" si="205"/>
        <v>2866</v>
      </c>
      <c r="CI267" s="276">
        <f t="shared" si="206"/>
        <v>2855</v>
      </c>
      <c r="CJ267" s="276">
        <f t="shared" si="207"/>
        <v>2824</v>
      </c>
      <c r="CK267" s="276">
        <f t="shared" si="227"/>
        <v>2665.1388888888891</v>
      </c>
      <c r="CL267" s="276">
        <f t="shared" si="228"/>
        <v>2598.8333333333335</v>
      </c>
      <c r="CM267" s="276">
        <f t="shared" si="229"/>
        <v>2696.833333333333</v>
      </c>
      <c r="CN267" s="276">
        <f t="shared" si="230"/>
        <v>2866</v>
      </c>
      <c r="CO267" s="276">
        <f t="shared" si="230"/>
        <v>2855</v>
      </c>
      <c r="CP267" s="276">
        <f t="shared" si="230"/>
        <v>2824</v>
      </c>
      <c r="CQ267" s="39">
        <f t="shared" si="208"/>
        <v>2414</v>
      </c>
      <c r="CR267" s="39">
        <f t="shared" si="209"/>
        <v>2094.6666666666665</v>
      </c>
      <c r="CS267" s="277">
        <f t="shared" si="210"/>
        <v>2069.8888888888887</v>
      </c>
      <c r="CT267" s="39">
        <f t="shared" si="211"/>
        <v>2192.8518518518517</v>
      </c>
      <c r="CU267" s="39">
        <f t="shared" si="212"/>
        <v>2119.1358024691358</v>
      </c>
      <c r="CV267" s="39">
        <f t="shared" si="213"/>
        <v>2127.292181069959</v>
      </c>
      <c r="CW267" s="297">
        <f t="shared" si="214"/>
        <v>0.90576893011621229</v>
      </c>
      <c r="CX267" s="279" t="str">
        <f t="shared" si="231"/>
        <v>Action Plan</v>
      </c>
      <c r="CY267" s="278">
        <f t="shared" si="215"/>
        <v>0.80600269351632137</v>
      </c>
      <c r="CZ267" s="279" t="str">
        <f t="shared" si="232"/>
        <v>Buffer and Action Plan</v>
      </c>
      <c r="DA267" s="278">
        <f t="shared" si="216"/>
        <v>0.76752569886492394</v>
      </c>
      <c r="DB267" s="292" t="str">
        <f t="shared" si="233"/>
        <v>Buffer and Action Plan</v>
      </c>
      <c r="DC267" s="299">
        <f t="shared" si="234"/>
        <v>0.76512625675221624</v>
      </c>
      <c r="DD267" s="293" t="str">
        <f t="shared" si="235"/>
        <v>Buffer and Action Plan</v>
      </c>
      <c r="DE267" s="299">
        <f t="shared" si="236"/>
        <v>0.74225422153034526</v>
      </c>
      <c r="DF267" s="293" t="str">
        <f t="shared" si="237"/>
        <v>Presumption</v>
      </c>
      <c r="DG267" s="299">
        <f t="shared" si="238"/>
        <v>0.75329043239021209</v>
      </c>
      <c r="DH267" s="293" t="str">
        <f t="shared" si="239"/>
        <v>Buffer and Action Plan</v>
      </c>
    </row>
    <row r="268" spans="1:112" ht="15" thickTop="1" thickBot="1">
      <c r="A268" s="38" t="s">
        <v>646</v>
      </c>
      <c r="B268" s="38" t="s">
        <v>647</v>
      </c>
      <c r="C268" s="38" t="s">
        <v>646</v>
      </c>
      <c r="D268" s="38" t="s">
        <v>116</v>
      </c>
      <c r="E268" s="38" t="str">
        <f>VLOOKUP(C268,PoliticalControl!A:K,11,FALSE)</f>
        <v>LAB</v>
      </c>
      <c r="F268" s="38" t="str">
        <f>VLOOKUP(C268,UrbanRuralClassification!A:N,13,FALSE)</f>
        <v>Urban with Major Conurbation</v>
      </c>
      <c r="G268" s="38" t="str">
        <f>VLOOKUP(C268,UrbanRuralClassification!A:N,14,FALSE)</f>
        <v>Predominantly Urban</v>
      </c>
      <c r="H268" s="258" t="str">
        <f>IF(ISBLANK((VLOOKUP($A268,'local-plan-data'!$C$1:$AD$566,27,FALSE)))=TRUE,"",VLOOKUP($A268,'local-plan-data'!$C$1:$AD$566,27,FALSE))</f>
        <v/>
      </c>
      <c r="I268" s="259">
        <f>VLOOKUP($A268,'local-plan-data'!$C$1:$AD$566,28,FALSE)</f>
        <v>484.875</v>
      </c>
      <c r="J268" s="260">
        <f t="shared" si="217"/>
        <v>484.875</v>
      </c>
      <c r="K268" s="259" t="str">
        <f t="shared" si="240"/>
        <v>-</v>
      </c>
      <c r="L268" s="259" t="str">
        <f t="shared" si="240"/>
        <v>-</v>
      </c>
      <c r="M268" s="259" t="str">
        <f t="shared" si="240"/>
        <v>-</v>
      </c>
      <c r="N268" s="259" t="str">
        <f t="shared" si="240"/>
        <v>-</v>
      </c>
      <c r="O268" s="259" t="str">
        <f t="shared" si="240"/>
        <v>-</v>
      </c>
      <c r="P268" s="259" t="str">
        <f t="shared" si="240"/>
        <v>-</v>
      </c>
      <c r="Q268" s="259" t="str">
        <f t="shared" si="240"/>
        <v>-</v>
      </c>
      <c r="R268" s="259" t="str">
        <f t="shared" si="240"/>
        <v>-</v>
      </c>
      <c r="S268" s="259" t="str">
        <f t="shared" si="241"/>
        <v>-</v>
      </c>
      <c r="T268" s="259" t="str">
        <f t="shared" si="241"/>
        <v>-</v>
      </c>
      <c r="U268" s="259" t="str">
        <f t="shared" si="241"/>
        <v>-</v>
      </c>
      <c r="V268" s="259" t="str">
        <f t="shared" si="241"/>
        <v>-</v>
      </c>
      <c r="W268" s="259" t="str">
        <f t="shared" si="241"/>
        <v>-</v>
      </c>
      <c r="X268" s="259" t="str">
        <f t="shared" si="241"/>
        <v>-</v>
      </c>
      <c r="Y268" s="259" t="str">
        <f t="shared" si="241"/>
        <v>-</v>
      </c>
      <c r="Z268" s="259" t="str">
        <f t="shared" si="241"/>
        <v>-</v>
      </c>
      <c r="AA268" s="267">
        <f>(VLOOKUP(A268,Hshldprojections2014!$A$2:$AW$319,40, FALSE)-VLOOKUP(A268,Hshldprojections2014!$A$2:$AW$319,30, FALSE))/10</f>
        <v>576.6</v>
      </c>
      <c r="AB268" s="267">
        <f>(VLOOKUP(A268,Hshldprojections2014!$A$2:$AW$319,41, FALSE)-VLOOKUP(A268,Hshldprojections2014!$A$2:$AW$319,31, FALSE))/10</f>
        <v>571.6</v>
      </c>
      <c r="AC268" s="267">
        <f>(VLOOKUP(A268,Hshldprojections2014!$A$2:$AW$319,42, FALSE)-VLOOKUP(A268,Hshldprojections2014!$A$2:$AW$319,32, FALSE))/10</f>
        <v>570.5</v>
      </c>
      <c r="AD268" s="267">
        <f>IF(IndividualLATest!$J$7=2014,(VLOOKUP($A268,Hshldprojections2014!$A$2:$AY$326,43,FALSE)-VLOOKUP($A268,Hshldprojections2014!$A$2:$AY$326,33,FALSE))/10,IF(IndividualLATest!$J$7=2016,(VLOOKUP($A268,Hshldprojections2016!$A$1:$AQ$322,33,FALSE)-VLOOKUP($A268,Hshldprojections2016!$A$1:$AQ$322,23,FALSE))/10,(VLOOKUP($A268,Hshldprojections2018!$A$1:$AQ$327,33,FALSE)-VLOOKUP($A268,Hshldprojections2018!$A$1:$AQ$327,23,FALSE))/10))</f>
        <v>499.2</v>
      </c>
      <c r="AE268" s="267">
        <f>IF(IndividualLATest!$J$7=2014,(VLOOKUP($A268,Hshldprojections2014!$A$2:$AY$326,44,FALSE)-VLOOKUP($A268,Hshldprojections2014!$A$2:$AY$326,34,FALSE))/10,IF(IndividualLATest!$J$7=2016,(VLOOKUP($A268,Hshldprojections2016!$A$1:$AQ$322,34,FALSE)-VLOOKUP($A268,Hshldprojections2016!$A$1:$AQ$322,24,FALSE))/10,(VLOOKUP($A268,Hshldprojections2018!$A$1:$AQ$327,34,FALSE)-VLOOKUP($A268,Hshldprojections2018!$A$1:$AQ$327,24,FALSE))/10))</f>
        <v>493.8</v>
      </c>
      <c r="AF268" s="267">
        <f>IF(IndividualLATest!$J$7=2014,(VLOOKUP($A268,Hshldprojections2014!$A$2:$AY$326,45,FALSE)-VLOOKUP($A268,Hshldprojections2014!$A$2:$AY$326,35,FALSE))/10,IF(IndividualLATest!$J$7=2016,(VLOOKUP($A268,Hshldprojections2016!$A$1:$AQ$322,35,FALSE)-VLOOKUP($A268,Hshldprojections2016!$A$1:$AQ$322,25,FALSE))/10,(VLOOKUP($A268,Hshldprojections2018!$A$1:$AQ$327,35,FALSE)-VLOOKUP($A268,Hshldprojections2018!$A$1:$AQ$327,25,FALSE))/10))</f>
        <v>497.9</v>
      </c>
      <c r="AG268" s="267">
        <f>IF(IndividualLATest!$J$7=2014,(VLOOKUP($A268,Hshldprojections2014!$A$2:$AY$326,46,FALSE)-VLOOKUP($A268,Hshldprojections2014!$A$2:$AY$326,36,FALSE))/10,IF(IndividualLATest!$J$7=2016,(VLOOKUP($A268,Hshldprojections2016!$A$1:$AQ$322,36,FALSE)-VLOOKUP($A268,Hshldprojections2016!$A$1:$AQ$322,26,FALSE))/10,(VLOOKUP($A268,Hshldprojections2018!$A$1:$AQ$327,36,FALSE)-VLOOKUP($A268,Hshldprojections2018!$A$1:$AQ$327,26,FALSE))/10))</f>
        <v>498.8</v>
      </c>
      <c r="AH268" s="267">
        <f>IF(IndividualLATest!$J$7=2014,(VLOOKUP($A268,Hshldprojections2014!$A$2:$AY$326,47,FALSE)-VLOOKUP($A268,Hshldprojections2014!$A$2:$AY$326,37,FALSE))/10,IF(IndividualLATest!$J$7=2016,(VLOOKUP($A268,Hshldprojections2016!$A$1:$AQ$322,37,FALSE)-VLOOKUP($A268,Hshldprojections2016!$A$1:$AQ$322,27,FALSE))/10,(VLOOKUP($A268,Hshldprojections2018!$A$1:$AQ$327,37,FALSE)-VLOOKUP($A268,Hshldprojections2018!$A$1:$AQ$327,27,FALSE))/10))</f>
        <v>505.7</v>
      </c>
      <c r="AI268" s="268">
        <f>IF(ISNUMBER('Sensitivity Tests'!$C$30),'Sensitivity Tests'!$C$30,VLOOKUP($A268,AffordabilityRatio!$A$2:$I$321,5,FALSE))</f>
        <v>5.55</v>
      </c>
      <c r="AJ268" s="268">
        <f>IF(ISNUMBER('Sensitivity Tests'!$C$30),'Sensitivity Tests'!$C$30,VLOOKUP($A268,AffordabilityRatio!$A$2:$I$321,6,FALSE))</f>
        <v>6.07</v>
      </c>
      <c r="AK268" s="268">
        <f>IF(ISNUMBER('Sensitivity Tests'!$C$30),'Sensitivity Tests'!$C$30,VLOOKUP($A268,AffordabilityRatio!$A$2:$I$321,7,FALSE))</f>
        <v>6.3</v>
      </c>
      <c r="AL268" s="268">
        <f>IF(ISNUMBER('Sensitivity Tests'!$C$30),'Sensitivity Tests'!$C$30,IF((VLOOKUP($A268,AffordabilityRatio!$A$2:$I$321,8,FALSE))="",AK268,VLOOKUP($A268,AffordabilityRatio!$A$2:$I$321,8,FALSE)))</f>
        <v>6.47</v>
      </c>
      <c r="AM268" s="268">
        <f>IF(ISNUMBER('Sensitivity Tests'!$C$30),'Sensitivity Tests'!$C$30,IF((VLOOKUP($A268,AffordabilityRatio!$A$2:$I$321,9,FALSE))="",AL268,VLOOKUP($A268,AffordabilityRatio!$A$2:$I$321,9,FALSE)))</f>
        <v>6.61</v>
      </c>
      <c r="AN268" s="268">
        <f>IF(ISNUMBER('Sensitivity Tests'!$C$30),'Sensitivity Tests'!$C$30,IF((VLOOKUP($A268,AffordabilityRatio!$A$2:$I$321,9,FALSE))="",AM268,VLOOKUP($A268,AffordabilityRatio!$A$2:$I$321,9,FALSE)))</f>
        <v>6.61</v>
      </c>
      <c r="AO268" s="268">
        <f>IF(ISNUMBER('Sensitivity Tests'!$C$30),'Sensitivity Tests'!$C$30,IF((VLOOKUP($A268,AffordabilityRatio!$A$2:$I$321,9,FALSE))="",AN268,VLOOKUP($A268,AffordabilityRatio!$A$2:$I$321,9,FALSE)))</f>
        <v>6.61</v>
      </c>
      <c r="AP268" s="268">
        <f>IF(ISNUMBER('Sensitivity Tests'!$C$30),'Sensitivity Tests'!$C$30,IF((VLOOKUP($A268,AffordabilityRatio!$A$2:$I$321,9,FALSE))="",AO268,VLOOKUP($A268,AffordabilityRatio!$A$2:$I$321,9,FALSE)))</f>
        <v>6.61</v>
      </c>
      <c r="AQ268" s="267">
        <f t="shared" si="199"/>
        <v>632</v>
      </c>
      <c r="AR268" s="267">
        <f t="shared" si="199"/>
        <v>646</v>
      </c>
      <c r="AS268" s="267">
        <f t="shared" si="199"/>
        <v>653</v>
      </c>
      <c r="AT268" s="267">
        <f t="shared" ref="AT268:AX318" si="242">IF(AD268&lt;0,0,IF(AL268&gt;4,ROUND((1+((AL268-4)/4*0.25))*AD268,0),AD268))</f>
        <v>576</v>
      </c>
      <c r="AU268" s="267">
        <f t="shared" si="242"/>
        <v>574</v>
      </c>
      <c r="AV268" s="267">
        <f t="shared" si="242"/>
        <v>579</v>
      </c>
      <c r="AW268" s="267">
        <f t="shared" si="242"/>
        <v>580</v>
      </c>
      <c r="AX268" s="267">
        <f t="shared" si="242"/>
        <v>588</v>
      </c>
      <c r="AY268" s="267">
        <f t="shared" si="218"/>
        <v>632</v>
      </c>
      <c r="AZ268" s="267">
        <f t="shared" si="219"/>
        <v>646</v>
      </c>
      <c r="BA268" s="267">
        <f t="shared" si="220"/>
        <v>653</v>
      </c>
      <c r="BB268" s="267">
        <f t="shared" si="221"/>
        <v>576</v>
      </c>
      <c r="BC268" s="267">
        <f t="shared" si="222"/>
        <v>574</v>
      </c>
      <c r="BD268" s="267">
        <f t="shared" si="223"/>
        <v>579</v>
      </c>
      <c r="BE268" s="267">
        <f t="shared" si="224"/>
        <v>580</v>
      </c>
      <c r="BF268" s="267">
        <f t="shared" si="225"/>
        <v>588</v>
      </c>
      <c r="BG268" s="269">
        <f>AY268*VLOOKUP($B268,'Major Cities &amp; Towns'!$A$28:$B$345,2,FALSE)</f>
        <v>632</v>
      </c>
      <c r="BH268" s="269">
        <f>AZ268*VLOOKUP($B268,'Major Cities &amp; Towns'!$A$28:$B$345,2,FALSE)</f>
        <v>646</v>
      </c>
      <c r="BI268" s="269">
        <f>BA268*VLOOKUP($B268,'Major Cities &amp; Towns'!$A$28:$B$345,2,FALSE)</f>
        <v>653</v>
      </c>
      <c r="BJ268" s="269">
        <f>BB268*VLOOKUP($B268,'Major Cities &amp; Towns'!$A$28:$B$345,2,FALSE)</f>
        <v>576</v>
      </c>
      <c r="BK268" s="269">
        <f>BC268*VLOOKUP($B268,'Major Cities &amp; Towns'!$A$28:$B$345,2,FALSE)</f>
        <v>574</v>
      </c>
      <c r="BL268" s="269">
        <f>BD268*VLOOKUP($B268,'Major Cities &amp; Towns'!$A$28:$B$345,2,FALSE)</f>
        <v>579</v>
      </c>
      <c r="BM268" s="269">
        <f>BE268*VLOOKUP($B268,'Major Cities &amp; Towns'!$A$28:$B$345,2,FALSE)</f>
        <v>580</v>
      </c>
      <c r="BN268" s="269">
        <f>BF268*VLOOKUP($B268,'Major Cities &amp; Towns'!$A$28:$B$345,2,FALSE)</f>
        <v>588</v>
      </c>
      <c r="BO268" s="270">
        <f t="shared" si="226"/>
        <v>632</v>
      </c>
      <c r="BP268" s="270">
        <f t="shared" si="201"/>
        <v>646</v>
      </c>
      <c r="BQ268" s="270">
        <f t="shared" si="201"/>
        <v>653</v>
      </c>
      <c r="BR268" s="270">
        <f t="shared" si="201"/>
        <v>576</v>
      </c>
      <c r="BS268" s="270">
        <f t="shared" si="200"/>
        <v>574</v>
      </c>
      <c r="BT268" s="270">
        <f t="shared" si="200"/>
        <v>579</v>
      </c>
      <c r="BU268" s="270">
        <f t="shared" si="200"/>
        <v>580</v>
      </c>
      <c r="BV268" s="270">
        <f t="shared" si="200"/>
        <v>588</v>
      </c>
      <c r="BW268" s="39">
        <f>VLOOKUP($A268,NetAdditions!$A$2:$H$336,6,FALSE)</f>
        <v>646</v>
      </c>
      <c r="BX268" s="39">
        <f>VLOOKUP($A268,NetAdditions!$A$2:$H$336,7,FALSE)</f>
        <v>474</v>
      </c>
      <c r="BY268" s="39">
        <f>IF((VLOOKUP($C268,NetAdditions!$A$2:$H$336,8,FALSE))="",(AVERAGE(VLOOKUP($C268,NetAdditions!$A$2:$H$336,5,FALSE),VLOOKUP($C268,NetAdditions!$A$2:$H$336,6,FALSE),VLOOKUP($C268,NetAdditions!$A$2:$H$336,7,FALSE))),VLOOKUP($C268,NetAdditions!$A$2:$H$336,8,FALSE))</f>
        <v>368</v>
      </c>
      <c r="BZ268" s="39">
        <f t="shared" si="196"/>
        <v>496</v>
      </c>
      <c r="CA268" s="39">
        <f t="shared" si="196"/>
        <v>446</v>
      </c>
      <c r="CB268" s="39">
        <f t="shared" si="196"/>
        <v>436.66666666666669</v>
      </c>
      <c r="CC268" s="39">
        <f t="shared" si="196"/>
        <v>459.5555555555556</v>
      </c>
      <c r="CD268" s="39">
        <f t="shared" si="196"/>
        <v>447.40740740740745</v>
      </c>
      <c r="CE268" s="276">
        <f t="shared" si="202"/>
        <v>1931</v>
      </c>
      <c r="CF268" s="276">
        <f t="shared" si="203"/>
        <v>1875</v>
      </c>
      <c r="CG268" s="276">
        <f t="shared" si="204"/>
        <v>1803</v>
      </c>
      <c r="CH268" s="276">
        <f t="shared" si="205"/>
        <v>1729</v>
      </c>
      <c r="CI268" s="276">
        <f t="shared" si="206"/>
        <v>1733</v>
      </c>
      <c r="CJ268" s="276">
        <f t="shared" si="207"/>
        <v>1747</v>
      </c>
      <c r="CK268" s="276">
        <f t="shared" si="227"/>
        <v>1662.8055555555557</v>
      </c>
      <c r="CL268" s="276">
        <f t="shared" si="228"/>
        <v>1614.5833333333335</v>
      </c>
      <c r="CM268" s="276">
        <f t="shared" si="229"/>
        <v>1652.75</v>
      </c>
      <c r="CN268" s="276">
        <f t="shared" si="230"/>
        <v>1729</v>
      </c>
      <c r="CO268" s="276">
        <f t="shared" si="230"/>
        <v>1733</v>
      </c>
      <c r="CP268" s="276">
        <f t="shared" si="230"/>
        <v>1747</v>
      </c>
      <c r="CQ268" s="39">
        <f t="shared" si="208"/>
        <v>1488</v>
      </c>
      <c r="CR268" s="39">
        <f t="shared" si="209"/>
        <v>1338</v>
      </c>
      <c r="CS268" s="277">
        <f t="shared" si="210"/>
        <v>1310</v>
      </c>
      <c r="CT268" s="39">
        <f t="shared" si="211"/>
        <v>1378.6666666666667</v>
      </c>
      <c r="CU268" s="39">
        <f t="shared" si="212"/>
        <v>1342.2222222222224</v>
      </c>
      <c r="CV268" s="39">
        <f t="shared" si="213"/>
        <v>1343.6296296296298</v>
      </c>
      <c r="CW268" s="297">
        <f t="shared" si="214"/>
        <v>0.8948731227343345</v>
      </c>
      <c r="CX268" s="279" t="str">
        <f t="shared" si="231"/>
        <v>Action Plan</v>
      </c>
      <c r="CY268" s="278">
        <f t="shared" si="215"/>
        <v>0.82869677419354826</v>
      </c>
      <c r="CZ268" s="279" t="str">
        <f t="shared" si="232"/>
        <v>Buffer and Action Plan</v>
      </c>
      <c r="DA268" s="278">
        <f t="shared" si="216"/>
        <v>0.79261836333383751</v>
      </c>
      <c r="DB268" s="292" t="str">
        <f t="shared" si="233"/>
        <v>Buffer and Action Plan</v>
      </c>
      <c r="DC268" s="299">
        <f t="shared" si="234"/>
        <v>0.79737806053595528</v>
      </c>
      <c r="DD268" s="293" t="str">
        <f t="shared" si="235"/>
        <v>Buffer and Action Plan</v>
      </c>
      <c r="DE268" s="299">
        <f t="shared" si="236"/>
        <v>0.77450791818939546</v>
      </c>
      <c r="DF268" s="293" t="str">
        <f t="shared" si="237"/>
        <v>Buffer and Action Plan</v>
      </c>
      <c r="DG268" s="299">
        <f t="shared" si="238"/>
        <v>0.76910682863745261</v>
      </c>
      <c r="DH268" s="293" t="str">
        <f t="shared" si="239"/>
        <v>Buffer and Action Plan</v>
      </c>
    </row>
    <row r="269" spans="1:112" ht="15" thickTop="1" thickBot="1">
      <c r="A269" s="38" t="s">
        <v>648</v>
      </c>
      <c r="B269" s="38" t="s">
        <v>649</v>
      </c>
      <c r="C269" s="38" t="s">
        <v>648</v>
      </c>
      <c r="D269" s="38" t="s">
        <v>154</v>
      </c>
      <c r="E269" s="38" t="str">
        <f>VLOOKUP(C269,PoliticalControl!A:K,11,FALSE)</f>
        <v>CON</v>
      </c>
      <c r="F269" s="38" t="str">
        <f>VLOOKUP(C269,UrbanRuralClassification!A:N,13,FALSE)</f>
        <v>Urban with City and Town</v>
      </c>
      <c r="G269" s="38" t="str">
        <f>VLOOKUP(C269,UrbanRuralClassification!A:N,14,FALSE)</f>
        <v>Predominantly Urban</v>
      </c>
      <c r="H269" s="258">
        <f>IF(ISBLANK((VLOOKUP($A269,'local-plan-data'!$C$1:$AD$566,27,FALSE)))=TRUE,"",VLOOKUP($A269,'local-plan-data'!$C$1:$AD$566,27,FALSE))</f>
        <v>42423</v>
      </c>
      <c r="I269" s="259">
        <f>VLOOKUP($A269,'local-plan-data'!$C$1:$AD$566,28,FALSE)</f>
        <v>177</v>
      </c>
      <c r="J269" s="260">
        <f t="shared" si="217"/>
        <v>177</v>
      </c>
      <c r="K269" s="259">
        <f t="shared" si="240"/>
        <v>177</v>
      </c>
      <c r="L269" s="259">
        <f t="shared" si="240"/>
        <v>177</v>
      </c>
      <c r="M269" s="259">
        <f t="shared" si="240"/>
        <v>177</v>
      </c>
      <c r="N269" s="259" t="str">
        <f t="shared" si="240"/>
        <v>-</v>
      </c>
      <c r="O269" s="259" t="str">
        <f t="shared" si="240"/>
        <v>-</v>
      </c>
      <c r="P269" s="259" t="str">
        <f t="shared" si="240"/>
        <v>-</v>
      </c>
      <c r="Q269" s="259" t="str">
        <f t="shared" si="240"/>
        <v>-</v>
      </c>
      <c r="R269" s="259" t="str">
        <f t="shared" si="240"/>
        <v>-</v>
      </c>
      <c r="S269" s="259">
        <f t="shared" si="241"/>
        <v>1059</v>
      </c>
      <c r="T269" s="259">
        <f t="shared" si="241"/>
        <v>694</v>
      </c>
      <c r="U269" s="259">
        <f t="shared" si="241"/>
        <v>328</v>
      </c>
      <c r="V269" s="259">
        <f t="shared" si="241"/>
        <v>-37</v>
      </c>
      <c r="W269" s="259">
        <f t="shared" si="241"/>
        <v>-402</v>
      </c>
      <c r="X269" s="259">
        <f t="shared" si="241"/>
        <v>-767</v>
      </c>
      <c r="Y269" s="259">
        <f t="shared" si="241"/>
        <v>-1133</v>
      </c>
      <c r="Z269" s="259">
        <f t="shared" si="241"/>
        <v>-1498</v>
      </c>
      <c r="AA269" s="267">
        <f>(VLOOKUP(A269,Hshldprojections2014!$A$2:$AW$319,40, FALSE)-VLOOKUP(A269,Hshldprojections2014!$A$2:$AW$319,30, FALSE))/10</f>
        <v>125.2</v>
      </c>
      <c r="AB269" s="267">
        <f>(VLOOKUP(A269,Hshldprojections2014!$A$2:$AW$319,41, FALSE)-VLOOKUP(A269,Hshldprojections2014!$A$2:$AW$319,31, FALSE))/10</f>
        <v>121.8</v>
      </c>
      <c r="AC269" s="267">
        <f>(VLOOKUP(A269,Hshldprojections2014!$A$2:$AW$319,42, FALSE)-VLOOKUP(A269,Hshldprojections2014!$A$2:$AW$319,32, FALSE))/10</f>
        <v>117.4</v>
      </c>
      <c r="AD269" s="267">
        <f>IF(IndividualLATest!$J$7=2014,(VLOOKUP($A269,Hshldprojections2014!$A$2:$AY$326,43,FALSE)-VLOOKUP($A269,Hshldprojections2014!$A$2:$AY$326,33,FALSE))/10,IF(IndividualLATest!$J$7=2016,(VLOOKUP($A269,Hshldprojections2016!$A$1:$AQ$322,33,FALSE)-VLOOKUP($A269,Hshldprojections2016!$A$1:$AQ$322,23,FALSE))/10,(VLOOKUP($A269,Hshldprojections2018!$A$1:$AQ$327,33,FALSE)-VLOOKUP($A269,Hshldprojections2018!$A$1:$AQ$327,23,FALSE))/10))</f>
        <v>72.3</v>
      </c>
      <c r="AE269" s="267">
        <f>IF(IndividualLATest!$J$7=2014,(VLOOKUP($A269,Hshldprojections2014!$A$2:$AY$326,44,FALSE)-VLOOKUP($A269,Hshldprojections2014!$A$2:$AY$326,34,FALSE))/10,IF(IndividualLATest!$J$7=2016,(VLOOKUP($A269,Hshldprojections2016!$A$1:$AQ$322,34,FALSE)-VLOOKUP($A269,Hshldprojections2016!$A$1:$AQ$322,24,FALSE))/10,(VLOOKUP($A269,Hshldprojections2018!$A$1:$AQ$327,34,FALSE)-VLOOKUP($A269,Hshldprojections2018!$A$1:$AQ$327,24,FALSE))/10))</f>
        <v>68.900000000000006</v>
      </c>
      <c r="AF269" s="267">
        <f>IF(IndividualLATest!$J$7=2014,(VLOOKUP($A269,Hshldprojections2014!$A$2:$AY$326,45,FALSE)-VLOOKUP($A269,Hshldprojections2014!$A$2:$AY$326,35,FALSE))/10,IF(IndividualLATest!$J$7=2016,(VLOOKUP($A269,Hshldprojections2016!$A$1:$AQ$322,35,FALSE)-VLOOKUP($A269,Hshldprojections2016!$A$1:$AQ$322,25,FALSE))/10,(VLOOKUP($A269,Hshldprojections2018!$A$1:$AQ$327,35,FALSE)-VLOOKUP($A269,Hshldprojections2018!$A$1:$AQ$327,25,FALSE))/10))</f>
        <v>65.400000000000006</v>
      </c>
      <c r="AG269" s="267">
        <f>IF(IndividualLATest!$J$7=2014,(VLOOKUP($A269,Hshldprojections2014!$A$2:$AY$326,46,FALSE)-VLOOKUP($A269,Hshldprojections2014!$A$2:$AY$326,36,FALSE))/10,IF(IndividualLATest!$J$7=2016,(VLOOKUP($A269,Hshldprojections2016!$A$1:$AQ$322,36,FALSE)-VLOOKUP($A269,Hshldprojections2016!$A$1:$AQ$322,26,FALSE))/10,(VLOOKUP($A269,Hshldprojections2018!$A$1:$AQ$327,36,FALSE)-VLOOKUP($A269,Hshldprojections2018!$A$1:$AQ$327,26,FALSE))/10))</f>
        <v>60.7</v>
      </c>
      <c r="AH269" s="267">
        <f>IF(IndividualLATest!$J$7=2014,(VLOOKUP($A269,Hshldprojections2014!$A$2:$AY$326,47,FALSE)-VLOOKUP($A269,Hshldprojections2014!$A$2:$AY$326,37,FALSE))/10,IF(IndividualLATest!$J$7=2016,(VLOOKUP($A269,Hshldprojections2016!$A$1:$AQ$322,37,FALSE)-VLOOKUP($A269,Hshldprojections2016!$A$1:$AQ$322,27,FALSE))/10,(VLOOKUP($A269,Hshldprojections2018!$A$1:$AQ$327,37,FALSE)-VLOOKUP($A269,Hshldprojections2018!$A$1:$AQ$327,27,FALSE))/10))</f>
        <v>57.8</v>
      </c>
      <c r="AI269" s="268">
        <f>IF(ISNUMBER('Sensitivity Tests'!$C$30),'Sensitivity Tests'!$C$30,VLOOKUP($A269,AffordabilityRatio!$A$2:$I$321,5,FALSE))</f>
        <v>6.99</v>
      </c>
      <c r="AJ269" s="268">
        <f>IF(ISNUMBER('Sensitivity Tests'!$C$30),'Sensitivity Tests'!$C$30,VLOOKUP($A269,AffordabilityRatio!$A$2:$I$321,6,FALSE))</f>
        <v>7.72</v>
      </c>
      <c r="AK269" s="268">
        <f>IF(ISNUMBER('Sensitivity Tests'!$C$30),'Sensitivity Tests'!$C$30,VLOOKUP($A269,AffordabilityRatio!$A$2:$I$321,7,FALSE))</f>
        <v>8.31</v>
      </c>
      <c r="AL269" s="268">
        <f>IF(ISNUMBER('Sensitivity Tests'!$C$30),'Sensitivity Tests'!$C$30,IF((VLOOKUP($A269,AffordabilityRatio!$A$2:$I$321,8,FALSE))="",AK269,VLOOKUP($A269,AffordabilityRatio!$A$2:$I$321,8,FALSE)))</f>
        <v>8.6300000000000008</v>
      </c>
      <c r="AM269" s="268">
        <f>IF(ISNUMBER('Sensitivity Tests'!$C$30),'Sensitivity Tests'!$C$30,IF((VLOOKUP($A269,AffordabilityRatio!$A$2:$I$321,9,FALSE))="",AL269,VLOOKUP($A269,AffordabilityRatio!$A$2:$I$321,9,FALSE)))</f>
        <v>8.59</v>
      </c>
      <c r="AN269" s="268">
        <f>IF(ISNUMBER('Sensitivity Tests'!$C$30),'Sensitivity Tests'!$C$30,IF((VLOOKUP($A269,AffordabilityRatio!$A$2:$I$321,9,FALSE))="",AM269,VLOOKUP($A269,AffordabilityRatio!$A$2:$I$321,9,FALSE)))</f>
        <v>8.59</v>
      </c>
      <c r="AO269" s="268">
        <f>IF(ISNUMBER('Sensitivity Tests'!$C$30),'Sensitivity Tests'!$C$30,IF((VLOOKUP($A269,AffordabilityRatio!$A$2:$I$321,9,FALSE))="",AN269,VLOOKUP($A269,AffordabilityRatio!$A$2:$I$321,9,FALSE)))</f>
        <v>8.59</v>
      </c>
      <c r="AP269" s="268">
        <f>IF(ISNUMBER('Sensitivity Tests'!$C$30),'Sensitivity Tests'!$C$30,IF((VLOOKUP($A269,AffordabilityRatio!$A$2:$I$321,9,FALSE))="",AO269,VLOOKUP($A269,AffordabilityRatio!$A$2:$I$321,9,FALSE)))</f>
        <v>8.59</v>
      </c>
      <c r="AQ269" s="267">
        <f t="shared" ref="AQ269:AX322" si="243">IF(AA269&lt;0,0,IF(AI269&gt;4,ROUND((1+((AI269-4)/4*0.25))*AA269,0),AA269))</f>
        <v>149</v>
      </c>
      <c r="AR269" s="267">
        <f t="shared" si="243"/>
        <v>150</v>
      </c>
      <c r="AS269" s="267">
        <f t="shared" si="243"/>
        <v>149</v>
      </c>
      <c r="AT269" s="267">
        <f t="shared" si="242"/>
        <v>93</v>
      </c>
      <c r="AU269" s="267">
        <f t="shared" si="242"/>
        <v>89</v>
      </c>
      <c r="AV269" s="267">
        <f t="shared" si="242"/>
        <v>84</v>
      </c>
      <c r="AW269" s="267">
        <f t="shared" si="242"/>
        <v>78</v>
      </c>
      <c r="AX269" s="267">
        <f t="shared" si="242"/>
        <v>74</v>
      </c>
      <c r="AY269" s="267">
        <f t="shared" si="218"/>
        <v>149</v>
      </c>
      <c r="AZ269" s="267">
        <f t="shared" si="219"/>
        <v>150</v>
      </c>
      <c r="BA269" s="267">
        <f t="shared" si="220"/>
        <v>149</v>
      </c>
      <c r="BB269" s="267">
        <f t="shared" si="221"/>
        <v>93</v>
      </c>
      <c r="BC269" s="267">
        <f t="shared" si="222"/>
        <v>89</v>
      </c>
      <c r="BD269" s="267">
        <f t="shared" si="223"/>
        <v>84</v>
      </c>
      <c r="BE269" s="267">
        <f t="shared" si="224"/>
        <v>78</v>
      </c>
      <c r="BF269" s="267">
        <f t="shared" si="225"/>
        <v>74</v>
      </c>
      <c r="BG269" s="269">
        <f>AY269*VLOOKUP($B269,'Major Cities &amp; Towns'!$A$28:$B$345,2,FALSE)</f>
        <v>149</v>
      </c>
      <c r="BH269" s="269">
        <f>AZ269*VLOOKUP($B269,'Major Cities &amp; Towns'!$A$28:$B$345,2,FALSE)</f>
        <v>150</v>
      </c>
      <c r="BI269" s="269">
        <f>BA269*VLOOKUP($B269,'Major Cities &amp; Towns'!$A$28:$B$345,2,FALSE)</f>
        <v>149</v>
      </c>
      <c r="BJ269" s="269">
        <f>BB269*VLOOKUP($B269,'Major Cities &amp; Towns'!$A$28:$B$345,2,FALSE)</f>
        <v>93</v>
      </c>
      <c r="BK269" s="269">
        <f>BC269*VLOOKUP($B269,'Major Cities &amp; Towns'!$A$28:$B$345,2,FALSE)</f>
        <v>89</v>
      </c>
      <c r="BL269" s="269">
        <f>BD269*VLOOKUP($B269,'Major Cities &amp; Towns'!$A$28:$B$345,2,FALSE)</f>
        <v>84</v>
      </c>
      <c r="BM269" s="269">
        <f>BE269*VLOOKUP($B269,'Major Cities &amp; Towns'!$A$28:$B$345,2,FALSE)</f>
        <v>78</v>
      </c>
      <c r="BN269" s="269">
        <f>BF269*VLOOKUP($B269,'Major Cities &amp; Towns'!$A$28:$B$345,2,FALSE)</f>
        <v>74</v>
      </c>
      <c r="BO269" s="270">
        <f t="shared" si="226"/>
        <v>149</v>
      </c>
      <c r="BP269" s="270">
        <f t="shared" si="201"/>
        <v>150</v>
      </c>
      <c r="BQ269" s="270">
        <f t="shared" si="201"/>
        <v>149</v>
      </c>
      <c r="BR269" s="270">
        <f t="shared" si="201"/>
        <v>93</v>
      </c>
      <c r="BS269" s="270">
        <f t="shared" si="200"/>
        <v>89</v>
      </c>
      <c r="BT269" s="270">
        <f t="shared" si="200"/>
        <v>84</v>
      </c>
      <c r="BU269" s="270">
        <f t="shared" si="200"/>
        <v>78</v>
      </c>
      <c r="BV269" s="270">
        <f t="shared" si="200"/>
        <v>74</v>
      </c>
      <c r="BW269" s="39">
        <f>VLOOKUP($A269,NetAdditions!$A$2:$H$336,6,FALSE)</f>
        <v>317</v>
      </c>
      <c r="BX269" s="39">
        <f>VLOOKUP($A269,NetAdditions!$A$2:$H$336,7,FALSE)</f>
        <v>546</v>
      </c>
      <c r="BY269" s="39">
        <f>IF((VLOOKUP($C269,NetAdditions!$A$2:$H$336,8,FALSE))="",(AVERAGE(VLOOKUP($C269,NetAdditions!$A$2:$H$336,5,FALSE),VLOOKUP($C269,NetAdditions!$A$2:$H$336,6,FALSE),VLOOKUP($C269,NetAdditions!$A$2:$H$336,7,FALSE))),VLOOKUP($C269,NetAdditions!$A$2:$H$336,8,FALSE))</f>
        <v>461</v>
      </c>
      <c r="BZ269" s="39">
        <f t="shared" si="196"/>
        <v>441.33333333333331</v>
      </c>
      <c r="CA269" s="39">
        <f t="shared" si="196"/>
        <v>482.77777777777777</v>
      </c>
      <c r="CB269" s="39">
        <f t="shared" si="196"/>
        <v>461.7037037037037</v>
      </c>
      <c r="CC269" s="39">
        <f t="shared" si="196"/>
        <v>461.93827160493828</v>
      </c>
      <c r="CD269" s="39">
        <f t="shared" si="196"/>
        <v>468.80658436213997</v>
      </c>
      <c r="CE269" s="276">
        <f t="shared" si="202"/>
        <v>448</v>
      </c>
      <c r="CF269" s="276">
        <f t="shared" si="203"/>
        <v>392</v>
      </c>
      <c r="CG269" s="276">
        <f t="shared" si="204"/>
        <v>331</v>
      </c>
      <c r="CH269" s="276">
        <f t="shared" si="205"/>
        <v>266</v>
      </c>
      <c r="CI269" s="276">
        <f t="shared" si="206"/>
        <v>251</v>
      </c>
      <c r="CJ269" s="276">
        <f t="shared" si="207"/>
        <v>236</v>
      </c>
      <c r="CK269" s="276">
        <f t="shared" si="227"/>
        <v>385.77777777777783</v>
      </c>
      <c r="CL269" s="276">
        <f t="shared" si="228"/>
        <v>337.5555555555556</v>
      </c>
      <c r="CM269" s="276">
        <f t="shared" si="229"/>
        <v>303.41666666666663</v>
      </c>
      <c r="CN269" s="276">
        <f t="shared" si="230"/>
        <v>266</v>
      </c>
      <c r="CO269" s="276">
        <f t="shared" si="230"/>
        <v>251</v>
      </c>
      <c r="CP269" s="276">
        <f t="shared" si="230"/>
        <v>236</v>
      </c>
      <c r="CQ269" s="39">
        <f t="shared" si="208"/>
        <v>1324</v>
      </c>
      <c r="CR269" s="39">
        <f t="shared" si="209"/>
        <v>1448.3333333333333</v>
      </c>
      <c r="CS269" s="277">
        <f t="shared" si="210"/>
        <v>1385.1111111111111</v>
      </c>
      <c r="CT269" s="39">
        <f t="shared" si="211"/>
        <v>1385.8148148148148</v>
      </c>
      <c r="CU269" s="39">
        <f t="shared" si="212"/>
        <v>1406.4197530864199</v>
      </c>
      <c r="CV269" s="39">
        <f t="shared" si="213"/>
        <v>1392.4485596707821</v>
      </c>
      <c r="CW269" s="297">
        <f t="shared" si="214"/>
        <v>3.432027649769585</v>
      </c>
      <c r="CX269" s="279" t="str">
        <f t="shared" si="231"/>
        <v>Pass</v>
      </c>
      <c r="CY269" s="278">
        <f t="shared" si="215"/>
        <v>4.2906517445687946</v>
      </c>
      <c r="CZ269" s="279" t="str">
        <f t="shared" si="232"/>
        <v>Pass</v>
      </c>
      <c r="DA269" s="278">
        <f t="shared" si="216"/>
        <v>4.5650462327199488</v>
      </c>
      <c r="DB269" s="292" t="str">
        <f t="shared" si="233"/>
        <v>Pass</v>
      </c>
      <c r="DC269" s="299">
        <f t="shared" si="234"/>
        <v>5.2098301308827626</v>
      </c>
      <c r="DD269" s="293" t="str">
        <f t="shared" si="235"/>
        <v>Pass</v>
      </c>
      <c r="DE269" s="299">
        <f t="shared" si="236"/>
        <v>5.6032659485514733</v>
      </c>
      <c r="DF269" s="293" t="str">
        <f t="shared" si="237"/>
        <v>Pass</v>
      </c>
      <c r="DG269" s="299">
        <f t="shared" si="238"/>
        <v>5.9002057613168732</v>
      </c>
      <c r="DH269" s="293" t="str">
        <f t="shared" si="239"/>
        <v>Pass</v>
      </c>
    </row>
    <row r="270" spans="1:112" ht="15" thickTop="1" thickBot="1">
      <c r="A270" s="38" t="s">
        <v>650</v>
      </c>
      <c r="B270" s="38" t="s">
        <v>651</v>
      </c>
      <c r="C270" s="38" t="s">
        <v>650</v>
      </c>
      <c r="D270" s="38" t="s">
        <v>113</v>
      </c>
      <c r="E270" s="38" t="str">
        <f>VLOOKUP(C270,PoliticalControl!A:K,11,FALSE)</f>
        <v>NOC</v>
      </c>
      <c r="F270" s="38" t="str">
        <f>VLOOKUP(C270,UrbanRuralClassification!A:N,13,FALSE)</f>
        <v>Urban with Significant Rural (rural including hub towns 26-49%)</v>
      </c>
      <c r="G270" s="38" t="str">
        <f>VLOOKUP(C270,UrbanRuralClassification!A:N,14,FALSE)</f>
        <v>Urban with Significant Rural</v>
      </c>
      <c r="H270" s="258">
        <f>IF(ISBLANK((VLOOKUP($A270,'local-plan-data'!$C$1:$AD$566,27,FALSE)))=TRUE,"",VLOOKUP($A270,'local-plan-data'!$C$1:$AD$566,27,FALSE))</f>
        <v>39736</v>
      </c>
      <c r="I270" s="259">
        <f>VLOOKUP($A270,'local-plan-data'!$C$1:$AD$566,28,FALSE)</f>
        <v>125</v>
      </c>
      <c r="J270" s="260">
        <f t="shared" si="217"/>
        <v>125</v>
      </c>
      <c r="K270" s="259" t="str">
        <f t="shared" si="240"/>
        <v>-</v>
      </c>
      <c r="L270" s="259" t="str">
        <f t="shared" si="240"/>
        <v>-</v>
      </c>
      <c r="M270" s="259" t="str">
        <f t="shared" si="240"/>
        <v>-</v>
      </c>
      <c r="N270" s="259" t="str">
        <f t="shared" si="240"/>
        <v>-</v>
      </c>
      <c r="O270" s="259" t="str">
        <f t="shared" si="240"/>
        <v>-</v>
      </c>
      <c r="P270" s="259" t="str">
        <f t="shared" si="240"/>
        <v>-</v>
      </c>
      <c r="Q270" s="259" t="str">
        <f t="shared" si="240"/>
        <v>-</v>
      </c>
      <c r="R270" s="259" t="str">
        <f t="shared" si="240"/>
        <v>-</v>
      </c>
      <c r="S270" s="259">
        <f t="shared" si="241"/>
        <v>-1629</v>
      </c>
      <c r="T270" s="259">
        <f t="shared" si="241"/>
        <v>-1994</v>
      </c>
      <c r="U270" s="259">
        <f t="shared" si="241"/>
        <v>-2360</v>
      </c>
      <c r="V270" s="259">
        <f t="shared" si="241"/>
        <v>-2725</v>
      </c>
      <c r="W270" s="259">
        <f t="shared" si="241"/>
        <v>-3090</v>
      </c>
      <c r="X270" s="259">
        <f t="shared" si="241"/>
        <v>-3455</v>
      </c>
      <c r="Y270" s="259">
        <f t="shared" si="241"/>
        <v>-3821</v>
      </c>
      <c r="Z270" s="259">
        <f t="shared" si="241"/>
        <v>-4186</v>
      </c>
      <c r="AA270" s="267">
        <f>(VLOOKUP(A270,Hshldprojections2014!$A$2:$AW$319,40, FALSE)-VLOOKUP(A270,Hshldprojections2014!$A$2:$AW$319,30, FALSE))/10</f>
        <v>463.6</v>
      </c>
      <c r="AB270" s="267">
        <f>(VLOOKUP(A270,Hshldprojections2014!$A$2:$AW$319,41, FALSE)-VLOOKUP(A270,Hshldprojections2014!$A$2:$AW$319,31, FALSE))/10</f>
        <v>463</v>
      </c>
      <c r="AC270" s="267">
        <f>(VLOOKUP(A270,Hshldprojections2014!$A$2:$AW$319,42, FALSE)-VLOOKUP(A270,Hshldprojections2014!$A$2:$AW$319,32, FALSE))/10</f>
        <v>461.3</v>
      </c>
      <c r="AD270" s="267">
        <f>IF(IndividualLATest!$J$7=2014,(VLOOKUP($A270,Hshldprojections2014!$A$2:$AY$326,43,FALSE)-VLOOKUP($A270,Hshldprojections2014!$A$2:$AY$326,33,FALSE))/10,IF(IndividualLATest!$J$7=2016,(VLOOKUP($A270,Hshldprojections2016!$A$1:$AQ$322,33,FALSE)-VLOOKUP($A270,Hshldprojections2016!$A$1:$AQ$322,23,FALSE))/10,(VLOOKUP($A270,Hshldprojections2018!$A$1:$AQ$327,33,FALSE)-VLOOKUP($A270,Hshldprojections2018!$A$1:$AQ$327,23,FALSE))/10))</f>
        <v>202.4</v>
      </c>
      <c r="AE270" s="267">
        <f>IF(IndividualLATest!$J$7=2014,(VLOOKUP($A270,Hshldprojections2014!$A$2:$AY$326,44,FALSE)-VLOOKUP($A270,Hshldprojections2014!$A$2:$AY$326,34,FALSE))/10,IF(IndividualLATest!$J$7=2016,(VLOOKUP($A270,Hshldprojections2016!$A$1:$AQ$322,34,FALSE)-VLOOKUP($A270,Hshldprojections2016!$A$1:$AQ$322,24,FALSE))/10,(VLOOKUP($A270,Hshldprojections2018!$A$1:$AQ$327,34,FALSE)-VLOOKUP($A270,Hshldprojections2018!$A$1:$AQ$327,24,FALSE))/10))</f>
        <v>199.5</v>
      </c>
      <c r="AF270" s="267">
        <f>IF(IndividualLATest!$J$7=2014,(VLOOKUP($A270,Hshldprojections2014!$A$2:$AY$326,45,FALSE)-VLOOKUP($A270,Hshldprojections2014!$A$2:$AY$326,35,FALSE))/10,IF(IndividualLATest!$J$7=2016,(VLOOKUP($A270,Hshldprojections2016!$A$1:$AQ$322,35,FALSE)-VLOOKUP($A270,Hshldprojections2016!$A$1:$AQ$322,25,FALSE))/10,(VLOOKUP($A270,Hshldprojections2018!$A$1:$AQ$327,35,FALSE)-VLOOKUP($A270,Hshldprojections2018!$A$1:$AQ$327,25,FALSE))/10))</f>
        <v>196.5</v>
      </c>
      <c r="AG270" s="267">
        <f>IF(IndividualLATest!$J$7=2014,(VLOOKUP($A270,Hshldprojections2014!$A$2:$AY$326,46,FALSE)-VLOOKUP($A270,Hshldprojections2014!$A$2:$AY$326,36,FALSE))/10,IF(IndividualLATest!$J$7=2016,(VLOOKUP($A270,Hshldprojections2016!$A$1:$AQ$322,36,FALSE)-VLOOKUP($A270,Hshldprojections2016!$A$1:$AQ$322,26,FALSE))/10,(VLOOKUP($A270,Hshldprojections2018!$A$1:$AQ$327,36,FALSE)-VLOOKUP($A270,Hshldprojections2018!$A$1:$AQ$327,26,FALSE))/10))</f>
        <v>194.3</v>
      </c>
      <c r="AH270" s="267">
        <f>IF(IndividualLATest!$J$7=2014,(VLOOKUP($A270,Hshldprojections2014!$A$2:$AY$326,47,FALSE)-VLOOKUP($A270,Hshldprojections2014!$A$2:$AY$326,37,FALSE))/10,IF(IndividualLATest!$J$7=2016,(VLOOKUP($A270,Hshldprojections2016!$A$1:$AQ$322,37,FALSE)-VLOOKUP($A270,Hshldprojections2016!$A$1:$AQ$322,27,FALSE))/10,(VLOOKUP($A270,Hshldprojections2018!$A$1:$AQ$327,37,FALSE)-VLOOKUP($A270,Hshldprojections2018!$A$1:$AQ$327,27,FALSE))/10))</f>
        <v>192.5</v>
      </c>
      <c r="AI270" s="268">
        <f>IF(ISNUMBER('Sensitivity Tests'!$C$30),'Sensitivity Tests'!$C$30,VLOOKUP($A270,AffordabilityRatio!$A$2:$I$321,5,FALSE))</f>
        <v>14.1</v>
      </c>
      <c r="AJ270" s="268">
        <f>IF(ISNUMBER('Sensitivity Tests'!$C$30),'Sensitivity Tests'!$C$30,VLOOKUP($A270,AffordabilityRatio!$A$2:$I$321,6,FALSE))</f>
        <v>15.64</v>
      </c>
      <c r="AK270" s="268">
        <f>IF(ISNUMBER('Sensitivity Tests'!$C$30),'Sensitivity Tests'!$C$30,VLOOKUP($A270,AffordabilityRatio!$A$2:$I$321,7,FALSE))</f>
        <v>14.98</v>
      </c>
      <c r="AL270" s="268">
        <f>IF(ISNUMBER('Sensitivity Tests'!$C$30),'Sensitivity Tests'!$C$30,IF((VLOOKUP($A270,AffordabilityRatio!$A$2:$I$321,8,FALSE))="",AK270,VLOOKUP($A270,AffordabilityRatio!$A$2:$I$321,8,FALSE)))</f>
        <v>13.95</v>
      </c>
      <c r="AM270" s="268">
        <f>IF(ISNUMBER('Sensitivity Tests'!$C$30),'Sensitivity Tests'!$C$30,IF((VLOOKUP($A270,AffordabilityRatio!$A$2:$I$321,9,FALSE))="",AL270,VLOOKUP($A270,AffordabilityRatio!$A$2:$I$321,9,FALSE)))</f>
        <v>16.12</v>
      </c>
      <c r="AN270" s="268">
        <f>IF(ISNUMBER('Sensitivity Tests'!$C$30),'Sensitivity Tests'!$C$30,IF((VLOOKUP($A270,AffordabilityRatio!$A$2:$I$321,9,FALSE))="",AM270,VLOOKUP($A270,AffordabilityRatio!$A$2:$I$321,9,FALSE)))</f>
        <v>16.12</v>
      </c>
      <c r="AO270" s="268">
        <f>IF(ISNUMBER('Sensitivity Tests'!$C$30),'Sensitivity Tests'!$C$30,IF((VLOOKUP($A270,AffordabilityRatio!$A$2:$I$321,9,FALSE))="",AN270,VLOOKUP($A270,AffordabilityRatio!$A$2:$I$321,9,FALSE)))</f>
        <v>16.12</v>
      </c>
      <c r="AP270" s="268">
        <f>IF(ISNUMBER('Sensitivity Tests'!$C$30),'Sensitivity Tests'!$C$30,IF((VLOOKUP($A270,AffordabilityRatio!$A$2:$I$321,9,FALSE))="",AO270,VLOOKUP($A270,AffordabilityRatio!$A$2:$I$321,9,FALSE)))</f>
        <v>16.12</v>
      </c>
      <c r="AQ270" s="267">
        <f t="shared" si="243"/>
        <v>756</v>
      </c>
      <c r="AR270" s="267">
        <f t="shared" si="243"/>
        <v>800</v>
      </c>
      <c r="AS270" s="267">
        <f t="shared" si="243"/>
        <v>778</v>
      </c>
      <c r="AT270" s="267">
        <f t="shared" si="242"/>
        <v>328</v>
      </c>
      <c r="AU270" s="267">
        <f t="shared" si="242"/>
        <v>351</v>
      </c>
      <c r="AV270" s="267">
        <f t="shared" si="242"/>
        <v>345</v>
      </c>
      <c r="AW270" s="267">
        <f t="shared" si="242"/>
        <v>341</v>
      </c>
      <c r="AX270" s="267">
        <f t="shared" si="242"/>
        <v>338</v>
      </c>
      <c r="AY270" s="267">
        <f t="shared" si="218"/>
        <v>649.04000000000008</v>
      </c>
      <c r="AZ270" s="267">
        <f t="shared" si="219"/>
        <v>648.20000000000005</v>
      </c>
      <c r="BA270" s="267">
        <f t="shared" si="220"/>
        <v>645.82000000000005</v>
      </c>
      <c r="BB270" s="267">
        <f t="shared" si="221"/>
        <v>283.36</v>
      </c>
      <c r="BC270" s="267">
        <f t="shared" si="222"/>
        <v>279.3</v>
      </c>
      <c r="BD270" s="267">
        <f t="shared" si="223"/>
        <v>275.10000000000002</v>
      </c>
      <c r="BE270" s="267">
        <f t="shared" si="224"/>
        <v>272.02000000000004</v>
      </c>
      <c r="BF270" s="267">
        <f t="shared" si="225"/>
        <v>269.5</v>
      </c>
      <c r="BG270" s="269">
        <f>AY270*VLOOKUP($B270,'Major Cities &amp; Towns'!$A$28:$B$345,2,FALSE)</f>
        <v>649.04000000000008</v>
      </c>
      <c r="BH270" s="269">
        <f>AZ270*VLOOKUP($B270,'Major Cities &amp; Towns'!$A$28:$B$345,2,FALSE)</f>
        <v>648.20000000000005</v>
      </c>
      <c r="BI270" s="269">
        <f>BA270*VLOOKUP($B270,'Major Cities &amp; Towns'!$A$28:$B$345,2,FALSE)</f>
        <v>645.82000000000005</v>
      </c>
      <c r="BJ270" s="269">
        <f>BB270*VLOOKUP($B270,'Major Cities &amp; Towns'!$A$28:$B$345,2,FALSE)</f>
        <v>283.36</v>
      </c>
      <c r="BK270" s="269">
        <f>BC270*VLOOKUP($B270,'Major Cities &amp; Towns'!$A$28:$B$345,2,FALSE)</f>
        <v>279.3</v>
      </c>
      <c r="BL270" s="269">
        <f>BD270*VLOOKUP($B270,'Major Cities &amp; Towns'!$A$28:$B$345,2,FALSE)</f>
        <v>275.10000000000002</v>
      </c>
      <c r="BM270" s="269">
        <f>BE270*VLOOKUP($B270,'Major Cities &amp; Towns'!$A$28:$B$345,2,FALSE)</f>
        <v>272.02000000000004</v>
      </c>
      <c r="BN270" s="269">
        <f>BF270*VLOOKUP($B270,'Major Cities &amp; Towns'!$A$28:$B$345,2,FALSE)</f>
        <v>269.5</v>
      </c>
      <c r="BO270" s="270">
        <f t="shared" si="226"/>
        <v>756</v>
      </c>
      <c r="BP270" s="270">
        <f t="shared" si="201"/>
        <v>800</v>
      </c>
      <c r="BQ270" s="270">
        <f t="shared" si="201"/>
        <v>778</v>
      </c>
      <c r="BR270" s="270">
        <f t="shared" si="201"/>
        <v>328</v>
      </c>
      <c r="BS270" s="270">
        <f t="shared" si="200"/>
        <v>351</v>
      </c>
      <c r="BT270" s="270">
        <f t="shared" si="200"/>
        <v>345</v>
      </c>
      <c r="BU270" s="270">
        <f t="shared" si="200"/>
        <v>341</v>
      </c>
      <c r="BV270" s="270">
        <f t="shared" si="200"/>
        <v>338</v>
      </c>
      <c r="BW270" s="39">
        <f>VLOOKUP($A270,NetAdditions!$A$2:$H$336,6,FALSE)</f>
        <v>244</v>
      </c>
      <c r="BX270" s="39">
        <f>VLOOKUP($A270,NetAdditions!$A$2:$H$336,7,FALSE)</f>
        <v>262</v>
      </c>
      <c r="BY270" s="39">
        <f>IF((VLOOKUP($C270,NetAdditions!$A$2:$H$336,8,FALSE))="",(AVERAGE(VLOOKUP($C270,NetAdditions!$A$2:$H$336,5,FALSE),VLOOKUP($C270,NetAdditions!$A$2:$H$336,6,FALSE),VLOOKUP($C270,NetAdditions!$A$2:$H$336,7,FALSE))),VLOOKUP($C270,NetAdditions!$A$2:$H$336,8,FALSE))</f>
        <v>117</v>
      </c>
      <c r="BZ270" s="39">
        <f t="shared" si="196"/>
        <v>207.66666666666666</v>
      </c>
      <c r="CA270" s="39">
        <f t="shared" si="196"/>
        <v>195.55555555555554</v>
      </c>
      <c r="CB270" s="39">
        <f t="shared" si="196"/>
        <v>173.40740740740739</v>
      </c>
      <c r="CC270" s="39">
        <f t="shared" si="196"/>
        <v>192.20987654320984</v>
      </c>
      <c r="CD270" s="39">
        <f t="shared" si="196"/>
        <v>187.05761316872426</v>
      </c>
      <c r="CE270" s="276">
        <f t="shared" si="202"/>
        <v>2334</v>
      </c>
      <c r="CF270" s="276">
        <f t="shared" si="203"/>
        <v>1906</v>
      </c>
      <c r="CG270" s="276">
        <f t="shared" si="204"/>
        <v>1457</v>
      </c>
      <c r="CH270" s="276">
        <f t="shared" si="205"/>
        <v>1024</v>
      </c>
      <c r="CI270" s="276">
        <f t="shared" si="206"/>
        <v>1037</v>
      </c>
      <c r="CJ270" s="276">
        <f t="shared" si="207"/>
        <v>1024</v>
      </c>
      <c r="CK270" s="276">
        <f t="shared" si="227"/>
        <v>2009.8333333333335</v>
      </c>
      <c r="CL270" s="276">
        <f t="shared" si="228"/>
        <v>1641.2777777777778</v>
      </c>
      <c r="CM270" s="276">
        <f t="shared" si="229"/>
        <v>1335.5833333333333</v>
      </c>
      <c r="CN270" s="276">
        <f t="shared" si="230"/>
        <v>1024</v>
      </c>
      <c r="CO270" s="276">
        <f t="shared" si="230"/>
        <v>1037</v>
      </c>
      <c r="CP270" s="276">
        <f t="shared" si="230"/>
        <v>1024</v>
      </c>
      <c r="CQ270" s="39">
        <f t="shared" si="208"/>
        <v>623</v>
      </c>
      <c r="CR270" s="39">
        <f t="shared" si="209"/>
        <v>586.66666666666663</v>
      </c>
      <c r="CS270" s="277">
        <f t="shared" si="210"/>
        <v>520.22222222222217</v>
      </c>
      <c r="CT270" s="39">
        <f t="shared" si="211"/>
        <v>576.62962962962956</v>
      </c>
      <c r="CU270" s="39">
        <f t="shared" si="212"/>
        <v>561.17283950617275</v>
      </c>
      <c r="CV270" s="39">
        <f t="shared" si="213"/>
        <v>552.67489711934149</v>
      </c>
      <c r="CW270" s="297">
        <f t="shared" si="214"/>
        <v>0.30997595157144037</v>
      </c>
      <c r="CX270" s="279" t="str">
        <f t="shared" si="231"/>
        <v>Buffer and Action Plan</v>
      </c>
      <c r="CY270" s="278">
        <f t="shared" si="215"/>
        <v>0.35744508005280434</v>
      </c>
      <c r="CZ270" s="279" t="str">
        <f t="shared" si="232"/>
        <v>Presumption</v>
      </c>
      <c r="DA270" s="278">
        <f t="shared" si="216"/>
        <v>0.38950936960545746</v>
      </c>
      <c r="DB270" s="292" t="str">
        <f t="shared" si="233"/>
        <v>Presumption</v>
      </c>
      <c r="DC270" s="299">
        <f t="shared" si="234"/>
        <v>0.56311487268518512</v>
      </c>
      <c r="DD270" s="293" t="str">
        <f t="shared" si="235"/>
        <v>Presumption</v>
      </c>
      <c r="DE270" s="299">
        <f t="shared" si="236"/>
        <v>0.54115027917663716</v>
      </c>
      <c r="DF270" s="293" t="str">
        <f t="shared" si="237"/>
        <v>Presumption</v>
      </c>
      <c r="DG270" s="299">
        <f t="shared" si="238"/>
        <v>0.53972157921810693</v>
      </c>
      <c r="DH270" s="293" t="str">
        <f t="shared" si="239"/>
        <v>Presumption</v>
      </c>
    </row>
    <row r="271" spans="1:112" ht="15" thickTop="1" thickBot="1">
      <c r="A271" s="38" t="s">
        <v>652</v>
      </c>
      <c r="B271" s="38" t="s">
        <v>653</v>
      </c>
      <c r="C271" s="38" t="s">
        <v>652</v>
      </c>
      <c r="D271" s="38" t="s">
        <v>147</v>
      </c>
      <c r="E271" s="38" t="str">
        <f>VLOOKUP(C271,PoliticalControl!A:K,11,FALSE)</f>
        <v>NOC</v>
      </c>
      <c r="F271" s="38" t="str">
        <f>VLOOKUP(C271,UrbanRuralClassification!A:N,13,FALSE)</f>
        <v xml:space="preserve">Largely Rural (rural including hub towns 50-79%) </v>
      </c>
      <c r="G271" s="38" t="str">
        <f>VLOOKUP(C271,UrbanRuralClassification!A:N,14,FALSE)</f>
        <v>Predominantly Rural</v>
      </c>
      <c r="H271" s="258">
        <f>IF(ISBLANK((VLOOKUP($A271,'local-plan-data'!$C$1:$AD$566,27,FALSE)))=TRUE,"",VLOOKUP($A271,'local-plan-data'!$C$1:$AD$566,27,FALSE))</f>
        <v>41765</v>
      </c>
      <c r="I271" s="259">
        <f>VLOOKUP($A271,'local-plan-data'!$C$1:$AD$566,28,FALSE)</f>
        <v>620</v>
      </c>
      <c r="J271" s="260">
        <f t="shared" si="217"/>
        <v>620</v>
      </c>
      <c r="K271" s="259">
        <f t="shared" si="240"/>
        <v>620</v>
      </c>
      <c r="L271" s="259">
        <f t="shared" si="240"/>
        <v>620</v>
      </c>
      <c r="M271" s="259" t="str">
        <f t="shared" si="240"/>
        <v>-</v>
      </c>
      <c r="N271" s="259" t="str">
        <f t="shared" si="240"/>
        <v>-</v>
      </c>
      <c r="O271" s="259" t="str">
        <f t="shared" si="240"/>
        <v>-</v>
      </c>
      <c r="P271" s="259" t="str">
        <f t="shared" si="240"/>
        <v>-</v>
      </c>
      <c r="Q271" s="259" t="str">
        <f t="shared" si="240"/>
        <v>-</v>
      </c>
      <c r="R271" s="259" t="str">
        <f t="shared" si="240"/>
        <v>-</v>
      </c>
      <c r="S271" s="259">
        <f t="shared" si="241"/>
        <v>400</v>
      </c>
      <c r="T271" s="259">
        <f t="shared" si="241"/>
        <v>35</v>
      </c>
      <c r="U271" s="259">
        <f t="shared" si="241"/>
        <v>-331</v>
      </c>
      <c r="V271" s="259">
        <f t="shared" si="241"/>
        <v>-696</v>
      </c>
      <c r="W271" s="259">
        <f t="shared" si="241"/>
        <v>-1061</v>
      </c>
      <c r="X271" s="259">
        <f t="shared" si="241"/>
        <v>-1426</v>
      </c>
      <c r="Y271" s="259">
        <f t="shared" si="241"/>
        <v>-1792</v>
      </c>
      <c r="Z271" s="259">
        <f t="shared" si="241"/>
        <v>-2157</v>
      </c>
      <c r="AA271" s="267">
        <f>(VLOOKUP(A271,Hshldprojections2014!$A$2:$AW$319,40, FALSE)-VLOOKUP(A271,Hshldprojections2014!$A$2:$AW$319,30, FALSE))/10</f>
        <v>545.70000000000005</v>
      </c>
      <c r="AB271" s="267">
        <f>(VLOOKUP(A271,Hshldprojections2014!$A$2:$AW$319,41, FALSE)-VLOOKUP(A271,Hshldprojections2014!$A$2:$AW$319,31, FALSE))/10</f>
        <v>540.29999999999995</v>
      </c>
      <c r="AC271" s="267">
        <f>(VLOOKUP(A271,Hshldprojections2014!$A$2:$AW$319,42, FALSE)-VLOOKUP(A271,Hshldprojections2014!$A$2:$AW$319,32, FALSE))/10</f>
        <v>538.5</v>
      </c>
      <c r="AD271" s="267">
        <f>IF(IndividualLATest!$J$7=2014,(VLOOKUP($A271,Hshldprojections2014!$A$2:$AY$326,43,FALSE)-VLOOKUP($A271,Hshldprojections2014!$A$2:$AY$326,33,FALSE))/10,IF(IndividualLATest!$J$7=2016,(VLOOKUP($A271,Hshldprojections2016!$A$1:$AQ$322,33,FALSE)-VLOOKUP($A271,Hshldprojections2016!$A$1:$AQ$322,23,FALSE))/10,(VLOOKUP($A271,Hshldprojections2018!$A$1:$AQ$327,33,FALSE)-VLOOKUP($A271,Hshldprojections2018!$A$1:$AQ$327,23,FALSE))/10))</f>
        <v>784.7</v>
      </c>
      <c r="AE271" s="267">
        <f>IF(IndividualLATest!$J$7=2014,(VLOOKUP($A271,Hshldprojections2014!$A$2:$AY$326,44,FALSE)-VLOOKUP($A271,Hshldprojections2014!$A$2:$AY$326,34,FALSE))/10,IF(IndividualLATest!$J$7=2016,(VLOOKUP($A271,Hshldprojections2016!$A$1:$AQ$322,34,FALSE)-VLOOKUP($A271,Hshldprojections2016!$A$1:$AQ$322,24,FALSE))/10,(VLOOKUP($A271,Hshldprojections2018!$A$1:$AQ$327,34,FALSE)-VLOOKUP($A271,Hshldprojections2018!$A$1:$AQ$327,24,FALSE))/10))</f>
        <v>766.2</v>
      </c>
      <c r="AF271" s="267">
        <f>IF(IndividualLATest!$J$7=2014,(VLOOKUP($A271,Hshldprojections2014!$A$2:$AY$326,45,FALSE)-VLOOKUP($A271,Hshldprojections2014!$A$2:$AY$326,35,FALSE))/10,IF(IndividualLATest!$J$7=2016,(VLOOKUP($A271,Hshldprojections2016!$A$1:$AQ$322,35,FALSE)-VLOOKUP($A271,Hshldprojections2016!$A$1:$AQ$322,25,FALSE))/10,(VLOOKUP($A271,Hshldprojections2018!$A$1:$AQ$327,35,FALSE)-VLOOKUP($A271,Hshldprojections2018!$A$1:$AQ$327,25,FALSE))/10))</f>
        <v>746.5</v>
      </c>
      <c r="AG271" s="267">
        <f>IF(IndividualLATest!$J$7=2014,(VLOOKUP($A271,Hshldprojections2014!$A$2:$AY$326,46,FALSE)-VLOOKUP($A271,Hshldprojections2014!$A$2:$AY$326,36,FALSE))/10,IF(IndividualLATest!$J$7=2016,(VLOOKUP($A271,Hshldprojections2016!$A$1:$AQ$322,36,FALSE)-VLOOKUP($A271,Hshldprojections2016!$A$1:$AQ$322,26,FALSE))/10,(VLOOKUP($A271,Hshldprojections2018!$A$1:$AQ$327,36,FALSE)-VLOOKUP($A271,Hshldprojections2018!$A$1:$AQ$327,26,FALSE))/10))</f>
        <v>728</v>
      </c>
      <c r="AH271" s="267">
        <f>IF(IndividualLATest!$J$7=2014,(VLOOKUP($A271,Hshldprojections2014!$A$2:$AY$326,47,FALSE)-VLOOKUP($A271,Hshldprojections2014!$A$2:$AY$326,37,FALSE))/10,IF(IndividualLATest!$J$7=2016,(VLOOKUP($A271,Hshldprojections2016!$A$1:$AQ$322,37,FALSE)-VLOOKUP($A271,Hshldprojections2016!$A$1:$AQ$322,27,FALSE))/10,(VLOOKUP($A271,Hshldprojections2018!$A$1:$AQ$327,37,FALSE)-VLOOKUP($A271,Hshldprojections2018!$A$1:$AQ$327,27,FALSE))/10))</f>
        <v>711.8</v>
      </c>
      <c r="AI271" s="268">
        <f>IF(ISNUMBER('Sensitivity Tests'!$C$30),'Sensitivity Tests'!$C$30,VLOOKUP($A271,AffordabilityRatio!$A$2:$I$321,5,FALSE))</f>
        <v>10.89</v>
      </c>
      <c r="AJ271" s="268">
        <f>IF(ISNUMBER('Sensitivity Tests'!$C$30),'Sensitivity Tests'!$C$30,VLOOKUP($A271,AffordabilityRatio!$A$2:$I$321,6,FALSE))</f>
        <v>10.53</v>
      </c>
      <c r="AK271" s="268">
        <f>IF(ISNUMBER('Sensitivity Tests'!$C$30),'Sensitivity Tests'!$C$30,VLOOKUP($A271,AffordabilityRatio!$A$2:$I$321,7,FALSE))</f>
        <v>10.45</v>
      </c>
      <c r="AL271" s="268">
        <f>IF(ISNUMBER('Sensitivity Tests'!$C$30),'Sensitivity Tests'!$C$30,IF((VLOOKUP($A271,AffordabilityRatio!$A$2:$I$321,8,FALSE))="",AK271,VLOOKUP($A271,AffordabilityRatio!$A$2:$I$321,8,FALSE)))</f>
        <v>10.33</v>
      </c>
      <c r="AM271" s="268">
        <f>IF(ISNUMBER('Sensitivity Tests'!$C$30),'Sensitivity Tests'!$C$30,IF((VLOOKUP($A271,AffordabilityRatio!$A$2:$I$321,9,FALSE))="",AL271,VLOOKUP($A271,AffordabilityRatio!$A$2:$I$321,9,FALSE)))</f>
        <v>11.4</v>
      </c>
      <c r="AN271" s="268">
        <f>IF(ISNUMBER('Sensitivity Tests'!$C$30),'Sensitivity Tests'!$C$30,IF((VLOOKUP($A271,AffordabilityRatio!$A$2:$I$321,9,FALSE))="",AM271,VLOOKUP($A271,AffordabilityRatio!$A$2:$I$321,9,FALSE)))</f>
        <v>11.4</v>
      </c>
      <c r="AO271" s="268">
        <f>IF(ISNUMBER('Sensitivity Tests'!$C$30),'Sensitivity Tests'!$C$30,IF((VLOOKUP($A271,AffordabilityRatio!$A$2:$I$321,9,FALSE))="",AN271,VLOOKUP($A271,AffordabilityRatio!$A$2:$I$321,9,FALSE)))</f>
        <v>11.4</v>
      </c>
      <c r="AP271" s="268">
        <f>IF(ISNUMBER('Sensitivity Tests'!$C$30),'Sensitivity Tests'!$C$30,IF((VLOOKUP($A271,AffordabilityRatio!$A$2:$I$321,9,FALSE))="",AO271,VLOOKUP($A271,AffordabilityRatio!$A$2:$I$321,9,FALSE)))</f>
        <v>11.4</v>
      </c>
      <c r="AQ271" s="267">
        <f t="shared" si="243"/>
        <v>781</v>
      </c>
      <c r="AR271" s="267">
        <f t="shared" si="243"/>
        <v>761</v>
      </c>
      <c r="AS271" s="267">
        <f t="shared" si="243"/>
        <v>756</v>
      </c>
      <c r="AT271" s="267">
        <f t="shared" si="242"/>
        <v>1095</v>
      </c>
      <c r="AU271" s="267">
        <f t="shared" si="242"/>
        <v>1121</v>
      </c>
      <c r="AV271" s="267">
        <f t="shared" si="242"/>
        <v>1092</v>
      </c>
      <c r="AW271" s="267">
        <f t="shared" si="242"/>
        <v>1065</v>
      </c>
      <c r="AX271" s="267">
        <f t="shared" si="242"/>
        <v>1041</v>
      </c>
      <c r="AY271" s="267">
        <f t="shared" si="218"/>
        <v>781</v>
      </c>
      <c r="AZ271" s="267">
        <f t="shared" si="219"/>
        <v>761</v>
      </c>
      <c r="BA271" s="267">
        <f t="shared" si="220"/>
        <v>756</v>
      </c>
      <c r="BB271" s="267">
        <f t="shared" si="221"/>
        <v>1095</v>
      </c>
      <c r="BC271" s="267">
        <f t="shared" si="222"/>
        <v>1072.68</v>
      </c>
      <c r="BD271" s="267">
        <f t="shared" si="223"/>
        <v>1045.0999999999999</v>
      </c>
      <c r="BE271" s="267">
        <f t="shared" si="224"/>
        <v>1019.2</v>
      </c>
      <c r="BF271" s="267">
        <f t="shared" si="225"/>
        <v>996.52</v>
      </c>
      <c r="BG271" s="269">
        <f>AY271*VLOOKUP($B271,'Major Cities &amp; Towns'!$A$28:$B$345,2,FALSE)</f>
        <v>781</v>
      </c>
      <c r="BH271" s="269">
        <f>AZ271*VLOOKUP($B271,'Major Cities &amp; Towns'!$A$28:$B$345,2,FALSE)</f>
        <v>761</v>
      </c>
      <c r="BI271" s="269">
        <f>BA271*VLOOKUP($B271,'Major Cities &amp; Towns'!$A$28:$B$345,2,FALSE)</f>
        <v>756</v>
      </c>
      <c r="BJ271" s="269">
        <f>BB271*VLOOKUP($B271,'Major Cities &amp; Towns'!$A$28:$B$345,2,FALSE)</f>
        <v>1095</v>
      </c>
      <c r="BK271" s="269">
        <f>BC271*VLOOKUP($B271,'Major Cities &amp; Towns'!$A$28:$B$345,2,FALSE)</f>
        <v>1072.68</v>
      </c>
      <c r="BL271" s="269">
        <f>BD271*VLOOKUP($B271,'Major Cities &amp; Towns'!$A$28:$B$345,2,FALSE)</f>
        <v>1045.0999999999999</v>
      </c>
      <c r="BM271" s="269">
        <f>BE271*VLOOKUP($B271,'Major Cities &amp; Towns'!$A$28:$B$345,2,FALSE)</f>
        <v>1019.2</v>
      </c>
      <c r="BN271" s="269">
        <f>BF271*VLOOKUP($B271,'Major Cities &amp; Towns'!$A$28:$B$345,2,FALSE)</f>
        <v>996.52</v>
      </c>
      <c r="BO271" s="270">
        <f t="shared" si="226"/>
        <v>620</v>
      </c>
      <c r="BP271" s="270">
        <f t="shared" si="201"/>
        <v>747.47945205479448</v>
      </c>
      <c r="BQ271" s="270">
        <f t="shared" si="201"/>
        <v>756</v>
      </c>
      <c r="BR271" s="270">
        <f t="shared" si="201"/>
        <v>1095</v>
      </c>
      <c r="BS271" s="270">
        <f t="shared" si="200"/>
        <v>1121</v>
      </c>
      <c r="BT271" s="270">
        <f t="shared" si="200"/>
        <v>1092</v>
      </c>
      <c r="BU271" s="270">
        <f t="shared" si="200"/>
        <v>1065</v>
      </c>
      <c r="BV271" s="270">
        <f t="shared" si="200"/>
        <v>1041</v>
      </c>
      <c r="BW271" s="39">
        <f>VLOOKUP($A271,NetAdditions!$A$2:$H$336,6,FALSE)</f>
        <v>644</v>
      </c>
      <c r="BX271" s="39">
        <f>VLOOKUP($A271,NetAdditions!$A$2:$H$336,7,FALSE)</f>
        <v>448</v>
      </c>
      <c r="BY271" s="39">
        <f>IF((VLOOKUP($C271,NetAdditions!$A$2:$H$336,8,FALSE))="",(AVERAGE(VLOOKUP($C271,NetAdditions!$A$2:$H$336,5,FALSE),VLOOKUP($C271,NetAdditions!$A$2:$H$336,6,FALSE),VLOOKUP($C271,NetAdditions!$A$2:$H$336,7,FALSE))),VLOOKUP($C271,NetAdditions!$A$2:$H$336,8,FALSE))</f>
        <v>473</v>
      </c>
      <c r="BZ271" s="39">
        <f t="shared" si="196"/>
        <v>521.66666666666663</v>
      </c>
      <c r="CA271" s="39">
        <f t="shared" si="196"/>
        <v>480.88888888888886</v>
      </c>
      <c r="CB271" s="39">
        <f t="shared" si="196"/>
        <v>491.85185185185179</v>
      </c>
      <c r="CC271" s="39">
        <f t="shared" si="196"/>
        <v>498.13580246913574</v>
      </c>
      <c r="CD271" s="39">
        <f t="shared" si="196"/>
        <v>490.29218106995881</v>
      </c>
      <c r="CE271" s="276">
        <f t="shared" si="202"/>
        <v>2123.4794520547944</v>
      </c>
      <c r="CF271" s="276">
        <f t="shared" si="203"/>
        <v>2598.4794520547944</v>
      </c>
      <c r="CG271" s="276">
        <f t="shared" si="204"/>
        <v>2972</v>
      </c>
      <c r="CH271" s="276">
        <f t="shared" si="205"/>
        <v>3308</v>
      </c>
      <c r="CI271" s="276">
        <f t="shared" si="206"/>
        <v>3278</v>
      </c>
      <c r="CJ271" s="276">
        <f t="shared" si="207"/>
        <v>3198</v>
      </c>
      <c r="CK271" s="276">
        <f t="shared" si="227"/>
        <v>1828.5517503805174</v>
      </c>
      <c r="CL271" s="276">
        <f t="shared" si="228"/>
        <v>2237.5795281582955</v>
      </c>
      <c r="CM271" s="276">
        <f t="shared" si="229"/>
        <v>2724.333333333333</v>
      </c>
      <c r="CN271" s="276">
        <f t="shared" si="230"/>
        <v>3308</v>
      </c>
      <c r="CO271" s="276">
        <f t="shared" si="230"/>
        <v>3278</v>
      </c>
      <c r="CP271" s="276">
        <f t="shared" si="230"/>
        <v>3198</v>
      </c>
      <c r="CQ271" s="39">
        <f t="shared" si="208"/>
        <v>1565</v>
      </c>
      <c r="CR271" s="39">
        <f t="shared" si="209"/>
        <v>1442.6666666666665</v>
      </c>
      <c r="CS271" s="277">
        <f t="shared" si="210"/>
        <v>1475.5555555555554</v>
      </c>
      <c r="CT271" s="39">
        <f t="shared" si="211"/>
        <v>1494.4074074074072</v>
      </c>
      <c r="CU271" s="39">
        <f t="shared" si="212"/>
        <v>1470.8765432098764</v>
      </c>
      <c r="CV271" s="39">
        <f t="shared" si="213"/>
        <v>1480.2798353909463</v>
      </c>
      <c r="CW271" s="297">
        <f t="shared" si="214"/>
        <v>0.8558685854389011</v>
      </c>
      <c r="CX271" s="279" t="str">
        <f t="shared" si="231"/>
        <v>Action Plan</v>
      </c>
      <c r="CY271" s="278">
        <f t="shared" si="215"/>
        <v>0.64474430897841428</v>
      </c>
      <c r="CZ271" s="279" t="str">
        <f t="shared" si="232"/>
        <v>Buffer and Action Plan</v>
      </c>
      <c r="DA271" s="278">
        <f t="shared" si="216"/>
        <v>0.5416207838818875</v>
      </c>
      <c r="DB271" s="292" t="str">
        <f t="shared" si="233"/>
        <v>Presumption</v>
      </c>
      <c r="DC271" s="299">
        <f t="shared" si="234"/>
        <v>0.4517555645125173</v>
      </c>
      <c r="DD271" s="293" t="str">
        <f t="shared" si="235"/>
        <v>Presumption</v>
      </c>
      <c r="DE271" s="299">
        <f t="shared" si="236"/>
        <v>0.44871157510978538</v>
      </c>
      <c r="DF271" s="293" t="str">
        <f t="shared" si="237"/>
        <v>Presumption</v>
      </c>
      <c r="DG271" s="299">
        <f t="shared" si="238"/>
        <v>0.46287674652624966</v>
      </c>
      <c r="DH271" s="293" t="str">
        <f t="shared" si="239"/>
        <v>Presumption</v>
      </c>
    </row>
    <row r="272" spans="1:112" ht="15" thickTop="1" thickBot="1">
      <c r="A272" s="38" t="s">
        <v>654</v>
      </c>
      <c r="B272" s="38" t="s">
        <v>655</v>
      </c>
      <c r="C272" s="38" t="s">
        <v>654</v>
      </c>
      <c r="D272" s="38" t="s">
        <v>154</v>
      </c>
      <c r="E272" s="38" t="str">
        <f>VLOOKUP(C272,PoliticalControl!A:K,11,FALSE)</f>
        <v>LAB</v>
      </c>
      <c r="F272" s="38" t="str">
        <f>VLOOKUP(C272,UrbanRuralClassification!A:N,13,FALSE)</f>
        <v>Urban with City and Town</v>
      </c>
      <c r="G272" s="38" t="str">
        <f>VLOOKUP(C272,UrbanRuralClassification!A:N,14,FALSE)</f>
        <v>Predominantly Urban</v>
      </c>
      <c r="H272" s="258">
        <f>IF(ISBLANK((VLOOKUP($A272,'local-plan-data'!$C$1:$AD$566,27,FALSE)))=TRUE,"",VLOOKUP($A272,'local-plan-data'!$C$1:$AD$566,27,FALSE))</f>
        <v>43111</v>
      </c>
      <c r="I272" s="259">
        <f>VLOOKUP($A272,'local-plan-data'!$C$1:$AD$566,28,FALSE)</f>
        <v>864</v>
      </c>
      <c r="J272" s="260">
        <f t="shared" si="217"/>
        <v>864</v>
      </c>
      <c r="K272" s="259">
        <f t="shared" si="240"/>
        <v>864</v>
      </c>
      <c r="L272" s="259">
        <f t="shared" si="240"/>
        <v>864</v>
      </c>
      <c r="M272" s="259">
        <f t="shared" si="240"/>
        <v>864</v>
      </c>
      <c r="N272" s="259">
        <f t="shared" si="240"/>
        <v>864</v>
      </c>
      <c r="O272" s="259">
        <f t="shared" si="240"/>
        <v>864</v>
      </c>
      <c r="P272" s="259" t="str">
        <f t="shared" si="240"/>
        <v>-</v>
      </c>
      <c r="Q272" s="259" t="str">
        <f t="shared" si="240"/>
        <v>-</v>
      </c>
      <c r="R272" s="259" t="str">
        <f t="shared" si="240"/>
        <v>-</v>
      </c>
      <c r="S272" s="259">
        <f t="shared" si="241"/>
        <v>1746</v>
      </c>
      <c r="T272" s="259">
        <f t="shared" si="241"/>
        <v>1381</v>
      </c>
      <c r="U272" s="259">
        <f t="shared" si="241"/>
        <v>1015</v>
      </c>
      <c r="V272" s="259">
        <f t="shared" si="241"/>
        <v>650</v>
      </c>
      <c r="W272" s="259">
        <f t="shared" si="241"/>
        <v>285</v>
      </c>
      <c r="X272" s="259">
        <f t="shared" si="241"/>
        <v>-80</v>
      </c>
      <c r="Y272" s="259">
        <f t="shared" si="241"/>
        <v>-446</v>
      </c>
      <c r="Z272" s="259">
        <f t="shared" si="241"/>
        <v>-811</v>
      </c>
      <c r="AA272" s="267">
        <f>(VLOOKUP(A272,Hshldprojections2014!$A$2:$AW$319,40, FALSE)-VLOOKUP(A272,Hshldprojections2014!$A$2:$AW$319,30, FALSE))/10</f>
        <v>474.9</v>
      </c>
      <c r="AB272" s="267">
        <f>(VLOOKUP(A272,Hshldprojections2014!$A$2:$AW$319,41, FALSE)-VLOOKUP(A272,Hshldprojections2014!$A$2:$AW$319,31, FALSE))/10</f>
        <v>463.3</v>
      </c>
      <c r="AC272" s="267">
        <f>(VLOOKUP(A272,Hshldprojections2014!$A$2:$AW$319,42, FALSE)-VLOOKUP(A272,Hshldprojections2014!$A$2:$AW$319,32, FALSE))/10</f>
        <v>452.3</v>
      </c>
      <c r="AD272" s="267">
        <f>IF(IndividualLATest!$J$7=2014,(VLOOKUP($A272,Hshldprojections2014!$A$2:$AY$326,43,FALSE)-VLOOKUP($A272,Hshldprojections2014!$A$2:$AY$326,33,FALSE))/10,IF(IndividualLATest!$J$7=2016,(VLOOKUP($A272,Hshldprojections2016!$A$1:$AQ$322,33,FALSE)-VLOOKUP($A272,Hshldprojections2016!$A$1:$AQ$322,23,FALSE))/10,(VLOOKUP($A272,Hshldprojections2018!$A$1:$AQ$327,33,FALSE)-VLOOKUP($A272,Hshldprojections2018!$A$1:$AQ$327,23,FALSE))/10))</f>
        <v>823.1</v>
      </c>
      <c r="AE272" s="267">
        <f>IF(IndividualLATest!$J$7=2014,(VLOOKUP($A272,Hshldprojections2014!$A$2:$AY$326,44,FALSE)-VLOOKUP($A272,Hshldprojections2014!$A$2:$AY$326,34,FALSE))/10,IF(IndividualLATest!$J$7=2016,(VLOOKUP($A272,Hshldprojections2016!$A$1:$AQ$322,34,FALSE)-VLOOKUP($A272,Hshldprojections2016!$A$1:$AQ$322,24,FALSE))/10,(VLOOKUP($A272,Hshldprojections2018!$A$1:$AQ$327,34,FALSE)-VLOOKUP($A272,Hshldprojections2018!$A$1:$AQ$327,24,FALSE))/10))</f>
        <v>802.6</v>
      </c>
      <c r="AF272" s="267">
        <f>IF(IndividualLATest!$J$7=2014,(VLOOKUP($A272,Hshldprojections2014!$A$2:$AY$326,45,FALSE)-VLOOKUP($A272,Hshldprojections2014!$A$2:$AY$326,35,FALSE))/10,IF(IndividualLATest!$J$7=2016,(VLOOKUP($A272,Hshldprojections2016!$A$1:$AQ$322,35,FALSE)-VLOOKUP($A272,Hshldprojections2016!$A$1:$AQ$322,25,FALSE))/10,(VLOOKUP($A272,Hshldprojections2018!$A$1:$AQ$327,35,FALSE)-VLOOKUP($A272,Hshldprojections2018!$A$1:$AQ$327,25,FALSE))/10))</f>
        <v>789.5</v>
      </c>
      <c r="AG272" s="267">
        <f>IF(IndividualLATest!$J$7=2014,(VLOOKUP($A272,Hshldprojections2014!$A$2:$AY$326,46,FALSE)-VLOOKUP($A272,Hshldprojections2014!$A$2:$AY$326,36,FALSE))/10,IF(IndividualLATest!$J$7=2016,(VLOOKUP($A272,Hshldprojections2016!$A$1:$AQ$322,36,FALSE)-VLOOKUP($A272,Hshldprojections2016!$A$1:$AQ$322,26,FALSE))/10,(VLOOKUP($A272,Hshldprojections2018!$A$1:$AQ$327,36,FALSE)-VLOOKUP($A272,Hshldprojections2018!$A$1:$AQ$327,26,FALSE))/10))</f>
        <v>774</v>
      </c>
      <c r="AH272" s="267">
        <f>IF(IndividualLATest!$J$7=2014,(VLOOKUP($A272,Hshldprojections2014!$A$2:$AY$326,47,FALSE)-VLOOKUP($A272,Hshldprojections2014!$A$2:$AY$326,37,FALSE))/10,IF(IndividualLATest!$J$7=2016,(VLOOKUP($A272,Hshldprojections2016!$A$1:$AQ$322,37,FALSE)-VLOOKUP($A272,Hshldprojections2016!$A$1:$AQ$322,27,FALSE))/10,(VLOOKUP($A272,Hshldprojections2018!$A$1:$AQ$327,37,FALSE)-VLOOKUP($A272,Hshldprojections2018!$A$1:$AQ$327,27,FALSE))/10))</f>
        <v>761.3</v>
      </c>
      <c r="AI272" s="268">
        <f>IF(ISNUMBER('Sensitivity Tests'!$C$30),'Sensitivity Tests'!$C$30,VLOOKUP($A272,AffordabilityRatio!$A$2:$I$321,5,FALSE))</f>
        <v>6.44</v>
      </c>
      <c r="AJ272" s="268">
        <f>IF(ISNUMBER('Sensitivity Tests'!$C$30),'Sensitivity Tests'!$C$30,VLOOKUP($A272,AffordabilityRatio!$A$2:$I$321,6,FALSE))</f>
        <v>6.19</v>
      </c>
      <c r="AK272" s="268">
        <f>IF(ISNUMBER('Sensitivity Tests'!$C$30),'Sensitivity Tests'!$C$30,VLOOKUP($A272,AffordabilityRatio!$A$2:$I$321,7,FALSE))</f>
        <v>6.05</v>
      </c>
      <c r="AL272" s="268">
        <f>IF(ISNUMBER('Sensitivity Tests'!$C$30),'Sensitivity Tests'!$C$30,IF((VLOOKUP($A272,AffordabilityRatio!$A$2:$I$321,8,FALSE))="",AK272,VLOOKUP($A272,AffordabilityRatio!$A$2:$I$321,8,FALSE)))</f>
        <v>5.94</v>
      </c>
      <c r="AM272" s="268">
        <f>IF(ISNUMBER('Sensitivity Tests'!$C$30),'Sensitivity Tests'!$C$30,IF((VLOOKUP($A272,AffordabilityRatio!$A$2:$I$321,9,FALSE))="",AL272,VLOOKUP($A272,AffordabilityRatio!$A$2:$I$321,9,FALSE)))</f>
        <v>6.53</v>
      </c>
      <c r="AN272" s="268">
        <f>IF(ISNUMBER('Sensitivity Tests'!$C$30),'Sensitivity Tests'!$C$30,IF((VLOOKUP($A272,AffordabilityRatio!$A$2:$I$321,9,FALSE))="",AM272,VLOOKUP($A272,AffordabilityRatio!$A$2:$I$321,9,FALSE)))</f>
        <v>6.53</v>
      </c>
      <c r="AO272" s="268">
        <f>IF(ISNUMBER('Sensitivity Tests'!$C$30),'Sensitivity Tests'!$C$30,IF((VLOOKUP($A272,AffordabilityRatio!$A$2:$I$321,9,FALSE))="",AN272,VLOOKUP($A272,AffordabilityRatio!$A$2:$I$321,9,FALSE)))</f>
        <v>6.53</v>
      </c>
      <c r="AP272" s="268">
        <f>IF(ISNUMBER('Sensitivity Tests'!$C$30),'Sensitivity Tests'!$C$30,IF((VLOOKUP($A272,AffordabilityRatio!$A$2:$I$321,9,FALSE))="",AO272,VLOOKUP($A272,AffordabilityRatio!$A$2:$I$321,9,FALSE)))</f>
        <v>6.53</v>
      </c>
      <c r="AQ272" s="267">
        <f t="shared" si="243"/>
        <v>547</v>
      </c>
      <c r="AR272" s="267">
        <f t="shared" si="243"/>
        <v>527</v>
      </c>
      <c r="AS272" s="267">
        <f t="shared" si="243"/>
        <v>510</v>
      </c>
      <c r="AT272" s="267">
        <f t="shared" si="242"/>
        <v>923</v>
      </c>
      <c r="AU272" s="267">
        <f t="shared" si="242"/>
        <v>930</v>
      </c>
      <c r="AV272" s="267">
        <f t="shared" si="242"/>
        <v>914</v>
      </c>
      <c r="AW272" s="267">
        <f t="shared" si="242"/>
        <v>896</v>
      </c>
      <c r="AX272" s="267">
        <f t="shared" si="242"/>
        <v>882</v>
      </c>
      <c r="AY272" s="267">
        <f t="shared" si="218"/>
        <v>547</v>
      </c>
      <c r="AZ272" s="267">
        <f t="shared" si="219"/>
        <v>527</v>
      </c>
      <c r="BA272" s="267">
        <f t="shared" si="220"/>
        <v>510</v>
      </c>
      <c r="BB272" s="267">
        <f t="shared" si="221"/>
        <v>923</v>
      </c>
      <c r="BC272" s="267">
        <f t="shared" si="222"/>
        <v>930</v>
      </c>
      <c r="BD272" s="267">
        <f t="shared" si="223"/>
        <v>914</v>
      </c>
      <c r="BE272" s="267">
        <f t="shared" si="224"/>
        <v>896</v>
      </c>
      <c r="BF272" s="267">
        <f t="shared" si="225"/>
        <v>882</v>
      </c>
      <c r="BG272" s="269">
        <f>AY272*VLOOKUP($B272,'Major Cities &amp; Towns'!$A$28:$B$345,2,FALSE)</f>
        <v>547</v>
      </c>
      <c r="BH272" s="269">
        <f>AZ272*VLOOKUP($B272,'Major Cities &amp; Towns'!$A$28:$B$345,2,FALSE)</f>
        <v>527</v>
      </c>
      <c r="BI272" s="269">
        <f>BA272*VLOOKUP($B272,'Major Cities &amp; Towns'!$A$28:$B$345,2,FALSE)</f>
        <v>510</v>
      </c>
      <c r="BJ272" s="269">
        <f>BB272*VLOOKUP($B272,'Major Cities &amp; Towns'!$A$28:$B$345,2,FALSE)</f>
        <v>923</v>
      </c>
      <c r="BK272" s="269">
        <f>BC272*VLOOKUP($B272,'Major Cities &amp; Towns'!$A$28:$B$345,2,FALSE)</f>
        <v>930</v>
      </c>
      <c r="BL272" s="269">
        <f>BD272*VLOOKUP($B272,'Major Cities &amp; Towns'!$A$28:$B$345,2,FALSE)</f>
        <v>914</v>
      </c>
      <c r="BM272" s="269">
        <f>BE272*VLOOKUP($B272,'Major Cities &amp; Towns'!$A$28:$B$345,2,FALSE)</f>
        <v>896</v>
      </c>
      <c r="BN272" s="269">
        <f>BF272*VLOOKUP($B272,'Major Cities &amp; Towns'!$A$28:$B$345,2,FALSE)</f>
        <v>882</v>
      </c>
      <c r="BO272" s="270">
        <f t="shared" si="226"/>
        <v>547</v>
      </c>
      <c r="BP272" s="270">
        <f t="shared" si="201"/>
        <v>527</v>
      </c>
      <c r="BQ272" s="270">
        <f t="shared" si="201"/>
        <v>510</v>
      </c>
      <c r="BR272" s="270">
        <f t="shared" si="201"/>
        <v>864</v>
      </c>
      <c r="BS272" s="270">
        <f t="shared" si="200"/>
        <v>878.46575342465758</v>
      </c>
      <c r="BT272" s="270">
        <f t="shared" si="200"/>
        <v>914</v>
      </c>
      <c r="BU272" s="270">
        <f t="shared" si="200"/>
        <v>896</v>
      </c>
      <c r="BV272" s="270">
        <f t="shared" si="200"/>
        <v>882</v>
      </c>
      <c r="BW272" s="39">
        <f>VLOOKUP($A272,NetAdditions!$A$2:$H$336,6,FALSE)</f>
        <v>1356</v>
      </c>
      <c r="BX272" s="39">
        <f>VLOOKUP($A272,NetAdditions!$A$2:$H$336,7,FALSE)</f>
        <v>991</v>
      </c>
      <c r="BY272" s="39">
        <f>IF((VLOOKUP($C272,NetAdditions!$A$2:$H$336,8,FALSE))="",(AVERAGE(VLOOKUP($C272,NetAdditions!$A$2:$H$336,5,FALSE),VLOOKUP($C272,NetAdditions!$A$2:$H$336,6,FALSE),VLOOKUP($C272,NetAdditions!$A$2:$H$336,7,FALSE))),VLOOKUP($C272,NetAdditions!$A$2:$H$336,8,FALSE))</f>
        <v>836</v>
      </c>
      <c r="BZ272" s="39">
        <f t="shared" si="196"/>
        <v>1061</v>
      </c>
      <c r="CA272" s="39">
        <f t="shared" si="196"/>
        <v>962.66666666666663</v>
      </c>
      <c r="CB272" s="39">
        <f t="shared" si="196"/>
        <v>953.22222222222217</v>
      </c>
      <c r="CC272" s="39">
        <f t="shared" si="196"/>
        <v>992.29629629629619</v>
      </c>
      <c r="CD272" s="39">
        <f t="shared" si="196"/>
        <v>969.39506172839492</v>
      </c>
      <c r="CE272" s="276">
        <f t="shared" si="202"/>
        <v>1584</v>
      </c>
      <c r="CF272" s="276">
        <f t="shared" si="203"/>
        <v>1901</v>
      </c>
      <c r="CG272" s="276">
        <f t="shared" si="204"/>
        <v>2252.4657534246576</v>
      </c>
      <c r="CH272" s="276">
        <f t="shared" si="205"/>
        <v>2656.4657534246576</v>
      </c>
      <c r="CI272" s="276">
        <f t="shared" si="206"/>
        <v>2688.4657534246576</v>
      </c>
      <c r="CJ272" s="276">
        <f t="shared" si="207"/>
        <v>2692</v>
      </c>
      <c r="CK272" s="276">
        <f t="shared" si="227"/>
        <v>1364</v>
      </c>
      <c r="CL272" s="276">
        <f t="shared" si="228"/>
        <v>1636.9722222222224</v>
      </c>
      <c r="CM272" s="276">
        <f t="shared" si="229"/>
        <v>2064.7602739726026</v>
      </c>
      <c r="CN272" s="276">
        <f t="shared" si="230"/>
        <v>2656.4657534246576</v>
      </c>
      <c r="CO272" s="276">
        <f t="shared" si="230"/>
        <v>2688.4657534246576</v>
      </c>
      <c r="CP272" s="276">
        <f t="shared" si="230"/>
        <v>2692</v>
      </c>
      <c r="CQ272" s="39">
        <f t="shared" si="208"/>
        <v>3183</v>
      </c>
      <c r="CR272" s="39">
        <f t="shared" si="209"/>
        <v>2888</v>
      </c>
      <c r="CS272" s="277">
        <f t="shared" si="210"/>
        <v>2859.6666666666665</v>
      </c>
      <c r="CT272" s="39">
        <f t="shared" si="211"/>
        <v>2976.8888888888887</v>
      </c>
      <c r="CU272" s="39">
        <f t="shared" si="212"/>
        <v>2908.1851851851848</v>
      </c>
      <c r="CV272" s="39">
        <f t="shared" si="213"/>
        <v>2914.9135802469132</v>
      </c>
      <c r="CW272" s="297">
        <f t="shared" si="214"/>
        <v>2.3335777126099706</v>
      </c>
      <c r="CX272" s="279" t="str">
        <f t="shared" si="231"/>
        <v>Pass</v>
      </c>
      <c r="CY272" s="278">
        <f t="shared" si="215"/>
        <v>1.7642327467716481</v>
      </c>
      <c r="CZ272" s="279" t="str">
        <f t="shared" si="232"/>
        <v>Pass</v>
      </c>
      <c r="DA272" s="278">
        <f t="shared" si="216"/>
        <v>1.3849872562516241</v>
      </c>
      <c r="DB272" s="292" t="str">
        <f t="shared" si="233"/>
        <v>Pass</v>
      </c>
      <c r="DC272" s="299">
        <f t="shared" si="234"/>
        <v>1.1206200889475608</v>
      </c>
      <c r="DD272" s="293" t="str">
        <f t="shared" si="235"/>
        <v>Pass</v>
      </c>
      <c r="DE272" s="299">
        <f t="shared" si="236"/>
        <v>1.0817266991333778</v>
      </c>
      <c r="DF272" s="293" t="str">
        <f t="shared" si="237"/>
        <v>Pass</v>
      </c>
      <c r="DG272" s="299">
        <f t="shared" si="238"/>
        <v>1.0828059361987048</v>
      </c>
      <c r="DH272" s="293" t="str">
        <f t="shared" si="239"/>
        <v>Pass</v>
      </c>
    </row>
    <row r="273" spans="1:112" ht="15" thickTop="1" thickBot="1">
      <c r="A273" s="38" t="s">
        <v>656</v>
      </c>
      <c r="B273" s="38" t="s">
        <v>657</v>
      </c>
      <c r="C273" s="38" t="s">
        <v>656</v>
      </c>
      <c r="D273" s="38" t="s">
        <v>128</v>
      </c>
      <c r="E273" s="38" t="str">
        <f>VLOOKUP(C273,PoliticalControl!A:K,11,FALSE)</f>
        <v>NOC</v>
      </c>
      <c r="F273" s="38" t="str">
        <f>VLOOKUP(C273,UrbanRuralClassification!A:N,13,FALSE)</f>
        <v xml:space="preserve">Largely Rural (rural including hub towns 50-79%) </v>
      </c>
      <c r="G273" s="38" t="str">
        <f>VLOOKUP(C273,UrbanRuralClassification!A:N,14,FALSE)</f>
        <v>Predominantly Rural</v>
      </c>
      <c r="H273" s="258">
        <f>IF(ISBLANK((VLOOKUP($A273,'local-plan-data'!$C$1:$AD$566,27,FALSE)))=TRUE,"",VLOOKUP($A273,'local-plan-data'!$C$1:$AD$566,27,FALSE))</f>
        <v>44222</v>
      </c>
      <c r="I273" s="259">
        <f>VLOOKUP($A273,'local-plan-data'!$C$1:$AD$566,28,FALSE)</f>
        <v>550</v>
      </c>
      <c r="J273" s="260">
        <f t="shared" si="217"/>
        <v>550</v>
      </c>
      <c r="K273" s="259">
        <f t="shared" si="240"/>
        <v>550</v>
      </c>
      <c r="L273" s="259">
        <f t="shared" si="240"/>
        <v>550</v>
      </c>
      <c r="M273" s="259">
        <f t="shared" si="240"/>
        <v>550</v>
      </c>
      <c r="N273" s="259">
        <f t="shared" si="240"/>
        <v>550</v>
      </c>
      <c r="O273" s="259">
        <f t="shared" si="240"/>
        <v>550</v>
      </c>
      <c r="P273" s="259">
        <f t="shared" si="240"/>
        <v>550</v>
      </c>
      <c r="Q273" s="259">
        <f t="shared" si="240"/>
        <v>550</v>
      </c>
      <c r="R273" s="259">
        <f t="shared" si="240"/>
        <v>550</v>
      </c>
      <c r="S273" s="259">
        <f t="shared" si="241"/>
        <v>2857</v>
      </c>
      <c r="T273" s="259">
        <f t="shared" si="241"/>
        <v>2492</v>
      </c>
      <c r="U273" s="259">
        <f t="shared" si="241"/>
        <v>2126</v>
      </c>
      <c r="V273" s="259">
        <f t="shared" si="241"/>
        <v>1761</v>
      </c>
      <c r="W273" s="259">
        <f t="shared" si="241"/>
        <v>1396</v>
      </c>
      <c r="X273" s="259">
        <f t="shared" si="241"/>
        <v>1031</v>
      </c>
      <c r="Y273" s="259">
        <f t="shared" si="241"/>
        <v>665</v>
      </c>
      <c r="Z273" s="259">
        <f t="shared" si="241"/>
        <v>300</v>
      </c>
      <c r="AA273" s="267">
        <f>(VLOOKUP(A273,Hshldprojections2014!$A$2:$AW$319,40, FALSE)-VLOOKUP(A273,Hshldprojections2014!$A$2:$AW$319,30, FALSE))/10</f>
        <v>639.9</v>
      </c>
      <c r="AB273" s="267">
        <f>(VLOOKUP(A273,Hshldprojections2014!$A$2:$AW$319,41, FALSE)-VLOOKUP(A273,Hshldprojections2014!$A$2:$AW$319,31, FALSE))/10</f>
        <v>654.70000000000005</v>
      </c>
      <c r="AC273" s="267">
        <f>(VLOOKUP(A273,Hshldprojections2014!$A$2:$AW$319,42, FALSE)-VLOOKUP(A273,Hshldprojections2014!$A$2:$AW$319,32, FALSE))/10</f>
        <v>668.5</v>
      </c>
      <c r="AD273" s="267">
        <f>IF(IndividualLATest!$J$7=2014,(VLOOKUP($A273,Hshldprojections2014!$A$2:$AY$326,43,FALSE)-VLOOKUP($A273,Hshldprojections2014!$A$2:$AY$326,33,FALSE))/10,IF(IndividualLATest!$J$7=2016,(VLOOKUP($A273,Hshldprojections2016!$A$1:$AQ$322,33,FALSE)-VLOOKUP($A273,Hshldprojections2016!$A$1:$AQ$322,23,FALSE))/10,(VLOOKUP($A273,Hshldprojections2018!$A$1:$AQ$327,33,FALSE)-VLOOKUP($A273,Hshldprojections2018!$A$1:$AQ$327,23,FALSE))/10))</f>
        <v>715.9</v>
      </c>
      <c r="AE273" s="267">
        <f>IF(IndividualLATest!$J$7=2014,(VLOOKUP($A273,Hshldprojections2014!$A$2:$AY$326,44,FALSE)-VLOOKUP($A273,Hshldprojections2014!$A$2:$AY$326,34,FALSE))/10,IF(IndividualLATest!$J$7=2016,(VLOOKUP($A273,Hshldprojections2016!$A$1:$AQ$322,34,FALSE)-VLOOKUP($A273,Hshldprojections2016!$A$1:$AQ$322,24,FALSE))/10,(VLOOKUP($A273,Hshldprojections2018!$A$1:$AQ$327,34,FALSE)-VLOOKUP($A273,Hshldprojections2018!$A$1:$AQ$327,24,FALSE))/10))</f>
        <v>712.1</v>
      </c>
      <c r="AF273" s="267">
        <f>IF(IndividualLATest!$J$7=2014,(VLOOKUP($A273,Hshldprojections2014!$A$2:$AY$326,45,FALSE)-VLOOKUP($A273,Hshldprojections2014!$A$2:$AY$326,35,FALSE))/10,IF(IndividualLATest!$J$7=2016,(VLOOKUP($A273,Hshldprojections2016!$A$1:$AQ$322,35,FALSE)-VLOOKUP($A273,Hshldprojections2016!$A$1:$AQ$322,25,FALSE))/10,(VLOOKUP($A273,Hshldprojections2018!$A$1:$AQ$327,35,FALSE)-VLOOKUP($A273,Hshldprojections2018!$A$1:$AQ$327,25,FALSE))/10))</f>
        <v>707.1</v>
      </c>
      <c r="AG273" s="267">
        <f>IF(IndividualLATest!$J$7=2014,(VLOOKUP($A273,Hshldprojections2014!$A$2:$AY$326,46,FALSE)-VLOOKUP($A273,Hshldprojections2014!$A$2:$AY$326,36,FALSE))/10,IF(IndividualLATest!$J$7=2016,(VLOOKUP($A273,Hshldprojections2016!$A$1:$AQ$322,36,FALSE)-VLOOKUP($A273,Hshldprojections2016!$A$1:$AQ$322,26,FALSE))/10,(VLOOKUP($A273,Hshldprojections2018!$A$1:$AQ$327,36,FALSE)-VLOOKUP($A273,Hshldprojections2018!$A$1:$AQ$327,26,FALSE))/10))</f>
        <v>703.4</v>
      </c>
      <c r="AH273" s="267">
        <f>IF(IndividualLATest!$J$7=2014,(VLOOKUP($A273,Hshldprojections2014!$A$2:$AY$326,47,FALSE)-VLOOKUP($A273,Hshldprojections2014!$A$2:$AY$326,37,FALSE))/10,IF(IndividualLATest!$J$7=2016,(VLOOKUP($A273,Hshldprojections2016!$A$1:$AQ$322,37,FALSE)-VLOOKUP($A273,Hshldprojections2016!$A$1:$AQ$322,27,FALSE))/10,(VLOOKUP($A273,Hshldprojections2018!$A$1:$AQ$327,37,FALSE)-VLOOKUP($A273,Hshldprojections2018!$A$1:$AQ$327,27,FALSE))/10))</f>
        <v>702.8</v>
      </c>
      <c r="AI273" s="268">
        <f>IF(ISNUMBER('Sensitivity Tests'!$C$30),'Sensitivity Tests'!$C$30,VLOOKUP($A273,AffordabilityRatio!$A$2:$I$321,5,FALSE))</f>
        <v>9.08</v>
      </c>
      <c r="AJ273" s="268">
        <f>IF(ISNUMBER('Sensitivity Tests'!$C$30),'Sensitivity Tests'!$C$30,VLOOKUP($A273,AffordabilityRatio!$A$2:$I$321,6,FALSE))</f>
        <v>9</v>
      </c>
      <c r="AK273" s="268">
        <f>IF(ISNUMBER('Sensitivity Tests'!$C$30),'Sensitivity Tests'!$C$30,VLOOKUP($A273,AffordabilityRatio!$A$2:$I$321,7,FALSE))</f>
        <v>8.75</v>
      </c>
      <c r="AL273" s="268">
        <f>IF(ISNUMBER('Sensitivity Tests'!$C$30),'Sensitivity Tests'!$C$30,IF((VLOOKUP($A273,AffordabilityRatio!$A$2:$I$321,8,FALSE))="",AK273,VLOOKUP($A273,AffordabilityRatio!$A$2:$I$321,8,FALSE)))</f>
        <v>8.52</v>
      </c>
      <c r="AM273" s="268">
        <f>IF(ISNUMBER('Sensitivity Tests'!$C$30),'Sensitivity Tests'!$C$30,IF((VLOOKUP($A273,AffordabilityRatio!$A$2:$I$321,9,FALSE))="",AL273,VLOOKUP($A273,AffordabilityRatio!$A$2:$I$321,9,FALSE)))</f>
        <v>9.2799999999999994</v>
      </c>
      <c r="AN273" s="268">
        <f>IF(ISNUMBER('Sensitivity Tests'!$C$30),'Sensitivity Tests'!$C$30,IF((VLOOKUP($A273,AffordabilityRatio!$A$2:$I$321,9,FALSE))="",AM273,VLOOKUP($A273,AffordabilityRatio!$A$2:$I$321,9,FALSE)))</f>
        <v>9.2799999999999994</v>
      </c>
      <c r="AO273" s="268">
        <f>IF(ISNUMBER('Sensitivity Tests'!$C$30),'Sensitivity Tests'!$C$30,IF((VLOOKUP($A273,AffordabilityRatio!$A$2:$I$321,9,FALSE))="",AN273,VLOOKUP($A273,AffordabilityRatio!$A$2:$I$321,9,FALSE)))</f>
        <v>9.2799999999999994</v>
      </c>
      <c r="AP273" s="268">
        <f>IF(ISNUMBER('Sensitivity Tests'!$C$30),'Sensitivity Tests'!$C$30,IF((VLOOKUP($A273,AffordabilityRatio!$A$2:$I$321,9,FALSE))="",AO273,VLOOKUP($A273,AffordabilityRatio!$A$2:$I$321,9,FALSE)))</f>
        <v>9.2799999999999994</v>
      </c>
      <c r="AQ273" s="267">
        <f t="shared" si="243"/>
        <v>843</v>
      </c>
      <c r="AR273" s="267">
        <f t="shared" si="243"/>
        <v>859</v>
      </c>
      <c r="AS273" s="267">
        <f t="shared" si="243"/>
        <v>867</v>
      </c>
      <c r="AT273" s="267">
        <f t="shared" si="242"/>
        <v>918</v>
      </c>
      <c r="AU273" s="267">
        <f t="shared" si="242"/>
        <v>947</v>
      </c>
      <c r="AV273" s="267">
        <f t="shared" si="242"/>
        <v>940</v>
      </c>
      <c r="AW273" s="267">
        <f t="shared" si="242"/>
        <v>936</v>
      </c>
      <c r="AX273" s="267">
        <f t="shared" si="242"/>
        <v>935</v>
      </c>
      <c r="AY273" s="267">
        <f t="shared" si="218"/>
        <v>770</v>
      </c>
      <c r="AZ273" s="267">
        <f t="shared" si="219"/>
        <v>770</v>
      </c>
      <c r="BA273" s="267">
        <f t="shared" si="220"/>
        <v>770</v>
      </c>
      <c r="BB273" s="267">
        <f t="shared" si="221"/>
        <v>770</v>
      </c>
      <c r="BC273" s="267">
        <f t="shared" si="222"/>
        <v>770</v>
      </c>
      <c r="BD273" s="267">
        <f t="shared" si="223"/>
        <v>770</v>
      </c>
      <c r="BE273" s="267">
        <f t="shared" si="224"/>
        <v>770</v>
      </c>
      <c r="BF273" s="267">
        <f t="shared" si="225"/>
        <v>770</v>
      </c>
      <c r="BG273" s="269">
        <f>AY273*VLOOKUP($B273,'Major Cities &amp; Towns'!$A$28:$B$345,2,FALSE)</f>
        <v>770</v>
      </c>
      <c r="BH273" s="269">
        <f>AZ273*VLOOKUP($B273,'Major Cities &amp; Towns'!$A$28:$B$345,2,FALSE)</f>
        <v>770</v>
      </c>
      <c r="BI273" s="269">
        <f>BA273*VLOOKUP($B273,'Major Cities &amp; Towns'!$A$28:$B$345,2,FALSE)</f>
        <v>770</v>
      </c>
      <c r="BJ273" s="269">
        <f>BB273*VLOOKUP($B273,'Major Cities &amp; Towns'!$A$28:$B$345,2,FALSE)</f>
        <v>770</v>
      </c>
      <c r="BK273" s="269">
        <f>BC273*VLOOKUP($B273,'Major Cities &amp; Towns'!$A$28:$B$345,2,FALSE)</f>
        <v>770</v>
      </c>
      <c r="BL273" s="269">
        <f>BD273*VLOOKUP($B273,'Major Cities &amp; Towns'!$A$28:$B$345,2,FALSE)</f>
        <v>770</v>
      </c>
      <c r="BM273" s="269">
        <f>BE273*VLOOKUP($B273,'Major Cities &amp; Towns'!$A$28:$B$345,2,FALSE)</f>
        <v>770</v>
      </c>
      <c r="BN273" s="269">
        <f>BF273*VLOOKUP($B273,'Major Cities &amp; Towns'!$A$28:$B$345,2,FALSE)</f>
        <v>770</v>
      </c>
      <c r="BO273" s="270">
        <f t="shared" si="226"/>
        <v>550</v>
      </c>
      <c r="BP273" s="270">
        <f t="shared" si="201"/>
        <v>550</v>
      </c>
      <c r="BQ273" s="270">
        <f t="shared" si="201"/>
        <v>550</v>
      </c>
      <c r="BR273" s="270">
        <f t="shared" si="201"/>
        <v>550</v>
      </c>
      <c r="BS273" s="270">
        <f t="shared" si="200"/>
        <v>550</v>
      </c>
      <c r="BT273" s="270">
        <f t="shared" si="200"/>
        <v>550</v>
      </c>
      <c r="BU273" s="270">
        <f t="shared" si="200"/>
        <v>550</v>
      </c>
      <c r="BV273" s="270">
        <f t="shared" si="200"/>
        <v>618.56164383561645</v>
      </c>
      <c r="BW273" s="39">
        <f>VLOOKUP($A273,NetAdditions!$A$2:$H$336,6,FALSE)</f>
        <v>915</v>
      </c>
      <c r="BX273" s="39">
        <f>VLOOKUP($A273,NetAdditions!$A$2:$H$336,7,FALSE)</f>
        <v>784</v>
      </c>
      <c r="BY273" s="39">
        <f>IF((VLOOKUP($C273,NetAdditions!$A$2:$H$336,8,FALSE))="",(AVERAGE(VLOOKUP($C273,NetAdditions!$A$2:$H$336,5,FALSE),VLOOKUP($C273,NetAdditions!$A$2:$H$336,6,FALSE),VLOOKUP($C273,NetAdditions!$A$2:$H$336,7,FALSE))),VLOOKUP($C273,NetAdditions!$A$2:$H$336,8,FALSE))</f>
        <v>646</v>
      </c>
      <c r="BZ273" s="39">
        <f t="shared" ref="BZ273:CD322" si="244">AVERAGE(BW273:BY273)</f>
        <v>781.66666666666663</v>
      </c>
      <c r="CA273" s="39">
        <f t="shared" si="244"/>
        <v>737.22222222222217</v>
      </c>
      <c r="CB273" s="39">
        <f t="shared" si="244"/>
        <v>721.62962962962956</v>
      </c>
      <c r="CC273" s="39">
        <f t="shared" si="244"/>
        <v>746.83950617283938</v>
      </c>
      <c r="CD273" s="39">
        <f t="shared" si="244"/>
        <v>735.23045267489704</v>
      </c>
      <c r="CE273" s="276">
        <f t="shared" si="202"/>
        <v>1650</v>
      </c>
      <c r="CF273" s="276">
        <f t="shared" si="203"/>
        <v>1650</v>
      </c>
      <c r="CG273" s="276">
        <f t="shared" si="204"/>
        <v>1650</v>
      </c>
      <c r="CH273" s="276">
        <f t="shared" si="205"/>
        <v>1650</v>
      </c>
      <c r="CI273" s="276">
        <f t="shared" si="206"/>
        <v>1650</v>
      </c>
      <c r="CJ273" s="276">
        <f t="shared" si="207"/>
        <v>1718.5616438356165</v>
      </c>
      <c r="CK273" s="276">
        <f t="shared" si="227"/>
        <v>1420.8333333333335</v>
      </c>
      <c r="CL273" s="276">
        <f t="shared" si="228"/>
        <v>1420.8333333333335</v>
      </c>
      <c r="CM273" s="276">
        <f t="shared" si="229"/>
        <v>1512.5</v>
      </c>
      <c r="CN273" s="276">
        <f t="shared" si="230"/>
        <v>1650</v>
      </c>
      <c r="CO273" s="276">
        <f t="shared" si="230"/>
        <v>1650</v>
      </c>
      <c r="CP273" s="276">
        <f t="shared" si="230"/>
        <v>1718.5616438356165</v>
      </c>
      <c r="CQ273" s="39">
        <f t="shared" si="208"/>
        <v>2345</v>
      </c>
      <c r="CR273" s="39">
        <f t="shared" si="209"/>
        <v>2211.6666666666665</v>
      </c>
      <c r="CS273" s="277">
        <f t="shared" si="210"/>
        <v>2164.8888888888887</v>
      </c>
      <c r="CT273" s="39">
        <f t="shared" si="211"/>
        <v>2240.5185185185182</v>
      </c>
      <c r="CU273" s="39">
        <f t="shared" si="212"/>
        <v>2205.691358024691</v>
      </c>
      <c r="CV273" s="39">
        <f t="shared" si="213"/>
        <v>2203.699588477366</v>
      </c>
      <c r="CW273" s="297">
        <f t="shared" si="214"/>
        <v>1.6504398826979469</v>
      </c>
      <c r="CX273" s="279" t="str">
        <f t="shared" si="231"/>
        <v>Pass</v>
      </c>
      <c r="CY273" s="278">
        <f t="shared" si="215"/>
        <v>1.556598240469208</v>
      </c>
      <c r="CZ273" s="279" t="str">
        <f t="shared" si="232"/>
        <v>Pass</v>
      </c>
      <c r="DA273" s="278">
        <f t="shared" si="216"/>
        <v>1.4313314967860422</v>
      </c>
      <c r="DB273" s="292" t="str">
        <f t="shared" si="233"/>
        <v>Pass</v>
      </c>
      <c r="DC273" s="299">
        <f t="shared" si="234"/>
        <v>1.3578900112233443</v>
      </c>
      <c r="DD273" s="293" t="str">
        <f t="shared" si="235"/>
        <v>Pass</v>
      </c>
      <c r="DE273" s="299">
        <f t="shared" si="236"/>
        <v>1.3367826412270853</v>
      </c>
      <c r="DF273" s="293" t="str">
        <f t="shared" si="237"/>
        <v>Pass</v>
      </c>
      <c r="DG273" s="299">
        <f t="shared" si="238"/>
        <v>1.2822930131030865</v>
      </c>
      <c r="DH273" s="293" t="str">
        <f t="shared" si="239"/>
        <v>Pass</v>
      </c>
    </row>
    <row r="274" spans="1:112" ht="15" thickTop="1" thickBot="1">
      <c r="A274" s="38" t="s">
        <v>658</v>
      </c>
      <c r="B274" s="38" t="s">
        <v>659</v>
      </c>
      <c r="C274" s="38" t="s">
        <v>658</v>
      </c>
      <c r="D274" s="38" t="s">
        <v>113</v>
      </c>
      <c r="E274" s="38" t="str">
        <f>VLOOKUP(C274,PoliticalControl!A:K,11,FALSE)</f>
        <v>CON</v>
      </c>
      <c r="F274" s="38" t="str">
        <f>VLOOKUP(C274,UrbanRuralClassification!A:N,13,FALSE)</f>
        <v>Urban with Significant Rural (rural including hub towns 26-49%)</v>
      </c>
      <c r="G274" s="38" t="str">
        <f>VLOOKUP(C274,UrbanRuralClassification!A:N,14,FALSE)</f>
        <v>Urban with Significant Rural</v>
      </c>
      <c r="H274" s="258">
        <f>IF(ISBLANK((VLOOKUP($A274,'local-plan-data'!$C$1:$AD$566,27,FALSE)))=TRUE,"",VLOOKUP($A274,'local-plan-data'!$C$1:$AD$566,27,FALSE))</f>
        <v>42396</v>
      </c>
      <c r="I274" s="259">
        <f>VLOOKUP($A274,'local-plan-data'!$C$1:$AD$566,28,FALSE)</f>
        <v>588</v>
      </c>
      <c r="J274" s="260">
        <f t="shared" si="217"/>
        <v>588</v>
      </c>
      <c r="K274" s="259">
        <f t="shared" si="240"/>
        <v>588</v>
      </c>
      <c r="L274" s="259">
        <f t="shared" si="240"/>
        <v>588</v>
      </c>
      <c r="M274" s="259">
        <f t="shared" si="240"/>
        <v>588</v>
      </c>
      <c r="N274" s="259" t="str">
        <f t="shared" si="240"/>
        <v>-</v>
      </c>
      <c r="O274" s="259" t="str">
        <f t="shared" si="240"/>
        <v>-</v>
      </c>
      <c r="P274" s="259" t="str">
        <f t="shared" si="240"/>
        <v>-</v>
      </c>
      <c r="Q274" s="259" t="str">
        <f t="shared" si="240"/>
        <v>-</v>
      </c>
      <c r="R274" s="259" t="str">
        <f t="shared" si="240"/>
        <v>-</v>
      </c>
      <c r="S274" s="259">
        <f t="shared" si="241"/>
        <v>1032</v>
      </c>
      <c r="T274" s="259">
        <f t="shared" si="241"/>
        <v>667</v>
      </c>
      <c r="U274" s="259">
        <f t="shared" si="241"/>
        <v>301</v>
      </c>
      <c r="V274" s="259">
        <f t="shared" si="241"/>
        <v>-64</v>
      </c>
      <c r="W274" s="259">
        <f t="shared" si="241"/>
        <v>-429</v>
      </c>
      <c r="X274" s="259">
        <f t="shared" si="241"/>
        <v>-794</v>
      </c>
      <c r="Y274" s="259">
        <f t="shared" si="241"/>
        <v>-1160</v>
      </c>
      <c r="Z274" s="259">
        <f t="shared" si="241"/>
        <v>-1525</v>
      </c>
      <c r="AA274" s="267">
        <f>(VLOOKUP(A274,Hshldprojections2014!$A$2:$AW$319,40, FALSE)-VLOOKUP(A274,Hshldprojections2014!$A$2:$AW$319,30, FALSE))/10</f>
        <v>405.9</v>
      </c>
      <c r="AB274" s="267">
        <f>(VLOOKUP(A274,Hshldprojections2014!$A$2:$AW$319,41, FALSE)-VLOOKUP(A274,Hshldprojections2014!$A$2:$AW$319,31, FALSE))/10</f>
        <v>403.5</v>
      </c>
      <c r="AC274" s="267">
        <f>(VLOOKUP(A274,Hshldprojections2014!$A$2:$AW$319,42, FALSE)-VLOOKUP(A274,Hshldprojections2014!$A$2:$AW$319,32, FALSE))/10</f>
        <v>401.2</v>
      </c>
      <c r="AD274" s="267">
        <f>IF(IndividualLATest!$J$7=2014,(VLOOKUP($A274,Hshldprojections2014!$A$2:$AY$326,43,FALSE)-VLOOKUP($A274,Hshldprojections2014!$A$2:$AY$326,33,FALSE))/10,IF(IndividualLATest!$J$7=2016,(VLOOKUP($A274,Hshldprojections2016!$A$1:$AQ$322,33,FALSE)-VLOOKUP($A274,Hshldprojections2016!$A$1:$AQ$322,23,FALSE))/10,(VLOOKUP($A274,Hshldprojections2018!$A$1:$AQ$327,33,FALSE)-VLOOKUP($A274,Hshldprojections2018!$A$1:$AQ$327,23,FALSE))/10))</f>
        <v>442</v>
      </c>
      <c r="AE274" s="267">
        <f>IF(IndividualLATest!$J$7=2014,(VLOOKUP($A274,Hshldprojections2014!$A$2:$AY$326,44,FALSE)-VLOOKUP($A274,Hshldprojections2014!$A$2:$AY$326,34,FALSE))/10,IF(IndividualLATest!$J$7=2016,(VLOOKUP($A274,Hshldprojections2016!$A$1:$AQ$322,34,FALSE)-VLOOKUP($A274,Hshldprojections2016!$A$1:$AQ$322,24,FALSE))/10,(VLOOKUP($A274,Hshldprojections2018!$A$1:$AQ$327,34,FALSE)-VLOOKUP($A274,Hshldprojections2018!$A$1:$AQ$327,24,FALSE))/10))</f>
        <v>423.5</v>
      </c>
      <c r="AF274" s="267">
        <f>IF(IndividualLATest!$J$7=2014,(VLOOKUP($A274,Hshldprojections2014!$A$2:$AY$326,45,FALSE)-VLOOKUP($A274,Hshldprojections2014!$A$2:$AY$326,35,FALSE))/10,IF(IndividualLATest!$J$7=2016,(VLOOKUP($A274,Hshldprojections2016!$A$1:$AQ$322,35,FALSE)-VLOOKUP($A274,Hshldprojections2016!$A$1:$AQ$322,25,FALSE))/10,(VLOOKUP($A274,Hshldprojections2018!$A$1:$AQ$327,35,FALSE)-VLOOKUP($A274,Hshldprojections2018!$A$1:$AQ$327,25,FALSE))/10))</f>
        <v>408.8</v>
      </c>
      <c r="AG274" s="267">
        <f>IF(IndividualLATest!$J$7=2014,(VLOOKUP($A274,Hshldprojections2014!$A$2:$AY$326,46,FALSE)-VLOOKUP($A274,Hshldprojections2014!$A$2:$AY$326,36,FALSE))/10,IF(IndividualLATest!$J$7=2016,(VLOOKUP($A274,Hshldprojections2016!$A$1:$AQ$322,36,FALSE)-VLOOKUP($A274,Hshldprojections2016!$A$1:$AQ$322,26,FALSE))/10,(VLOOKUP($A274,Hshldprojections2018!$A$1:$AQ$327,36,FALSE)-VLOOKUP($A274,Hshldprojections2018!$A$1:$AQ$327,26,FALSE))/10))</f>
        <v>395.1</v>
      </c>
      <c r="AH274" s="267">
        <f>IF(IndividualLATest!$J$7=2014,(VLOOKUP($A274,Hshldprojections2014!$A$2:$AY$326,47,FALSE)-VLOOKUP($A274,Hshldprojections2014!$A$2:$AY$326,37,FALSE))/10,IF(IndividualLATest!$J$7=2016,(VLOOKUP($A274,Hshldprojections2016!$A$1:$AQ$322,37,FALSE)-VLOOKUP($A274,Hshldprojections2016!$A$1:$AQ$322,27,FALSE))/10,(VLOOKUP($A274,Hshldprojections2018!$A$1:$AQ$327,37,FALSE)-VLOOKUP($A274,Hshldprojections2018!$A$1:$AQ$327,27,FALSE))/10))</f>
        <v>381.8</v>
      </c>
      <c r="AI274" s="268">
        <f>IF(ISNUMBER('Sensitivity Tests'!$C$30),'Sensitivity Tests'!$C$30,VLOOKUP($A274,AffordabilityRatio!$A$2:$I$321,5,FALSE))</f>
        <v>10.3</v>
      </c>
      <c r="AJ274" s="268">
        <f>IF(ISNUMBER('Sensitivity Tests'!$C$30),'Sensitivity Tests'!$C$30,VLOOKUP($A274,AffordabilityRatio!$A$2:$I$321,6,FALSE))</f>
        <v>10.119999999999999</v>
      </c>
      <c r="AK274" s="268">
        <f>IF(ISNUMBER('Sensitivity Tests'!$C$30),'Sensitivity Tests'!$C$30,VLOOKUP($A274,AffordabilityRatio!$A$2:$I$321,7,FALSE))</f>
        <v>9.91</v>
      </c>
      <c r="AL274" s="268">
        <f>IF(ISNUMBER('Sensitivity Tests'!$C$30),'Sensitivity Tests'!$C$30,IF((VLOOKUP($A274,AffordabilityRatio!$A$2:$I$321,8,FALSE))="",AK274,VLOOKUP($A274,AffordabilityRatio!$A$2:$I$321,8,FALSE)))</f>
        <v>9.8000000000000007</v>
      </c>
      <c r="AM274" s="268">
        <f>IF(ISNUMBER('Sensitivity Tests'!$C$30),'Sensitivity Tests'!$C$30,IF((VLOOKUP($A274,AffordabilityRatio!$A$2:$I$321,9,FALSE))="",AL274,VLOOKUP($A274,AffordabilityRatio!$A$2:$I$321,9,FALSE)))</f>
        <v>10.6</v>
      </c>
      <c r="AN274" s="268">
        <f>IF(ISNUMBER('Sensitivity Tests'!$C$30),'Sensitivity Tests'!$C$30,IF((VLOOKUP($A274,AffordabilityRatio!$A$2:$I$321,9,FALSE))="",AM274,VLOOKUP($A274,AffordabilityRatio!$A$2:$I$321,9,FALSE)))</f>
        <v>10.6</v>
      </c>
      <c r="AO274" s="268">
        <f>IF(ISNUMBER('Sensitivity Tests'!$C$30),'Sensitivity Tests'!$C$30,IF((VLOOKUP($A274,AffordabilityRatio!$A$2:$I$321,9,FALSE))="",AN274,VLOOKUP($A274,AffordabilityRatio!$A$2:$I$321,9,FALSE)))</f>
        <v>10.6</v>
      </c>
      <c r="AP274" s="268">
        <f>IF(ISNUMBER('Sensitivity Tests'!$C$30),'Sensitivity Tests'!$C$30,IF((VLOOKUP($A274,AffordabilityRatio!$A$2:$I$321,9,FALSE))="",AO274,VLOOKUP($A274,AffordabilityRatio!$A$2:$I$321,9,FALSE)))</f>
        <v>10.6</v>
      </c>
      <c r="AQ274" s="267">
        <f t="shared" si="243"/>
        <v>566</v>
      </c>
      <c r="AR274" s="267">
        <f t="shared" si="243"/>
        <v>558</v>
      </c>
      <c r="AS274" s="267">
        <f t="shared" si="243"/>
        <v>549</v>
      </c>
      <c r="AT274" s="267">
        <f t="shared" si="242"/>
        <v>602</v>
      </c>
      <c r="AU274" s="267">
        <f t="shared" si="242"/>
        <v>598</v>
      </c>
      <c r="AV274" s="267">
        <f t="shared" si="242"/>
        <v>577</v>
      </c>
      <c r="AW274" s="267">
        <f t="shared" si="242"/>
        <v>558</v>
      </c>
      <c r="AX274" s="267">
        <f t="shared" si="242"/>
        <v>539</v>
      </c>
      <c r="AY274" s="267">
        <f t="shared" si="218"/>
        <v>566</v>
      </c>
      <c r="AZ274" s="267">
        <f t="shared" si="219"/>
        <v>558</v>
      </c>
      <c r="BA274" s="267">
        <f t="shared" si="220"/>
        <v>549</v>
      </c>
      <c r="BB274" s="267">
        <f t="shared" si="221"/>
        <v>602</v>
      </c>
      <c r="BC274" s="267">
        <f t="shared" si="222"/>
        <v>598</v>
      </c>
      <c r="BD274" s="267">
        <f t="shared" si="223"/>
        <v>577</v>
      </c>
      <c r="BE274" s="267">
        <f t="shared" si="224"/>
        <v>558</v>
      </c>
      <c r="BF274" s="267">
        <f t="shared" si="225"/>
        <v>539</v>
      </c>
      <c r="BG274" s="269">
        <f>AY274*VLOOKUP($B274,'Major Cities &amp; Towns'!$A$28:$B$345,2,FALSE)</f>
        <v>566</v>
      </c>
      <c r="BH274" s="269">
        <f>AZ274*VLOOKUP($B274,'Major Cities &amp; Towns'!$A$28:$B$345,2,FALSE)</f>
        <v>558</v>
      </c>
      <c r="BI274" s="269">
        <f>BA274*VLOOKUP($B274,'Major Cities &amp; Towns'!$A$28:$B$345,2,FALSE)</f>
        <v>549</v>
      </c>
      <c r="BJ274" s="269">
        <f>BB274*VLOOKUP($B274,'Major Cities &amp; Towns'!$A$28:$B$345,2,FALSE)</f>
        <v>602</v>
      </c>
      <c r="BK274" s="269">
        <f>BC274*VLOOKUP($B274,'Major Cities &amp; Towns'!$A$28:$B$345,2,FALSE)</f>
        <v>598</v>
      </c>
      <c r="BL274" s="269">
        <f>BD274*VLOOKUP($B274,'Major Cities &amp; Towns'!$A$28:$B$345,2,FALSE)</f>
        <v>577</v>
      </c>
      <c r="BM274" s="269">
        <f>BE274*VLOOKUP($B274,'Major Cities &amp; Towns'!$A$28:$B$345,2,FALSE)</f>
        <v>558</v>
      </c>
      <c r="BN274" s="269">
        <f>BF274*VLOOKUP($B274,'Major Cities &amp; Towns'!$A$28:$B$345,2,FALSE)</f>
        <v>539</v>
      </c>
      <c r="BO274" s="270">
        <f t="shared" si="226"/>
        <v>566</v>
      </c>
      <c r="BP274" s="270">
        <f t="shared" si="201"/>
        <v>558</v>
      </c>
      <c r="BQ274" s="270">
        <f t="shared" si="201"/>
        <v>549</v>
      </c>
      <c r="BR274" s="270">
        <f t="shared" si="201"/>
        <v>602</v>
      </c>
      <c r="BS274" s="270">
        <f t="shared" si="200"/>
        <v>598</v>
      </c>
      <c r="BT274" s="270">
        <f t="shared" si="200"/>
        <v>577</v>
      </c>
      <c r="BU274" s="270">
        <f t="shared" si="200"/>
        <v>558</v>
      </c>
      <c r="BV274" s="270">
        <f t="shared" si="200"/>
        <v>539</v>
      </c>
      <c r="BW274" s="39">
        <f>VLOOKUP($A274,NetAdditions!$A$2:$H$336,6,FALSE)</f>
        <v>817</v>
      </c>
      <c r="BX274" s="39">
        <f>VLOOKUP($A274,NetAdditions!$A$2:$H$336,7,FALSE)</f>
        <v>948</v>
      </c>
      <c r="BY274" s="39">
        <f>IF((VLOOKUP($C274,NetAdditions!$A$2:$H$336,8,FALSE))="",(AVERAGE(VLOOKUP($C274,NetAdditions!$A$2:$H$336,5,FALSE),VLOOKUP($C274,NetAdditions!$A$2:$H$336,6,FALSE),VLOOKUP($C274,NetAdditions!$A$2:$H$336,7,FALSE))),VLOOKUP($C274,NetAdditions!$A$2:$H$336,8,FALSE))</f>
        <v>879</v>
      </c>
      <c r="BZ274" s="39">
        <f t="shared" si="244"/>
        <v>881.33333333333337</v>
      </c>
      <c r="CA274" s="39">
        <f t="shared" si="244"/>
        <v>902.77777777777783</v>
      </c>
      <c r="CB274" s="39">
        <f t="shared" si="244"/>
        <v>887.70370370370381</v>
      </c>
      <c r="CC274" s="39">
        <f t="shared" si="244"/>
        <v>890.60493827160508</v>
      </c>
      <c r="CD274" s="39">
        <f t="shared" si="244"/>
        <v>893.69547325102894</v>
      </c>
      <c r="CE274" s="276">
        <f t="shared" si="202"/>
        <v>1673</v>
      </c>
      <c r="CF274" s="276">
        <f t="shared" si="203"/>
        <v>1709</v>
      </c>
      <c r="CG274" s="276">
        <f t="shared" si="204"/>
        <v>1749</v>
      </c>
      <c r="CH274" s="276">
        <f t="shared" si="205"/>
        <v>1777</v>
      </c>
      <c r="CI274" s="276">
        <f t="shared" si="206"/>
        <v>1733</v>
      </c>
      <c r="CJ274" s="276">
        <f t="shared" si="207"/>
        <v>1674</v>
      </c>
      <c r="CK274" s="276">
        <f t="shared" si="227"/>
        <v>1440.6388888888889</v>
      </c>
      <c r="CL274" s="276">
        <f t="shared" si="228"/>
        <v>1471.6388888888889</v>
      </c>
      <c r="CM274" s="276">
        <f t="shared" si="229"/>
        <v>1603.25</v>
      </c>
      <c r="CN274" s="276">
        <f t="shared" si="230"/>
        <v>1777</v>
      </c>
      <c r="CO274" s="276">
        <f t="shared" si="230"/>
        <v>1733</v>
      </c>
      <c r="CP274" s="276">
        <f t="shared" si="230"/>
        <v>1674</v>
      </c>
      <c r="CQ274" s="39">
        <f t="shared" si="208"/>
        <v>2644</v>
      </c>
      <c r="CR274" s="39">
        <f t="shared" si="209"/>
        <v>2708.3333333333335</v>
      </c>
      <c r="CS274" s="277">
        <f t="shared" si="210"/>
        <v>2663.1111111111113</v>
      </c>
      <c r="CT274" s="39">
        <f t="shared" si="211"/>
        <v>2671.8148148148152</v>
      </c>
      <c r="CU274" s="39">
        <f t="shared" si="212"/>
        <v>2681.0864197530868</v>
      </c>
      <c r="CV274" s="39">
        <f t="shared" si="213"/>
        <v>2672.0041152263379</v>
      </c>
      <c r="CW274" s="297">
        <f t="shared" si="214"/>
        <v>1.8352968397508822</v>
      </c>
      <c r="CX274" s="279" t="str">
        <f t="shared" si="231"/>
        <v>Pass</v>
      </c>
      <c r="CY274" s="278">
        <f t="shared" si="215"/>
        <v>1.840351837520527</v>
      </c>
      <c r="CZ274" s="279" t="str">
        <f t="shared" si="232"/>
        <v>Pass</v>
      </c>
      <c r="DA274" s="278">
        <f t="shared" si="216"/>
        <v>1.6610703952041861</v>
      </c>
      <c r="DB274" s="292" t="str">
        <f t="shared" si="233"/>
        <v>Pass</v>
      </c>
      <c r="DC274" s="299">
        <f t="shared" si="234"/>
        <v>1.5035536380499805</v>
      </c>
      <c r="DD274" s="293" t="str">
        <f t="shared" si="235"/>
        <v>Pass</v>
      </c>
      <c r="DE274" s="299">
        <f t="shared" si="236"/>
        <v>1.5470781418078978</v>
      </c>
      <c r="DF274" s="293" t="str">
        <f t="shared" si="237"/>
        <v>Pass</v>
      </c>
      <c r="DG274" s="299">
        <f t="shared" si="238"/>
        <v>1.5961792803024719</v>
      </c>
      <c r="DH274" s="293" t="str">
        <f t="shared" si="239"/>
        <v>Pass</v>
      </c>
    </row>
    <row r="275" spans="1:112" ht="15" thickTop="1" thickBot="1">
      <c r="A275" s="38" t="s">
        <v>660</v>
      </c>
      <c r="B275" s="38" t="s">
        <v>661</v>
      </c>
      <c r="C275" s="38" t="s">
        <v>660</v>
      </c>
      <c r="D275" s="38" t="s">
        <v>147</v>
      </c>
      <c r="E275" s="38" t="str">
        <f>VLOOKUP(C275,PoliticalControl!A:K,11,FALSE)</f>
        <v>CON</v>
      </c>
      <c r="F275" s="38" t="str">
        <f>VLOOKUP(C275,UrbanRuralClassification!A:N,13,FALSE)</f>
        <v xml:space="preserve">Largely Rural (rural including hub towns 50-79%) </v>
      </c>
      <c r="G275" s="38" t="str">
        <f>VLOOKUP(C275,UrbanRuralClassification!A:N,14,FALSE)</f>
        <v>Predominantly Rural</v>
      </c>
      <c r="H275" s="258">
        <f>IF(ISBLANK((VLOOKUP($A275,'local-plan-data'!$C$1:$AD$566,27,FALSE)))=TRUE,"",VLOOKUP($A275,'local-plan-data'!$C$1:$AD$566,27,FALSE))</f>
        <v>43080</v>
      </c>
      <c r="I275" s="259">
        <f>VLOOKUP($A275,'local-plan-data'!$C$1:$AD$566,28,FALSE)</f>
        <v>494.95</v>
      </c>
      <c r="J275" s="260">
        <f t="shared" si="217"/>
        <v>494.95</v>
      </c>
      <c r="K275" s="259">
        <f t="shared" si="240"/>
        <v>494.95</v>
      </c>
      <c r="L275" s="259">
        <f t="shared" si="240"/>
        <v>494.95</v>
      </c>
      <c r="M275" s="259">
        <f t="shared" si="240"/>
        <v>494.95</v>
      </c>
      <c r="N275" s="259">
        <f t="shared" si="240"/>
        <v>494.95</v>
      </c>
      <c r="O275" s="259">
        <f t="shared" si="240"/>
        <v>494.95</v>
      </c>
      <c r="P275" s="259" t="str">
        <f t="shared" si="240"/>
        <v>-</v>
      </c>
      <c r="Q275" s="259" t="str">
        <f t="shared" si="240"/>
        <v>-</v>
      </c>
      <c r="R275" s="259" t="str">
        <f t="shared" si="240"/>
        <v>-</v>
      </c>
      <c r="S275" s="259">
        <f t="shared" si="241"/>
        <v>1715</v>
      </c>
      <c r="T275" s="259">
        <f t="shared" si="241"/>
        <v>1350</v>
      </c>
      <c r="U275" s="259">
        <f t="shared" si="241"/>
        <v>984</v>
      </c>
      <c r="V275" s="259">
        <f t="shared" si="241"/>
        <v>619</v>
      </c>
      <c r="W275" s="259">
        <f t="shared" si="241"/>
        <v>254</v>
      </c>
      <c r="X275" s="259">
        <f t="shared" si="241"/>
        <v>-111</v>
      </c>
      <c r="Y275" s="259">
        <f t="shared" si="241"/>
        <v>-477</v>
      </c>
      <c r="Z275" s="259">
        <f t="shared" si="241"/>
        <v>-842</v>
      </c>
      <c r="AA275" s="267">
        <f>(VLOOKUP(A275,Hshldprojections2014!$A$2:$AW$319,40, FALSE)-VLOOKUP(A275,Hshldprojections2014!$A$2:$AW$319,30, FALSE))/10</f>
        <v>465.6</v>
      </c>
      <c r="AB275" s="267">
        <f>(VLOOKUP(A275,Hshldprojections2014!$A$2:$AW$319,41, FALSE)-VLOOKUP(A275,Hshldprojections2014!$A$2:$AW$319,31, FALSE))/10</f>
        <v>457.1</v>
      </c>
      <c r="AC275" s="267">
        <f>(VLOOKUP(A275,Hshldprojections2014!$A$2:$AW$319,42, FALSE)-VLOOKUP(A275,Hshldprojections2014!$A$2:$AW$319,32, FALSE))/10</f>
        <v>449.8</v>
      </c>
      <c r="AD275" s="267">
        <f>IF(IndividualLATest!$J$7=2014,(VLOOKUP($A275,Hshldprojections2014!$A$2:$AY$326,43,FALSE)-VLOOKUP($A275,Hshldprojections2014!$A$2:$AY$326,33,FALSE))/10,IF(IndividualLATest!$J$7=2016,(VLOOKUP($A275,Hshldprojections2016!$A$1:$AQ$322,33,FALSE)-VLOOKUP($A275,Hshldprojections2016!$A$1:$AQ$322,23,FALSE))/10,(VLOOKUP($A275,Hshldprojections2018!$A$1:$AQ$327,33,FALSE)-VLOOKUP($A275,Hshldprojections2018!$A$1:$AQ$327,23,FALSE))/10))</f>
        <v>620.79999999999995</v>
      </c>
      <c r="AE275" s="267">
        <f>IF(IndividualLATest!$J$7=2014,(VLOOKUP($A275,Hshldprojections2014!$A$2:$AY$326,44,FALSE)-VLOOKUP($A275,Hshldprojections2014!$A$2:$AY$326,34,FALSE))/10,IF(IndividualLATest!$J$7=2016,(VLOOKUP($A275,Hshldprojections2016!$A$1:$AQ$322,34,FALSE)-VLOOKUP($A275,Hshldprojections2016!$A$1:$AQ$322,24,FALSE))/10,(VLOOKUP($A275,Hshldprojections2018!$A$1:$AQ$327,34,FALSE)-VLOOKUP($A275,Hshldprojections2018!$A$1:$AQ$327,24,FALSE))/10))</f>
        <v>601.4</v>
      </c>
      <c r="AF275" s="267">
        <f>IF(IndividualLATest!$J$7=2014,(VLOOKUP($A275,Hshldprojections2014!$A$2:$AY$326,45,FALSE)-VLOOKUP($A275,Hshldprojections2014!$A$2:$AY$326,35,FALSE))/10,IF(IndividualLATest!$J$7=2016,(VLOOKUP($A275,Hshldprojections2016!$A$1:$AQ$322,35,FALSE)-VLOOKUP($A275,Hshldprojections2016!$A$1:$AQ$322,25,FALSE))/10,(VLOOKUP($A275,Hshldprojections2018!$A$1:$AQ$327,35,FALSE)-VLOOKUP($A275,Hshldprojections2018!$A$1:$AQ$327,25,FALSE))/10))</f>
        <v>584</v>
      </c>
      <c r="AG275" s="267">
        <f>IF(IndividualLATest!$J$7=2014,(VLOOKUP($A275,Hshldprojections2014!$A$2:$AY$326,46,FALSE)-VLOOKUP($A275,Hshldprojections2014!$A$2:$AY$326,36,FALSE))/10,IF(IndividualLATest!$J$7=2016,(VLOOKUP($A275,Hshldprojections2016!$A$1:$AQ$322,36,FALSE)-VLOOKUP($A275,Hshldprojections2016!$A$1:$AQ$322,26,FALSE))/10,(VLOOKUP($A275,Hshldprojections2018!$A$1:$AQ$327,36,FALSE)-VLOOKUP($A275,Hshldprojections2018!$A$1:$AQ$327,26,FALSE))/10))</f>
        <v>568.4</v>
      </c>
      <c r="AH275" s="267">
        <f>IF(IndividualLATest!$J$7=2014,(VLOOKUP($A275,Hshldprojections2014!$A$2:$AY$326,47,FALSE)-VLOOKUP($A275,Hshldprojections2014!$A$2:$AY$326,37,FALSE))/10,IF(IndividualLATest!$J$7=2016,(VLOOKUP($A275,Hshldprojections2016!$A$1:$AQ$322,37,FALSE)-VLOOKUP($A275,Hshldprojections2016!$A$1:$AQ$322,27,FALSE))/10,(VLOOKUP($A275,Hshldprojections2018!$A$1:$AQ$327,37,FALSE)-VLOOKUP($A275,Hshldprojections2018!$A$1:$AQ$327,27,FALSE))/10))</f>
        <v>554.6</v>
      </c>
      <c r="AI275" s="268">
        <f>IF(ISNUMBER('Sensitivity Tests'!$C$30),'Sensitivity Tests'!$C$30,VLOOKUP($A275,AffordabilityRatio!$A$2:$I$321,5,FALSE))</f>
        <v>7.92</v>
      </c>
      <c r="AJ275" s="268">
        <f>IF(ISNUMBER('Sensitivity Tests'!$C$30),'Sensitivity Tests'!$C$30,VLOOKUP($A275,AffordabilityRatio!$A$2:$I$321,6,FALSE))</f>
        <v>8.67</v>
      </c>
      <c r="AK275" s="268">
        <f>IF(ISNUMBER('Sensitivity Tests'!$C$30),'Sensitivity Tests'!$C$30,VLOOKUP($A275,AffordabilityRatio!$A$2:$I$321,7,FALSE))</f>
        <v>7.94</v>
      </c>
      <c r="AL275" s="268">
        <f>IF(ISNUMBER('Sensitivity Tests'!$C$30),'Sensitivity Tests'!$C$30,IF((VLOOKUP($A275,AffordabilityRatio!$A$2:$I$321,8,FALSE))="",AK275,VLOOKUP($A275,AffordabilityRatio!$A$2:$I$321,8,FALSE)))</f>
        <v>8.2899999999999991</v>
      </c>
      <c r="AM275" s="268">
        <f>IF(ISNUMBER('Sensitivity Tests'!$C$30),'Sensitivity Tests'!$C$30,IF((VLOOKUP($A275,AffordabilityRatio!$A$2:$I$321,9,FALSE))="",AL275,VLOOKUP($A275,AffordabilityRatio!$A$2:$I$321,9,FALSE)))</f>
        <v>9.15</v>
      </c>
      <c r="AN275" s="268">
        <f>IF(ISNUMBER('Sensitivity Tests'!$C$30),'Sensitivity Tests'!$C$30,IF((VLOOKUP($A275,AffordabilityRatio!$A$2:$I$321,9,FALSE))="",AM275,VLOOKUP($A275,AffordabilityRatio!$A$2:$I$321,9,FALSE)))</f>
        <v>9.15</v>
      </c>
      <c r="AO275" s="268">
        <f>IF(ISNUMBER('Sensitivity Tests'!$C$30),'Sensitivity Tests'!$C$30,IF((VLOOKUP($A275,AffordabilityRatio!$A$2:$I$321,9,FALSE))="",AN275,VLOOKUP($A275,AffordabilityRatio!$A$2:$I$321,9,FALSE)))</f>
        <v>9.15</v>
      </c>
      <c r="AP275" s="268">
        <f>IF(ISNUMBER('Sensitivity Tests'!$C$30),'Sensitivity Tests'!$C$30,IF((VLOOKUP($A275,AffordabilityRatio!$A$2:$I$321,9,FALSE))="",AO275,VLOOKUP($A275,AffordabilityRatio!$A$2:$I$321,9,FALSE)))</f>
        <v>9.15</v>
      </c>
      <c r="AQ275" s="267">
        <f t="shared" si="243"/>
        <v>580</v>
      </c>
      <c r="AR275" s="267">
        <f t="shared" si="243"/>
        <v>591</v>
      </c>
      <c r="AS275" s="267">
        <f t="shared" si="243"/>
        <v>561</v>
      </c>
      <c r="AT275" s="267">
        <f t="shared" si="242"/>
        <v>787</v>
      </c>
      <c r="AU275" s="267">
        <f t="shared" si="242"/>
        <v>795</v>
      </c>
      <c r="AV275" s="267">
        <f t="shared" si="242"/>
        <v>772</v>
      </c>
      <c r="AW275" s="267">
        <f t="shared" si="242"/>
        <v>751</v>
      </c>
      <c r="AX275" s="267">
        <f t="shared" si="242"/>
        <v>733</v>
      </c>
      <c r="AY275" s="267">
        <f t="shared" si="218"/>
        <v>580</v>
      </c>
      <c r="AZ275" s="267">
        <f t="shared" si="219"/>
        <v>591</v>
      </c>
      <c r="BA275" s="267">
        <f t="shared" si="220"/>
        <v>561</v>
      </c>
      <c r="BB275" s="267">
        <f t="shared" si="221"/>
        <v>692.93000000000006</v>
      </c>
      <c r="BC275" s="267">
        <f t="shared" si="222"/>
        <v>692.93000000000006</v>
      </c>
      <c r="BD275" s="267">
        <f t="shared" si="223"/>
        <v>772</v>
      </c>
      <c r="BE275" s="267">
        <f t="shared" si="224"/>
        <v>751</v>
      </c>
      <c r="BF275" s="267">
        <f t="shared" si="225"/>
        <v>733</v>
      </c>
      <c r="BG275" s="269">
        <f>AY275*VLOOKUP($B275,'Major Cities &amp; Towns'!$A$28:$B$345,2,FALSE)</f>
        <v>580</v>
      </c>
      <c r="BH275" s="269">
        <f>AZ275*VLOOKUP($B275,'Major Cities &amp; Towns'!$A$28:$B$345,2,FALSE)</f>
        <v>591</v>
      </c>
      <c r="BI275" s="269">
        <f>BA275*VLOOKUP($B275,'Major Cities &amp; Towns'!$A$28:$B$345,2,FALSE)</f>
        <v>561</v>
      </c>
      <c r="BJ275" s="269">
        <f>BB275*VLOOKUP($B275,'Major Cities &amp; Towns'!$A$28:$B$345,2,FALSE)</f>
        <v>692.93000000000006</v>
      </c>
      <c r="BK275" s="269">
        <f>BC275*VLOOKUP($B275,'Major Cities &amp; Towns'!$A$28:$B$345,2,FALSE)</f>
        <v>692.93000000000006</v>
      </c>
      <c r="BL275" s="269">
        <f>BD275*VLOOKUP($B275,'Major Cities &amp; Towns'!$A$28:$B$345,2,FALSE)</f>
        <v>772</v>
      </c>
      <c r="BM275" s="269">
        <f>BE275*VLOOKUP($B275,'Major Cities &amp; Towns'!$A$28:$B$345,2,FALSE)</f>
        <v>751</v>
      </c>
      <c r="BN275" s="269">
        <f>BF275*VLOOKUP($B275,'Major Cities &amp; Towns'!$A$28:$B$345,2,FALSE)</f>
        <v>733</v>
      </c>
      <c r="BO275" s="270">
        <f t="shared" si="226"/>
        <v>494.95</v>
      </c>
      <c r="BP275" s="270">
        <f t="shared" si="201"/>
        <v>494.95</v>
      </c>
      <c r="BQ275" s="270">
        <f t="shared" si="201"/>
        <v>494.95</v>
      </c>
      <c r="BR275" s="270">
        <f t="shared" si="201"/>
        <v>494.95</v>
      </c>
      <c r="BS275" s="270">
        <f t="shared" si="200"/>
        <v>586.19808219178094</v>
      </c>
      <c r="BT275" s="270">
        <f t="shared" si="200"/>
        <v>772</v>
      </c>
      <c r="BU275" s="270">
        <f t="shared" si="200"/>
        <v>751</v>
      </c>
      <c r="BV275" s="270">
        <f t="shared" si="200"/>
        <v>733</v>
      </c>
      <c r="BW275" s="39">
        <f>VLOOKUP($A275,NetAdditions!$A$2:$H$336,6,FALSE)</f>
        <v>907</v>
      </c>
      <c r="BX275" s="39">
        <f>VLOOKUP($A275,NetAdditions!$A$2:$H$336,7,FALSE)</f>
        <v>494</v>
      </c>
      <c r="BY275" s="39">
        <f>IF((VLOOKUP($C275,NetAdditions!$A$2:$H$336,8,FALSE))="",(AVERAGE(VLOOKUP($C275,NetAdditions!$A$2:$H$336,5,FALSE),VLOOKUP($C275,NetAdditions!$A$2:$H$336,6,FALSE),VLOOKUP($C275,NetAdditions!$A$2:$H$336,7,FALSE))),VLOOKUP($C275,NetAdditions!$A$2:$H$336,8,FALSE))</f>
        <v>637</v>
      </c>
      <c r="BZ275" s="39">
        <f t="shared" si="244"/>
        <v>679.33333333333337</v>
      </c>
      <c r="CA275" s="39">
        <f t="shared" si="244"/>
        <v>603.44444444444446</v>
      </c>
      <c r="CB275" s="39">
        <f t="shared" si="244"/>
        <v>639.92592592592598</v>
      </c>
      <c r="CC275" s="39">
        <f t="shared" si="244"/>
        <v>640.90123456790127</v>
      </c>
      <c r="CD275" s="39">
        <f t="shared" si="244"/>
        <v>628.09053497942386</v>
      </c>
      <c r="CE275" s="276">
        <f t="shared" si="202"/>
        <v>1484.85</v>
      </c>
      <c r="CF275" s="276">
        <f t="shared" si="203"/>
        <v>1484.85</v>
      </c>
      <c r="CG275" s="276">
        <f t="shared" si="204"/>
        <v>1576.098082191781</v>
      </c>
      <c r="CH275" s="276">
        <f t="shared" si="205"/>
        <v>1853.148082191781</v>
      </c>
      <c r="CI275" s="276">
        <f t="shared" si="206"/>
        <v>2109.1980821917809</v>
      </c>
      <c r="CJ275" s="276">
        <f t="shared" si="207"/>
        <v>2256</v>
      </c>
      <c r="CK275" s="276">
        <f t="shared" si="227"/>
        <v>1278.6208333333334</v>
      </c>
      <c r="CL275" s="276">
        <f t="shared" si="228"/>
        <v>1278.6208333333334</v>
      </c>
      <c r="CM275" s="276">
        <f t="shared" si="229"/>
        <v>1444.7565753424658</v>
      </c>
      <c r="CN275" s="276">
        <f t="shared" si="230"/>
        <v>1853.148082191781</v>
      </c>
      <c r="CO275" s="276">
        <f t="shared" si="230"/>
        <v>2109.1980821917809</v>
      </c>
      <c r="CP275" s="276">
        <f t="shared" si="230"/>
        <v>2256</v>
      </c>
      <c r="CQ275" s="39">
        <f t="shared" si="208"/>
        <v>2038</v>
      </c>
      <c r="CR275" s="39">
        <f t="shared" si="209"/>
        <v>1810.3333333333335</v>
      </c>
      <c r="CS275" s="277">
        <f t="shared" si="210"/>
        <v>1919.7777777777778</v>
      </c>
      <c r="CT275" s="39">
        <f t="shared" si="211"/>
        <v>1922.7037037037039</v>
      </c>
      <c r="CU275" s="39">
        <f t="shared" si="212"/>
        <v>1884.2716049382716</v>
      </c>
      <c r="CV275" s="39">
        <f t="shared" si="213"/>
        <v>1908.9176954732511</v>
      </c>
      <c r="CW275" s="297">
        <f t="shared" si="214"/>
        <v>1.5939048910121256</v>
      </c>
      <c r="CX275" s="279" t="str">
        <f t="shared" si="231"/>
        <v>Pass</v>
      </c>
      <c r="CY275" s="278">
        <f t="shared" si="215"/>
        <v>1.4158484565075</v>
      </c>
      <c r="CZ275" s="279" t="str">
        <f t="shared" si="232"/>
        <v>Pass</v>
      </c>
      <c r="DA275" s="278">
        <f t="shared" si="216"/>
        <v>1.3287897840663663</v>
      </c>
      <c r="DB275" s="292" t="str">
        <f t="shared" si="233"/>
        <v>Pass</v>
      </c>
      <c r="DC275" s="299">
        <f t="shared" si="234"/>
        <v>1.0375337633189341</v>
      </c>
      <c r="DD275" s="293" t="str">
        <f t="shared" si="235"/>
        <v>Pass</v>
      </c>
      <c r="DE275" s="299">
        <f t="shared" si="236"/>
        <v>0.89335924437226111</v>
      </c>
      <c r="DF275" s="293" t="str">
        <f t="shared" si="237"/>
        <v>Action Plan</v>
      </c>
      <c r="DG275" s="299">
        <f t="shared" si="238"/>
        <v>0.84615146075941983</v>
      </c>
      <c r="DH275" s="293" t="str">
        <f t="shared" si="239"/>
        <v>Buffer and Action Plan</v>
      </c>
    </row>
    <row r="276" spans="1:112" ht="15" thickTop="1" thickBot="1">
      <c r="A276" s="38" t="s">
        <v>662</v>
      </c>
      <c r="B276" s="38" t="s">
        <v>663</v>
      </c>
      <c r="C276" s="38" t="s">
        <v>662</v>
      </c>
      <c r="D276" s="38" t="s">
        <v>113</v>
      </c>
      <c r="E276" s="38" t="str">
        <f>VLOOKUP(C276,PoliticalControl!A:K,11,FALSE)</f>
        <v>NOC</v>
      </c>
      <c r="F276" s="38" t="str">
        <f>VLOOKUP(C276,UrbanRuralClassification!A:N,13,FALSE)</f>
        <v>Urban with City and Town</v>
      </c>
      <c r="G276" s="38" t="str">
        <f>VLOOKUP(C276,UrbanRuralClassification!A:N,14,FALSE)</f>
        <v>Predominantly Urban</v>
      </c>
      <c r="H276" s="258">
        <f>IF(ISBLANK((VLOOKUP($A276,'local-plan-data'!$C$1:$AD$566,27,FALSE)))=TRUE,"",VLOOKUP($A276,'local-plan-data'!$C$1:$AD$566,27,FALSE))</f>
        <v>44021</v>
      </c>
      <c r="I276" s="259">
        <f>VLOOKUP($A276,'local-plan-data'!$C$1:$AD$566,28,FALSE)</f>
        <v>857</v>
      </c>
      <c r="J276" s="260">
        <f t="shared" si="217"/>
        <v>857</v>
      </c>
      <c r="K276" s="259">
        <f t="shared" si="240"/>
        <v>857</v>
      </c>
      <c r="L276" s="259">
        <f t="shared" si="240"/>
        <v>857</v>
      </c>
      <c r="M276" s="259">
        <f t="shared" si="240"/>
        <v>857</v>
      </c>
      <c r="N276" s="259">
        <f t="shared" si="240"/>
        <v>857</v>
      </c>
      <c r="O276" s="259">
        <f t="shared" si="240"/>
        <v>857</v>
      </c>
      <c r="P276" s="259">
        <f t="shared" si="240"/>
        <v>857</v>
      </c>
      <c r="Q276" s="259">
        <f t="shared" si="240"/>
        <v>857</v>
      </c>
      <c r="R276" s="259">
        <f t="shared" si="240"/>
        <v>857</v>
      </c>
      <c r="S276" s="259">
        <f t="shared" si="241"/>
        <v>2656</v>
      </c>
      <c r="T276" s="259">
        <f t="shared" si="241"/>
        <v>2291</v>
      </c>
      <c r="U276" s="259">
        <f t="shared" si="241"/>
        <v>1925</v>
      </c>
      <c r="V276" s="259">
        <f t="shared" si="241"/>
        <v>1560</v>
      </c>
      <c r="W276" s="259">
        <f t="shared" si="241"/>
        <v>1195</v>
      </c>
      <c r="X276" s="259">
        <f t="shared" si="241"/>
        <v>830</v>
      </c>
      <c r="Y276" s="259">
        <f t="shared" si="241"/>
        <v>464</v>
      </c>
      <c r="Z276" s="259">
        <f t="shared" si="241"/>
        <v>99</v>
      </c>
      <c r="AA276" s="267">
        <f>(VLOOKUP(A276,Hshldprojections2014!$A$2:$AW$319,40, FALSE)-VLOOKUP(A276,Hshldprojections2014!$A$2:$AW$319,30, FALSE))/10</f>
        <v>796</v>
      </c>
      <c r="AB276" s="267">
        <f>(VLOOKUP(A276,Hshldprojections2014!$A$2:$AW$319,41, FALSE)-VLOOKUP(A276,Hshldprojections2014!$A$2:$AW$319,31, FALSE))/10</f>
        <v>798.4</v>
      </c>
      <c r="AC276" s="267">
        <f>(VLOOKUP(A276,Hshldprojections2014!$A$2:$AW$319,42, FALSE)-VLOOKUP(A276,Hshldprojections2014!$A$2:$AW$319,32, FALSE))/10</f>
        <v>804.2</v>
      </c>
      <c r="AD276" s="267">
        <f>IF(IndividualLATest!$J$7=2014,(VLOOKUP($A276,Hshldprojections2014!$A$2:$AY$326,43,FALSE)-VLOOKUP($A276,Hshldprojections2014!$A$2:$AY$326,33,FALSE))/10,IF(IndividualLATest!$J$7=2016,(VLOOKUP($A276,Hshldprojections2016!$A$1:$AQ$322,33,FALSE)-VLOOKUP($A276,Hshldprojections2016!$A$1:$AQ$322,23,FALSE))/10,(VLOOKUP($A276,Hshldprojections2018!$A$1:$AQ$327,33,FALSE)-VLOOKUP($A276,Hshldprojections2018!$A$1:$AQ$327,23,FALSE))/10))</f>
        <v>544.70000000000005</v>
      </c>
      <c r="AE276" s="267">
        <f>IF(IndividualLATest!$J$7=2014,(VLOOKUP($A276,Hshldprojections2014!$A$2:$AY$326,44,FALSE)-VLOOKUP($A276,Hshldprojections2014!$A$2:$AY$326,34,FALSE))/10,IF(IndividualLATest!$J$7=2016,(VLOOKUP($A276,Hshldprojections2016!$A$1:$AQ$322,34,FALSE)-VLOOKUP($A276,Hshldprojections2016!$A$1:$AQ$322,24,FALSE))/10,(VLOOKUP($A276,Hshldprojections2018!$A$1:$AQ$327,34,FALSE)-VLOOKUP($A276,Hshldprojections2018!$A$1:$AQ$327,24,FALSE))/10))</f>
        <v>541.29999999999995</v>
      </c>
      <c r="AF276" s="267">
        <f>IF(IndividualLATest!$J$7=2014,(VLOOKUP($A276,Hshldprojections2014!$A$2:$AY$326,45,FALSE)-VLOOKUP($A276,Hshldprojections2014!$A$2:$AY$326,35,FALSE))/10,IF(IndividualLATest!$J$7=2016,(VLOOKUP($A276,Hshldprojections2016!$A$1:$AQ$322,35,FALSE)-VLOOKUP($A276,Hshldprojections2016!$A$1:$AQ$322,25,FALSE))/10,(VLOOKUP($A276,Hshldprojections2018!$A$1:$AQ$327,35,FALSE)-VLOOKUP($A276,Hshldprojections2018!$A$1:$AQ$327,25,FALSE))/10))</f>
        <v>535.5</v>
      </c>
      <c r="AG276" s="267">
        <f>IF(IndividualLATest!$J$7=2014,(VLOOKUP($A276,Hshldprojections2014!$A$2:$AY$326,46,FALSE)-VLOOKUP($A276,Hshldprojections2014!$A$2:$AY$326,36,FALSE))/10,IF(IndividualLATest!$J$7=2016,(VLOOKUP($A276,Hshldprojections2016!$A$1:$AQ$322,36,FALSE)-VLOOKUP($A276,Hshldprojections2016!$A$1:$AQ$322,26,FALSE))/10,(VLOOKUP($A276,Hshldprojections2018!$A$1:$AQ$327,36,FALSE)-VLOOKUP($A276,Hshldprojections2018!$A$1:$AQ$327,26,FALSE))/10))</f>
        <v>528.9</v>
      </c>
      <c r="AH276" s="267">
        <f>IF(IndividualLATest!$J$7=2014,(VLOOKUP($A276,Hshldprojections2014!$A$2:$AY$326,47,FALSE)-VLOOKUP($A276,Hshldprojections2014!$A$2:$AY$326,37,FALSE))/10,IF(IndividualLATest!$J$7=2016,(VLOOKUP($A276,Hshldprojections2016!$A$1:$AQ$322,37,FALSE)-VLOOKUP($A276,Hshldprojections2016!$A$1:$AQ$322,27,FALSE))/10,(VLOOKUP($A276,Hshldprojections2018!$A$1:$AQ$327,37,FALSE)-VLOOKUP($A276,Hshldprojections2018!$A$1:$AQ$327,27,FALSE))/10))</f>
        <v>524.5</v>
      </c>
      <c r="AI276" s="268">
        <f>IF(ISNUMBER('Sensitivity Tests'!$C$30),'Sensitivity Tests'!$C$30,VLOOKUP($A276,AffordabilityRatio!$A$2:$I$321,5,FALSE))</f>
        <v>10.49</v>
      </c>
      <c r="AJ276" s="268">
        <f>IF(ISNUMBER('Sensitivity Tests'!$C$30),'Sensitivity Tests'!$C$30,VLOOKUP($A276,AffordabilityRatio!$A$2:$I$321,6,FALSE))</f>
        <v>10.49</v>
      </c>
      <c r="AK276" s="268">
        <f>IF(ISNUMBER('Sensitivity Tests'!$C$30),'Sensitivity Tests'!$C$30,VLOOKUP($A276,AffordabilityRatio!$A$2:$I$321,7,FALSE))</f>
        <v>9.58</v>
      </c>
      <c r="AL276" s="268">
        <f>IF(ISNUMBER('Sensitivity Tests'!$C$30),'Sensitivity Tests'!$C$30,IF((VLOOKUP($A276,AffordabilityRatio!$A$2:$I$321,8,FALSE))="",AK276,VLOOKUP($A276,AffordabilityRatio!$A$2:$I$321,8,FALSE)))</f>
        <v>10.14</v>
      </c>
      <c r="AM276" s="268">
        <f>IF(ISNUMBER('Sensitivity Tests'!$C$30),'Sensitivity Tests'!$C$30,IF((VLOOKUP($A276,AffordabilityRatio!$A$2:$I$321,9,FALSE))="",AL276,VLOOKUP($A276,AffordabilityRatio!$A$2:$I$321,9,FALSE)))</f>
        <v>10.74</v>
      </c>
      <c r="AN276" s="268">
        <f>IF(ISNUMBER('Sensitivity Tests'!$C$30),'Sensitivity Tests'!$C$30,IF((VLOOKUP($A276,AffordabilityRatio!$A$2:$I$321,9,FALSE))="",AM276,VLOOKUP($A276,AffordabilityRatio!$A$2:$I$321,9,FALSE)))</f>
        <v>10.74</v>
      </c>
      <c r="AO276" s="268">
        <f>IF(ISNUMBER('Sensitivity Tests'!$C$30),'Sensitivity Tests'!$C$30,IF((VLOOKUP($A276,AffordabilityRatio!$A$2:$I$321,9,FALSE))="",AN276,VLOOKUP($A276,AffordabilityRatio!$A$2:$I$321,9,FALSE)))</f>
        <v>10.74</v>
      </c>
      <c r="AP276" s="268">
        <f>IF(ISNUMBER('Sensitivity Tests'!$C$30),'Sensitivity Tests'!$C$30,IF((VLOOKUP($A276,AffordabilityRatio!$A$2:$I$321,9,FALSE))="",AO276,VLOOKUP($A276,AffordabilityRatio!$A$2:$I$321,9,FALSE)))</f>
        <v>10.74</v>
      </c>
      <c r="AQ276" s="267">
        <f t="shared" si="243"/>
        <v>1119</v>
      </c>
      <c r="AR276" s="267">
        <f t="shared" si="243"/>
        <v>1122</v>
      </c>
      <c r="AS276" s="267">
        <f t="shared" si="243"/>
        <v>1085</v>
      </c>
      <c r="AT276" s="267">
        <f t="shared" si="242"/>
        <v>754</v>
      </c>
      <c r="AU276" s="267">
        <f t="shared" si="242"/>
        <v>769</v>
      </c>
      <c r="AV276" s="267">
        <f t="shared" si="242"/>
        <v>761</v>
      </c>
      <c r="AW276" s="267">
        <f t="shared" si="242"/>
        <v>752</v>
      </c>
      <c r="AX276" s="267">
        <f t="shared" si="242"/>
        <v>745</v>
      </c>
      <c r="AY276" s="267">
        <f t="shared" si="218"/>
        <v>1119</v>
      </c>
      <c r="AZ276" s="267">
        <f t="shared" si="219"/>
        <v>1122</v>
      </c>
      <c r="BA276" s="267">
        <f t="shared" si="220"/>
        <v>1085</v>
      </c>
      <c r="BB276" s="267">
        <f t="shared" si="221"/>
        <v>754</v>
      </c>
      <c r="BC276" s="267">
        <f t="shared" si="222"/>
        <v>769</v>
      </c>
      <c r="BD276" s="267">
        <f t="shared" si="223"/>
        <v>761</v>
      </c>
      <c r="BE276" s="267">
        <f t="shared" si="224"/>
        <v>752</v>
      </c>
      <c r="BF276" s="267">
        <f t="shared" si="225"/>
        <v>745</v>
      </c>
      <c r="BG276" s="269">
        <f>AY276*VLOOKUP($B276,'Major Cities &amp; Towns'!$A$28:$B$345,2,FALSE)</f>
        <v>1119</v>
      </c>
      <c r="BH276" s="269">
        <f>AZ276*VLOOKUP($B276,'Major Cities &amp; Towns'!$A$28:$B$345,2,FALSE)</f>
        <v>1122</v>
      </c>
      <c r="BI276" s="269">
        <f>BA276*VLOOKUP($B276,'Major Cities &amp; Towns'!$A$28:$B$345,2,FALSE)</f>
        <v>1085</v>
      </c>
      <c r="BJ276" s="269">
        <f>BB276*VLOOKUP($B276,'Major Cities &amp; Towns'!$A$28:$B$345,2,FALSE)</f>
        <v>754</v>
      </c>
      <c r="BK276" s="269">
        <f>BC276*VLOOKUP($B276,'Major Cities &amp; Towns'!$A$28:$B$345,2,FALSE)</f>
        <v>769</v>
      </c>
      <c r="BL276" s="269">
        <f>BD276*VLOOKUP($B276,'Major Cities &amp; Towns'!$A$28:$B$345,2,FALSE)</f>
        <v>761</v>
      </c>
      <c r="BM276" s="269">
        <f>BE276*VLOOKUP($B276,'Major Cities &amp; Towns'!$A$28:$B$345,2,FALSE)</f>
        <v>752</v>
      </c>
      <c r="BN276" s="269">
        <f>BF276*VLOOKUP($B276,'Major Cities &amp; Towns'!$A$28:$B$345,2,FALSE)</f>
        <v>745</v>
      </c>
      <c r="BO276" s="270">
        <f t="shared" si="226"/>
        <v>857</v>
      </c>
      <c r="BP276" s="270">
        <f t="shared" si="201"/>
        <v>857</v>
      </c>
      <c r="BQ276" s="270">
        <f t="shared" si="201"/>
        <v>857</v>
      </c>
      <c r="BR276" s="270">
        <f t="shared" si="201"/>
        <v>754</v>
      </c>
      <c r="BS276" s="270">
        <f t="shared" si="200"/>
        <v>769</v>
      </c>
      <c r="BT276" s="270">
        <f t="shared" si="200"/>
        <v>761</v>
      </c>
      <c r="BU276" s="270">
        <f t="shared" si="200"/>
        <v>752</v>
      </c>
      <c r="BV276" s="270">
        <f t="shared" si="200"/>
        <v>745</v>
      </c>
      <c r="BW276" s="39">
        <f>VLOOKUP($A276,NetAdditions!$A$2:$H$336,6,FALSE)</f>
        <v>296</v>
      </c>
      <c r="BX276" s="39">
        <f>VLOOKUP($A276,NetAdditions!$A$2:$H$336,7,FALSE)</f>
        <v>371</v>
      </c>
      <c r="BY276" s="39">
        <f>IF((VLOOKUP($C276,NetAdditions!$A$2:$H$336,8,FALSE))="",(AVERAGE(VLOOKUP($C276,NetAdditions!$A$2:$H$336,5,FALSE),VLOOKUP($C276,NetAdditions!$A$2:$H$336,6,FALSE),VLOOKUP($C276,NetAdditions!$A$2:$H$336,7,FALSE))),VLOOKUP($C276,NetAdditions!$A$2:$H$336,8,FALSE))</f>
        <v>540</v>
      </c>
      <c r="BZ276" s="39">
        <f t="shared" si="244"/>
        <v>402.33333333333331</v>
      </c>
      <c r="CA276" s="39">
        <f t="shared" si="244"/>
        <v>437.77777777777777</v>
      </c>
      <c r="CB276" s="39">
        <f t="shared" si="244"/>
        <v>460.03703703703701</v>
      </c>
      <c r="CC276" s="39">
        <f t="shared" si="244"/>
        <v>433.38271604938268</v>
      </c>
      <c r="CD276" s="39">
        <f t="shared" si="244"/>
        <v>443.73251028806584</v>
      </c>
      <c r="CE276" s="276">
        <f t="shared" si="202"/>
        <v>2571</v>
      </c>
      <c r="CF276" s="276">
        <f t="shared" si="203"/>
        <v>2468</v>
      </c>
      <c r="CG276" s="276">
        <f t="shared" si="204"/>
        <v>2380</v>
      </c>
      <c r="CH276" s="276">
        <f t="shared" si="205"/>
        <v>2284</v>
      </c>
      <c r="CI276" s="276">
        <f t="shared" si="206"/>
        <v>2282</v>
      </c>
      <c r="CJ276" s="276">
        <f t="shared" si="207"/>
        <v>2258</v>
      </c>
      <c r="CK276" s="276">
        <f t="shared" si="227"/>
        <v>2213.916666666667</v>
      </c>
      <c r="CL276" s="276">
        <f t="shared" si="228"/>
        <v>2125.2222222222222</v>
      </c>
      <c r="CM276" s="276">
        <f t="shared" si="229"/>
        <v>2181.6666666666665</v>
      </c>
      <c r="CN276" s="276">
        <f t="shared" si="230"/>
        <v>2284</v>
      </c>
      <c r="CO276" s="276">
        <f t="shared" si="230"/>
        <v>2282</v>
      </c>
      <c r="CP276" s="276">
        <f t="shared" si="230"/>
        <v>2258</v>
      </c>
      <c r="CQ276" s="39">
        <f t="shared" si="208"/>
        <v>1207</v>
      </c>
      <c r="CR276" s="39">
        <f t="shared" si="209"/>
        <v>1313.3333333333333</v>
      </c>
      <c r="CS276" s="277">
        <f t="shared" si="210"/>
        <v>1380.1111111111111</v>
      </c>
      <c r="CT276" s="39">
        <f t="shared" si="211"/>
        <v>1300.148148148148</v>
      </c>
      <c r="CU276" s="39">
        <f t="shared" si="212"/>
        <v>1331.1975308641975</v>
      </c>
      <c r="CV276" s="39">
        <f t="shared" si="213"/>
        <v>1337.1522633744855</v>
      </c>
      <c r="CW276" s="297">
        <f t="shared" si="214"/>
        <v>0.54518763880001497</v>
      </c>
      <c r="CX276" s="279" t="str">
        <f t="shared" si="231"/>
        <v>Buffer and Action Plan</v>
      </c>
      <c r="CY276" s="278">
        <f t="shared" si="215"/>
        <v>0.61797459089245566</v>
      </c>
      <c r="CZ276" s="279" t="str">
        <f t="shared" si="232"/>
        <v>Buffer and Action Plan</v>
      </c>
      <c r="DA276" s="278">
        <f t="shared" si="216"/>
        <v>0.63259485612426791</v>
      </c>
      <c r="DB276" s="292" t="str">
        <f t="shared" si="233"/>
        <v>Presumption</v>
      </c>
      <c r="DC276" s="299">
        <f t="shared" si="234"/>
        <v>0.56924174612440803</v>
      </c>
      <c r="DD276" s="293" t="str">
        <f t="shared" si="235"/>
        <v>Presumption</v>
      </c>
      <c r="DE276" s="299">
        <f t="shared" si="236"/>
        <v>0.58334685839798306</v>
      </c>
      <c r="DF276" s="293" t="str">
        <f t="shared" si="237"/>
        <v>Presumption</v>
      </c>
      <c r="DG276" s="299">
        <f t="shared" si="238"/>
        <v>0.59218435047585716</v>
      </c>
      <c r="DH276" s="293" t="str">
        <f t="shared" si="239"/>
        <v>Presumption</v>
      </c>
    </row>
    <row r="277" spans="1:112" ht="15" thickTop="1" thickBot="1">
      <c r="A277" s="38" t="s">
        <v>664</v>
      </c>
      <c r="B277" s="38" t="s">
        <v>665</v>
      </c>
      <c r="C277" s="38" t="s">
        <v>664</v>
      </c>
      <c r="D277" s="38" t="s">
        <v>128</v>
      </c>
      <c r="E277" s="38" t="str">
        <f>VLOOKUP(C277,PoliticalControl!A:K,11,FALSE)</f>
        <v>LD</v>
      </c>
      <c r="F277" s="38" t="str">
        <f>VLOOKUP(C277,UrbanRuralClassification!A:N,13,FALSE)</f>
        <v>Urban with Major Conurbation</v>
      </c>
      <c r="G277" s="38" t="str">
        <f>VLOOKUP(C277,UrbanRuralClassification!A:N,14,FALSE)</f>
        <v>Predominantly Urban</v>
      </c>
      <c r="H277" s="258">
        <f>IF(ISBLANK((VLOOKUP($A277,'local-plan-data'!$C$1:$AD$566,27,FALSE)))=TRUE,"",VLOOKUP($A277,'local-plan-data'!$C$1:$AD$566,27,FALSE))</f>
        <v>40833</v>
      </c>
      <c r="I277" s="259">
        <f>VLOOKUP($A277,'local-plan-data'!$C$1:$AD$566,28,FALSE)</f>
        <v>180</v>
      </c>
      <c r="J277" s="260">
        <f t="shared" si="217"/>
        <v>180</v>
      </c>
      <c r="K277" s="259" t="str">
        <f t="shared" si="240"/>
        <v>-</v>
      </c>
      <c r="L277" s="259" t="str">
        <f t="shared" si="240"/>
        <v>-</v>
      </c>
      <c r="M277" s="259" t="str">
        <f t="shared" si="240"/>
        <v>-</v>
      </c>
      <c r="N277" s="259" t="str">
        <f t="shared" si="240"/>
        <v>-</v>
      </c>
      <c r="O277" s="259" t="str">
        <f t="shared" si="240"/>
        <v>-</v>
      </c>
      <c r="P277" s="259" t="str">
        <f t="shared" si="240"/>
        <v>-</v>
      </c>
      <c r="Q277" s="259" t="str">
        <f t="shared" si="240"/>
        <v>-</v>
      </c>
      <c r="R277" s="259" t="str">
        <f t="shared" si="240"/>
        <v>-</v>
      </c>
      <c r="S277" s="259">
        <f t="shared" si="241"/>
        <v>-531</v>
      </c>
      <c r="T277" s="259">
        <f t="shared" si="241"/>
        <v>-896</v>
      </c>
      <c r="U277" s="259">
        <f t="shared" si="241"/>
        <v>-1262</v>
      </c>
      <c r="V277" s="259">
        <f t="shared" si="241"/>
        <v>-1627</v>
      </c>
      <c r="W277" s="259">
        <f t="shared" si="241"/>
        <v>-1992</v>
      </c>
      <c r="X277" s="259">
        <f t="shared" si="241"/>
        <v>-2357</v>
      </c>
      <c r="Y277" s="259">
        <f t="shared" si="241"/>
        <v>-2723</v>
      </c>
      <c r="Z277" s="259">
        <f t="shared" si="241"/>
        <v>-3088</v>
      </c>
      <c r="AA277" s="267">
        <f>(VLOOKUP(A277,Hshldprojections2014!$A$2:$AW$319,40, FALSE)-VLOOKUP(A277,Hshldprojections2014!$A$2:$AW$319,30, FALSE))/10</f>
        <v>439.2</v>
      </c>
      <c r="AB277" s="267">
        <f>(VLOOKUP(A277,Hshldprojections2014!$A$2:$AW$319,41, FALSE)-VLOOKUP(A277,Hshldprojections2014!$A$2:$AW$319,31, FALSE))/10</f>
        <v>442.7</v>
      </c>
      <c r="AC277" s="267">
        <f>(VLOOKUP(A277,Hshldprojections2014!$A$2:$AW$319,42, FALSE)-VLOOKUP(A277,Hshldprojections2014!$A$2:$AW$319,32, FALSE))/10</f>
        <v>445.8</v>
      </c>
      <c r="AD277" s="267">
        <f>IF(IndividualLATest!$J$7=2014,(VLOOKUP($A277,Hshldprojections2014!$A$2:$AY$326,43,FALSE)-VLOOKUP($A277,Hshldprojections2014!$A$2:$AY$326,33,FALSE))/10,IF(IndividualLATest!$J$7=2016,(VLOOKUP($A277,Hshldprojections2016!$A$1:$AQ$322,33,FALSE)-VLOOKUP($A277,Hshldprojections2016!$A$1:$AQ$322,23,FALSE))/10,(VLOOKUP($A277,Hshldprojections2018!$A$1:$AQ$327,33,FALSE)-VLOOKUP($A277,Hshldprojections2018!$A$1:$AQ$327,23,FALSE))/10))</f>
        <v>141.80000000000001</v>
      </c>
      <c r="AE277" s="267">
        <f>IF(IndividualLATest!$J$7=2014,(VLOOKUP($A277,Hshldprojections2014!$A$2:$AY$326,44,FALSE)-VLOOKUP($A277,Hshldprojections2014!$A$2:$AY$326,34,FALSE))/10,IF(IndividualLATest!$J$7=2016,(VLOOKUP($A277,Hshldprojections2016!$A$1:$AQ$322,34,FALSE)-VLOOKUP($A277,Hshldprojections2016!$A$1:$AQ$322,24,FALSE))/10,(VLOOKUP($A277,Hshldprojections2018!$A$1:$AQ$327,34,FALSE)-VLOOKUP($A277,Hshldprojections2018!$A$1:$AQ$327,24,FALSE))/10))</f>
        <v>138.19999999999999</v>
      </c>
      <c r="AF277" s="267">
        <f>IF(IndividualLATest!$J$7=2014,(VLOOKUP($A277,Hshldprojections2014!$A$2:$AY$326,45,FALSE)-VLOOKUP($A277,Hshldprojections2014!$A$2:$AY$326,35,FALSE))/10,IF(IndividualLATest!$J$7=2016,(VLOOKUP($A277,Hshldprojections2016!$A$1:$AQ$322,35,FALSE)-VLOOKUP($A277,Hshldprojections2016!$A$1:$AQ$322,25,FALSE))/10,(VLOOKUP($A277,Hshldprojections2018!$A$1:$AQ$327,35,FALSE)-VLOOKUP($A277,Hshldprojections2018!$A$1:$AQ$327,25,FALSE))/10))</f>
        <v>136.1</v>
      </c>
      <c r="AG277" s="267">
        <f>IF(IndividualLATest!$J$7=2014,(VLOOKUP($A277,Hshldprojections2014!$A$2:$AY$326,46,FALSE)-VLOOKUP($A277,Hshldprojections2014!$A$2:$AY$326,36,FALSE))/10,IF(IndividualLATest!$J$7=2016,(VLOOKUP($A277,Hshldprojections2016!$A$1:$AQ$322,36,FALSE)-VLOOKUP($A277,Hshldprojections2016!$A$1:$AQ$322,26,FALSE))/10,(VLOOKUP($A277,Hshldprojections2018!$A$1:$AQ$327,36,FALSE)-VLOOKUP($A277,Hshldprojections2018!$A$1:$AQ$327,26,FALSE))/10))</f>
        <v>134.9</v>
      </c>
      <c r="AH277" s="267">
        <f>IF(IndividualLATest!$J$7=2014,(VLOOKUP($A277,Hshldprojections2014!$A$2:$AY$326,47,FALSE)-VLOOKUP($A277,Hshldprojections2014!$A$2:$AY$326,37,FALSE))/10,IF(IndividualLATest!$J$7=2016,(VLOOKUP($A277,Hshldprojections2016!$A$1:$AQ$322,37,FALSE)-VLOOKUP($A277,Hshldprojections2016!$A$1:$AQ$322,27,FALSE))/10,(VLOOKUP($A277,Hshldprojections2018!$A$1:$AQ$327,37,FALSE)-VLOOKUP($A277,Hshldprojections2018!$A$1:$AQ$327,27,FALSE))/10))</f>
        <v>134.30000000000001</v>
      </c>
      <c r="AI277" s="268">
        <f>IF(ISNUMBER('Sensitivity Tests'!$C$30),'Sensitivity Tests'!$C$30,VLOOKUP($A277,AffordabilityRatio!$A$2:$I$321,5,FALSE))</f>
        <v>13.84</v>
      </c>
      <c r="AJ277" s="268">
        <f>IF(ISNUMBER('Sensitivity Tests'!$C$30),'Sensitivity Tests'!$C$30,VLOOKUP($A277,AffordabilityRatio!$A$2:$I$321,6,FALSE))</f>
        <v>13.64</v>
      </c>
      <c r="AK277" s="268">
        <f>IF(ISNUMBER('Sensitivity Tests'!$C$30),'Sensitivity Tests'!$C$30,VLOOKUP($A277,AffordabilityRatio!$A$2:$I$321,7,FALSE))</f>
        <v>13.67</v>
      </c>
      <c r="AL277" s="268">
        <f>IF(ISNUMBER('Sensitivity Tests'!$C$30),'Sensitivity Tests'!$C$30,IF((VLOOKUP($A277,AffordabilityRatio!$A$2:$I$321,8,FALSE))="",AK277,VLOOKUP($A277,AffordabilityRatio!$A$2:$I$321,8,FALSE)))</f>
        <v>16.07</v>
      </c>
      <c r="AM277" s="268">
        <f>IF(ISNUMBER('Sensitivity Tests'!$C$30),'Sensitivity Tests'!$C$30,IF((VLOOKUP($A277,AffordabilityRatio!$A$2:$I$321,9,FALSE))="",AL277,VLOOKUP($A277,AffordabilityRatio!$A$2:$I$321,9,FALSE)))</f>
        <v>14.37</v>
      </c>
      <c r="AN277" s="268">
        <f>IF(ISNUMBER('Sensitivity Tests'!$C$30),'Sensitivity Tests'!$C$30,IF((VLOOKUP($A277,AffordabilityRatio!$A$2:$I$321,9,FALSE))="",AM277,VLOOKUP($A277,AffordabilityRatio!$A$2:$I$321,9,FALSE)))</f>
        <v>14.37</v>
      </c>
      <c r="AO277" s="268">
        <f>IF(ISNUMBER('Sensitivity Tests'!$C$30),'Sensitivity Tests'!$C$30,IF((VLOOKUP($A277,AffordabilityRatio!$A$2:$I$321,9,FALSE))="",AN277,VLOOKUP($A277,AffordabilityRatio!$A$2:$I$321,9,FALSE)))</f>
        <v>14.37</v>
      </c>
      <c r="AP277" s="268">
        <f>IF(ISNUMBER('Sensitivity Tests'!$C$30),'Sensitivity Tests'!$C$30,IF((VLOOKUP($A277,AffordabilityRatio!$A$2:$I$321,9,FALSE))="",AO277,VLOOKUP($A277,AffordabilityRatio!$A$2:$I$321,9,FALSE)))</f>
        <v>14.37</v>
      </c>
      <c r="AQ277" s="267">
        <f t="shared" si="243"/>
        <v>709</v>
      </c>
      <c r="AR277" s="267">
        <f t="shared" si="243"/>
        <v>709</v>
      </c>
      <c r="AS277" s="267">
        <f t="shared" si="243"/>
        <v>715</v>
      </c>
      <c r="AT277" s="267">
        <f t="shared" si="242"/>
        <v>249</v>
      </c>
      <c r="AU277" s="267">
        <f t="shared" si="242"/>
        <v>228</v>
      </c>
      <c r="AV277" s="267">
        <f t="shared" si="242"/>
        <v>224</v>
      </c>
      <c r="AW277" s="267">
        <f t="shared" si="242"/>
        <v>222</v>
      </c>
      <c r="AX277" s="267">
        <f t="shared" si="242"/>
        <v>221</v>
      </c>
      <c r="AY277" s="267">
        <f t="shared" si="218"/>
        <v>614.88</v>
      </c>
      <c r="AZ277" s="267">
        <f t="shared" si="219"/>
        <v>619.78</v>
      </c>
      <c r="BA277" s="267">
        <f t="shared" si="220"/>
        <v>624.12</v>
      </c>
      <c r="BB277" s="267">
        <f t="shared" si="221"/>
        <v>249</v>
      </c>
      <c r="BC277" s="267">
        <f t="shared" si="222"/>
        <v>228</v>
      </c>
      <c r="BD277" s="267">
        <f t="shared" si="223"/>
        <v>224</v>
      </c>
      <c r="BE277" s="267">
        <f t="shared" si="224"/>
        <v>222</v>
      </c>
      <c r="BF277" s="267">
        <f t="shared" si="225"/>
        <v>221</v>
      </c>
      <c r="BG277" s="269">
        <f>AY277*VLOOKUP($B277,'Major Cities &amp; Towns'!$A$28:$B$345,2,FALSE)</f>
        <v>614.88</v>
      </c>
      <c r="BH277" s="269">
        <f>AZ277*VLOOKUP($B277,'Major Cities &amp; Towns'!$A$28:$B$345,2,FALSE)</f>
        <v>619.78</v>
      </c>
      <c r="BI277" s="269">
        <f>BA277*VLOOKUP($B277,'Major Cities &amp; Towns'!$A$28:$B$345,2,FALSE)</f>
        <v>624.12</v>
      </c>
      <c r="BJ277" s="269">
        <f>BB277*VLOOKUP($B277,'Major Cities &amp; Towns'!$A$28:$B$345,2,FALSE)</f>
        <v>249</v>
      </c>
      <c r="BK277" s="269">
        <f>BC277*VLOOKUP($B277,'Major Cities &amp; Towns'!$A$28:$B$345,2,FALSE)</f>
        <v>228</v>
      </c>
      <c r="BL277" s="269">
        <f>BD277*VLOOKUP($B277,'Major Cities &amp; Towns'!$A$28:$B$345,2,FALSE)</f>
        <v>224</v>
      </c>
      <c r="BM277" s="269">
        <f>BE277*VLOOKUP($B277,'Major Cities &amp; Towns'!$A$28:$B$345,2,FALSE)</f>
        <v>222</v>
      </c>
      <c r="BN277" s="269">
        <f>BF277*VLOOKUP($B277,'Major Cities &amp; Towns'!$A$28:$B$345,2,FALSE)</f>
        <v>221</v>
      </c>
      <c r="BO277" s="270">
        <f t="shared" si="226"/>
        <v>709</v>
      </c>
      <c r="BP277" s="270">
        <f t="shared" si="201"/>
        <v>709</v>
      </c>
      <c r="BQ277" s="270">
        <f t="shared" si="201"/>
        <v>715</v>
      </c>
      <c r="BR277" s="270">
        <f t="shared" si="201"/>
        <v>249</v>
      </c>
      <c r="BS277" s="270">
        <f t="shared" si="200"/>
        <v>228</v>
      </c>
      <c r="BT277" s="270">
        <f t="shared" si="200"/>
        <v>224</v>
      </c>
      <c r="BU277" s="270">
        <f t="shared" si="200"/>
        <v>222</v>
      </c>
      <c r="BV277" s="270">
        <f t="shared" si="200"/>
        <v>221</v>
      </c>
      <c r="BW277" s="39">
        <f>VLOOKUP($A277,NetAdditions!$A$2:$H$336,6,FALSE)</f>
        <v>150</v>
      </c>
      <c r="BX277" s="39">
        <f>VLOOKUP($A277,NetAdditions!$A$2:$H$336,7,FALSE)</f>
        <v>407</v>
      </c>
      <c r="BY277" s="39">
        <f>IF((VLOOKUP($C277,NetAdditions!$A$2:$H$336,8,FALSE))="",(AVERAGE(VLOOKUP($C277,NetAdditions!$A$2:$H$336,5,FALSE),VLOOKUP($C277,NetAdditions!$A$2:$H$336,6,FALSE),VLOOKUP($C277,NetAdditions!$A$2:$H$336,7,FALSE))),VLOOKUP($C277,NetAdditions!$A$2:$H$336,8,FALSE))</f>
        <v>100</v>
      </c>
      <c r="BZ277" s="39">
        <f t="shared" si="244"/>
        <v>219</v>
      </c>
      <c r="CA277" s="39">
        <f t="shared" si="244"/>
        <v>242</v>
      </c>
      <c r="CB277" s="39">
        <f t="shared" si="244"/>
        <v>187</v>
      </c>
      <c r="CC277" s="39">
        <f t="shared" si="244"/>
        <v>216</v>
      </c>
      <c r="CD277" s="39">
        <f t="shared" si="244"/>
        <v>215</v>
      </c>
      <c r="CE277" s="276">
        <f t="shared" si="202"/>
        <v>2133</v>
      </c>
      <c r="CF277" s="276">
        <f t="shared" si="203"/>
        <v>1673</v>
      </c>
      <c r="CG277" s="276">
        <f t="shared" si="204"/>
        <v>1192</v>
      </c>
      <c r="CH277" s="276">
        <f t="shared" si="205"/>
        <v>701</v>
      </c>
      <c r="CI277" s="276">
        <f t="shared" si="206"/>
        <v>674</v>
      </c>
      <c r="CJ277" s="276">
        <f t="shared" si="207"/>
        <v>667</v>
      </c>
      <c r="CK277" s="276">
        <f t="shared" si="227"/>
        <v>1836.75</v>
      </c>
      <c r="CL277" s="276">
        <f t="shared" si="228"/>
        <v>1440.6388888888889</v>
      </c>
      <c r="CM277" s="276">
        <f t="shared" si="229"/>
        <v>1092.6666666666665</v>
      </c>
      <c r="CN277" s="276">
        <f t="shared" si="230"/>
        <v>701</v>
      </c>
      <c r="CO277" s="276">
        <f t="shared" si="230"/>
        <v>674</v>
      </c>
      <c r="CP277" s="276">
        <f t="shared" si="230"/>
        <v>667</v>
      </c>
      <c r="CQ277" s="39">
        <f t="shared" si="208"/>
        <v>657</v>
      </c>
      <c r="CR277" s="39">
        <f t="shared" si="209"/>
        <v>726</v>
      </c>
      <c r="CS277" s="277">
        <f t="shared" si="210"/>
        <v>561</v>
      </c>
      <c r="CT277" s="39">
        <f t="shared" si="211"/>
        <v>648</v>
      </c>
      <c r="CU277" s="39">
        <f t="shared" si="212"/>
        <v>645</v>
      </c>
      <c r="CV277" s="39">
        <f t="shared" si="213"/>
        <v>618</v>
      </c>
      <c r="CW277" s="297">
        <f t="shared" si="214"/>
        <v>0.35769701919150676</v>
      </c>
      <c r="CX277" s="279" t="str">
        <f t="shared" si="231"/>
        <v>Buffer and Action Plan</v>
      </c>
      <c r="CY277" s="278">
        <f t="shared" si="215"/>
        <v>0.50394308080905459</v>
      </c>
      <c r="CZ277" s="279" t="str">
        <f t="shared" si="232"/>
        <v>Buffer and Action Plan</v>
      </c>
      <c r="DA277" s="278">
        <f t="shared" si="216"/>
        <v>0.5134228187919464</v>
      </c>
      <c r="DB277" s="292" t="str">
        <f t="shared" si="233"/>
        <v>Presumption</v>
      </c>
      <c r="DC277" s="299">
        <f t="shared" si="234"/>
        <v>0.92439372325249647</v>
      </c>
      <c r="DD277" s="293" t="str">
        <f t="shared" si="235"/>
        <v>Action Plan</v>
      </c>
      <c r="DE277" s="299">
        <f t="shared" si="236"/>
        <v>0.95697329376854601</v>
      </c>
      <c r="DF277" s="293" t="str">
        <f t="shared" si="237"/>
        <v>Pass</v>
      </c>
      <c r="DG277" s="299">
        <f t="shared" si="238"/>
        <v>0.92653673163418293</v>
      </c>
      <c r="DH277" s="293" t="str">
        <f t="shared" si="239"/>
        <v>Action Plan</v>
      </c>
    </row>
    <row r="278" spans="1:112" ht="15" thickTop="1" thickBot="1">
      <c r="A278" s="38" t="s">
        <v>666</v>
      </c>
      <c r="B278" s="38" t="s">
        <v>667</v>
      </c>
      <c r="C278" s="38" t="s">
        <v>666</v>
      </c>
      <c r="D278" s="38" t="s">
        <v>128</v>
      </c>
      <c r="E278" s="38" t="str">
        <f>VLOOKUP(C278,PoliticalControl!A:K,11,FALSE)</f>
        <v>CON</v>
      </c>
      <c r="F278" s="38" t="str">
        <f>VLOOKUP(C278,UrbanRuralClassification!A:N,13,FALSE)</f>
        <v>Urban with Major Conurbation</v>
      </c>
      <c r="G278" s="38" t="str">
        <f>VLOOKUP(C278,UrbanRuralClassification!A:N,14,FALSE)</f>
        <v>Predominantly Urban</v>
      </c>
      <c r="H278" s="258">
        <f>IF(ISBLANK((VLOOKUP($A278,'local-plan-data'!$C$1:$AD$566,27,FALSE)))=TRUE,"",VLOOKUP($A278,'local-plan-data'!$C$1:$AD$566,27,FALSE))</f>
        <v>40898</v>
      </c>
      <c r="I278" s="259">
        <f>VLOOKUP($A278,'local-plan-data'!$C$1:$AD$566,28,FALSE)</f>
        <v>930</v>
      </c>
      <c r="J278" s="260">
        <f t="shared" si="217"/>
        <v>930</v>
      </c>
      <c r="K278" s="259" t="str">
        <f t="shared" si="240"/>
        <v>-</v>
      </c>
      <c r="L278" s="259" t="str">
        <f t="shared" si="240"/>
        <v>-</v>
      </c>
      <c r="M278" s="259" t="str">
        <f t="shared" si="240"/>
        <v>-</v>
      </c>
      <c r="N278" s="259" t="str">
        <f t="shared" si="240"/>
        <v>-</v>
      </c>
      <c r="O278" s="259" t="str">
        <f t="shared" si="240"/>
        <v>-</v>
      </c>
      <c r="P278" s="259" t="str">
        <f t="shared" si="240"/>
        <v>-</v>
      </c>
      <c r="Q278" s="259" t="str">
        <f t="shared" si="240"/>
        <v>-</v>
      </c>
      <c r="R278" s="259" t="str">
        <f t="shared" si="240"/>
        <v>-</v>
      </c>
      <c r="S278" s="259">
        <f t="shared" si="241"/>
        <v>-466</v>
      </c>
      <c r="T278" s="259">
        <f t="shared" si="241"/>
        <v>-831</v>
      </c>
      <c r="U278" s="259">
        <f t="shared" si="241"/>
        <v>-1197</v>
      </c>
      <c r="V278" s="259">
        <f t="shared" si="241"/>
        <v>-1562</v>
      </c>
      <c r="W278" s="259">
        <f t="shared" si="241"/>
        <v>-1927</v>
      </c>
      <c r="X278" s="259">
        <f t="shared" si="241"/>
        <v>-2292</v>
      </c>
      <c r="Y278" s="259">
        <f t="shared" si="241"/>
        <v>-2658</v>
      </c>
      <c r="Z278" s="259">
        <f t="shared" si="241"/>
        <v>-3023</v>
      </c>
      <c r="AA278" s="267">
        <f>(VLOOKUP(A278,Hshldprojections2014!$A$2:$AW$319,40, FALSE)-VLOOKUP(A278,Hshldprojections2014!$A$2:$AW$319,30, FALSE))/10</f>
        <v>850.1</v>
      </c>
      <c r="AB278" s="267">
        <f>(VLOOKUP(A278,Hshldprojections2014!$A$2:$AW$319,41, FALSE)-VLOOKUP(A278,Hshldprojections2014!$A$2:$AW$319,31, FALSE))/10</f>
        <v>850.1</v>
      </c>
      <c r="AC278" s="267">
        <f>(VLOOKUP(A278,Hshldprojections2014!$A$2:$AW$319,42, FALSE)-VLOOKUP(A278,Hshldprojections2014!$A$2:$AW$319,32, FALSE))/10</f>
        <v>849.8</v>
      </c>
      <c r="AD278" s="267">
        <f>IF(IndividualLATest!$J$7=2014,(VLOOKUP($A278,Hshldprojections2014!$A$2:$AY$326,43,FALSE)-VLOOKUP($A278,Hshldprojections2014!$A$2:$AY$326,33,FALSE))/10,IF(IndividualLATest!$J$7=2016,(VLOOKUP($A278,Hshldprojections2016!$A$1:$AQ$322,33,FALSE)-VLOOKUP($A278,Hshldprojections2016!$A$1:$AQ$322,23,FALSE))/10,(VLOOKUP($A278,Hshldprojections2018!$A$1:$AQ$327,33,FALSE)-VLOOKUP($A278,Hshldprojections2018!$A$1:$AQ$327,23,FALSE))/10))</f>
        <v>706.4</v>
      </c>
      <c r="AE278" s="267">
        <f>IF(IndividualLATest!$J$7=2014,(VLOOKUP($A278,Hshldprojections2014!$A$2:$AY$326,44,FALSE)-VLOOKUP($A278,Hshldprojections2014!$A$2:$AY$326,34,FALSE))/10,IF(IndividualLATest!$J$7=2016,(VLOOKUP($A278,Hshldprojections2016!$A$1:$AQ$322,34,FALSE)-VLOOKUP($A278,Hshldprojections2016!$A$1:$AQ$322,24,FALSE))/10,(VLOOKUP($A278,Hshldprojections2018!$A$1:$AQ$327,34,FALSE)-VLOOKUP($A278,Hshldprojections2018!$A$1:$AQ$327,24,FALSE))/10))</f>
        <v>693.5</v>
      </c>
      <c r="AF278" s="267">
        <f>IF(IndividualLATest!$J$7=2014,(VLOOKUP($A278,Hshldprojections2014!$A$2:$AY$326,45,FALSE)-VLOOKUP($A278,Hshldprojections2014!$A$2:$AY$326,35,FALSE))/10,IF(IndividualLATest!$J$7=2016,(VLOOKUP($A278,Hshldprojections2016!$A$1:$AQ$322,35,FALSE)-VLOOKUP($A278,Hshldprojections2016!$A$1:$AQ$322,25,FALSE))/10,(VLOOKUP($A278,Hshldprojections2018!$A$1:$AQ$327,35,FALSE)-VLOOKUP($A278,Hshldprojections2018!$A$1:$AQ$327,25,FALSE))/10))</f>
        <v>683.8</v>
      </c>
      <c r="AG278" s="267">
        <f>IF(IndividualLATest!$J$7=2014,(VLOOKUP($A278,Hshldprojections2014!$A$2:$AY$326,46,FALSE)-VLOOKUP($A278,Hshldprojections2014!$A$2:$AY$326,36,FALSE))/10,IF(IndividualLATest!$J$7=2016,(VLOOKUP($A278,Hshldprojections2016!$A$1:$AQ$322,36,FALSE)-VLOOKUP($A278,Hshldprojections2016!$A$1:$AQ$322,26,FALSE))/10,(VLOOKUP($A278,Hshldprojections2018!$A$1:$AQ$327,36,FALSE)-VLOOKUP($A278,Hshldprojections2018!$A$1:$AQ$327,26,FALSE))/10))</f>
        <v>672.9</v>
      </c>
      <c r="AH278" s="267">
        <f>IF(IndividualLATest!$J$7=2014,(VLOOKUP($A278,Hshldprojections2014!$A$2:$AY$326,47,FALSE)-VLOOKUP($A278,Hshldprojections2014!$A$2:$AY$326,37,FALSE))/10,IF(IndividualLATest!$J$7=2016,(VLOOKUP($A278,Hshldprojections2016!$A$1:$AQ$322,37,FALSE)-VLOOKUP($A278,Hshldprojections2016!$A$1:$AQ$322,27,FALSE))/10,(VLOOKUP($A278,Hshldprojections2018!$A$1:$AQ$327,37,FALSE)-VLOOKUP($A278,Hshldprojections2018!$A$1:$AQ$327,27,FALSE))/10))</f>
        <v>663.7</v>
      </c>
      <c r="AI278" s="268">
        <f>IF(ISNUMBER('Sensitivity Tests'!$C$30),'Sensitivity Tests'!$C$30,VLOOKUP($A278,AffordabilityRatio!$A$2:$I$321,5,FALSE))</f>
        <v>10</v>
      </c>
      <c r="AJ278" s="268">
        <f>IF(ISNUMBER('Sensitivity Tests'!$C$30),'Sensitivity Tests'!$C$30,VLOOKUP($A278,AffordabilityRatio!$A$2:$I$321,6,FALSE))</f>
        <v>10.039999999999999</v>
      </c>
      <c r="AK278" s="268">
        <f>IF(ISNUMBER('Sensitivity Tests'!$C$30),'Sensitivity Tests'!$C$30,VLOOKUP($A278,AffordabilityRatio!$A$2:$I$321,7,FALSE))</f>
        <v>9.57</v>
      </c>
      <c r="AL278" s="268">
        <f>IF(ISNUMBER('Sensitivity Tests'!$C$30),'Sensitivity Tests'!$C$30,IF((VLOOKUP($A278,AffordabilityRatio!$A$2:$I$321,8,FALSE))="",AK278,VLOOKUP($A278,AffordabilityRatio!$A$2:$I$321,8,FALSE)))</f>
        <v>9.3699999999999992</v>
      </c>
      <c r="AM278" s="268">
        <f>IF(ISNUMBER('Sensitivity Tests'!$C$30),'Sensitivity Tests'!$C$30,IF((VLOOKUP($A278,AffordabilityRatio!$A$2:$I$321,9,FALSE))="",AL278,VLOOKUP($A278,AffordabilityRatio!$A$2:$I$321,9,FALSE)))</f>
        <v>10.26</v>
      </c>
      <c r="AN278" s="268">
        <f>IF(ISNUMBER('Sensitivity Tests'!$C$30),'Sensitivity Tests'!$C$30,IF((VLOOKUP($A278,AffordabilityRatio!$A$2:$I$321,9,FALSE))="",AM278,VLOOKUP($A278,AffordabilityRatio!$A$2:$I$321,9,FALSE)))</f>
        <v>10.26</v>
      </c>
      <c r="AO278" s="268">
        <f>IF(ISNUMBER('Sensitivity Tests'!$C$30),'Sensitivity Tests'!$C$30,IF((VLOOKUP($A278,AffordabilityRatio!$A$2:$I$321,9,FALSE))="",AN278,VLOOKUP($A278,AffordabilityRatio!$A$2:$I$321,9,FALSE)))</f>
        <v>10.26</v>
      </c>
      <c r="AP278" s="268">
        <f>IF(ISNUMBER('Sensitivity Tests'!$C$30),'Sensitivity Tests'!$C$30,IF((VLOOKUP($A278,AffordabilityRatio!$A$2:$I$321,9,FALSE))="",AO278,VLOOKUP($A278,AffordabilityRatio!$A$2:$I$321,9,FALSE)))</f>
        <v>10.26</v>
      </c>
      <c r="AQ278" s="267">
        <f t="shared" si="243"/>
        <v>1169</v>
      </c>
      <c r="AR278" s="267">
        <f t="shared" si="243"/>
        <v>1171</v>
      </c>
      <c r="AS278" s="267">
        <f t="shared" si="243"/>
        <v>1146</v>
      </c>
      <c r="AT278" s="267">
        <f t="shared" si="242"/>
        <v>943</v>
      </c>
      <c r="AU278" s="267">
        <f t="shared" si="242"/>
        <v>965</v>
      </c>
      <c r="AV278" s="267">
        <f t="shared" si="242"/>
        <v>951</v>
      </c>
      <c r="AW278" s="267">
        <f t="shared" si="242"/>
        <v>936</v>
      </c>
      <c r="AX278" s="267">
        <f t="shared" si="242"/>
        <v>923</v>
      </c>
      <c r="AY278" s="267">
        <f t="shared" si="218"/>
        <v>1169</v>
      </c>
      <c r="AZ278" s="267">
        <f t="shared" si="219"/>
        <v>1171</v>
      </c>
      <c r="BA278" s="267">
        <f t="shared" si="220"/>
        <v>1146</v>
      </c>
      <c r="BB278" s="267">
        <f t="shared" si="221"/>
        <v>943</v>
      </c>
      <c r="BC278" s="267">
        <f t="shared" si="222"/>
        <v>965</v>
      </c>
      <c r="BD278" s="267">
        <f t="shared" si="223"/>
        <v>951</v>
      </c>
      <c r="BE278" s="267">
        <f t="shared" si="224"/>
        <v>936</v>
      </c>
      <c r="BF278" s="267">
        <f t="shared" si="225"/>
        <v>923</v>
      </c>
      <c r="BG278" s="269">
        <f>AY278*VLOOKUP($B278,'Major Cities &amp; Towns'!$A$28:$B$345,2,FALSE)</f>
        <v>1169</v>
      </c>
      <c r="BH278" s="269">
        <f>AZ278*VLOOKUP($B278,'Major Cities &amp; Towns'!$A$28:$B$345,2,FALSE)</f>
        <v>1171</v>
      </c>
      <c r="BI278" s="269">
        <f>BA278*VLOOKUP($B278,'Major Cities &amp; Towns'!$A$28:$B$345,2,FALSE)</f>
        <v>1146</v>
      </c>
      <c r="BJ278" s="269">
        <f>BB278*VLOOKUP($B278,'Major Cities &amp; Towns'!$A$28:$B$345,2,FALSE)</f>
        <v>943</v>
      </c>
      <c r="BK278" s="269">
        <f>BC278*VLOOKUP($B278,'Major Cities &amp; Towns'!$A$28:$B$345,2,FALSE)</f>
        <v>965</v>
      </c>
      <c r="BL278" s="269">
        <f>BD278*VLOOKUP($B278,'Major Cities &amp; Towns'!$A$28:$B$345,2,FALSE)</f>
        <v>951</v>
      </c>
      <c r="BM278" s="269">
        <f>BE278*VLOOKUP($B278,'Major Cities &amp; Towns'!$A$28:$B$345,2,FALSE)</f>
        <v>936</v>
      </c>
      <c r="BN278" s="269">
        <f>BF278*VLOOKUP($B278,'Major Cities &amp; Towns'!$A$28:$B$345,2,FALSE)</f>
        <v>923</v>
      </c>
      <c r="BO278" s="270">
        <f t="shared" si="226"/>
        <v>1169</v>
      </c>
      <c r="BP278" s="270">
        <f t="shared" si="201"/>
        <v>1171</v>
      </c>
      <c r="BQ278" s="270">
        <f t="shared" si="201"/>
        <v>1146</v>
      </c>
      <c r="BR278" s="270">
        <f t="shared" si="201"/>
        <v>943</v>
      </c>
      <c r="BS278" s="270">
        <f t="shared" si="200"/>
        <v>965</v>
      </c>
      <c r="BT278" s="270">
        <f t="shared" si="200"/>
        <v>951</v>
      </c>
      <c r="BU278" s="270">
        <f t="shared" si="200"/>
        <v>936</v>
      </c>
      <c r="BV278" s="270">
        <f t="shared" si="200"/>
        <v>923</v>
      </c>
      <c r="BW278" s="39">
        <f>VLOOKUP($A278,NetAdditions!$A$2:$H$336,6,FALSE)</f>
        <v>408</v>
      </c>
      <c r="BX278" s="39">
        <f>VLOOKUP($A278,NetAdditions!$A$2:$H$336,7,FALSE)</f>
        <v>558</v>
      </c>
      <c r="BY278" s="39">
        <f>IF((VLOOKUP($C278,NetAdditions!$A$2:$H$336,8,FALSE))="",(AVERAGE(VLOOKUP($C278,NetAdditions!$A$2:$H$336,5,FALSE),VLOOKUP($C278,NetAdditions!$A$2:$H$336,6,FALSE),VLOOKUP($C278,NetAdditions!$A$2:$H$336,7,FALSE))),VLOOKUP($C278,NetAdditions!$A$2:$H$336,8,FALSE))</f>
        <v>493</v>
      </c>
      <c r="BZ278" s="39">
        <f t="shared" si="244"/>
        <v>486.33333333333331</v>
      </c>
      <c r="CA278" s="39">
        <f t="shared" si="244"/>
        <v>512.44444444444446</v>
      </c>
      <c r="CB278" s="39">
        <f t="shared" si="244"/>
        <v>497.2592592592593</v>
      </c>
      <c r="CC278" s="39">
        <f t="shared" si="244"/>
        <v>498.67901234567904</v>
      </c>
      <c r="CD278" s="39">
        <f t="shared" si="244"/>
        <v>502.79423868312756</v>
      </c>
      <c r="CE278" s="276">
        <f t="shared" si="202"/>
        <v>3486</v>
      </c>
      <c r="CF278" s="276">
        <f t="shared" si="203"/>
        <v>3260</v>
      </c>
      <c r="CG278" s="276">
        <f t="shared" si="204"/>
        <v>3054</v>
      </c>
      <c r="CH278" s="276">
        <f t="shared" si="205"/>
        <v>2859</v>
      </c>
      <c r="CI278" s="276">
        <f t="shared" si="206"/>
        <v>2852</v>
      </c>
      <c r="CJ278" s="276">
        <f t="shared" si="207"/>
        <v>2810</v>
      </c>
      <c r="CK278" s="276">
        <f t="shared" si="227"/>
        <v>3001.8333333333335</v>
      </c>
      <c r="CL278" s="276">
        <f t="shared" si="228"/>
        <v>2807.2222222222222</v>
      </c>
      <c r="CM278" s="276">
        <f t="shared" si="229"/>
        <v>2799.5</v>
      </c>
      <c r="CN278" s="276">
        <f t="shared" si="230"/>
        <v>2859</v>
      </c>
      <c r="CO278" s="276">
        <f t="shared" si="230"/>
        <v>2852</v>
      </c>
      <c r="CP278" s="276">
        <f t="shared" si="230"/>
        <v>2810</v>
      </c>
      <c r="CQ278" s="39">
        <f t="shared" si="208"/>
        <v>1459</v>
      </c>
      <c r="CR278" s="39">
        <f t="shared" si="209"/>
        <v>1537.3333333333333</v>
      </c>
      <c r="CS278" s="277">
        <f t="shared" si="210"/>
        <v>1491.7777777777778</v>
      </c>
      <c r="CT278" s="39">
        <f t="shared" si="211"/>
        <v>1496.0370370370372</v>
      </c>
      <c r="CU278" s="39">
        <f t="shared" si="212"/>
        <v>1508.3827160493827</v>
      </c>
      <c r="CV278" s="39">
        <f t="shared" si="213"/>
        <v>1498.7325102880659</v>
      </c>
      <c r="CW278" s="297">
        <f t="shared" si="214"/>
        <v>0.48603631114319024</v>
      </c>
      <c r="CX278" s="279" t="str">
        <f t="shared" si="231"/>
        <v>Buffer and Action Plan</v>
      </c>
      <c r="CY278" s="278">
        <f t="shared" si="215"/>
        <v>0.54763506827627151</v>
      </c>
      <c r="CZ278" s="279" t="str">
        <f t="shared" si="232"/>
        <v>Buffer and Action Plan</v>
      </c>
      <c r="DA278" s="278">
        <f t="shared" si="216"/>
        <v>0.53287293365878829</v>
      </c>
      <c r="DB278" s="292" t="str">
        <f t="shared" si="233"/>
        <v>Presumption</v>
      </c>
      <c r="DC278" s="299">
        <f t="shared" si="234"/>
        <v>0.52327283561981008</v>
      </c>
      <c r="DD278" s="293" t="str">
        <f t="shared" si="235"/>
        <v>Presumption</v>
      </c>
      <c r="DE278" s="299">
        <f t="shared" si="236"/>
        <v>0.52888594531885791</v>
      </c>
      <c r="DF278" s="293" t="str">
        <f t="shared" si="237"/>
        <v>Presumption</v>
      </c>
      <c r="DG278" s="299">
        <f t="shared" si="238"/>
        <v>0.53335676522706976</v>
      </c>
      <c r="DH278" s="293" t="str">
        <f t="shared" si="239"/>
        <v>Presumption</v>
      </c>
    </row>
    <row r="279" spans="1:112" ht="15" thickTop="1" thickBot="1">
      <c r="A279" s="38" t="s">
        <v>668</v>
      </c>
      <c r="B279" s="38" t="s">
        <v>669</v>
      </c>
      <c r="C279" s="38" t="s">
        <v>668</v>
      </c>
      <c r="D279" s="38" t="s">
        <v>113</v>
      </c>
      <c r="E279" s="38" t="str">
        <f>VLOOKUP(C279,PoliticalControl!A:K,11,FALSE)</f>
        <v>CON</v>
      </c>
      <c r="F279" s="38" t="str">
        <f>VLOOKUP(C279,UrbanRuralClassification!A:N,13,FALSE)</f>
        <v>Urban with Significant Rural (rural including hub towns 26-49%)</v>
      </c>
      <c r="G279" s="38" t="str">
        <f>VLOOKUP(C279,UrbanRuralClassification!A:N,14,FALSE)</f>
        <v>Urban with Significant Rural</v>
      </c>
      <c r="H279" s="258">
        <f>IF(ISBLANK((VLOOKUP($A279,'local-plan-data'!$C$1:$AD$566,27,FALSE)))=TRUE,"",VLOOKUP($A279,'local-plan-data'!$C$1:$AD$566,27,FALSE))</f>
        <v>39350</v>
      </c>
      <c r="I279" s="259">
        <f>VLOOKUP($A279,'local-plan-data'!$C$1:$AD$566,28,FALSE)</f>
        <v>425</v>
      </c>
      <c r="J279" s="260">
        <f t="shared" si="217"/>
        <v>425</v>
      </c>
      <c r="K279" s="259" t="str">
        <f t="shared" si="240"/>
        <v>-</v>
      </c>
      <c r="L279" s="259" t="str">
        <f t="shared" si="240"/>
        <v>-</v>
      </c>
      <c r="M279" s="259" t="str">
        <f t="shared" si="240"/>
        <v>-</v>
      </c>
      <c r="N279" s="259" t="str">
        <f t="shared" si="240"/>
        <v>-</v>
      </c>
      <c r="O279" s="259" t="str">
        <f t="shared" si="240"/>
        <v>-</v>
      </c>
      <c r="P279" s="259" t="str">
        <f t="shared" si="240"/>
        <v>-</v>
      </c>
      <c r="Q279" s="259" t="str">
        <f t="shared" si="240"/>
        <v>-</v>
      </c>
      <c r="R279" s="259" t="str">
        <f t="shared" si="240"/>
        <v>-</v>
      </c>
      <c r="S279" s="259">
        <f t="shared" si="241"/>
        <v>-2014</v>
      </c>
      <c r="T279" s="259">
        <f t="shared" si="241"/>
        <v>-2379</v>
      </c>
      <c r="U279" s="259">
        <f t="shared" si="241"/>
        <v>-2745</v>
      </c>
      <c r="V279" s="259">
        <f t="shared" si="241"/>
        <v>-3110</v>
      </c>
      <c r="W279" s="259">
        <f t="shared" si="241"/>
        <v>-3475</v>
      </c>
      <c r="X279" s="259">
        <f t="shared" si="241"/>
        <v>-3840</v>
      </c>
      <c r="Y279" s="259">
        <f t="shared" si="241"/>
        <v>-4206</v>
      </c>
      <c r="Z279" s="259">
        <f t="shared" si="241"/>
        <v>-4571</v>
      </c>
      <c r="AA279" s="267">
        <f>(VLOOKUP(A279,Hshldprojections2014!$A$2:$AW$319,40, FALSE)-VLOOKUP(A279,Hshldprojections2014!$A$2:$AW$319,30, FALSE))/10</f>
        <v>609.79999999999995</v>
      </c>
      <c r="AB279" s="267">
        <f>(VLOOKUP(A279,Hshldprojections2014!$A$2:$AW$319,41, FALSE)-VLOOKUP(A279,Hshldprojections2014!$A$2:$AW$319,31, FALSE))/10</f>
        <v>604.4</v>
      </c>
      <c r="AC279" s="267">
        <f>(VLOOKUP(A279,Hshldprojections2014!$A$2:$AW$319,42, FALSE)-VLOOKUP(A279,Hshldprojections2014!$A$2:$AW$319,32, FALSE))/10</f>
        <v>602.1</v>
      </c>
      <c r="AD279" s="267">
        <f>IF(IndividualLATest!$J$7=2014,(VLOOKUP($A279,Hshldprojections2014!$A$2:$AY$326,43,FALSE)-VLOOKUP($A279,Hshldprojections2014!$A$2:$AY$326,33,FALSE))/10,IF(IndividualLATest!$J$7=2016,(VLOOKUP($A279,Hshldprojections2016!$A$1:$AQ$322,33,FALSE)-VLOOKUP($A279,Hshldprojections2016!$A$1:$AQ$322,23,FALSE))/10,(VLOOKUP($A279,Hshldprojections2018!$A$1:$AQ$327,33,FALSE)-VLOOKUP($A279,Hshldprojections2018!$A$1:$AQ$327,23,FALSE))/10))</f>
        <v>567.9</v>
      </c>
      <c r="AE279" s="267">
        <f>IF(IndividualLATest!$J$7=2014,(VLOOKUP($A279,Hshldprojections2014!$A$2:$AY$326,44,FALSE)-VLOOKUP($A279,Hshldprojections2014!$A$2:$AY$326,34,FALSE))/10,IF(IndividualLATest!$J$7=2016,(VLOOKUP($A279,Hshldprojections2016!$A$1:$AQ$322,34,FALSE)-VLOOKUP($A279,Hshldprojections2016!$A$1:$AQ$322,24,FALSE))/10,(VLOOKUP($A279,Hshldprojections2018!$A$1:$AQ$327,34,FALSE)-VLOOKUP($A279,Hshldprojections2018!$A$1:$AQ$327,24,FALSE))/10))</f>
        <v>550.6</v>
      </c>
      <c r="AF279" s="267">
        <f>IF(IndividualLATest!$J$7=2014,(VLOOKUP($A279,Hshldprojections2014!$A$2:$AY$326,45,FALSE)-VLOOKUP($A279,Hshldprojections2014!$A$2:$AY$326,35,FALSE))/10,IF(IndividualLATest!$J$7=2016,(VLOOKUP($A279,Hshldprojections2016!$A$1:$AQ$322,35,FALSE)-VLOOKUP($A279,Hshldprojections2016!$A$1:$AQ$322,25,FALSE))/10,(VLOOKUP($A279,Hshldprojections2018!$A$1:$AQ$327,35,FALSE)-VLOOKUP($A279,Hshldprojections2018!$A$1:$AQ$327,25,FALSE))/10))</f>
        <v>534.6</v>
      </c>
      <c r="AG279" s="267">
        <f>IF(IndividualLATest!$J$7=2014,(VLOOKUP($A279,Hshldprojections2014!$A$2:$AY$326,46,FALSE)-VLOOKUP($A279,Hshldprojections2014!$A$2:$AY$326,36,FALSE))/10,IF(IndividualLATest!$J$7=2016,(VLOOKUP($A279,Hshldprojections2016!$A$1:$AQ$322,36,FALSE)-VLOOKUP($A279,Hshldprojections2016!$A$1:$AQ$322,26,FALSE))/10,(VLOOKUP($A279,Hshldprojections2018!$A$1:$AQ$327,36,FALSE)-VLOOKUP($A279,Hshldprojections2018!$A$1:$AQ$327,26,FALSE))/10))</f>
        <v>518.70000000000005</v>
      </c>
      <c r="AH279" s="267">
        <f>IF(IndividualLATest!$J$7=2014,(VLOOKUP($A279,Hshldprojections2014!$A$2:$AY$326,47,FALSE)-VLOOKUP($A279,Hshldprojections2014!$A$2:$AY$326,37,FALSE))/10,IF(IndividualLATest!$J$7=2016,(VLOOKUP($A279,Hshldprojections2016!$A$1:$AQ$322,37,FALSE)-VLOOKUP($A279,Hshldprojections2016!$A$1:$AQ$322,27,FALSE))/10,(VLOOKUP($A279,Hshldprojections2018!$A$1:$AQ$327,37,FALSE)-VLOOKUP($A279,Hshldprojections2018!$A$1:$AQ$327,27,FALSE))/10))</f>
        <v>510.1</v>
      </c>
      <c r="AI279" s="268">
        <f>IF(ISNUMBER('Sensitivity Tests'!$C$30),'Sensitivity Tests'!$C$30,VLOOKUP($A279,AffordabilityRatio!$A$2:$I$321,5,FALSE))</f>
        <v>11.8</v>
      </c>
      <c r="AJ279" s="268">
        <f>IF(ISNUMBER('Sensitivity Tests'!$C$30),'Sensitivity Tests'!$C$30,VLOOKUP($A279,AffordabilityRatio!$A$2:$I$321,6,FALSE))</f>
        <v>11.93</v>
      </c>
      <c r="AK279" s="268">
        <f>IF(ISNUMBER('Sensitivity Tests'!$C$30),'Sensitivity Tests'!$C$30,VLOOKUP($A279,AffordabilityRatio!$A$2:$I$321,7,FALSE))</f>
        <v>11.79</v>
      </c>
      <c r="AL279" s="268">
        <f>IF(ISNUMBER('Sensitivity Tests'!$C$30),'Sensitivity Tests'!$C$30,IF((VLOOKUP($A279,AffordabilityRatio!$A$2:$I$321,8,FALSE))="",AK279,VLOOKUP($A279,AffordabilityRatio!$A$2:$I$321,8,FALSE)))</f>
        <v>11.93</v>
      </c>
      <c r="AM279" s="268">
        <f>IF(ISNUMBER('Sensitivity Tests'!$C$30),'Sensitivity Tests'!$C$30,IF((VLOOKUP($A279,AffordabilityRatio!$A$2:$I$321,9,FALSE))="",AL279,VLOOKUP($A279,AffordabilityRatio!$A$2:$I$321,9,FALSE)))</f>
        <v>13.39</v>
      </c>
      <c r="AN279" s="268">
        <f>IF(ISNUMBER('Sensitivity Tests'!$C$30),'Sensitivity Tests'!$C$30,IF((VLOOKUP($A279,AffordabilityRatio!$A$2:$I$321,9,FALSE))="",AM279,VLOOKUP($A279,AffordabilityRatio!$A$2:$I$321,9,FALSE)))</f>
        <v>13.39</v>
      </c>
      <c r="AO279" s="268">
        <f>IF(ISNUMBER('Sensitivity Tests'!$C$30),'Sensitivity Tests'!$C$30,IF((VLOOKUP($A279,AffordabilityRatio!$A$2:$I$321,9,FALSE))="",AN279,VLOOKUP($A279,AffordabilityRatio!$A$2:$I$321,9,FALSE)))</f>
        <v>13.39</v>
      </c>
      <c r="AP279" s="268">
        <f>IF(ISNUMBER('Sensitivity Tests'!$C$30),'Sensitivity Tests'!$C$30,IF((VLOOKUP($A279,AffordabilityRatio!$A$2:$I$321,9,FALSE))="",AO279,VLOOKUP($A279,AffordabilityRatio!$A$2:$I$321,9,FALSE)))</f>
        <v>13.39</v>
      </c>
      <c r="AQ279" s="267">
        <f t="shared" si="243"/>
        <v>907</v>
      </c>
      <c r="AR279" s="267">
        <f t="shared" si="243"/>
        <v>904</v>
      </c>
      <c r="AS279" s="267">
        <f t="shared" si="243"/>
        <v>895</v>
      </c>
      <c r="AT279" s="267">
        <f t="shared" si="242"/>
        <v>849</v>
      </c>
      <c r="AU279" s="267">
        <f t="shared" si="242"/>
        <v>874</v>
      </c>
      <c r="AV279" s="267">
        <f t="shared" si="242"/>
        <v>848</v>
      </c>
      <c r="AW279" s="267">
        <f t="shared" si="242"/>
        <v>823</v>
      </c>
      <c r="AX279" s="267">
        <f t="shared" si="242"/>
        <v>809</v>
      </c>
      <c r="AY279" s="267">
        <f t="shared" si="218"/>
        <v>853.71999999999991</v>
      </c>
      <c r="AZ279" s="267">
        <f t="shared" si="219"/>
        <v>846.16</v>
      </c>
      <c r="BA279" s="267">
        <f t="shared" si="220"/>
        <v>842.94</v>
      </c>
      <c r="BB279" s="267">
        <f t="shared" si="221"/>
        <v>795.06</v>
      </c>
      <c r="BC279" s="267">
        <f t="shared" si="222"/>
        <v>770.84</v>
      </c>
      <c r="BD279" s="267">
        <f t="shared" si="223"/>
        <v>748.44</v>
      </c>
      <c r="BE279" s="267">
        <f t="shared" si="224"/>
        <v>726.18000000000006</v>
      </c>
      <c r="BF279" s="267">
        <f t="shared" si="225"/>
        <v>714.1400000000001</v>
      </c>
      <c r="BG279" s="269">
        <f>AY279*VLOOKUP($B279,'Major Cities &amp; Towns'!$A$28:$B$345,2,FALSE)</f>
        <v>853.71999999999991</v>
      </c>
      <c r="BH279" s="269">
        <f>AZ279*VLOOKUP($B279,'Major Cities &amp; Towns'!$A$28:$B$345,2,FALSE)</f>
        <v>846.16</v>
      </c>
      <c r="BI279" s="269">
        <f>BA279*VLOOKUP($B279,'Major Cities &amp; Towns'!$A$28:$B$345,2,FALSE)</f>
        <v>842.94</v>
      </c>
      <c r="BJ279" s="269">
        <f>BB279*VLOOKUP($B279,'Major Cities &amp; Towns'!$A$28:$B$345,2,FALSE)</f>
        <v>795.06</v>
      </c>
      <c r="BK279" s="269">
        <f>BC279*VLOOKUP($B279,'Major Cities &amp; Towns'!$A$28:$B$345,2,FALSE)</f>
        <v>770.84</v>
      </c>
      <c r="BL279" s="269">
        <f>BD279*VLOOKUP($B279,'Major Cities &amp; Towns'!$A$28:$B$345,2,FALSE)</f>
        <v>748.44</v>
      </c>
      <c r="BM279" s="269">
        <f>BE279*VLOOKUP($B279,'Major Cities &amp; Towns'!$A$28:$B$345,2,FALSE)</f>
        <v>726.18000000000006</v>
      </c>
      <c r="BN279" s="269">
        <f>BF279*VLOOKUP($B279,'Major Cities &amp; Towns'!$A$28:$B$345,2,FALSE)</f>
        <v>714.1400000000001</v>
      </c>
      <c r="BO279" s="270">
        <f t="shared" si="226"/>
        <v>907</v>
      </c>
      <c r="BP279" s="270">
        <f t="shared" si="201"/>
        <v>904</v>
      </c>
      <c r="BQ279" s="270">
        <f t="shared" si="201"/>
        <v>895</v>
      </c>
      <c r="BR279" s="270">
        <f t="shared" si="201"/>
        <v>849</v>
      </c>
      <c r="BS279" s="270">
        <f t="shared" si="200"/>
        <v>874</v>
      </c>
      <c r="BT279" s="270">
        <f t="shared" si="200"/>
        <v>848</v>
      </c>
      <c r="BU279" s="270">
        <f t="shared" si="200"/>
        <v>823</v>
      </c>
      <c r="BV279" s="270">
        <f t="shared" si="200"/>
        <v>809</v>
      </c>
      <c r="BW279" s="39">
        <f>VLOOKUP($A279,NetAdditions!$A$2:$H$336,6,FALSE)</f>
        <v>422</v>
      </c>
      <c r="BX279" s="39">
        <f>VLOOKUP($A279,NetAdditions!$A$2:$H$336,7,FALSE)</f>
        <v>471</v>
      </c>
      <c r="BY279" s="39">
        <f>IF((VLOOKUP($C279,NetAdditions!$A$2:$H$336,8,FALSE))="",(AVERAGE(VLOOKUP($C279,NetAdditions!$A$2:$H$336,5,FALSE),VLOOKUP($C279,NetAdditions!$A$2:$H$336,6,FALSE),VLOOKUP($C279,NetAdditions!$A$2:$H$336,7,FALSE))),VLOOKUP($C279,NetAdditions!$A$2:$H$336,8,FALSE))</f>
        <v>441</v>
      </c>
      <c r="BZ279" s="39">
        <f t="shared" si="244"/>
        <v>444.66666666666669</v>
      </c>
      <c r="CA279" s="39">
        <f t="shared" si="244"/>
        <v>452.22222222222223</v>
      </c>
      <c r="CB279" s="39">
        <f t="shared" si="244"/>
        <v>445.96296296296299</v>
      </c>
      <c r="CC279" s="39">
        <f t="shared" si="244"/>
        <v>447.61728395061732</v>
      </c>
      <c r="CD279" s="39">
        <f t="shared" si="244"/>
        <v>448.60082304526753</v>
      </c>
      <c r="CE279" s="276">
        <f t="shared" si="202"/>
        <v>2706</v>
      </c>
      <c r="CF279" s="276">
        <f t="shared" si="203"/>
        <v>2648</v>
      </c>
      <c r="CG279" s="276">
        <f t="shared" si="204"/>
        <v>2618</v>
      </c>
      <c r="CH279" s="276">
        <f t="shared" si="205"/>
        <v>2571</v>
      </c>
      <c r="CI279" s="276">
        <f t="shared" si="206"/>
        <v>2545</v>
      </c>
      <c r="CJ279" s="276">
        <f t="shared" si="207"/>
        <v>2480</v>
      </c>
      <c r="CK279" s="276">
        <f t="shared" si="227"/>
        <v>2330.166666666667</v>
      </c>
      <c r="CL279" s="276">
        <f t="shared" si="228"/>
        <v>2280.2222222222222</v>
      </c>
      <c r="CM279" s="276">
        <f t="shared" si="229"/>
        <v>2399.833333333333</v>
      </c>
      <c r="CN279" s="276">
        <f t="shared" si="230"/>
        <v>2571</v>
      </c>
      <c r="CO279" s="276">
        <f t="shared" si="230"/>
        <v>2545</v>
      </c>
      <c r="CP279" s="276">
        <f t="shared" si="230"/>
        <v>2480</v>
      </c>
      <c r="CQ279" s="39">
        <f t="shared" si="208"/>
        <v>1334</v>
      </c>
      <c r="CR279" s="39">
        <f t="shared" si="209"/>
        <v>1356.6666666666667</v>
      </c>
      <c r="CS279" s="277">
        <f t="shared" si="210"/>
        <v>1337.8888888888889</v>
      </c>
      <c r="CT279" s="39">
        <f t="shared" si="211"/>
        <v>1342.851851851852</v>
      </c>
      <c r="CU279" s="39">
        <f t="shared" si="212"/>
        <v>1345.8024691358025</v>
      </c>
      <c r="CV279" s="39">
        <f t="shared" si="213"/>
        <v>1342.181069958848</v>
      </c>
      <c r="CW279" s="297">
        <f t="shared" si="214"/>
        <v>0.57249123810886193</v>
      </c>
      <c r="CX279" s="279" t="str">
        <f t="shared" si="231"/>
        <v>Buffer and Action Plan</v>
      </c>
      <c r="CY279" s="278">
        <f t="shared" si="215"/>
        <v>0.5949712503654615</v>
      </c>
      <c r="CZ279" s="279" t="str">
        <f t="shared" si="232"/>
        <v>Buffer and Action Plan</v>
      </c>
      <c r="DA279" s="278">
        <f t="shared" si="216"/>
        <v>0.55749241845498543</v>
      </c>
      <c r="DB279" s="292" t="str">
        <f t="shared" si="233"/>
        <v>Presumption</v>
      </c>
      <c r="DC279" s="299">
        <f t="shared" si="234"/>
        <v>0.52230721581168882</v>
      </c>
      <c r="DD279" s="293" t="str">
        <f t="shared" si="235"/>
        <v>Presumption</v>
      </c>
      <c r="DE279" s="299">
        <f t="shared" si="236"/>
        <v>0.52880254190011888</v>
      </c>
      <c r="DF279" s="293" t="str">
        <f t="shared" si="237"/>
        <v>Presumption</v>
      </c>
      <c r="DG279" s="299">
        <f t="shared" si="238"/>
        <v>0.54120204433824515</v>
      </c>
      <c r="DH279" s="293" t="str">
        <f t="shared" si="239"/>
        <v>Presumption</v>
      </c>
    </row>
    <row r="280" spans="1:112" ht="15" thickTop="1" thickBot="1">
      <c r="A280" s="38" t="s">
        <v>670</v>
      </c>
      <c r="B280" s="38" t="s">
        <v>671</v>
      </c>
      <c r="C280" s="38" t="s">
        <v>670</v>
      </c>
      <c r="D280" s="38" t="s">
        <v>147</v>
      </c>
      <c r="E280" s="38" t="str">
        <f>VLOOKUP(C280,PoliticalControl!A:K,11,FALSE)</f>
        <v>NOC</v>
      </c>
      <c r="F280" s="38" t="str">
        <f>VLOOKUP(C280,UrbanRuralClassification!A:N,13,FALSE)</f>
        <v>Urban with City and Town</v>
      </c>
      <c r="G280" s="38" t="str">
        <f>VLOOKUP(C280,UrbanRuralClassification!A:N,14,FALSE)</f>
        <v>Predominantly Urban</v>
      </c>
      <c r="H280" s="258">
        <f>IF(ISBLANK((VLOOKUP($A280,'local-plan-data'!$C$1:$AD$566,27,FALSE)))=TRUE,"",VLOOKUP($A280,'local-plan-data'!$C$1:$AD$566,27,FALSE))</f>
        <v>42348</v>
      </c>
      <c r="I280" s="259">
        <f>VLOOKUP($A280,'local-plan-data'!$C$1:$AD$566,28,FALSE)</f>
        <v>494.44444444444446</v>
      </c>
      <c r="J280" s="260">
        <f t="shared" si="217"/>
        <v>494.44444444444446</v>
      </c>
      <c r="K280" s="259">
        <f t="shared" si="240"/>
        <v>494.44444444444446</v>
      </c>
      <c r="L280" s="259">
        <f t="shared" si="240"/>
        <v>494.44444444444446</v>
      </c>
      <c r="M280" s="259">
        <f t="shared" si="240"/>
        <v>494.44444444444446</v>
      </c>
      <c r="N280" s="259" t="str">
        <f t="shared" si="240"/>
        <v>-</v>
      </c>
      <c r="O280" s="259" t="str">
        <f t="shared" si="240"/>
        <v>-</v>
      </c>
      <c r="P280" s="259" t="str">
        <f t="shared" si="240"/>
        <v>-</v>
      </c>
      <c r="Q280" s="259" t="str">
        <f t="shared" si="240"/>
        <v>-</v>
      </c>
      <c r="R280" s="259" t="str">
        <f t="shared" si="240"/>
        <v>-</v>
      </c>
      <c r="S280" s="259">
        <f t="shared" si="241"/>
        <v>984</v>
      </c>
      <c r="T280" s="259">
        <f t="shared" si="241"/>
        <v>619</v>
      </c>
      <c r="U280" s="259">
        <f t="shared" si="241"/>
        <v>253</v>
      </c>
      <c r="V280" s="259">
        <f t="shared" si="241"/>
        <v>-112</v>
      </c>
      <c r="W280" s="259">
        <f t="shared" si="241"/>
        <v>-477</v>
      </c>
      <c r="X280" s="259">
        <f t="shared" si="241"/>
        <v>-842</v>
      </c>
      <c r="Y280" s="259">
        <f t="shared" si="241"/>
        <v>-1208</v>
      </c>
      <c r="Z280" s="259">
        <f t="shared" si="241"/>
        <v>-1573</v>
      </c>
      <c r="AA280" s="267">
        <f>(VLOOKUP(A280,Hshldprojections2014!$A$2:$AW$319,40, FALSE)-VLOOKUP(A280,Hshldprojections2014!$A$2:$AW$319,30, FALSE))/10</f>
        <v>472.1</v>
      </c>
      <c r="AB280" s="267">
        <f>(VLOOKUP(A280,Hshldprojections2014!$A$2:$AW$319,41, FALSE)-VLOOKUP(A280,Hshldprojections2014!$A$2:$AW$319,31, FALSE))/10</f>
        <v>471.2</v>
      </c>
      <c r="AC280" s="267">
        <f>(VLOOKUP(A280,Hshldprojections2014!$A$2:$AW$319,42, FALSE)-VLOOKUP(A280,Hshldprojections2014!$A$2:$AW$319,32, FALSE))/10</f>
        <v>469.1</v>
      </c>
      <c r="AD280" s="267">
        <f>IF(IndividualLATest!$J$7=2014,(VLOOKUP($A280,Hshldprojections2014!$A$2:$AY$326,43,FALSE)-VLOOKUP($A280,Hshldprojections2014!$A$2:$AY$326,33,FALSE))/10,IF(IndividualLATest!$J$7=2016,(VLOOKUP($A280,Hshldprojections2016!$A$1:$AQ$322,33,FALSE)-VLOOKUP($A280,Hshldprojections2016!$A$1:$AQ$322,23,FALSE))/10,(VLOOKUP($A280,Hshldprojections2018!$A$1:$AQ$327,33,FALSE)-VLOOKUP($A280,Hshldprojections2018!$A$1:$AQ$327,23,FALSE))/10))</f>
        <v>555.20000000000005</v>
      </c>
      <c r="AE280" s="267">
        <f>IF(IndividualLATest!$J$7=2014,(VLOOKUP($A280,Hshldprojections2014!$A$2:$AY$326,44,FALSE)-VLOOKUP($A280,Hshldprojections2014!$A$2:$AY$326,34,FALSE))/10,IF(IndividualLATest!$J$7=2016,(VLOOKUP($A280,Hshldprojections2016!$A$1:$AQ$322,34,FALSE)-VLOOKUP($A280,Hshldprojections2016!$A$1:$AQ$322,24,FALSE))/10,(VLOOKUP($A280,Hshldprojections2018!$A$1:$AQ$327,34,FALSE)-VLOOKUP($A280,Hshldprojections2018!$A$1:$AQ$327,24,FALSE))/10))</f>
        <v>548.4</v>
      </c>
      <c r="AF280" s="267">
        <f>IF(IndividualLATest!$J$7=2014,(VLOOKUP($A280,Hshldprojections2014!$A$2:$AY$326,45,FALSE)-VLOOKUP($A280,Hshldprojections2014!$A$2:$AY$326,35,FALSE))/10,IF(IndividualLATest!$J$7=2016,(VLOOKUP($A280,Hshldprojections2016!$A$1:$AQ$322,35,FALSE)-VLOOKUP($A280,Hshldprojections2016!$A$1:$AQ$322,25,FALSE))/10,(VLOOKUP($A280,Hshldprojections2018!$A$1:$AQ$327,35,FALSE)-VLOOKUP($A280,Hshldprojections2018!$A$1:$AQ$327,25,FALSE))/10))</f>
        <v>540.6</v>
      </c>
      <c r="AG280" s="267">
        <f>IF(IndividualLATest!$J$7=2014,(VLOOKUP($A280,Hshldprojections2014!$A$2:$AY$326,46,FALSE)-VLOOKUP($A280,Hshldprojections2014!$A$2:$AY$326,36,FALSE))/10,IF(IndividualLATest!$J$7=2016,(VLOOKUP($A280,Hshldprojections2016!$A$1:$AQ$322,36,FALSE)-VLOOKUP($A280,Hshldprojections2016!$A$1:$AQ$322,26,FALSE))/10,(VLOOKUP($A280,Hshldprojections2018!$A$1:$AQ$327,36,FALSE)-VLOOKUP($A280,Hshldprojections2018!$A$1:$AQ$327,26,FALSE))/10))</f>
        <v>532</v>
      </c>
      <c r="AH280" s="267">
        <f>IF(IndividualLATest!$J$7=2014,(VLOOKUP($A280,Hshldprojections2014!$A$2:$AY$326,47,FALSE)-VLOOKUP($A280,Hshldprojections2014!$A$2:$AY$326,37,FALSE))/10,IF(IndividualLATest!$J$7=2016,(VLOOKUP($A280,Hshldprojections2016!$A$1:$AQ$322,37,FALSE)-VLOOKUP($A280,Hshldprojections2016!$A$1:$AQ$322,27,FALSE))/10,(VLOOKUP($A280,Hshldprojections2018!$A$1:$AQ$327,37,FALSE)-VLOOKUP($A280,Hshldprojections2018!$A$1:$AQ$327,27,FALSE))/10))</f>
        <v>527.29999999999995</v>
      </c>
      <c r="AI280" s="268">
        <f>IF(ISNUMBER('Sensitivity Tests'!$C$30),'Sensitivity Tests'!$C$30,VLOOKUP($A280,AffordabilityRatio!$A$2:$I$321,5,FALSE))</f>
        <v>7.71</v>
      </c>
      <c r="AJ280" s="268">
        <f>IF(ISNUMBER('Sensitivity Tests'!$C$30),'Sensitivity Tests'!$C$30,VLOOKUP($A280,AffordabilityRatio!$A$2:$I$321,6,FALSE))</f>
        <v>8.84</v>
      </c>
      <c r="AK280" s="268">
        <f>IF(ISNUMBER('Sensitivity Tests'!$C$30),'Sensitivity Tests'!$C$30,VLOOKUP($A280,AffordabilityRatio!$A$2:$I$321,7,FALSE))</f>
        <v>7.85</v>
      </c>
      <c r="AL280" s="268">
        <f>IF(ISNUMBER('Sensitivity Tests'!$C$30),'Sensitivity Tests'!$C$30,IF((VLOOKUP($A280,AffordabilityRatio!$A$2:$I$321,8,FALSE))="",AK280,VLOOKUP($A280,AffordabilityRatio!$A$2:$I$321,8,FALSE)))</f>
        <v>7.38</v>
      </c>
      <c r="AM280" s="268">
        <f>IF(ISNUMBER('Sensitivity Tests'!$C$30),'Sensitivity Tests'!$C$30,IF((VLOOKUP($A280,AffordabilityRatio!$A$2:$I$321,9,FALSE))="",AL280,VLOOKUP($A280,AffordabilityRatio!$A$2:$I$321,9,FALSE)))</f>
        <v>8.9</v>
      </c>
      <c r="AN280" s="268">
        <f>IF(ISNUMBER('Sensitivity Tests'!$C$30),'Sensitivity Tests'!$C$30,IF((VLOOKUP($A280,AffordabilityRatio!$A$2:$I$321,9,FALSE))="",AM280,VLOOKUP($A280,AffordabilityRatio!$A$2:$I$321,9,FALSE)))</f>
        <v>8.9</v>
      </c>
      <c r="AO280" s="268">
        <f>IF(ISNUMBER('Sensitivity Tests'!$C$30),'Sensitivity Tests'!$C$30,IF((VLOOKUP($A280,AffordabilityRatio!$A$2:$I$321,9,FALSE))="",AN280,VLOOKUP($A280,AffordabilityRatio!$A$2:$I$321,9,FALSE)))</f>
        <v>8.9</v>
      </c>
      <c r="AP280" s="268">
        <f>IF(ISNUMBER('Sensitivity Tests'!$C$30),'Sensitivity Tests'!$C$30,IF((VLOOKUP($A280,AffordabilityRatio!$A$2:$I$321,9,FALSE))="",AO280,VLOOKUP($A280,AffordabilityRatio!$A$2:$I$321,9,FALSE)))</f>
        <v>8.9</v>
      </c>
      <c r="AQ280" s="267">
        <f t="shared" si="243"/>
        <v>582</v>
      </c>
      <c r="AR280" s="267">
        <f t="shared" si="243"/>
        <v>614</v>
      </c>
      <c r="AS280" s="267">
        <f t="shared" si="243"/>
        <v>582</v>
      </c>
      <c r="AT280" s="267">
        <f t="shared" si="242"/>
        <v>672</v>
      </c>
      <c r="AU280" s="267">
        <f t="shared" si="242"/>
        <v>716</v>
      </c>
      <c r="AV280" s="267">
        <f t="shared" si="242"/>
        <v>706</v>
      </c>
      <c r="AW280" s="267">
        <f t="shared" si="242"/>
        <v>695</v>
      </c>
      <c r="AX280" s="267">
        <f t="shared" si="242"/>
        <v>689</v>
      </c>
      <c r="AY280" s="267">
        <f t="shared" si="218"/>
        <v>582</v>
      </c>
      <c r="AZ280" s="267">
        <f t="shared" si="219"/>
        <v>614</v>
      </c>
      <c r="BA280" s="267">
        <f t="shared" si="220"/>
        <v>582</v>
      </c>
      <c r="BB280" s="267">
        <f t="shared" si="221"/>
        <v>672</v>
      </c>
      <c r="BC280" s="267">
        <f t="shared" si="222"/>
        <v>716</v>
      </c>
      <c r="BD280" s="267">
        <f t="shared" si="223"/>
        <v>706</v>
      </c>
      <c r="BE280" s="267">
        <f t="shared" si="224"/>
        <v>695</v>
      </c>
      <c r="BF280" s="267">
        <f t="shared" si="225"/>
        <v>689</v>
      </c>
      <c r="BG280" s="269">
        <f>AY280*VLOOKUP($B280,'Major Cities &amp; Towns'!$A$28:$B$345,2,FALSE)</f>
        <v>582</v>
      </c>
      <c r="BH280" s="269">
        <f>AZ280*VLOOKUP($B280,'Major Cities &amp; Towns'!$A$28:$B$345,2,FALSE)</f>
        <v>614</v>
      </c>
      <c r="BI280" s="269">
        <f>BA280*VLOOKUP($B280,'Major Cities &amp; Towns'!$A$28:$B$345,2,FALSE)</f>
        <v>582</v>
      </c>
      <c r="BJ280" s="269">
        <f>BB280*VLOOKUP($B280,'Major Cities &amp; Towns'!$A$28:$B$345,2,FALSE)</f>
        <v>672</v>
      </c>
      <c r="BK280" s="269">
        <f>BC280*VLOOKUP($B280,'Major Cities &amp; Towns'!$A$28:$B$345,2,FALSE)</f>
        <v>716</v>
      </c>
      <c r="BL280" s="269">
        <f>BD280*VLOOKUP($B280,'Major Cities &amp; Towns'!$A$28:$B$345,2,FALSE)</f>
        <v>706</v>
      </c>
      <c r="BM280" s="269">
        <f>BE280*VLOOKUP($B280,'Major Cities &amp; Towns'!$A$28:$B$345,2,FALSE)</f>
        <v>695</v>
      </c>
      <c r="BN280" s="269">
        <f>BF280*VLOOKUP($B280,'Major Cities &amp; Towns'!$A$28:$B$345,2,FALSE)</f>
        <v>689</v>
      </c>
      <c r="BO280" s="270">
        <f t="shared" si="226"/>
        <v>494.44444444444446</v>
      </c>
      <c r="BP280" s="270">
        <f t="shared" si="201"/>
        <v>494.44444444444446</v>
      </c>
      <c r="BQ280" s="270">
        <f t="shared" si="201"/>
        <v>521.31080669710809</v>
      </c>
      <c r="BR280" s="270">
        <f t="shared" si="201"/>
        <v>672</v>
      </c>
      <c r="BS280" s="270">
        <f t="shared" si="200"/>
        <v>716</v>
      </c>
      <c r="BT280" s="270">
        <f t="shared" si="200"/>
        <v>706</v>
      </c>
      <c r="BU280" s="270">
        <f t="shared" si="200"/>
        <v>695</v>
      </c>
      <c r="BV280" s="270">
        <f t="shared" si="200"/>
        <v>689</v>
      </c>
      <c r="BW280" s="39">
        <f>VLOOKUP($A280,NetAdditions!$A$2:$H$336,6,FALSE)</f>
        <v>531</v>
      </c>
      <c r="BX280" s="39">
        <f>VLOOKUP($A280,NetAdditions!$A$2:$H$336,7,FALSE)</f>
        <v>188</v>
      </c>
      <c r="BY280" s="39">
        <f>IF((VLOOKUP($C280,NetAdditions!$A$2:$H$336,8,FALSE))="",(AVERAGE(VLOOKUP($C280,NetAdditions!$A$2:$H$336,5,FALSE),VLOOKUP($C280,NetAdditions!$A$2:$H$336,6,FALSE),VLOOKUP($C280,NetAdditions!$A$2:$H$336,7,FALSE))),VLOOKUP($C280,NetAdditions!$A$2:$H$336,8,FALSE))</f>
        <v>260</v>
      </c>
      <c r="BZ280" s="39">
        <f t="shared" si="244"/>
        <v>326.33333333333331</v>
      </c>
      <c r="CA280" s="39">
        <f t="shared" si="244"/>
        <v>258.11111111111109</v>
      </c>
      <c r="CB280" s="39">
        <f t="shared" si="244"/>
        <v>281.48148148148147</v>
      </c>
      <c r="CC280" s="39">
        <f t="shared" si="244"/>
        <v>288.64197530864197</v>
      </c>
      <c r="CD280" s="39">
        <f t="shared" si="244"/>
        <v>276.07818930041157</v>
      </c>
      <c r="CE280" s="276">
        <f t="shared" si="202"/>
        <v>1510.199695585997</v>
      </c>
      <c r="CF280" s="276">
        <f t="shared" si="203"/>
        <v>1687.7552511415524</v>
      </c>
      <c r="CG280" s="276">
        <f t="shared" si="204"/>
        <v>1909.3108066971081</v>
      </c>
      <c r="CH280" s="276">
        <f t="shared" si="205"/>
        <v>2094</v>
      </c>
      <c r="CI280" s="276">
        <f t="shared" si="206"/>
        <v>2117</v>
      </c>
      <c r="CJ280" s="276">
        <f t="shared" si="207"/>
        <v>2090</v>
      </c>
      <c r="CK280" s="276">
        <f t="shared" si="227"/>
        <v>1300.4497378657197</v>
      </c>
      <c r="CL280" s="276">
        <f t="shared" si="228"/>
        <v>1453.3447995941146</v>
      </c>
      <c r="CM280" s="276">
        <f t="shared" si="229"/>
        <v>1750.2015728056824</v>
      </c>
      <c r="CN280" s="276">
        <f t="shared" si="230"/>
        <v>2094</v>
      </c>
      <c r="CO280" s="276">
        <f t="shared" si="230"/>
        <v>2117</v>
      </c>
      <c r="CP280" s="276">
        <f t="shared" si="230"/>
        <v>2090</v>
      </c>
      <c r="CQ280" s="39">
        <f t="shared" si="208"/>
        <v>979</v>
      </c>
      <c r="CR280" s="39">
        <f t="shared" si="209"/>
        <v>774.33333333333326</v>
      </c>
      <c r="CS280" s="277">
        <f t="shared" si="210"/>
        <v>844.44444444444434</v>
      </c>
      <c r="CT280" s="39">
        <f t="shared" si="211"/>
        <v>865.92592592592587</v>
      </c>
      <c r="CU280" s="39">
        <f t="shared" si="212"/>
        <v>828.23456790123464</v>
      </c>
      <c r="CV280" s="39">
        <f t="shared" si="213"/>
        <v>846.20164609053495</v>
      </c>
      <c r="CW280" s="297">
        <f t="shared" si="214"/>
        <v>0.75281648455458294</v>
      </c>
      <c r="CX280" s="279" t="str">
        <f t="shared" si="231"/>
        <v>Buffer and Action Plan</v>
      </c>
      <c r="CY280" s="278">
        <f t="shared" si="215"/>
        <v>0.53279396159093595</v>
      </c>
      <c r="CZ280" s="279" t="str">
        <f t="shared" si="232"/>
        <v>Buffer and Action Plan</v>
      </c>
      <c r="DA280" s="278">
        <f t="shared" si="216"/>
        <v>0.48248410786807094</v>
      </c>
      <c r="DB280" s="292" t="str">
        <f t="shared" si="233"/>
        <v>Presumption</v>
      </c>
      <c r="DC280" s="299">
        <f t="shared" si="234"/>
        <v>0.41352718525593402</v>
      </c>
      <c r="DD280" s="293" t="str">
        <f t="shared" si="235"/>
        <v>Presumption</v>
      </c>
      <c r="DE280" s="299">
        <f t="shared" si="236"/>
        <v>0.39123031077054071</v>
      </c>
      <c r="DF280" s="293" t="str">
        <f t="shared" si="237"/>
        <v>Presumption</v>
      </c>
      <c r="DG280" s="299">
        <f t="shared" si="238"/>
        <v>0.40488117037824639</v>
      </c>
      <c r="DH280" s="293" t="str">
        <f t="shared" si="239"/>
        <v>Presumption</v>
      </c>
    </row>
    <row r="281" spans="1:112" ht="15" thickTop="1" thickBot="1">
      <c r="A281" s="38" t="s">
        <v>672</v>
      </c>
      <c r="B281" s="38" t="s">
        <v>673</v>
      </c>
      <c r="C281" s="38" t="s">
        <v>672</v>
      </c>
      <c r="D281" s="38" t="s">
        <v>147</v>
      </c>
      <c r="E281" s="38" t="str">
        <f>VLOOKUP(C281,PoliticalControl!A:K,11,FALSE)</f>
        <v>NOC</v>
      </c>
      <c r="F281" s="38" t="str">
        <f>VLOOKUP(C281,UrbanRuralClassification!A:N,13,FALSE)</f>
        <v xml:space="preserve">Mainly Rural (rural including hub towns &gt;=80%) </v>
      </c>
      <c r="G281" s="38" t="str">
        <f>VLOOKUP(C281,UrbanRuralClassification!A:N,14,FALSE)</f>
        <v>Predominantly Rural</v>
      </c>
      <c r="H281" s="258">
        <f>IF(ISBLANK((VLOOKUP($A281,'local-plan-data'!$C$1:$AD$566,27,FALSE)))=TRUE,"",VLOOKUP($A281,'local-plan-data'!$C$1:$AD$566,27,FALSE))</f>
        <v>43402</v>
      </c>
      <c r="I281" s="259">
        <f>VLOOKUP($A281,'local-plan-data'!$C$1:$AD$566,28,FALSE)</f>
        <v>861</v>
      </c>
      <c r="J281" s="260">
        <f t="shared" si="217"/>
        <v>861</v>
      </c>
      <c r="K281" s="259">
        <f t="shared" si="240"/>
        <v>861</v>
      </c>
      <c r="L281" s="259">
        <f t="shared" si="240"/>
        <v>861</v>
      </c>
      <c r="M281" s="259">
        <f t="shared" si="240"/>
        <v>861</v>
      </c>
      <c r="N281" s="259">
        <f t="shared" si="240"/>
        <v>861</v>
      </c>
      <c r="O281" s="259">
        <f t="shared" si="240"/>
        <v>861</v>
      </c>
      <c r="P281" s="259">
        <f t="shared" si="240"/>
        <v>861</v>
      </c>
      <c r="Q281" s="259" t="str">
        <f t="shared" si="240"/>
        <v>-</v>
      </c>
      <c r="R281" s="259" t="str">
        <f t="shared" si="240"/>
        <v>-</v>
      </c>
      <c r="S281" s="259">
        <f t="shared" si="241"/>
        <v>2037</v>
      </c>
      <c r="T281" s="259">
        <f t="shared" si="241"/>
        <v>1672</v>
      </c>
      <c r="U281" s="259">
        <f t="shared" si="241"/>
        <v>1306</v>
      </c>
      <c r="V281" s="259">
        <f t="shared" si="241"/>
        <v>941</v>
      </c>
      <c r="W281" s="259">
        <f t="shared" si="241"/>
        <v>576</v>
      </c>
      <c r="X281" s="259">
        <f t="shared" si="241"/>
        <v>211</v>
      </c>
      <c r="Y281" s="259">
        <f t="shared" si="241"/>
        <v>-155</v>
      </c>
      <c r="Z281" s="259">
        <f t="shared" si="241"/>
        <v>-520</v>
      </c>
      <c r="AA281" s="267">
        <f>(VLOOKUP(A281,Hshldprojections2014!$A$2:$AW$319,40, FALSE)-VLOOKUP(A281,Hshldprojections2014!$A$2:$AW$319,30, FALSE))/10</f>
        <v>321.2</v>
      </c>
      <c r="AB281" s="267">
        <f>(VLOOKUP(A281,Hshldprojections2014!$A$2:$AW$319,41, FALSE)-VLOOKUP(A281,Hshldprojections2014!$A$2:$AW$319,31, FALSE))/10</f>
        <v>317</v>
      </c>
      <c r="AC281" s="267">
        <f>(VLOOKUP(A281,Hshldprojections2014!$A$2:$AW$319,42, FALSE)-VLOOKUP(A281,Hshldprojections2014!$A$2:$AW$319,32, FALSE))/10</f>
        <v>312.2</v>
      </c>
      <c r="AD281" s="267">
        <f>IF(IndividualLATest!$J$7=2014,(VLOOKUP($A281,Hshldprojections2014!$A$2:$AY$326,43,FALSE)-VLOOKUP($A281,Hshldprojections2014!$A$2:$AY$326,33,FALSE))/10,IF(IndividualLATest!$J$7=2016,(VLOOKUP($A281,Hshldprojections2016!$A$1:$AQ$322,33,FALSE)-VLOOKUP($A281,Hshldprojections2016!$A$1:$AQ$322,23,FALSE))/10,(VLOOKUP($A281,Hshldprojections2018!$A$1:$AQ$327,33,FALSE)-VLOOKUP($A281,Hshldprojections2018!$A$1:$AQ$327,23,FALSE))/10))</f>
        <v>319.7</v>
      </c>
      <c r="AE281" s="267">
        <f>IF(IndividualLATest!$J$7=2014,(VLOOKUP($A281,Hshldprojections2014!$A$2:$AY$326,44,FALSE)-VLOOKUP($A281,Hshldprojections2014!$A$2:$AY$326,34,FALSE))/10,IF(IndividualLATest!$J$7=2016,(VLOOKUP($A281,Hshldprojections2016!$A$1:$AQ$322,34,FALSE)-VLOOKUP($A281,Hshldprojections2016!$A$1:$AQ$322,24,FALSE))/10,(VLOOKUP($A281,Hshldprojections2018!$A$1:$AQ$327,34,FALSE)-VLOOKUP($A281,Hshldprojections2018!$A$1:$AQ$327,24,FALSE))/10))</f>
        <v>310.8</v>
      </c>
      <c r="AF281" s="267">
        <f>IF(IndividualLATest!$J$7=2014,(VLOOKUP($A281,Hshldprojections2014!$A$2:$AY$326,45,FALSE)-VLOOKUP($A281,Hshldprojections2014!$A$2:$AY$326,35,FALSE))/10,IF(IndividualLATest!$J$7=2016,(VLOOKUP($A281,Hshldprojections2016!$A$1:$AQ$322,35,FALSE)-VLOOKUP($A281,Hshldprojections2016!$A$1:$AQ$322,25,FALSE))/10,(VLOOKUP($A281,Hshldprojections2018!$A$1:$AQ$327,35,FALSE)-VLOOKUP($A281,Hshldprojections2018!$A$1:$AQ$327,25,FALSE))/10))</f>
        <v>302.60000000000002</v>
      </c>
      <c r="AG281" s="267">
        <f>IF(IndividualLATest!$J$7=2014,(VLOOKUP($A281,Hshldprojections2014!$A$2:$AY$326,46,FALSE)-VLOOKUP($A281,Hshldprojections2014!$A$2:$AY$326,36,FALSE))/10,IF(IndividualLATest!$J$7=2016,(VLOOKUP($A281,Hshldprojections2016!$A$1:$AQ$322,36,FALSE)-VLOOKUP($A281,Hshldprojections2016!$A$1:$AQ$322,26,FALSE))/10,(VLOOKUP($A281,Hshldprojections2018!$A$1:$AQ$327,36,FALSE)-VLOOKUP($A281,Hshldprojections2018!$A$1:$AQ$327,26,FALSE))/10))</f>
        <v>295.60000000000002</v>
      </c>
      <c r="AH281" s="267">
        <f>IF(IndividualLATest!$J$7=2014,(VLOOKUP($A281,Hshldprojections2014!$A$2:$AY$326,47,FALSE)-VLOOKUP($A281,Hshldprojections2014!$A$2:$AY$326,37,FALSE))/10,IF(IndividualLATest!$J$7=2016,(VLOOKUP($A281,Hshldprojections2016!$A$1:$AQ$322,37,FALSE)-VLOOKUP($A281,Hshldprojections2016!$A$1:$AQ$322,27,FALSE))/10,(VLOOKUP($A281,Hshldprojections2018!$A$1:$AQ$327,37,FALSE)-VLOOKUP($A281,Hshldprojections2018!$A$1:$AQ$327,27,FALSE))/10))</f>
        <v>287</v>
      </c>
      <c r="AI281" s="268">
        <f>IF(ISNUMBER('Sensitivity Tests'!$C$30),'Sensitivity Tests'!$C$30,VLOOKUP($A281,AffordabilityRatio!$A$2:$I$321,5,FALSE))</f>
        <v>9.4499999999999993</v>
      </c>
      <c r="AJ281" s="268">
        <f>IF(ISNUMBER('Sensitivity Tests'!$C$30),'Sensitivity Tests'!$C$30,VLOOKUP($A281,AffordabilityRatio!$A$2:$I$321,6,FALSE))</f>
        <v>9.76</v>
      </c>
      <c r="AK281" s="268">
        <f>IF(ISNUMBER('Sensitivity Tests'!$C$30),'Sensitivity Tests'!$C$30,VLOOKUP($A281,AffordabilityRatio!$A$2:$I$321,7,FALSE))</f>
        <v>9.48</v>
      </c>
      <c r="AL281" s="268">
        <f>IF(ISNUMBER('Sensitivity Tests'!$C$30),'Sensitivity Tests'!$C$30,IF((VLOOKUP($A281,AffordabilityRatio!$A$2:$I$321,8,FALSE))="",AK281,VLOOKUP($A281,AffordabilityRatio!$A$2:$I$321,8,FALSE)))</f>
        <v>9.17</v>
      </c>
      <c r="AM281" s="268">
        <f>IF(ISNUMBER('Sensitivity Tests'!$C$30),'Sensitivity Tests'!$C$30,IF((VLOOKUP($A281,AffordabilityRatio!$A$2:$I$321,9,FALSE))="",AL281,VLOOKUP($A281,AffordabilityRatio!$A$2:$I$321,9,FALSE)))</f>
        <v>10.34</v>
      </c>
      <c r="AN281" s="268">
        <f>IF(ISNUMBER('Sensitivity Tests'!$C$30),'Sensitivity Tests'!$C$30,IF((VLOOKUP($A281,AffordabilityRatio!$A$2:$I$321,9,FALSE))="",AM281,VLOOKUP($A281,AffordabilityRatio!$A$2:$I$321,9,FALSE)))</f>
        <v>10.34</v>
      </c>
      <c r="AO281" s="268">
        <f>IF(ISNUMBER('Sensitivity Tests'!$C$30),'Sensitivity Tests'!$C$30,IF((VLOOKUP($A281,AffordabilityRatio!$A$2:$I$321,9,FALSE))="",AN281,VLOOKUP($A281,AffordabilityRatio!$A$2:$I$321,9,FALSE)))</f>
        <v>10.34</v>
      </c>
      <c r="AP281" s="268">
        <f>IF(ISNUMBER('Sensitivity Tests'!$C$30),'Sensitivity Tests'!$C$30,IF((VLOOKUP($A281,AffordabilityRatio!$A$2:$I$321,9,FALSE))="",AO281,VLOOKUP($A281,AffordabilityRatio!$A$2:$I$321,9,FALSE)))</f>
        <v>10.34</v>
      </c>
      <c r="AQ281" s="267">
        <f t="shared" si="243"/>
        <v>431</v>
      </c>
      <c r="AR281" s="267">
        <f t="shared" si="243"/>
        <v>431</v>
      </c>
      <c r="AS281" s="267">
        <f t="shared" si="243"/>
        <v>419</v>
      </c>
      <c r="AT281" s="267">
        <f t="shared" si="242"/>
        <v>423</v>
      </c>
      <c r="AU281" s="267">
        <f t="shared" si="242"/>
        <v>434</v>
      </c>
      <c r="AV281" s="267">
        <f t="shared" si="242"/>
        <v>423</v>
      </c>
      <c r="AW281" s="267">
        <f t="shared" si="242"/>
        <v>413</v>
      </c>
      <c r="AX281" s="267">
        <f t="shared" si="242"/>
        <v>401</v>
      </c>
      <c r="AY281" s="267">
        <f t="shared" si="218"/>
        <v>431</v>
      </c>
      <c r="AZ281" s="267">
        <f t="shared" si="219"/>
        <v>431</v>
      </c>
      <c r="BA281" s="267">
        <f t="shared" si="220"/>
        <v>419</v>
      </c>
      <c r="BB281" s="267">
        <f t="shared" si="221"/>
        <v>423</v>
      </c>
      <c r="BC281" s="267">
        <f t="shared" si="222"/>
        <v>434</v>
      </c>
      <c r="BD281" s="267">
        <f t="shared" si="223"/>
        <v>423</v>
      </c>
      <c r="BE281" s="267">
        <f t="shared" si="224"/>
        <v>413</v>
      </c>
      <c r="BF281" s="267">
        <f t="shared" si="225"/>
        <v>401</v>
      </c>
      <c r="BG281" s="269">
        <f>AY281*VLOOKUP($B281,'Major Cities &amp; Towns'!$A$28:$B$345,2,FALSE)</f>
        <v>431</v>
      </c>
      <c r="BH281" s="269">
        <f>AZ281*VLOOKUP($B281,'Major Cities &amp; Towns'!$A$28:$B$345,2,FALSE)</f>
        <v>431</v>
      </c>
      <c r="BI281" s="269">
        <f>BA281*VLOOKUP($B281,'Major Cities &amp; Towns'!$A$28:$B$345,2,FALSE)</f>
        <v>419</v>
      </c>
      <c r="BJ281" s="269">
        <f>BB281*VLOOKUP($B281,'Major Cities &amp; Towns'!$A$28:$B$345,2,FALSE)</f>
        <v>423</v>
      </c>
      <c r="BK281" s="269">
        <f>BC281*VLOOKUP($B281,'Major Cities &amp; Towns'!$A$28:$B$345,2,FALSE)</f>
        <v>434</v>
      </c>
      <c r="BL281" s="269">
        <f>BD281*VLOOKUP($B281,'Major Cities &amp; Towns'!$A$28:$B$345,2,FALSE)</f>
        <v>423</v>
      </c>
      <c r="BM281" s="269">
        <f>BE281*VLOOKUP($B281,'Major Cities &amp; Towns'!$A$28:$B$345,2,FALSE)</f>
        <v>413</v>
      </c>
      <c r="BN281" s="269">
        <f>BF281*VLOOKUP($B281,'Major Cities &amp; Towns'!$A$28:$B$345,2,FALSE)</f>
        <v>401</v>
      </c>
      <c r="BO281" s="270">
        <f t="shared" si="226"/>
        <v>431</v>
      </c>
      <c r="BP281" s="270">
        <f t="shared" si="201"/>
        <v>431</v>
      </c>
      <c r="BQ281" s="270">
        <f t="shared" si="201"/>
        <v>419</v>
      </c>
      <c r="BR281" s="270">
        <f t="shared" si="201"/>
        <v>423</v>
      </c>
      <c r="BS281" s="270">
        <f t="shared" si="200"/>
        <v>434</v>
      </c>
      <c r="BT281" s="270">
        <f t="shared" si="200"/>
        <v>423</v>
      </c>
      <c r="BU281" s="270">
        <f t="shared" si="200"/>
        <v>413</v>
      </c>
      <c r="BV281" s="270">
        <f t="shared" si="200"/>
        <v>401</v>
      </c>
      <c r="BW281" s="39">
        <f>VLOOKUP($A281,NetAdditions!$A$2:$H$336,6,FALSE)</f>
        <v>260</v>
      </c>
      <c r="BX281" s="39">
        <f>VLOOKUP($A281,NetAdditions!$A$2:$H$336,7,FALSE)</f>
        <v>280</v>
      </c>
      <c r="BY281" s="39">
        <f>IF((VLOOKUP($C281,NetAdditions!$A$2:$H$336,8,FALSE))="",(AVERAGE(VLOOKUP($C281,NetAdditions!$A$2:$H$336,5,FALSE),VLOOKUP($C281,NetAdditions!$A$2:$H$336,6,FALSE),VLOOKUP($C281,NetAdditions!$A$2:$H$336,7,FALSE))),VLOOKUP($C281,NetAdditions!$A$2:$H$336,8,FALSE))</f>
        <v>130</v>
      </c>
      <c r="BZ281" s="39">
        <f t="shared" si="244"/>
        <v>223.33333333333334</v>
      </c>
      <c r="CA281" s="39">
        <f t="shared" si="244"/>
        <v>211.11111111111111</v>
      </c>
      <c r="CB281" s="39">
        <f t="shared" si="244"/>
        <v>188.14814814814815</v>
      </c>
      <c r="CC281" s="39">
        <f t="shared" si="244"/>
        <v>207.53086419753086</v>
      </c>
      <c r="CD281" s="39">
        <f t="shared" si="244"/>
        <v>202.2633744855967</v>
      </c>
      <c r="CE281" s="276">
        <f t="shared" si="202"/>
        <v>1281</v>
      </c>
      <c r="CF281" s="276">
        <f t="shared" si="203"/>
        <v>1273</v>
      </c>
      <c r="CG281" s="276">
        <f t="shared" si="204"/>
        <v>1276</v>
      </c>
      <c r="CH281" s="276">
        <f t="shared" si="205"/>
        <v>1280</v>
      </c>
      <c r="CI281" s="276">
        <f t="shared" si="206"/>
        <v>1270</v>
      </c>
      <c r="CJ281" s="276">
        <f t="shared" si="207"/>
        <v>1237</v>
      </c>
      <c r="CK281" s="276">
        <f t="shared" si="227"/>
        <v>1103.0833333333335</v>
      </c>
      <c r="CL281" s="276">
        <f t="shared" si="228"/>
        <v>1096.1944444444446</v>
      </c>
      <c r="CM281" s="276">
        <f t="shared" si="229"/>
        <v>1169.6666666666665</v>
      </c>
      <c r="CN281" s="276">
        <f t="shared" si="230"/>
        <v>1280</v>
      </c>
      <c r="CO281" s="276">
        <f t="shared" si="230"/>
        <v>1270</v>
      </c>
      <c r="CP281" s="276">
        <f t="shared" si="230"/>
        <v>1237</v>
      </c>
      <c r="CQ281" s="39">
        <f t="shared" si="208"/>
        <v>670</v>
      </c>
      <c r="CR281" s="39">
        <f t="shared" si="209"/>
        <v>633.33333333333337</v>
      </c>
      <c r="CS281" s="277">
        <f t="shared" si="210"/>
        <v>564.44444444444446</v>
      </c>
      <c r="CT281" s="39">
        <f t="shared" si="211"/>
        <v>622.59259259259261</v>
      </c>
      <c r="CU281" s="39">
        <f t="shared" si="212"/>
        <v>606.79012345679007</v>
      </c>
      <c r="CV281" s="39">
        <f t="shared" si="213"/>
        <v>597.94238683127571</v>
      </c>
      <c r="CW281" s="297">
        <f t="shared" si="214"/>
        <v>0.60738838105310866</v>
      </c>
      <c r="CX281" s="279" t="str">
        <f t="shared" si="231"/>
        <v>Buffer and Action Plan</v>
      </c>
      <c r="CY281" s="278">
        <f t="shared" si="215"/>
        <v>0.57775637939335578</v>
      </c>
      <c r="CZ281" s="279" t="str">
        <f t="shared" si="232"/>
        <v>Buffer and Action Plan</v>
      </c>
      <c r="DA281" s="278">
        <f t="shared" si="216"/>
        <v>0.48256863303885256</v>
      </c>
      <c r="DB281" s="292" t="str">
        <f t="shared" si="233"/>
        <v>Presumption</v>
      </c>
      <c r="DC281" s="299">
        <f t="shared" si="234"/>
        <v>0.48640046296296297</v>
      </c>
      <c r="DD281" s="293" t="str">
        <f t="shared" si="235"/>
        <v>Presumption</v>
      </c>
      <c r="DE281" s="299">
        <f t="shared" si="236"/>
        <v>0.47778749878487409</v>
      </c>
      <c r="DF281" s="293" t="str">
        <f t="shared" si="237"/>
        <v>Presumption</v>
      </c>
      <c r="DG281" s="299">
        <f t="shared" si="238"/>
        <v>0.48338107262027141</v>
      </c>
      <c r="DH281" s="293" t="str">
        <f t="shared" si="239"/>
        <v>Presumption</v>
      </c>
    </row>
    <row r="282" spans="1:112" customFormat="1" ht="15.5" thickTop="1" thickBot="1">
      <c r="A282" s="3" t="s">
        <v>674</v>
      </c>
      <c r="B282" s="3" t="s">
        <v>675</v>
      </c>
      <c r="C282" s="3" t="s">
        <v>674</v>
      </c>
      <c r="D282" s="3" t="s">
        <v>131</v>
      </c>
      <c r="E282" s="3" t="str">
        <f>VLOOKUP(C282,PoliticalControl!A:K,11,FALSE)</f>
        <v>LAB</v>
      </c>
      <c r="F282" s="3" t="str">
        <f>VLOOKUP(C282,UrbanRuralClassification!A:N,13,FALSE)</f>
        <v>Urban with Major Conurbation</v>
      </c>
      <c r="G282" s="3" t="str">
        <f>VLOOKUP(C282,UrbanRuralClassification!A:N,14,FALSE)</f>
        <v>Predominantly Urban</v>
      </c>
      <c r="H282" s="262">
        <f>IF(ISBLANK((VLOOKUP($A282,'local-plan-data'!$C$1:$AD$566,27,FALSE)))=TRUE,"",VLOOKUP($A282,'local-plan-data'!$C$1:$AD$566,27,FALSE))</f>
        <v>43845</v>
      </c>
      <c r="I282" s="263">
        <f>VLOOKUP($A282,'local-plan-data'!$C$1:$AD$566,28,FALSE)</f>
        <v>3931</v>
      </c>
      <c r="J282" s="264">
        <f t="shared" si="217"/>
        <v>3931</v>
      </c>
      <c r="K282" s="259">
        <f t="shared" si="240"/>
        <v>3931</v>
      </c>
      <c r="L282" s="259">
        <f t="shared" si="240"/>
        <v>3931</v>
      </c>
      <c r="M282" s="259">
        <f t="shared" si="240"/>
        <v>3931</v>
      </c>
      <c r="N282" s="259">
        <f t="shared" si="240"/>
        <v>3931</v>
      </c>
      <c r="O282" s="259">
        <f t="shared" si="240"/>
        <v>3931</v>
      </c>
      <c r="P282" s="259">
        <f t="shared" si="240"/>
        <v>3931</v>
      </c>
      <c r="Q282" s="259">
        <f t="shared" si="240"/>
        <v>3931</v>
      </c>
      <c r="R282" s="259" t="str">
        <f t="shared" si="240"/>
        <v>-</v>
      </c>
      <c r="S282" s="259">
        <f t="shared" si="241"/>
        <v>2481</v>
      </c>
      <c r="T282" s="259">
        <f t="shared" si="241"/>
        <v>2116</v>
      </c>
      <c r="U282" s="259">
        <f t="shared" si="241"/>
        <v>1750</v>
      </c>
      <c r="V282" s="259">
        <f t="shared" si="241"/>
        <v>1385</v>
      </c>
      <c r="W282" s="259">
        <f t="shared" si="241"/>
        <v>1020</v>
      </c>
      <c r="X282" s="259">
        <f t="shared" si="241"/>
        <v>655</v>
      </c>
      <c r="Y282" s="259">
        <f t="shared" si="241"/>
        <v>289</v>
      </c>
      <c r="Z282" s="259">
        <f t="shared" si="241"/>
        <v>-76</v>
      </c>
      <c r="AA282" s="267">
        <f>(VLOOKUP(A282,Hshldprojections2014!$A$2:$AW$319,40, FALSE)-VLOOKUP(A282,Hshldprojections2014!$A$2:$AW$319,30, FALSE))/10</f>
        <v>3388.2</v>
      </c>
      <c r="AB282" s="267">
        <f>(VLOOKUP(A282,Hshldprojections2014!$A$2:$AW$319,41, FALSE)-VLOOKUP(A282,Hshldprojections2014!$A$2:$AW$319,31, FALSE))/10</f>
        <v>3312</v>
      </c>
      <c r="AC282" s="267">
        <f>(VLOOKUP(A282,Hshldprojections2014!$A$2:$AW$319,42, FALSE)-VLOOKUP(A282,Hshldprojections2014!$A$2:$AW$319,32, FALSE))/10</f>
        <v>3241.6</v>
      </c>
      <c r="AD282" s="267">
        <f>IF(IndividualLATest!$J$7=2014,(VLOOKUP($A282,Hshldprojections2014!$A$2:$AY$326,43,FALSE)-VLOOKUP($A282,Hshldprojections2014!$A$2:$AY$326,33,FALSE))/10,IF(IndividualLATest!$J$7=2016,(VLOOKUP($A282,Hshldprojections2016!$A$1:$AQ$322,33,FALSE)-VLOOKUP($A282,Hshldprojections2016!$A$1:$AQ$322,23,FALSE))/10,(VLOOKUP($A282,Hshldprojections2018!$A$1:$AQ$327,33,FALSE)-VLOOKUP($A282,Hshldprojections2018!$A$1:$AQ$327,23,FALSE))/10))</f>
        <v>2406.8000000000002</v>
      </c>
      <c r="AE282" s="267">
        <f>IF(IndividualLATest!$J$7=2014,(VLOOKUP($A282,Hshldprojections2014!$A$2:$AY$326,44,FALSE)-VLOOKUP($A282,Hshldprojections2014!$A$2:$AY$326,34,FALSE))/10,IF(IndividualLATest!$J$7=2016,(VLOOKUP($A282,Hshldprojections2016!$A$1:$AQ$322,34,FALSE)-VLOOKUP($A282,Hshldprojections2016!$A$1:$AQ$322,24,FALSE))/10,(VLOOKUP($A282,Hshldprojections2018!$A$1:$AQ$327,34,FALSE)-VLOOKUP($A282,Hshldprojections2018!$A$1:$AQ$327,24,FALSE))/10))</f>
        <v>2315.8000000000002</v>
      </c>
      <c r="AF282" s="267">
        <f>IF(IndividualLATest!$J$7=2014,(VLOOKUP($A282,Hshldprojections2014!$A$2:$AY$326,45,FALSE)-VLOOKUP($A282,Hshldprojections2014!$A$2:$AY$326,35,FALSE))/10,IF(IndividualLATest!$J$7=2016,(VLOOKUP($A282,Hshldprojections2016!$A$1:$AQ$322,35,FALSE)-VLOOKUP($A282,Hshldprojections2016!$A$1:$AQ$322,25,FALSE))/10,(VLOOKUP($A282,Hshldprojections2018!$A$1:$AQ$327,35,FALSE)-VLOOKUP($A282,Hshldprojections2018!$A$1:$AQ$327,25,FALSE))/10))</f>
        <v>2243.6</v>
      </c>
      <c r="AG282" s="267">
        <f>IF(IndividualLATest!$J$7=2014,(VLOOKUP($A282,Hshldprojections2014!$A$2:$AY$326,46,FALSE)-VLOOKUP($A282,Hshldprojections2014!$A$2:$AY$326,36,FALSE))/10,IF(IndividualLATest!$J$7=2016,(VLOOKUP($A282,Hshldprojections2016!$A$1:$AQ$322,36,FALSE)-VLOOKUP($A282,Hshldprojections2016!$A$1:$AQ$322,26,FALSE))/10,(VLOOKUP($A282,Hshldprojections2018!$A$1:$AQ$327,36,FALSE)-VLOOKUP($A282,Hshldprojections2018!$A$1:$AQ$327,26,FALSE))/10))</f>
        <v>2184.3000000000002</v>
      </c>
      <c r="AH282" s="267">
        <f>IF(IndividualLATest!$J$7=2014,(VLOOKUP($A282,Hshldprojections2014!$A$2:$AY$326,47,FALSE)-VLOOKUP($A282,Hshldprojections2014!$A$2:$AY$326,37,FALSE))/10,IF(IndividualLATest!$J$7=2016,(VLOOKUP($A282,Hshldprojections2016!$A$1:$AQ$322,37,FALSE)-VLOOKUP($A282,Hshldprojections2016!$A$1:$AQ$322,27,FALSE))/10,(VLOOKUP($A282,Hshldprojections2018!$A$1:$AQ$327,37,FALSE)-VLOOKUP($A282,Hshldprojections2018!$A$1:$AQ$327,27,FALSE))/10))</f>
        <v>2137.3000000000002</v>
      </c>
      <c r="AI282" s="268">
        <f>IF(ISNUMBER('Sensitivity Tests'!$C$30),'Sensitivity Tests'!$C$30,VLOOKUP($A282,AffordabilityRatio!$A$2:$I$321,5,FALSE))</f>
        <v>9.82</v>
      </c>
      <c r="AJ282" s="268">
        <f>IF(ISNUMBER('Sensitivity Tests'!$C$30),'Sensitivity Tests'!$C$30,VLOOKUP($A282,AffordabilityRatio!$A$2:$I$321,6,FALSE))</f>
        <v>9.85</v>
      </c>
      <c r="AK282" s="268">
        <f>IF(ISNUMBER('Sensitivity Tests'!$C$30),'Sensitivity Tests'!$C$30,VLOOKUP($A282,AffordabilityRatio!$A$2:$I$321,7,FALSE))</f>
        <v>10.67</v>
      </c>
      <c r="AL282" s="268">
        <f>IF(ISNUMBER('Sensitivity Tests'!$C$30),'Sensitivity Tests'!$C$30,IF((VLOOKUP($A282,AffordabilityRatio!$A$2:$I$321,8,FALSE))="",AK282,VLOOKUP($A282,AffordabilityRatio!$A$2:$I$321,8,FALSE)))</f>
        <v>10.210000000000001</v>
      </c>
      <c r="AM282" s="268">
        <f>IF(ISNUMBER('Sensitivity Tests'!$C$30),'Sensitivity Tests'!$C$30,IF((VLOOKUP($A282,AffordabilityRatio!$A$2:$I$321,9,FALSE))="",AL282,VLOOKUP($A282,AffordabilityRatio!$A$2:$I$321,9,FALSE)))</f>
        <v>11</v>
      </c>
      <c r="AN282" s="268">
        <f>IF(ISNUMBER('Sensitivity Tests'!$C$30),'Sensitivity Tests'!$C$30,IF((VLOOKUP($A282,AffordabilityRatio!$A$2:$I$321,9,FALSE))="",AM282,VLOOKUP($A282,AffordabilityRatio!$A$2:$I$321,9,FALSE)))</f>
        <v>11</v>
      </c>
      <c r="AO282" s="268">
        <f>IF(ISNUMBER('Sensitivity Tests'!$C$30),'Sensitivity Tests'!$C$30,IF((VLOOKUP($A282,AffordabilityRatio!$A$2:$I$321,9,FALSE))="",AN282,VLOOKUP($A282,AffordabilityRatio!$A$2:$I$321,9,FALSE)))</f>
        <v>11</v>
      </c>
      <c r="AP282" s="268">
        <f>IF(ISNUMBER('Sensitivity Tests'!$C$30),'Sensitivity Tests'!$C$30,IF((VLOOKUP($A282,AffordabilityRatio!$A$2:$I$321,9,FALSE))="",AO282,VLOOKUP($A282,AffordabilityRatio!$A$2:$I$321,9,FALSE)))</f>
        <v>11</v>
      </c>
      <c r="AQ282" s="267">
        <f t="shared" si="243"/>
        <v>4621</v>
      </c>
      <c r="AR282" s="267">
        <f t="shared" si="243"/>
        <v>4523</v>
      </c>
      <c r="AS282" s="267">
        <f t="shared" si="243"/>
        <v>4593</v>
      </c>
      <c r="AT282" s="267">
        <f t="shared" si="242"/>
        <v>3341</v>
      </c>
      <c r="AU282" s="267">
        <f t="shared" si="242"/>
        <v>3329</v>
      </c>
      <c r="AV282" s="267">
        <f t="shared" si="242"/>
        <v>3225</v>
      </c>
      <c r="AW282" s="267">
        <f t="shared" si="242"/>
        <v>3140</v>
      </c>
      <c r="AX282" s="267">
        <f t="shared" si="242"/>
        <v>3072</v>
      </c>
      <c r="AY282" s="267">
        <f t="shared" si="218"/>
        <v>4621</v>
      </c>
      <c r="AZ282" s="267">
        <f t="shared" si="219"/>
        <v>4523</v>
      </c>
      <c r="BA282" s="267">
        <f t="shared" si="220"/>
        <v>4593</v>
      </c>
      <c r="BB282" s="267">
        <f t="shared" si="221"/>
        <v>3341</v>
      </c>
      <c r="BC282" s="267">
        <f t="shared" si="222"/>
        <v>3329</v>
      </c>
      <c r="BD282" s="267">
        <f t="shared" si="223"/>
        <v>3225</v>
      </c>
      <c r="BE282" s="267">
        <f t="shared" si="224"/>
        <v>3140</v>
      </c>
      <c r="BF282" s="267">
        <f t="shared" si="225"/>
        <v>3072</v>
      </c>
      <c r="BG282" s="269">
        <f>AY282*VLOOKUP($B282,'Major Cities &amp; Towns'!$A$28:$B$345,2,FALSE)</f>
        <v>6238.35</v>
      </c>
      <c r="BH282" s="269">
        <f>AZ282*VLOOKUP($B282,'Major Cities &amp; Towns'!$A$28:$B$345,2,FALSE)</f>
        <v>6106.05</v>
      </c>
      <c r="BI282" s="269">
        <f>BA282*VLOOKUP($B282,'Major Cities &amp; Towns'!$A$28:$B$345,2,FALSE)</f>
        <v>6200.55</v>
      </c>
      <c r="BJ282" s="269">
        <f>BB282*VLOOKUP($B282,'Major Cities &amp; Towns'!$A$28:$B$345,2,FALSE)</f>
        <v>4510.3500000000004</v>
      </c>
      <c r="BK282" s="269">
        <f>BC282*VLOOKUP($B282,'Major Cities &amp; Towns'!$A$28:$B$345,2,FALSE)</f>
        <v>4494.1500000000005</v>
      </c>
      <c r="BL282" s="269">
        <f>BD282*VLOOKUP($B282,'Major Cities &amp; Towns'!$A$28:$B$345,2,FALSE)</f>
        <v>4353.75</v>
      </c>
      <c r="BM282" s="269">
        <f>BE282*VLOOKUP($B282,'Major Cities &amp; Towns'!$A$28:$B$345,2,FALSE)</f>
        <v>4239</v>
      </c>
      <c r="BN282" s="269">
        <f>BF282*VLOOKUP($B282,'Major Cities &amp; Towns'!$A$28:$B$345,2,FALSE)</f>
        <v>4147.2000000000007</v>
      </c>
      <c r="BO282" s="270">
        <f t="shared" si="226"/>
        <v>3931</v>
      </c>
      <c r="BP282" s="270">
        <f t="shared" si="201"/>
        <v>3931</v>
      </c>
      <c r="BQ282" s="270">
        <f t="shared" si="201"/>
        <v>3931</v>
      </c>
      <c r="BR282" s="270">
        <f t="shared" si="201"/>
        <v>3341</v>
      </c>
      <c r="BS282" s="270">
        <f t="shared" si="200"/>
        <v>3329</v>
      </c>
      <c r="BT282" s="270">
        <f t="shared" si="200"/>
        <v>3225</v>
      </c>
      <c r="BU282" s="270">
        <f t="shared" si="200"/>
        <v>3766.298630136986</v>
      </c>
      <c r="BV282" s="270">
        <f t="shared" si="200"/>
        <v>3072</v>
      </c>
      <c r="BW282" s="39">
        <f>VLOOKUP($A282,NetAdditions!$A$2:$H$336,6,FALSE)</f>
        <v>1524</v>
      </c>
      <c r="BX282" s="39">
        <f>VLOOKUP($A282,NetAdditions!$A$2:$H$336,7,FALSE)</f>
        <v>4564</v>
      </c>
      <c r="BY282" s="39">
        <f>IF((VLOOKUP($C282,NetAdditions!$A$2:$H$336,8,FALSE))="",(AVERAGE(VLOOKUP($C282,NetAdditions!$A$2:$H$336,5,FALSE),VLOOKUP($C282,NetAdditions!$A$2:$H$336,6,FALSE),VLOOKUP($C282,NetAdditions!$A$2:$H$336,7,FALSE))),VLOOKUP($C282,NetAdditions!$A$2:$H$336,8,FALSE))</f>
        <v>3248</v>
      </c>
      <c r="BZ282" s="39">
        <f t="shared" si="244"/>
        <v>3112</v>
      </c>
      <c r="CA282" s="39">
        <f t="shared" si="244"/>
        <v>3641.3333333333335</v>
      </c>
      <c r="CB282" s="39">
        <f t="shared" si="244"/>
        <v>3333.7777777777778</v>
      </c>
      <c r="CC282" s="39">
        <f t="shared" si="244"/>
        <v>3362.3703703703704</v>
      </c>
      <c r="CD282" s="39">
        <f t="shared" si="244"/>
        <v>3445.8271604938273</v>
      </c>
      <c r="CE282" s="276">
        <f t="shared" si="202"/>
        <v>11793</v>
      </c>
      <c r="CF282" s="276">
        <f t="shared" si="203"/>
        <v>11203</v>
      </c>
      <c r="CG282" s="276">
        <f t="shared" si="204"/>
        <v>10601</v>
      </c>
      <c r="CH282" s="276">
        <f t="shared" si="205"/>
        <v>9895</v>
      </c>
      <c r="CI282" s="276">
        <f t="shared" si="206"/>
        <v>10320.298630136986</v>
      </c>
      <c r="CJ282" s="276">
        <f t="shared" si="207"/>
        <v>10063.298630136986</v>
      </c>
      <c r="CK282" s="276">
        <f t="shared" si="227"/>
        <v>10155.083333333334</v>
      </c>
      <c r="CL282" s="276">
        <f t="shared" si="228"/>
        <v>9647.0277777777792</v>
      </c>
      <c r="CM282" s="276">
        <f t="shared" si="229"/>
        <v>9717.5833333333321</v>
      </c>
      <c r="CN282" s="276">
        <f t="shared" si="230"/>
        <v>9895</v>
      </c>
      <c r="CO282" s="276">
        <f t="shared" si="230"/>
        <v>10320.298630136986</v>
      </c>
      <c r="CP282" s="276">
        <f t="shared" si="230"/>
        <v>10063.298630136986</v>
      </c>
      <c r="CQ282" s="39">
        <f t="shared" si="208"/>
        <v>9336</v>
      </c>
      <c r="CR282" s="39">
        <f t="shared" si="209"/>
        <v>10924</v>
      </c>
      <c r="CS282" s="277">
        <f t="shared" si="210"/>
        <v>10001.333333333334</v>
      </c>
      <c r="CT282" s="39">
        <f t="shared" si="211"/>
        <v>10087.111111111111</v>
      </c>
      <c r="CU282" s="39">
        <f t="shared" si="212"/>
        <v>10337.481481481482</v>
      </c>
      <c r="CV282" s="39">
        <f t="shared" si="213"/>
        <v>10141.975308641975</v>
      </c>
      <c r="CW282" s="297">
        <f t="shared" si="214"/>
        <v>0.91934252960340057</v>
      </c>
      <c r="CX282" s="279" t="str">
        <f t="shared" si="231"/>
        <v>Action Plan</v>
      </c>
      <c r="CY282" s="278">
        <f t="shared" si="215"/>
        <v>1.1323694978015679</v>
      </c>
      <c r="CZ282" s="279" t="str">
        <f t="shared" si="232"/>
        <v>Pass</v>
      </c>
      <c r="DA282" s="278">
        <f t="shared" si="216"/>
        <v>1.0291996466885631</v>
      </c>
      <c r="DB282" s="292" t="str">
        <f t="shared" si="233"/>
        <v>Pass</v>
      </c>
      <c r="DC282" s="299">
        <f t="shared" si="234"/>
        <v>1.0194149682780305</v>
      </c>
      <c r="DD282" s="293" t="str">
        <f t="shared" si="235"/>
        <v>Pass</v>
      </c>
      <c r="DE282" s="299">
        <f t="shared" si="236"/>
        <v>1.0016649567963392</v>
      </c>
      <c r="DF282" s="293" t="str">
        <f t="shared" si="237"/>
        <v>Pass</v>
      </c>
      <c r="DG282" s="299">
        <f t="shared" si="238"/>
        <v>1.0078181798430759</v>
      </c>
      <c r="DH282" s="293" t="str">
        <f t="shared" si="239"/>
        <v>Pass</v>
      </c>
    </row>
    <row r="283" spans="1:112" ht="15" thickTop="1" thickBot="1">
      <c r="A283" s="38" t="s">
        <v>676</v>
      </c>
      <c r="B283" s="38" t="s">
        <v>677</v>
      </c>
      <c r="C283" s="38" t="s">
        <v>676</v>
      </c>
      <c r="D283" s="38" t="s">
        <v>116</v>
      </c>
      <c r="E283" s="38" t="str">
        <f>VLOOKUP(C283,PoliticalControl!A:K,11,FALSE)</f>
        <v>LAB</v>
      </c>
      <c r="F283" s="38" t="str">
        <f>VLOOKUP(C283,UrbanRuralClassification!A:N,13,FALSE)</f>
        <v>Urban with Major Conurbation</v>
      </c>
      <c r="G283" s="38" t="str">
        <f>VLOOKUP(C283,UrbanRuralClassification!A:N,14,FALSE)</f>
        <v>Predominantly Urban</v>
      </c>
      <c r="H283" s="258">
        <f>IF(ISBLANK((VLOOKUP($A283,'local-plan-data'!$C$1:$AD$566,27,FALSE)))=TRUE,"",VLOOKUP($A283,'local-plan-data'!$C$1:$AD$566,27,FALSE))</f>
        <v>40933</v>
      </c>
      <c r="I283" s="259">
        <f>VLOOKUP($A283,'local-plan-data'!$C$1:$AD$566,28,FALSE)</f>
        <v>678.33333333333337</v>
      </c>
      <c r="J283" s="260">
        <f t="shared" si="217"/>
        <v>678.33333333333337</v>
      </c>
      <c r="K283" s="259" t="str">
        <f t="shared" si="240"/>
        <v>-</v>
      </c>
      <c r="L283" s="259" t="str">
        <f t="shared" si="240"/>
        <v>-</v>
      </c>
      <c r="M283" s="259" t="str">
        <f t="shared" si="240"/>
        <v>-</v>
      </c>
      <c r="N283" s="259" t="str">
        <f t="shared" si="240"/>
        <v>-</v>
      </c>
      <c r="O283" s="259" t="str">
        <f t="shared" si="240"/>
        <v>-</v>
      </c>
      <c r="P283" s="259" t="str">
        <f t="shared" si="240"/>
        <v>-</v>
      </c>
      <c r="Q283" s="259" t="str">
        <f t="shared" si="240"/>
        <v>-</v>
      </c>
      <c r="R283" s="259" t="str">
        <f t="shared" si="240"/>
        <v>-</v>
      </c>
      <c r="S283" s="259">
        <f t="shared" si="241"/>
        <v>-431</v>
      </c>
      <c r="T283" s="259">
        <f t="shared" si="241"/>
        <v>-796</v>
      </c>
      <c r="U283" s="259">
        <f t="shared" si="241"/>
        <v>-1162</v>
      </c>
      <c r="V283" s="259">
        <f t="shared" si="241"/>
        <v>-1527</v>
      </c>
      <c r="W283" s="259">
        <f t="shared" si="241"/>
        <v>-1892</v>
      </c>
      <c r="X283" s="259">
        <f t="shared" si="241"/>
        <v>-2257</v>
      </c>
      <c r="Y283" s="259">
        <f t="shared" si="241"/>
        <v>-2623</v>
      </c>
      <c r="Z283" s="259">
        <f t="shared" si="241"/>
        <v>-2988</v>
      </c>
      <c r="AA283" s="267">
        <f>(VLOOKUP(A283,Hshldprojections2014!$A$2:$AW$319,40, FALSE)-VLOOKUP(A283,Hshldprojections2014!$A$2:$AW$319,30, FALSE))/10</f>
        <v>1020.2</v>
      </c>
      <c r="AB283" s="267">
        <f>(VLOOKUP(A283,Hshldprojections2014!$A$2:$AW$319,41, FALSE)-VLOOKUP(A283,Hshldprojections2014!$A$2:$AW$319,31, FALSE))/10</f>
        <v>1016.8</v>
      </c>
      <c r="AC283" s="267">
        <f>(VLOOKUP(A283,Hshldprojections2014!$A$2:$AW$319,42, FALSE)-VLOOKUP(A283,Hshldprojections2014!$A$2:$AW$319,32, FALSE))/10</f>
        <v>1015</v>
      </c>
      <c r="AD283" s="267">
        <f>IF(IndividualLATest!$J$7=2014,(VLOOKUP($A283,Hshldprojections2014!$A$2:$AY$326,43,FALSE)-VLOOKUP($A283,Hshldprojections2014!$A$2:$AY$326,33,FALSE))/10,IF(IndividualLATest!$J$7=2016,(VLOOKUP($A283,Hshldprojections2016!$A$1:$AQ$322,33,FALSE)-VLOOKUP($A283,Hshldprojections2016!$A$1:$AQ$322,23,FALSE))/10,(VLOOKUP($A283,Hshldprojections2018!$A$1:$AQ$327,33,FALSE)-VLOOKUP($A283,Hshldprojections2018!$A$1:$AQ$327,23,FALSE))/10))</f>
        <v>587.9</v>
      </c>
      <c r="AE283" s="267">
        <f>IF(IndividualLATest!$J$7=2014,(VLOOKUP($A283,Hshldprojections2014!$A$2:$AY$326,44,FALSE)-VLOOKUP($A283,Hshldprojections2014!$A$2:$AY$326,34,FALSE))/10,IF(IndividualLATest!$J$7=2016,(VLOOKUP($A283,Hshldprojections2016!$A$1:$AQ$322,34,FALSE)-VLOOKUP($A283,Hshldprojections2016!$A$1:$AQ$322,24,FALSE))/10,(VLOOKUP($A283,Hshldprojections2018!$A$1:$AQ$327,34,FALSE)-VLOOKUP($A283,Hshldprojections2018!$A$1:$AQ$327,24,FALSE))/10))</f>
        <v>583.29999999999995</v>
      </c>
      <c r="AF283" s="267">
        <f>IF(IndividualLATest!$J$7=2014,(VLOOKUP($A283,Hshldprojections2014!$A$2:$AY$326,45,FALSE)-VLOOKUP($A283,Hshldprojections2014!$A$2:$AY$326,35,FALSE))/10,IF(IndividualLATest!$J$7=2016,(VLOOKUP($A283,Hshldprojections2016!$A$1:$AQ$322,35,FALSE)-VLOOKUP($A283,Hshldprojections2016!$A$1:$AQ$322,25,FALSE))/10,(VLOOKUP($A283,Hshldprojections2018!$A$1:$AQ$327,35,FALSE)-VLOOKUP($A283,Hshldprojections2018!$A$1:$AQ$327,25,FALSE))/10))</f>
        <v>579.4</v>
      </c>
      <c r="AG283" s="267">
        <f>IF(IndividualLATest!$J$7=2014,(VLOOKUP($A283,Hshldprojections2014!$A$2:$AY$326,46,FALSE)-VLOOKUP($A283,Hshldprojections2014!$A$2:$AY$326,36,FALSE))/10,IF(IndividualLATest!$J$7=2016,(VLOOKUP($A283,Hshldprojections2016!$A$1:$AQ$322,36,FALSE)-VLOOKUP($A283,Hshldprojections2016!$A$1:$AQ$322,26,FALSE))/10,(VLOOKUP($A283,Hshldprojections2018!$A$1:$AQ$327,36,FALSE)-VLOOKUP($A283,Hshldprojections2018!$A$1:$AQ$327,26,FALSE))/10))</f>
        <v>575.29999999999995</v>
      </c>
      <c r="AH283" s="267">
        <f>IF(IndividualLATest!$J$7=2014,(VLOOKUP($A283,Hshldprojections2014!$A$2:$AY$326,47,FALSE)-VLOOKUP($A283,Hshldprojections2014!$A$2:$AY$326,37,FALSE))/10,IF(IndividualLATest!$J$7=2016,(VLOOKUP($A283,Hshldprojections2016!$A$1:$AQ$322,37,FALSE)-VLOOKUP($A283,Hshldprojections2016!$A$1:$AQ$322,27,FALSE))/10,(VLOOKUP($A283,Hshldprojections2018!$A$1:$AQ$327,37,FALSE)-VLOOKUP($A283,Hshldprojections2018!$A$1:$AQ$327,27,FALSE))/10))</f>
        <v>573.9</v>
      </c>
      <c r="AI283" s="268">
        <f>IF(ISNUMBER('Sensitivity Tests'!$C$30),'Sensitivity Tests'!$C$30,VLOOKUP($A283,AffordabilityRatio!$A$2:$I$321,5,FALSE))</f>
        <v>8.9499999999999993</v>
      </c>
      <c r="AJ283" s="268">
        <f>IF(ISNUMBER('Sensitivity Tests'!$C$30),'Sensitivity Tests'!$C$30,VLOOKUP($A283,AffordabilityRatio!$A$2:$I$321,6,FALSE))</f>
        <v>9.2799999999999994</v>
      </c>
      <c r="AK283" s="268">
        <f>IF(ISNUMBER('Sensitivity Tests'!$C$30),'Sensitivity Tests'!$C$30,VLOOKUP($A283,AffordabilityRatio!$A$2:$I$321,7,FALSE))</f>
        <v>9.43</v>
      </c>
      <c r="AL283" s="268">
        <f>IF(ISNUMBER('Sensitivity Tests'!$C$30),'Sensitivity Tests'!$C$30,IF((VLOOKUP($A283,AffordabilityRatio!$A$2:$I$321,8,FALSE))="",AK283,VLOOKUP($A283,AffordabilityRatio!$A$2:$I$321,8,FALSE)))</f>
        <v>9.51</v>
      </c>
      <c r="AM283" s="268">
        <f>IF(ISNUMBER('Sensitivity Tests'!$C$30),'Sensitivity Tests'!$C$30,IF((VLOOKUP($A283,AffordabilityRatio!$A$2:$I$321,9,FALSE))="",AL283,VLOOKUP($A283,AffordabilityRatio!$A$2:$I$321,9,FALSE)))</f>
        <v>10.3</v>
      </c>
      <c r="AN283" s="268">
        <f>IF(ISNUMBER('Sensitivity Tests'!$C$30),'Sensitivity Tests'!$C$30,IF((VLOOKUP($A283,AffordabilityRatio!$A$2:$I$321,9,FALSE))="",AM283,VLOOKUP($A283,AffordabilityRatio!$A$2:$I$321,9,FALSE)))</f>
        <v>10.3</v>
      </c>
      <c r="AO283" s="268">
        <f>IF(ISNUMBER('Sensitivity Tests'!$C$30),'Sensitivity Tests'!$C$30,IF((VLOOKUP($A283,AffordabilityRatio!$A$2:$I$321,9,FALSE))="",AN283,VLOOKUP($A283,AffordabilityRatio!$A$2:$I$321,9,FALSE)))</f>
        <v>10.3</v>
      </c>
      <c r="AP283" s="268">
        <f>IF(ISNUMBER('Sensitivity Tests'!$C$30),'Sensitivity Tests'!$C$30,IF((VLOOKUP($A283,AffordabilityRatio!$A$2:$I$321,9,FALSE))="",AO283,VLOOKUP($A283,AffordabilityRatio!$A$2:$I$321,9,FALSE)))</f>
        <v>10.3</v>
      </c>
      <c r="AQ283" s="267">
        <f t="shared" si="243"/>
        <v>1336</v>
      </c>
      <c r="AR283" s="267">
        <f t="shared" si="243"/>
        <v>1352</v>
      </c>
      <c r="AS283" s="267">
        <f t="shared" si="243"/>
        <v>1359</v>
      </c>
      <c r="AT283" s="267">
        <f t="shared" si="242"/>
        <v>790</v>
      </c>
      <c r="AU283" s="267">
        <f t="shared" si="242"/>
        <v>813</v>
      </c>
      <c r="AV283" s="267">
        <f t="shared" si="242"/>
        <v>808</v>
      </c>
      <c r="AW283" s="267">
        <f t="shared" si="242"/>
        <v>802</v>
      </c>
      <c r="AX283" s="267">
        <f t="shared" si="242"/>
        <v>800</v>
      </c>
      <c r="AY283" s="267">
        <f t="shared" si="218"/>
        <v>1336</v>
      </c>
      <c r="AZ283" s="267">
        <f t="shared" si="219"/>
        <v>1352</v>
      </c>
      <c r="BA283" s="267">
        <f t="shared" si="220"/>
        <v>1359</v>
      </c>
      <c r="BB283" s="267">
        <f t="shared" si="221"/>
        <v>790</v>
      </c>
      <c r="BC283" s="267">
        <f t="shared" si="222"/>
        <v>813</v>
      </c>
      <c r="BD283" s="267">
        <f t="shared" si="223"/>
        <v>808</v>
      </c>
      <c r="BE283" s="267">
        <f t="shared" si="224"/>
        <v>802</v>
      </c>
      <c r="BF283" s="267">
        <f t="shared" si="225"/>
        <v>800</v>
      </c>
      <c r="BG283" s="269">
        <f>AY283*VLOOKUP($B283,'Major Cities &amp; Towns'!$A$28:$B$345,2,FALSE)</f>
        <v>1336</v>
      </c>
      <c r="BH283" s="269">
        <f>AZ283*VLOOKUP($B283,'Major Cities &amp; Towns'!$A$28:$B$345,2,FALSE)</f>
        <v>1352</v>
      </c>
      <c r="BI283" s="269">
        <f>BA283*VLOOKUP($B283,'Major Cities &amp; Towns'!$A$28:$B$345,2,FALSE)</f>
        <v>1359</v>
      </c>
      <c r="BJ283" s="269">
        <f>BB283*VLOOKUP($B283,'Major Cities &amp; Towns'!$A$28:$B$345,2,FALSE)</f>
        <v>790</v>
      </c>
      <c r="BK283" s="269">
        <f>BC283*VLOOKUP($B283,'Major Cities &amp; Towns'!$A$28:$B$345,2,FALSE)</f>
        <v>813</v>
      </c>
      <c r="BL283" s="269">
        <f>BD283*VLOOKUP($B283,'Major Cities &amp; Towns'!$A$28:$B$345,2,FALSE)</f>
        <v>808</v>
      </c>
      <c r="BM283" s="269">
        <f>BE283*VLOOKUP($B283,'Major Cities &amp; Towns'!$A$28:$B$345,2,FALSE)</f>
        <v>802</v>
      </c>
      <c r="BN283" s="269">
        <f>BF283*VLOOKUP($B283,'Major Cities &amp; Towns'!$A$28:$B$345,2,FALSE)</f>
        <v>800</v>
      </c>
      <c r="BO283" s="270">
        <f t="shared" si="226"/>
        <v>1336</v>
      </c>
      <c r="BP283" s="270">
        <f t="shared" si="201"/>
        <v>1352</v>
      </c>
      <c r="BQ283" s="270">
        <f t="shared" si="201"/>
        <v>1359</v>
      </c>
      <c r="BR283" s="270">
        <f t="shared" si="201"/>
        <v>790</v>
      </c>
      <c r="BS283" s="270">
        <f t="shared" si="200"/>
        <v>813</v>
      </c>
      <c r="BT283" s="270">
        <f t="shared" si="200"/>
        <v>808</v>
      </c>
      <c r="BU283" s="270">
        <f t="shared" si="200"/>
        <v>802</v>
      </c>
      <c r="BV283" s="270">
        <f t="shared" si="200"/>
        <v>800</v>
      </c>
      <c r="BW283" s="39">
        <f>VLOOKUP($A283,NetAdditions!$A$2:$H$336,6,FALSE)</f>
        <v>953</v>
      </c>
      <c r="BX283" s="39">
        <f>VLOOKUP($A283,NetAdditions!$A$2:$H$336,7,FALSE)</f>
        <v>689</v>
      </c>
      <c r="BY283" s="39">
        <f>IF((VLOOKUP($C283,NetAdditions!$A$2:$H$336,8,FALSE))="",(AVERAGE(VLOOKUP($C283,NetAdditions!$A$2:$H$336,5,FALSE),VLOOKUP($C283,NetAdditions!$A$2:$H$336,6,FALSE),VLOOKUP($C283,NetAdditions!$A$2:$H$336,7,FALSE))),VLOOKUP($C283,NetAdditions!$A$2:$H$336,8,FALSE))</f>
        <v>1081</v>
      </c>
      <c r="BZ283" s="39">
        <f t="shared" si="244"/>
        <v>907.66666666666663</v>
      </c>
      <c r="CA283" s="39">
        <f t="shared" si="244"/>
        <v>892.55555555555554</v>
      </c>
      <c r="CB283" s="39">
        <f t="shared" si="244"/>
        <v>960.40740740740739</v>
      </c>
      <c r="CC283" s="39">
        <f t="shared" si="244"/>
        <v>920.20987654320982</v>
      </c>
      <c r="CD283" s="39">
        <f t="shared" si="244"/>
        <v>924.39094650205755</v>
      </c>
      <c r="CE283" s="276">
        <f t="shared" si="202"/>
        <v>4047</v>
      </c>
      <c r="CF283" s="276">
        <f t="shared" si="203"/>
        <v>3501</v>
      </c>
      <c r="CG283" s="276">
        <f t="shared" si="204"/>
        <v>2962</v>
      </c>
      <c r="CH283" s="276">
        <f t="shared" si="205"/>
        <v>2411</v>
      </c>
      <c r="CI283" s="276">
        <f t="shared" si="206"/>
        <v>2423</v>
      </c>
      <c r="CJ283" s="276">
        <f t="shared" si="207"/>
        <v>2410</v>
      </c>
      <c r="CK283" s="276">
        <f t="shared" si="227"/>
        <v>3484.916666666667</v>
      </c>
      <c r="CL283" s="276">
        <f t="shared" si="228"/>
        <v>3014.75</v>
      </c>
      <c r="CM283" s="276">
        <f t="shared" si="229"/>
        <v>2715.1666666666665</v>
      </c>
      <c r="CN283" s="276">
        <f t="shared" si="230"/>
        <v>2411</v>
      </c>
      <c r="CO283" s="276">
        <f t="shared" si="230"/>
        <v>2423</v>
      </c>
      <c r="CP283" s="276">
        <f t="shared" si="230"/>
        <v>2410</v>
      </c>
      <c r="CQ283" s="39">
        <f t="shared" si="208"/>
        <v>2723</v>
      </c>
      <c r="CR283" s="39">
        <f t="shared" si="209"/>
        <v>2677.6666666666665</v>
      </c>
      <c r="CS283" s="277">
        <f t="shared" si="210"/>
        <v>2881.2222222222222</v>
      </c>
      <c r="CT283" s="39">
        <f t="shared" si="211"/>
        <v>2760.6296296296296</v>
      </c>
      <c r="CU283" s="39">
        <f t="shared" si="212"/>
        <v>2773.1728395061727</v>
      </c>
      <c r="CV283" s="39">
        <f t="shared" si="213"/>
        <v>2805.0082304526745</v>
      </c>
      <c r="CW283" s="297">
        <f t="shared" si="214"/>
        <v>0.78136732107415285</v>
      </c>
      <c r="CX283" s="279" t="str">
        <f t="shared" si="231"/>
        <v>Buffer and Action Plan</v>
      </c>
      <c r="CY283" s="278">
        <f t="shared" si="215"/>
        <v>0.88818862813389721</v>
      </c>
      <c r="CZ283" s="279" t="str">
        <f t="shared" si="232"/>
        <v>Action Plan</v>
      </c>
      <c r="DA283" s="278">
        <f t="shared" si="216"/>
        <v>1.0611585128803225</v>
      </c>
      <c r="DB283" s="292" t="str">
        <f t="shared" si="233"/>
        <v>Pass</v>
      </c>
      <c r="DC283" s="299">
        <f t="shared" si="234"/>
        <v>1.1450143631810989</v>
      </c>
      <c r="DD283" s="293" t="str">
        <f t="shared" si="235"/>
        <v>Pass</v>
      </c>
      <c r="DE283" s="299">
        <f t="shared" si="236"/>
        <v>1.1445203629823246</v>
      </c>
      <c r="DF283" s="293" t="str">
        <f t="shared" si="237"/>
        <v>Pass</v>
      </c>
      <c r="DG283" s="299">
        <f t="shared" si="238"/>
        <v>1.1639038300633504</v>
      </c>
      <c r="DH283" s="293" t="str">
        <f t="shared" si="239"/>
        <v>Pass</v>
      </c>
    </row>
    <row r="284" spans="1:112" ht="15" thickTop="1" thickBot="1">
      <c r="A284" s="38" t="s">
        <v>678</v>
      </c>
      <c r="B284" s="38" t="s">
        <v>679</v>
      </c>
      <c r="C284" s="38" t="s">
        <v>678</v>
      </c>
      <c r="D284" s="38" t="s">
        <v>113</v>
      </c>
      <c r="E284" s="38" t="str">
        <f>VLOOKUP(C284,PoliticalControl!A:K,11,FALSE)</f>
        <v>NOC</v>
      </c>
      <c r="F284" s="38" t="str">
        <f>VLOOKUP(C284,UrbanRuralClassification!A:N,13,FALSE)</f>
        <v>Urban with Significant Rural (rural including hub towns 26-49%)</v>
      </c>
      <c r="G284" s="38" t="str">
        <f>VLOOKUP(C284,UrbanRuralClassification!A:N,14,FALSE)</f>
        <v>Urban with Significant Rural</v>
      </c>
      <c r="H284" s="258">
        <f>IF(ISBLANK((VLOOKUP($A284,'local-plan-data'!$C$1:$AD$566,27,FALSE)))=TRUE,"",VLOOKUP($A284,'local-plan-data'!$C$1:$AD$566,27,FALSE))</f>
        <v>40346</v>
      </c>
      <c r="I284" s="259">
        <f>VLOOKUP($A284,'local-plan-data'!$C$1:$AD$566,28,FALSE)</f>
        <v>300</v>
      </c>
      <c r="J284" s="260">
        <f t="shared" si="217"/>
        <v>300</v>
      </c>
      <c r="K284" s="259" t="str">
        <f t="shared" si="240"/>
        <v>-</v>
      </c>
      <c r="L284" s="259" t="str">
        <f t="shared" si="240"/>
        <v>-</v>
      </c>
      <c r="M284" s="259" t="str">
        <f t="shared" si="240"/>
        <v>-</v>
      </c>
      <c r="N284" s="259" t="str">
        <f t="shared" si="240"/>
        <v>-</v>
      </c>
      <c r="O284" s="259" t="str">
        <f t="shared" si="240"/>
        <v>-</v>
      </c>
      <c r="P284" s="259" t="str">
        <f t="shared" si="240"/>
        <v>-</v>
      </c>
      <c r="Q284" s="259" t="str">
        <f t="shared" si="240"/>
        <v>-</v>
      </c>
      <c r="R284" s="259" t="str">
        <f t="shared" si="240"/>
        <v>-</v>
      </c>
      <c r="S284" s="259">
        <f t="shared" si="241"/>
        <v>-1019</v>
      </c>
      <c r="T284" s="259">
        <f t="shared" si="241"/>
        <v>-1384</v>
      </c>
      <c r="U284" s="259">
        <f t="shared" si="241"/>
        <v>-1750</v>
      </c>
      <c r="V284" s="259">
        <f t="shared" si="241"/>
        <v>-2115</v>
      </c>
      <c r="W284" s="259">
        <f t="shared" si="241"/>
        <v>-2480</v>
      </c>
      <c r="X284" s="259">
        <f t="shared" si="241"/>
        <v>-2845</v>
      </c>
      <c r="Y284" s="259">
        <f t="shared" si="241"/>
        <v>-3211</v>
      </c>
      <c r="Z284" s="259">
        <f t="shared" si="241"/>
        <v>-3576</v>
      </c>
      <c r="AA284" s="267">
        <f>(VLOOKUP(A284,Hshldprojections2014!$A$2:$AW$319,40, FALSE)-VLOOKUP(A284,Hshldprojections2014!$A$2:$AW$319,30, FALSE))/10</f>
        <v>491.5</v>
      </c>
      <c r="AB284" s="267">
        <f>(VLOOKUP(A284,Hshldprojections2014!$A$2:$AW$319,41, FALSE)-VLOOKUP(A284,Hshldprojections2014!$A$2:$AW$319,31, FALSE))/10</f>
        <v>487.2</v>
      </c>
      <c r="AC284" s="267">
        <f>(VLOOKUP(A284,Hshldprojections2014!$A$2:$AW$319,42, FALSE)-VLOOKUP(A284,Hshldprojections2014!$A$2:$AW$319,32, FALSE))/10</f>
        <v>484.3</v>
      </c>
      <c r="AD284" s="267">
        <f>IF(IndividualLATest!$J$7=2014,(VLOOKUP($A284,Hshldprojections2014!$A$2:$AY$326,43,FALSE)-VLOOKUP($A284,Hshldprojections2014!$A$2:$AY$326,33,FALSE))/10,IF(IndividualLATest!$J$7=2016,(VLOOKUP($A284,Hshldprojections2016!$A$1:$AQ$322,33,FALSE)-VLOOKUP($A284,Hshldprojections2016!$A$1:$AQ$322,23,FALSE))/10,(VLOOKUP($A284,Hshldprojections2018!$A$1:$AQ$327,33,FALSE)-VLOOKUP($A284,Hshldprojections2018!$A$1:$AQ$327,23,FALSE))/10))</f>
        <v>349.5</v>
      </c>
      <c r="AE284" s="267">
        <f>IF(IndividualLATest!$J$7=2014,(VLOOKUP($A284,Hshldprojections2014!$A$2:$AY$326,44,FALSE)-VLOOKUP($A284,Hshldprojections2014!$A$2:$AY$326,34,FALSE))/10,IF(IndividualLATest!$J$7=2016,(VLOOKUP($A284,Hshldprojections2016!$A$1:$AQ$322,34,FALSE)-VLOOKUP($A284,Hshldprojections2016!$A$1:$AQ$322,24,FALSE))/10,(VLOOKUP($A284,Hshldprojections2018!$A$1:$AQ$327,34,FALSE)-VLOOKUP($A284,Hshldprojections2018!$A$1:$AQ$327,24,FALSE))/10))</f>
        <v>341.1</v>
      </c>
      <c r="AF284" s="267">
        <f>IF(IndividualLATest!$J$7=2014,(VLOOKUP($A284,Hshldprojections2014!$A$2:$AY$326,45,FALSE)-VLOOKUP($A284,Hshldprojections2014!$A$2:$AY$326,35,FALSE))/10,IF(IndividualLATest!$J$7=2016,(VLOOKUP($A284,Hshldprojections2016!$A$1:$AQ$322,35,FALSE)-VLOOKUP($A284,Hshldprojections2016!$A$1:$AQ$322,25,FALSE))/10,(VLOOKUP($A284,Hshldprojections2018!$A$1:$AQ$327,35,FALSE)-VLOOKUP($A284,Hshldprojections2018!$A$1:$AQ$327,25,FALSE))/10))</f>
        <v>334.5</v>
      </c>
      <c r="AG284" s="267">
        <f>IF(IndividualLATest!$J$7=2014,(VLOOKUP($A284,Hshldprojections2014!$A$2:$AY$326,46,FALSE)-VLOOKUP($A284,Hshldprojections2014!$A$2:$AY$326,36,FALSE))/10,IF(IndividualLATest!$J$7=2016,(VLOOKUP($A284,Hshldprojections2016!$A$1:$AQ$322,36,FALSE)-VLOOKUP($A284,Hshldprojections2016!$A$1:$AQ$322,26,FALSE))/10,(VLOOKUP($A284,Hshldprojections2018!$A$1:$AQ$327,36,FALSE)-VLOOKUP($A284,Hshldprojections2018!$A$1:$AQ$327,26,FALSE))/10))</f>
        <v>327.5</v>
      </c>
      <c r="AH284" s="267">
        <f>IF(IndividualLATest!$J$7=2014,(VLOOKUP($A284,Hshldprojections2014!$A$2:$AY$326,47,FALSE)-VLOOKUP($A284,Hshldprojections2014!$A$2:$AY$326,37,FALSE))/10,IF(IndividualLATest!$J$7=2016,(VLOOKUP($A284,Hshldprojections2016!$A$1:$AQ$322,37,FALSE)-VLOOKUP($A284,Hshldprojections2016!$A$1:$AQ$322,27,FALSE))/10,(VLOOKUP($A284,Hshldprojections2018!$A$1:$AQ$327,37,FALSE)-VLOOKUP($A284,Hshldprojections2018!$A$1:$AQ$327,27,FALSE))/10))</f>
        <v>321.89999999999998</v>
      </c>
      <c r="AI284" s="268">
        <f>IF(ISNUMBER('Sensitivity Tests'!$C$30),'Sensitivity Tests'!$C$30,VLOOKUP($A284,AffordabilityRatio!$A$2:$I$321,5,FALSE))</f>
        <v>13.45</v>
      </c>
      <c r="AJ284" s="268">
        <f>IF(ISNUMBER('Sensitivity Tests'!$C$30),'Sensitivity Tests'!$C$30,VLOOKUP($A284,AffordabilityRatio!$A$2:$I$321,6,FALSE))</f>
        <v>12.71</v>
      </c>
      <c r="AK284" s="268">
        <f>IF(ISNUMBER('Sensitivity Tests'!$C$30),'Sensitivity Tests'!$C$30,VLOOKUP($A284,AffordabilityRatio!$A$2:$I$321,7,FALSE))</f>
        <v>12.49</v>
      </c>
      <c r="AL284" s="268">
        <f>IF(ISNUMBER('Sensitivity Tests'!$C$30),'Sensitivity Tests'!$C$30,IF((VLOOKUP($A284,AffordabilityRatio!$A$2:$I$321,8,FALSE))="",AK284,VLOOKUP($A284,AffordabilityRatio!$A$2:$I$321,8,FALSE)))</f>
        <v>13.35</v>
      </c>
      <c r="AM284" s="268">
        <f>IF(ISNUMBER('Sensitivity Tests'!$C$30),'Sensitivity Tests'!$C$30,IF((VLOOKUP($A284,AffordabilityRatio!$A$2:$I$321,9,FALSE))="",AL284,VLOOKUP($A284,AffordabilityRatio!$A$2:$I$321,9,FALSE)))</f>
        <v>15.42</v>
      </c>
      <c r="AN284" s="268">
        <f>IF(ISNUMBER('Sensitivity Tests'!$C$30),'Sensitivity Tests'!$C$30,IF((VLOOKUP($A284,AffordabilityRatio!$A$2:$I$321,9,FALSE))="",AM284,VLOOKUP($A284,AffordabilityRatio!$A$2:$I$321,9,FALSE)))</f>
        <v>15.42</v>
      </c>
      <c r="AO284" s="268">
        <f>IF(ISNUMBER('Sensitivity Tests'!$C$30),'Sensitivity Tests'!$C$30,IF((VLOOKUP($A284,AffordabilityRatio!$A$2:$I$321,9,FALSE))="",AN284,VLOOKUP($A284,AffordabilityRatio!$A$2:$I$321,9,FALSE)))</f>
        <v>15.42</v>
      </c>
      <c r="AP284" s="268">
        <f>IF(ISNUMBER('Sensitivity Tests'!$C$30),'Sensitivity Tests'!$C$30,IF((VLOOKUP($A284,AffordabilityRatio!$A$2:$I$321,9,FALSE))="",AO284,VLOOKUP($A284,AffordabilityRatio!$A$2:$I$321,9,FALSE)))</f>
        <v>15.42</v>
      </c>
      <c r="AQ284" s="267">
        <f t="shared" si="243"/>
        <v>782</v>
      </c>
      <c r="AR284" s="267">
        <f t="shared" si="243"/>
        <v>752</v>
      </c>
      <c r="AS284" s="267">
        <f t="shared" si="243"/>
        <v>741</v>
      </c>
      <c r="AT284" s="267">
        <f t="shared" si="242"/>
        <v>554</v>
      </c>
      <c r="AU284" s="267">
        <f t="shared" si="242"/>
        <v>585</v>
      </c>
      <c r="AV284" s="267">
        <f t="shared" si="242"/>
        <v>573</v>
      </c>
      <c r="AW284" s="267">
        <f t="shared" si="242"/>
        <v>561</v>
      </c>
      <c r="AX284" s="267">
        <f t="shared" si="242"/>
        <v>552</v>
      </c>
      <c r="AY284" s="267">
        <f t="shared" si="218"/>
        <v>688.1</v>
      </c>
      <c r="AZ284" s="267">
        <f t="shared" si="219"/>
        <v>682.07999999999993</v>
      </c>
      <c r="BA284" s="267">
        <f t="shared" si="220"/>
        <v>678.02</v>
      </c>
      <c r="BB284" s="267">
        <f t="shared" si="221"/>
        <v>489.3</v>
      </c>
      <c r="BC284" s="267">
        <f t="shared" si="222"/>
        <v>477.54000000000008</v>
      </c>
      <c r="BD284" s="267">
        <f t="shared" si="223"/>
        <v>468.3</v>
      </c>
      <c r="BE284" s="267">
        <f t="shared" si="224"/>
        <v>458.5</v>
      </c>
      <c r="BF284" s="267">
        <f t="shared" si="225"/>
        <v>450.65999999999997</v>
      </c>
      <c r="BG284" s="269">
        <f>AY284*VLOOKUP($B284,'Major Cities &amp; Towns'!$A$28:$B$345,2,FALSE)</f>
        <v>688.1</v>
      </c>
      <c r="BH284" s="269">
        <f>AZ284*VLOOKUP($B284,'Major Cities &amp; Towns'!$A$28:$B$345,2,FALSE)</f>
        <v>682.07999999999993</v>
      </c>
      <c r="BI284" s="269">
        <f>BA284*VLOOKUP($B284,'Major Cities &amp; Towns'!$A$28:$B$345,2,FALSE)</f>
        <v>678.02</v>
      </c>
      <c r="BJ284" s="269">
        <f>BB284*VLOOKUP($B284,'Major Cities &amp; Towns'!$A$28:$B$345,2,FALSE)</f>
        <v>489.3</v>
      </c>
      <c r="BK284" s="269">
        <f>BC284*VLOOKUP($B284,'Major Cities &amp; Towns'!$A$28:$B$345,2,FALSE)</f>
        <v>477.54000000000008</v>
      </c>
      <c r="BL284" s="269">
        <f>BD284*VLOOKUP($B284,'Major Cities &amp; Towns'!$A$28:$B$345,2,FALSE)</f>
        <v>468.3</v>
      </c>
      <c r="BM284" s="269">
        <f>BE284*VLOOKUP($B284,'Major Cities &amp; Towns'!$A$28:$B$345,2,FALSE)</f>
        <v>458.5</v>
      </c>
      <c r="BN284" s="269">
        <f>BF284*VLOOKUP($B284,'Major Cities &amp; Towns'!$A$28:$B$345,2,FALSE)</f>
        <v>450.65999999999997</v>
      </c>
      <c r="BO284" s="270">
        <f t="shared" si="226"/>
        <v>782</v>
      </c>
      <c r="BP284" s="270">
        <f t="shared" si="201"/>
        <v>752</v>
      </c>
      <c r="BQ284" s="270">
        <f t="shared" si="201"/>
        <v>741</v>
      </c>
      <c r="BR284" s="270">
        <f t="shared" si="201"/>
        <v>554</v>
      </c>
      <c r="BS284" s="270">
        <f t="shared" si="200"/>
        <v>585</v>
      </c>
      <c r="BT284" s="270">
        <f t="shared" si="200"/>
        <v>573</v>
      </c>
      <c r="BU284" s="270">
        <f t="shared" si="200"/>
        <v>561</v>
      </c>
      <c r="BV284" s="270">
        <f t="shared" si="200"/>
        <v>552</v>
      </c>
      <c r="BW284" s="39">
        <f>VLOOKUP($A284,NetAdditions!$A$2:$H$336,6,FALSE)</f>
        <v>553</v>
      </c>
      <c r="BX284" s="39">
        <f>VLOOKUP($A284,NetAdditions!$A$2:$H$336,7,FALSE)</f>
        <v>474</v>
      </c>
      <c r="BY284" s="39">
        <f>IF((VLOOKUP($C284,NetAdditions!$A$2:$H$336,8,FALSE))="",(AVERAGE(VLOOKUP($C284,NetAdditions!$A$2:$H$336,5,FALSE),VLOOKUP($C284,NetAdditions!$A$2:$H$336,6,FALSE),VLOOKUP($C284,NetAdditions!$A$2:$H$336,7,FALSE))),VLOOKUP($C284,NetAdditions!$A$2:$H$336,8,FALSE))</f>
        <v>690</v>
      </c>
      <c r="BZ284" s="39">
        <f t="shared" si="244"/>
        <v>572.33333333333337</v>
      </c>
      <c r="CA284" s="39">
        <f t="shared" si="244"/>
        <v>578.77777777777783</v>
      </c>
      <c r="CB284" s="39">
        <f t="shared" si="244"/>
        <v>613.70370370370381</v>
      </c>
      <c r="CC284" s="39">
        <f t="shared" si="244"/>
        <v>588.27160493827171</v>
      </c>
      <c r="CD284" s="39">
        <f t="shared" si="244"/>
        <v>593.58436213991774</v>
      </c>
      <c r="CE284" s="276">
        <f t="shared" si="202"/>
        <v>2275</v>
      </c>
      <c r="CF284" s="276">
        <f t="shared" si="203"/>
        <v>2047</v>
      </c>
      <c r="CG284" s="276">
        <f t="shared" si="204"/>
        <v>1880</v>
      </c>
      <c r="CH284" s="276">
        <f t="shared" si="205"/>
        <v>1712</v>
      </c>
      <c r="CI284" s="276">
        <f t="shared" si="206"/>
        <v>1719</v>
      </c>
      <c r="CJ284" s="276">
        <f t="shared" si="207"/>
        <v>1686</v>
      </c>
      <c r="CK284" s="276">
        <f t="shared" si="227"/>
        <v>1959.0277777777778</v>
      </c>
      <c r="CL284" s="276">
        <f t="shared" si="228"/>
        <v>1762.6944444444446</v>
      </c>
      <c r="CM284" s="276">
        <f t="shared" si="229"/>
        <v>1723.3333333333333</v>
      </c>
      <c r="CN284" s="276">
        <f t="shared" si="230"/>
        <v>1712</v>
      </c>
      <c r="CO284" s="276">
        <f t="shared" si="230"/>
        <v>1719</v>
      </c>
      <c r="CP284" s="276">
        <f t="shared" si="230"/>
        <v>1686</v>
      </c>
      <c r="CQ284" s="39">
        <f t="shared" si="208"/>
        <v>1717</v>
      </c>
      <c r="CR284" s="39">
        <f t="shared" si="209"/>
        <v>1736.3333333333335</v>
      </c>
      <c r="CS284" s="277">
        <f t="shared" si="210"/>
        <v>1841.1111111111113</v>
      </c>
      <c r="CT284" s="39">
        <f t="shared" si="211"/>
        <v>1764.8148148148152</v>
      </c>
      <c r="CU284" s="39">
        <f t="shared" si="212"/>
        <v>1780.7530864197533</v>
      </c>
      <c r="CV284" s="39">
        <f t="shared" si="213"/>
        <v>1795.5596707818931</v>
      </c>
      <c r="CW284" s="297">
        <f t="shared" si="214"/>
        <v>0.87645515774548033</v>
      </c>
      <c r="CX284" s="279" t="str">
        <f t="shared" si="231"/>
        <v>Action Plan</v>
      </c>
      <c r="CY284" s="278">
        <f t="shared" si="215"/>
        <v>0.98504499109633292</v>
      </c>
      <c r="CZ284" s="279" t="str">
        <f t="shared" si="232"/>
        <v>Pass</v>
      </c>
      <c r="DA284" s="278">
        <f t="shared" si="216"/>
        <v>1.0683430045132174</v>
      </c>
      <c r="DB284" s="292" t="str">
        <f t="shared" si="233"/>
        <v>Pass</v>
      </c>
      <c r="DC284" s="299">
        <f t="shared" si="234"/>
        <v>1.0308497750086538</v>
      </c>
      <c r="DD284" s="293" t="str">
        <f t="shared" si="235"/>
        <v>Pass</v>
      </c>
      <c r="DE284" s="299">
        <f t="shared" si="236"/>
        <v>1.0359238431761217</v>
      </c>
      <c r="DF284" s="293" t="str">
        <f t="shared" si="237"/>
        <v>Pass</v>
      </c>
      <c r="DG284" s="299">
        <f t="shared" si="238"/>
        <v>1.0649820111399129</v>
      </c>
      <c r="DH284" s="293" t="str">
        <f t="shared" si="239"/>
        <v>Pass</v>
      </c>
    </row>
    <row r="285" spans="1:112" ht="15" thickTop="1" thickBot="1">
      <c r="A285" s="38" t="s">
        <v>680</v>
      </c>
      <c r="B285" s="38" t="s">
        <v>681</v>
      </c>
      <c r="C285" s="38" t="s">
        <v>680</v>
      </c>
      <c r="D285" s="38" t="s">
        <v>128</v>
      </c>
      <c r="E285" s="38" t="str">
        <f>VLOOKUP(C285,PoliticalControl!A:K,11,FALSE)</f>
        <v>IND/OTHER</v>
      </c>
      <c r="F285" s="38" t="str">
        <f>VLOOKUP(C285,UrbanRuralClassification!A:N,13,FALSE)</f>
        <v xml:space="preserve">Mainly Rural (rural including hub towns &gt;=80%) </v>
      </c>
      <c r="G285" s="38" t="str">
        <f>VLOOKUP(C285,UrbanRuralClassification!A:N,14,FALSE)</f>
        <v>Predominantly Rural</v>
      </c>
      <c r="H285" s="258" t="str">
        <f>IF(ISBLANK((VLOOKUP($A285,'local-plan-data'!$C$1:$AD$566,27,FALSE)))=TRUE,"",VLOOKUP($A285,'local-plan-data'!$C$1:$AD$566,27,FALSE))</f>
        <v/>
      </c>
      <c r="I285" s="259">
        <f>VLOOKUP($A285,'local-plan-data'!$C$1:$AD$566,28,FALSE)</f>
        <v>636.36363636363637</v>
      </c>
      <c r="J285" s="260">
        <f t="shared" si="217"/>
        <v>636.36363636363637</v>
      </c>
      <c r="K285" s="259" t="str">
        <f t="shared" si="240"/>
        <v>-</v>
      </c>
      <c r="L285" s="259" t="str">
        <f t="shared" si="240"/>
        <v>-</v>
      </c>
      <c r="M285" s="259" t="str">
        <f t="shared" si="240"/>
        <v>-</v>
      </c>
      <c r="N285" s="259" t="str">
        <f t="shared" si="240"/>
        <v>-</v>
      </c>
      <c r="O285" s="259" t="str">
        <f t="shared" si="240"/>
        <v>-</v>
      </c>
      <c r="P285" s="259" t="str">
        <f t="shared" si="240"/>
        <v>-</v>
      </c>
      <c r="Q285" s="259" t="str">
        <f t="shared" si="240"/>
        <v>-</v>
      </c>
      <c r="R285" s="259" t="str">
        <f t="shared" si="240"/>
        <v>-</v>
      </c>
      <c r="S285" s="259" t="str">
        <f t="shared" si="241"/>
        <v>-</v>
      </c>
      <c r="T285" s="259" t="str">
        <f t="shared" si="241"/>
        <v>-</v>
      </c>
      <c r="U285" s="259" t="str">
        <f t="shared" si="241"/>
        <v>-</v>
      </c>
      <c r="V285" s="259" t="str">
        <f t="shared" si="241"/>
        <v>-</v>
      </c>
      <c r="W285" s="259" t="str">
        <f t="shared" si="241"/>
        <v>-</v>
      </c>
      <c r="X285" s="259" t="str">
        <f t="shared" si="241"/>
        <v>-</v>
      </c>
      <c r="Y285" s="259" t="str">
        <f t="shared" si="241"/>
        <v>-</v>
      </c>
      <c r="Z285" s="259" t="str">
        <f t="shared" si="241"/>
        <v>-</v>
      </c>
      <c r="AA285" s="267">
        <f>(VLOOKUP(A285,Hshldprojections2014!$A$2:$AW$319,40, FALSE)-VLOOKUP(A285,Hshldprojections2014!$A$2:$AW$319,30, FALSE))/10</f>
        <v>516.5</v>
      </c>
      <c r="AB285" s="267">
        <f>(VLOOKUP(A285,Hshldprojections2014!$A$2:$AW$319,41, FALSE)-VLOOKUP(A285,Hshldprojections2014!$A$2:$AW$319,31, FALSE))/10</f>
        <v>510.6</v>
      </c>
      <c r="AC285" s="267">
        <f>(VLOOKUP(A285,Hshldprojections2014!$A$2:$AW$319,42, FALSE)-VLOOKUP(A285,Hshldprojections2014!$A$2:$AW$319,32, FALSE))/10</f>
        <v>504.3</v>
      </c>
      <c r="AD285" s="267">
        <f>IF(IndividualLATest!$J$7=2014,(VLOOKUP($A285,Hshldprojections2014!$A$2:$AY$326,43,FALSE)-VLOOKUP($A285,Hshldprojections2014!$A$2:$AY$326,33,FALSE))/10,IF(IndividualLATest!$J$7=2016,(VLOOKUP($A285,Hshldprojections2016!$A$1:$AQ$322,33,FALSE)-VLOOKUP($A285,Hshldprojections2016!$A$1:$AQ$322,23,FALSE))/10,(VLOOKUP($A285,Hshldprojections2018!$A$1:$AQ$327,33,FALSE)-VLOOKUP($A285,Hshldprojections2018!$A$1:$AQ$327,23,FALSE))/10))</f>
        <v>471.6</v>
      </c>
      <c r="AE285" s="267">
        <f>IF(IndividualLATest!$J$7=2014,(VLOOKUP($A285,Hshldprojections2014!$A$2:$AY$326,44,FALSE)-VLOOKUP($A285,Hshldprojections2014!$A$2:$AY$326,34,FALSE))/10,IF(IndividualLATest!$J$7=2016,(VLOOKUP($A285,Hshldprojections2016!$A$1:$AQ$322,34,FALSE)-VLOOKUP($A285,Hshldprojections2016!$A$1:$AQ$322,24,FALSE))/10,(VLOOKUP($A285,Hshldprojections2018!$A$1:$AQ$327,34,FALSE)-VLOOKUP($A285,Hshldprojections2018!$A$1:$AQ$327,24,FALSE))/10))</f>
        <v>457.1</v>
      </c>
      <c r="AF285" s="267">
        <f>IF(IndividualLATest!$J$7=2014,(VLOOKUP($A285,Hshldprojections2014!$A$2:$AY$326,45,FALSE)-VLOOKUP($A285,Hshldprojections2014!$A$2:$AY$326,35,FALSE))/10,IF(IndividualLATest!$J$7=2016,(VLOOKUP($A285,Hshldprojections2016!$A$1:$AQ$322,35,FALSE)-VLOOKUP($A285,Hshldprojections2016!$A$1:$AQ$322,25,FALSE))/10,(VLOOKUP($A285,Hshldprojections2018!$A$1:$AQ$327,35,FALSE)-VLOOKUP($A285,Hshldprojections2018!$A$1:$AQ$327,25,FALSE))/10))</f>
        <v>441.8</v>
      </c>
      <c r="AG285" s="267">
        <f>IF(IndividualLATest!$J$7=2014,(VLOOKUP($A285,Hshldprojections2014!$A$2:$AY$326,46,FALSE)-VLOOKUP($A285,Hshldprojections2014!$A$2:$AY$326,36,FALSE))/10,IF(IndividualLATest!$J$7=2016,(VLOOKUP($A285,Hshldprojections2016!$A$1:$AQ$322,36,FALSE)-VLOOKUP($A285,Hshldprojections2016!$A$1:$AQ$322,26,FALSE))/10,(VLOOKUP($A285,Hshldprojections2018!$A$1:$AQ$327,36,FALSE)-VLOOKUP($A285,Hshldprojections2018!$A$1:$AQ$327,26,FALSE))/10))</f>
        <v>427.5</v>
      </c>
      <c r="AH285" s="267">
        <f>IF(IndividualLATest!$J$7=2014,(VLOOKUP($A285,Hshldprojections2014!$A$2:$AY$326,47,FALSE)-VLOOKUP($A285,Hshldprojections2014!$A$2:$AY$326,37,FALSE))/10,IF(IndividualLATest!$J$7=2016,(VLOOKUP($A285,Hshldprojections2016!$A$1:$AQ$322,37,FALSE)-VLOOKUP($A285,Hshldprojections2016!$A$1:$AQ$322,27,FALSE))/10,(VLOOKUP($A285,Hshldprojections2018!$A$1:$AQ$327,37,FALSE)-VLOOKUP($A285,Hshldprojections2018!$A$1:$AQ$327,27,FALSE))/10))</f>
        <v>415.4</v>
      </c>
      <c r="AI285" s="268">
        <f>IF(ISNUMBER('Sensitivity Tests'!$C$30),'Sensitivity Tests'!$C$30,VLOOKUP($A285,AffordabilityRatio!$A$2:$I$321,5,FALSE))</f>
        <v>13.52</v>
      </c>
      <c r="AJ285" s="268">
        <f>IF(ISNUMBER('Sensitivity Tests'!$C$30),'Sensitivity Tests'!$C$30,VLOOKUP($A285,AffordabilityRatio!$A$2:$I$321,6,FALSE))</f>
        <v>13.7</v>
      </c>
      <c r="AK285" s="268">
        <f>IF(ISNUMBER('Sensitivity Tests'!$C$30),'Sensitivity Tests'!$C$30,VLOOKUP($A285,AffordabilityRatio!$A$2:$I$321,7,FALSE))</f>
        <v>13.48</v>
      </c>
      <c r="AL285" s="268">
        <f>IF(ISNUMBER('Sensitivity Tests'!$C$30),'Sensitivity Tests'!$C$30,IF((VLOOKUP($A285,AffordabilityRatio!$A$2:$I$321,8,FALSE))="",AK285,VLOOKUP($A285,AffordabilityRatio!$A$2:$I$321,8,FALSE)))</f>
        <v>12.81</v>
      </c>
      <c r="AM285" s="268">
        <f>IF(ISNUMBER('Sensitivity Tests'!$C$30),'Sensitivity Tests'!$C$30,IF((VLOOKUP($A285,AffordabilityRatio!$A$2:$I$321,9,FALSE))="",AL285,VLOOKUP($A285,AffordabilityRatio!$A$2:$I$321,9,FALSE)))</f>
        <v>13.4</v>
      </c>
      <c r="AN285" s="268">
        <f>IF(ISNUMBER('Sensitivity Tests'!$C$30),'Sensitivity Tests'!$C$30,IF((VLOOKUP($A285,AffordabilityRatio!$A$2:$I$321,9,FALSE))="",AM285,VLOOKUP($A285,AffordabilityRatio!$A$2:$I$321,9,FALSE)))</f>
        <v>13.4</v>
      </c>
      <c r="AO285" s="268">
        <f>IF(ISNUMBER('Sensitivity Tests'!$C$30),'Sensitivity Tests'!$C$30,IF((VLOOKUP($A285,AffordabilityRatio!$A$2:$I$321,9,FALSE))="",AN285,VLOOKUP($A285,AffordabilityRatio!$A$2:$I$321,9,FALSE)))</f>
        <v>13.4</v>
      </c>
      <c r="AP285" s="268">
        <f>IF(ISNUMBER('Sensitivity Tests'!$C$30),'Sensitivity Tests'!$C$30,IF((VLOOKUP($A285,AffordabilityRatio!$A$2:$I$321,9,FALSE))="",AO285,VLOOKUP($A285,AffordabilityRatio!$A$2:$I$321,9,FALSE)))</f>
        <v>13.4</v>
      </c>
      <c r="AQ285" s="267">
        <f t="shared" si="243"/>
        <v>824</v>
      </c>
      <c r="AR285" s="267">
        <f t="shared" si="243"/>
        <v>820</v>
      </c>
      <c r="AS285" s="267">
        <f t="shared" si="243"/>
        <v>803</v>
      </c>
      <c r="AT285" s="267">
        <f t="shared" si="242"/>
        <v>731</v>
      </c>
      <c r="AU285" s="267">
        <f t="shared" si="242"/>
        <v>726</v>
      </c>
      <c r="AV285" s="267">
        <f t="shared" si="242"/>
        <v>701</v>
      </c>
      <c r="AW285" s="267">
        <f t="shared" si="242"/>
        <v>679</v>
      </c>
      <c r="AX285" s="267">
        <f t="shared" si="242"/>
        <v>659</v>
      </c>
      <c r="AY285" s="267">
        <f t="shared" si="218"/>
        <v>824</v>
      </c>
      <c r="AZ285" s="267">
        <f t="shared" si="219"/>
        <v>820</v>
      </c>
      <c r="BA285" s="267">
        <f t="shared" si="220"/>
        <v>803</v>
      </c>
      <c r="BB285" s="267">
        <f t="shared" si="221"/>
        <v>731</v>
      </c>
      <c r="BC285" s="267">
        <f t="shared" si="222"/>
        <v>726</v>
      </c>
      <c r="BD285" s="267">
        <f t="shared" si="223"/>
        <v>701</v>
      </c>
      <c r="BE285" s="267">
        <f t="shared" si="224"/>
        <v>679</v>
      </c>
      <c r="BF285" s="267">
        <f t="shared" si="225"/>
        <v>659</v>
      </c>
      <c r="BG285" s="269">
        <f>AY285*VLOOKUP($B285,'Major Cities &amp; Towns'!$A$28:$B$345,2,FALSE)</f>
        <v>824</v>
      </c>
      <c r="BH285" s="269">
        <f>AZ285*VLOOKUP($B285,'Major Cities &amp; Towns'!$A$28:$B$345,2,FALSE)</f>
        <v>820</v>
      </c>
      <c r="BI285" s="269">
        <f>BA285*VLOOKUP($B285,'Major Cities &amp; Towns'!$A$28:$B$345,2,FALSE)</f>
        <v>803</v>
      </c>
      <c r="BJ285" s="269">
        <f>BB285*VLOOKUP($B285,'Major Cities &amp; Towns'!$A$28:$B$345,2,FALSE)</f>
        <v>731</v>
      </c>
      <c r="BK285" s="269">
        <f>BC285*VLOOKUP($B285,'Major Cities &amp; Towns'!$A$28:$B$345,2,FALSE)</f>
        <v>726</v>
      </c>
      <c r="BL285" s="269">
        <f>BD285*VLOOKUP($B285,'Major Cities &amp; Towns'!$A$28:$B$345,2,FALSE)</f>
        <v>701</v>
      </c>
      <c r="BM285" s="269">
        <f>BE285*VLOOKUP($B285,'Major Cities &amp; Towns'!$A$28:$B$345,2,FALSE)</f>
        <v>679</v>
      </c>
      <c r="BN285" s="269">
        <f>BF285*VLOOKUP($B285,'Major Cities &amp; Towns'!$A$28:$B$345,2,FALSE)</f>
        <v>659</v>
      </c>
      <c r="BO285" s="270">
        <f t="shared" si="226"/>
        <v>824</v>
      </c>
      <c r="BP285" s="270">
        <f t="shared" si="201"/>
        <v>820</v>
      </c>
      <c r="BQ285" s="270">
        <f t="shared" si="201"/>
        <v>803</v>
      </c>
      <c r="BR285" s="270">
        <f t="shared" si="201"/>
        <v>731</v>
      </c>
      <c r="BS285" s="270">
        <f t="shared" si="200"/>
        <v>726</v>
      </c>
      <c r="BT285" s="270">
        <f t="shared" si="200"/>
        <v>701</v>
      </c>
      <c r="BU285" s="270">
        <f t="shared" si="200"/>
        <v>679</v>
      </c>
      <c r="BV285" s="270">
        <f t="shared" si="200"/>
        <v>659</v>
      </c>
      <c r="BW285" s="39">
        <f>VLOOKUP($A285,NetAdditions!$A$2:$H$336,6,FALSE)</f>
        <v>983</v>
      </c>
      <c r="BX285" s="39">
        <f>VLOOKUP($A285,NetAdditions!$A$2:$H$336,7,FALSE)</f>
        <v>485</v>
      </c>
      <c r="BY285" s="39">
        <f>IF((VLOOKUP($C285,NetAdditions!$A$2:$H$336,8,FALSE))="",(AVERAGE(VLOOKUP($C285,NetAdditions!$A$2:$H$336,5,FALSE),VLOOKUP($C285,NetAdditions!$A$2:$H$336,6,FALSE),VLOOKUP($C285,NetAdditions!$A$2:$H$336,7,FALSE))),VLOOKUP($C285,NetAdditions!$A$2:$H$336,8,FALSE))</f>
        <v>340</v>
      </c>
      <c r="BZ285" s="39">
        <f t="shared" si="244"/>
        <v>602.66666666666663</v>
      </c>
      <c r="CA285" s="39">
        <f t="shared" si="244"/>
        <v>475.88888888888886</v>
      </c>
      <c r="CB285" s="39">
        <f t="shared" si="244"/>
        <v>472.85185185185179</v>
      </c>
      <c r="CC285" s="39">
        <f t="shared" si="244"/>
        <v>517.13580246913568</v>
      </c>
      <c r="CD285" s="39">
        <f t="shared" si="244"/>
        <v>488.62551440329207</v>
      </c>
      <c r="CE285" s="276">
        <f t="shared" si="202"/>
        <v>2447</v>
      </c>
      <c r="CF285" s="276">
        <f t="shared" si="203"/>
        <v>2354</v>
      </c>
      <c r="CG285" s="276">
        <f t="shared" si="204"/>
        <v>2260</v>
      </c>
      <c r="CH285" s="276">
        <f t="shared" si="205"/>
        <v>2158</v>
      </c>
      <c r="CI285" s="276">
        <f t="shared" si="206"/>
        <v>2106</v>
      </c>
      <c r="CJ285" s="276">
        <f t="shared" si="207"/>
        <v>2039</v>
      </c>
      <c r="CK285" s="276">
        <f t="shared" si="227"/>
        <v>2107.1388888888891</v>
      </c>
      <c r="CL285" s="276">
        <f t="shared" si="228"/>
        <v>2027.0555555555557</v>
      </c>
      <c r="CM285" s="276">
        <f t="shared" si="229"/>
        <v>2071.6666666666665</v>
      </c>
      <c r="CN285" s="276">
        <f t="shared" si="230"/>
        <v>2158</v>
      </c>
      <c r="CO285" s="276">
        <f t="shared" si="230"/>
        <v>2106</v>
      </c>
      <c r="CP285" s="276">
        <f t="shared" si="230"/>
        <v>2039</v>
      </c>
      <c r="CQ285" s="39">
        <f t="shared" si="208"/>
        <v>1808</v>
      </c>
      <c r="CR285" s="39">
        <f t="shared" si="209"/>
        <v>1427.6666666666665</v>
      </c>
      <c r="CS285" s="277">
        <f t="shared" si="210"/>
        <v>1418.5555555555554</v>
      </c>
      <c r="CT285" s="39">
        <f t="shared" si="211"/>
        <v>1551.4074074074072</v>
      </c>
      <c r="CU285" s="39">
        <f t="shared" si="212"/>
        <v>1465.8765432098762</v>
      </c>
      <c r="CV285" s="39">
        <f t="shared" si="213"/>
        <v>1478.6131687242796</v>
      </c>
      <c r="CW285" s="297">
        <f t="shared" si="214"/>
        <v>0.85803551419117541</v>
      </c>
      <c r="CX285" s="279" t="str">
        <f t="shared" si="231"/>
        <v>Action Plan</v>
      </c>
      <c r="CY285" s="278">
        <f t="shared" si="215"/>
        <v>0.7043056431057636</v>
      </c>
      <c r="CZ285" s="279" t="str">
        <f t="shared" si="232"/>
        <v>Buffer and Action Plan</v>
      </c>
      <c r="DA285" s="278">
        <f t="shared" si="216"/>
        <v>0.68474121748458028</v>
      </c>
      <c r="DB285" s="292" t="str">
        <f t="shared" si="233"/>
        <v>Presumption</v>
      </c>
      <c r="DC285" s="299">
        <f t="shared" si="234"/>
        <v>0.71890982734356212</v>
      </c>
      <c r="DD285" s="293" t="str">
        <f t="shared" si="235"/>
        <v>Presumption</v>
      </c>
      <c r="DE285" s="299">
        <f t="shared" si="236"/>
        <v>0.69604774131523084</v>
      </c>
      <c r="DF285" s="293" t="str">
        <f t="shared" si="237"/>
        <v>Presumption</v>
      </c>
      <c r="DG285" s="299">
        <f t="shared" si="238"/>
        <v>0.72516585028164771</v>
      </c>
      <c r="DH285" s="293" t="str">
        <f t="shared" si="239"/>
        <v>Presumption</v>
      </c>
    </row>
    <row r="286" spans="1:112" ht="15" thickTop="1" thickBot="1">
      <c r="A286" s="38" t="s">
        <v>682</v>
      </c>
      <c r="B286" s="38" t="s">
        <v>683</v>
      </c>
      <c r="C286" s="38" t="s">
        <v>682</v>
      </c>
      <c r="D286" s="38" t="s">
        <v>113</v>
      </c>
      <c r="E286" s="38" t="str">
        <f>VLOOKUP(C286,PoliticalControl!A:K,11,FALSE)</f>
        <v>LD</v>
      </c>
      <c r="F286" s="38" t="str">
        <f>VLOOKUP(C286,UrbanRuralClassification!A:N,13,FALSE)</f>
        <v xml:space="preserve">Largely Rural (rural including hub towns 50-79%) </v>
      </c>
      <c r="G286" s="38" t="str">
        <f>VLOOKUP(C286,UrbanRuralClassification!A:N,14,FALSE)</f>
        <v>Predominantly Rural</v>
      </c>
      <c r="H286" s="258">
        <f>IF(ISBLANK((VLOOKUP($A286,'local-plan-data'!$C$1:$AD$566,27,FALSE)))=TRUE,"",VLOOKUP($A286,'local-plan-data'!$C$1:$AD$566,27,FALSE))</f>
        <v>42718</v>
      </c>
      <c r="I286" s="259">
        <f>VLOOKUP($A286,'local-plan-data'!$C$1:$AD$566,28,FALSE)</f>
        <v>1138</v>
      </c>
      <c r="J286" s="260">
        <f t="shared" si="217"/>
        <v>1138</v>
      </c>
      <c r="K286" s="259">
        <f t="shared" si="240"/>
        <v>1138</v>
      </c>
      <c r="L286" s="259">
        <f t="shared" si="240"/>
        <v>1138</v>
      </c>
      <c r="M286" s="259">
        <f t="shared" si="240"/>
        <v>1138</v>
      </c>
      <c r="N286" s="259">
        <f t="shared" si="240"/>
        <v>1138</v>
      </c>
      <c r="O286" s="259" t="str">
        <f t="shared" si="240"/>
        <v>-</v>
      </c>
      <c r="P286" s="259" t="str">
        <f t="shared" si="240"/>
        <v>-</v>
      </c>
      <c r="Q286" s="259" t="str">
        <f t="shared" si="240"/>
        <v>-</v>
      </c>
      <c r="R286" s="259" t="str">
        <f t="shared" si="240"/>
        <v>-</v>
      </c>
      <c r="S286" s="259">
        <f t="shared" si="241"/>
        <v>1353</v>
      </c>
      <c r="T286" s="259">
        <f t="shared" si="241"/>
        <v>988</v>
      </c>
      <c r="U286" s="259">
        <f t="shared" si="241"/>
        <v>622</v>
      </c>
      <c r="V286" s="259">
        <f t="shared" si="241"/>
        <v>257</v>
      </c>
      <c r="W286" s="259">
        <f t="shared" si="241"/>
        <v>-108</v>
      </c>
      <c r="X286" s="259">
        <f t="shared" si="241"/>
        <v>-473</v>
      </c>
      <c r="Y286" s="259">
        <f t="shared" si="241"/>
        <v>-839</v>
      </c>
      <c r="Z286" s="259">
        <f t="shared" si="241"/>
        <v>-1204</v>
      </c>
      <c r="AA286" s="267">
        <f>(VLOOKUP(A286,Hshldprojections2014!$A$2:$AW$319,40, FALSE)-VLOOKUP(A286,Hshldprojections2014!$A$2:$AW$319,30, FALSE))/10</f>
        <v>504.1</v>
      </c>
      <c r="AB286" s="267">
        <f>(VLOOKUP(A286,Hshldprojections2014!$A$2:$AW$319,41, FALSE)-VLOOKUP(A286,Hshldprojections2014!$A$2:$AW$319,31, FALSE))/10</f>
        <v>496.9</v>
      </c>
      <c r="AC286" s="267">
        <f>(VLOOKUP(A286,Hshldprojections2014!$A$2:$AW$319,42, FALSE)-VLOOKUP(A286,Hshldprojections2014!$A$2:$AW$319,32, FALSE))/10</f>
        <v>490.3</v>
      </c>
      <c r="AD286" s="267">
        <f>IF(IndividualLATest!$J$7=2014,(VLOOKUP($A286,Hshldprojections2014!$A$2:$AY$326,43,FALSE)-VLOOKUP($A286,Hshldprojections2014!$A$2:$AY$326,33,FALSE))/10,IF(IndividualLATest!$J$7=2016,(VLOOKUP($A286,Hshldprojections2016!$A$1:$AQ$322,33,FALSE)-VLOOKUP($A286,Hshldprojections2016!$A$1:$AQ$322,23,FALSE))/10,(VLOOKUP($A286,Hshldprojections2018!$A$1:$AQ$327,33,FALSE)-VLOOKUP($A286,Hshldprojections2018!$A$1:$AQ$327,23,FALSE))/10))</f>
        <v>722.2</v>
      </c>
      <c r="AE286" s="267">
        <f>IF(IndividualLATest!$J$7=2014,(VLOOKUP($A286,Hshldprojections2014!$A$2:$AY$326,44,FALSE)-VLOOKUP($A286,Hshldprojections2014!$A$2:$AY$326,34,FALSE))/10,IF(IndividualLATest!$J$7=2016,(VLOOKUP($A286,Hshldprojections2016!$A$1:$AQ$322,34,FALSE)-VLOOKUP($A286,Hshldprojections2016!$A$1:$AQ$322,24,FALSE))/10,(VLOOKUP($A286,Hshldprojections2018!$A$1:$AQ$327,34,FALSE)-VLOOKUP($A286,Hshldprojections2018!$A$1:$AQ$327,24,FALSE))/10))</f>
        <v>691.8</v>
      </c>
      <c r="AF286" s="267">
        <f>IF(IndividualLATest!$J$7=2014,(VLOOKUP($A286,Hshldprojections2014!$A$2:$AY$326,45,FALSE)-VLOOKUP($A286,Hshldprojections2014!$A$2:$AY$326,35,FALSE))/10,IF(IndividualLATest!$J$7=2016,(VLOOKUP($A286,Hshldprojections2016!$A$1:$AQ$322,35,FALSE)-VLOOKUP($A286,Hshldprojections2016!$A$1:$AQ$322,25,FALSE))/10,(VLOOKUP($A286,Hshldprojections2018!$A$1:$AQ$327,35,FALSE)-VLOOKUP($A286,Hshldprojections2018!$A$1:$AQ$327,25,FALSE))/10))</f>
        <v>664.8</v>
      </c>
      <c r="AG286" s="267">
        <f>IF(IndividualLATest!$J$7=2014,(VLOOKUP($A286,Hshldprojections2014!$A$2:$AY$326,46,FALSE)-VLOOKUP($A286,Hshldprojections2014!$A$2:$AY$326,36,FALSE))/10,IF(IndividualLATest!$J$7=2016,(VLOOKUP($A286,Hshldprojections2016!$A$1:$AQ$322,36,FALSE)-VLOOKUP($A286,Hshldprojections2016!$A$1:$AQ$322,26,FALSE))/10,(VLOOKUP($A286,Hshldprojections2018!$A$1:$AQ$327,36,FALSE)-VLOOKUP($A286,Hshldprojections2018!$A$1:$AQ$327,26,FALSE))/10))</f>
        <v>641.1</v>
      </c>
      <c r="AH286" s="267">
        <f>IF(IndividualLATest!$J$7=2014,(VLOOKUP($A286,Hshldprojections2014!$A$2:$AY$326,47,FALSE)-VLOOKUP($A286,Hshldprojections2014!$A$2:$AY$326,37,FALSE))/10,IF(IndividualLATest!$J$7=2016,(VLOOKUP($A286,Hshldprojections2016!$A$1:$AQ$322,37,FALSE)-VLOOKUP($A286,Hshldprojections2016!$A$1:$AQ$322,27,FALSE))/10,(VLOOKUP($A286,Hshldprojections2018!$A$1:$AQ$327,37,FALSE)-VLOOKUP($A286,Hshldprojections2018!$A$1:$AQ$327,27,FALSE))/10))</f>
        <v>620.5</v>
      </c>
      <c r="AI286" s="268">
        <f>IF(ISNUMBER('Sensitivity Tests'!$C$30),'Sensitivity Tests'!$C$30,VLOOKUP($A286,AffordabilityRatio!$A$2:$I$321,5,FALSE))</f>
        <v>8.9700000000000006</v>
      </c>
      <c r="AJ286" s="268">
        <f>IF(ISNUMBER('Sensitivity Tests'!$C$30),'Sensitivity Tests'!$C$30,VLOOKUP($A286,AffordabilityRatio!$A$2:$I$321,6,FALSE))</f>
        <v>9.8699999999999992</v>
      </c>
      <c r="AK286" s="268">
        <f>IF(ISNUMBER('Sensitivity Tests'!$C$30),'Sensitivity Tests'!$C$30,VLOOKUP($A286,AffordabilityRatio!$A$2:$I$321,7,FALSE))</f>
        <v>9.5299999999999994</v>
      </c>
      <c r="AL286" s="268">
        <f>IF(ISNUMBER('Sensitivity Tests'!$C$30),'Sensitivity Tests'!$C$30,IF((VLOOKUP($A286,AffordabilityRatio!$A$2:$I$321,8,FALSE))="",AK286,VLOOKUP($A286,AffordabilityRatio!$A$2:$I$321,8,FALSE)))</f>
        <v>9.42</v>
      </c>
      <c r="AM286" s="268">
        <f>IF(ISNUMBER('Sensitivity Tests'!$C$30),'Sensitivity Tests'!$C$30,IF((VLOOKUP($A286,AffordabilityRatio!$A$2:$I$321,9,FALSE))="",AL286,VLOOKUP($A286,AffordabilityRatio!$A$2:$I$321,9,FALSE)))</f>
        <v>9.9600000000000009</v>
      </c>
      <c r="AN286" s="268">
        <f>IF(ISNUMBER('Sensitivity Tests'!$C$30),'Sensitivity Tests'!$C$30,IF((VLOOKUP($A286,AffordabilityRatio!$A$2:$I$321,9,FALSE))="",AM286,VLOOKUP($A286,AffordabilityRatio!$A$2:$I$321,9,FALSE)))</f>
        <v>9.9600000000000009</v>
      </c>
      <c r="AO286" s="268">
        <f>IF(ISNUMBER('Sensitivity Tests'!$C$30),'Sensitivity Tests'!$C$30,IF((VLOOKUP($A286,AffordabilityRatio!$A$2:$I$321,9,FALSE))="",AN286,VLOOKUP($A286,AffordabilityRatio!$A$2:$I$321,9,FALSE)))</f>
        <v>9.9600000000000009</v>
      </c>
      <c r="AP286" s="268">
        <f>IF(ISNUMBER('Sensitivity Tests'!$C$30),'Sensitivity Tests'!$C$30,IF((VLOOKUP($A286,AffordabilityRatio!$A$2:$I$321,9,FALSE))="",AO286,VLOOKUP($A286,AffordabilityRatio!$A$2:$I$321,9,FALSE)))</f>
        <v>9.9600000000000009</v>
      </c>
      <c r="AQ286" s="267">
        <f t="shared" si="243"/>
        <v>661</v>
      </c>
      <c r="AR286" s="267">
        <f t="shared" si="243"/>
        <v>679</v>
      </c>
      <c r="AS286" s="267">
        <f t="shared" si="243"/>
        <v>660</v>
      </c>
      <c r="AT286" s="267">
        <f t="shared" si="242"/>
        <v>967</v>
      </c>
      <c r="AU286" s="267">
        <f t="shared" si="242"/>
        <v>949</v>
      </c>
      <c r="AV286" s="267">
        <f t="shared" si="242"/>
        <v>912</v>
      </c>
      <c r="AW286" s="267">
        <f t="shared" si="242"/>
        <v>880</v>
      </c>
      <c r="AX286" s="267">
        <f t="shared" si="242"/>
        <v>852</v>
      </c>
      <c r="AY286" s="267">
        <f t="shared" si="218"/>
        <v>661</v>
      </c>
      <c r="AZ286" s="267">
        <f t="shared" si="219"/>
        <v>679</v>
      </c>
      <c r="BA286" s="267">
        <f t="shared" si="220"/>
        <v>660</v>
      </c>
      <c r="BB286" s="267">
        <f t="shared" si="221"/>
        <v>967</v>
      </c>
      <c r="BC286" s="267">
        <f t="shared" si="222"/>
        <v>949</v>
      </c>
      <c r="BD286" s="267">
        <f t="shared" si="223"/>
        <v>912</v>
      </c>
      <c r="BE286" s="267">
        <f t="shared" si="224"/>
        <v>880</v>
      </c>
      <c r="BF286" s="267">
        <f t="shared" si="225"/>
        <v>852</v>
      </c>
      <c r="BG286" s="269">
        <f>AY286*VLOOKUP($B286,'Major Cities &amp; Towns'!$A$28:$B$345,2,FALSE)</f>
        <v>661</v>
      </c>
      <c r="BH286" s="269">
        <f>AZ286*VLOOKUP($B286,'Major Cities &amp; Towns'!$A$28:$B$345,2,FALSE)</f>
        <v>679</v>
      </c>
      <c r="BI286" s="269">
        <f>BA286*VLOOKUP($B286,'Major Cities &amp; Towns'!$A$28:$B$345,2,FALSE)</f>
        <v>660</v>
      </c>
      <c r="BJ286" s="269">
        <f>BB286*VLOOKUP($B286,'Major Cities &amp; Towns'!$A$28:$B$345,2,FALSE)</f>
        <v>967</v>
      </c>
      <c r="BK286" s="269">
        <f>BC286*VLOOKUP($B286,'Major Cities &amp; Towns'!$A$28:$B$345,2,FALSE)</f>
        <v>949</v>
      </c>
      <c r="BL286" s="269">
        <f>BD286*VLOOKUP($B286,'Major Cities &amp; Towns'!$A$28:$B$345,2,FALSE)</f>
        <v>912</v>
      </c>
      <c r="BM286" s="269">
        <f>BE286*VLOOKUP($B286,'Major Cities &amp; Towns'!$A$28:$B$345,2,FALSE)</f>
        <v>880</v>
      </c>
      <c r="BN286" s="269">
        <f>BF286*VLOOKUP($B286,'Major Cities &amp; Towns'!$A$28:$B$345,2,FALSE)</f>
        <v>852</v>
      </c>
      <c r="BO286" s="270">
        <f t="shared" si="226"/>
        <v>661</v>
      </c>
      <c r="BP286" s="270">
        <f t="shared" si="201"/>
        <v>679</v>
      </c>
      <c r="BQ286" s="270">
        <f t="shared" si="201"/>
        <v>660</v>
      </c>
      <c r="BR286" s="270">
        <f t="shared" si="201"/>
        <v>967</v>
      </c>
      <c r="BS286" s="270">
        <f t="shared" si="200"/>
        <v>949</v>
      </c>
      <c r="BT286" s="270">
        <f t="shared" si="200"/>
        <v>912</v>
      </c>
      <c r="BU286" s="270">
        <f t="shared" si="200"/>
        <v>880</v>
      </c>
      <c r="BV286" s="270">
        <f t="shared" si="200"/>
        <v>852</v>
      </c>
      <c r="BW286" s="39">
        <f>VLOOKUP($A286,NetAdditions!$A$2:$H$336,6,FALSE)</f>
        <v>1251</v>
      </c>
      <c r="BX286" s="39">
        <f>VLOOKUP($A286,NetAdditions!$A$2:$H$336,7,FALSE)</f>
        <v>1405</v>
      </c>
      <c r="BY286" s="39">
        <f>IF((VLOOKUP($C286,NetAdditions!$A$2:$H$336,8,FALSE))="",(AVERAGE(VLOOKUP($C286,NetAdditions!$A$2:$H$336,5,FALSE),VLOOKUP($C286,NetAdditions!$A$2:$H$336,6,FALSE),VLOOKUP($C286,NetAdditions!$A$2:$H$336,7,FALSE))),VLOOKUP($C286,NetAdditions!$A$2:$H$336,8,FALSE))</f>
        <v>1024</v>
      </c>
      <c r="BZ286" s="39">
        <f t="shared" si="244"/>
        <v>1226.6666666666667</v>
      </c>
      <c r="CA286" s="39">
        <f t="shared" si="244"/>
        <v>1218.5555555555557</v>
      </c>
      <c r="CB286" s="39">
        <f t="shared" si="244"/>
        <v>1156.4074074074076</v>
      </c>
      <c r="CC286" s="39">
        <f t="shared" si="244"/>
        <v>1200.5432098765434</v>
      </c>
      <c r="CD286" s="39">
        <f t="shared" si="244"/>
        <v>1191.8353909465022</v>
      </c>
      <c r="CE286" s="276">
        <f t="shared" si="202"/>
        <v>2000</v>
      </c>
      <c r="CF286" s="276">
        <f t="shared" si="203"/>
        <v>2306</v>
      </c>
      <c r="CG286" s="276">
        <f t="shared" si="204"/>
        <v>2576</v>
      </c>
      <c r="CH286" s="276">
        <f t="shared" si="205"/>
        <v>2828</v>
      </c>
      <c r="CI286" s="276">
        <f t="shared" si="206"/>
        <v>2741</v>
      </c>
      <c r="CJ286" s="276">
        <f t="shared" si="207"/>
        <v>2644</v>
      </c>
      <c r="CK286" s="276">
        <f t="shared" si="227"/>
        <v>1722.2222222222224</v>
      </c>
      <c r="CL286" s="276">
        <f t="shared" si="228"/>
        <v>1985.7222222222224</v>
      </c>
      <c r="CM286" s="276">
        <f t="shared" si="229"/>
        <v>2361.333333333333</v>
      </c>
      <c r="CN286" s="276">
        <f t="shared" si="230"/>
        <v>2828</v>
      </c>
      <c r="CO286" s="276">
        <f t="shared" si="230"/>
        <v>2741</v>
      </c>
      <c r="CP286" s="276">
        <f t="shared" si="230"/>
        <v>2644</v>
      </c>
      <c r="CQ286" s="39">
        <f t="shared" si="208"/>
        <v>3680</v>
      </c>
      <c r="CR286" s="39">
        <f t="shared" si="209"/>
        <v>3655.666666666667</v>
      </c>
      <c r="CS286" s="277">
        <f t="shared" si="210"/>
        <v>3469.2222222222226</v>
      </c>
      <c r="CT286" s="39">
        <f t="shared" si="211"/>
        <v>3601.6296296296305</v>
      </c>
      <c r="CU286" s="39">
        <f t="shared" si="212"/>
        <v>3575.5061728395067</v>
      </c>
      <c r="CV286" s="39">
        <f t="shared" si="213"/>
        <v>3548.7860082304533</v>
      </c>
      <c r="CW286" s="297">
        <f t="shared" si="214"/>
        <v>2.136774193548387</v>
      </c>
      <c r="CX286" s="279" t="str">
        <f t="shared" si="231"/>
        <v>Pass</v>
      </c>
      <c r="CY286" s="278">
        <f t="shared" si="215"/>
        <v>1.8409758554122486</v>
      </c>
      <c r="CZ286" s="279" t="str">
        <f t="shared" si="232"/>
        <v>Pass</v>
      </c>
      <c r="DA286" s="278">
        <f t="shared" si="216"/>
        <v>1.4691793713532848</v>
      </c>
      <c r="DB286" s="292" t="str">
        <f t="shared" si="233"/>
        <v>Pass</v>
      </c>
      <c r="DC286" s="299">
        <f t="shared" si="234"/>
        <v>1.273560689402274</v>
      </c>
      <c r="DD286" s="293" t="str">
        <f t="shared" si="235"/>
        <v>Pass</v>
      </c>
      <c r="DE286" s="299">
        <f t="shared" si="236"/>
        <v>1.3044531823566241</v>
      </c>
      <c r="DF286" s="293" t="str">
        <f t="shared" si="237"/>
        <v>Pass</v>
      </c>
      <c r="DG286" s="299">
        <f t="shared" si="238"/>
        <v>1.3422034826892788</v>
      </c>
      <c r="DH286" s="293" t="str">
        <f t="shared" si="239"/>
        <v>Pass</v>
      </c>
    </row>
    <row r="287" spans="1:112" ht="15" thickTop="1" thickBot="1">
      <c r="A287" s="38" t="s">
        <v>684</v>
      </c>
      <c r="B287" s="38" t="s">
        <v>685</v>
      </c>
      <c r="C287" s="38" t="s">
        <v>684</v>
      </c>
      <c r="D287" s="38" t="s">
        <v>136</v>
      </c>
      <c r="E287" s="38" t="str">
        <f>VLOOKUP(C287,PoliticalControl!A:K,11,FALSE)</f>
        <v>LAB</v>
      </c>
      <c r="F287" s="38" t="str">
        <f>VLOOKUP(C287,UrbanRuralClassification!A:N,13,FALSE)</f>
        <v>Urban with City and Town</v>
      </c>
      <c r="G287" s="38" t="str">
        <f>VLOOKUP(C287,UrbanRuralClassification!A:N,14,FALSE)</f>
        <v>Predominantly Urban</v>
      </c>
      <c r="H287" s="258">
        <f>IF(ISBLANK((VLOOKUP($A287,'local-plan-data'!$C$1:$AD$566,27,FALSE)))=TRUE,"",VLOOKUP($A287,'local-plan-data'!$C$1:$AD$566,27,FALSE))</f>
        <v>39918</v>
      </c>
      <c r="I287" s="259">
        <f>VLOOKUP($A287,'local-plan-data'!$C$1:$AD$566,28,FALSE)</f>
        <v>1521.8181818181818</v>
      </c>
      <c r="J287" s="260">
        <f t="shared" si="217"/>
        <v>1521.8181818181818</v>
      </c>
      <c r="K287" s="259" t="str">
        <f t="shared" si="240"/>
        <v>-</v>
      </c>
      <c r="L287" s="259" t="str">
        <f t="shared" si="240"/>
        <v>-</v>
      </c>
      <c r="M287" s="259" t="str">
        <f t="shared" si="240"/>
        <v>-</v>
      </c>
      <c r="N287" s="259" t="str">
        <f t="shared" si="240"/>
        <v>-</v>
      </c>
      <c r="O287" s="259" t="str">
        <f t="shared" si="240"/>
        <v>-</v>
      </c>
      <c r="P287" s="259" t="str">
        <f t="shared" si="240"/>
        <v>-</v>
      </c>
      <c r="Q287" s="259" t="str">
        <f t="shared" si="240"/>
        <v>-</v>
      </c>
      <c r="R287" s="259" t="str">
        <f t="shared" si="240"/>
        <v>-</v>
      </c>
      <c r="S287" s="259">
        <f t="shared" si="241"/>
        <v>-1447</v>
      </c>
      <c r="T287" s="259">
        <f t="shared" si="241"/>
        <v>-1812</v>
      </c>
      <c r="U287" s="259">
        <f t="shared" si="241"/>
        <v>-2178</v>
      </c>
      <c r="V287" s="259">
        <f t="shared" si="241"/>
        <v>-2543</v>
      </c>
      <c r="W287" s="259">
        <f t="shared" si="241"/>
        <v>-2908</v>
      </c>
      <c r="X287" s="259">
        <f t="shared" si="241"/>
        <v>-3273</v>
      </c>
      <c r="Y287" s="259">
        <f t="shared" si="241"/>
        <v>-3639</v>
      </c>
      <c r="Z287" s="259">
        <f t="shared" si="241"/>
        <v>-4004</v>
      </c>
      <c r="AA287" s="267">
        <f>(VLOOKUP(A287,Hshldprojections2014!$A$2:$AW$319,40, FALSE)-VLOOKUP(A287,Hshldprojections2014!$A$2:$AW$319,30, FALSE))/10</f>
        <v>908</v>
      </c>
      <c r="AB287" s="267">
        <f>(VLOOKUP(A287,Hshldprojections2014!$A$2:$AW$319,41, FALSE)-VLOOKUP(A287,Hshldprojections2014!$A$2:$AW$319,31, FALSE))/10</f>
        <v>891.2</v>
      </c>
      <c r="AC287" s="267">
        <f>(VLOOKUP(A287,Hshldprojections2014!$A$2:$AW$319,42, FALSE)-VLOOKUP(A287,Hshldprojections2014!$A$2:$AW$319,32, FALSE))/10</f>
        <v>878.6</v>
      </c>
      <c r="AD287" s="267">
        <f>IF(IndividualLATest!$J$7=2014,(VLOOKUP($A287,Hshldprojections2014!$A$2:$AY$326,43,FALSE)-VLOOKUP($A287,Hshldprojections2014!$A$2:$AY$326,33,FALSE))/10,IF(IndividualLATest!$J$7=2016,(VLOOKUP($A287,Hshldprojections2016!$A$1:$AQ$322,33,FALSE)-VLOOKUP($A287,Hshldprojections2016!$A$1:$AQ$322,23,FALSE))/10,(VLOOKUP($A287,Hshldprojections2018!$A$1:$AQ$327,33,FALSE)-VLOOKUP($A287,Hshldprojections2018!$A$1:$AQ$327,23,FALSE))/10))</f>
        <v>1530.9</v>
      </c>
      <c r="AE287" s="267">
        <f>IF(IndividualLATest!$J$7=2014,(VLOOKUP($A287,Hshldprojections2014!$A$2:$AY$326,44,FALSE)-VLOOKUP($A287,Hshldprojections2014!$A$2:$AY$326,34,FALSE))/10,IF(IndividualLATest!$J$7=2016,(VLOOKUP($A287,Hshldprojections2016!$A$1:$AQ$322,34,FALSE)-VLOOKUP($A287,Hshldprojections2016!$A$1:$AQ$322,24,FALSE))/10,(VLOOKUP($A287,Hshldprojections2018!$A$1:$AQ$327,34,FALSE)-VLOOKUP($A287,Hshldprojections2018!$A$1:$AQ$327,24,FALSE))/10))</f>
        <v>1501.2</v>
      </c>
      <c r="AF287" s="267">
        <f>IF(IndividualLATest!$J$7=2014,(VLOOKUP($A287,Hshldprojections2014!$A$2:$AY$326,45,FALSE)-VLOOKUP($A287,Hshldprojections2014!$A$2:$AY$326,35,FALSE))/10,IF(IndividualLATest!$J$7=2016,(VLOOKUP($A287,Hshldprojections2016!$A$1:$AQ$322,35,FALSE)-VLOOKUP($A287,Hshldprojections2016!$A$1:$AQ$322,25,FALSE))/10,(VLOOKUP($A287,Hshldprojections2018!$A$1:$AQ$327,35,FALSE)-VLOOKUP($A287,Hshldprojections2018!$A$1:$AQ$327,25,FALSE))/10))</f>
        <v>1481.2</v>
      </c>
      <c r="AG287" s="267">
        <f>IF(IndividualLATest!$J$7=2014,(VLOOKUP($A287,Hshldprojections2014!$A$2:$AY$326,46,FALSE)-VLOOKUP($A287,Hshldprojections2014!$A$2:$AY$326,36,FALSE))/10,IF(IndividualLATest!$J$7=2016,(VLOOKUP($A287,Hshldprojections2016!$A$1:$AQ$322,36,FALSE)-VLOOKUP($A287,Hshldprojections2016!$A$1:$AQ$322,26,FALSE))/10,(VLOOKUP($A287,Hshldprojections2018!$A$1:$AQ$327,36,FALSE)-VLOOKUP($A287,Hshldprojections2018!$A$1:$AQ$327,26,FALSE))/10))</f>
        <v>1463.2</v>
      </c>
      <c r="AH287" s="267">
        <f>IF(IndividualLATest!$J$7=2014,(VLOOKUP($A287,Hshldprojections2014!$A$2:$AY$326,47,FALSE)-VLOOKUP($A287,Hshldprojections2014!$A$2:$AY$326,37,FALSE))/10,IF(IndividualLATest!$J$7=2016,(VLOOKUP($A287,Hshldprojections2016!$A$1:$AQ$322,37,FALSE)-VLOOKUP($A287,Hshldprojections2016!$A$1:$AQ$322,27,FALSE))/10,(VLOOKUP($A287,Hshldprojections2018!$A$1:$AQ$327,37,FALSE)-VLOOKUP($A287,Hshldprojections2018!$A$1:$AQ$327,27,FALSE))/10))</f>
        <v>1448.1</v>
      </c>
      <c r="AI287" s="268">
        <f>IF(ISNUMBER('Sensitivity Tests'!$C$30),'Sensitivity Tests'!$C$30,VLOOKUP($A287,AffordabilityRatio!$A$2:$I$321,5,FALSE))</f>
        <v>5.79</v>
      </c>
      <c r="AJ287" s="268">
        <f>IF(ISNUMBER('Sensitivity Tests'!$C$30),'Sensitivity Tests'!$C$30,VLOOKUP($A287,AffordabilityRatio!$A$2:$I$321,6,FALSE))</f>
        <v>5.61</v>
      </c>
      <c r="AK287" s="268">
        <f>IF(ISNUMBER('Sensitivity Tests'!$C$30),'Sensitivity Tests'!$C$30,VLOOKUP($A287,AffordabilityRatio!$A$2:$I$321,7,FALSE))</f>
        <v>5.63</v>
      </c>
      <c r="AL287" s="268">
        <f>IF(ISNUMBER('Sensitivity Tests'!$C$30),'Sensitivity Tests'!$C$30,IF((VLOOKUP($A287,AffordabilityRatio!$A$2:$I$321,8,FALSE))="",AK287,VLOOKUP($A287,AffordabilityRatio!$A$2:$I$321,8,FALSE)))</f>
        <v>5.67</v>
      </c>
      <c r="AM287" s="268">
        <f>IF(ISNUMBER('Sensitivity Tests'!$C$30),'Sensitivity Tests'!$C$30,IF((VLOOKUP($A287,AffordabilityRatio!$A$2:$I$321,9,FALSE))="",AL287,VLOOKUP($A287,AffordabilityRatio!$A$2:$I$321,9,FALSE)))</f>
        <v>5.93</v>
      </c>
      <c r="AN287" s="268">
        <f>IF(ISNUMBER('Sensitivity Tests'!$C$30),'Sensitivity Tests'!$C$30,IF((VLOOKUP($A287,AffordabilityRatio!$A$2:$I$321,9,FALSE))="",AM287,VLOOKUP($A287,AffordabilityRatio!$A$2:$I$321,9,FALSE)))</f>
        <v>5.93</v>
      </c>
      <c r="AO287" s="268">
        <f>IF(ISNUMBER('Sensitivity Tests'!$C$30),'Sensitivity Tests'!$C$30,IF((VLOOKUP($A287,AffordabilityRatio!$A$2:$I$321,9,FALSE))="",AN287,VLOOKUP($A287,AffordabilityRatio!$A$2:$I$321,9,FALSE)))</f>
        <v>5.93</v>
      </c>
      <c r="AP287" s="268">
        <f>IF(ISNUMBER('Sensitivity Tests'!$C$30),'Sensitivity Tests'!$C$30,IF((VLOOKUP($A287,AffordabilityRatio!$A$2:$I$321,9,FALSE))="",AO287,VLOOKUP($A287,AffordabilityRatio!$A$2:$I$321,9,FALSE)))</f>
        <v>5.93</v>
      </c>
      <c r="AQ287" s="267">
        <f t="shared" si="243"/>
        <v>1010</v>
      </c>
      <c r="AR287" s="267">
        <f t="shared" si="243"/>
        <v>981</v>
      </c>
      <c r="AS287" s="267">
        <f t="shared" si="243"/>
        <v>968</v>
      </c>
      <c r="AT287" s="267">
        <f t="shared" si="242"/>
        <v>1691</v>
      </c>
      <c r="AU287" s="267">
        <f t="shared" si="242"/>
        <v>1682</v>
      </c>
      <c r="AV287" s="267">
        <f t="shared" si="242"/>
        <v>1660</v>
      </c>
      <c r="AW287" s="267">
        <f t="shared" si="242"/>
        <v>1640</v>
      </c>
      <c r="AX287" s="267">
        <f t="shared" si="242"/>
        <v>1623</v>
      </c>
      <c r="AY287" s="267">
        <f t="shared" si="218"/>
        <v>1010</v>
      </c>
      <c r="AZ287" s="267">
        <f t="shared" si="219"/>
        <v>981</v>
      </c>
      <c r="BA287" s="267">
        <f t="shared" si="220"/>
        <v>968</v>
      </c>
      <c r="BB287" s="267">
        <f t="shared" si="221"/>
        <v>1691</v>
      </c>
      <c r="BC287" s="267">
        <f t="shared" si="222"/>
        <v>1682</v>
      </c>
      <c r="BD287" s="267">
        <f t="shared" si="223"/>
        <v>1660</v>
      </c>
      <c r="BE287" s="267">
        <f t="shared" si="224"/>
        <v>1640</v>
      </c>
      <c r="BF287" s="267">
        <f t="shared" si="225"/>
        <v>1623</v>
      </c>
      <c r="BG287" s="269">
        <f>AY287*VLOOKUP($B287,'Major Cities &amp; Towns'!$A$28:$B$345,2,FALSE)</f>
        <v>1010</v>
      </c>
      <c r="BH287" s="269">
        <f>AZ287*VLOOKUP($B287,'Major Cities &amp; Towns'!$A$28:$B$345,2,FALSE)</f>
        <v>981</v>
      </c>
      <c r="BI287" s="269">
        <f>BA287*VLOOKUP($B287,'Major Cities &amp; Towns'!$A$28:$B$345,2,FALSE)</f>
        <v>968</v>
      </c>
      <c r="BJ287" s="269">
        <f>BB287*VLOOKUP($B287,'Major Cities &amp; Towns'!$A$28:$B$345,2,FALSE)</f>
        <v>1691</v>
      </c>
      <c r="BK287" s="269">
        <f>BC287*VLOOKUP($B287,'Major Cities &amp; Towns'!$A$28:$B$345,2,FALSE)</f>
        <v>1682</v>
      </c>
      <c r="BL287" s="269">
        <f>BD287*VLOOKUP($B287,'Major Cities &amp; Towns'!$A$28:$B$345,2,FALSE)</f>
        <v>1660</v>
      </c>
      <c r="BM287" s="269">
        <f>BE287*VLOOKUP($B287,'Major Cities &amp; Towns'!$A$28:$B$345,2,FALSE)</f>
        <v>1640</v>
      </c>
      <c r="BN287" s="269">
        <f>BF287*VLOOKUP($B287,'Major Cities &amp; Towns'!$A$28:$B$345,2,FALSE)</f>
        <v>1623</v>
      </c>
      <c r="BO287" s="270">
        <f t="shared" si="226"/>
        <v>1010</v>
      </c>
      <c r="BP287" s="270">
        <f t="shared" si="201"/>
        <v>981</v>
      </c>
      <c r="BQ287" s="270">
        <f t="shared" si="201"/>
        <v>968</v>
      </c>
      <c r="BR287" s="270">
        <f t="shared" si="201"/>
        <v>1691</v>
      </c>
      <c r="BS287" s="270">
        <f t="shared" si="200"/>
        <v>1682</v>
      </c>
      <c r="BT287" s="270">
        <f t="shared" si="200"/>
        <v>1660</v>
      </c>
      <c r="BU287" s="270">
        <f t="shared" si="200"/>
        <v>1640</v>
      </c>
      <c r="BV287" s="270">
        <f t="shared" si="200"/>
        <v>1623</v>
      </c>
      <c r="BW287" s="39">
        <f>VLOOKUP($A287,NetAdditions!$A$2:$H$336,6,FALSE)</f>
        <v>2114</v>
      </c>
      <c r="BX287" s="39">
        <f>VLOOKUP($A287,NetAdditions!$A$2:$H$336,7,FALSE)</f>
        <v>1758</v>
      </c>
      <c r="BY287" s="39">
        <f>IF((VLOOKUP($C287,NetAdditions!$A$2:$H$336,8,FALSE))="",(AVERAGE(VLOOKUP($C287,NetAdditions!$A$2:$H$336,5,FALSE),VLOOKUP($C287,NetAdditions!$A$2:$H$336,6,FALSE),VLOOKUP($C287,NetAdditions!$A$2:$H$336,7,FALSE))),VLOOKUP($C287,NetAdditions!$A$2:$H$336,8,FALSE))</f>
        <v>1227</v>
      </c>
      <c r="BZ287" s="39">
        <f t="shared" si="244"/>
        <v>1699.6666666666667</v>
      </c>
      <c r="CA287" s="39">
        <f t="shared" si="244"/>
        <v>1561.5555555555557</v>
      </c>
      <c r="CB287" s="39">
        <f t="shared" si="244"/>
        <v>1496.0740740740741</v>
      </c>
      <c r="CC287" s="39">
        <f t="shared" si="244"/>
        <v>1585.7654320987656</v>
      </c>
      <c r="CD287" s="39">
        <f t="shared" si="244"/>
        <v>1547.798353909465</v>
      </c>
      <c r="CE287" s="276">
        <f t="shared" si="202"/>
        <v>2959</v>
      </c>
      <c r="CF287" s="276">
        <f t="shared" si="203"/>
        <v>3640</v>
      </c>
      <c r="CG287" s="276">
        <f t="shared" si="204"/>
        <v>4341</v>
      </c>
      <c r="CH287" s="276">
        <f t="shared" si="205"/>
        <v>5033</v>
      </c>
      <c r="CI287" s="276">
        <f t="shared" si="206"/>
        <v>4982</v>
      </c>
      <c r="CJ287" s="276">
        <f t="shared" si="207"/>
        <v>4923</v>
      </c>
      <c r="CK287" s="276">
        <f t="shared" si="227"/>
        <v>2548.0277777777778</v>
      </c>
      <c r="CL287" s="276">
        <f t="shared" si="228"/>
        <v>3134.4444444444448</v>
      </c>
      <c r="CM287" s="276">
        <f t="shared" si="229"/>
        <v>3979.25</v>
      </c>
      <c r="CN287" s="276">
        <f t="shared" si="230"/>
        <v>5033</v>
      </c>
      <c r="CO287" s="276">
        <f t="shared" si="230"/>
        <v>4982</v>
      </c>
      <c r="CP287" s="276">
        <f t="shared" si="230"/>
        <v>4923</v>
      </c>
      <c r="CQ287" s="39">
        <f t="shared" si="208"/>
        <v>5099</v>
      </c>
      <c r="CR287" s="39">
        <f t="shared" si="209"/>
        <v>4684.666666666667</v>
      </c>
      <c r="CS287" s="277">
        <f t="shared" si="210"/>
        <v>4488.2222222222226</v>
      </c>
      <c r="CT287" s="39">
        <f t="shared" si="211"/>
        <v>4757.2962962962965</v>
      </c>
      <c r="CU287" s="39">
        <f t="shared" si="212"/>
        <v>4643.3950617283954</v>
      </c>
      <c r="CV287" s="39">
        <f t="shared" si="213"/>
        <v>4629.6378600823045</v>
      </c>
      <c r="CW287" s="297">
        <f t="shared" si="214"/>
        <v>2.0011555778434302</v>
      </c>
      <c r="CX287" s="279" t="str">
        <f t="shared" si="231"/>
        <v>Pass</v>
      </c>
      <c r="CY287" s="278">
        <f t="shared" si="215"/>
        <v>1.4945763913505847</v>
      </c>
      <c r="CZ287" s="279" t="str">
        <f t="shared" si="232"/>
        <v>Pass</v>
      </c>
      <c r="DA287" s="278">
        <f t="shared" si="216"/>
        <v>1.1279065708920581</v>
      </c>
      <c r="DB287" s="292" t="str">
        <f t="shared" si="233"/>
        <v>Pass</v>
      </c>
      <c r="DC287" s="299">
        <f t="shared" si="234"/>
        <v>0.94522080196628189</v>
      </c>
      <c r="DD287" s="293" t="str">
        <f t="shared" si="235"/>
        <v>Action Plan</v>
      </c>
      <c r="DE287" s="299">
        <f t="shared" si="236"/>
        <v>0.93203433595511753</v>
      </c>
      <c r="DF287" s="293" t="str">
        <f t="shared" si="237"/>
        <v>Action Plan</v>
      </c>
      <c r="DG287" s="299">
        <f t="shared" si="238"/>
        <v>0.94040988423365923</v>
      </c>
      <c r="DH287" s="293" t="str">
        <f t="shared" si="239"/>
        <v>Action Plan</v>
      </c>
    </row>
    <row r="288" spans="1:112" ht="15" thickTop="1" thickBot="1">
      <c r="A288" s="38" t="s">
        <v>686</v>
      </c>
      <c r="B288" s="38" t="s">
        <v>687</v>
      </c>
      <c r="C288" s="38" t="s">
        <v>686</v>
      </c>
      <c r="D288" s="38" t="s">
        <v>154</v>
      </c>
      <c r="E288" s="38" t="str">
        <f>VLOOKUP(C288,PoliticalControl!A:K,11,FALSE)</f>
        <v>CON</v>
      </c>
      <c r="F288" s="38" t="str">
        <f>VLOOKUP(C288,UrbanRuralClassification!A:N,13,FALSE)</f>
        <v>Urban with Major Conurbation</v>
      </c>
      <c r="G288" s="38" t="str">
        <f>VLOOKUP(C288,UrbanRuralClassification!A:N,14,FALSE)</f>
        <v>Predominantly Urban</v>
      </c>
      <c r="H288" s="258">
        <f>IF(ISBLANK((VLOOKUP($A288,'local-plan-data'!$C$1:$AD$566,27,FALSE)))=TRUE,"",VLOOKUP($A288,'local-plan-data'!$C$1:$AD$566,27,FALSE))</f>
        <v>40577</v>
      </c>
      <c r="I288" s="259">
        <f>VLOOKUP($A288,'local-plan-data'!$C$1:$AD$566,28,FALSE)</f>
        <v>598.65</v>
      </c>
      <c r="J288" s="260">
        <f t="shared" si="217"/>
        <v>598.65</v>
      </c>
      <c r="K288" s="259" t="str">
        <f t="shared" si="240"/>
        <v>-</v>
      </c>
      <c r="L288" s="259" t="str">
        <f t="shared" si="240"/>
        <v>-</v>
      </c>
      <c r="M288" s="259" t="str">
        <f t="shared" si="240"/>
        <v>-</v>
      </c>
      <c r="N288" s="259" t="str">
        <f t="shared" si="240"/>
        <v>-</v>
      </c>
      <c r="O288" s="259" t="str">
        <f t="shared" si="240"/>
        <v>-</v>
      </c>
      <c r="P288" s="259" t="str">
        <f t="shared" si="240"/>
        <v>-</v>
      </c>
      <c r="Q288" s="259" t="str">
        <f t="shared" si="240"/>
        <v>-</v>
      </c>
      <c r="R288" s="259" t="str">
        <f t="shared" si="240"/>
        <v>-</v>
      </c>
      <c r="S288" s="259">
        <f t="shared" si="241"/>
        <v>-788</v>
      </c>
      <c r="T288" s="259">
        <f t="shared" si="241"/>
        <v>-1153</v>
      </c>
      <c r="U288" s="259">
        <f t="shared" si="241"/>
        <v>-1519</v>
      </c>
      <c r="V288" s="259">
        <f t="shared" si="241"/>
        <v>-1884</v>
      </c>
      <c r="W288" s="259">
        <f t="shared" si="241"/>
        <v>-2249</v>
      </c>
      <c r="X288" s="259">
        <f t="shared" si="241"/>
        <v>-2614</v>
      </c>
      <c r="Y288" s="259">
        <f t="shared" si="241"/>
        <v>-2980</v>
      </c>
      <c r="Z288" s="259">
        <f t="shared" si="241"/>
        <v>-3345</v>
      </c>
      <c r="AA288" s="267">
        <f>(VLOOKUP(A288,Hshldprojections2014!$A$2:$AW$319,40, FALSE)-VLOOKUP(A288,Hshldprojections2014!$A$2:$AW$319,30, FALSE))/10</f>
        <v>799.3</v>
      </c>
      <c r="AB288" s="267">
        <f>(VLOOKUP(A288,Hshldprojections2014!$A$2:$AW$319,41, FALSE)-VLOOKUP(A288,Hshldprojections2014!$A$2:$AW$319,31, FALSE))/10</f>
        <v>797.7</v>
      </c>
      <c r="AC288" s="267">
        <f>(VLOOKUP(A288,Hshldprojections2014!$A$2:$AW$319,42, FALSE)-VLOOKUP(A288,Hshldprojections2014!$A$2:$AW$319,32, FALSE))/10</f>
        <v>795.5</v>
      </c>
      <c r="AD288" s="267">
        <f>IF(IndividualLATest!$J$7=2014,(VLOOKUP($A288,Hshldprojections2014!$A$2:$AY$326,43,FALSE)-VLOOKUP($A288,Hshldprojections2014!$A$2:$AY$326,33,FALSE))/10,IF(IndividualLATest!$J$7=2016,(VLOOKUP($A288,Hshldprojections2016!$A$1:$AQ$322,33,FALSE)-VLOOKUP($A288,Hshldprojections2016!$A$1:$AQ$322,23,FALSE))/10,(VLOOKUP($A288,Hshldprojections2018!$A$1:$AQ$327,33,FALSE)-VLOOKUP($A288,Hshldprojections2018!$A$1:$AQ$327,23,FALSE))/10))</f>
        <v>765.3</v>
      </c>
      <c r="AE288" s="267">
        <f>IF(IndividualLATest!$J$7=2014,(VLOOKUP($A288,Hshldprojections2014!$A$2:$AY$326,44,FALSE)-VLOOKUP($A288,Hshldprojections2014!$A$2:$AY$326,34,FALSE))/10,IF(IndividualLATest!$J$7=2016,(VLOOKUP($A288,Hshldprojections2016!$A$1:$AQ$322,34,FALSE)-VLOOKUP($A288,Hshldprojections2016!$A$1:$AQ$322,24,FALSE))/10,(VLOOKUP($A288,Hshldprojections2018!$A$1:$AQ$327,34,FALSE)-VLOOKUP($A288,Hshldprojections2018!$A$1:$AQ$327,24,FALSE))/10))</f>
        <v>773.4</v>
      </c>
      <c r="AF288" s="267">
        <f>IF(IndividualLATest!$J$7=2014,(VLOOKUP($A288,Hshldprojections2014!$A$2:$AY$326,45,FALSE)-VLOOKUP($A288,Hshldprojections2014!$A$2:$AY$326,35,FALSE))/10,IF(IndividualLATest!$J$7=2016,(VLOOKUP($A288,Hshldprojections2016!$A$1:$AQ$322,35,FALSE)-VLOOKUP($A288,Hshldprojections2016!$A$1:$AQ$322,25,FALSE))/10,(VLOOKUP($A288,Hshldprojections2018!$A$1:$AQ$327,35,FALSE)-VLOOKUP($A288,Hshldprojections2018!$A$1:$AQ$327,25,FALSE))/10))</f>
        <v>783.2</v>
      </c>
      <c r="AG288" s="267">
        <f>IF(IndividualLATest!$J$7=2014,(VLOOKUP($A288,Hshldprojections2014!$A$2:$AY$326,46,FALSE)-VLOOKUP($A288,Hshldprojections2014!$A$2:$AY$326,36,FALSE))/10,IF(IndividualLATest!$J$7=2016,(VLOOKUP($A288,Hshldprojections2016!$A$1:$AQ$322,36,FALSE)-VLOOKUP($A288,Hshldprojections2016!$A$1:$AQ$322,26,FALSE))/10,(VLOOKUP($A288,Hshldprojections2018!$A$1:$AQ$327,36,FALSE)-VLOOKUP($A288,Hshldprojections2018!$A$1:$AQ$327,26,FALSE))/10))</f>
        <v>792.2</v>
      </c>
      <c r="AH288" s="267">
        <f>IF(IndividualLATest!$J$7=2014,(VLOOKUP($A288,Hshldprojections2014!$A$2:$AY$326,47,FALSE)-VLOOKUP($A288,Hshldprojections2014!$A$2:$AY$326,37,FALSE))/10,IF(IndividualLATest!$J$7=2016,(VLOOKUP($A288,Hshldprojections2016!$A$1:$AQ$322,37,FALSE)-VLOOKUP($A288,Hshldprojections2016!$A$1:$AQ$322,27,FALSE))/10,(VLOOKUP($A288,Hshldprojections2018!$A$1:$AQ$327,37,FALSE)-VLOOKUP($A288,Hshldprojections2018!$A$1:$AQ$327,27,FALSE))/10))</f>
        <v>801.3</v>
      </c>
      <c r="AI288" s="268">
        <f>IF(ISNUMBER('Sensitivity Tests'!$C$30),'Sensitivity Tests'!$C$30,VLOOKUP($A288,AffordabilityRatio!$A$2:$I$321,5,FALSE))</f>
        <v>5.99</v>
      </c>
      <c r="AJ288" s="268">
        <f>IF(ISNUMBER('Sensitivity Tests'!$C$30),'Sensitivity Tests'!$C$30,VLOOKUP($A288,AffordabilityRatio!$A$2:$I$321,6,FALSE))</f>
        <v>6.2</v>
      </c>
      <c r="AK288" s="268">
        <f>IF(ISNUMBER('Sensitivity Tests'!$C$30),'Sensitivity Tests'!$C$30,VLOOKUP($A288,AffordabilityRatio!$A$2:$I$321,7,FALSE))</f>
        <v>5.71</v>
      </c>
      <c r="AL288" s="268">
        <f>IF(ISNUMBER('Sensitivity Tests'!$C$30),'Sensitivity Tests'!$C$30,IF((VLOOKUP($A288,AffordabilityRatio!$A$2:$I$321,8,FALSE))="",AK288,VLOOKUP($A288,AffordabilityRatio!$A$2:$I$321,8,FALSE)))</f>
        <v>5.53</v>
      </c>
      <c r="AM288" s="268">
        <f>IF(ISNUMBER('Sensitivity Tests'!$C$30),'Sensitivity Tests'!$C$30,IF((VLOOKUP($A288,AffordabilityRatio!$A$2:$I$321,9,FALSE))="",AL288,VLOOKUP($A288,AffordabilityRatio!$A$2:$I$321,9,FALSE)))</f>
        <v>6.35</v>
      </c>
      <c r="AN288" s="268">
        <f>IF(ISNUMBER('Sensitivity Tests'!$C$30),'Sensitivity Tests'!$C$30,IF((VLOOKUP($A288,AffordabilityRatio!$A$2:$I$321,9,FALSE))="",AM288,VLOOKUP($A288,AffordabilityRatio!$A$2:$I$321,9,FALSE)))</f>
        <v>6.35</v>
      </c>
      <c r="AO288" s="268">
        <f>IF(ISNUMBER('Sensitivity Tests'!$C$30),'Sensitivity Tests'!$C$30,IF((VLOOKUP($A288,AffordabilityRatio!$A$2:$I$321,9,FALSE))="",AN288,VLOOKUP($A288,AffordabilityRatio!$A$2:$I$321,9,FALSE)))</f>
        <v>6.35</v>
      </c>
      <c r="AP288" s="268">
        <f>IF(ISNUMBER('Sensitivity Tests'!$C$30),'Sensitivity Tests'!$C$30,IF((VLOOKUP($A288,AffordabilityRatio!$A$2:$I$321,9,FALSE))="",AO288,VLOOKUP($A288,AffordabilityRatio!$A$2:$I$321,9,FALSE)))</f>
        <v>6.35</v>
      </c>
      <c r="AQ288" s="267">
        <f t="shared" si="243"/>
        <v>899</v>
      </c>
      <c r="AR288" s="267">
        <f t="shared" si="243"/>
        <v>907</v>
      </c>
      <c r="AS288" s="267">
        <f t="shared" si="243"/>
        <v>881</v>
      </c>
      <c r="AT288" s="267">
        <f t="shared" si="242"/>
        <v>838</v>
      </c>
      <c r="AU288" s="267">
        <f t="shared" si="242"/>
        <v>887</v>
      </c>
      <c r="AV288" s="267">
        <f t="shared" si="242"/>
        <v>898</v>
      </c>
      <c r="AW288" s="267">
        <f t="shared" si="242"/>
        <v>909</v>
      </c>
      <c r="AX288" s="267">
        <f t="shared" si="242"/>
        <v>919</v>
      </c>
      <c r="AY288" s="267">
        <f t="shared" si="218"/>
        <v>899</v>
      </c>
      <c r="AZ288" s="267">
        <f t="shared" si="219"/>
        <v>907</v>
      </c>
      <c r="BA288" s="267">
        <f t="shared" si="220"/>
        <v>881</v>
      </c>
      <c r="BB288" s="267">
        <f t="shared" si="221"/>
        <v>838</v>
      </c>
      <c r="BC288" s="267">
        <f t="shared" si="222"/>
        <v>887</v>
      </c>
      <c r="BD288" s="267">
        <f t="shared" si="223"/>
        <v>898</v>
      </c>
      <c r="BE288" s="267">
        <f t="shared" si="224"/>
        <v>909</v>
      </c>
      <c r="BF288" s="267">
        <f t="shared" si="225"/>
        <v>919</v>
      </c>
      <c r="BG288" s="269">
        <f>AY288*VLOOKUP($B288,'Major Cities &amp; Towns'!$A$28:$B$345,2,FALSE)</f>
        <v>899</v>
      </c>
      <c r="BH288" s="269">
        <f>AZ288*VLOOKUP($B288,'Major Cities &amp; Towns'!$A$28:$B$345,2,FALSE)</f>
        <v>907</v>
      </c>
      <c r="BI288" s="269">
        <f>BA288*VLOOKUP($B288,'Major Cities &amp; Towns'!$A$28:$B$345,2,FALSE)</f>
        <v>881</v>
      </c>
      <c r="BJ288" s="269">
        <f>BB288*VLOOKUP($B288,'Major Cities &amp; Towns'!$A$28:$B$345,2,FALSE)</f>
        <v>838</v>
      </c>
      <c r="BK288" s="269">
        <f>BC288*VLOOKUP($B288,'Major Cities &amp; Towns'!$A$28:$B$345,2,FALSE)</f>
        <v>887</v>
      </c>
      <c r="BL288" s="269">
        <f>BD288*VLOOKUP($B288,'Major Cities &amp; Towns'!$A$28:$B$345,2,FALSE)</f>
        <v>898</v>
      </c>
      <c r="BM288" s="269">
        <f>BE288*VLOOKUP($B288,'Major Cities &amp; Towns'!$A$28:$B$345,2,FALSE)</f>
        <v>909</v>
      </c>
      <c r="BN288" s="269">
        <f>BF288*VLOOKUP($B288,'Major Cities &amp; Towns'!$A$28:$B$345,2,FALSE)</f>
        <v>919</v>
      </c>
      <c r="BO288" s="270">
        <f t="shared" si="226"/>
        <v>899</v>
      </c>
      <c r="BP288" s="270">
        <f t="shared" si="201"/>
        <v>907</v>
      </c>
      <c r="BQ288" s="270">
        <f t="shared" si="201"/>
        <v>881</v>
      </c>
      <c r="BR288" s="270">
        <f t="shared" si="201"/>
        <v>838</v>
      </c>
      <c r="BS288" s="270">
        <f t="shared" si="200"/>
        <v>887</v>
      </c>
      <c r="BT288" s="270">
        <f t="shared" si="200"/>
        <v>898</v>
      </c>
      <c r="BU288" s="270">
        <f t="shared" si="200"/>
        <v>909</v>
      </c>
      <c r="BV288" s="270">
        <f t="shared" si="200"/>
        <v>919</v>
      </c>
      <c r="BW288" s="39">
        <f>VLOOKUP($A288,NetAdditions!$A$2:$H$336,6,FALSE)</f>
        <v>770</v>
      </c>
      <c r="BX288" s="39">
        <f>VLOOKUP($A288,NetAdditions!$A$2:$H$336,7,FALSE)</f>
        <v>615</v>
      </c>
      <c r="BY288" s="39">
        <f>IF((VLOOKUP($C288,NetAdditions!$A$2:$H$336,8,FALSE))="",(AVERAGE(VLOOKUP($C288,NetAdditions!$A$2:$H$336,5,FALSE),VLOOKUP($C288,NetAdditions!$A$2:$H$336,6,FALSE),VLOOKUP($C288,NetAdditions!$A$2:$H$336,7,FALSE))),VLOOKUP($C288,NetAdditions!$A$2:$H$336,8,FALSE))</f>
        <v>145</v>
      </c>
      <c r="BZ288" s="39">
        <f t="shared" si="244"/>
        <v>510</v>
      </c>
      <c r="CA288" s="39">
        <f t="shared" si="244"/>
        <v>423.33333333333331</v>
      </c>
      <c r="CB288" s="39">
        <f t="shared" si="244"/>
        <v>359.4444444444444</v>
      </c>
      <c r="CC288" s="39">
        <f t="shared" si="244"/>
        <v>430.92592592592587</v>
      </c>
      <c r="CD288" s="39">
        <f t="shared" si="244"/>
        <v>404.56790123456784</v>
      </c>
      <c r="CE288" s="276">
        <f t="shared" si="202"/>
        <v>2687</v>
      </c>
      <c r="CF288" s="276">
        <f t="shared" si="203"/>
        <v>2626</v>
      </c>
      <c r="CG288" s="276">
        <f t="shared" si="204"/>
        <v>2606</v>
      </c>
      <c r="CH288" s="276">
        <f t="shared" si="205"/>
        <v>2623</v>
      </c>
      <c r="CI288" s="276">
        <f t="shared" si="206"/>
        <v>2694</v>
      </c>
      <c r="CJ288" s="276">
        <f t="shared" si="207"/>
        <v>2726</v>
      </c>
      <c r="CK288" s="276">
        <f t="shared" si="227"/>
        <v>2313.8055555555557</v>
      </c>
      <c r="CL288" s="276">
        <f t="shared" si="228"/>
        <v>2261.2777777777778</v>
      </c>
      <c r="CM288" s="276">
        <f t="shared" si="229"/>
        <v>2388.833333333333</v>
      </c>
      <c r="CN288" s="276">
        <f t="shared" si="230"/>
        <v>2623</v>
      </c>
      <c r="CO288" s="276">
        <f t="shared" si="230"/>
        <v>2694</v>
      </c>
      <c r="CP288" s="276">
        <f t="shared" si="230"/>
        <v>2726</v>
      </c>
      <c r="CQ288" s="39">
        <f t="shared" si="208"/>
        <v>1530</v>
      </c>
      <c r="CR288" s="39">
        <f t="shared" si="209"/>
        <v>1270</v>
      </c>
      <c r="CS288" s="277">
        <f t="shared" si="210"/>
        <v>1078.3333333333333</v>
      </c>
      <c r="CT288" s="39">
        <f t="shared" si="211"/>
        <v>1292.7777777777776</v>
      </c>
      <c r="CU288" s="39">
        <f t="shared" si="212"/>
        <v>1213.7037037037035</v>
      </c>
      <c r="CV288" s="39">
        <f t="shared" si="213"/>
        <v>1194.9382716049381</v>
      </c>
      <c r="CW288" s="297">
        <f t="shared" si="214"/>
        <v>0.66124830426065762</v>
      </c>
      <c r="CX288" s="279" t="str">
        <f t="shared" si="231"/>
        <v>Buffer and Action Plan</v>
      </c>
      <c r="CY288" s="278">
        <f t="shared" si="215"/>
        <v>0.56162936392894869</v>
      </c>
      <c r="CZ288" s="279" t="str">
        <f t="shared" si="232"/>
        <v>Buffer and Action Plan</v>
      </c>
      <c r="DA288" s="278">
        <f t="shared" si="216"/>
        <v>0.45140584664759648</v>
      </c>
      <c r="DB288" s="292" t="str">
        <f t="shared" si="233"/>
        <v>Presumption</v>
      </c>
      <c r="DC288" s="299">
        <f t="shared" si="234"/>
        <v>0.49286228660990378</v>
      </c>
      <c r="DD288" s="293" t="str">
        <f t="shared" si="235"/>
        <v>Presumption</v>
      </c>
      <c r="DE288" s="299">
        <f t="shared" si="236"/>
        <v>0.45052104814539845</v>
      </c>
      <c r="DF288" s="293" t="str">
        <f t="shared" si="237"/>
        <v>Presumption</v>
      </c>
      <c r="DG288" s="299">
        <f t="shared" si="238"/>
        <v>0.4383485955997572</v>
      </c>
      <c r="DH288" s="293" t="str">
        <f t="shared" si="239"/>
        <v>Presumption</v>
      </c>
    </row>
    <row r="289" spans="1:112" customFormat="1" ht="15.5" thickTop="1" thickBot="1">
      <c r="A289" s="3" t="s">
        <v>688</v>
      </c>
      <c r="B289" s="3" t="s">
        <v>689</v>
      </c>
      <c r="C289" s="3" t="s">
        <v>688</v>
      </c>
      <c r="D289" s="3" t="s">
        <v>131</v>
      </c>
      <c r="E289" s="3" t="str">
        <f>VLOOKUP(C289,PoliticalControl!A:K,11,FALSE)</f>
        <v>LAB</v>
      </c>
      <c r="F289" s="3" t="str">
        <f>VLOOKUP(C289,UrbanRuralClassification!A:N,13,FALSE)</f>
        <v>Urban with Major Conurbation</v>
      </c>
      <c r="G289" s="3" t="str">
        <f>VLOOKUP(C289,UrbanRuralClassification!A:N,14,FALSE)</f>
        <v>Predominantly Urban</v>
      </c>
      <c r="H289" s="262">
        <f>IF(ISBLANK((VLOOKUP($A289,'local-plan-data'!$C$1:$AD$566,27,FALSE)))=TRUE,"",VLOOKUP($A289,'local-plan-data'!$C$1:$AD$566,27,FALSE))</f>
        <v>40969</v>
      </c>
      <c r="I289" s="263">
        <f>VLOOKUP($A289,'local-plan-data'!$C$1:$AD$566,28,FALSE)</f>
        <v>691</v>
      </c>
      <c r="J289" s="264">
        <f t="shared" si="217"/>
        <v>691</v>
      </c>
      <c r="K289" s="259" t="str">
        <f t="shared" si="240"/>
        <v>-</v>
      </c>
      <c r="L289" s="259" t="str">
        <f t="shared" si="240"/>
        <v>-</v>
      </c>
      <c r="M289" s="259" t="str">
        <f t="shared" si="240"/>
        <v>-</v>
      </c>
      <c r="N289" s="259" t="str">
        <f t="shared" si="240"/>
        <v>-</v>
      </c>
      <c r="O289" s="259" t="str">
        <f t="shared" si="240"/>
        <v>-</v>
      </c>
      <c r="P289" s="259" t="str">
        <f t="shared" si="240"/>
        <v>-</v>
      </c>
      <c r="Q289" s="259" t="str">
        <f t="shared" si="240"/>
        <v>-</v>
      </c>
      <c r="R289" s="259" t="str">
        <f t="shared" si="240"/>
        <v>-</v>
      </c>
      <c r="S289" s="259">
        <f t="shared" si="241"/>
        <v>-396</v>
      </c>
      <c r="T289" s="259">
        <f t="shared" si="241"/>
        <v>-761</v>
      </c>
      <c r="U289" s="259">
        <f t="shared" si="241"/>
        <v>-1127</v>
      </c>
      <c r="V289" s="259">
        <f t="shared" si="241"/>
        <v>-1492</v>
      </c>
      <c r="W289" s="259">
        <f t="shared" si="241"/>
        <v>-1857</v>
      </c>
      <c r="X289" s="259">
        <f t="shared" si="241"/>
        <v>-2222</v>
      </c>
      <c r="Y289" s="259">
        <f t="shared" si="241"/>
        <v>-2588</v>
      </c>
      <c r="Z289" s="259">
        <f t="shared" si="241"/>
        <v>-2953</v>
      </c>
      <c r="AA289" s="267">
        <f>(VLOOKUP(A289,Hshldprojections2014!$A$2:$AW$319,40, FALSE)-VLOOKUP(A289,Hshldprojections2014!$A$2:$AW$319,30, FALSE))/10</f>
        <v>1717.9</v>
      </c>
      <c r="AB289" s="267">
        <f>(VLOOKUP(A289,Hshldprojections2014!$A$2:$AW$319,41, FALSE)-VLOOKUP(A289,Hshldprojections2014!$A$2:$AW$319,31, FALSE))/10</f>
        <v>1708.6</v>
      </c>
      <c r="AC289" s="267">
        <f>(VLOOKUP(A289,Hshldprojections2014!$A$2:$AW$319,42, FALSE)-VLOOKUP(A289,Hshldprojections2014!$A$2:$AW$319,32, FALSE))/10</f>
        <v>1696.4</v>
      </c>
      <c r="AD289" s="267">
        <f>IF(IndividualLATest!$J$7=2014,(VLOOKUP($A289,Hshldprojections2014!$A$2:$AY$326,43,FALSE)-VLOOKUP($A289,Hshldprojections2014!$A$2:$AY$326,33,FALSE))/10,IF(IndividualLATest!$J$7=2016,(VLOOKUP($A289,Hshldprojections2016!$A$1:$AQ$322,33,FALSE)-VLOOKUP($A289,Hshldprojections2016!$A$1:$AQ$322,23,FALSE))/10,(VLOOKUP($A289,Hshldprojections2018!$A$1:$AQ$327,33,FALSE)-VLOOKUP($A289,Hshldprojections2018!$A$1:$AQ$327,23,FALSE))/10))</f>
        <v>788.8</v>
      </c>
      <c r="AE289" s="267">
        <f>IF(IndividualLATest!$J$7=2014,(VLOOKUP($A289,Hshldprojections2014!$A$2:$AY$326,44,FALSE)-VLOOKUP($A289,Hshldprojections2014!$A$2:$AY$326,34,FALSE))/10,IF(IndividualLATest!$J$7=2016,(VLOOKUP($A289,Hshldprojections2016!$A$1:$AQ$322,34,FALSE)-VLOOKUP($A289,Hshldprojections2016!$A$1:$AQ$322,24,FALSE))/10,(VLOOKUP($A289,Hshldprojections2018!$A$1:$AQ$327,34,FALSE)-VLOOKUP($A289,Hshldprojections2018!$A$1:$AQ$327,24,FALSE))/10))</f>
        <v>757.6</v>
      </c>
      <c r="AF289" s="267">
        <f>IF(IndividualLATest!$J$7=2014,(VLOOKUP($A289,Hshldprojections2014!$A$2:$AY$326,45,FALSE)-VLOOKUP($A289,Hshldprojections2014!$A$2:$AY$326,35,FALSE))/10,IF(IndividualLATest!$J$7=2016,(VLOOKUP($A289,Hshldprojections2016!$A$1:$AQ$322,35,FALSE)-VLOOKUP($A289,Hshldprojections2016!$A$1:$AQ$322,25,FALSE))/10,(VLOOKUP($A289,Hshldprojections2018!$A$1:$AQ$327,35,FALSE)-VLOOKUP($A289,Hshldprojections2018!$A$1:$AQ$327,25,FALSE))/10))</f>
        <v>724.7</v>
      </c>
      <c r="AG289" s="267">
        <f>IF(IndividualLATest!$J$7=2014,(VLOOKUP($A289,Hshldprojections2014!$A$2:$AY$326,46,FALSE)-VLOOKUP($A289,Hshldprojections2014!$A$2:$AY$326,36,FALSE))/10,IF(IndividualLATest!$J$7=2016,(VLOOKUP($A289,Hshldprojections2016!$A$1:$AQ$322,36,FALSE)-VLOOKUP($A289,Hshldprojections2016!$A$1:$AQ$322,26,FALSE))/10,(VLOOKUP($A289,Hshldprojections2018!$A$1:$AQ$327,36,FALSE)-VLOOKUP($A289,Hshldprojections2018!$A$1:$AQ$327,26,FALSE))/10))</f>
        <v>702.9</v>
      </c>
      <c r="AH289" s="267">
        <f>IF(IndividualLATest!$J$7=2014,(VLOOKUP($A289,Hshldprojections2014!$A$2:$AY$326,47,FALSE)-VLOOKUP($A289,Hshldprojections2014!$A$2:$AY$326,37,FALSE))/10,IF(IndividualLATest!$J$7=2016,(VLOOKUP($A289,Hshldprojections2016!$A$1:$AQ$322,37,FALSE)-VLOOKUP($A289,Hshldprojections2016!$A$1:$AQ$322,27,FALSE))/10,(VLOOKUP($A289,Hshldprojections2018!$A$1:$AQ$327,37,FALSE)-VLOOKUP($A289,Hshldprojections2018!$A$1:$AQ$327,27,FALSE))/10))</f>
        <v>683.9</v>
      </c>
      <c r="AI289" s="268">
        <f>IF(ISNUMBER('Sensitivity Tests'!$C$30),'Sensitivity Tests'!$C$30,VLOOKUP($A289,AffordabilityRatio!$A$2:$I$321,5,FALSE))</f>
        <v>15.64</v>
      </c>
      <c r="AJ289" s="268">
        <f>IF(ISNUMBER('Sensitivity Tests'!$C$30),'Sensitivity Tests'!$C$30,VLOOKUP($A289,AffordabilityRatio!$A$2:$I$321,6,FALSE))</f>
        <v>14.85</v>
      </c>
      <c r="AK289" s="268">
        <f>IF(ISNUMBER('Sensitivity Tests'!$C$30),'Sensitivity Tests'!$C$30,VLOOKUP($A289,AffordabilityRatio!$A$2:$I$321,7,FALSE))</f>
        <v>14.41</v>
      </c>
      <c r="AL289" s="268">
        <f>IF(ISNUMBER('Sensitivity Tests'!$C$30),'Sensitivity Tests'!$C$30,IF((VLOOKUP($A289,AffordabilityRatio!$A$2:$I$321,8,FALSE))="",AK289,VLOOKUP($A289,AffordabilityRatio!$A$2:$I$321,8,FALSE)))</f>
        <v>13.31</v>
      </c>
      <c r="AM289" s="268">
        <f>IF(ISNUMBER('Sensitivity Tests'!$C$30),'Sensitivity Tests'!$C$30,IF((VLOOKUP($A289,AffordabilityRatio!$A$2:$I$321,9,FALSE))="",AL289,VLOOKUP($A289,AffordabilityRatio!$A$2:$I$321,9,FALSE)))</f>
        <v>15.57</v>
      </c>
      <c r="AN289" s="268">
        <f>IF(ISNUMBER('Sensitivity Tests'!$C$30),'Sensitivity Tests'!$C$30,IF((VLOOKUP($A289,AffordabilityRatio!$A$2:$I$321,9,FALSE))="",AM289,VLOOKUP($A289,AffordabilityRatio!$A$2:$I$321,9,FALSE)))</f>
        <v>15.57</v>
      </c>
      <c r="AO289" s="268">
        <f>IF(ISNUMBER('Sensitivity Tests'!$C$30),'Sensitivity Tests'!$C$30,IF((VLOOKUP($A289,AffordabilityRatio!$A$2:$I$321,9,FALSE))="",AN289,VLOOKUP($A289,AffordabilityRatio!$A$2:$I$321,9,FALSE)))</f>
        <v>15.57</v>
      </c>
      <c r="AP289" s="268">
        <f>IF(ISNUMBER('Sensitivity Tests'!$C$30),'Sensitivity Tests'!$C$30,IF((VLOOKUP($A289,AffordabilityRatio!$A$2:$I$321,9,FALSE))="",AO289,VLOOKUP($A289,AffordabilityRatio!$A$2:$I$321,9,FALSE)))</f>
        <v>15.57</v>
      </c>
      <c r="AQ289" s="267">
        <f t="shared" si="243"/>
        <v>2968</v>
      </c>
      <c r="AR289" s="267">
        <f t="shared" si="243"/>
        <v>2867</v>
      </c>
      <c r="AS289" s="267">
        <f t="shared" si="243"/>
        <v>2800</v>
      </c>
      <c r="AT289" s="267">
        <f t="shared" si="242"/>
        <v>1248</v>
      </c>
      <c r="AU289" s="267">
        <f t="shared" si="242"/>
        <v>1305</v>
      </c>
      <c r="AV289" s="267">
        <f t="shared" si="242"/>
        <v>1249</v>
      </c>
      <c r="AW289" s="267">
        <f t="shared" si="242"/>
        <v>1211</v>
      </c>
      <c r="AX289" s="267">
        <f t="shared" si="242"/>
        <v>1178</v>
      </c>
      <c r="AY289" s="267">
        <f t="shared" si="218"/>
        <v>2405.0600000000004</v>
      </c>
      <c r="AZ289" s="267">
        <f t="shared" si="219"/>
        <v>2392.04</v>
      </c>
      <c r="BA289" s="267">
        <f t="shared" si="220"/>
        <v>2374.96</v>
      </c>
      <c r="BB289" s="267">
        <f t="shared" si="221"/>
        <v>1104.32</v>
      </c>
      <c r="BC289" s="267">
        <f t="shared" si="222"/>
        <v>1060.6400000000001</v>
      </c>
      <c r="BD289" s="267">
        <f t="shared" si="223"/>
        <v>1014.5800000000002</v>
      </c>
      <c r="BE289" s="267">
        <f t="shared" si="224"/>
        <v>984.06</v>
      </c>
      <c r="BF289" s="267">
        <f t="shared" si="225"/>
        <v>967.40000000000009</v>
      </c>
      <c r="BG289" s="269">
        <f>AY289*VLOOKUP($B289,'Major Cities &amp; Towns'!$A$28:$B$345,2,FALSE)</f>
        <v>3246.8310000000006</v>
      </c>
      <c r="BH289" s="269">
        <f>AZ289*VLOOKUP($B289,'Major Cities &amp; Towns'!$A$28:$B$345,2,FALSE)</f>
        <v>3229.2540000000004</v>
      </c>
      <c r="BI289" s="269">
        <f>BA289*VLOOKUP($B289,'Major Cities &amp; Towns'!$A$28:$B$345,2,FALSE)</f>
        <v>3206.1960000000004</v>
      </c>
      <c r="BJ289" s="269">
        <f>BB289*VLOOKUP($B289,'Major Cities &amp; Towns'!$A$28:$B$345,2,FALSE)</f>
        <v>1490.8320000000001</v>
      </c>
      <c r="BK289" s="269">
        <f>BC289*VLOOKUP($B289,'Major Cities &amp; Towns'!$A$28:$B$345,2,FALSE)</f>
        <v>1431.8640000000003</v>
      </c>
      <c r="BL289" s="269">
        <f>BD289*VLOOKUP($B289,'Major Cities &amp; Towns'!$A$28:$B$345,2,FALSE)</f>
        <v>1369.6830000000002</v>
      </c>
      <c r="BM289" s="269">
        <f>BE289*VLOOKUP($B289,'Major Cities &amp; Towns'!$A$28:$B$345,2,FALSE)</f>
        <v>1328.481</v>
      </c>
      <c r="BN289" s="269">
        <f>BF289*VLOOKUP($B289,'Major Cities &amp; Towns'!$A$28:$B$345,2,FALSE)</f>
        <v>1305.9900000000002</v>
      </c>
      <c r="BO289" s="270">
        <f t="shared" si="226"/>
        <v>2968</v>
      </c>
      <c r="BP289" s="270">
        <f t="shared" si="201"/>
        <v>2867</v>
      </c>
      <c r="BQ289" s="270">
        <f t="shared" si="201"/>
        <v>2800</v>
      </c>
      <c r="BR289" s="270">
        <f t="shared" si="201"/>
        <v>1248</v>
      </c>
      <c r="BS289" s="270">
        <f t="shared" si="200"/>
        <v>1305</v>
      </c>
      <c r="BT289" s="270">
        <f t="shared" si="200"/>
        <v>1249</v>
      </c>
      <c r="BU289" s="270">
        <f t="shared" si="200"/>
        <v>1211</v>
      </c>
      <c r="BV289" s="270">
        <f t="shared" si="200"/>
        <v>1178</v>
      </c>
      <c r="BW289" s="39">
        <f>VLOOKUP($A289,NetAdditions!$A$2:$H$336,6,FALSE)</f>
        <v>613</v>
      </c>
      <c r="BX289" s="39">
        <f>VLOOKUP($A289,NetAdditions!$A$2:$H$336,7,FALSE)</f>
        <v>915</v>
      </c>
      <c r="BY289" s="39">
        <f>IF((VLOOKUP($C289,NetAdditions!$A$2:$H$336,8,FALSE))="",(AVERAGE(VLOOKUP($C289,NetAdditions!$A$2:$H$336,5,FALSE),VLOOKUP($C289,NetAdditions!$A$2:$H$336,6,FALSE),VLOOKUP($C289,NetAdditions!$A$2:$H$336,7,FALSE))),VLOOKUP($C289,NetAdditions!$A$2:$H$336,8,FALSE))</f>
        <v>1263</v>
      </c>
      <c r="BZ289" s="39">
        <f t="shared" si="244"/>
        <v>930.33333333333337</v>
      </c>
      <c r="CA289" s="39">
        <f t="shared" si="244"/>
        <v>1036.1111111111111</v>
      </c>
      <c r="CB289" s="39">
        <f t="shared" si="244"/>
        <v>1076.4814814814815</v>
      </c>
      <c r="CC289" s="39">
        <f t="shared" si="244"/>
        <v>1014.3086419753087</v>
      </c>
      <c r="CD289" s="39">
        <f t="shared" si="244"/>
        <v>1042.3004115226338</v>
      </c>
      <c r="CE289" s="276">
        <f t="shared" si="202"/>
        <v>8635</v>
      </c>
      <c r="CF289" s="276">
        <f t="shared" si="203"/>
        <v>6915</v>
      </c>
      <c r="CG289" s="276">
        <f t="shared" si="204"/>
        <v>5353</v>
      </c>
      <c r="CH289" s="276">
        <f t="shared" si="205"/>
        <v>3802</v>
      </c>
      <c r="CI289" s="276">
        <f t="shared" si="206"/>
        <v>3765</v>
      </c>
      <c r="CJ289" s="276">
        <f t="shared" si="207"/>
        <v>3638</v>
      </c>
      <c r="CK289" s="276">
        <f t="shared" si="227"/>
        <v>7435.6944444444453</v>
      </c>
      <c r="CL289" s="276">
        <f t="shared" si="228"/>
        <v>5954.5833333333339</v>
      </c>
      <c r="CM289" s="276">
        <f t="shared" si="229"/>
        <v>4906.9166666666661</v>
      </c>
      <c r="CN289" s="276">
        <f t="shared" si="230"/>
        <v>3802</v>
      </c>
      <c r="CO289" s="276">
        <f t="shared" si="230"/>
        <v>3765</v>
      </c>
      <c r="CP289" s="276">
        <f t="shared" si="230"/>
        <v>3638</v>
      </c>
      <c r="CQ289" s="39">
        <f t="shared" si="208"/>
        <v>2791</v>
      </c>
      <c r="CR289" s="39">
        <f t="shared" si="209"/>
        <v>3108.3333333333335</v>
      </c>
      <c r="CS289" s="277">
        <f t="shared" si="210"/>
        <v>3229.4444444444443</v>
      </c>
      <c r="CT289" s="39">
        <f t="shared" si="211"/>
        <v>3042.9259259259261</v>
      </c>
      <c r="CU289" s="39">
        <f t="shared" si="212"/>
        <v>3126.9012345679012</v>
      </c>
      <c r="CV289" s="39">
        <f t="shared" si="213"/>
        <v>3133.0905349794239</v>
      </c>
      <c r="CW289" s="297">
        <f t="shared" si="214"/>
        <v>0.37535162597829536</v>
      </c>
      <c r="CX289" s="279" t="str">
        <f t="shared" si="231"/>
        <v>Buffer and Action Plan</v>
      </c>
      <c r="CY289" s="278">
        <f t="shared" si="215"/>
        <v>0.52200685746273878</v>
      </c>
      <c r="CZ289" s="279" t="str">
        <f t="shared" si="232"/>
        <v>Buffer and Action Plan</v>
      </c>
      <c r="DA289" s="278">
        <f t="shared" si="216"/>
        <v>0.65814128582669595</v>
      </c>
      <c r="DB289" s="292" t="str">
        <f t="shared" si="233"/>
        <v>Presumption</v>
      </c>
      <c r="DC289" s="299">
        <f t="shared" si="234"/>
        <v>0.80034874432559866</v>
      </c>
      <c r="DD289" s="293" t="str">
        <f t="shared" si="235"/>
        <v>Buffer and Action Plan</v>
      </c>
      <c r="DE289" s="299">
        <f t="shared" si="236"/>
        <v>0.83051825619333364</v>
      </c>
      <c r="DF289" s="293" t="str">
        <f t="shared" si="237"/>
        <v>Buffer and Action Plan</v>
      </c>
      <c r="DG289" s="299">
        <f t="shared" si="238"/>
        <v>0.86121235156113907</v>
      </c>
      <c r="DH289" s="293" t="str">
        <f t="shared" si="239"/>
        <v>Action Plan</v>
      </c>
    </row>
    <row r="290" spans="1:112" customFormat="1" ht="15.5" thickTop="1" thickBot="1">
      <c r="A290" s="3" t="s">
        <v>690</v>
      </c>
      <c r="B290" s="3" t="s">
        <v>691</v>
      </c>
      <c r="C290" s="3" t="s">
        <v>690</v>
      </c>
      <c r="D290" s="3" t="s">
        <v>131</v>
      </c>
      <c r="E290" s="3" t="str">
        <f>VLOOKUP(C290,PoliticalControl!A:K,11,FALSE)</f>
        <v>CON</v>
      </c>
      <c r="F290" s="3" t="str">
        <f>VLOOKUP(C290,UrbanRuralClassification!A:N,13,FALSE)</f>
        <v>Urban with Major Conurbation</v>
      </c>
      <c r="G290" s="3" t="str">
        <f>VLOOKUP(C290,UrbanRuralClassification!A:N,14,FALSE)</f>
        <v>Predominantly Urban</v>
      </c>
      <c r="H290" s="262">
        <f>IF(ISBLANK((VLOOKUP($A290,'local-plan-data'!$C$1:$AD$566,27,FALSE)))=TRUE,"",VLOOKUP($A290,'local-plan-data'!$C$1:$AD$566,27,FALSE))</f>
        <v>42438</v>
      </c>
      <c r="I290" s="263">
        <f>VLOOKUP($A290,'local-plan-data'!$C$1:$AD$566,28,FALSE)</f>
        <v>1812</v>
      </c>
      <c r="J290" s="264">
        <f t="shared" si="217"/>
        <v>1812</v>
      </c>
      <c r="K290" s="259">
        <f t="shared" si="240"/>
        <v>1812</v>
      </c>
      <c r="L290" s="259">
        <f t="shared" si="240"/>
        <v>1812</v>
      </c>
      <c r="M290" s="259">
        <f t="shared" si="240"/>
        <v>1812</v>
      </c>
      <c r="N290" s="259" t="str">
        <f t="shared" si="240"/>
        <v>-</v>
      </c>
      <c r="O290" s="259" t="str">
        <f t="shared" si="240"/>
        <v>-</v>
      </c>
      <c r="P290" s="259" t="str">
        <f t="shared" si="240"/>
        <v>-</v>
      </c>
      <c r="Q290" s="259" t="str">
        <f t="shared" si="240"/>
        <v>-</v>
      </c>
      <c r="R290" s="259" t="str">
        <f t="shared" si="240"/>
        <v>-</v>
      </c>
      <c r="S290" s="259">
        <f t="shared" si="241"/>
        <v>1073</v>
      </c>
      <c r="T290" s="259">
        <f t="shared" si="241"/>
        <v>708</v>
      </c>
      <c r="U290" s="259">
        <f t="shared" si="241"/>
        <v>342</v>
      </c>
      <c r="V290" s="259">
        <f t="shared" si="241"/>
        <v>-23</v>
      </c>
      <c r="W290" s="259">
        <f t="shared" si="241"/>
        <v>-388</v>
      </c>
      <c r="X290" s="259">
        <f t="shared" si="241"/>
        <v>-753</v>
      </c>
      <c r="Y290" s="259">
        <f t="shared" si="241"/>
        <v>-1119</v>
      </c>
      <c r="Z290" s="259">
        <f t="shared" si="241"/>
        <v>-1484</v>
      </c>
      <c r="AA290" s="267">
        <f>(VLOOKUP(A290,Hshldprojections2014!$A$2:$AW$319,40, FALSE)-VLOOKUP(A290,Hshldprojections2014!$A$2:$AW$319,30, FALSE))/10</f>
        <v>1437.1</v>
      </c>
      <c r="AB290" s="267">
        <f>(VLOOKUP(A290,Hshldprojections2014!$A$2:$AW$319,41, FALSE)-VLOOKUP(A290,Hshldprojections2014!$A$2:$AW$319,31, FALSE))/10</f>
        <v>1418.3</v>
      </c>
      <c r="AC290" s="267">
        <f>(VLOOKUP(A290,Hshldprojections2014!$A$2:$AW$319,42, FALSE)-VLOOKUP(A290,Hshldprojections2014!$A$2:$AW$319,32, FALSE))/10</f>
        <v>1406.2</v>
      </c>
      <c r="AD290" s="267">
        <f>IF(IndividualLATest!$J$7=2014,(VLOOKUP($A290,Hshldprojections2014!$A$2:$AY$326,43,FALSE)-VLOOKUP($A290,Hshldprojections2014!$A$2:$AY$326,33,FALSE))/10,IF(IndividualLATest!$J$7=2016,(VLOOKUP($A290,Hshldprojections2016!$A$1:$AQ$322,33,FALSE)-VLOOKUP($A290,Hshldprojections2016!$A$1:$AQ$322,23,FALSE))/10,(VLOOKUP($A290,Hshldprojections2018!$A$1:$AQ$327,33,FALSE)-VLOOKUP($A290,Hshldprojections2018!$A$1:$AQ$327,23,FALSE))/10))</f>
        <v>824.5</v>
      </c>
      <c r="AE290" s="267">
        <f>IF(IndividualLATest!$J$7=2014,(VLOOKUP($A290,Hshldprojections2014!$A$2:$AY$326,44,FALSE)-VLOOKUP($A290,Hshldprojections2014!$A$2:$AY$326,34,FALSE))/10,IF(IndividualLATest!$J$7=2016,(VLOOKUP($A290,Hshldprojections2016!$A$1:$AQ$322,34,FALSE)-VLOOKUP($A290,Hshldprojections2016!$A$1:$AQ$322,24,FALSE))/10,(VLOOKUP($A290,Hshldprojections2018!$A$1:$AQ$327,34,FALSE)-VLOOKUP($A290,Hshldprojections2018!$A$1:$AQ$327,24,FALSE))/10))</f>
        <v>803.4</v>
      </c>
      <c r="AF290" s="267">
        <f>IF(IndividualLATest!$J$7=2014,(VLOOKUP($A290,Hshldprojections2014!$A$2:$AY$326,45,FALSE)-VLOOKUP($A290,Hshldprojections2014!$A$2:$AY$326,35,FALSE))/10,IF(IndividualLATest!$J$7=2016,(VLOOKUP($A290,Hshldprojections2016!$A$1:$AQ$322,35,FALSE)-VLOOKUP($A290,Hshldprojections2016!$A$1:$AQ$322,25,FALSE))/10,(VLOOKUP($A290,Hshldprojections2018!$A$1:$AQ$327,35,FALSE)-VLOOKUP($A290,Hshldprojections2018!$A$1:$AQ$327,25,FALSE))/10))</f>
        <v>796.2</v>
      </c>
      <c r="AG290" s="267">
        <f>IF(IndividualLATest!$J$7=2014,(VLOOKUP($A290,Hshldprojections2014!$A$2:$AY$326,46,FALSE)-VLOOKUP($A290,Hshldprojections2014!$A$2:$AY$326,36,FALSE))/10,IF(IndividualLATest!$J$7=2016,(VLOOKUP($A290,Hshldprojections2016!$A$1:$AQ$322,36,FALSE)-VLOOKUP($A290,Hshldprojections2016!$A$1:$AQ$322,26,FALSE))/10,(VLOOKUP($A290,Hshldprojections2018!$A$1:$AQ$327,36,FALSE)-VLOOKUP($A290,Hshldprojections2018!$A$1:$AQ$327,26,FALSE))/10))</f>
        <v>800.4</v>
      </c>
      <c r="AH290" s="267">
        <f>IF(IndividualLATest!$J$7=2014,(VLOOKUP($A290,Hshldprojections2014!$A$2:$AY$326,47,FALSE)-VLOOKUP($A290,Hshldprojections2014!$A$2:$AY$326,37,FALSE))/10,IF(IndividualLATest!$J$7=2016,(VLOOKUP($A290,Hshldprojections2016!$A$1:$AQ$322,37,FALSE)-VLOOKUP($A290,Hshldprojections2016!$A$1:$AQ$322,27,FALSE))/10,(VLOOKUP($A290,Hshldprojections2018!$A$1:$AQ$327,37,FALSE)-VLOOKUP($A290,Hshldprojections2018!$A$1:$AQ$327,27,FALSE))/10))</f>
        <v>810.5</v>
      </c>
      <c r="AI290" s="268">
        <f>IF(ISNUMBER('Sensitivity Tests'!$C$30),'Sensitivity Tests'!$C$30,VLOOKUP($A290,AffordabilityRatio!$A$2:$I$321,5,FALSE))</f>
        <v>19.829999999999998</v>
      </c>
      <c r="AJ290" s="268">
        <f>IF(ISNUMBER('Sensitivity Tests'!$C$30),'Sensitivity Tests'!$C$30,VLOOKUP($A290,AffordabilityRatio!$A$2:$I$321,6,FALSE))</f>
        <v>17.899999999999999</v>
      </c>
      <c r="AK290" s="268">
        <f>IF(ISNUMBER('Sensitivity Tests'!$C$30),'Sensitivity Tests'!$C$30,VLOOKUP($A290,AffordabilityRatio!$A$2:$I$321,7,FALSE))</f>
        <v>17.95</v>
      </c>
      <c r="AL290" s="268">
        <f>IF(ISNUMBER('Sensitivity Tests'!$C$30),'Sensitivity Tests'!$C$30,IF((VLOOKUP($A290,AffordabilityRatio!$A$2:$I$321,8,FALSE))="",AK290,VLOOKUP($A290,AffordabilityRatio!$A$2:$I$321,8,FALSE)))</f>
        <v>19.399999999999999</v>
      </c>
      <c r="AM290" s="268">
        <f>IF(ISNUMBER('Sensitivity Tests'!$C$30),'Sensitivity Tests'!$C$30,IF((VLOOKUP($A290,AffordabilityRatio!$A$2:$I$321,9,FALSE))="",AL290,VLOOKUP($A290,AffordabilityRatio!$A$2:$I$321,9,FALSE)))</f>
        <v>19.100000000000001</v>
      </c>
      <c r="AN290" s="268">
        <f>IF(ISNUMBER('Sensitivity Tests'!$C$30),'Sensitivity Tests'!$C$30,IF((VLOOKUP($A290,AffordabilityRatio!$A$2:$I$321,9,FALSE))="",AM290,VLOOKUP($A290,AffordabilityRatio!$A$2:$I$321,9,FALSE)))</f>
        <v>19.100000000000001</v>
      </c>
      <c r="AO290" s="268">
        <f>IF(ISNUMBER('Sensitivity Tests'!$C$30),'Sensitivity Tests'!$C$30,IF((VLOOKUP($A290,AffordabilityRatio!$A$2:$I$321,9,FALSE))="",AN290,VLOOKUP($A290,AffordabilityRatio!$A$2:$I$321,9,FALSE)))</f>
        <v>19.100000000000001</v>
      </c>
      <c r="AP290" s="268">
        <f>IF(ISNUMBER('Sensitivity Tests'!$C$30),'Sensitivity Tests'!$C$30,IF((VLOOKUP($A290,AffordabilityRatio!$A$2:$I$321,9,FALSE))="",AO290,VLOOKUP($A290,AffordabilityRatio!$A$2:$I$321,9,FALSE)))</f>
        <v>19.100000000000001</v>
      </c>
      <c r="AQ290" s="267">
        <f t="shared" si="243"/>
        <v>2859</v>
      </c>
      <c r="AR290" s="267">
        <f t="shared" si="243"/>
        <v>2650</v>
      </c>
      <c r="AS290" s="267">
        <f t="shared" si="243"/>
        <v>2632</v>
      </c>
      <c r="AT290" s="267">
        <f t="shared" si="242"/>
        <v>1618</v>
      </c>
      <c r="AU290" s="267">
        <f t="shared" si="242"/>
        <v>1562</v>
      </c>
      <c r="AV290" s="267">
        <f t="shared" si="242"/>
        <v>1548</v>
      </c>
      <c r="AW290" s="267">
        <f t="shared" si="242"/>
        <v>1556</v>
      </c>
      <c r="AX290" s="267">
        <f t="shared" si="242"/>
        <v>1575</v>
      </c>
      <c r="AY290" s="267">
        <f t="shared" si="218"/>
        <v>2536.8000000000002</v>
      </c>
      <c r="AZ290" s="267">
        <f t="shared" si="219"/>
        <v>2536.8000000000002</v>
      </c>
      <c r="BA290" s="267">
        <f t="shared" si="220"/>
        <v>2536.8000000000002</v>
      </c>
      <c r="BB290" s="267">
        <f t="shared" si="221"/>
        <v>1618</v>
      </c>
      <c r="BC290" s="267">
        <f t="shared" si="222"/>
        <v>1562</v>
      </c>
      <c r="BD290" s="267">
        <f t="shared" si="223"/>
        <v>1548</v>
      </c>
      <c r="BE290" s="267">
        <f t="shared" si="224"/>
        <v>1556</v>
      </c>
      <c r="BF290" s="267">
        <f t="shared" si="225"/>
        <v>1575</v>
      </c>
      <c r="BG290" s="269">
        <f>AY290*VLOOKUP($B290,'Major Cities &amp; Towns'!$A$28:$B$345,2,FALSE)</f>
        <v>3424.6800000000003</v>
      </c>
      <c r="BH290" s="269">
        <f>AZ290*VLOOKUP($B290,'Major Cities &amp; Towns'!$A$28:$B$345,2,FALSE)</f>
        <v>3424.6800000000003</v>
      </c>
      <c r="BI290" s="269">
        <f>BA290*VLOOKUP($B290,'Major Cities &amp; Towns'!$A$28:$B$345,2,FALSE)</f>
        <v>3424.6800000000003</v>
      </c>
      <c r="BJ290" s="269">
        <f>BB290*VLOOKUP($B290,'Major Cities &amp; Towns'!$A$28:$B$345,2,FALSE)</f>
        <v>2184.3000000000002</v>
      </c>
      <c r="BK290" s="269">
        <f>BC290*VLOOKUP($B290,'Major Cities &amp; Towns'!$A$28:$B$345,2,FALSE)</f>
        <v>2108.7000000000003</v>
      </c>
      <c r="BL290" s="269">
        <f>BD290*VLOOKUP($B290,'Major Cities &amp; Towns'!$A$28:$B$345,2,FALSE)</f>
        <v>2089.8000000000002</v>
      </c>
      <c r="BM290" s="269">
        <f>BE290*VLOOKUP($B290,'Major Cities &amp; Towns'!$A$28:$B$345,2,FALSE)</f>
        <v>2100.6000000000004</v>
      </c>
      <c r="BN290" s="269">
        <f>BF290*VLOOKUP($B290,'Major Cities &amp; Towns'!$A$28:$B$345,2,FALSE)</f>
        <v>2126.25</v>
      </c>
      <c r="BO290" s="270">
        <f t="shared" si="226"/>
        <v>1812</v>
      </c>
      <c r="BP290" s="270">
        <f t="shared" si="201"/>
        <v>1812</v>
      </c>
      <c r="BQ290" s="270">
        <f t="shared" si="201"/>
        <v>1863.6712328767126</v>
      </c>
      <c r="BR290" s="270">
        <f t="shared" si="201"/>
        <v>1618</v>
      </c>
      <c r="BS290" s="270">
        <f t="shared" si="200"/>
        <v>1562</v>
      </c>
      <c r="BT290" s="270">
        <f t="shared" si="200"/>
        <v>1548</v>
      </c>
      <c r="BU290" s="270">
        <f t="shared" si="200"/>
        <v>1556</v>
      </c>
      <c r="BV290" s="270">
        <f t="shared" si="200"/>
        <v>1575</v>
      </c>
      <c r="BW290" s="39">
        <f>VLOOKUP($A290,NetAdditions!$A$2:$H$336,6,FALSE)</f>
        <v>1913</v>
      </c>
      <c r="BX290" s="39">
        <f>VLOOKUP($A290,NetAdditions!$A$2:$H$336,7,FALSE)</f>
        <v>1315</v>
      </c>
      <c r="BY290" s="39">
        <f>IF((VLOOKUP($C290,NetAdditions!$A$2:$H$336,8,FALSE))="",(AVERAGE(VLOOKUP($C290,NetAdditions!$A$2:$H$336,5,FALSE),VLOOKUP($C290,NetAdditions!$A$2:$H$336,6,FALSE),VLOOKUP($C290,NetAdditions!$A$2:$H$336,7,FALSE))),VLOOKUP($C290,NetAdditions!$A$2:$H$336,8,FALSE))</f>
        <v>1415</v>
      </c>
      <c r="BZ290" s="39">
        <f t="shared" si="244"/>
        <v>1547.6666666666667</v>
      </c>
      <c r="CA290" s="39">
        <f t="shared" si="244"/>
        <v>1425.8888888888889</v>
      </c>
      <c r="CB290" s="39">
        <f t="shared" si="244"/>
        <v>1462.851851851852</v>
      </c>
      <c r="CC290" s="39">
        <f t="shared" si="244"/>
        <v>1478.8024691358025</v>
      </c>
      <c r="CD290" s="39">
        <f t="shared" si="244"/>
        <v>1455.8477366255145</v>
      </c>
      <c r="CE290" s="276">
        <f t="shared" si="202"/>
        <v>5487.6712328767126</v>
      </c>
      <c r="CF290" s="276">
        <f t="shared" si="203"/>
        <v>5293.6712328767126</v>
      </c>
      <c r="CG290" s="276">
        <f t="shared" si="204"/>
        <v>5043.6712328767126</v>
      </c>
      <c r="CH290" s="276">
        <f t="shared" si="205"/>
        <v>4728</v>
      </c>
      <c r="CI290" s="276">
        <f t="shared" si="206"/>
        <v>4666</v>
      </c>
      <c r="CJ290" s="276">
        <f t="shared" si="207"/>
        <v>4679</v>
      </c>
      <c r="CK290" s="276">
        <f t="shared" si="227"/>
        <v>4725.4946727549468</v>
      </c>
      <c r="CL290" s="276">
        <f t="shared" si="228"/>
        <v>4558.4391171993921</v>
      </c>
      <c r="CM290" s="276">
        <f t="shared" si="229"/>
        <v>4623.3652968036531</v>
      </c>
      <c r="CN290" s="276">
        <f t="shared" si="230"/>
        <v>4728</v>
      </c>
      <c r="CO290" s="276">
        <f t="shared" si="230"/>
        <v>4666</v>
      </c>
      <c r="CP290" s="276">
        <f t="shared" si="230"/>
        <v>4679</v>
      </c>
      <c r="CQ290" s="39">
        <f t="shared" si="208"/>
        <v>4643</v>
      </c>
      <c r="CR290" s="39">
        <f t="shared" si="209"/>
        <v>4277.666666666667</v>
      </c>
      <c r="CS290" s="277">
        <f t="shared" si="210"/>
        <v>4388.5555555555557</v>
      </c>
      <c r="CT290" s="39">
        <f t="shared" si="211"/>
        <v>4436.4074074074078</v>
      </c>
      <c r="CU290" s="39">
        <f t="shared" si="212"/>
        <v>4367.5432098765432</v>
      </c>
      <c r="CV290" s="39">
        <f t="shared" si="213"/>
        <v>4397.5020576131692</v>
      </c>
      <c r="CW290" s="297">
        <f t="shared" si="214"/>
        <v>0.98254263765641858</v>
      </c>
      <c r="CX290" s="279" t="str">
        <f t="shared" si="231"/>
        <v>Pass</v>
      </c>
      <c r="CY290" s="278">
        <f t="shared" si="215"/>
        <v>0.93840601062908879</v>
      </c>
      <c r="CZ290" s="279" t="str">
        <f t="shared" si="232"/>
        <v>Action Plan</v>
      </c>
      <c r="DA290" s="278">
        <f t="shared" si="216"/>
        <v>0.94921237536423253</v>
      </c>
      <c r="DB290" s="292" t="str">
        <f t="shared" si="233"/>
        <v>Action Plan</v>
      </c>
      <c r="DC290" s="299">
        <f t="shared" si="234"/>
        <v>0.93832643980698138</v>
      </c>
      <c r="DD290" s="293" t="str">
        <f t="shared" si="235"/>
        <v>Action Plan</v>
      </c>
      <c r="DE290" s="299">
        <f t="shared" si="236"/>
        <v>0.93603583580723171</v>
      </c>
      <c r="DF290" s="293" t="str">
        <f t="shared" si="237"/>
        <v>Action Plan</v>
      </c>
      <c r="DG290" s="299">
        <f t="shared" si="238"/>
        <v>0.93983801188569549</v>
      </c>
      <c r="DH290" s="293" t="str">
        <f t="shared" si="239"/>
        <v>Action Plan</v>
      </c>
    </row>
    <row r="291" spans="1:112" ht="15" thickTop="1" thickBot="1">
      <c r="A291" s="38" t="s">
        <v>692</v>
      </c>
      <c r="B291" s="38" t="s">
        <v>693</v>
      </c>
      <c r="C291" s="38" t="s">
        <v>692</v>
      </c>
      <c r="D291" s="38" t="s">
        <v>116</v>
      </c>
      <c r="E291" s="38" t="str">
        <f>VLOOKUP(C291,PoliticalControl!A:K,11,FALSE)</f>
        <v>LAB</v>
      </c>
      <c r="F291" s="38" t="str">
        <f>VLOOKUP(C291,UrbanRuralClassification!A:N,13,FALSE)</f>
        <v>Urban with City and Town</v>
      </c>
      <c r="G291" s="38" t="str">
        <f>VLOOKUP(C291,UrbanRuralClassification!A:N,14,FALSE)</f>
        <v>Predominantly Urban</v>
      </c>
      <c r="H291" s="258">
        <f>IF(ISBLANK((VLOOKUP($A291,'local-plan-data'!$C$1:$AD$566,27,FALSE)))=TRUE,"",VLOOKUP($A291,'local-plan-data'!$C$1:$AD$566,27,FALSE))</f>
        <v>41841</v>
      </c>
      <c r="I291" s="259">
        <f>VLOOKUP($A291,'local-plan-data'!$C$1:$AD$566,28,FALSE)</f>
        <v>0</v>
      </c>
      <c r="J291" s="260">
        <f t="shared" si="217"/>
        <v>0</v>
      </c>
      <c r="K291" s="259">
        <f t="shared" si="240"/>
        <v>0</v>
      </c>
      <c r="L291" s="259">
        <f t="shared" si="240"/>
        <v>0</v>
      </c>
      <c r="M291" s="259" t="str">
        <f t="shared" si="240"/>
        <v>-</v>
      </c>
      <c r="N291" s="259" t="str">
        <f t="shared" si="240"/>
        <v>-</v>
      </c>
      <c r="O291" s="259" t="str">
        <f t="shared" si="240"/>
        <v>-</v>
      </c>
      <c r="P291" s="259" t="str">
        <f t="shared" si="240"/>
        <v>-</v>
      </c>
      <c r="Q291" s="259" t="str">
        <f t="shared" si="240"/>
        <v>-</v>
      </c>
      <c r="R291" s="259" t="str">
        <f t="shared" si="240"/>
        <v>-</v>
      </c>
      <c r="S291" s="259">
        <f t="shared" si="241"/>
        <v>476</v>
      </c>
      <c r="T291" s="259">
        <f t="shared" si="241"/>
        <v>111</v>
      </c>
      <c r="U291" s="259">
        <f t="shared" si="241"/>
        <v>-255</v>
      </c>
      <c r="V291" s="259">
        <f t="shared" si="241"/>
        <v>-620</v>
      </c>
      <c r="W291" s="259">
        <f t="shared" si="241"/>
        <v>-985</v>
      </c>
      <c r="X291" s="259">
        <f t="shared" si="241"/>
        <v>-1350</v>
      </c>
      <c r="Y291" s="259">
        <f t="shared" si="241"/>
        <v>-1716</v>
      </c>
      <c r="Z291" s="259">
        <f t="shared" si="241"/>
        <v>-2081</v>
      </c>
      <c r="AA291" s="267">
        <f>(VLOOKUP(A291,Hshldprojections2014!$A$2:$AW$319,40, FALSE)-VLOOKUP(A291,Hshldprojections2014!$A$2:$AW$319,30, FALSE))/10</f>
        <v>773.1</v>
      </c>
      <c r="AB291" s="267">
        <f>(VLOOKUP(A291,Hshldprojections2014!$A$2:$AW$319,41, FALSE)-VLOOKUP(A291,Hshldprojections2014!$A$2:$AW$319,31, FALSE))/10</f>
        <v>750.6</v>
      </c>
      <c r="AC291" s="267">
        <f>(VLOOKUP(A291,Hshldprojections2014!$A$2:$AW$319,42, FALSE)-VLOOKUP(A291,Hshldprojections2014!$A$2:$AW$319,32, FALSE))/10</f>
        <v>732.9</v>
      </c>
      <c r="AD291" s="267">
        <f>IF(IndividualLATest!$J$7=2014,(VLOOKUP($A291,Hshldprojections2014!$A$2:$AY$326,43,FALSE)-VLOOKUP($A291,Hshldprojections2014!$A$2:$AY$326,33,FALSE))/10,IF(IndividualLATest!$J$7=2016,(VLOOKUP($A291,Hshldprojections2016!$A$1:$AQ$322,33,FALSE)-VLOOKUP($A291,Hshldprojections2016!$A$1:$AQ$322,23,FALSE))/10,(VLOOKUP($A291,Hshldprojections2018!$A$1:$AQ$327,33,FALSE)-VLOOKUP($A291,Hshldprojections2018!$A$1:$AQ$327,23,FALSE))/10))</f>
        <v>401.4</v>
      </c>
      <c r="AE291" s="267">
        <f>IF(IndividualLATest!$J$7=2014,(VLOOKUP($A291,Hshldprojections2014!$A$2:$AY$326,44,FALSE)-VLOOKUP($A291,Hshldprojections2014!$A$2:$AY$326,34,FALSE))/10,IF(IndividualLATest!$J$7=2016,(VLOOKUP($A291,Hshldprojections2016!$A$1:$AQ$322,34,FALSE)-VLOOKUP($A291,Hshldprojections2016!$A$1:$AQ$322,24,FALSE))/10,(VLOOKUP($A291,Hshldprojections2018!$A$1:$AQ$327,34,FALSE)-VLOOKUP($A291,Hshldprojections2018!$A$1:$AQ$327,24,FALSE))/10))</f>
        <v>386</v>
      </c>
      <c r="AF291" s="267">
        <f>IF(IndividualLATest!$J$7=2014,(VLOOKUP($A291,Hshldprojections2014!$A$2:$AY$326,45,FALSE)-VLOOKUP($A291,Hshldprojections2014!$A$2:$AY$326,35,FALSE))/10,IF(IndividualLATest!$J$7=2016,(VLOOKUP($A291,Hshldprojections2016!$A$1:$AQ$322,35,FALSE)-VLOOKUP($A291,Hshldprojections2016!$A$1:$AQ$322,25,FALSE))/10,(VLOOKUP($A291,Hshldprojections2018!$A$1:$AQ$327,35,FALSE)-VLOOKUP($A291,Hshldprojections2018!$A$1:$AQ$327,25,FALSE))/10))</f>
        <v>379.1</v>
      </c>
      <c r="AG291" s="267">
        <f>IF(IndividualLATest!$J$7=2014,(VLOOKUP($A291,Hshldprojections2014!$A$2:$AY$326,46,FALSE)-VLOOKUP($A291,Hshldprojections2014!$A$2:$AY$326,36,FALSE))/10,IF(IndividualLATest!$J$7=2016,(VLOOKUP($A291,Hshldprojections2016!$A$1:$AQ$322,36,FALSE)-VLOOKUP($A291,Hshldprojections2016!$A$1:$AQ$322,26,FALSE))/10,(VLOOKUP($A291,Hshldprojections2018!$A$1:$AQ$327,36,FALSE)-VLOOKUP($A291,Hshldprojections2018!$A$1:$AQ$327,26,FALSE))/10))</f>
        <v>375</v>
      </c>
      <c r="AH291" s="267">
        <f>IF(IndividualLATest!$J$7=2014,(VLOOKUP($A291,Hshldprojections2014!$A$2:$AY$326,47,FALSE)-VLOOKUP($A291,Hshldprojections2014!$A$2:$AY$326,37,FALSE))/10,IF(IndividualLATest!$J$7=2016,(VLOOKUP($A291,Hshldprojections2016!$A$1:$AQ$322,37,FALSE)-VLOOKUP($A291,Hshldprojections2016!$A$1:$AQ$322,27,FALSE))/10,(VLOOKUP($A291,Hshldprojections2018!$A$1:$AQ$327,37,FALSE)-VLOOKUP($A291,Hshldprojections2018!$A$1:$AQ$327,27,FALSE))/10))</f>
        <v>372.7</v>
      </c>
      <c r="AI291" s="268">
        <f>IF(ISNUMBER('Sensitivity Tests'!$C$30),'Sensitivity Tests'!$C$30,VLOOKUP($A291,AffordabilityRatio!$A$2:$I$321,5,FALSE))</f>
        <v>6.35</v>
      </c>
      <c r="AJ291" s="268">
        <f>IF(ISNUMBER('Sensitivity Tests'!$C$30),'Sensitivity Tests'!$C$30,VLOOKUP($A291,AffordabilityRatio!$A$2:$I$321,6,FALSE))</f>
        <v>6.31</v>
      </c>
      <c r="AK291" s="268">
        <f>IF(ISNUMBER('Sensitivity Tests'!$C$30),'Sensitivity Tests'!$C$30,VLOOKUP($A291,AffordabilityRatio!$A$2:$I$321,7,FALSE))</f>
        <v>6.75</v>
      </c>
      <c r="AL291" s="268">
        <f>IF(ISNUMBER('Sensitivity Tests'!$C$30),'Sensitivity Tests'!$C$30,IF((VLOOKUP($A291,AffordabilityRatio!$A$2:$I$321,8,FALSE))="",AK291,VLOOKUP($A291,AffordabilityRatio!$A$2:$I$321,8,FALSE)))</f>
        <v>6.45</v>
      </c>
      <c r="AM291" s="268">
        <f>IF(ISNUMBER('Sensitivity Tests'!$C$30),'Sensitivity Tests'!$C$30,IF((VLOOKUP($A291,AffordabilityRatio!$A$2:$I$321,9,FALSE))="",AL291,VLOOKUP($A291,AffordabilityRatio!$A$2:$I$321,9,FALSE)))</f>
        <v>7.08</v>
      </c>
      <c r="AN291" s="268">
        <f>IF(ISNUMBER('Sensitivity Tests'!$C$30),'Sensitivity Tests'!$C$30,IF((VLOOKUP($A291,AffordabilityRatio!$A$2:$I$321,9,FALSE))="",AM291,VLOOKUP($A291,AffordabilityRatio!$A$2:$I$321,9,FALSE)))</f>
        <v>7.08</v>
      </c>
      <c r="AO291" s="268">
        <f>IF(ISNUMBER('Sensitivity Tests'!$C$30),'Sensitivity Tests'!$C$30,IF((VLOOKUP($A291,AffordabilityRatio!$A$2:$I$321,9,FALSE))="",AN291,VLOOKUP($A291,AffordabilityRatio!$A$2:$I$321,9,FALSE)))</f>
        <v>7.08</v>
      </c>
      <c r="AP291" s="268">
        <f>IF(ISNUMBER('Sensitivity Tests'!$C$30),'Sensitivity Tests'!$C$30,IF((VLOOKUP($A291,AffordabilityRatio!$A$2:$I$321,9,FALSE))="",AO291,VLOOKUP($A291,AffordabilityRatio!$A$2:$I$321,9,FALSE)))</f>
        <v>7.08</v>
      </c>
      <c r="AQ291" s="267">
        <f t="shared" si="243"/>
        <v>887</v>
      </c>
      <c r="AR291" s="267">
        <f t="shared" si="243"/>
        <v>859</v>
      </c>
      <c r="AS291" s="267">
        <f t="shared" si="243"/>
        <v>859</v>
      </c>
      <c r="AT291" s="267">
        <f t="shared" si="242"/>
        <v>463</v>
      </c>
      <c r="AU291" s="267">
        <f t="shared" si="242"/>
        <v>460</v>
      </c>
      <c r="AV291" s="267">
        <f t="shared" si="242"/>
        <v>452</v>
      </c>
      <c r="AW291" s="267">
        <f t="shared" si="242"/>
        <v>447</v>
      </c>
      <c r="AX291" s="267">
        <f t="shared" si="242"/>
        <v>444</v>
      </c>
      <c r="AY291" s="267">
        <f t="shared" si="218"/>
        <v>0</v>
      </c>
      <c r="AZ291" s="267">
        <f t="shared" si="219"/>
        <v>0</v>
      </c>
      <c r="BA291" s="267">
        <f t="shared" si="220"/>
        <v>859</v>
      </c>
      <c r="BB291" s="267">
        <f t="shared" si="221"/>
        <v>463</v>
      </c>
      <c r="BC291" s="267">
        <f t="shared" si="222"/>
        <v>460</v>
      </c>
      <c r="BD291" s="267">
        <f t="shared" si="223"/>
        <v>452</v>
      </c>
      <c r="BE291" s="267">
        <f t="shared" si="224"/>
        <v>447</v>
      </c>
      <c r="BF291" s="267">
        <f t="shared" si="225"/>
        <v>444</v>
      </c>
      <c r="BG291" s="269">
        <f>AY291*VLOOKUP($B291,'Major Cities &amp; Towns'!$A$28:$B$345,2,FALSE)</f>
        <v>0</v>
      </c>
      <c r="BH291" s="269">
        <f>AZ291*VLOOKUP($B291,'Major Cities &amp; Towns'!$A$28:$B$345,2,FALSE)</f>
        <v>0</v>
      </c>
      <c r="BI291" s="269">
        <f>BA291*VLOOKUP($B291,'Major Cities &amp; Towns'!$A$28:$B$345,2,FALSE)</f>
        <v>859</v>
      </c>
      <c r="BJ291" s="269">
        <f>BB291*VLOOKUP($B291,'Major Cities &amp; Towns'!$A$28:$B$345,2,FALSE)</f>
        <v>463</v>
      </c>
      <c r="BK291" s="269">
        <f>BC291*VLOOKUP($B291,'Major Cities &amp; Towns'!$A$28:$B$345,2,FALSE)</f>
        <v>460</v>
      </c>
      <c r="BL291" s="269">
        <f>BD291*VLOOKUP($B291,'Major Cities &amp; Towns'!$A$28:$B$345,2,FALSE)</f>
        <v>452</v>
      </c>
      <c r="BM291" s="269">
        <f>BE291*VLOOKUP($B291,'Major Cities &amp; Towns'!$A$28:$B$345,2,FALSE)</f>
        <v>447</v>
      </c>
      <c r="BN291" s="269">
        <f>BF291*VLOOKUP($B291,'Major Cities &amp; Towns'!$A$28:$B$345,2,FALSE)</f>
        <v>444</v>
      </c>
      <c r="BO291" s="270">
        <f t="shared" si="226"/>
        <v>0</v>
      </c>
      <c r="BP291" s="270">
        <f t="shared" si="201"/>
        <v>597.76986301369868</v>
      </c>
      <c r="BQ291" s="270">
        <f t="shared" si="201"/>
        <v>859</v>
      </c>
      <c r="BR291" s="270">
        <f t="shared" si="201"/>
        <v>463</v>
      </c>
      <c r="BS291" s="270">
        <f t="shared" si="200"/>
        <v>460</v>
      </c>
      <c r="BT291" s="270">
        <f t="shared" si="200"/>
        <v>452</v>
      </c>
      <c r="BU291" s="270">
        <f t="shared" si="200"/>
        <v>447</v>
      </c>
      <c r="BV291" s="270">
        <f t="shared" si="200"/>
        <v>444</v>
      </c>
      <c r="BW291" s="39">
        <f>VLOOKUP($A291,NetAdditions!$A$2:$H$336,6,FALSE)</f>
        <v>503</v>
      </c>
      <c r="BX291" s="39">
        <f>VLOOKUP($A291,NetAdditions!$A$2:$H$336,7,FALSE)</f>
        <v>541</v>
      </c>
      <c r="BY291" s="39">
        <f>IF((VLOOKUP($C291,NetAdditions!$A$2:$H$336,8,FALSE))="",(AVERAGE(VLOOKUP($C291,NetAdditions!$A$2:$H$336,5,FALSE),VLOOKUP($C291,NetAdditions!$A$2:$H$336,6,FALSE),VLOOKUP($C291,NetAdditions!$A$2:$H$336,7,FALSE))),VLOOKUP($C291,NetAdditions!$A$2:$H$336,8,FALSE))</f>
        <v>571</v>
      </c>
      <c r="BZ291" s="39">
        <f t="shared" si="244"/>
        <v>538.33333333333337</v>
      </c>
      <c r="CA291" s="39">
        <f t="shared" si="244"/>
        <v>550.1111111111112</v>
      </c>
      <c r="CB291" s="39">
        <f t="shared" si="244"/>
        <v>553.14814814814827</v>
      </c>
      <c r="CC291" s="39">
        <f t="shared" si="244"/>
        <v>547.19753086419757</v>
      </c>
      <c r="CD291" s="39">
        <f t="shared" si="244"/>
        <v>550.15226337448576</v>
      </c>
      <c r="CE291" s="276">
        <f t="shared" si="202"/>
        <v>1456.7698630136988</v>
      </c>
      <c r="CF291" s="276">
        <f t="shared" si="203"/>
        <v>1919.7698630136988</v>
      </c>
      <c r="CG291" s="276">
        <f t="shared" si="204"/>
        <v>1782</v>
      </c>
      <c r="CH291" s="276">
        <f t="shared" si="205"/>
        <v>1375</v>
      </c>
      <c r="CI291" s="276">
        <f t="shared" si="206"/>
        <v>1359</v>
      </c>
      <c r="CJ291" s="276">
        <f t="shared" si="207"/>
        <v>1343</v>
      </c>
      <c r="CK291" s="276">
        <f t="shared" si="227"/>
        <v>1254.4407153729073</v>
      </c>
      <c r="CL291" s="276">
        <f t="shared" si="228"/>
        <v>1653.1351598173519</v>
      </c>
      <c r="CM291" s="276">
        <f t="shared" si="229"/>
        <v>1633.5</v>
      </c>
      <c r="CN291" s="276">
        <f t="shared" si="230"/>
        <v>1375</v>
      </c>
      <c r="CO291" s="276">
        <f t="shared" si="230"/>
        <v>1359</v>
      </c>
      <c r="CP291" s="276">
        <f t="shared" si="230"/>
        <v>1343</v>
      </c>
      <c r="CQ291" s="39">
        <f t="shared" si="208"/>
        <v>1615</v>
      </c>
      <c r="CR291" s="39">
        <f t="shared" si="209"/>
        <v>1650.3333333333335</v>
      </c>
      <c r="CS291" s="277">
        <f t="shared" si="210"/>
        <v>1659.4444444444448</v>
      </c>
      <c r="CT291" s="39">
        <f t="shared" si="211"/>
        <v>1641.5925925925928</v>
      </c>
      <c r="CU291" s="39">
        <f t="shared" si="212"/>
        <v>1650.4567901234573</v>
      </c>
      <c r="CV291" s="39">
        <f t="shared" si="213"/>
        <v>1650.4979423868317</v>
      </c>
      <c r="CW291" s="297">
        <f t="shared" si="214"/>
        <v>1.2874263249020177</v>
      </c>
      <c r="CX291" s="279" t="str">
        <f t="shared" si="231"/>
        <v>Pass</v>
      </c>
      <c r="CY291" s="278">
        <f t="shared" si="215"/>
        <v>0.99830514373408641</v>
      </c>
      <c r="CZ291" s="279" t="str">
        <f t="shared" si="232"/>
        <v>Pass</v>
      </c>
      <c r="DA291" s="278">
        <f t="shared" si="216"/>
        <v>1.0158827330544504</v>
      </c>
      <c r="DB291" s="292" t="str">
        <f t="shared" si="233"/>
        <v>Pass</v>
      </c>
      <c r="DC291" s="299">
        <f t="shared" si="234"/>
        <v>1.193885521885522</v>
      </c>
      <c r="DD291" s="293" t="str">
        <f t="shared" si="235"/>
        <v>Pass</v>
      </c>
      <c r="DE291" s="299">
        <f t="shared" si="236"/>
        <v>1.2144641575595712</v>
      </c>
      <c r="DF291" s="293" t="str">
        <f t="shared" si="237"/>
        <v>Pass</v>
      </c>
      <c r="DG291" s="299">
        <f t="shared" si="238"/>
        <v>1.2289634716208724</v>
      </c>
      <c r="DH291" s="293" t="str">
        <f t="shared" si="239"/>
        <v>Pass</v>
      </c>
    </row>
    <row r="292" spans="1:112" ht="15" thickTop="1" thickBot="1">
      <c r="A292" s="38" t="s">
        <v>694</v>
      </c>
      <c r="B292" s="38" t="s">
        <v>695</v>
      </c>
      <c r="C292" s="38" t="s">
        <v>694</v>
      </c>
      <c r="D292" s="38" t="s">
        <v>154</v>
      </c>
      <c r="E292" s="38" t="str">
        <f>VLOOKUP(C292,PoliticalControl!A:K,11,FALSE)</f>
        <v>NOC</v>
      </c>
      <c r="F292" s="38" t="str">
        <f>VLOOKUP(C292,UrbanRuralClassification!A:N,13,FALSE)</f>
        <v>Urban with City and Town</v>
      </c>
      <c r="G292" s="38" t="str">
        <f>VLOOKUP(C292,UrbanRuralClassification!A:N,14,FALSE)</f>
        <v>Predominantly Urban</v>
      </c>
      <c r="H292" s="258">
        <f>IF(ISBLANK((VLOOKUP($A292,'local-plan-data'!$C$1:$AD$566,27,FALSE)))=TRUE,"",VLOOKUP($A292,'local-plan-data'!$C$1:$AD$566,27,FALSE))</f>
        <v>42999</v>
      </c>
      <c r="I292" s="259">
        <f>VLOOKUP($A292,'local-plan-data'!$C$1:$AD$566,28,FALSE)</f>
        <v>932</v>
      </c>
      <c r="J292" s="260">
        <f t="shared" si="217"/>
        <v>932</v>
      </c>
      <c r="K292" s="259">
        <f t="shared" si="240"/>
        <v>932</v>
      </c>
      <c r="L292" s="259">
        <f t="shared" si="240"/>
        <v>932</v>
      </c>
      <c r="M292" s="259">
        <f t="shared" si="240"/>
        <v>932</v>
      </c>
      <c r="N292" s="259">
        <f t="shared" si="240"/>
        <v>932</v>
      </c>
      <c r="O292" s="259">
        <f t="shared" si="240"/>
        <v>932</v>
      </c>
      <c r="P292" s="259" t="str">
        <f t="shared" si="240"/>
        <v>-</v>
      </c>
      <c r="Q292" s="259" t="str">
        <f t="shared" si="240"/>
        <v>-</v>
      </c>
      <c r="R292" s="259" t="str">
        <f t="shared" si="240"/>
        <v>-</v>
      </c>
      <c r="S292" s="259">
        <f t="shared" si="241"/>
        <v>1634</v>
      </c>
      <c r="T292" s="259">
        <f t="shared" si="241"/>
        <v>1269</v>
      </c>
      <c r="U292" s="259">
        <f t="shared" si="241"/>
        <v>903</v>
      </c>
      <c r="V292" s="259">
        <f t="shared" si="241"/>
        <v>538</v>
      </c>
      <c r="W292" s="259">
        <f t="shared" si="241"/>
        <v>173</v>
      </c>
      <c r="X292" s="259">
        <f t="shared" si="241"/>
        <v>-192</v>
      </c>
      <c r="Y292" s="259">
        <f t="shared" si="241"/>
        <v>-558</v>
      </c>
      <c r="Z292" s="259">
        <f t="shared" si="241"/>
        <v>-923</v>
      </c>
      <c r="AA292" s="267">
        <f>(VLOOKUP(A292,Hshldprojections2014!$A$2:$AW$319,40, FALSE)-VLOOKUP(A292,Hshldprojections2014!$A$2:$AW$319,30, FALSE))/10</f>
        <v>474.7</v>
      </c>
      <c r="AB292" s="267">
        <f>(VLOOKUP(A292,Hshldprojections2014!$A$2:$AW$319,41, FALSE)-VLOOKUP(A292,Hshldprojections2014!$A$2:$AW$319,31, FALSE))/10</f>
        <v>479.1</v>
      </c>
      <c r="AC292" s="267">
        <f>(VLOOKUP(A292,Hshldprojections2014!$A$2:$AW$319,42, FALSE)-VLOOKUP(A292,Hshldprojections2014!$A$2:$AW$319,32, FALSE))/10</f>
        <v>475.9</v>
      </c>
      <c r="AD292" s="267">
        <f>IF(IndividualLATest!$J$7=2014,(VLOOKUP($A292,Hshldprojections2014!$A$2:$AY$326,43,FALSE)-VLOOKUP($A292,Hshldprojections2014!$A$2:$AY$326,33,FALSE))/10,IF(IndividualLATest!$J$7=2016,(VLOOKUP($A292,Hshldprojections2016!$A$1:$AQ$322,33,FALSE)-VLOOKUP($A292,Hshldprojections2016!$A$1:$AQ$322,23,FALSE))/10,(VLOOKUP($A292,Hshldprojections2018!$A$1:$AQ$327,33,FALSE)-VLOOKUP($A292,Hshldprojections2018!$A$1:$AQ$327,23,FALSE))/10))</f>
        <v>493.3</v>
      </c>
      <c r="AE292" s="267">
        <f>IF(IndividualLATest!$J$7=2014,(VLOOKUP($A292,Hshldprojections2014!$A$2:$AY$326,44,FALSE)-VLOOKUP($A292,Hshldprojections2014!$A$2:$AY$326,34,FALSE))/10,IF(IndividualLATest!$J$7=2016,(VLOOKUP($A292,Hshldprojections2016!$A$1:$AQ$322,34,FALSE)-VLOOKUP($A292,Hshldprojections2016!$A$1:$AQ$322,24,FALSE))/10,(VLOOKUP($A292,Hshldprojections2018!$A$1:$AQ$327,34,FALSE)-VLOOKUP($A292,Hshldprojections2018!$A$1:$AQ$327,24,FALSE))/10))</f>
        <v>495.1</v>
      </c>
      <c r="AF292" s="267">
        <f>IF(IndividualLATest!$J$7=2014,(VLOOKUP($A292,Hshldprojections2014!$A$2:$AY$326,45,FALSE)-VLOOKUP($A292,Hshldprojections2014!$A$2:$AY$326,35,FALSE))/10,IF(IndividualLATest!$J$7=2016,(VLOOKUP($A292,Hshldprojections2016!$A$1:$AQ$322,35,FALSE)-VLOOKUP($A292,Hshldprojections2016!$A$1:$AQ$322,25,FALSE))/10,(VLOOKUP($A292,Hshldprojections2018!$A$1:$AQ$327,35,FALSE)-VLOOKUP($A292,Hshldprojections2018!$A$1:$AQ$327,25,FALSE))/10))</f>
        <v>494.7</v>
      </c>
      <c r="AG292" s="267">
        <f>IF(IndividualLATest!$J$7=2014,(VLOOKUP($A292,Hshldprojections2014!$A$2:$AY$326,46,FALSE)-VLOOKUP($A292,Hshldprojections2014!$A$2:$AY$326,36,FALSE))/10,IF(IndividualLATest!$J$7=2016,(VLOOKUP($A292,Hshldprojections2016!$A$1:$AQ$322,36,FALSE)-VLOOKUP($A292,Hshldprojections2016!$A$1:$AQ$322,26,FALSE))/10,(VLOOKUP($A292,Hshldprojections2018!$A$1:$AQ$327,36,FALSE)-VLOOKUP($A292,Hshldprojections2018!$A$1:$AQ$327,26,FALSE))/10))</f>
        <v>489.4</v>
      </c>
      <c r="AH292" s="267">
        <f>IF(IndividualLATest!$J$7=2014,(VLOOKUP($A292,Hshldprojections2014!$A$2:$AY$326,47,FALSE)-VLOOKUP($A292,Hshldprojections2014!$A$2:$AY$326,37,FALSE))/10,IF(IndividualLATest!$J$7=2016,(VLOOKUP($A292,Hshldprojections2016!$A$1:$AQ$322,37,FALSE)-VLOOKUP($A292,Hshldprojections2016!$A$1:$AQ$322,27,FALSE))/10,(VLOOKUP($A292,Hshldprojections2018!$A$1:$AQ$327,37,FALSE)-VLOOKUP($A292,Hshldprojections2018!$A$1:$AQ$327,27,FALSE))/10))</f>
        <v>483</v>
      </c>
      <c r="AI292" s="268">
        <f>IF(ISNUMBER('Sensitivity Tests'!$C$30),'Sensitivity Tests'!$C$30,VLOOKUP($A292,AffordabilityRatio!$A$2:$I$321,5,FALSE))</f>
        <v>9.27</v>
      </c>
      <c r="AJ292" s="268">
        <f>IF(ISNUMBER('Sensitivity Tests'!$C$30),'Sensitivity Tests'!$C$30,VLOOKUP($A292,AffordabilityRatio!$A$2:$I$321,6,FALSE))</f>
        <v>9.6199999999999992</v>
      </c>
      <c r="AK292" s="268">
        <f>IF(ISNUMBER('Sensitivity Tests'!$C$30),'Sensitivity Tests'!$C$30,VLOOKUP($A292,AffordabilityRatio!$A$2:$I$321,7,FALSE))</f>
        <v>9.07</v>
      </c>
      <c r="AL292" s="268">
        <f>IF(ISNUMBER('Sensitivity Tests'!$C$30),'Sensitivity Tests'!$C$30,IF((VLOOKUP($A292,AffordabilityRatio!$A$2:$I$321,8,FALSE))="",AK292,VLOOKUP($A292,AffordabilityRatio!$A$2:$I$321,8,FALSE)))</f>
        <v>9.18</v>
      </c>
      <c r="AM292" s="268">
        <f>IF(ISNUMBER('Sensitivity Tests'!$C$30),'Sensitivity Tests'!$C$30,IF((VLOOKUP($A292,AffordabilityRatio!$A$2:$I$321,9,FALSE))="",AL292,VLOOKUP($A292,AffordabilityRatio!$A$2:$I$321,9,FALSE)))</f>
        <v>10.73</v>
      </c>
      <c r="AN292" s="268">
        <f>IF(ISNUMBER('Sensitivity Tests'!$C$30),'Sensitivity Tests'!$C$30,IF((VLOOKUP($A292,AffordabilityRatio!$A$2:$I$321,9,FALSE))="",AM292,VLOOKUP($A292,AffordabilityRatio!$A$2:$I$321,9,FALSE)))</f>
        <v>10.73</v>
      </c>
      <c r="AO292" s="268">
        <f>IF(ISNUMBER('Sensitivity Tests'!$C$30),'Sensitivity Tests'!$C$30,IF((VLOOKUP($A292,AffordabilityRatio!$A$2:$I$321,9,FALSE))="",AN292,VLOOKUP($A292,AffordabilityRatio!$A$2:$I$321,9,FALSE)))</f>
        <v>10.73</v>
      </c>
      <c r="AP292" s="268">
        <f>IF(ISNUMBER('Sensitivity Tests'!$C$30),'Sensitivity Tests'!$C$30,IF((VLOOKUP($A292,AffordabilityRatio!$A$2:$I$321,9,FALSE))="",AO292,VLOOKUP($A292,AffordabilityRatio!$A$2:$I$321,9,FALSE)))</f>
        <v>10.73</v>
      </c>
      <c r="AQ292" s="267">
        <f t="shared" si="243"/>
        <v>631</v>
      </c>
      <c r="AR292" s="267">
        <f t="shared" si="243"/>
        <v>647</v>
      </c>
      <c r="AS292" s="267">
        <f t="shared" si="243"/>
        <v>627</v>
      </c>
      <c r="AT292" s="267">
        <f t="shared" si="242"/>
        <v>653</v>
      </c>
      <c r="AU292" s="267">
        <f t="shared" si="242"/>
        <v>703</v>
      </c>
      <c r="AV292" s="267">
        <f t="shared" si="242"/>
        <v>703</v>
      </c>
      <c r="AW292" s="267">
        <f t="shared" si="242"/>
        <v>695</v>
      </c>
      <c r="AX292" s="267">
        <f t="shared" si="242"/>
        <v>686</v>
      </c>
      <c r="AY292" s="267">
        <f t="shared" si="218"/>
        <v>631</v>
      </c>
      <c r="AZ292" s="267">
        <f t="shared" si="219"/>
        <v>647</v>
      </c>
      <c r="BA292" s="267">
        <f t="shared" si="220"/>
        <v>627</v>
      </c>
      <c r="BB292" s="267">
        <f t="shared" si="221"/>
        <v>653</v>
      </c>
      <c r="BC292" s="267">
        <f t="shared" si="222"/>
        <v>703</v>
      </c>
      <c r="BD292" s="267">
        <f t="shared" si="223"/>
        <v>703</v>
      </c>
      <c r="BE292" s="267">
        <f t="shared" si="224"/>
        <v>695</v>
      </c>
      <c r="BF292" s="267">
        <f t="shared" si="225"/>
        <v>686</v>
      </c>
      <c r="BG292" s="269">
        <f>AY292*VLOOKUP($B292,'Major Cities &amp; Towns'!$A$28:$B$345,2,FALSE)</f>
        <v>631</v>
      </c>
      <c r="BH292" s="269">
        <f>AZ292*VLOOKUP($B292,'Major Cities &amp; Towns'!$A$28:$B$345,2,FALSE)</f>
        <v>647</v>
      </c>
      <c r="BI292" s="269">
        <f>BA292*VLOOKUP($B292,'Major Cities &amp; Towns'!$A$28:$B$345,2,FALSE)</f>
        <v>627</v>
      </c>
      <c r="BJ292" s="269">
        <f>BB292*VLOOKUP($B292,'Major Cities &amp; Towns'!$A$28:$B$345,2,FALSE)</f>
        <v>653</v>
      </c>
      <c r="BK292" s="269">
        <f>BC292*VLOOKUP($B292,'Major Cities &amp; Towns'!$A$28:$B$345,2,FALSE)</f>
        <v>703</v>
      </c>
      <c r="BL292" s="269">
        <f>BD292*VLOOKUP($B292,'Major Cities &amp; Towns'!$A$28:$B$345,2,FALSE)</f>
        <v>703</v>
      </c>
      <c r="BM292" s="269">
        <f>BE292*VLOOKUP($B292,'Major Cities &amp; Towns'!$A$28:$B$345,2,FALSE)</f>
        <v>695</v>
      </c>
      <c r="BN292" s="269">
        <f>BF292*VLOOKUP($B292,'Major Cities &amp; Towns'!$A$28:$B$345,2,FALSE)</f>
        <v>686</v>
      </c>
      <c r="BO292" s="270">
        <f t="shared" si="226"/>
        <v>631</v>
      </c>
      <c r="BP292" s="270">
        <f t="shared" si="201"/>
        <v>647</v>
      </c>
      <c r="BQ292" s="270">
        <f t="shared" si="201"/>
        <v>627</v>
      </c>
      <c r="BR292" s="270">
        <f t="shared" si="201"/>
        <v>653</v>
      </c>
      <c r="BS292" s="270">
        <f t="shared" si="200"/>
        <v>703</v>
      </c>
      <c r="BT292" s="270">
        <f t="shared" si="200"/>
        <v>703</v>
      </c>
      <c r="BU292" s="270">
        <f t="shared" si="200"/>
        <v>695</v>
      </c>
      <c r="BV292" s="270">
        <f t="shared" si="200"/>
        <v>686</v>
      </c>
      <c r="BW292" s="39">
        <f>VLOOKUP($A292,NetAdditions!$A$2:$H$336,6,FALSE)</f>
        <v>961</v>
      </c>
      <c r="BX292" s="39">
        <f>VLOOKUP($A292,NetAdditions!$A$2:$H$336,7,FALSE)</f>
        <v>1036</v>
      </c>
      <c r="BY292" s="39">
        <f>IF((VLOOKUP($C292,NetAdditions!$A$2:$H$336,8,FALSE))="",(AVERAGE(VLOOKUP($C292,NetAdditions!$A$2:$H$336,5,FALSE),VLOOKUP($C292,NetAdditions!$A$2:$H$336,6,FALSE),VLOOKUP($C292,NetAdditions!$A$2:$H$336,7,FALSE))),VLOOKUP($C292,NetAdditions!$A$2:$H$336,8,FALSE))</f>
        <v>752</v>
      </c>
      <c r="BZ292" s="39">
        <f t="shared" si="244"/>
        <v>916.33333333333337</v>
      </c>
      <c r="CA292" s="39">
        <f t="shared" si="244"/>
        <v>901.44444444444446</v>
      </c>
      <c r="CB292" s="39">
        <f t="shared" si="244"/>
        <v>856.59259259259261</v>
      </c>
      <c r="CC292" s="39">
        <f t="shared" si="244"/>
        <v>891.45679012345681</v>
      </c>
      <c r="CD292" s="39">
        <f t="shared" si="244"/>
        <v>883.16460905349788</v>
      </c>
      <c r="CE292" s="276">
        <f t="shared" si="202"/>
        <v>1905</v>
      </c>
      <c r="CF292" s="276">
        <f t="shared" si="203"/>
        <v>1927</v>
      </c>
      <c r="CG292" s="276">
        <f t="shared" si="204"/>
        <v>1983</v>
      </c>
      <c r="CH292" s="276">
        <f t="shared" si="205"/>
        <v>2059</v>
      </c>
      <c r="CI292" s="276">
        <f t="shared" si="206"/>
        <v>2101</v>
      </c>
      <c r="CJ292" s="276">
        <f t="shared" si="207"/>
        <v>2084</v>
      </c>
      <c r="CK292" s="276">
        <f t="shared" si="227"/>
        <v>1640.4166666666667</v>
      </c>
      <c r="CL292" s="276">
        <f t="shared" si="228"/>
        <v>1659.3611111111113</v>
      </c>
      <c r="CM292" s="276">
        <f t="shared" si="229"/>
        <v>1817.75</v>
      </c>
      <c r="CN292" s="276">
        <f t="shared" si="230"/>
        <v>2059</v>
      </c>
      <c r="CO292" s="276">
        <f t="shared" si="230"/>
        <v>2101</v>
      </c>
      <c r="CP292" s="276">
        <f t="shared" si="230"/>
        <v>2084</v>
      </c>
      <c r="CQ292" s="39">
        <f t="shared" si="208"/>
        <v>2749</v>
      </c>
      <c r="CR292" s="39">
        <f t="shared" si="209"/>
        <v>2704.3333333333335</v>
      </c>
      <c r="CS292" s="277">
        <f t="shared" si="210"/>
        <v>2569.7777777777778</v>
      </c>
      <c r="CT292" s="39">
        <f t="shared" si="211"/>
        <v>2674.3703703703704</v>
      </c>
      <c r="CU292" s="39">
        <f t="shared" si="212"/>
        <v>2649.4938271604938</v>
      </c>
      <c r="CV292" s="39">
        <f t="shared" si="213"/>
        <v>2631.2139917695472</v>
      </c>
      <c r="CW292" s="297">
        <f t="shared" si="214"/>
        <v>1.675793751587503</v>
      </c>
      <c r="CX292" s="279" t="str">
        <f t="shared" si="231"/>
        <v>Pass</v>
      </c>
      <c r="CY292" s="278">
        <f t="shared" si="215"/>
        <v>1.6297437099285199</v>
      </c>
      <c r="CZ292" s="279" t="str">
        <f t="shared" si="232"/>
        <v>Pass</v>
      </c>
      <c r="DA292" s="278">
        <f t="shared" si="216"/>
        <v>1.4137135347422791</v>
      </c>
      <c r="DB292" s="292" t="str">
        <f t="shared" si="233"/>
        <v>Pass</v>
      </c>
      <c r="DC292" s="299">
        <f t="shared" si="234"/>
        <v>1.2988685625888152</v>
      </c>
      <c r="DD292" s="293" t="str">
        <f t="shared" si="235"/>
        <v>Pass</v>
      </c>
      <c r="DE292" s="299">
        <f t="shared" si="236"/>
        <v>1.2610632209236048</v>
      </c>
      <c r="DF292" s="293" t="str">
        <f t="shared" si="237"/>
        <v>Pass</v>
      </c>
      <c r="DG292" s="299">
        <f t="shared" si="238"/>
        <v>1.2625786908683048</v>
      </c>
      <c r="DH292" s="293" t="str">
        <f t="shared" si="239"/>
        <v>Pass</v>
      </c>
    </row>
    <row r="293" spans="1:112" ht="15" thickTop="1" thickBot="1">
      <c r="A293" s="38" t="s">
        <v>696</v>
      </c>
      <c r="B293" s="38" t="s">
        <v>697</v>
      </c>
      <c r="C293" s="38" t="s">
        <v>696</v>
      </c>
      <c r="D293" s="38" t="s">
        <v>128</v>
      </c>
      <c r="E293" s="38" t="str">
        <f>VLOOKUP(C293,PoliticalControl!A:K,11,FALSE)</f>
        <v>LD</v>
      </c>
      <c r="F293" s="38" t="str">
        <f>VLOOKUP(C293,UrbanRuralClassification!A:N,13,FALSE)</f>
        <v>Urban with Major Conurbation</v>
      </c>
      <c r="G293" s="38" t="str">
        <f>VLOOKUP(C293,UrbanRuralClassification!A:N,14,FALSE)</f>
        <v>Predominantly Urban</v>
      </c>
      <c r="H293" s="258">
        <f>IF(ISBLANK((VLOOKUP($A293,'local-plan-data'!$C$1:$AD$566,27,FALSE)))=TRUE,"",VLOOKUP($A293,'local-plan-data'!$C$1:$AD$566,27,FALSE))</f>
        <v>41304</v>
      </c>
      <c r="I293" s="259">
        <f>VLOOKUP($A293,'local-plan-data'!$C$1:$AD$566,28,FALSE)</f>
        <v>260</v>
      </c>
      <c r="J293" s="260">
        <f t="shared" si="217"/>
        <v>260</v>
      </c>
      <c r="K293" s="259" t="str">
        <f t="shared" si="240"/>
        <v>-</v>
      </c>
      <c r="L293" s="259" t="str">
        <f t="shared" si="240"/>
        <v>-</v>
      </c>
      <c r="M293" s="259" t="str">
        <f t="shared" si="240"/>
        <v>-</v>
      </c>
      <c r="N293" s="259" t="str">
        <f t="shared" si="240"/>
        <v>-</v>
      </c>
      <c r="O293" s="259" t="str">
        <f t="shared" si="240"/>
        <v>-</v>
      </c>
      <c r="P293" s="259" t="str">
        <f t="shared" si="240"/>
        <v>-</v>
      </c>
      <c r="Q293" s="259" t="str">
        <f t="shared" si="240"/>
        <v>-</v>
      </c>
      <c r="R293" s="259" t="str">
        <f t="shared" si="240"/>
        <v>-</v>
      </c>
      <c r="S293" s="259">
        <f t="shared" si="241"/>
        <v>-61</v>
      </c>
      <c r="T293" s="259">
        <f t="shared" si="241"/>
        <v>-426</v>
      </c>
      <c r="U293" s="259">
        <f t="shared" si="241"/>
        <v>-792</v>
      </c>
      <c r="V293" s="259">
        <f t="shared" si="241"/>
        <v>-1157</v>
      </c>
      <c r="W293" s="259">
        <f t="shared" si="241"/>
        <v>-1522</v>
      </c>
      <c r="X293" s="259">
        <f t="shared" si="241"/>
        <v>-1887</v>
      </c>
      <c r="Y293" s="259">
        <f t="shared" si="241"/>
        <v>-2253</v>
      </c>
      <c r="Z293" s="259">
        <f t="shared" si="241"/>
        <v>-2618</v>
      </c>
      <c r="AA293" s="267">
        <f>(VLOOKUP(A293,Hshldprojections2014!$A$2:$AW$319,40, FALSE)-VLOOKUP(A293,Hshldprojections2014!$A$2:$AW$319,30, FALSE))/10</f>
        <v>570.20000000000005</v>
      </c>
      <c r="AB293" s="267">
        <f>(VLOOKUP(A293,Hshldprojections2014!$A$2:$AW$319,41, FALSE)-VLOOKUP(A293,Hshldprojections2014!$A$2:$AW$319,31, FALSE))/10</f>
        <v>566.29999999999995</v>
      </c>
      <c r="AC293" s="267">
        <f>(VLOOKUP(A293,Hshldprojections2014!$A$2:$AW$319,42, FALSE)-VLOOKUP(A293,Hshldprojections2014!$A$2:$AW$319,32, FALSE))/10</f>
        <v>562</v>
      </c>
      <c r="AD293" s="267">
        <f>IF(IndividualLATest!$J$7=2014,(VLOOKUP($A293,Hshldprojections2014!$A$2:$AY$326,43,FALSE)-VLOOKUP($A293,Hshldprojections2014!$A$2:$AY$326,33,FALSE))/10,IF(IndividualLATest!$J$7=2016,(VLOOKUP($A293,Hshldprojections2016!$A$1:$AQ$322,33,FALSE)-VLOOKUP($A293,Hshldprojections2016!$A$1:$AQ$322,23,FALSE))/10,(VLOOKUP($A293,Hshldprojections2018!$A$1:$AQ$327,33,FALSE)-VLOOKUP($A293,Hshldprojections2018!$A$1:$AQ$327,23,FALSE))/10))</f>
        <v>109.2</v>
      </c>
      <c r="AE293" s="267">
        <f>IF(IndividualLATest!$J$7=2014,(VLOOKUP($A293,Hshldprojections2014!$A$2:$AY$326,44,FALSE)-VLOOKUP($A293,Hshldprojections2014!$A$2:$AY$326,34,FALSE))/10,IF(IndividualLATest!$J$7=2016,(VLOOKUP($A293,Hshldprojections2016!$A$1:$AQ$322,34,FALSE)-VLOOKUP($A293,Hshldprojections2016!$A$1:$AQ$322,24,FALSE))/10,(VLOOKUP($A293,Hshldprojections2018!$A$1:$AQ$327,34,FALSE)-VLOOKUP($A293,Hshldprojections2018!$A$1:$AQ$327,24,FALSE))/10))</f>
        <v>107.9</v>
      </c>
      <c r="AF293" s="267">
        <f>IF(IndividualLATest!$J$7=2014,(VLOOKUP($A293,Hshldprojections2014!$A$2:$AY$326,45,FALSE)-VLOOKUP($A293,Hshldprojections2014!$A$2:$AY$326,35,FALSE))/10,IF(IndividualLATest!$J$7=2016,(VLOOKUP($A293,Hshldprojections2016!$A$1:$AQ$322,35,FALSE)-VLOOKUP($A293,Hshldprojections2016!$A$1:$AQ$322,25,FALSE))/10,(VLOOKUP($A293,Hshldprojections2018!$A$1:$AQ$327,35,FALSE)-VLOOKUP($A293,Hshldprojections2018!$A$1:$AQ$327,25,FALSE))/10))</f>
        <v>105.8</v>
      </c>
      <c r="AG293" s="267">
        <f>IF(IndividualLATest!$J$7=2014,(VLOOKUP($A293,Hshldprojections2014!$A$2:$AY$326,46,FALSE)-VLOOKUP($A293,Hshldprojections2014!$A$2:$AY$326,36,FALSE))/10,IF(IndividualLATest!$J$7=2016,(VLOOKUP($A293,Hshldprojections2016!$A$1:$AQ$322,36,FALSE)-VLOOKUP($A293,Hshldprojections2016!$A$1:$AQ$322,26,FALSE))/10,(VLOOKUP($A293,Hshldprojections2018!$A$1:$AQ$327,36,FALSE)-VLOOKUP($A293,Hshldprojections2018!$A$1:$AQ$327,26,FALSE))/10))</f>
        <v>107.1</v>
      </c>
      <c r="AH293" s="267">
        <f>IF(IndividualLATest!$J$7=2014,(VLOOKUP($A293,Hshldprojections2014!$A$2:$AY$326,47,FALSE)-VLOOKUP($A293,Hshldprojections2014!$A$2:$AY$326,37,FALSE))/10,IF(IndividualLATest!$J$7=2016,(VLOOKUP($A293,Hshldprojections2016!$A$1:$AQ$322,37,FALSE)-VLOOKUP($A293,Hshldprojections2016!$A$1:$AQ$322,27,FALSE))/10,(VLOOKUP($A293,Hshldprojections2018!$A$1:$AQ$327,37,FALSE)-VLOOKUP($A293,Hshldprojections2018!$A$1:$AQ$327,27,FALSE))/10))</f>
        <v>108.4</v>
      </c>
      <c r="AI293" s="268">
        <f>IF(ISNUMBER('Sensitivity Tests'!$C$30),'Sensitivity Tests'!$C$30,VLOOKUP($A293,AffordabilityRatio!$A$2:$I$321,5,FALSE))</f>
        <v>12.77</v>
      </c>
      <c r="AJ293" s="268">
        <f>IF(ISNUMBER('Sensitivity Tests'!$C$30),'Sensitivity Tests'!$C$30,VLOOKUP($A293,AffordabilityRatio!$A$2:$I$321,6,FALSE))</f>
        <v>12.53</v>
      </c>
      <c r="AK293" s="268">
        <f>IF(ISNUMBER('Sensitivity Tests'!$C$30),'Sensitivity Tests'!$C$30,VLOOKUP($A293,AffordabilityRatio!$A$2:$I$321,7,FALSE))</f>
        <v>11.82</v>
      </c>
      <c r="AL293" s="268">
        <f>IF(ISNUMBER('Sensitivity Tests'!$C$30),'Sensitivity Tests'!$C$30,IF((VLOOKUP($A293,AffordabilityRatio!$A$2:$I$321,8,FALSE))="",AK293,VLOOKUP($A293,AffordabilityRatio!$A$2:$I$321,8,FALSE)))</f>
        <v>11.82</v>
      </c>
      <c r="AM293" s="268">
        <f>IF(ISNUMBER('Sensitivity Tests'!$C$30),'Sensitivity Tests'!$C$30,IF((VLOOKUP($A293,AffordabilityRatio!$A$2:$I$321,9,FALSE))="",AL293,VLOOKUP($A293,AffordabilityRatio!$A$2:$I$321,9,FALSE)))</f>
        <v>12.47</v>
      </c>
      <c r="AN293" s="268">
        <f>IF(ISNUMBER('Sensitivity Tests'!$C$30),'Sensitivity Tests'!$C$30,IF((VLOOKUP($A293,AffordabilityRatio!$A$2:$I$321,9,FALSE))="",AM293,VLOOKUP($A293,AffordabilityRatio!$A$2:$I$321,9,FALSE)))</f>
        <v>12.47</v>
      </c>
      <c r="AO293" s="268">
        <f>IF(ISNUMBER('Sensitivity Tests'!$C$30),'Sensitivity Tests'!$C$30,IF((VLOOKUP($A293,AffordabilityRatio!$A$2:$I$321,9,FALSE))="",AN293,VLOOKUP($A293,AffordabilityRatio!$A$2:$I$321,9,FALSE)))</f>
        <v>12.47</v>
      </c>
      <c r="AP293" s="268">
        <f>IF(ISNUMBER('Sensitivity Tests'!$C$30),'Sensitivity Tests'!$C$30,IF((VLOOKUP($A293,AffordabilityRatio!$A$2:$I$321,9,FALSE))="",AO293,VLOOKUP($A293,AffordabilityRatio!$A$2:$I$321,9,FALSE)))</f>
        <v>12.47</v>
      </c>
      <c r="AQ293" s="267">
        <f t="shared" si="243"/>
        <v>883</v>
      </c>
      <c r="AR293" s="267">
        <f t="shared" si="243"/>
        <v>868</v>
      </c>
      <c r="AS293" s="267">
        <f t="shared" si="243"/>
        <v>837</v>
      </c>
      <c r="AT293" s="267">
        <f t="shared" si="242"/>
        <v>163</v>
      </c>
      <c r="AU293" s="267">
        <f t="shared" si="242"/>
        <v>165</v>
      </c>
      <c r="AV293" s="267">
        <f t="shared" si="242"/>
        <v>162</v>
      </c>
      <c r="AW293" s="267">
        <f t="shared" si="242"/>
        <v>164</v>
      </c>
      <c r="AX293" s="267">
        <f t="shared" si="242"/>
        <v>166</v>
      </c>
      <c r="AY293" s="267">
        <f t="shared" si="218"/>
        <v>798.28000000000009</v>
      </c>
      <c r="AZ293" s="267">
        <f t="shared" si="219"/>
        <v>792.81999999999994</v>
      </c>
      <c r="BA293" s="267">
        <f t="shared" si="220"/>
        <v>786.8</v>
      </c>
      <c r="BB293" s="267">
        <f t="shared" si="221"/>
        <v>163</v>
      </c>
      <c r="BC293" s="267">
        <f t="shared" si="222"/>
        <v>165</v>
      </c>
      <c r="BD293" s="267">
        <f t="shared" si="223"/>
        <v>162</v>
      </c>
      <c r="BE293" s="267">
        <f t="shared" si="224"/>
        <v>164</v>
      </c>
      <c r="BF293" s="267">
        <f t="shared" si="225"/>
        <v>166</v>
      </c>
      <c r="BG293" s="269">
        <f>AY293*VLOOKUP($B293,'Major Cities &amp; Towns'!$A$28:$B$345,2,FALSE)</f>
        <v>798.28000000000009</v>
      </c>
      <c r="BH293" s="269">
        <f>AZ293*VLOOKUP($B293,'Major Cities &amp; Towns'!$A$28:$B$345,2,FALSE)</f>
        <v>792.81999999999994</v>
      </c>
      <c r="BI293" s="269">
        <f>BA293*VLOOKUP($B293,'Major Cities &amp; Towns'!$A$28:$B$345,2,FALSE)</f>
        <v>786.8</v>
      </c>
      <c r="BJ293" s="269">
        <f>BB293*VLOOKUP($B293,'Major Cities &amp; Towns'!$A$28:$B$345,2,FALSE)</f>
        <v>163</v>
      </c>
      <c r="BK293" s="269">
        <f>BC293*VLOOKUP($B293,'Major Cities &amp; Towns'!$A$28:$B$345,2,FALSE)</f>
        <v>165</v>
      </c>
      <c r="BL293" s="269">
        <f>BD293*VLOOKUP($B293,'Major Cities &amp; Towns'!$A$28:$B$345,2,FALSE)</f>
        <v>162</v>
      </c>
      <c r="BM293" s="269">
        <f>BE293*VLOOKUP($B293,'Major Cities &amp; Towns'!$A$28:$B$345,2,FALSE)</f>
        <v>164</v>
      </c>
      <c r="BN293" s="269">
        <f>BF293*VLOOKUP($B293,'Major Cities &amp; Towns'!$A$28:$B$345,2,FALSE)</f>
        <v>166</v>
      </c>
      <c r="BO293" s="270">
        <f t="shared" si="226"/>
        <v>883</v>
      </c>
      <c r="BP293" s="270">
        <f t="shared" si="201"/>
        <v>868</v>
      </c>
      <c r="BQ293" s="270">
        <f t="shared" si="201"/>
        <v>837</v>
      </c>
      <c r="BR293" s="270">
        <f t="shared" si="201"/>
        <v>163</v>
      </c>
      <c r="BS293" s="270">
        <f t="shared" si="200"/>
        <v>165</v>
      </c>
      <c r="BT293" s="270">
        <f t="shared" si="200"/>
        <v>162</v>
      </c>
      <c r="BU293" s="270">
        <f t="shared" si="200"/>
        <v>164</v>
      </c>
      <c r="BV293" s="270">
        <f t="shared" si="200"/>
        <v>166</v>
      </c>
      <c r="BW293" s="39">
        <f>VLOOKUP($A293,NetAdditions!$A$2:$H$336,6,FALSE)</f>
        <v>268</v>
      </c>
      <c r="BX293" s="39">
        <f>VLOOKUP($A293,NetAdditions!$A$2:$H$336,7,FALSE)</f>
        <v>264</v>
      </c>
      <c r="BY293" s="39">
        <f>IF((VLOOKUP($C293,NetAdditions!$A$2:$H$336,8,FALSE))="",(AVERAGE(VLOOKUP($C293,NetAdditions!$A$2:$H$336,5,FALSE),VLOOKUP($C293,NetAdditions!$A$2:$H$336,6,FALSE),VLOOKUP($C293,NetAdditions!$A$2:$H$336,7,FALSE))),VLOOKUP($C293,NetAdditions!$A$2:$H$336,8,FALSE))</f>
        <v>395</v>
      </c>
      <c r="BZ293" s="39">
        <f t="shared" si="244"/>
        <v>309</v>
      </c>
      <c r="CA293" s="39">
        <f t="shared" si="244"/>
        <v>322.66666666666669</v>
      </c>
      <c r="CB293" s="39">
        <f t="shared" si="244"/>
        <v>342.22222222222223</v>
      </c>
      <c r="CC293" s="39">
        <f t="shared" si="244"/>
        <v>324.62962962962962</v>
      </c>
      <c r="CD293" s="39">
        <f t="shared" si="244"/>
        <v>329.83950617283949</v>
      </c>
      <c r="CE293" s="276">
        <f t="shared" si="202"/>
        <v>2588</v>
      </c>
      <c r="CF293" s="276">
        <f t="shared" si="203"/>
        <v>1868</v>
      </c>
      <c r="CG293" s="276">
        <f t="shared" si="204"/>
        <v>1165</v>
      </c>
      <c r="CH293" s="276">
        <f t="shared" si="205"/>
        <v>490</v>
      </c>
      <c r="CI293" s="276">
        <f t="shared" si="206"/>
        <v>491</v>
      </c>
      <c r="CJ293" s="276">
        <f t="shared" si="207"/>
        <v>492</v>
      </c>
      <c r="CK293" s="276">
        <f t="shared" si="227"/>
        <v>2228.5555555555557</v>
      </c>
      <c r="CL293" s="276">
        <f t="shared" si="228"/>
        <v>1608.5555555555557</v>
      </c>
      <c r="CM293" s="276">
        <f t="shared" si="229"/>
        <v>1067.9166666666665</v>
      </c>
      <c r="CN293" s="276">
        <f t="shared" si="230"/>
        <v>490</v>
      </c>
      <c r="CO293" s="276">
        <f t="shared" si="230"/>
        <v>491</v>
      </c>
      <c r="CP293" s="276">
        <f t="shared" si="230"/>
        <v>492</v>
      </c>
      <c r="CQ293" s="39">
        <f t="shared" si="208"/>
        <v>927</v>
      </c>
      <c r="CR293" s="39">
        <f t="shared" si="209"/>
        <v>968</v>
      </c>
      <c r="CS293" s="277">
        <f t="shared" si="210"/>
        <v>1026.6666666666667</v>
      </c>
      <c r="CT293" s="39">
        <f t="shared" si="211"/>
        <v>973.88888888888891</v>
      </c>
      <c r="CU293" s="39">
        <f t="shared" si="212"/>
        <v>989.51851851851848</v>
      </c>
      <c r="CV293" s="39">
        <f t="shared" si="213"/>
        <v>996.69135802469134</v>
      </c>
      <c r="CW293" s="297">
        <f t="shared" si="214"/>
        <v>0.41596450117166073</v>
      </c>
      <c r="CX293" s="279" t="str">
        <f t="shared" si="231"/>
        <v>Buffer and Action Plan</v>
      </c>
      <c r="CY293" s="278">
        <f t="shared" si="215"/>
        <v>0.60178213718311802</v>
      </c>
      <c r="CZ293" s="279" t="str">
        <f t="shared" si="232"/>
        <v>Buffer and Action Plan</v>
      </c>
      <c r="DA293" s="278">
        <f t="shared" si="216"/>
        <v>0.96137339055794013</v>
      </c>
      <c r="DB293" s="292" t="str">
        <f t="shared" si="233"/>
        <v>Pass</v>
      </c>
      <c r="DC293" s="299">
        <f t="shared" si="234"/>
        <v>1.9875283446712018</v>
      </c>
      <c r="DD293" s="293" t="str">
        <f t="shared" si="235"/>
        <v>Pass</v>
      </c>
      <c r="DE293" s="299">
        <f t="shared" si="236"/>
        <v>2.015312665007166</v>
      </c>
      <c r="DF293" s="293" t="str">
        <f t="shared" si="237"/>
        <v>Pass</v>
      </c>
      <c r="DG293" s="299">
        <f t="shared" si="238"/>
        <v>2.0257954431396166</v>
      </c>
      <c r="DH293" s="293" t="str">
        <f t="shared" si="239"/>
        <v>Pass</v>
      </c>
    </row>
    <row r="294" spans="1:112" ht="15" thickTop="1" thickBot="1">
      <c r="A294" s="38" t="s">
        <v>698</v>
      </c>
      <c r="B294" s="38" t="s">
        <v>699</v>
      </c>
      <c r="C294" s="38" t="s">
        <v>698</v>
      </c>
      <c r="D294" s="38" t="s">
        <v>113</v>
      </c>
      <c r="E294" s="38" t="str">
        <f>VLOOKUP(C294,PoliticalControl!A:K,11,FALSE)</f>
        <v>NOC</v>
      </c>
      <c r="F294" s="38" t="str">
        <f>VLOOKUP(C294,UrbanRuralClassification!A:N,13,FALSE)</f>
        <v xml:space="preserve">Largely Rural (rural including hub towns 50-79%) </v>
      </c>
      <c r="G294" s="38" t="str">
        <f>VLOOKUP(C294,UrbanRuralClassification!A:N,14,FALSE)</f>
        <v>Predominantly Rural</v>
      </c>
      <c r="H294" s="258">
        <f>IF(ISBLANK((VLOOKUP($A294,'local-plan-data'!$C$1:$AD$566,27,FALSE)))=TRUE,"",VLOOKUP($A294,'local-plan-data'!$C$1:$AD$566,27,FALSE))</f>
        <v>43151</v>
      </c>
      <c r="I294" s="259">
        <f>VLOOKUP($A294,'local-plan-data'!$C$1:$AD$566,28,FALSE)</f>
        <v>590</v>
      </c>
      <c r="J294" s="260">
        <f t="shared" si="217"/>
        <v>590</v>
      </c>
      <c r="K294" s="259">
        <f t="shared" si="240"/>
        <v>590</v>
      </c>
      <c r="L294" s="259">
        <f t="shared" si="240"/>
        <v>590</v>
      </c>
      <c r="M294" s="259">
        <f t="shared" si="240"/>
        <v>590</v>
      </c>
      <c r="N294" s="259">
        <f t="shared" si="240"/>
        <v>590</v>
      </c>
      <c r="O294" s="259">
        <f t="shared" si="240"/>
        <v>590</v>
      </c>
      <c r="P294" s="259" t="str">
        <f t="shared" si="240"/>
        <v>-</v>
      </c>
      <c r="Q294" s="259" t="str">
        <f t="shared" si="240"/>
        <v>-</v>
      </c>
      <c r="R294" s="259" t="str">
        <f t="shared" si="240"/>
        <v>-</v>
      </c>
      <c r="S294" s="259">
        <f t="shared" si="241"/>
        <v>1786</v>
      </c>
      <c r="T294" s="259">
        <f t="shared" si="241"/>
        <v>1421</v>
      </c>
      <c r="U294" s="259">
        <f t="shared" si="241"/>
        <v>1055</v>
      </c>
      <c r="V294" s="259">
        <f t="shared" si="241"/>
        <v>690</v>
      </c>
      <c r="W294" s="259">
        <f t="shared" si="241"/>
        <v>325</v>
      </c>
      <c r="X294" s="259">
        <f t="shared" si="241"/>
        <v>-40</v>
      </c>
      <c r="Y294" s="259">
        <f t="shared" si="241"/>
        <v>-406</v>
      </c>
      <c r="Z294" s="259">
        <f t="shared" si="241"/>
        <v>-771</v>
      </c>
      <c r="AA294" s="267">
        <f>(VLOOKUP(A294,Hshldprojections2014!$A$2:$AW$319,40, FALSE)-VLOOKUP(A294,Hshldprojections2014!$A$2:$AW$319,30, FALSE))/10</f>
        <v>388.5</v>
      </c>
      <c r="AB294" s="267">
        <f>(VLOOKUP(A294,Hshldprojections2014!$A$2:$AW$319,41, FALSE)-VLOOKUP(A294,Hshldprojections2014!$A$2:$AW$319,31, FALSE))/10</f>
        <v>388.4</v>
      </c>
      <c r="AC294" s="267">
        <f>(VLOOKUP(A294,Hshldprojections2014!$A$2:$AW$319,42, FALSE)-VLOOKUP(A294,Hshldprojections2014!$A$2:$AW$319,32, FALSE))/10</f>
        <v>391.5</v>
      </c>
      <c r="AD294" s="267">
        <f>IF(IndividualLATest!$J$7=2014,(VLOOKUP($A294,Hshldprojections2014!$A$2:$AY$326,43,FALSE)-VLOOKUP($A294,Hshldprojections2014!$A$2:$AY$326,33,FALSE))/10,IF(IndividualLATest!$J$7=2016,(VLOOKUP($A294,Hshldprojections2016!$A$1:$AQ$322,33,FALSE)-VLOOKUP($A294,Hshldprojections2016!$A$1:$AQ$322,23,FALSE))/10,(VLOOKUP($A294,Hshldprojections2018!$A$1:$AQ$327,33,FALSE)-VLOOKUP($A294,Hshldprojections2018!$A$1:$AQ$327,23,FALSE))/10))</f>
        <v>199</v>
      </c>
      <c r="AE294" s="267">
        <f>IF(IndividualLATest!$J$7=2014,(VLOOKUP($A294,Hshldprojections2014!$A$2:$AY$326,44,FALSE)-VLOOKUP($A294,Hshldprojections2014!$A$2:$AY$326,34,FALSE))/10,IF(IndividualLATest!$J$7=2016,(VLOOKUP($A294,Hshldprojections2016!$A$1:$AQ$322,34,FALSE)-VLOOKUP($A294,Hshldprojections2016!$A$1:$AQ$322,24,FALSE))/10,(VLOOKUP($A294,Hshldprojections2018!$A$1:$AQ$327,34,FALSE)-VLOOKUP($A294,Hshldprojections2018!$A$1:$AQ$327,24,FALSE))/10))</f>
        <v>192.1</v>
      </c>
      <c r="AF294" s="267">
        <f>IF(IndividualLATest!$J$7=2014,(VLOOKUP($A294,Hshldprojections2014!$A$2:$AY$326,45,FALSE)-VLOOKUP($A294,Hshldprojections2014!$A$2:$AY$326,35,FALSE))/10,IF(IndividualLATest!$J$7=2016,(VLOOKUP($A294,Hshldprojections2016!$A$1:$AQ$322,35,FALSE)-VLOOKUP($A294,Hshldprojections2016!$A$1:$AQ$322,25,FALSE))/10,(VLOOKUP($A294,Hshldprojections2018!$A$1:$AQ$327,35,FALSE)-VLOOKUP($A294,Hshldprojections2018!$A$1:$AQ$327,25,FALSE))/10))</f>
        <v>182</v>
      </c>
      <c r="AG294" s="267">
        <f>IF(IndividualLATest!$J$7=2014,(VLOOKUP($A294,Hshldprojections2014!$A$2:$AY$326,46,FALSE)-VLOOKUP($A294,Hshldprojections2014!$A$2:$AY$326,36,FALSE))/10,IF(IndividualLATest!$J$7=2016,(VLOOKUP($A294,Hshldprojections2016!$A$1:$AQ$322,36,FALSE)-VLOOKUP($A294,Hshldprojections2016!$A$1:$AQ$322,26,FALSE))/10,(VLOOKUP($A294,Hshldprojections2018!$A$1:$AQ$327,36,FALSE)-VLOOKUP($A294,Hshldprojections2018!$A$1:$AQ$327,26,FALSE))/10))</f>
        <v>172.4</v>
      </c>
      <c r="AH294" s="267">
        <f>IF(IndividualLATest!$J$7=2014,(VLOOKUP($A294,Hshldprojections2014!$A$2:$AY$326,47,FALSE)-VLOOKUP($A294,Hshldprojections2014!$A$2:$AY$326,37,FALSE))/10,IF(IndividualLATest!$J$7=2016,(VLOOKUP($A294,Hshldprojections2016!$A$1:$AQ$322,37,FALSE)-VLOOKUP($A294,Hshldprojections2016!$A$1:$AQ$322,27,FALSE))/10,(VLOOKUP($A294,Hshldprojections2018!$A$1:$AQ$327,37,FALSE)-VLOOKUP($A294,Hshldprojections2018!$A$1:$AQ$327,27,FALSE))/10))</f>
        <v>167.4</v>
      </c>
      <c r="AI294" s="268">
        <f>IF(ISNUMBER('Sensitivity Tests'!$C$30),'Sensitivity Tests'!$C$30,VLOOKUP($A294,AffordabilityRatio!$A$2:$I$321,5,FALSE))</f>
        <v>14.47</v>
      </c>
      <c r="AJ294" s="268">
        <f>IF(ISNUMBER('Sensitivity Tests'!$C$30),'Sensitivity Tests'!$C$30,VLOOKUP($A294,AffordabilityRatio!$A$2:$I$321,6,FALSE))</f>
        <v>16.21</v>
      </c>
      <c r="AK294" s="268">
        <f>IF(ISNUMBER('Sensitivity Tests'!$C$30),'Sensitivity Tests'!$C$30,VLOOKUP($A294,AffordabilityRatio!$A$2:$I$321,7,FALSE))</f>
        <v>15.66</v>
      </c>
      <c r="AL294" s="268">
        <f>IF(ISNUMBER('Sensitivity Tests'!$C$30),'Sensitivity Tests'!$C$30,IF((VLOOKUP($A294,AffordabilityRatio!$A$2:$I$321,8,FALSE))="",AK294,VLOOKUP($A294,AffordabilityRatio!$A$2:$I$321,8,FALSE)))</f>
        <v>16.489999999999998</v>
      </c>
      <c r="AM294" s="268">
        <f>IF(ISNUMBER('Sensitivity Tests'!$C$30),'Sensitivity Tests'!$C$30,IF((VLOOKUP($A294,AffordabilityRatio!$A$2:$I$321,9,FALSE))="",AL294,VLOOKUP($A294,AffordabilityRatio!$A$2:$I$321,9,FALSE)))</f>
        <v>18.32</v>
      </c>
      <c r="AN294" s="268">
        <f>IF(ISNUMBER('Sensitivity Tests'!$C$30),'Sensitivity Tests'!$C$30,IF((VLOOKUP($A294,AffordabilityRatio!$A$2:$I$321,9,FALSE))="",AM294,VLOOKUP($A294,AffordabilityRatio!$A$2:$I$321,9,FALSE)))</f>
        <v>18.32</v>
      </c>
      <c r="AO294" s="268">
        <f>IF(ISNUMBER('Sensitivity Tests'!$C$30),'Sensitivity Tests'!$C$30,IF((VLOOKUP($A294,AffordabilityRatio!$A$2:$I$321,9,FALSE))="",AN294,VLOOKUP($A294,AffordabilityRatio!$A$2:$I$321,9,FALSE)))</f>
        <v>18.32</v>
      </c>
      <c r="AP294" s="268">
        <f>IF(ISNUMBER('Sensitivity Tests'!$C$30),'Sensitivity Tests'!$C$30,IF((VLOOKUP($A294,AffordabilityRatio!$A$2:$I$321,9,FALSE))="",AO294,VLOOKUP($A294,AffordabilityRatio!$A$2:$I$321,9,FALSE)))</f>
        <v>18.32</v>
      </c>
      <c r="AQ294" s="267">
        <f t="shared" si="243"/>
        <v>643</v>
      </c>
      <c r="AR294" s="267">
        <f t="shared" si="243"/>
        <v>685</v>
      </c>
      <c r="AS294" s="267">
        <f t="shared" si="243"/>
        <v>677</v>
      </c>
      <c r="AT294" s="267">
        <f t="shared" si="242"/>
        <v>354</v>
      </c>
      <c r="AU294" s="267">
        <f t="shared" si="242"/>
        <v>364</v>
      </c>
      <c r="AV294" s="267">
        <f t="shared" si="242"/>
        <v>345</v>
      </c>
      <c r="AW294" s="267">
        <f t="shared" si="242"/>
        <v>327</v>
      </c>
      <c r="AX294" s="267">
        <f t="shared" si="242"/>
        <v>317</v>
      </c>
      <c r="AY294" s="267">
        <f t="shared" si="218"/>
        <v>643</v>
      </c>
      <c r="AZ294" s="267">
        <f t="shared" si="219"/>
        <v>685</v>
      </c>
      <c r="BA294" s="267">
        <f t="shared" si="220"/>
        <v>677</v>
      </c>
      <c r="BB294" s="267">
        <f t="shared" si="221"/>
        <v>354</v>
      </c>
      <c r="BC294" s="267">
        <f t="shared" si="222"/>
        <v>364</v>
      </c>
      <c r="BD294" s="267">
        <f t="shared" si="223"/>
        <v>345</v>
      </c>
      <c r="BE294" s="267">
        <f t="shared" si="224"/>
        <v>327</v>
      </c>
      <c r="BF294" s="267">
        <f t="shared" si="225"/>
        <v>317</v>
      </c>
      <c r="BG294" s="269">
        <f>AY294*VLOOKUP($B294,'Major Cities &amp; Towns'!$A$28:$B$345,2,FALSE)</f>
        <v>643</v>
      </c>
      <c r="BH294" s="269">
        <f>AZ294*VLOOKUP($B294,'Major Cities &amp; Towns'!$A$28:$B$345,2,FALSE)</f>
        <v>685</v>
      </c>
      <c r="BI294" s="269">
        <f>BA294*VLOOKUP($B294,'Major Cities &amp; Towns'!$A$28:$B$345,2,FALSE)</f>
        <v>677</v>
      </c>
      <c r="BJ294" s="269">
        <f>BB294*VLOOKUP($B294,'Major Cities &amp; Towns'!$A$28:$B$345,2,FALSE)</f>
        <v>354</v>
      </c>
      <c r="BK294" s="269">
        <f>BC294*VLOOKUP($B294,'Major Cities &amp; Towns'!$A$28:$B$345,2,FALSE)</f>
        <v>364</v>
      </c>
      <c r="BL294" s="269">
        <f>BD294*VLOOKUP($B294,'Major Cities &amp; Towns'!$A$28:$B$345,2,FALSE)</f>
        <v>345</v>
      </c>
      <c r="BM294" s="269">
        <f>BE294*VLOOKUP($B294,'Major Cities &amp; Towns'!$A$28:$B$345,2,FALSE)</f>
        <v>327</v>
      </c>
      <c r="BN294" s="269">
        <f>BF294*VLOOKUP($B294,'Major Cities &amp; Towns'!$A$28:$B$345,2,FALSE)</f>
        <v>317</v>
      </c>
      <c r="BO294" s="270">
        <f t="shared" si="226"/>
        <v>590</v>
      </c>
      <c r="BP294" s="270">
        <f t="shared" si="201"/>
        <v>590</v>
      </c>
      <c r="BQ294" s="270">
        <f t="shared" si="201"/>
        <v>590</v>
      </c>
      <c r="BR294" s="270">
        <f t="shared" si="201"/>
        <v>354</v>
      </c>
      <c r="BS294" s="270">
        <f t="shared" si="200"/>
        <v>364</v>
      </c>
      <c r="BT294" s="270">
        <f t="shared" si="200"/>
        <v>345</v>
      </c>
      <c r="BU294" s="270">
        <f t="shared" si="200"/>
        <v>327</v>
      </c>
      <c r="BV294" s="270">
        <f t="shared" si="200"/>
        <v>317</v>
      </c>
      <c r="BW294" s="39">
        <f>VLOOKUP($A294,NetAdditions!$A$2:$H$336,6,FALSE)</f>
        <v>342</v>
      </c>
      <c r="BX294" s="39">
        <f>VLOOKUP($A294,NetAdditions!$A$2:$H$336,7,FALSE)</f>
        <v>605</v>
      </c>
      <c r="BY294" s="39">
        <f>IF((VLOOKUP($C294,NetAdditions!$A$2:$H$336,8,FALSE))="",(AVERAGE(VLOOKUP($C294,NetAdditions!$A$2:$H$336,5,FALSE),VLOOKUP($C294,NetAdditions!$A$2:$H$336,6,FALSE),VLOOKUP($C294,NetAdditions!$A$2:$H$336,7,FALSE))),VLOOKUP($C294,NetAdditions!$A$2:$H$336,8,FALSE))</f>
        <v>666</v>
      </c>
      <c r="BZ294" s="39">
        <f t="shared" si="244"/>
        <v>537.66666666666663</v>
      </c>
      <c r="CA294" s="39">
        <f t="shared" si="244"/>
        <v>602.8888888888888</v>
      </c>
      <c r="CB294" s="39">
        <f t="shared" si="244"/>
        <v>602.18518518518511</v>
      </c>
      <c r="CC294" s="39">
        <f t="shared" si="244"/>
        <v>580.91358024691351</v>
      </c>
      <c r="CD294" s="39">
        <f t="shared" si="244"/>
        <v>595.32921810699588</v>
      </c>
      <c r="CE294" s="276">
        <f t="shared" si="202"/>
        <v>1770</v>
      </c>
      <c r="CF294" s="276">
        <f t="shared" si="203"/>
        <v>1534</v>
      </c>
      <c r="CG294" s="276">
        <f t="shared" si="204"/>
        <v>1308</v>
      </c>
      <c r="CH294" s="276">
        <f t="shared" si="205"/>
        <v>1063</v>
      </c>
      <c r="CI294" s="276">
        <f t="shared" si="206"/>
        <v>1036</v>
      </c>
      <c r="CJ294" s="276">
        <f t="shared" si="207"/>
        <v>989</v>
      </c>
      <c r="CK294" s="276">
        <f t="shared" si="227"/>
        <v>1524.1666666666667</v>
      </c>
      <c r="CL294" s="276">
        <f t="shared" si="228"/>
        <v>1320.9444444444446</v>
      </c>
      <c r="CM294" s="276">
        <f t="shared" si="229"/>
        <v>1199</v>
      </c>
      <c r="CN294" s="276">
        <f t="shared" si="230"/>
        <v>1063</v>
      </c>
      <c r="CO294" s="276">
        <f t="shared" si="230"/>
        <v>1036</v>
      </c>
      <c r="CP294" s="276">
        <f t="shared" si="230"/>
        <v>989</v>
      </c>
      <c r="CQ294" s="39">
        <f t="shared" si="208"/>
        <v>1613</v>
      </c>
      <c r="CR294" s="39">
        <f t="shared" si="209"/>
        <v>1808.6666666666665</v>
      </c>
      <c r="CS294" s="277">
        <f t="shared" si="210"/>
        <v>1806.5555555555552</v>
      </c>
      <c r="CT294" s="39">
        <f t="shared" si="211"/>
        <v>1742.7407407407404</v>
      </c>
      <c r="CU294" s="39">
        <f t="shared" si="212"/>
        <v>1785.9876543209875</v>
      </c>
      <c r="CV294" s="39">
        <f t="shared" si="213"/>
        <v>1778.4279835390944</v>
      </c>
      <c r="CW294" s="297">
        <f t="shared" si="214"/>
        <v>1.0582832148715144</v>
      </c>
      <c r="CX294" s="279" t="str">
        <f t="shared" si="231"/>
        <v>Pass</v>
      </c>
      <c r="CY294" s="278">
        <f t="shared" si="215"/>
        <v>1.3692223577406735</v>
      </c>
      <c r="CZ294" s="279" t="str">
        <f t="shared" si="232"/>
        <v>Pass</v>
      </c>
      <c r="DA294" s="278">
        <f t="shared" si="216"/>
        <v>1.506718561764433</v>
      </c>
      <c r="DB294" s="292" t="str">
        <f t="shared" si="233"/>
        <v>Pass</v>
      </c>
      <c r="DC294" s="299">
        <f t="shared" si="234"/>
        <v>1.6394550712518725</v>
      </c>
      <c r="DD294" s="293" t="str">
        <f t="shared" si="235"/>
        <v>Pass</v>
      </c>
      <c r="DE294" s="299">
        <f t="shared" si="236"/>
        <v>1.7239263072596405</v>
      </c>
      <c r="DF294" s="293" t="str">
        <f t="shared" si="237"/>
        <v>Pass</v>
      </c>
      <c r="DG294" s="299">
        <f t="shared" si="238"/>
        <v>1.798208274559246</v>
      </c>
      <c r="DH294" s="293" t="str">
        <f t="shared" si="239"/>
        <v>Pass</v>
      </c>
    </row>
    <row r="295" spans="1:112" ht="15" thickTop="1" thickBot="1">
      <c r="A295" s="38" t="s">
        <v>700</v>
      </c>
      <c r="B295" s="38" t="s">
        <v>701</v>
      </c>
      <c r="C295" s="38" t="s">
        <v>700</v>
      </c>
      <c r="D295" s="38" t="s">
        <v>113</v>
      </c>
      <c r="E295" s="38" t="str">
        <f>VLOOKUP(C295,PoliticalControl!A:K,11,FALSE)</f>
        <v>CON</v>
      </c>
      <c r="F295" s="38" t="str">
        <f>VLOOKUP(C295,UrbanRuralClassification!A:N,13,FALSE)</f>
        <v xml:space="preserve">Mainly Rural (rural including hub towns &gt;=80%) </v>
      </c>
      <c r="G295" s="38" t="str">
        <f>VLOOKUP(C295,UrbanRuralClassification!A:N,14,FALSE)</f>
        <v>Predominantly Rural</v>
      </c>
      <c r="H295" s="258">
        <f>IF(ISBLANK((VLOOKUP($A295,'local-plan-data'!$C$1:$AD$566,27,FALSE)))=TRUE,"",VLOOKUP($A295,'local-plan-data'!$C$1:$AD$566,27,FALSE))</f>
        <v>41324</v>
      </c>
      <c r="I295" s="259">
        <f>VLOOKUP($A295,'local-plan-data'!$C$1:$AD$566,28,FALSE)</f>
        <v>449.52380952380952</v>
      </c>
      <c r="J295" s="260">
        <f t="shared" si="217"/>
        <v>449.52380952380952</v>
      </c>
      <c r="K295" s="259" t="str">
        <f t="shared" si="240"/>
        <v>-</v>
      </c>
      <c r="L295" s="259" t="str">
        <f t="shared" si="240"/>
        <v>-</v>
      </c>
      <c r="M295" s="259" t="str">
        <f t="shared" si="240"/>
        <v>-</v>
      </c>
      <c r="N295" s="259" t="str">
        <f t="shared" si="240"/>
        <v>-</v>
      </c>
      <c r="O295" s="259" t="str">
        <f t="shared" si="240"/>
        <v>-</v>
      </c>
      <c r="P295" s="259" t="str">
        <f t="shared" si="240"/>
        <v>-</v>
      </c>
      <c r="Q295" s="259" t="str">
        <f t="shared" si="240"/>
        <v>-</v>
      </c>
      <c r="R295" s="259" t="str">
        <f t="shared" si="240"/>
        <v>-</v>
      </c>
      <c r="S295" s="259">
        <f t="shared" si="241"/>
        <v>-41</v>
      </c>
      <c r="T295" s="259">
        <f t="shared" si="241"/>
        <v>-406</v>
      </c>
      <c r="U295" s="259">
        <f t="shared" si="241"/>
        <v>-772</v>
      </c>
      <c r="V295" s="259">
        <f t="shared" si="241"/>
        <v>-1137</v>
      </c>
      <c r="W295" s="259">
        <f t="shared" si="241"/>
        <v>-1502</v>
      </c>
      <c r="X295" s="259">
        <f t="shared" si="241"/>
        <v>-1867</v>
      </c>
      <c r="Y295" s="259">
        <f t="shared" si="241"/>
        <v>-2233</v>
      </c>
      <c r="Z295" s="259">
        <f t="shared" si="241"/>
        <v>-2598</v>
      </c>
      <c r="AA295" s="267">
        <f>(VLOOKUP(A295,Hshldprojections2014!$A$2:$AW$319,40, FALSE)-VLOOKUP(A295,Hshldprojections2014!$A$2:$AW$319,30, FALSE))/10</f>
        <v>883.1</v>
      </c>
      <c r="AB295" s="267">
        <f>(VLOOKUP(A295,Hshldprojections2014!$A$2:$AW$319,41, FALSE)-VLOOKUP(A295,Hshldprojections2014!$A$2:$AW$319,31, FALSE))/10</f>
        <v>879.4</v>
      </c>
      <c r="AC295" s="267">
        <f>(VLOOKUP(A295,Hshldprojections2014!$A$2:$AW$319,42, FALSE)-VLOOKUP(A295,Hshldprojections2014!$A$2:$AW$319,32, FALSE))/10</f>
        <v>875.1</v>
      </c>
      <c r="AD295" s="267">
        <f>IF(IndividualLATest!$J$7=2014,(VLOOKUP($A295,Hshldprojections2014!$A$2:$AY$326,43,FALSE)-VLOOKUP($A295,Hshldprojections2014!$A$2:$AY$326,33,FALSE))/10,IF(IndividualLATest!$J$7=2016,(VLOOKUP($A295,Hshldprojections2016!$A$1:$AQ$322,33,FALSE)-VLOOKUP($A295,Hshldprojections2016!$A$1:$AQ$322,23,FALSE))/10,(VLOOKUP($A295,Hshldprojections2018!$A$1:$AQ$327,33,FALSE)-VLOOKUP($A295,Hshldprojections2018!$A$1:$AQ$327,23,FALSE))/10))</f>
        <v>598.20000000000005</v>
      </c>
      <c r="AE295" s="267">
        <f>IF(IndividualLATest!$J$7=2014,(VLOOKUP($A295,Hshldprojections2014!$A$2:$AY$326,44,FALSE)-VLOOKUP($A295,Hshldprojections2014!$A$2:$AY$326,34,FALSE))/10,IF(IndividualLATest!$J$7=2016,(VLOOKUP($A295,Hshldprojections2016!$A$1:$AQ$322,34,FALSE)-VLOOKUP($A295,Hshldprojections2016!$A$1:$AQ$322,24,FALSE))/10,(VLOOKUP($A295,Hshldprojections2018!$A$1:$AQ$327,34,FALSE)-VLOOKUP($A295,Hshldprojections2018!$A$1:$AQ$327,24,FALSE))/10))</f>
        <v>580.5</v>
      </c>
      <c r="AF295" s="267">
        <f>IF(IndividualLATest!$J$7=2014,(VLOOKUP($A295,Hshldprojections2014!$A$2:$AY$326,45,FALSE)-VLOOKUP($A295,Hshldprojections2014!$A$2:$AY$326,35,FALSE))/10,IF(IndividualLATest!$J$7=2016,(VLOOKUP($A295,Hshldprojections2016!$A$1:$AQ$322,35,FALSE)-VLOOKUP($A295,Hshldprojections2016!$A$1:$AQ$322,25,FALSE))/10,(VLOOKUP($A295,Hshldprojections2018!$A$1:$AQ$327,35,FALSE)-VLOOKUP($A295,Hshldprojections2018!$A$1:$AQ$327,25,FALSE))/10))</f>
        <v>565.5</v>
      </c>
      <c r="AG295" s="267">
        <f>IF(IndividualLATest!$J$7=2014,(VLOOKUP($A295,Hshldprojections2014!$A$2:$AY$326,46,FALSE)-VLOOKUP($A295,Hshldprojections2014!$A$2:$AY$326,36,FALSE))/10,IF(IndividualLATest!$J$7=2016,(VLOOKUP($A295,Hshldprojections2016!$A$1:$AQ$322,36,FALSE)-VLOOKUP($A295,Hshldprojections2016!$A$1:$AQ$322,26,FALSE))/10,(VLOOKUP($A295,Hshldprojections2018!$A$1:$AQ$327,36,FALSE)-VLOOKUP($A295,Hshldprojections2018!$A$1:$AQ$327,26,FALSE))/10))</f>
        <v>551</v>
      </c>
      <c r="AH295" s="267">
        <f>IF(IndividualLATest!$J$7=2014,(VLOOKUP($A295,Hshldprojections2014!$A$2:$AY$326,47,FALSE)-VLOOKUP($A295,Hshldprojections2014!$A$2:$AY$326,37,FALSE))/10,IF(IndividualLATest!$J$7=2016,(VLOOKUP($A295,Hshldprojections2016!$A$1:$AQ$322,37,FALSE)-VLOOKUP($A295,Hshldprojections2016!$A$1:$AQ$322,27,FALSE))/10,(VLOOKUP($A295,Hshldprojections2018!$A$1:$AQ$327,37,FALSE)-VLOOKUP($A295,Hshldprojections2018!$A$1:$AQ$327,27,FALSE))/10))</f>
        <v>540.29999999999995</v>
      </c>
      <c r="AI295" s="268">
        <f>IF(ISNUMBER('Sensitivity Tests'!$C$30),'Sensitivity Tests'!$C$30,VLOOKUP($A295,AffordabilityRatio!$A$2:$I$321,5,FALSE))</f>
        <v>11.59</v>
      </c>
      <c r="AJ295" s="268">
        <f>IF(ISNUMBER('Sensitivity Tests'!$C$30),'Sensitivity Tests'!$C$30,VLOOKUP($A295,AffordabilityRatio!$A$2:$I$321,6,FALSE))</f>
        <v>11.82</v>
      </c>
      <c r="AK295" s="268">
        <f>IF(ISNUMBER('Sensitivity Tests'!$C$30),'Sensitivity Tests'!$C$30,VLOOKUP($A295,AffordabilityRatio!$A$2:$I$321,7,FALSE))</f>
        <v>11.57</v>
      </c>
      <c r="AL295" s="268">
        <f>IF(ISNUMBER('Sensitivity Tests'!$C$30),'Sensitivity Tests'!$C$30,IF((VLOOKUP($A295,AffordabilityRatio!$A$2:$I$321,8,FALSE))="",AK295,VLOOKUP($A295,AffordabilityRatio!$A$2:$I$321,8,FALSE)))</f>
        <v>11.57</v>
      </c>
      <c r="AM295" s="268">
        <f>IF(ISNUMBER('Sensitivity Tests'!$C$30),'Sensitivity Tests'!$C$30,IF((VLOOKUP($A295,AffordabilityRatio!$A$2:$I$321,9,FALSE))="",AL295,VLOOKUP($A295,AffordabilityRatio!$A$2:$I$321,9,FALSE)))</f>
        <v>13.76</v>
      </c>
      <c r="AN295" s="268">
        <f>IF(ISNUMBER('Sensitivity Tests'!$C$30),'Sensitivity Tests'!$C$30,IF((VLOOKUP($A295,AffordabilityRatio!$A$2:$I$321,9,FALSE))="",AM295,VLOOKUP($A295,AffordabilityRatio!$A$2:$I$321,9,FALSE)))</f>
        <v>13.76</v>
      </c>
      <c r="AO295" s="268">
        <f>IF(ISNUMBER('Sensitivity Tests'!$C$30),'Sensitivity Tests'!$C$30,IF((VLOOKUP($A295,AffordabilityRatio!$A$2:$I$321,9,FALSE))="",AN295,VLOOKUP($A295,AffordabilityRatio!$A$2:$I$321,9,FALSE)))</f>
        <v>13.76</v>
      </c>
      <c r="AP295" s="268">
        <f>IF(ISNUMBER('Sensitivity Tests'!$C$30),'Sensitivity Tests'!$C$30,IF((VLOOKUP($A295,AffordabilityRatio!$A$2:$I$321,9,FALSE))="",AO295,VLOOKUP($A295,AffordabilityRatio!$A$2:$I$321,9,FALSE)))</f>
        <v>13.76</v>
      </c>
      <c r="AQ295" s="267">
        <f t="shared" si="243"/>
        <v>1302</v>
      </c>
      <c r="AR295" s="267">
        <f t="shared" si="243"/>
        <v>1309</v>
      </c>
      <c r="AS295" s="267">
        <f t="shared" si="243"/>
        <v>1289</v>
      </c>
      <c r="AT295" s="267">
        <f t="shared" si="242"/>
        <v>881</v>
      </c>
      <c r="AU295" s="267">
        <f t="shared" si="242"/>
        <v>935</v>
      </c>
      <c r="AV295" s="267">
        <f t="shared" si="242"/>
        <v>910</v>
      </c>
      <c r="AW295" s="267">
        <f t="shared" si="242"/>
        <v>887</v>
      </c>
      <c r="AX295" s="267">
        <f t="shared" si="242"/>
        <v>870</v>
      </c>
      <c r="AY295" s="267">
        <f t="shared" si="218"/>
        <v>1236.3400000000001</v>
      </c>
      <c r="AZ295" s="267">
        <f t="shared" si="219"/>
        <v>1231.1599999999999</v>
      </c>
      <c r="BA295" s="267">
        <f t="shared" si="220"/>
        <v>1225.1400000000001</v>
      </c>
      <c r="BB295" s="267">
        <f t="shared" si="221"/>
        <v>837.48</v>
      </c>
      <c r="BC295" s="267">
        <f t="shared" si="222"/>
        <v>812.7</v>
      </c>
      <c r="BD295" s="267">
        <f t="shared" si="223"/>
        <v>791.7</v>
      </c>
      <c r="BE295" s="267">
        <f t="shared" si="224"/>
        <v>771.4</v>
      </c>
      <c r="BF295" s="267">
        <f t="shared" si="225"/>
        <v>756.42</v>
      </c>
      <c r="BG295" s="269">
        <f>AY295*VLOOKUP($B295,'Major Cities &amp; Towns'!$A$28:$B$345,2,FALSE)</f>
        <v>1236.3400000000001</v>
      </c>
      <c r="BH295" s="269">
        <f>AZ295*VLOOKUP($B295,'Major Cities &amp; Towns'!$A$28:$B$345,2,FALSE)</f>
        <v>1231.1599999999999</v>
      </c>
      <c r="BI295" s="269">
        <f>BA295*VLOOKUP($B295,'Major Cities &amp; Towns'!$A$28:$B$345,2,FALSE)</f>
        <v>1225.1400000000001</v>
      </c>
      <c r="BJ295" s="269">
        <f>BB295*VLOOKUP($B295,'Major Cities &amp; Towns'!$A$28:$B$345,2,FALSE)</f>
        <v>837.48</v>
      </c>
      <c r="BK295" s="269">
        <f>BC295*VLOOKUP($B295,'Major Cities &amp; Towns'!$A$28:$B$345,2,FALSE)</f>
        <v>812.7</v>
      </c>
      <c r="BL295" s="269">
        <f>BD295*VLOOKUP($B295,'Major Cities &amp; Towns'!$A$28:$B$345,2,FALSE)</f>
        <v>791.7</v>
      </c>
      <c r="BM295" s="269">
        <f>BE295*VLOOKUP($B295,'Major Cities &amp; Towns'!$A$28:$B$345,2,FALSE)</f>
        <v>771.4</v>
      </c>
      <c r="BN295" s="269">
        <f>BF295*VLOOKUP($B295,'Major Cities &amp; Towns'!$A$28:$B$345,2,FALSE)</f>
        <v>756.42</v>
      </c>
      <c r="BO295" s="270">
        <f t="shared" si="226"/>
        <v>1302</v>
      </c>
      <c r="BP295" s="270">
        <f t="shared" si="201"/>
        <v>1309</v>
      </c>
      <c r="BQ295" s="270">
        <f t="shared" si="201"/>
        <v>1289</v>
      </c>
      <c r="BR295" s="270">
        <f t="shared" si="201"/>
        <v>881</v>
      </c>
      <c r="BS295" s="270">
        <f t="shared" si="200"/>
        <v>935</v>
      </c>
      <c r="BT295" s="270">
        <f t="shared" si="200"/>
        <v>910</v>
      </c>
      <c r="BU295" s="270">
        <f t="shared" si="200"/>
        <v>887</v>
      </c>
      <c r="BV295" s="270">
        <f t="shared" si="200"/>
        <v>870</v>
      </c>
      <c r="BW295" s="39">
        <f>VLOOKUP($A295,NetAdditions!$A$2:$H$336,6,FALSE)</f>
        <v>841</v>
      </c>
      <c r="BX295" s="39">
        <f>VLOOKUP($A295,NetAdditions!$A$2:$H$336,7,FALSE)</f>
        <v>1034</v>
      </c>
      <c r="BY295" s="39">
        <f>IF((VLOOKUP($C295,NetAdditions!$A$2:$H$336,8,FALSE))="",(AVERAGE(VLOOKUP($C295,NetAdditions!$A$2:$H$336,5,FALSE),VLOOKUP($C295,NetAdditions!$A$2:$H$336,6,FALSE),VLOOKUP($C295,NetAdditions!$A$2:$H$336,7,FALSE))),VLOOKUP($C295,NetAdditions!$A$2:$H$336,8,FALSE))</f>
        <v>724</v>
      </c>
      <c r="BZ295" s="39">
        <f t="shared" si="244"/>
        <v>866.33333333333337</v>
      </c>
      <c r="CA295" s="39">
        <f t="shared" si="244"/>
        <v>874.77777777777783</v>
      </c>
      <c r="CB295" s="39">
        <f t="shared" si="244"/>
        <v>821.70370370370381</v>
      </c>
      <c r="CC295" s="39">
        <f t="shared" si="244"/>
        <v>854.27160493827171</v>
      </c>
      <c r="CD295" s="39">
        <f t="shared" si="244"/>
        <v>850.25102880658449</v>
      </c>
      <c r="CE295" s="276">
        <f t="shared" si="202"/>
        <v>3900</v>
      </c>
      <c r="CF295" s="276">
        <f t="shared" si="203"/>
        <v>3479</v>
      </c>
      <c r="CG295" s="276">
        <f t="shared" si="204"/>
        <v>3105</v>
      </c>
      <c r="CH295" s="276">
        <f t="shared" si="205"/>
        <v>2726</v>
      </c>
      <c r="CI295" s="276">
        <f t="shared" si="206"/>
        <v>2732</v>
      </c>
      <c r="CJ295" s="276">
        <f t="shared" si="207"/>
        <v>2667</v>
      </c>
      <c r="CK295" s="276">
        <f t="shared" si="227"/>
        <v>3358.3333333333335</v>
      </c>
      <c r="CL295" s="276">
        <f t="shared" si="228"/>
        <v>2995.8055555555557</v>
      </c>
      <c r="CM295" s="276">
        <f t="shared" si="229"/>
        <v>2846.25</v>
      </c>
      <c r="CN295" s="276">
        <f t="shared" si="230"/>
        <v>2726</v>
      </c>
      <c r="CO295" s="276">
        <f t="shared" si="230"/>
        <v>2732</v>
      </c>
      <c r="CP295" s="276">
        <f t="shared" si="230"/>
        <v>2667</v>
      </c>
      <c r="CQ295" s="39">
        <f t="shared" si="208"/>
        <v>2599</v>
      </c>
      <c r="CR295" s="39">
        <f t="shared" si="209"/>
        <v>2624.3333333333335</v>
      </c>
      <c r="CS295" s="277">
        <f t="shared" si="210"/>
        <v>2465.1111111111113</v>
      </c>
      <c r="CT295" s="39">
        <f t="shared" si="211"/>
        <v>2562.8148148148152</v>
      </c>
      <c r="CU295" s="39">
        <f t="shared" si="212"/>
        <v>2550.7530864197533</v>
      </c>
      <c r="CV295" s="39">
        <f t="shared" si="213"/>
        <v>2526.2263374485601</v>
      </c>
      <c r="CW295" s="297">
        <f t="shared" si="214"/>
        <v>0.77389578163771711</v>
      </c>
      <c r="CX295" s="279" t="str">
        <f t="shared" si="231"/>
        <v>Buffer and Action Plan</v>
      </c>
      <c r="CY295" s="278">
        <f t="shared" si="215"/>
        <v>0.87600255913360348</v>
      </c>
      <c r="CZ295" s="279" t="str">
        <f t="shared" si="232"/>
        <v>Action Plan</v>
      </c>
      <c r="DA295" s="278">
        <f t="shared" si="216"/>
        <v>0.86609086029375892</v>
      </c>
      <c r="DB295" s="292" t="str">
        <f t="shared" si="233"/>
        <v>Action Plan</v>
      </c>
      <c r="DC295" s="299">
        <f t="shared" si="234"/>
        <v>0.94013749626368859</v>
      </c>
      <c r="DD295" s="293" t="str">
        <f t="shared" si="235"/>
        <v>Action Plan</v>
      </c>
      <c r="DE295" s="299">
        <f t="shared" si="236"/>
        <v>0.93365779151528305</v>
      </c>
      <c r="DF295" s="293" t="str">
        <f t="shared" si="237"/>
        <v>Action Plan</v>
      </c>
      <c r="DG295" s="299">
        <f t="shared" si="238"/>
        <v>0.94721647448389956</v>
      </c>
      <c r="DH295" s="293" t="str">
        <f t="shared" si="239"/>
        <v>Action Plan</v>
      </c>
    </row>
    <row r="296" spans="1:112" ht="15" thickTop="1" thickBot="1">
      <c r="A296" s="38" t="s">
        <v>702</v>
      </c>
      <c r="B296" s="38" t="s">
        <v>703</v>
      </c>
      <c r="C296" s="38" t="s">
        <v>702</v>
      </c>
      <c r="D296" s="38" t="s">
        <v>119</v>
      </c>
      <c r="E296" s="38" t="e">
        <f>VLOOKUP(C296,PoliticalControl!A:K,11,FALSE)</f>
        <v>#N/A</v>
      </c>
      <c r="F296" s="38" t="str">
        <f>VLOOKUP(C296,UrbanRuralClassification!A:N,13,FALSE)</f>
        <v>Urban with Significant Rural (rural including hub towns 26-49%)</v>
      </c>
      <c r="G296" s="38" t="str">
        <f>VLOOKUP(C296,UrbanRuralClassification!A:N,14,FALSE)</f>
        <v>Urban with Significant Rural</v>
      </c>
      <c r="H296" s="258">
        <f>IF(ISBLANK((VLOOKUP($A296,'local-plan-data'!$C$1:$AD$566,27,FALSE)))=TRUE,"",VLOOKUP($A296,'local-plan-data'!$C$1:$AD$566,27,FALSE))</f>
        <v>42565</v>
      </c>
      <c r="I296" s="259">
        <f>VLOOKUP($A296,'local-plan-data'!$C$1:$AD$566,28,FALSE)</f>
        <v>350</v>
      </c>
      <c r="J296" s="260">
        <f t="shared" si="217"/>
        <v>350</v>
      </c>
      <c r="K296" s="259">
        <f t="shared" si="240"/>
        <v>350</v>
      </c>
      <c r="L296" s="259">
        <f t="shared" si="240"/>
        <v>350</v>
      </c>
      <c r="M296" s="259">
        <f t="shared" si="240"/>
        <v>350</v>
      </c>
      <c r="N296" s="259">
        <f t="shared" si="240"/>
        <v>350</v>
      </c>
      <c r="O296" s="259" t="str">
        <f t="shared" si="240"/>
        <v>-</v>
      </c>
      <c r="P296" s="259" t="str">
        <f t="shared" si="240"/>
        <v>-</v>
      </c>
      <c r="Q296" s="259" t="str">
        <f t="shared" si="240"/>
        <v>-</v>
      </c>
      <c r="R296" s="259" t="str">
        <f t="shared" si="240"/>
        <v>-</v>
      </c>
      <c r="S296" s="259">
        <f t="shared" si="241"/>
        <v>1200</v>
      </c>
      <c r="T296" s="259">
        <f t="shared" si="241"/>
        <v>835</v>
      </c>
      <c r="U296" s="259">
        <f t="shared" si="241"/>
        <v>469</v>
      </c>
      <c r="V296" s="259">
        <f t="shared" si="241"/>
        <v>104</v>
      </c>
      <c r="W296" s="259">
        <f t="shared" si="241"/>
        <v>-261</v>
      </c>
      <c r="X296" s="259">
        <f t="shared" si="241"/>
        <v>-626</v>
      </c>
      <c r="Y296" s="259">
        <f t="shared" si="241"/>
        <v>-992</v>
      </c>
      <c r="Z296" s="259">
        <f t="shared" si="241"/>
        <v>-1357</v>
      </c>
      <c r="AA296" s="267">
        <f>(VLOOKUP(A296,Hshldprojections2014!$A$2:$AW$319,40, FALSE)-VLOOKUP(A296,Hshldprojections2014!$A$2:$AW$319,30, FALSE))/10</f>
        <v>280.2</v>
      </c>
      <c r="AB296" s="267">
        <f>(VLOOKUP(A296,Hshldprojections2014!$A$2:$AW$319,41, FALSE)-VLOOKUP(A296,Hshldprojections2014!$A$2:$AW$319,31, FALSE))/10</f>
        <v>279.7</v>
      </c>
      <c r="AC296" s="267">
        <f>(VLOOKUP(A296,Hshldprojections2014!$A$2:$AW$319,42, FALSE)-VLOOKUP(A296,Hshldprojections2014!$A$2:$AW$319,32, FALSE))/10</f>
        <v>279.10000000000002</v>
      </c>
      <c r="AD296" s="267">
        <f>IF(IndividualLATest!$J$7=2014,(VLOOKUP($A296,Hshldprojections2014!$A$2:$AY$326,43,FALSE)-VLOOKUP($A296,Hshldprojections2014!$A$2:$AY$326,33,FALSE))/10,IF(IndividualLATest!$J$7=2016,(VLOOKUP($A296,Hshldprojections2016!$A$1:$AQ$322,33,FALSE)-VLOOKUP($A296,Hshldprojections2016!$A$1:$AQ$322,23,FALSE))/10,(VLOOKUP($A296,Hshldprojections2018!$A$1:$AQ$327,33,FALSE)-VLOOKUP($A296,Hshldprojections2018!$A$1:$AQ$327,23,FALSE))/10))</f>
        <v>295.5</v>
      </c>
      <c r="AE296" s="267">
        <f>IF(IndividualLATest!$J$7=2014,(VLOOKUP($A296,Hshldprojections2014!$A$2:$AY$326,44,FALSE)-VLOOKUP($A296,Hshldprojections2014!$A$2:$AY$326,34,FALSE))/10,IF(IndividualLATest!$J$7=2016,(VLOOKUP($A296,Hshldprojections2016!$A$1:$AQ$322,34,FALSE)-VLOOKUP($A296,Hshldprojections2016!$A$1:$AQ$322,24,FALSE))/10,(VLOOKUP($A296,Hshldprojections2018!$A$1:$AQ$327,34,FALSE)-VLOOKUP($A296,Hshldprojections2018!$A$1:$AQ$327,24,FALSE))/10))</f>
        <v>289.39999999999998</v>
      </c>
      <c r="AF296" s="267">
        <f>IF(IndividualLATest!$J$7=2014,(VLOOKUP($A296,Hshldprojections2014!$A$2:$AY$326,45,FALSE)-VLOOKUP($A296,Hshldprojections2014!$A$2:$AY$326,35,FALSE))/10,IF(IndividualLATest!$J$7=2016,(VLOOKUP($A296,Hshldprojections2016!$A$1:$AQ$322,35,FALSE)-VLOOKUP($A296,Hshldprojections2016!$A$1:$AQ$322,25,FALSE))/10,(VLOOKUP($A296,Hshldprojections2018!$A$1:$AQ$327,35,FALSE)-VLOOKUP($A296,Hshldprojections2018!$A$1:$AQ$327,25,FALSE))/10))</f>
        <v>282.60000000000002</v>
      </c>
      <c r="AG296" s="267">
        <f>IF(IndividualLATest!$J$7=2014,(VLOOKUP($A296,Hshldprojections2014!$A$2:$AY$326,46,FALSE)-VLOOKUP($A296,Hshldprojections2014!$A$2:$AY$326,36,FALSE))/10,IF(IndividualLATest!$J$7=2016,(VLOOKUP($A296,Hshldprojections2016!$A$1:$AQ$322,36,FALSE)-VLOOKUP($A296,Hshldprojections2016!$A$1:$AQ$322,26,FALSE))/10,(VLOOKUP($A296,Hshldprojections2018!$A$1:$AQ$327,36,FALSE)-VLOOKUP($A296,Hshldprojections2018!$A$1:$AQ$327,26,FALSE))/10))</f>
        <v>276.3</v>
      </c>
      <c r="AH296" s="267">
        <f>IF(IndividualLATest!$J$7=2014,(VLOOKUP($A296,Hshldprojections2014!$A$2:$AY$326,47,FALSE)-VLOOKUP($A296,Hshldprojections2014!$A$2:$AY$326,37,FALSE))/10,IF(IndividualLATest!$J$7=2016,(VLOOKUP($A296,Hshldprojections2016!$A$1:$AQ$322,37,FALSE)-VLOOKUP($A296,Hshldprojections2016!$A$1:$AQ$322,27,FALSE))/10,(VLOOKUP($A296,Hshldprojections2018!$A$1:$AQ$327,37,FALSE)-VLOOKUP($A296,Hshldprojections2018!$A$1:$AQ$327,27,FALSE))/10))</f>
        <v>271.7</v>
      </c>
      <c r="AI296" s="268">
        <f>IF(ISNUMBER('Sensitivity Tests'!$C$30),'Sensitivity Tests'!$C$30,VLOOKUP($A296,AffordabilityRatio!$A$2:$I$321,5,FALSE))</f>
        <v>7.49</v>
      </c>
      <c r="AJ296" s="268">
        <f>IF(ISNUMBER('Sensitivity Tests'!$C$30),'Sensitivity Tests'!$C$30,VLOOKUP($A296,AffordabilityRatio!$A$2:$I$321,6,FALSE))</f>
        <v>7.47</v>
      </c>
      <c r="AK296" s="268">
        <f>IF(ISNUMBER('Sensitivity Tests'!$C$30),'Sensitivity Tests'!$C$30,VLOOKUP($A296,AffordabilityRatio!$A$2:$I$321,7,FALSE))</f>
        <v>7.99</v>
      </c>
      <c r="AL296" s="268">
        <f>IF(ISNUMBER('Sensitivity Tests'!$C$30),'Sensitivity Tests'!$C$30,IF((VLOOKUP($A296,AffordabilityRatio!$A$2:$I$321,8,FALSE))="",AK296,VLOOKUP($A296,AffordabilityRatio!$A$2:$I$321,8,FALSE)))</f>
        <v>7.48</v>
      </c>
      <c r="AM296" s="268">
        <f>IF(ISNUMBER('Sensitivity Tests'!$C$30),'Sensitivity Tests'!$C$30,IF((VLOOKUP($A296,AffordabilityRatio!$A$2:$I$321,9,FALSE))="",AL296,VLOOKUP($A296,AffordabilityRatio!$A$2:$I$321,9,FALSE)))</f>
        <v>7.48</v>
      </c>
      <c r="AN296" s="268">
        <f>IF(ISNUMBER('Sensitivity Tests'!$C$30),'Sensitivity Tests'!$C$30,IF((VLOOKUP($A296,AffordabilityRatio!$A$2:$I$321,9,FALSE))="",AM296,VLOOKUP($A296,AffordabilityRatio!$A$2:$I$321,9,FALSE)))</f>
        <v>7.48</v>
      </c>
      <c r="AO296" s="268">
        <f>IF(ISNUMBER('Sensitivity Tests'!$C$30),'Sensitivity Tests'!$C$30,IF((VLOOKUP($A296,AffordabilityRatio!$A$2:$I$321,9,FALSE))="",AN296,VLOOKUP($A296,AffordabilityRatio!$A$2:$I$321,9,FALSE)))</f>
        <v>7.48</v>
      </c>
      <c r="AP296" s="268">
        <f>IF(ISNUMBER('Sensitivity Tests'!$C$30),'Sensitivity Tests'!$C$30,IF((VLOOKUP($A296,AffordabilityRatio!$A$2:$I$321,9,FALSE))="",AO296,VLOOKUP($A296,AffordabilityRatio!$A$2:$I$321,9,FALSE)))</f>
        <v>7.48</v>
      </c>
      <c r="AQ296" s="267">
        <f t="shared" si="243"/>
        <v>341</v>
      </c>
      <c r="AR296" s="267">
        <f t="shared" si="243"/>
        <v>340</v>
      </c>
      <c r="AS296" s="267">
        <f t="shared" si="243"/>
        <v>349</v>
      </c>
      <c r="AT296" s="267">
        <f t="shared" si="242"/>
        <v>360</v>
      </c>
      <c r="AU296" s="267">
        <f t="shared" si="242"/>
        <v>352</v>
      </c>
      <c r="AV296" s="267">
        <f t="shared" si="242"/>
        <v>344</v>
      </c>
      <c r="AW296" s="267">
        <f t="shared" si="242"/>
        <v>336</v>
      </c>
      <c r="AX296" s="267">
        <f t="shared" si="242"/>
        <v>331</v>
      </c>
      <c r="AY296" s="267">
        <f t="shared" si="218"/>
        <v>341</v>
      </c>
      <c r="AZ296" s="267">
        <f t="shared" si="219"/>
        <v>340</v>
      </c>
      <c r="BA296" s="267">
        <f t="shared" si="220"/>
        <v>349</v>
      </c>
      <c r="BB296" s="267">
        <f t="shared" si="221"/>
        <v>360</v>
      </c>
      <c r="BC296" s="267">
        <f t="shared" si="222"/>
        <v>352</v>
      </c>
      <c r="BD296" s="267">
        <f t="shared" si="223"/>
        <v>344</v>
      </c>
      <c r="BE296" s="267">
        <f t="shared" si="224"/>
        <v>336</v>
      </c>
      <c r="BF296" s="267">
        <f t="shared" si="225"/>
        <v>331</v>
      </c>
      <c r="BG296" s="269">
        <f>AY296*VLOOKUP($B296,'Major Cities &amp; Towns'!$A$28:$B$345,2,FALSE)</f>
        <v>341</v>
      </c>
      <c r="BH296" s="269">
        <f>AZ296*VLOOKUP($B296,'Major Cities &amp; Towns'!$A$28:$B$345,2,FALSE)</f>
        <v>340</v>
      </c>
      <c r="BI296" s="269">
        <f>BA296*VLOOKUP($B296,'Major Cities &amp; Towns'!$A$28:$B$345,2,FALSE)</f>
        <v>349</v>
      </c>
      <c r="BJ296" s="269">
        <f>BB296*VLOOKUP($B296,'Major Cities &amp; Towns'!$A$28:$B$345,2,FALSE)</f>
        <v>360</v>
      </c>
      <c r="BK296" s="269">
        <f>BC296*VLOOKUP($B296,'Major Cities &amp; Towns'!$A$28:$B$345,2,FALSE)</f>
        <v>352</v>
      </c>
      <c r="BL296" s="269">
        <f>BD296*VLOOKUP($B296,'Major Cities &amp; Towns'!$A$28:$B$345,2,FALSE)</f>
        <v>344</v>
      </c>
      <c r="BM296" s="269">
        <f>BE296*VLOOKUP($B296,'Major Cities &amp; Towns'!$A$28:$B$345,2,FALSE)</f>
        <v>336</v>
      </c>
      <c r="BN296" s="269">
        <f>BF296*VLOOKUP($B296,'Major Cities &amp; Towns'!$A$28:$B$345,2,FALSE)</f>
        <v>331</v>
      </c>
      <c r="BO296" s="270">
        <f t="shared" si="226"/>
        <v>341</v>
      </c>
      <c r="BP296" s="270">
        <f t="shared" si="201"/>
        <v>340</v>
      </c>
      <c r="BQ296" s="270">
        <f t="shared" si="201"/>
        <v>349</v>
      </c>
      <c r="BR296" s="270">
        <f t="shared" si="201"/>
        <v>357.15068493150682</v>
      </c>
      <c r="BS296" s="270">
        <f t="shared" si="200"/>
        <v>352</v>
      </c>
      <c r="BT296" s="270">
        <f t="shared" si="200"/>
        <v>344</v>
      </c>
      <c r="BU296" s="270">
        <f t="shared" si="200"/>
        <v>336</v>
      </c>
      <c r="BV296" s="270">
        <f t="shared" si="200"/>
        <v>331</v>
      </c>
      <c r="BW296" s="39">
        <f>VLOOKUP($A296,NetAdditions!$A$2:$H$336,6,FALSE)</f>
        <v>339</v>
      </c>
      <c r="BX296" s="39">
        <f>VLOOKUP($A296,NetAdditions!$A$2:$H$336,7,FALSE)</f>
        <v>354</v>
      </c>
      <c r="BY296" s="39">
        <f>IF((VLOOKUP($C296,NetAdditions!$A$2:$H$336,8,FALSE))="",(AVERAGE(VLOOKUP($C296,NetAdditions!$A$2:$H$336,5,FALSE),VLOOKUP($C296,NetAdditions!$A$2:$H$336,6,FALSE),VLOOKUP($C296,NetAdditions!$A$2:$H$336,7,FALSE))),VLOOKUP($C296,NetAdditions!$A$2:$H$336,8,FALSE))</f>
        <v>322.33333333333331</v>
      </c>
      <c r="BZ296" s="39">
        <f t="shared" si="244"/>
        <v>338.4444444444444</v>
      </c>
      <c r="CA296" s="39">
        <f t="shared" si="244"/>
        <v>338.25925925925918</v>
      </c>
      <c r="CB296" s="39">
        <f t="shared" si="244"/>
        <v>333.0123456790123</v>
      </c>
      <c r="CC296" s="39">
        <f t="shared" si="244"/>
        <v>336.57201646090533</v>
      </c>
      <c r="CD296" s="39">
        <f t="shared" si="244"/>
        <v>335.94787379972558</v>
      </c>
      <c r="CE296" s="276">
        <f t="shared" si="202"/>
        <v>1030</v>
      </c>
      <c r="CF296" s="276">
        <f t="shared" si="203"/>
        <v>1046.1506849315069</v>
      </c>
      <c r="CG296" s="276">
        <f t="shared" si="204"/>
        <v>1058.1506849315069</v>
      </c>
      <c r="CH296" s="276">
        <f t="shared" si="205"/>
        <v>1053.1506849315069</v>
      </c>
      <c r="CI296" s="276">
        <f t="shared" si="206"/>
        <v>1032</v>
      </c>
      <c r="CJ296" s="276">
        <f t="shared" si="207"/>
        <v>1011</v>
      </c>
      <c r="CK296" s="276">
        <f t="shared" si="227"/>
        <v>886.94444444444446</v>
      </c>
      <c r="CL296" s="276">
        <f t="shared" si="228"/>
        <v>900.85197869101989</v>
      </c>
      <c r="CM296" s="276">
        <f t="shared" si="229"/>
        <v>969.97146118721469</v>
      </c>
      <c r="CN296" s="276">
        <f t="shared" si="230"/>
        <v>1053.1506849315069</v>
      </c>
      <c r="CO296" s="276">
        <f t="shared" si="230"/>
        <v>1032</v>
      </c>
      <c r="CP296" s="276">
        <f t="shared" si="230"/>
        <v>1011</v>
      </c>
      <c r="CQ296" s="39">
        <f t="shared" si="208"/>
        <v>1015.3333333333333</v>
      </c>
      <c r="CR296" s="39">
        <f t="shared" si="209"/>
        <v>1014.7777777777776</v>
      </c>
      <c r="CS296" s="277">
        <f t="shared" si="210"/>
        <v>999.03703703703695</v>
      </c>
      <c r="CT296" s="39">
        <f t="shared" si="211"/>
        <v>1009.7160493827159</v>
      </c>
      <c r="CU296" s="39">
        <f t="shared" si="212"/>
        <v>1007.8436213991768</v>
      </c>
      <c r="CV296" s="39">
        <f t="shared" si="213"/>
        <v>1005.5322359396432</v>
      </c>
      <c r="CW296" s="297">
        <f t="shared" si="214"/>
        <v>1.144754149702474</v>
      </c>
      <c r="CX296" s="279" t="str">
        <f t="shared" si="231"/>
        <v>Pass</v>
      </c>
      <c r="CY296" s="278">
        <f t="shared" si="215"/>
        <v>1.1264645044708645</v>
      </c>
      <c r="CZ296" s="279" t="str">
        <f t="shared" si="232"/>
        <v>Pass</v>
      </c>
      <c r="DA296" s="278">
        <f t="shared" si="216"/>
        <v>1.0299653928108843</v>
      </c>
      <c r="DB296" s="292" t="str">
        <f t="shared" si="233"/>
        <v>Pass</v>
      </c>
      <c r="DC296" s="299">
        <f t="shared" si="234"/>
        <v>0.95875743502781297</v>
      </c>
      <c r="DD296" s="293" t="str">
        <f t="shared" si="235"/>
        <v>Pass</v>
      </c>
      <c r="DE296" s="299">
        <f t="shared" si="236"/>
        <v>0.97659265639455117</v>
      </c>
      <c r="DF296" s="293" t="str">
        <f t="shared" si="237"/>
        <v>Pass</v>
      </c>
      <c r="DG296" s="299">
        <f t="shared" si="238"/>
        <v>0.99459172694326725</v>
      </c>
      <c r="DH296" s="293" t="str">
        <f t="shared" si="239"/>
        <v>Pass</v>
      </c>
    </row>
    <row r="297" spans="1:112" ht="15" thickTop="1" thickBot="1">
      <c r="A297" s="38" t="s">
        <v>704</v>
      </c>
      <c r="B297" s="38" t="s">
        <v>705</v>
      </c>
      <c r="C297" s="38" t="s">
        <v>704</v>
      </c>
      <c r="D297" s="38" t="s">
        <v>128</v>
      </c>
      <c r="E297" s="38" t="str">
        <f>VLOOKUP(C297,PoliticalControl!A:K,11,FALSE)</f>
        <v>CON</v>
      </c>
      <c r="F297" s="38" t="str">
        <f>VLOOKUP(C297,UrbanRuralClassification!A:N,13,FALSE)</f>
        <v>Urban with City and Town</v>
      </c>
      <c r="G297" s="38" t="str">
        <f>VLOOKUP(C297,UrbanRuralClassification!A:N,14,FALSE)</f>
        <v>Predominantly Urban</v>
      </c>
      <c r="H297" s="258" t="str">
        <f>IF(ISBLANK((VLOOKUP($A297,'local-plan-data'!$C$1:$AD$566,27,FALSE)))=TRUE,"",VLOOKUP($A297,'local-plan-data'!$C$1:$AD$566,27,FALSE))</f>
        <v/>
      </c>
      <c r="I297" s="259">
        <f>VLOOKUP($A297,'local-plan-data'!$C$1:$AD$566,28,FALSE)</f>
        <v>631.57894736842104</v>
      </c>
      <c r="J297" s="260">
        <f t="shared" si="217"/>
        <v>631.57894736842104</v>
      </c>
      <c r="K297" s="259" t="str">
        <f t="shared" si="240"/>
        <v>-</v>
      </c>
      <c r="L297" s="259" t="str">
        <f t="shared" si="240"/>
        <v>-</v>
      </c>
      <c r="M297" s="259" t="str">
        <f t="shared" si="240"/>
        <v>-</v>
      </c>
      <c r="N297" s="259" t="str">
        <f t="shared" si="240"/>
        <v>-</v>
      </c>
      <c r="O297" s="259" t="str">
        <f t="shared" si="240"/>
        <v>-</v>
      </c>
      <c r="P297" s="259" t="str">
        <f t="shared" si="240"/>
        <v>-</v>
      </c>
      <c r="Q297" s="259" t="str">
        <f t="shared" si="240"/>
        <v>-</v>
      </c>
      <c r="R297" s="259" t="str">
        <f t="shared" ref="L297:R322" si="245">IF(AND(ISNUMBER($H297),ISNUMBER($J297)),IF(($H297-R$1&gt;0),$J297,IF(DATEDIF($H297,R$1,"y")&lt;5,$J297,"-")),"-")</f>
        <v>-</v>
      </c>
      <c r="S297" s="259" t="str">
        <f t="shared" si="241"/>
        <v>-</v>
      </c>
      <c r="T297" s="259" t="str">
        <f t="shared" si="241"/>
        <v>-</v>
      </c>
      <c r="U297" s="259" t="str">
        <f t="shared" si="241"/>
        <v>-</v>
      </c>
      <c r="V297" s="259" t="str">
        <f t="shared" si="241"/>
        <v>-</v>
      </c>
      <c r="W297" s="259" t="str">
        <f t="shared" si="241"/>
        <v>-</v>
      </c>
      <c r="X297" s="259" t="str">
        <f t="shared" si="241"/>
        <v>-</v>
      </c>
      <c r="Y297" s="259" t="str">
        <f t="shared" si="241"/>
        <v>-</v>
      </c>
      <c r="Z297" s="259" t="str">
        <f t="shared" ref="T297:Z322" si="246">IFERROR((EDATE($H297,60))-Z$1,"-")</f>
        <v>-</v>
      </c>
      <c r="AA297" s="267">
        <f>(VLOOKUP(A297,Hshldprojections2014!$A$2:$AW$319,40, FALSE)-VLOOKUP(A297,Hshldprojections2014!$A$2:$AW$319,30, FALSE))/10</f>
        <v>619.4</v>
      </c>
      <c r="AB297" s="267">
        <f>(VLOOKUP(A297,Hshldprojections2014!$A$2:$AW$319,41, FALSE)-VLOOKUP(A297,Hshldprojections2014!$A$2:$AW$319,31, FALSE))/10</f>
        <v>619.79999999999995</v>
      </c>
      <c r="AC297" s="267">
        <f>(VLOOKUP(A297,Hshldprojections2014!$A$2:$AW$319,42, FALSE)-VLOOKUP(A297,Hshldprojections2014!$A$2:$AW$319,32, FALSE))/10</f>
        <v>625</v>
      </c>
      <c r="AD297" s="267">
        <f>IF(IndividualLATest!$J$7=2014,(VLOOKUP($A297,Hshldprojections2014!$A$2:$AY$326,43,FALSE)-VLOOKUP($A297,Hshldprojections2014!$A$2:$AY$326,33,FALSE))/10,IF(IndividualLATest!$J$7=2016,(VLOOKUP($A297,Hshldprojections2016!$A$1:$AQ$322,33,FALSE)-VLOOKUP($A297,Hshldprojections2016!$A$1:$AQ$322,23,FALSE))/10,(VLOOKUP($A297,Hshldprojections2018!$A$1:$AQ$327,33,FALSE)-VLOOKUP($A297,Hshldprojections2018!$A$1:$AQ$327,23,FALSE))/10))</f>
        <v>310.5</v>
      </c>
      <c r="AE297" s="267">
        <f>IF(IndividualLATest!$J$7=2014,(VLOOKUP($A297,Hshldprojections2014!$A$2:$AY$326,44,FALSE)-VLOOKUP($A297,Hshldprojections2014!$A$2:$AY$326,34,FALSE))/10,IF(IndividualLATest!$J$7=2016,(VLOOKUP($A297,Hshldprojections2016!$A$1:$AQ$322,34,FALSE)-VLOOKUP($A297,Hshldprojections2016!$A$1:$AQ$322,24,FALSE))/10,(VLOOKUP($A297,Hshldprojections2018!$A$1:$AQ$327,34,FALSE)-VLOOKUP($A297,Hshldprojections2018!$A$1:$AQ$327,24,FALSE))/10))</f>
        <v>310.60000000000002</v>
      </c>
      <c r="AF297" s="267">
        <f>IF(IndividualLATest!$J$7=2014,(VLOOKUP($A297,Hshldprojections2014!$A$2:$AY$326,45,FALSE)-VLOOKUP($A297,Hshldprojections2014!$A$2:$AY$326,35,FALSE))/10,IF(IndividualLATest!$J$7=2016,(VLOOKUP($A297,Hshldprojections2016!$A$1:$AQ$322,35,FALSE)-VLOOKUP($A297,Hshldprojections2016!$A$1:$AQ$322,25,FALSE))/10,(VLOOKUP($A297,Hshldprojections2018!$A$1:$AQ$327,35,FALSE)-VLOOKUP($A297,Hshldprojections2018!$A$1:$AQ$327,25,FALSE))/10))</f>
        <v>310.5</v>
      </c>
      <c r="AG297" s="267">
        <f>IF(IndividualLATest!$J$7=2014,(VLOOKUP($A297,Hshldprojections2014!$A$2:$AY$326,46,FALSE)-VLOOKUP($A297,Hshldprojections2014!$A$2:$AY$326,36,FALSE))/10,IF(IndividualLATest!$J$7=2016,(VLOOKUP($A297,Hshldprojections2016!$A$1:$AQ$322,36,FALSE)-VLOOKUP($A297,Hshldprojections2016!$A$1:$AQ$322,26,FALSE))/10,(VLOOKUP($A297,Hshldprojections2018!$A$1:$AQ$327,36,FALSE)-VLOOKUP($A297,Hshldprojections2018!$A$1:$AQ$327,26,FALSE))/10))</f>
        <v>308.89999999999998</v>
      </c>
      <c r="AH297" s="267">
        <f>IF(IndividualLATest!$J$7=2014,(VLOOKUP($A297,Hshldprojections2014!$A$2:$AY$326,47,FALSE)-VLOOKUP($A297,Hshldprojections2014!$A$2:$AY$326,37,FALSE))/10,IF(IndividualLATest!$J$7=2016,(VLOOKUP($A297,Hshldprojections2016!$A$1:$AQ$322,37,FALSE)-VLOOKUP($A297,Hshldprojections2016!$A$1:$AQ$322,27,FALSE))/10,(VLOOKUP($A297,Hshldprojections2018!$A$1:$AQ$327,37,FALSE)-VLOOKUP($A297,Hshldprojections2018!$A$1:$AQ$327,27,FALSE))/10))</f>
        <v>309.7</v>
      </c>
      <c r="AI297" s="268">
        <f>IF(ISNUMBER('Sensitivity Tests'!$C$30),'Sensitivity Tests'!$C$30,VLOOKUP($A297,AffordabilityRatio!$A$2:$I$321,5,FALSE))</f>
        <v>11.23</v>
      </c>
      <c r="AJ297" s="268">
        <f>IF(ISNUMBER('Sensitivity Tests'!$C$30),'Sensitivity Tests'!$C$30,VLOOKUP($A297,AffordabilityRatio!$A$2:$I$321,6,FALSE))</f>
        <v>10.98</v>
      </c>
      <c r="AK297" s="268">
        <f>IF(ISNUMBER('Sensitivity Tests'!$C$30),'Sensitivity Tests'!$C$30,VLOOKUP($A297,AffordabilityRatio!$A$2:$I$321,7,FALSE))</f>
        <v>10.69</v>
      </c>
      <c r="AL297" s="268">
        <f>IF(ISNUMBER('Sensitivity Tests'!$C$30),'Sensitivity Tests'!$C$30,IF((VLOOKUP($A297,AffordabilityRatio!$A$2:$I$321,8,FALSE))="",AK297,VLOOKUP($A297,AffordabilityRatio!$A$2:$I$321,8,FALSE)))</f>
        <v>10.28</v>
      </c>
      <c r="AM297" s="268">
        <f>IF(ISNUMBER('Sensitivity Tests'!$C$30),'Sensitivity Tests'!$C$30,IF((VLOOKUP($A297,AffordabilityRatio!$A$2:$I$321,9,FALSE))="",AL297,VLOOKUP($A297,AffordabilityRatio!$A$2:$I$321,9,FALSE)))</f>
        <v>12.37</v>
      </c>
      <c r="AN297" s="268">
        <f>IF(ISNUMBER('Sensitivity Tests'!$C$30),'Sensitivity Tests'!$C$30,IF((VLOOKUP($A297,AffordabilityRatio!$A$2:$I$321,9,FALSE))="",AM297,VLOOKUP($A297,AffordabilityRatio!$A$2:$I$321,9,FALSE)))</f>
        <v>12.37</v>
      </c>
      <c r="AO297" s="268">
        <f>IF(ISNUMBER('Sensitivity Tests'!$C$30),'Sensitivity Tests'!$C$30,IF((VLOOKUP($A297,AffordabilityRatio!$A$2:$I$321,9,FALSE))="",AN297,VLOOKUP($A297,AffordabilityRatio!$A$2:$I$321,9,FALSE)))</f>
        <v>12.37</v>
      </c>
      <c r="AP297" s="268">
        <f>IF(ISNUMBER('Sensitivity Tests'!$C$30),'Sensitivity Tests'!$C$30,IF((VLOOKUP($A297,AffordabilityRatio!$A$2:$I$321,9,FALSE))="",AO297,VLOOKUP($A297,AffordabilityRatio!$A$2:$I$321,9,FALSE)))</f>
        <v>12.37</v>
      </c>
      <c r="AQ297" s="267">
        <f t="shared" si="243"/>
        <v>899</v>
      </c>
      <c r="AR297" s="267">
        <f t="shared" si="243"/>
        <v>890</v>
      </c>
      <c r="AS297" s="267">
        <f t="shared" si="243"/>
        <v>886</v>
      </c>
      <c r="AT297" s="267">
        <f t="shared" si="242"/>
        <v>432</v>
      </c>
      <c r="AU297" s="267">
        <f t="shared" si="242"/>
        <v>473</v>
      </c>
      <c r="AV297" s="267">
        <f t="shared" si="242"/>
        <v>473</v>
      </c>
      <c r="AW297" s="267">
        <f t="shared" si="242"/>
        <v>470</v>
      </c>
      <c r="AX297" s="267">
        <f t="shared" si="242"/>
        <v>472</v>
      </c>
      <c r="AY297" s="267">
        <f t="shared" si="218"/>
        <v>884.21052631578948</v>
      </c>
      <c r="AZ297" s="267">
        <f t="shared" si="219"/>
        <v>884.21052631578948</v>
      </c>
      <c r="BA297" s="267">
        <f t="shared" si="220"/>
        <v>884.21052631578948</v>
      </c>
      <c r="BB297" s="267">
        <f t="shared" si="221"/>
        <v>432</v>
      </c>
      <c r="BC297" s="267">
        <f t="shared" si="222"/>
        <v>473</v>
      </c>
      <c r="BD297" s="267">
        <f t="shared" si="223"/>
        <v>473</v>
      </c>
      <c r="BE297" s="267">
        <f t="shared" si="224"/>
        <v>470</v>
      </c>
      <c r="BF297" s="267">
        <f t="shared" si="225"/>
        <v>472</v>
      </c>
      <c r="BG297" s="269">
        <f>AY297*VLOOKUP($B297,'Major Cities &amp; Towns'!$A$28:$B$345,2,FALSE)</f>
        <v>884.21052631578948</v>
      </c>
      <c r="BH297" s="269">
        <f>AZ297*VLOOKUP($B297,'Major Cities &amp; Towns'!$A$28:$B$345,2,FALSE)</f>
        <v>884.21052631578948</v>
      </c>
      <c r="BI297" s="269">
        <f>BA297*VLOOKUP($B297,'Major Cities &amp; Towns'!$A$28:$B$345,2,FALSE)</f>
        <v>884.21052631578948</v>
      </c>
      <c r="BJ297" s="269">
        <f>BB297*VLOOKUP($B297,'Major Cities &amp; Towns'!$A$28:$B$345,2,FALSE)</f>
        <v>432</v>
      </c>
      <c r="BK297" s="269">
        <f>BC297*VLOOKUP($B297,'Major Cities &amp; Towns'!$A$28:$B$345,2,FALSE)</f>
        <v>473</v>
      </c>
      <c r="BL297" s="269">
        <f>BD297*VLOOKUP($B297,'Major Cities &amp; Towns'!$A$28:$B$345,2,FALSE)</f>
        <v>473</v>
      </c>
      <c r="BM297" s="269">
        <f>BE297*VLOOKUP($B297,'Major Cities &amp; Towns'!$A$28:$B$345,2,FALSE)</f>
        <v>470</v>
      </c>
      <c r="BN297" s="269">
        <f>BF297*VLOOKUP($B297,'Major Cities &amp; Towns'!$A$28:$B$345,2,FALSE)</f>
        <v>472</v>
      </c>
      <c r="BO297" s="270">
        <f t="shared" si="226"/>
        <v>899</v>
      </c>
      <c r="BP297" s="270">
        <f t="shared" si="201"/>
        <v>890</v>
      </c>
      <c r="BQ297" s="270">
        <f t="shared" si="201"/>
        <v>886</v>
      </c>
      <c r="BR297" s="270">
        <f t="shared" si="201"/>
        <v>432</v>
      </c>
      <c r="BS297" s="270">
        <f t="shared" si="200"/>
        <v>473</v>
      </c>
      <c r="BT297" s="270">
        <f t="shared" si="200"/>
        <v>473</v>
      </c>
      <c r="BU297" s="270">
        <f t="shared" si="200"/>
        <v>470</v>
      </c>
      <c r="BV297" s="270">
        <f t="shared" si="200"/>
        <v>472</v>
      </c>
      <c r="BW297" s="39">
        <f>VLOOKUP($A297,NetAdditions!$A$2:$H$336,6,FALSE)</f>
        <v>456</v>
      </c>
      <c r="BX297" s="39">
        <f>VLOOKUP($A297,NetAdditions!$A$2:$H$336,7,FALSE)</f>
        <v>671</v>
      </c>
      <c r="BY297" s="39">
        <f>IF((VLOOKUP($C297,NetAdditions!$A$2:$H$336,8,FALSE))="",(AVERAGE(VLOOKUP($C297,NetAdditions!$A$2:$H$336,5,FALSE),VLOOKUP($C297,NetAdditions!$A$2:$H$336,6,FALSE),VLOOKUP($C297,NetAdditions!$A$2:$H$336,7,FALSE))),VLOOKUP($C297,NetAdditions!$A$2:$H$336,8,FALSE))</f>
        <v>352</v>
      </c>
      <c r="BZ297" s="39">
        <f t="shared" si="244"/>
        <v>493</v>
      </c>
      <c r="CA297" s="39">
        <f t="shared" si="244"/>
        <v>505.33333333333331</v>
      </c>
      <c r="CB297" s="39">
        <f t="shared" si="244"/>
        <v>450.11111111111109</v>
      </c>
      <c r="CC297" s="39">
        <f t="shared" si="244"/>
        <v>482.81481481481478</v>
      </c>
      <c r="CD297" s="39">
        <f t="shared" si="244"/>
        <v>479.41975308641969</v>
      </c>
      <c r="CE297" s="276">
        <f t="shared" si="202"/>
        <v>2675</v>
      </c>
      <c r="CF297" s="276">
        <f t="shared" si="203"/>
        <v>2208</v>
      </c>
      <c r="CG297" s="276">
        <f t="shared" si="204"/>
        <v>1791</v>
      </c>
      <c r="CH297" s="276">
        <f t="shared" si="205"/>
        <v>1378</v>
      </c>
      <c r="CI297" s="276">
        <f t="shared" si="206"/>
        <v>1416</v>
      </c>
      <c r="CJ297" s="276">
        <f t="shared" si="207"/>
        <v>1415</v>
      </c>
      <c r="CK297" s="276">
        <f t="shared" si="227"/>
        <v>2303.4722222222222</v>
      </c>
      <c r="CL297" s="276">
        <f t="shared" si="228"/>
        <v>1901.3333333333335</v>
      </c>
      <c r="CM297" s="276">
        <f t="shared" si="229"/>
        <v>1641.75</v>
      </c>
      <c r="CN297" s="276">
        <f t="shared" si="230"/>
        <v>1378</v>
      </c>
      <c r="CO297" s="276">
        <f t="shared" si="230"/>
        <v>1416</v>
      </c>
      <c r="CP297" s="276">
        <f t="shared" si="230"/>
        <v>1415</v>
      </c>
      <c r="CQ297" s="39">
        <f t="shared" si="208"/>
        <v>1479</v>
      </c>
      <c r="CR297" s="39">
        <f t="shared" si="209"/>
        <v>1516</v>
      </c>
      <c r="CS297" s="277">
        <f t="shared" si="210"/>
        <v>1350.3333333333333</v>
      </c>
      <c r="CT297" s="39">
        <f t="shared" si="211"/>
        <v>1448.4444444444443</v>
      </c>
      <c r="CU297" s="39">
        <f t="shared" si="212"/>
        <v>1438.2592592592591</v>
      </c>
      <c r="CV297" s="39">
        <f t="shared" si="213"/>
        <v>1412.3456790123455</v>
      </c>
      <c r="CW297" s="297">
        <f t="shared" si="214"/>
        <v>0.64207416340066326</v>
      </c>
      <c r="CX297" s="279" t="str">
        <f t="shared" si="231"/>
        <v>Buffer and Action Plan</v>
      </c>
      <c r="CY297" s="278">
        <f t="shared" si="215"/>
        <v>0.7973352033660589</v>
      </c>
      <c r="CZ297" s="279" t="str">
        <f t="shared" si="232"/>
        <v>Buffer and Action Plan</v>
      </c>
      <c r="DA297" s="278">
        <f t="shared" si="216"/>
        <v>0.82249631998375716</v>
      </c>
      <c r="DB297" s="292" t="str">
        <f t="shared" si="233"/>
        <v>Buffer and Action Plan</v>
      </c>
      <c r="DC297" s="299">
        <f t="shared" si="234"/>
        <v>1.0511207869698436</v>
      </c>
      <c r="DD297" s="293" t="str">
        <f t="shared" si="235"/>
        <v>Pass</v>
      </c>
      <c r="DE297" s="299">
        <f t="shared" si="236"/>
        <v>1.0157198158610588</v>
      </c>
      <c r="DF297" s="293" t="str">
        <f t="shared" si="237"/>
        <v>Pass</v>
      </c>
      <c r="DG297" s="299">
        <f t="shared" si="238"/>
        <v>0.9981241547790427</v>
      </c>
      <c r="DH297" s="293" t="str">
        <f t="shared" si="239"/>
        <v>Pass</v>
      </c>
    </row>
    <row r="298" spans="1:112" ht="15" thickTop="1" thickBot="1">
      <c r="A298" s="38" t="s">
        <v>706</v>
      </c>
      <c r="B298" s="38" t="s">
        <v>707</v>
      </c>
      <c r="C298" s="38" t="s">
        <v>706</v>
      </c>
      <c r="D298" s="38" t="s">
        <v>113</v>
      </c>
      <c r="E298" s="38" t="str">
        <f>VLOOKUP(C298,PoliticalControl!A:K,11,FALSE)</f>
        <v>CON</v>
      </c>
      <c r="F298" s="38" t="str">
        <f>VLOOKUP(C298,UrbanRuralClassification!A:N,13,FALSE)</f>
        <v>Urban with Significant Rural (rural including hub towns 26-49%)</v>
      </c>
      <c r="G298" s="38" t="str">
        <f>VLOOKUP(C298,UrbanRuralClassification!A:N,14,FALSE)</f>
        <v>Urban with Significant Rural</v>
      </c>
      <c r="H298" s="258">
        <f>IF(ISBLANK((VLOOKUP($A298,'local-plan-data'!$C$1:$AD$566,27,FALSE)))=TRUE,"",VLOOKUP($A298,'local-plan-data'!$C$1:$AD$566,27,FALSE))</f>
        <v>41106</v>
      </c>
      <c r="I298" s="259">
        <f>VLOOKUP($A298,'local-plan-data'!$C$1:$AD$566,28,FALSE)</f>
        <v>525</v>
      </c>
      <c r="J298" s="260">
        <f t="shared" si="217"/>
        <v>525</v>
      </c>
      <c r="K298" s="259" t="str">
        <f t="shared" ref="K298:K322" si="247">IF(AND(ISNUMBER($H298),ISNUMBER($J298)),IF(($H298-K$1&gt;0),$J298,IF(DATEDIF($H298,K$1,"y")&lt;5,$J298,"-")),"-")</f>
        <v>-</v>
      </c>
      <c r="L298" s="259" t="str">
        <f t="shared" si="245"/>
        <v>-</v>
      </c>
      <c r="M298" s="259" t="str">
        <f t="shared" si="245"/>
        <v>-</v>
      </c>
      <c r="N298" s="259" t="str">
        <f t="shared" si="245"/>
        <v>-</v>
      </c>
      <c r="O298" s="259" t="str">
        <f t="shared" si="245"/>
        <v>-</v>
      </c>
      <c r="P298" s="259" t="str">
        <f t="shared" si="245"/>
        <v>-</v>
      </c>
      <c r="Q298" s="259" t="str">
        <f t="shared" si="245"/>
        <v>-</v>
      </c>
      <c r="R298" s="259" t="str">
        <f t="shared" si="245"/>
        <v>-</v>
      </c>
      <c r="S298" s="259">
        <f t="shared" ref="S298:S322" si="248">IFERROR((EDATE($H298,60))-S$1,"-")</f>
        <v>-259</v>
      </c>
      <c r="T298" s="259">
        <f t="shared" si="246"/>
        <v>-624</v>
      </c>
      <c r="U298" s="259">
        <f t="shared" si="246"/>
        <v>-990</v>
      </c>
      <c r="V298" s="259">
        <f t="shared" si="246"/>
        <v>-1355</v>
      </c>
      <c r="W298" s="259">
        <f t="shared" si="246"/>
        <v>-1720</v>
      </c>
      <c r="X298" s="259">
        <f t="shared" si="246"/>
        <v>-2085</v>
      </c>
      <c r="Y298" s="259">
        <f t="shared" si="246"/>
        <v>-2451</v>
      </c>
      <c r="Z298" s="259">
        <f t="shared" si="246"/>
        <v>-2816</v>
      </c>
      <c r="AA298" s="267">
        <f>(VLOOKUP(A298,Hshldprojections2014!$A$2:$AW$319,40, FALSE)-VLOOKUP(A298,Hshldprojections2014!$A$2:$AW$319,30, FALSE))/10</f>
        <v>389.1</v>
      </c>
      <c r="AB298" s="267">
        <f>(VLOOKUP(A298,Hshldprojections2014!$A$2:$AW$319,41, FALSE)-VLOOKUP(A298,Hshldprojections2014!$A$2:$AW$319,31, FALSE))/10</f>
        <v>384.7</v>
      </c>
      <c r="AC298" s="267">
        <f>(VLOOKUP(A298,Hshldprojections2014!$A$2:$AW$319,42, FALSE)-VLOOKUP(A298,Hshldprojections2014!$A$2:$AW$319,32, FALSE))/10</f>
        <v>381.2</v>
      </c>
      <c r="AD298" s="267">
        <f>IF(IndividualLATest!$J$7=2014,(VLOOKUP($A298,Hshldprojections2014!$A$2:$AY$326,43,FALSE)-VLOOKUP($A298,Hshldprojections2014!$A$2:$AY$326,33,FALSE))/10,IF(IndividualLATest!$J$7=2016,(VLOOKUP($A298,Hshldprojections2016!$A$1:$AQ$322,33,FALSE)-VLOOKUP($A298,Hshldprojections2016!$A$1:$AQ$322,23,FALSE))/10,(VLOOKUP($A298,Hshldprojections2018!$A$1:$AQ$327,33,FALSE)-VLOOKUP($A298,Hshldprojections2018!$A$1:$AQ$327,23,FALSE))/10))</f>
        <v>223.1</v>
      </c>
      <c r="AE298" s="267">
        <f>IF(IndividualLATest!$J$7=2014,(VLOOKUP($A298,Hshldprojections2014!$A$2:$AY$326,44,FALSE)-VLOOKUP($A298,Hshldprojections2014!$A$2:$AY$326,34,FALSE))/10,IF(IndividualLATest!$J$7=2016,(VLOOKUP($A298,Hshldprojections2016!$A$1:$AQ$322,34,FALSE)-VLOOKUP($A298,Hshldprojections2016!$A$1:$AQ$322,24,FALSE))/10,(VLOOKUP($A298,Hshldprojections2018!$A$1:$AQ$327,34,FALSE)-VLOOKUP($A298,Hshldprojections2018!$A$1:$AQ$327,24,FALSE))/10))</f>
        <v>211.3</v>
      </c>
      <c r="AF298" s="267">
        <f>IF(IndividualLATest!$J$7=2014,(VLOOKUP($A298,Hshldprojections2014!$A$2:$AY$326,45,FALSE)-VLOOKUP($A298,Hshldprojections2014!$A$2:$AY$326,35,FALSE))/10,IF(IndividualLATest!$J$7=2016,(VLOOKUP($A298,Hshldprojections2016!$A$1:$AQ$322,35,FALSE)-VLOOKUP($A298,Hshldprojections2016!$A$1:$AQ$322,25,FALSE))/10,(VLOOKUP($A298,Hshldprojections2018!$A$1:$AQ$327,35,FALSE)-VLOOKUP($A298,Hshldprojections2018!$A$1:$AQ$327,25,FALSE))/10))</f>
        <v>201.4</v>
      </c>
      <c r="AG298" s="267">
        <f>IF(IndividualLATest!$J$7=2014,(VLOOKUP($A298,Hshldprojections2014!$A$2:$AY$326,46,FALSE)-VLOOKUP($A298,Hshldprojections2014!$A$2:$AY$326,36,FALSE))/10,IF(IndividualLATest!$J$7=2016,(VLOOKUP($A298,Hshldprojections2016!$A$1:$AQ$322,36,FALSE)-VLOOKUP($A298,Hshldprojections2016!$A$1:$AQ$322,26,FALSE))/10,(VLOOKUP($A298,Hshldprojections2018!$A$1:$AQ$327,36,FALSE)-VLOOKUP($A298,Hshldprojections2018!$A$1:$AQ$327,26,FALSE))/10))</f>
        <v>193</v>
      </c>
      <c r="AH298" s="267">
        <f>IF(IndividualLATest!$J$7=2014,(VLOOKUP($A298,Hshldprojections2014!$A$2:$AY$326,47,FALSE)-VLOOKUP($A298,Hshldprojections2014!$A$2:$AY$326,37,FALSE))/10,IF(IndividualLATest!$J$7=2016,(VLOOKUP($A298,Hshldprojections2016!$A$1:$AQ$322,37,FALSE)-VLOOKUP($A298,Hshldprojections2016!$A$1:$AQ$322,27,FALSE))/10,(VLOOKUP($A298,Hshldprojections2018!$A$1:$AQ$327,37,FALSE)-VLOOKUP($A298,Hshldprojections2018!$A$1:$AQ$327,27,FALSE))/10))</f>
        <v>188.6</v>
      </c>
      <c r="AI298" s="268">
        <f>IF(ISNUMBER('Sensitivity Tests'!$C$30),'Sensitivity Tests'!$C$30,VLOOKUP($A298,AffordabilityRatio!$A$2:$I$321,5,FALSE))</f>
        <v>10.49</v>
      </c>
      <c r="AJ298" s="268">
        <f>IF(ISNUMBER('Sensitivity Tests'!$C$30),'Sensitivity Tests'!$C$30,VLOOKUP($A298,AffordabilityRatio!$A$2:$I$321,6,FALSE))</f>
        <v>9.61</v>
      </c>
      <c r="AK298" s="268">
        <f>IF(ISNUMBER('Sensitivity Tests'!$C$30),'Sensitivity Tests'!$C$30,VLOOKUP($A298,AffordabilityRatio!$A$2:$I$321,7,FALSE))</f>
        <v>9.59</v>
      </c>
      <c r="AL298" s="268">
        <f>IF(ISNUMBER('Sensitivity Tests'!$C$30),'Sensitivity Tests'!$C$30,IF((VLOOKUP($A298,AffordabilityRatio!$A$2:$I$321,8,FALSE))="",AK298,VLOOKUP($A298,AffordabilityRatio!$A$2:$I$321,8,FALSE)))</f>
        <v>9.4700000000000006</v>
      </c>
      <c r="AM298" s="268">
        <f>IF(ISNUMBER('Sensitivity Tests'!$C$30),'Sensitivity Tests'!$C$30,IF((VLOOKUP($A298,AffordabilityRatio!$A$2:$I$321,9,FALSE))="",AL298,VLOOKUP($A298,AffordabilityRatio!$A$2:$I$321,9,FALSE)))</f>
        <v>9.73</v>
      </c>
      <c r="AN298" s="268">
        <f>IF(ISNUMBER('Sensitivity Tests'!$C$30),'Sensitivity Tests'!$C$30,IF((VLOOKUP($A298,AffordabilityRatio!$A$2:$I$321,9,FALSE))="",AM298,VLOOKUP($A298,AffordabilityRatio!$A$2:$I$321,9,FALSE)))</f>
        <v>9.73</v>
      </c>
      <c r="AO298" s="268">
        <f>IF(ISNUMBER('Sensitivity Tests'!$C$30),'Sensitivity Tests'!$C$30,IF((VLOOKUP($A298,AffordabilityRatio!$A$2:$I$321,9,FALSE))="",AN298,VLOOKUP($A298,AffordabilityRatio!$A$2:$I$321,9,FALSE)))</f>
        <v>9.73</v>
      </c>
      <c r="AP298" s="268">
        <f>IF(ISNUMBER('Sensitivity Tests'!$C$30),'Sensitivity Tests'!$C$30,IF((VLOOKUP($A298,AffordabilityRatio!$A$2:$I$321,9,FALSE))="",AO298,VLOOKUP($A298,AffordabilityRatio!$A$2:$I$321,9,FALSE)))</f>
        <v>9.73</v>
      </c>
      <c r="AQ298" s="267">
        <f t="shared" si="243"/>
        <v>547</v>
      </c>
      <c r="AR298" s="267">
        <f t="shared" si="243"/>
        <v>520</v>
      </c>
      <c r="AS298" s="267">
        <f t="shared" si="243"/>
        <v>514</v>
      </c>
      <c r="AT298" s="267">
        <f t="shared" si="242"/>
        <v>299</v>
      </c>
      <c r="AU298" s="267">
        <f t="shared" si="242"/>
        <v>287</v>
      </c>
      <c r="AV298" s="267">
        <f t="shared" si="242"/>
        <v>274</v>
      </c>
      <c r="AW298" s="267">
        <f t="shared" si="242"/>
        <v>262</v>
      </c>
      <c r="AX298" s="267">
        <f t="shared" si="242"/>
        <v>256</v>
      </c>
      <c r="AY298" s="267">
        <f t="shared" si="218"/>
        <v>547</v>
      </c>
      <c r="AZ298" s="267">
        <f t="shared" si="219"/>
        <v>520</v>
      </c>
      <c r="BA298" s="267">
        <f t="shared" si="220"/>
        <v>514</v>
      </c>
      <c r="BB298" s="267">
        <f t="shared" si="221"/>
        <v>299</v>
      </c>
      <c r="BC298" s="267">
        <f t="shared" si="222"/>
        <v>287</v>
      </c>
      <c r="BD298" s="267">
        <f t="shared" si="223"/>
        <v>274</v>
      </c>
      <c r="BE298" s="267">
        <f t="shared" si="224"/>
        <v>262</v>
      </c>
      <c r="BF298" s="267">
        <f t="shared" si="225"/>
        <v>256</v>
      </c>
      <c r="BG298" s="269">
        <f>AY298*VLOOKUP($B298,'Major Cities &amp; Towns'!$A$28:$B$345,2,FALSE)</f>
        <v>547</v>
      </c>
      <c r="BH298" s="269">
        <f>AZ298*VLOOKUP($B298,'Major Cities &amp; Towns'!$A$28:$B$345,2,FALSE)</f>
        <v>520</v>
      </c>
      <c r="BI298" s="269">
        <f>BA298*VLOOKUP($B298,'Major Cities &amp; Towns'!$A$28:$B$345,2,FALSE)</f>
        <v>514</v>
      </c>
      <c r="BJ298" s="269">
        <f>BB298*VLOOKUP($B298,'Major Cities &amp; Towns'!$A$28:$B$345,2,FALSE)</f>
        <v>299</v>
      </c>
      <c r="BK298" s="269">
        <f>BC298*VLOOKUP($B298,'Major Cities &amp; Towns'!$A$28:$B$345,2,FALSE)</f>
        <v>287</v>
      </c>
      <c r="BL298" s="269">
        <f>BD298*VLOOKUP($B298,'Major Cities &amp; Towns'!$A$28:$B$345,2,FALSE)</f>
        <v>274</v>
      </c>
      <c r="BM298" s="269">
        <f>BE298*VLOOKUP($B298,'Major Cities &amp; Towns'!$A$28:$B$345,2,FALSE)</f>
        <v>262</v>
      </c>
      <c r="BN298" s="269">
        <f>BF298*VLOOKUP($B298,'Major Cities &amp; Towns'!$A$28:$B$345,2,FALSE)</f>
        <v>256</v>
      </c>
      <c r="BO298" s="270">
        <f t="shared" si="226"/>
        <v>547</v>
      </c>
      <c r="BP298" s="270">
        <f t="shared" si="201"/>
        <v>520</v>
      </c>
      <c r="BQ298" s="270">
        <f t="shared" si="201"/>
        <v>514</v>
      </c>
      <c r="BR298" s="270">
        <f t="shared" si="201"/>
        <v>299</v>
      </c>
      <c r="BS298" s="270">
        <f t="shared" si="200"/>
        <v>287</v>
      </c>
      <c r="BT298" s="270">
        <f t="shared" si="200"/>
        <v>274</v>
      </c>
      <c r="BU298" s="270">
        <f t="shared" si="200"/>
        <v>262</v>
      </c>
      <c r="BV298" s="270">
        <f t="shared" si="200"/>
        <v>256</v>
      </c>
      <c r="BW298" s="39">
        <f>VLOOKUP($A298,NetAdditions!$A$2:$H$336,6,FALSE)</f>
        <v>527</v>
      </c>
      <c r="BX298" s="39">
        <f>VLOOKUP($A298,NetAdditions!$A$2:$H$336,7,FALSE)</f>
        <v>398</v>
      </c>
      <c r="BY298" s="39">
        <f>IF((VLOOKUP($C298,NetAdditions!$A$2:$H$336,8,FALSE))="",(AVERAGE(VLOOKUP($C298,NetAdditions!$A$2:$H$336,5,FALSE),VLOOKUP($C298,NetAdditions!$A$2:$H$336,6,FALSE),VLOOKUP($C298,NetAdditions!$A$2:$H$336,7,FALSE))),VLOOKUP($C298,NetAdditions!$A$2:$H$336,8,FALSE))</f>
        <v>617</v>
      </c>
      <c r="BZ298" s="39">
        <f t="shared" si="244"/>
        <v>514</v>
      </c>
      <c r="CA298" s="39">
        <f t="shared" si="244"/>
        <v>509.66666666666669</v>
      </c>
      <c r="CB298" s="39">
        <f t="shared" si="244"/>
        <v>546.88888888888891</v>
      </c>
      <c r="CC298" s="39">
        <f t="shared" si="244"/>
        <v>523.51851851851859</v>
      </c>
      <c r="CD298" s="39">
        <f t="shared" si="244"/>
        <v>526.69135802469145</v>
      </c>
      <c r="CE298" s="276">
        <f t="shared" si="202"/>
        <v>1581</v>
      </c>
      <c r="CF298" s="276">
        <f t="shared" si="203"/>
        <v>1333</v>
      </c>
      <c r="CG298" s="276">
        <f t="shared" si="204"/>
        <v>1100</v>
      </c>
      <c r="CH298" s="276">
        <f t="shared" si="205"/>
        <v>860</v>
      </c>
      <c r="CI298" s="276">
        <f t="shared" si="206"/>
        <v>823</v>
      </c>
      <c r="CJ298" s="276">
        <f t="shared" si="207"/>
        <v>792</v>
      </c>
      <c r="CK298" s="276">
        <f t="shared" si="227"/>
        <v>1361.4166666666667</v>
      </c>
      <c r="CL298" s="276">
        <f t="shared" si="228"/>
        <v>1147.8611111111111</v>
      </c>
      <c r="CM298" s="276">
        <f t="shared" si="229"/>
        <v>1008.3333333333333</v>
      </c>
      <c r="CN298" s="276">
        <f t="shared" si="230"/>
        <v>860</v>
      </c>
      <c r="CO298" s="276">
        <f t="shared" si="230"/>
        <v>823</v>
      </c>
      <c r="CP298" s="276">
        <f t="shared" si="230"/>
        <v>792</v>
      </c>
      <c r="CQ298" s="39">
        <f t="shared" si="208"/>
        <v>1542</v>
      </c>
      <c r="CR298" s="39">
        <f t="shared" si="209"/>
        <v>1529</v>
      </c>
      <c r="CS298" s="277">
        <f t="shared" si="210"/>
        <v>1640.6666666666667</v>
      </c>
      <c r="CT298" s="39">
        <f t="shared" si="211"/>
        <v>1570.5555555555557</v>
      </c>
      <c r="CU298" s="39">
        <f t="shared" si="212"/>
        <v>1580.0740740740744</v>
      </c>
      <c r="CV298" s="39">
        <f t="shared" si="213"/>
        <v>1597.0987654320988</v>
      </c>
      <c r="CW298" s="297">
        <f t="shared" si="214"/>
        <v>1.1326436922323559</v>
      </c>
      <c r="CX298" s="279" t="str">
        <f t="shared" si="231"/>
        <v>Pass</v>
      </c>
      <c r="CY298" s="278">
        <f t="shared" si="215"/>
        <v>1.3320426880913776</v>
      </c>
      <c r="CZ298" s="279" t="str">
        <f t="shared" si="232"/>
        <v>Pass</v>
      </c>
      <c r="DA298" s="278">
        <f t="shared" si="216"/>
        <v>1.6271074380165291</v>
      </c>
      <c r="DB298" s="292" t="str">
        <f t="shared" si="233"/>
        <v>Pass</v>
      </c>
      <c r="DC298" s="299">
        <f t="shared" si="234"/>
        <v>1.8262273901808788</v>
      </c>
      <c r="DD298" s="293" t="str">
        <f t="shared" si="235"/>
        <v>Pass</v>
      </c>
      <c r="DE298" s="299">
        <f t="shared" si="236"/>
        <v>1.9198955942576845</v>
      </c>
      <c r="DF298" s="293" t="str">
        <f t="shared" si="237"/>
        <v>Pass</v>
      </c>
      <c r="DG298" s="299">
        <f t="shared" si="238"/>
        <v>2.016538845242549</v>
      </c>
      <c r="DH298" s="293" t="str">
        <f t="shared" si="239"/>
        <v>Pass</v>
      </c>
    </row>
    <row r="299" spans="1:112" ht="15" thickTop="1" thickBot="1">
      <c r="A299" s="38" t="s">
        <v>708</v>
      </c>
      <c r="B299" s="38" t="s">
        <v>709</v>
      </c>
      <c r="C299" s="38" t="s">
        <v>708</v>
      </c>
      <c r="D299" s="38" t="s">
        <v>147</v>
      </c>
      <c r="E299" s="38" t="str">
        <f>VLOOKUP(C299,PoliticalControl!A:K,11,FALSE)</f>
        <v>NOC</v>
      </c>
      <c r="F299" s="38" t="str">
        <f>VLOOKUP(C299,UrbanRuralClassification!A:N,13,FALSE)</f>
        <v xml:space="preserve">Mainly Rural (rural including hub towns &gt;=80%) </v>
      </c>
      <c r="G299" s="38" t="str">
        <f>VLOOKUP(C299,UrbanRuralClassification!A:N,14,FALSE)</f>
        <v>Predominantly Rural</v>
      </c>
      <c r="H299" s="258">
        <f>IF(ISBLANK((VLOOKUP($A299,'local-plan-data'!$C$1:$AD$566,27,FALSE)))=TRUE,"",VLOOKUP($A299,'local-plan-data'!$C$1:$AD$566,27,FALSE))</f>
        <v>43550</v>
      </c>
      <c r="I299" s="259">
        <f>VLOOKUP($A299,'local-plan-data'!$C$1:$AD$566,28,FALSE)</f>
        <v>1335</v>
      </c>
      <c r="J299" s="260">
        <f t="shared" si="217"/>
        <v>1335</v>
      </c>
      <c r="K299" s="259">
        <f t="shared" si="247"/>
        <v>1335</v>
      </c>
      <c r="L299" s="259">
        <f t="shared" si="245"/>
        <v>1335</v>
      </c>
      <c r="M299" s="259">
        <f t="shared" si="245"/>
        <v>1335</v>
      </c>
      <c r="N299" s="259">
        <f t="shared" si="245"/>
        <v>1335</v>
      </c>
      <c r="O299" s="259">
        <f t="shared" si="245"/>
        <v>1335</v>
      </c>
      <c r="P299" s="259">
        <f t="shared" si="245"/>
        <v>1335</v>
      </c>
      <c r="Q299" s="259" t="str">
        <f t="shared" si="245"/>
        <v>-</v>
      </c>
      <c r="R299" s="259" t="str">
        <f t="shared" si="245"/>
        <v>-</v>
      </c>
      <c r="S299" s="259">
        <f t="shared" si="248"/>
        <v>2186</v>
      </c>
      <c r="T299" s="259">
        <f t="shared" si="246"/>
        <v>1821</v>
      </c>
      <c r="U299" s="259">
        <f t="shared" si="246"/>
        <v>1455</v>
      </c>
      <c r="V299" s="259">
        <f t="shared" si="246"/>
        <v>1090</v>
      </c>
      <c r="W299" s="259">
        <f t="shared" si="246"/>
        <v>725</v>
      </c>
      <c r="X299" s="259">
        <f t="shared" si="246"/>
        <v>360</v>
      </c>
      <c r="Y299" s="259">
        <f t="shared" si="246"/>
        <v>-6</v>
      </c>
      <c r="Z299" s="259">
        <f t="shared" si="246"/>
        <v>-371</v>
      </c>
      <c r="AA299" s="267">
        <f>(VLOOKUP(A299,Hshldprojections2014!$A$2:$AW$319,40, FALSE)-VLOOKUP(A299,Hshldprojections2014!$A$2:$AW$319,30, FALSE))/10</f>
        <v>233.8</v>
      </c>
      <c r="AB299" s="267">
        <f>(VLOOKUP(A299,Hshldprojections2014!$A$2:$AW$319,41, FALSE)-VLOOKUP(A299,Hshldprojections2014!$A$2:$AW$319,31, FALSE))/10</f>
        <v>230</v>
      </c>
      <c r="AC299" s="267">
        <f>(VLOOKUP(A299,Hshldprojections2014!$A$2:$AW$319,42, FALSE)-VLOOKUP(A299,Hshldprojections2014!$A$2:$AW$319,32, FALSE))/10</f>
        <v>227.3</v>
      </c>
      <c r="AD299" s="267">
        <f>IF(IndividualLATest!$J$7=2014,(VLOOKUP($A299,Hshldprojections2014!$A$2:$AY$326,43,FALSE)-VLOOKUP($A299,Hshldprojections2014!$A$2:$AY$326,33,FALSE))/10,IF(IndividualLATest!$J$7=2016,(VLOOKUP($A299,Hshldprojections2016!$A$1:$AQ$322,33,FALSE)-VLOOKUP($A299,Hshldprojections2016!$A$1:$AQ$322,23,FALSE))/10,(VLOOKUP($A299,Hshldprojections2018!$A$1:$AQ$327,33,FALSE)-VLOOKUP($A299,Hshldprojections2018!$A$1:$AQ$327,23,FALSE))/10))</f>
        <v>217.6</v>
      </c>
      <c r="AE299" s="267">
        <f>IF(IndividualLATest!$J$7=2014,(VLOOKUP($A299,Hshldprojections2014!$A$2:$AY$326,44,FALSE)-VLOOKUP($A299,Hshldprojections2014!$A$2:$AY$326,34,FALSE))/10,IF(IndividualLATest!$J$7=2016,(VLOOKUP($A299,Hshldprojections2016!$A$1:$AQ$322,34,FALSE)-VLOOKUP($A299,Hshldprojections2016!$A$1:$AQ$322,24,FALSE))/10,(VLOOKUP($A299,Hshldprojections2018!$A$1:$AQ$327,34,FALSE)-VLOOKUP($A299,Hshldprojections2018!$A$1:$AQ$327,24,FALSE))/10))</f>
        <v>212</v>
      </c>
      <c r="AF299" s="267">
        <f>IF(IndividualLATest!$J$7=2014,(VLOOKUP($A299,Hshldprojections2014!$A$2:$AY$326,45,FALSE)-VLOOKUP($A299,Hshldprojections2014!$A$2:$AY$326,35,FALSE))/10,IF(IndividualLATest!$J$7=2016,(VLOOKUP($A299,Hshldprojections2016!$A$1:$AQ$322,35,FALSE)-VLOOKUP($A299,Hshldprojections2016!$A$1:$AQ$322,25,FALSE))/10,(VLOOKUP($A299,Hshldprojections2018!$A$1:$AQ$327,35,FALSE)-VLOOKUP($A299,Hshldprojections2018!$A$1:$AQ$327,25,FALSE))/10))</f>
        <v>207.2</v>
      </c>
      <c r="AG299" s="267">
        <f>IF(IndividualLATest!$J$7=2014,(VLOOKUP($A299,Hshldprojections2014!$A$2:$AY$326,46,FALSE)-VLOOKUP($A299,Hshldprojections2014!$A$2:$AY$326,36,FALSE))/10,IF(IndividualLATest!$J$7=2016,(VLOOKUP($A299,Hshldprojections2016!$A$1:$AQ$322,36,FALSE)-VLOOKUP($A299,Hshldprojections2016!$A$1:$AQ$322,26,FALSE))/10,(VLOOKUP($A299,Hshldprojections2018!$A$1:$AQ$327,36,FALSE)-VLOOKUP($A299,Hshldprojections2018!$A$1:$AQ$327,26,FALSE))/10))</f>
        <v>201.7</v>
      </c>
      <c r="AH299" s="267">
        <f>IF(IndividualLATest!$J$7=2014,(VLOOKUP($A299,Hshldprojections2014!$A$2:$AY$326,47,FALSE)-VLOOKUP($A299,Hshldprojections2014!$A$2:$AY$326,37,FALSE))/10,IF(IndividualLATest!$J$7=2016,(VLOOKUP($A299,Hshldprojections2016!$A$1:$AQ$322,37,FALSE)-VLOOKUP($A299,Hshldprojections2016!$A$1:$AQ$322,27,FALSE))/10,(VLOOKUP($A299,Hshldprojections2018!$A$1:$AQ$327,37,FALSE)-VLOOKUP($A299,Hshldprojections2018!$A$1:$AQ$327,27,FALSE))/10))</f>
        <v>198.5</v>
      </c>
      <c r="AI299" s="268">
        <f>IF(ISNUMBER('Sensitivity Tests'!$C$30),'Sensitivity Tests'!$C$30,VLOOKUP($A299,AffordabilityRatio!$A$2:$I$321,5,FALSE))</f>
        <v>10.1</v>
      </c>
      <c r="AJ299" s="268">
        <f>IF(ISNUMBER('Sensitivity Tests'!$C$30),'Sensitivity Tests'!$C$30,VLOOKUP($A299,AffordabilityRatio!$A$2:$I$321,6,FALSE))</f>
        <v>9.73</v>
      </c>
      <c r="AK299" s="268">
        <f>IF(ISNUMBER('Sensitivity Tests'!$C$30),'Sensitivity Tests'!$C$30,VLOOKUP($A299,AffordabilityRatio!$A$2:$I$321,7,FALSE))</f>
        <v>10.62</v>
      </c>
      <c r="AL299" s="268">
        <f>IF(ISNUMBER('Sensitivity Tests'!$C$30),'Sensitivity Tests'!$C$30,IF((VLOOKUP($A299,AffordabilityRatio!$A$2:$I$321,8,FALSE))="",AK299,VLOOKUP($A299,AffordabilityRatio!$A$2:$I$321,8,FALSE)))</f>
        <v>8.6999999999999993</v>
      </c>
      <c r="AM299" s="268">
        <f>IF(ISNUMBER('Sensitivity Tests'!$C$30),'Sensitivity Tests'!$C$30,IF((VLOOKUP($A299,AffordabilityRatio!$A$2:$I$321,9,FALSE))="",AL299,VLOOKUP($A299,AffordabilityRatio!$A$2:$I$321,9,FALSE)))</f>
        <v>11.96</v>
      </c>
      <c r="AN299" s="268">
        <f>IF(ISNUMBER('Sensitivity Tests'!$C$30),'Sensitivity Tests'!$C$30,IF((VLOOKUP($A299,AffordabilityRatio!$A$2:$I$321,9,FALSE))="",AM299,VLOOKUP($A299,AffordabilityRatio!$A$2:$I$321,9,FALSE)))</f>
        <v>11.96</v>
      </c>
      <c r="AO299" s="268">
        <f>IF(ISNUMBER('Sensitivity Tests'!$C$30),'Sensitivity Tests'!$C$30,IF((VLOOKUP($A299,AffordabilityRatio!$A$2:$I$321,9,FALSE))="",AN299,VLOOKUP($A299,AffordabilityRatio!$A$2:$I$321,9,FALSE)))</f>
        <v>11.96</v>
      </c>
      <c r="AP299" s="268">
        <f>IF(ISNUMBER('Sensitivity Tests'!$C$30),'Sensitivity Tests'!$C$30,IF((VLOOKUP($A299,AffordabilityRatio!$A$2:$I$321,9,FALSE))="",AO299,VLOOKUP($A299,AffordabilityRatio!$A$2:$I$321,9,FALSE)))</f>
        <v>11.96</v>
      </c>
      <c r="AQ299" s="267">
        <f t="shared" si="243"/>
        <v>323</v>
      </c>
      <c r="AR299" s="267">
        <f t="shared" si="243"/>
        <v>312</v>
      </c>
      <c r="AS299" s="267">
        <f t="shared" si="243"/>
        <v>321</v>
      </c>
      <c r="AT299" s="267">
        <f t="shared" si="242"/>
        <v>282</v>
      </c>
      <c r="AU299" s="267">
        <f t="shared" si="242"/>
        <v>317</v>
      </c>
      <c r="AV299" s="267">
        <f t="shared" si="242"/>
        <v>310</v>
      </c>
      <c r="AW299" s="267">
        <f t="shared" si="242"/>
        <v>302</v>
      </c>
      <c r="AX299" s="267">
        <f t="shared" si="242"/>
        <v>297</v>
      </c>
      <c r="AY299" s="267">
        <f t="shared" si="218"/>
        <v>323</v>
      </c>
      <c r="AZ299" s="267">
        <f t="shared" si="219"/>
        <v>312</v>
      </c>
      <c r="BA299" s="267">
        <f t="shared" si="220"/>
        <v>321</v>
      </c>
      <c r="BB299" s="267">
        <f t="shared" si="221"/>
        <v>282</v>
      </c>
      <c r="BC299" s="267">
        <f t="shared" si="222"/>
        <v>317</v>
      </c>
      <c r="BD299" s="267">
        <f t="shared" si="223"/>
        <v>310</v>
      </c>
      <c r="BE299" s="267">
        <f t="shared" si="224"/>
        <v>302</v>
      </c>
      <c r="BF299" s="267">
        <f t="shared" si="225"/>
        <v>297</v>
      </c>
      <c r="BG299" s="269">
        <f>AY299*VLOOKUP($B299,'Major Cities &amp; Towns'!$A$28:$B$345,2,FALSE)</f>
        <v>323</v>
      </c>
      <c r="BH299" s="269">
        <f>AZ299*VLOOKUP($B299,'Major Cities &amp; Towns'!$A$28:$B$345,2,FALSE)</f>
        <v>312</v>
      </c>
      <c r="BI299" s="269">
        <f>BA299*VLOOKUP($B299,'Major Cities &amp; Towns'!$A$28:$B$345,2,FALSE)</f>
        <v>321</v>
      </c>
      <c r="BJ299" s="269">
        <f>BB299*VLOOKUP($B299,'Major Cities &amp; Towns'!$A$28:$B$345,2,FALSE)</f>
        <v>282</v>
      </c>
      <c r="BK299" s="269">
        <f>BC299*VLOOKUP($B299,'Major Cities &amp; Towns'!$A$28:$B$345,2,FALSE)</f>
        <v>317</v>
      </c>
      <c r="BL299" s="269">
        <f>BD299*VLOOKUP($B299,'Major Cities &amp; Towns'!$A$28:$B$345,2,FALSE)</f>
        <v>310</v>
      </c>
      <c r="BM299" s="269">
        <f>BE299*VLOOKUP($B299,'Major Cities &amp; Towns'!$A$28:$B$345,2,FALSE)</f>
        <v>302</v>
      </c>
      <c r="BN299" s="269">
        <f>BF299*VLOOKUP($B299,'Major Cities &amp; Towns'!$A$28:$B$345,2,FALSE)</f>
        <v>297</v>
      </c>
      <c r="BO299" s="270">
        <f t="shared" si="226"/>
        <v>323</v>
      </c>
      <c r="BP299" s="270">
        <f t="shared" si="201"/>
        <v>312</v>
      </c>
      <c r="BQ299" s="270">
        <f t="shared" si="201"/>
        <v>321</v>
      </c>
      <c r="BR299" s="270">
        <f t="shared" si="201"/>
        <v>282</v>
      </c>
      <c r="BS299" s="270">
        <f t="shared" si="200"/>
        <v>317</v>
      </c>
      <c r="BT299" s="270">
        <f t="shared" si="200"/>
        <v>310</v>
      </c>
      <c r="BU299" s="270">
        <f t="shared" si="200"/>
        <v>302</v>
      </c>
      <c r="BV299" s="270">
        <f t="shared" si="200"/>
        <v>297</v>
      </c>
      <c r="BW299" s="39">
        <f>VLOOKUP($A299,NetAdditions!$A$2:$H$336,6,FALSE)</f>
        <v>141</v>
      </c>
      <c r="BX299" s="39">
        <f>VLOOKUP($A299,NetAdditions!$A$2:$H$336,7,FALSE)</f>
        <v>278</v>
      </c>
      <c r="BY299" s="39">
        <f>IF((VLOOKUP($C299,NetAdditions!$A$2:$H$336,8,FALSE))="",(AVERAGE(VLOOKUP($C299,NetAdditions!$A$2:$H$336,5,FALSE),VLOOKUP($C299,NetAdditions!$A$2:$H$336,6,FALSE),VLOOKUP($C299,NetAdditions!$A$2:$H$336,7,FALSE))),VLOOKUP($C299,NetAdditions!$A$2:$H$336,8,FALSE))</f>
        <v>295</v>
      </c>
      <c r="BZ299" s="39">
        <f t="shared" si="244"/>
        <v>238</v>
      </c>
      <c r="CA299" s="39">
        <f t="shared" si="244"/>
        <v>270.33333333333331</v>
      </c>
      <c r="CB299" s="39">
        <f t="shared" si="244"/>
        <v>267.77777777777777</v>
      </c>
      <c r="CC299" s="39">
        <f t="shared" si="244"/>
        <v>258.7037037037037</v>
      </c>
      <c r="CD299" s="39">
        <f t="shared" si="244"/>
        <v>265.60493827160491</v>
      </c>
      <c r="CE299" s="276">
        <f t="shared" si="202"/>
        <v>956</v>
      </c>
      <c r="CF299" s="276">
        <f t="shared" si="203"/>
        <v>915</v>
      </c>
      <c r="CG299" s="276">
        <f t="shared" si="204"/>
        <v>920</v>
      </c>
      <c r="CH299" s="276">
        <f t="shared" si="205"/>
        <v>909</v>
      </c>
      <c r="CI299" s="276">
        <f t="shared" si="206"/>
        <v>929</v>
      </c>
      <c r="CJ299" s="276">
        <f t="shared" si="207"/>
        <v>909</v>
      </c>
      <c r="CK299" s="276">
        <f t="shared" si="227"/>
        <v>823.22222222222229</v>
      </c>
      <c r="CL299" s="276">
        <f t="shared" si="228"/>
        <v>787.91666666666674</v>
      </c>
      <c r="CM299" s="276">
        <f t="shared" si="229"/>
        <v>843.33333333333326</v>
      </c>
      <c r="CN299" s="276">
        <f t="shared" si="230"/>
        <v>909</v>
      </c>
      <c r="CO299" s="276">
        <f t="shared" si="230"/>
        <v>929</v>
      </c>
      <c r="CP299" s="276">
        <f t="shared" si="230"/>
        <v>909</v>
      </c>
      <c r="CQ299" s="39">
        <f t="shared" si="208"/>
        <v>714</v>
      </c>
      <c r="CR299" s="39">
        <f t="shared" si="209"/>
        <v>811</v>
      </c>
      <c r="CS299" s="277">
        <f t="shared" si="210"/>
        <v>803.33333333333326</v>
      </c>
      <c r="CT299" s="39">
        <f t="shared" si="211"/>
        <v>776.11111111111109</v>
      </c>
      <c r="CU299" s="39">
        <f t="shared" si="212"/>
        <v>796.81481481481478</v>
      </c>
      <c r="CV299" s="39">
        <f t="shared" si="213"/>
        <v>792.08641975308637</v>
      </c>
      <c r="CW299" s="297">
        <f t="shared" si="214"/>
        <v>0.86732352544202995</v>
      </c>
      <c r="CX299" s="279" t="str">
        <f t="shared" si="231"/>
        <v>Action Plan</v>
      </c>
      <c r="CY299" s="278">
        <f t="shared" si="215"/>
        <v>1.0292966684294023</v>
      </c>
      <c r="CZ299" s="279" t="str">
        <f t="shared" si="232"/>
        <v>Pass</v>
      </c>
      <c r="DA299" s="278">
        <f t="shared" si="216"/>
        <v>0.95256916996047425</v>
      </c>
      <c r="DB299" s="292" t="str">
        <f t="shared" si="233"/>
        <v>Pass</v>
      </c>
      <c r="DC299" s="299">
        <f t="shared" si="234"/>
        <v>0.85380760298252045</v>
      </c>
      <c r="DD299" s="293" t="str">
        <f t="shared" si="235"/>
        <v>Action Plan</v>
      </c>
      <c r="DE299" s="299">
        <f t="shared" si="236"/>
        <v>0.857712394849101</v>
      </c>
      <c r="DF299" s="293" t="str">
        <f t="shared" si="237"/>
        <v>Action Plan</v>
      </c>
      <c r="DG299" s="299">
        <f t="shared" si="238"/>
        <v>0.87138219994838984</v>
      </c>
      <c r="DH299" s="293" t="str">
        <f t="shared" si="239"/>
        <v>Action Plan</v>
      </c>
    </row>
    <row r="300" spans="1:112" ht="15" thickTop="1" thickBot="1">
      <c r="A300" s="38" t="s">
        <v>710</v>
      </c>
      <c r="B300" s="38" t="s">
        <v>711</v>
      </c>
      <c r="C300" s="38" t="s">
        <v>710</v>
      </c>
      <c r="D300" s="38" t="s">
        <v>116</v>
      </c>
      <c r="E300" s="38" t="str">
        <f>VLOOKUP(C300,PoliticalControl!A:K,11,FALSE)</f>
        <v>NOC</v>
      </c>
      <c r="F300" s="38" t="str">
        <f>VLOOKUP(C300,UrbanRuralClassification!A:N,13,FALSE)</f>
        <v>Urban with Significant Rural (rural including hub towns 26-49%)</v>
      </c>
      <c r="G300" s="38" t="str">
        <f>VLOOKUP(C300,UrbanRuralClassification!A:N,14,FALSE)</f>
        <v>Urban with Significant Rural</v>
      </c>
      <c r="H300" s="258">
        <f>IF(ISBLANK((VLOOKUP($A300,'local-plan-data'!$C$1:$AD$566,27,FALSE)))=TRUE,"",VLOOKUP($A300,'local-plan-data'!$C$1:$AD$566,27,FALSE))</f>
        <v>41563</v>
      </c>
      <c r="I300" s="259">
        <f>VLOOKUP($A300,'local-plan-data'!$C$1:$AD$566,28,FALSE)</f>
        <v>324</v>
      </c>
      <c r="J300" s="260">
        <f t="shared" si="217"/>
        <v>324</v>
      </c>
      <c r="K300" s="259">
        <f t="shared" si="247"/>
        <v>324</v>
      </c>
      <c r="L300" s="259" t="str">
        <f t="shared" si="245"/>
        <v>-</v>
      </c>
      <c r="M300" s="259" t="str">
        <f t="shared" si="245"/>
        <v>-</v>
      </c>
      <c r="N300" s="259" t="str">
        <f t="shared" si="245"/>
        <v>-</v>
      </c>
      <c r="O300" s="259" t="str">
        <f t="shared" si="245"/>
        <v>-</v>
      </c>
      <c r="P300" s="259" t="str">
        <f t="shared" si="245"/>
        <v>-</v>
      </c>
      <c r="Q300" s="259" t="str">
        <f t="shared" si="245"/>
        <v>-</v>
      </c>
      <c r="R300" s="259" t="str">
        <f t="shared" si="245"/>
        <v>-</v>
      </c>
      <c r="S300" s="259">
        <f t="shared" si="248"/>
        <v>198</v>
      </c>
      <c r="T300" s="259">
        <f t="shared" si="246"/>
        <v>-167</v>
      </c>
      <c r="U300" s="259">
        <f t="shared" si="246"/>
        <v>-533</v>
      </c>
      <c r="V300" s="259">
        <f t="shared" si="246"/>
        <v>-898</v>
      </c>
      <c r="W300" s="259">
        <f t="shared" si="246"/>
        <v>-1263</v>
      </c>
      <c r="X300" s="259">
        <f t="shared" si="246"/>
        <v>-1628</v>
      </c>
      <c r="Y300" s="259">
        <f t="shared" si="246"/>
        <v>-1994</v>
      </c>
      <c r="Z300" s="259">
        <f t="shared" si="246"/>
        <v>-2359</v>
      </c>
      <c r="AA300" s="267">
        <f>(VLOOKUP(A300,Hshldprojections2014!$A$2:$AW$319,40, FALSE)-VLOOKUP(A300,Hshldprojections2014!$A$2:$AW$319,30, FALSE))/10</f>
        <v>175.8</v>
      </c>
      <c r="AB300" s="267">
        <f>(VLOOKUP(A300,Hshldprojections2014!$A$2:$AW$319,41, FALSE)-VLOOKUP(A300,Hshldprojections2014!$A$2:$AW$319,31, FALSE))/10</f>
        <v>170.7</v>
      </c>
      <c r="AC300" s="267">
        <f>(VLOOKUP(A300,Hshldprojections2014!$A$2:$AW$319,42, FALSE)-VLOOKUP(A300,Hshldprojections2014!$A$2:$AW$319,32, FALSE))/10</f>
        <v>165.8</v>
      </c>
      <c r="AD300" s="267">
        <f>IF(IndividualLATest!$J$7=2014,(VLOOKUP($A300,Hshldprojections2014!$A$2:$AY$326,43,FALSE)-VLOOKUP($A300,Hshldprojections2014!$A$2:$AY$326,33,FALSE))/10,IF(IndividualLATest!$J$7=2016,(VLOOKUP($A300,Hshldprojections2016!$A$1:$AQ$322,33,FALSE)-VLOOKUP($A300,Hshldprojections2016!$A$1:$AQ$322,23,FALSE))/10,(VLOOKUP($A300,Hshldprojections2018!$A$1:$AQ$327,33,FALSE)-VLOOKUP($A300,Hshldprojections2018!$A$1:$AQ$327,23,FALSE))/10))</f>
        <v>101.3</v>
      </c>
      <c r="AE300" s="267">
        <f>IF(IndividualLATest!$J$7=2014,(VLOOKUP($A300,Hshldprojections2014!$A$2:$AY$326,44,FALSE)-VLOOKUP($A300,Hshldprojections2014!$A$2:$AY$326,34,FALSE))/10,IF(IndividualLATest!$J$7=2016,(VLOOKUP($A300,Hshldprojections2016!$A$1:$AQ$322,34,FALSE)-VLOOKUP($A300,Hshldprojections2016!$A$1:$AQ$322,24,FALSE))/10,(VLOOKUP($A300,Hshldprojections2018!$A$1:$AQ$327,34,FALSE)-VLOOKUP($A300,Hshldprojections2018!$A$1:$AQ$327,24,FALSE))/10))</f>
        <v>96.6</v>
      </c>
      <c r="AF300" s="267">
        <f>IF(IndividualLATest!$J$7=2014,(VLOOKUP($A300,Hshldprojections2014!$A$2:$AY$326,45,FALSE)-VLOOKUP($A300,Hshldprojections2014!$A$2:$AY$326,35,FALSE))/10,IF(IndividualLATest!$J$7=2016,(VLOOKUP($A300,Hshldprojections2016!$A$1:$AQ$322,35,FALSE)-VLOOKUP($A300,Hshldprojections2016!$A$1:$AQ$322,25,FALSE))/10,(VLOOKUP($A300,Hshldprojections2018!$A$1:$AQ$327,35,FALSE)-VLOOKUP($A300,Hshldprojections2018!$A$1:$AQ$327,25,FALSE))/10))</f>
        <v>95.4</v>
      </c>
      <c r="AG300" s="267">
        <f>IF(IndividualLATest!$J$7=2014,(VLOOKUP($A300,Hshldprojections2014!$A$2:$AY$326,46,FALSE)-VLOOKUP($A300,Hshldprojections2014!$A$2:$AY$326,36,FALSE))/10,IF(IndividualLATest!$J$7=2016,(VLOOKUP($A300,Hshldprojections2016!$A$1:$AQ$322,36,FALSE)-VLOOKUP($A300,Hshldprojections2016!$A$1:$AQ$322,26,FALSE))/10,(VLOOKUP($A300,Hshldprojections2018!$A$1:$AQ$327,36,FALSE)-VLOOKUP($A300,Hshldprojections2018!$A$1:$AQ$327,26,FALSE))/10))</f>
        <v>93.4</v>
      </c>
      <c r="AH300" s="267">
        <f>IF(IndividualLATest!$J$7=2014,(VLOOKUP($A300,Hshldprojections2014!$A$2:$AY$326,47,FALSE)-VLOOKUP($A300,Hshldprojections2014!$A$2:$AY$326,37,FALSE))/10,IF(IndividualLATest!$J$7=2016,(VLOOKUP($A300,Hshldprojections2016!$A$1:$AQ$322,37,FALSE)-VLOOKUP($A300,Hshldprojections2016!$A$1:$AQ$322,27,FALSE))/10,(VLOOKUP($A300,Hshldprojections2018!$A$1:$AQ$327,37,FALSE)-VLOOKUP($A300,Hshldprojections2018!$A$1:$AQ$327,27,FALSE))/10))</f>
        <v>94.1</v>
      </c>
      <c r="AI300" s="268">
        <f>IF(ISNUMBER('Sensitivity Tests'!$C$30),'Sensitivity Tests'!$C$30,VLOOKUP($A300,AffordabilityRatio!$A$2:$I$321,5,FALSE))</f>
        <v>6.51</v>
      </c>
      <c r="AJ300" s="268">
        <f>IF(ISNUMBER('Sensitivity Tests'!$C$30),'Sensitivity Tests'!$C$30,VLOOKUP($A300,AffordabilityRatio!$A$2:$I$321,6,FALSE))</f>
        <v>6.54</v>
      </c>
      <c r="AK300" s="268">
        <f>IF(ISNUMBER('Sensitivity Tests'!$C$30),'Sensitivity Tests'!$C$30,VLOOKUP($A300,AffordabilityRatio!$A$2:$I$321,7,FALSE))</f>
        <v>6.69</v>
      </c>
      <c r="AL300" s="268">
        <f>IF(ISNUMBER('Sensitivity Tests'!$C$30),'Sensitivity Tests'!$C$30,IF((VLOOKUP($A300,AffordabilityRatio!$A$2:$I$321,8,FALSE))="",AK300,VLOOKUP($A300,AffordabilityRatio!$A$2:$I$321,8,FALSE)))</f>
        <v>6.31</v>
      </c>
      <c r="AM300" s="268">
        <f>IF(ISNUMBER('Sensitivity Tests'!$C$30),'Sensitivity Tests'!$C$30,IF((VLOOKUP($A300,AffordabilityRatio!$A$2:$I$321,9,FALSE))="",AL300,VLOOKUP($A300,AffordabilityRatio!$A$2:$I$321,9,FALSE)))</f>
        <v>7.47</v>
      </c>
      <c r="AN300" s="268">
        <f>IF(ISNUMBER('Sensitivity Tests'!$C$30),'Sensitivity Tests'!$C$30,IF((VLOOKUP($A300,AffordabilityRatio!$A$2:$I$321,9,FALSE))="",AM300,VLOOKUP($A300,AffordabilityRatio!$A$2:$I$321,9,FALSE)))</f>
        <v>7.47</v>
      </c>
      <c r="AO300" s="268">
        <f>IF(ISNUMBER('Sensitivity Tests'!$C$30),'Sensitivity Tests'!$C$30,IF((VLOOKUP($A300,AffordabilityRatio!$A$2:$I$321,9,FALSE))="",AN300,VLOOKUP($A300,AffordabilityRatio!$A$2:$I$321,9,FALSE)))</f>
        <v>7.47</v>
      </c>
      <c r="AP300" s="268">
        <f>IF(ISNUMBER('Sensitivity Tests'!$C$30),'Sensitivity Tests'!$C$30,IF((VLOOKUP($A300,AffordabilityRatio!$A$2:$I$321,9,FALSE))="",AO300,VLOOKUP($A300,AffordabilityRatio!$A$2:$I$321,9,FALSE)))</f>
        <v>7.47</v>
      </c>
      <c r="AQ300" s="267">
        <f t="shared" si="243"/>
        <v>203</v>
      </c>
      <c r="AR300" s="267">
        <f t="shared" si="243"/>
        <v>198</v>
      </c>
      <c r="AS300" s="267">
        <f t="shared" si="243"/>
        <v>194</v>
      </c>
      <c r="AT300" s="267">
        <f t="shared" si="242"/>
        <v>116</v>
      </c>
      <c r="AU300" s="267">
        <f t="shared" si="242"/>
        <v>118</v>
      </c>
      <c r="AV300" s="267">
        <f t="shared" si="242"/>
        <v>116</v>
      </c>
      <c r="AW300" s="267">
        <f t="shared" si="242"/>
        <v>114</v>
      </c>
      <c r="AX300" s="267">
        <f t="shared" si="242"/>
        <v>115</v>
      </c>
      <c r="AY300" s="267">
        <f t="shared" si="218"/>
        <v>203</v>
      </c>
      <c r="AZ300" s="267">
        <f t="shared" si="219"/>
        <v>198</v>
      </c>
      <c r="BA300" s="267">
        <f t="shared" si="220"/>
        <v>194</v>
      </c>
      <c r="BB300" s="267">
        <f t="shared" si="221"/>
        <v>116</v>
      </c>
      <c r="BC300" s="267">
        <f t="shared" si="222"/>
        <v>118</v>
      </c>
      <c r="BD300" s="267">
        <f t="shared" si="223"/>
        <v>116</v>
      </c>
      <c r="BE300" s="267">
        <f t="shared" si="224"/>
        <v>114</v>
      </c>
      <c r="BF300" s="267">
        <f t="shared" si="225"/>
        <v>115</v>
      </c>
      <c r="BG300" s="269">
        <f>AY300*VLOOKUP($B300,'Major Cities &amp; Towns'!$A$28:$B$345,2,FALSE)</f>
        <v>203</v>
      </c>
      <c r="BH300" s="269">
        <f>AZ300*VLOOKUP($B300,'Major Cities &amp; Towns'!$A$28:$B$345,2,FALSE)</f>
        <v>198</v>
      </c>
      <c r="BI300" s="269">
        <f>BA300*VLOOKUP($B300,'Major Cities &amp; Towns'!$A$28:$B$345,2,FALSE)</f>
        <v>194</v>
      </c>
      <c r="BJ300" s="269">
        <f>BB300*VLOOKUP($B300,'Major Cities &amp; Towns'!$A$28:$B$345,2,FALSE)</f>
        <v>116</v>
      </c>
      <c r="BK300" s="269">
        <f>BC300*VLOOKUP($B300,'Major Cities &amp; Towns'!$A$28:$B$345,2,FALSE)</f>
        <v>118</v>
      </c>
      <c r="BL300" s="269">
        <f>BD300*VLOOKUP($B300,'Major Cities &amp; Towns'!$A$28:$B$345,2,FALSE)</f>
        <v>116</v>
      </c>
      <c r="BM300" s="269">
        <f>BE300*VLOOKUP($B300,'Major Cities &amp; Towns'!$A$28:$B$345,2,FALSE)</f>
        <v>114</v>
      </c>
      <c r="BN300" s="269">
        <f>BF300*VLOOKUP($B300,'Major Cities &amp; Towns'!$A$28:$B$345,2,FALSE)</f>
        <v>115</v>
      </c>
      <c r="BO300" s="270">
        <f t="shared" si="226"/>
        <v>203</v>
      </c>
      <c r="BP300" s="270">
        <f t="shared" si="201"/>
        <v>198</v>
      </c>
      <c r="BQ300" s="270">
        <f t="shared" si="201"/>
        <v>194</v>
      </c>
      <c r="BR300" s="270">
        <f t="shared" si="201"/>
        <v>116</v>
      </c>
      <c r="BS300" s="270">
        <f t="shared" si="200"/>
        <v>118</v>
      </c>
      <c r="BT300" s="270">
        <f t="shared" si="200"/>
        <v>116</v>
      </c>
      <c r="BU300" s="270">
        <f t="shared" si="200"/>
        <v>114</v>
      </c>
      <c r="BV300" s="270">
        <f t="shared" si="200"/>
        <v>115</v>
      </c>
      <c r="BW300" s="39">
        <f>VLOOKUP($A300,NetAdditions!$A$2:$H$336,6,FALSE)</f>
        <v>323</v>
      </c>
      <c r="BX300" s="39">
        <f>VLOOKUP($A300,NetAdditions!$A$2:$H$336,7,FALSE)</f>
        <v>616</v>
      </c>
      <c r="BY300" s="39">
        <f>IF((VLOOKUP($C300,NetAdditions!$A$2:$H$336,8,FALSE))="",(AVERAGE(VLOOKUP($C300,NetAdditions!$A$2:$H$336,5,FALSE),VLOOKUP($C300,NetAdditions!$A$2:$H$336,6,FALSE),VLOOKUP($C300,NetAdditions!$A$2:$H$336,7,FALSE))),VLOOKUP($C300,NetAdditions!$A$2:$H$336,8,FALSE))</f>
        <v>451</v>
      </c>
      <c r="BZ300" s="39">
        <f t="shared" si="244"/>
        <v>463.33333333333331</v>
      </c>
      <c r="CA300" s="39">
        <f t="shared" si="244"/>
        <v>510.11111111111109</v>
      </c>
      <c r="CB300" s="39">
        <f t="shared" si="244"/>
        <v>474.81481481481478</v>
      </c>
      <c r="CC300" s="39">
        <f t="shared" si="244"/>
        <v>482.75308641975306</v>
      </c>
      <c r="CD300" s="39">
        <f t="shared" si="244"/>
        <v>489.22633744855966</v>
      </c>
      <c r="CE300" s="276">
        <f t="shared" si="202"/>
        <v>595</v>
      </c>
      <c r="CF300" s="276">
        <f t="shared" si="203"/>
        <v>508</v>
      </c>
      <c r="CG300" s="276">
        <f t="shared" si="204"/>
        <v>428</v>
      </c>
      <c r="CH300" s="276">
        <f t="shared" si="205"/>
        <v>350</v>
      </c>
      <c r="CI300" s="276">
        <f t="shared" si="206"/>
        <v>348</v>
      </c>
      <c r="CJ300" s="276">
        <f t="shared" si="207"/>
        <v>345</v>
      </c>
      <c r="CK300" s="276">
        <f t="shared" si="227"/>
        <v>512.36111111111109</v>
      </c>
      <c r="CL300" s="276">
        <f t="shared" si="228"/>
        <v>437.44444444444446</v>
      </c>
      <c r="CM300" s="276">
        <f t="shared" si="229"/>
        <v>392.33333333333331</v>
      </c>
      <c r="CN300" s="276">
        <f t="shared" si="230"/>
        <v>350</v>
      </c>
      <c r="CO300" s="276">
        <f t="shared" si="230"/>
        <v>348</v>
      </c>
      <c r="CP300" s="276">
        <f t="shared" si="230"/>
        <v>345</v>
      </c>
      <c r="CQ300" s="39">
        <f t="shared" si="208"/>
        <v>1390</v>
      </c>
      <c r="CR300" s="39">
        <f t="shared" si="209"/>
        <v>1530.3333333333333</v>
      </c>
      <c r="CS300" s="277">
        <f t="shared" si="210"/>
        <v>1424.4444444444443</v>
      </c>
      <c r="CT300" s="39">
        <f t="shared" si="211"/>
        <v>1448.2592592592591</v>
      </c>
      <c r="CU300" s="39">
        <f t="shared" si="212"/>
        <v>1467.679012345679</v>
      </c>
      <c r="CV300" s="39">
        <f t="shared" si="213"/>
        <v>1446.7942386831276</v>
      </c>
      <c r="CW300" s="297">
        <f t="shared" si="214"/>
        <v>2.7129303334236923</v>
      </c>
      <c r="CX300" s="279" t="str">
        <f t="shared" si="231"/>
        <v>Pass</v>
      </c>
      <c r="CY300" s="278">
        <f t="shared" si="215"/>
        <v>3.498348996697993</v>
      </c>
      <c r="CZ300" s="279" t="str">
        <f t="shared" si="232"/>
        <v>Pass</v>
      </c>
      <c r="DA300" s="278">
        <f t="shared" si="216"/>
        <v>3.630699518549986</v>
      </c>
      <c r="DB300" s="292" t="str">
        <f t="shared" si="233"/>
        <v>Pass</v>
      </c>
      <c r="DC300" s="299">
        <f t="shared" si="234"/>
        <v>4.1378835978835973</v>
      </c>
      <c r="DD300" s="293" t="str">
        <f t="shared" si="235"/>
        <v>Pass</v>
      </c>
      <c r="DE300" s="299">
        <f t="shared" si="236"/>
        <v>4.2174684262806865</v>
      </c>
      <c r="DF300" s="293" t="str">
        <f t="shared" si="237"/>
        <v>Pass</v>
      </c>
      <c r="DG300" s="299">
        <f t="shared" si="238"/>
        <v>4.1936064889366014</v>
      </c>
      <c r="DH300" s="293" t="str">
        <f t="shared" si="239"/>
        <v>Pass</v>
      </c>
    </row>
    <row r="301" spans="1:112" ht="15" thickTop="1" thickBot="1">
      <c r="A301" s="38" t="s">
        <v>712</v>
      </c>
      <c r="B301" s="38" t="s">
        <v>713</v>
      </c>
      <c r="C301" s="38" t="s">
        <v>712</v>
      </c>
      <c r="D301" s="38" t="s">
        <v>119</v>
      </c>
      <c r="E301" s="38" t="str">
        <f>VLOOKUP(C301,PoliticalControl!A:K,11,FALSE)</f>
        <v>NOC</v>
      </c>
      <c r="F301" s="38" t="str">
        <f>VLOOKUP(C301,UrbanRuralClassification!A:N,13,FALSE)</f>
        <v xml:space="preserve">Mainly Rural (rural including hub towns &gt;=80%) </v>
      </c>
      <c r="G301" s="38" t="str">
        <f>VLOOKUP(C301,UrbanRuralClassification!A:N,14,FALSE)</f>
        <v>Predominantly Rural</v>
      </c>
      <c r="H301" s="258">
        <f>IF(ISBLANK((VLOOKUP($A301,'local-plan-data'!$C$1:$AD$566,27,FALSE)))=TRUE,"",VLOOKUP($A301,'local-plan-data'!$C$1:$AD$566,27,FALSE))</f>
        <v>42849</v>
      </c>
      <c r="I301" s="259">
        <f>VLOOKUP($A301,'local-plan-data'!$C$1:$AD$566,28,FALSE)</f>
        <v>1540</v>
      </c>
      <c r="J301" s="260">
        <f t="shared" si="217"/>
        <v>1540</v>
      </c>
      <c r="K301" s="259">
        <f t="shared" si="247"/>
        <v>1540</v>
      </c>
      <c r="L301" s="259">
        <f t="shared" si="245"/>
        <v>1540</v>
      </c>
      <c r="M301" s="259">
        <f t="shared" si="245"/>
        <v>1540</v>
      </c>
      <c r="N301" s="259">
        <f t="shared" si="245"/>
        <v>1540</v>
      </c>
      <c r="O301" s="259">
        <f t="shared" si="245"/>
        <v>1540</v>
      </c>
      <c r="P301" s="259" t="str">
        <f t="shared" si="245"/>
        <v>-</v>
      </c>
      <c r="Q301" s="259" t="str">
        <f t="shared" si="245"/>
        <v>-</v>
      </c>
      <c r="R301" s="259" t="str">
        <f t="shared" si="245"/>
        <v>-</v>
      </c>
      <c r="S301" s="259">
        <f t="shared" si="248"/>
        <v>1484</v>
      </c>
      <c r="T301" s="259">
        <f t="shared" si="246"/>
        <v>1119</v>
      </c>
      <c r="U301" s="259">
        <f t="shared" si="246"/>
        <v>753</v>
      </c>
      <c r="V301" s="259">
        <f t="shared" si="246"/>
        <v>388</v>
      </c>
      <c r="W301" s="259">
        <f t="shared" si="246"/>
        <v>23</v>
      </c>
      <c r="X301" s="259">
        <f t="shared" si="246"/>
        <v>-342</v>
      </c>
      <c r="Y301" s="259">
        <f t="shared" si="246"/>
        <v>-708</v>
      </c>
      <c r="Z301" s="259">
        <f t="shared" si="246"/>
        <v>-1073</v>
      </c>
      <c r="AA301" s="267">
        <f>(VLOOKUP(A301,Hshldprojections2014!$A$2:$AW$319,40, FALSE)-VLOOKUP(A301,Hshldprojections2014!$A$2:$AW$319,30, FALSE))/10</f>
        <v>297.3</v>
      </c>
      <c r="AB301" s="267">
        <f>(VLOOKUP(A301,Hshldprojections2014!$A$2:$AW$319,41, FALSE)-VLOOKUP(A301,Hshldprojections2014!$A$2:$AW$319,31, FALSE))/10</f>
        <v>292.5</v>
      </c>
      <c r="AC301" s="267">
        <f>(VLOOKUP(A301,Hshldprojections2014!$A$2:$AW$319,42, FALSE)-VLOOKUP(A301,Hshldprojections2014!$A$2:$AW$319,32, FALSE))/10</f>
        <v>289.7</v>
      </c>
      <c r="AD301" s="267">
        <f>IF(IndividualLATest!$J$7=2014,(VLOOKUP($A301,Hshldprojections2014!$A$2:$AY$326,43,FALSE)-VLOOKUP($A301,Hshldprojections2014!$A$2:$AY$326,33,FALSE))/10,IF(IndividualLATest!$J$7=2016,(VLOOKUP($A301,Hshldprojections2016!$A$1:$AQ$322,33,FALSE)-VLOOKUP($A301,Hshldprojections2016!$A$1:$AQ$322,23,FALSE))/10,(VLOOKUP($A301,Hshldprojections2018!$A$1:$AQ$327,33,FALSE)-VLOOKUP($A301,Hshldprojections2018!$A$1:$AQ$327,23,FALSE))/10))</f>
        <v>285</v>
      </c>
      <c r="AE301" s="267">
        <f>IF(IndividualLATest!$J$7=2014,(VLOOKUP($A301,Hshldprojections2014!$A$2:$AY$326,44,FALSE)-VLOOKUP($A301,Hshldprojections2014!$A$2:$AY$326,34,FALSE))/10,IF(IndividualLATest!$J$7=2016,(VLOOKUP($A301,Hshldprojections2016!$A$1:$AQ$322,34,FALSE)-VLOOKUP($A301,Hshldprojections2016!$A$1:$AQ$322,24,FALSE))/10,(VLOOKUP($A301,Hshldprojections2018!$A$1:$AQ$327,34,FALSE)-VLOOKUP($A301,Hshldprojections2018!$A$1:$AQ$327,24,FALSE))/10))</f>
        <v>279</v>
      </c>
      <c r="AF301" s="267">
        <f>IF(IndividualLATest!$J$7=2014,(VLOOKUP($A301,Hshldprojections2014!$A$2:$AY$326,45,FALSE)-VLOOKUP($A301,Hshldprojections2014!$A$2:$AY$326,35,FALSE))/10,IF(IndividualLATest!$J$7=2016,(VLOOKUP($A301,Hshldprojections2016!$A$1:$AQ$322,35,FALSE)-VLOOKUP($A301,Hshldprojections2016!$A$1:$AQ$322,25,FALSE))/10,(VLOOKUP($A301,Hshldprojections2018!$A$1:$AQ$327,35,FALSE)-VLOOKUP($A301,Hshldprojections2018!$A$1:$AQ$327,25,FALSE))/10))</f>
        <v>273</v>
      </c>
      <c r="AG301" s="267">
        <f>IF(IndividualLATest!$J$7=2014,(VLOOKUP($A301,Hshldprojections2014!$A$2:$AY$326,46,FALSE)-VLOOKUP($A301,Hshldprojections2014!$A$2:$AY$326,36,FALSE))/10,IF(IndividualLATest!$J$7=2016,(VLOOKUP($A301,Hshldprojections2016!$A$1:$AQ$322,36,FALSE)-VLOOKUP($A301,Hshldprojections2016!$A$1:$AQ$322,26,FALSE))/10,(VLOOKUP($A301,Hshldprojections2018!$A$1:$AQ$327,36,FALSE)-VLOOKUP($A301,Hshldprojections2018!$A$1:$AQ$327,26,FALSE))/10))</f>
        <v>265.89999999999998</v>
      </c>
      <c r="AH301" s="267">
        <f>IF(IndividualLATest!$J$7=2014,(VLOOKUP($A301,Hshldprojections2014!$A$2:$AY$326,47,FALSE)-VLOOKUP($A301,Hshldprojections2014!$A$2:$AY$326,37,FALSE))/10,IF(IndividualLATest!$J$7=2016,(VLOOKUP($A301,Hshldprojections2016!$A$1:$AQ$322,37,FALSE)-VLOOKUP($A301,Hshldprojections2016!$A$1:$AQ$322,27,FALSE))/10,(VLOOKUP($A301,Hshldprojections2018!$A$1:$AQ$327,37,FALSE)-VLOOKUP($A301,Hshldprojections2018!$A$1:$AQ$327,27,FALSE))/10))</f>
        <v>260.60000000000002</v>
      </c>
      <c r="AI301" s="268">
        <f>IF(ISNUMBER('Sensitivity Tests'!$C$30),'Sensitivity Tests'!$C$30,VLOOKUP($A301,AffordabilityRatio!$A$2:$I$321,5,FALSE))</f>
        <v>5.99</v>
      </c>
      <c r="AJ301" s="268">
        <f>IF(ISNUMBER('Sensitivity Tests'!$C$30),'Sensitivity Tests'!$C$30,VLOOKUP($A301,AffordabilityRatio!$A$2:$I$321,6,FALSE))</f>
        <v>6.37</v>
      </c>
      <c r="AK301" s="268">
        <f>IF(ISNUMBER('Sensitivity Tests'!$C$30),'Sensitivity Tests'!$C$30,VLOOKUP($A301,AffordabilityRatio!$A$2:$I$321,7,FALSE))</f>
        <v>6.47</v>
      </c>
      <c r="AL301" s="268">
        <f>IF(ISNUMBER('Sensitivity Tests'!$C$30),'Sensitivity Tests'!$C$30,IF((VLOOKUP($A301,AffordabilityRatio!$A$2:$I$321,8,FALSE))="",AK301,VLOOKUP($A301,AffordabilityRatio!$A$2:$I$321,8,FALSE)))</f>
        <v>6.42</v>
      </c>
      <c r="AM301" s="268">
        <f>IF(ISNUMBER('Sensitivity Tests'!$C$30),'Sensitivity Tests'!$C$30,IF((VLOOKUP($A301,AffordabilityRatio!$A$2:$I$321,9,FALSE))="",AL301,VLOOKUP($A301,AffordabilityRatio!$A$2:$I$321,9,FALSE)))</f>
        <v>6.85</v>
      </c>
      <c r="AN301" s="268">
        <f>IF(ISNUMBER('Sensitivity Tests'!$C$30),'Sensitivity Tests'!$C$30,IF((VLOOKUP($A301,AffordabilityRatio!$A$2:$I$321,9,FALSE))="",AM301,VLOOKUP($A301,AffordabilityRatio!$A$2:$I$321,9,FALSE)))</f>
        <v>6.85</v>
      </c>
      <c r="AO301" s="268">
        <f>IF(ISNUMBER('Sensitivity Tests'!$C$30),'Sensitivity Tests'!$C$30,IF((VLOOKUP($A301,AffordabilityRatio!$A$2:$I$321,9,FALSE))="",AN301,VLOOKUP($A301,AffordabilityRatio!$A$2:$I$321,9,FALSE)))</f>
        <v>6.85</v>
      </c>
      <c r="AP301" s="268">
        <f>IF(ISNUMBER('Sensitivity Tests'!$C$30),'Sensitivity Tests'!$C$30,IF((VLOOKUP($A301,AffordabilityRatio!$A$2:$I$321,9,FALSE))="",AO301,VLOOKUP($A301,AffordabilityRatio!$A$2:$I$321,9,FALSE)))</f>
        <v>6.85</v>
      </c>
      <c r="AQ301" s="267">
        <f t="shared" si="243"/>
        <v>334</v>
      </c>
      <c r="AR301" s="267">
        <f t="shared" si="243"/>
        <v>336</v>
      </c>
      <c r="AS301" s="267">
        <f t="shared" si="243"/>
        <v>334</v>
      </c>
      <c r="AT301" s="267">
        <f t="shared" si="242"/>
        <v>328</v>
      </c>
      <c r="AU301" s="267">
        <f t="shared" si="242"/>
        <v>329</v>
      </c>
      <c r="AV301" s="267">
        <f t="shared" si="242"/>
        <v>322</v>
      </c>
      <c r="AW301" s="267">
        <f t="shared" si="242"/>
        <v>313</v>
      </c>
      <c r="AX301" s="267">
        <f t="shared" si="242"/>
        <v>307</v>
      </c>
      <c r="AY301" s="267">
        <f t="shared" si="218"/>
        <v>334</v>
      </c>
      <c r="AZ301" s="267">
        <f t="shared" si="219"/>
        <v>336</v>
      </c>
      <c r="BA301" s="267">
        <f t="shared" si="220"/>
        <v>334</v>
      </c>
      <c r="BB301" s="267">
        <f t="shared" si="221"/>
        <v>328</v>
      </c>
      <c r="BC301" s="267">
        <f t="shared" si="222"/>
        <v>329</v>
      </c>
      <c r="BD301" s="267">
        <f t="shared" si="223"/>
        <v>322</v>
      </c>
      <c r="BE301" s="267">
        <f t="shared" si="224"/>
        <v>313</v>
      </c>
      <c r="BF301" s="267">
        <f t="shared" si="225"/>
        <v>307</v>
      </c>
      <c r="BG301" s="269">
        <f>AY301*VLOOKUP($B301,'Major Cities &amp; Towns'!$A$28:$B$345,2,FALSE)</f>
        <v>334</v>
      </c>
      <c r="BH301" s="269">
        <f>AZ301*VLOOKUP($B301,'Major Cities &amp; Towns'!$A$28:$B$345,2,FALSE)</f>
        <v>336</v>
      </c>
      <c r="BI301" s="269">
        <f>BA301*VLOOKUP($B301,'Major Cities &amp; Towns'!$A$28:$B$345,2,FALSE)</f>
        <v>334</v>
      </c>
      <c r="BJ301" s="269">
        <f>BB301*VLOOKUP($B301,'Major Cities &amp; Towns'!$A$28:$B$345,2,FALSE)</f>
        <v>328</v>
      </c>
      <c r="BK301" s="269">
        <f>BC301*VLOOKUP($B301,'Major Cities &amp; Towns'!$A$28:$B$345,2,FALSE)</f>
        <v>329</v>
      </c>
      <c r="BL301" s="269">
        <f>BD301*VLOOKUP($B301,'Major Cities &amp; Towns'!$A$28:$B$345,2,FALSE)</f>
        <v>322</v>
      </c>
      <c r="BM301" s="269">
        <f>BE301*VLOOKUP($B301,'Major Cities &amp; Towns'!$A$28:$B$345,2,FALSE)</f>
        <v>313</v>
      </c>
      <c r="BN301" s="269">
        <f>BF301*VLOOKUP($B301,'Major Cities &amp; Towns'!$A$28:$B$345,2,FALSE)</f>
        <v>307</v>
      </c>
      <c r="BO301" s="270">
        <f t="shared" si="226"/>
        <v>334</v>
      </c>
      <c r="BP301" s="270">
        <f t="shared" si="201"/>
        <v>336</v>
      </c>
      <c r="BQ301" s="270">
        <f t="shared" si="201"/>
        <v>334</v>
      </c>
      <c r="BR301" s="270">
        <f t="shared" si="201"/>
        <v>328</v>
      </c>
      <c r="BS301" s="270">
        <f t="shared" si="200"/>
        <v>329</v>
      </c>
      <c r="BT301" s="270">
        <f t="shared" si="200"/>
        <v>322</v>
      </c>
      <c r="BU301" s="270">
        <f t="shared" si="200"/>
        <v>313</v>
      </c>
      <c r="BV301" s="270">
        <f t="shared" si="200"/>
        <v>307</v>
      </c>
      <c r="BW301" s="39">
        <f>VLOOKUP($A301,NetAdditions!$A$2:$H$336,6,FALSE)</f>
        <v>408</v>
      </c>
      <c r="BX301" s="39">
        <f>VLOOKUP($A301,NetAdditions!$A$2:$H$336,7,FALSE)</f>
        <v>572</v>
      </c>
      <c r="BY301" s="39">
        <f>IF((VLOOKUP($C301,NetAdditions!$A$2:$H$336,8,FALSE))="",(AVERAGE(VLOOKUP($C301,NetAdditions!$A$2:$H$336,5,FALSE),VLOOKUP($C301,NetAdditions!$A$2:$H$336,6,FALSE),VLOOKUP($C301,NetAdditions!$A$2:$H$336,7,FALSE))),VLOOKUP($C301,NetAdditions!$A$2:$H$336,8,FALSE))</f>
        <v>482</v>
      </c>
      <c r="BZ301" s="39">
        <f t="shared" si="244"/>
        <v>487.33333333333331</v>
      </c>
      <c r="CA301" s="39">
        <f t="shared" si="244"/>
        <v>513.77777777777771</v>
      </c>
      <c r="CB301" s="39">
        <f t="shared" si="244"/>
        <v>494.37037037037027</v>
      </c>
      <c r="CC301" s="39">
        <f t="shared" si="244"/>
        <v>498.49382716049377</v>
      </c>
      <c r="CD301" s="39">
        <f t="shared" si="244"/>
        <v>502.21399176954725</v>
      </c>
      <c r="CE301" s="276">
        <f t="shared" si="202"/>
        <v>1004</v>
      </c>
      <c r="CF301" s="276">
        <f t="shared" si="203"/>
        <v>998</v>
      </c>
      <c r="CG301" s="276">
        <f t="shared" si="204"/>
        <v>991</v>
      </c>
      <c r="CH301" s="276">
        <f t="shared" si="205"/>
        <v>979</v>
      </c>
      <c r="CI301" s="276">
        <f t="shared" si="206"/>
        <v>964</v>
      </c>
      <c r="CJ301" s="276">
        <f t="shared" si="207"/>
        <v>942</v>
      </c>
      <c r="CK301" s="276">
        <f t="shared" si="227"/>
        <v>864.55555555555566</v>
      </c>
      <c r="CL301" s="276">
        <f t="shared" si="228"/>
        <v>859.38888888888891</v>
      </c>
      <c r="CM301" s="276">
        <f t="shared" si="229"/>
        <v>908.41666666666663</v>
      </c>
      <c r="CN301" s="276">
        <f t="shared" si="230"/>
        <v>979</v>
      </c>
      <c r="CO301" s="276">
        <f t="shared" si="230"/>
        <v>964</v>
      </c>
      <c r="CP301" s="276">
        <f t="shared" si="230"/>
        <v>942</v>
      </c>
      <c r="CQ301" s="39">
        <f t="shared" si="208"/>
        <v>1462</v>
      </c>
      <c r="CR301" s="39">
        <f t="shared" si="209"/>
        <v>1541.3333333333333</v>
      </c>
      <c r="CS301" s="277">
        <f t="shared" si="210"/>
        <v>1483.1111111111109</v>
      </c>
      <c r="CT301" s="39">
        <f t="shared" si="211"/>
        <v>1495.4814814814813</v>
      </c>
      <c r="CU301" s="39">
        <f t="shared" si="212"/>
        <v>1506.6419753086418</v>
      </c>
      <c r="CV301" s="39">
        <f t="shared" si="213"/>
        <v>1495.0781893004112</v>
      </c>
      <c r="CW301" s="297">
        <f t="shared" si="214"/>
        <v>1.6910422824829712</v>
      </c>
      <c r="CX301" s="279" t="str">
        <f t="shared" si="231"/>
        <v>Pass</v>
      </c>
      <c r="CY301" s="278">
        <f t="shared" si="215"/>
        <v>1.7935225289288252</v>
      </c>
      <c r="CZ301" s="279" t="str">
        <f t="shared" si="232"/>
        <v>Pass</v>
      </c>
      <c r="DA301" s="278">
        <f t="shared" si="216"/>
        <v>1.6326330917652812</v>
      </c>
      <c r="DB301" s="292" t="str">
        <f t="shared" si="233"/>
        <v>Pass</v>
      </c>
      <c r="DC301" s="299">
        <f t="shared" si="234"/>
        <v>1.52756024666137</v>
      </c>
      <c r="DD301" s="293" t="str">
        <f t="shared" si="235"/>
        <v>Pass</v>
      </c>
      <c r="DE301" s="299">
        <f t="shared" si="236"/>
        <v>1.5629066133907072</v>
      </c>
      <c r="DF301" s="293" t="str">
        <f t="shared" si="237"/>
        <v>Pass</v>
      </c>
      <c r="DG301" s="299">
        <f t="shared" si="238"/>
        <v>1.5871318357753834</v>
      </c>
      <c r="DH301" s="293" t="str">
        <f t="shared" si="239"/>
        <v>Pass</v>
      </c>
    </row>
    <row r="302" spans="1:112" ht="15" thickTop="1" thickBot="1">
      <c r="A302" s="38" t="s">
        <v>714</v>
      </c>
      <c r="B302" s="38" t="s">
        <v>715</v>
      </c>
      <c r="C302" s="38" t="s">
        <v>714</v>
      </c>
      <c r="D302" s="38" t="s">
        <v>113</v>
      </c>
      <c r="E302" s="38" t="str">
        <f>VLOOKUP(C302,PoliticalControl!A:K,11,FALSE)</f>
        <v>CON</v>
      </c>
      <c r="F302" s="38" t="str">
        <f>VLOOKUP(C302,UrbanRuralClassification!A:N,13,FALSE)</f>
        <v xml:space="preserve">Mainly Rural (rural including hub towns &gt;=80%) </v>
      </c>
      <c r="G302" s="38" t="str">
        <f>VLOOKUP(C302,UrbanRuralClassification!A:N,14,FALSE)</f>
        <v>Predominantly Rural</v>
      </c>
      <c r="H302" s="258">
        <f>IF(ISBLANK((VLOOKUP($A302,'local-plan-data'!$C$1:$AD$566,27,FALSE)))=TRUE,"",VLOOKUP($A302,'local-plan-data'!$C$1:$AD$566,27,FALSE))</f>
        <v>43370</v>
      </c>
      <c r="I302" s="259">
        <f>VLOOKUP($A302,'local-plan-data'!$C$1:$AD$566,28,FALSE)</f>
        <v>797.5</v>
      </c>
      <c r="J302" s="260">
        <f t="shared" si="217"/>
        <v>797.5</v>
      </c>
      <c r="K302" s="259">
        <f t="shared" si="247"/>
        <v>797.5</v>
      </c>
      <c r="L302" s="259">
        <f t="shared" si="245"/>
        <v>797.5</v>
      </c>
      <c r="M302" s="259">
        <f t="shared" si="245"/>
        <v>797.5</v>
      </c>
      <c r="N302" s="259">
        <f t="shared" si="245"/>
        <v>797.5</v>
      </c>
      <c r="O302" s="259">
        <f t="shared" si="245"/>
        <v>797.5</v>
      </c>
      <c r="P302" s="259">
        <f t="shared" si="245"/>
        <v>797.5</v>
      </c>
      <c r="Q302" s="259" t="str">
        <f t="shared" si="245"/>
        <v>-</v>
      </c>
      <c r="R302" s="259" t="str">
        <f t="shared" si="245"/>
        <v>-</v>
      </c>
      <c r="S302" s="259">
        <f t="shared" si="248"/>
        <v>2005</v>
      </c>
      <c r="T302" s="259">
        <f t="shared" si="246"/>
        <v>1640</v>
      </c>
      <c r="U302" s="259">
        <f t="shared" si="246"/>
        <v>1274</v>
      </c>
      <c r="V302" s="259">
        <f t="shared" si="246"/>
        <v>909</v>
      </c>
      <c r="W302" s="259">
        <f t="shared" si="246"/>
        <v>544</v>
      </c>
      <c r="X302" s="259">
        <f t="shared" si="246"/>
        <v>179</v>
      </c>
      <c r="Y302" s="259">
        <f t="shared" si="246"/>
        <v>-187</v>
      </c>
      <c r="Z302" s="259">
        <f t="shared" si="246"/>
        <v>-552</v>
      </c>
      <c r="AA302" s="267">
        <f>(VLOOKUP(A302,Hshldprojections2014!$A$2:$AW$319,40, FALSE)-VLOOKUP(A302,Hshldprojections2014!$A$2:$AW$319,30, FALSE))/10</f>
        <v>406.2</v>
      </c>
      <c r="AB302" s="267">
        <f>(VLOOKUP(A302,Hshldprojections2014!$A$2:$AW$319,41, FALSE)-VLOOKUP(A302,Hshldprojections2014!$A$2:$AW$319,31, FALSE))/10</f>
        <v>405</v>
      </c>
      <c r="AC302" s="267">
        <f>(VLOOKUP(A302,Hshldprojections2014!$A$2:$AW$319,42, FALSE)-VLOOKUP(A302,Hshldprojections2014!$A$2:$AW$319,32, FALSE))/10</f>
        <v>402.7</v>
      </c>
      <c r="AD302" s="267">
        <f>IF(IndividualLATest!$J$7=2014,(VLOOKUP($A302,Hshldprojections2014!$A$2:$AY$326,43,FALSE)-VLOOKUP($A302,Hshldprojections2014!$A$2:$AY$326,33,FALSE))/10,IF(IndividualLATest!$J$7=2016,(VLOOKUP($A302,Hshldprojections2016!$A$1:$AQ$322,33,FALSE)-VLOOKUP($A302,Hshldprojections2016!$A$1:$AQ$322,23,FALSE))/10,(VLOOKUP($A302,Hshldprojections2018!$A$1:$AQ$327,33,FALSE)-VLOOKUP($A302,Hshldprojections2018!$A$1:$AQ$327,23,FALSE))/10))</f>
        <v>330</v>
      </c>
      <c r="AE302" s="267">
        <f>IF(IndividualLATest!$J$7=2014,(VLOOKUP($A302,Hshldprojections2014!$A$2:$AY$326,44,FALSE)-VLOOKUP($A302,Hshldprojections2014!$A$2:$AY$326,34,FALSE))/10,IF(IndividualLATest!$J$7=2016,(VLOOKUP($A302,Hshldprojections2016!$A$1:$AQ$322,34,FALSE)-VLOOKUP($A302,Hshldprojections2016!$A$1:$AQ$322,24,FALSE))/10,(VLOOKUP($A302,Hshldprojections2018!$A$1:$AQ$327,34,FALSE)-VLOOKUP($A302,Hshldprojections2018!$A$1:$AQ$327,24,FALSE))/10))</f>
        <v>320.89999999999998</v>
      </c>
      <c r="AF302" s="267">
        <f>IF(IndividualLATest!$J$7=2014,(VLOOKUP($A302,Hshldprojections2014!$A$2:$AY$326,45,FALSE)-VLOOKUP($A302,Hshldprojections2014!$A$2:$AY$326,35,FALSE))/10,IF(IndividualLATest!$J$7=2016,(VLOOKUP($A302,Hshldprojections2016!$A$1:$AQ$322,35,FALSE)-VLOOKUP($A302,Hshldprojections2016!$A$1:$AQ$322,25,FALSE))/10,(VLOOKUP($A302,Hshldprojections2018!$A$1:$AQ$327,35,FALSE)-VLOOKUP($A302,Hshldprojections2018!$A$1:$AQ$327,25,FALSE))/10))</f>
        <v>311.89999999999998</v>
      </c>
      <c r="AG302" s="267">
        <f>IF(IndividualLATest!$J$7=2014,(VLOOKUP($A302,Hshldprojections2014!$A$2:$AY$326,46,FALSE)-VLOOKUP($A302,Hshldprojections2014!$A$2:$AY$326,36,FALSE))/10,IF(IndividualLATest!$J$7=2016,(VLOOKUP($A302,Hshldprojections2016!$A$1:$AQ$322,36,FALSE)-VLOOKUP($A302,Hshldprojections2016!$A$1:$AQ$322,26,FALSE))/10,(VLOOKUP($A302,Hshldprojections2018!$A$1:$AQ$327,36,FALSE)-VLOOKUP($A302,Hshldprojections2018!$A$1:$AQ$327,26,FALSE))/10))</f>
        <v>304.7</v>
      </c>
      <c r="AH302" s="267">
        <f>IF(IndividualLATest!$J$7=2014,(VLOOKUP($A302,Hshldprojections2014!$A$2:$AY$326,47,FALSE)-VLOOKUP($A302,Hshldprojections2014!$A$2:$AY$326,37,FALSE))/10,IF(IndividualLATest!$J$7=2016,(VLOOKUP($A302,Hshldprojections2016!$A$1:$AQ$322,37,FALSE)-VLOOKUP($A302,Hshldprojections2016!$A$1:$AQ$322,27,FALSE))/10,(VLOOKUP($A302,Hshldprojections2018!$A$1:$AQ$327,37,FALSE)-VLOOKUP($A302,Hshldprojections2018!$A$1:$AQ$327,27,FALSE))/10))</f>
        <v>298.2</v>
      </c>
      <c r="AI302" s="268">
        <f>IF(ISNUMBER('Sensitivity Tests'!$C$30),'Sensitivity Tests'!$C$30,VLOOKUP($A302,AffordabilityRatio!$A$2:$I$321,5,FALSE))</f>
        <v>11.24</v>
      </c>
      <c r="AJ302" s="268">
        <f>IF(ISNUMBER('Sensitivity Tests'!$C$30),'Sensitivity Tests'!$C$30,VLOOKUP($A302,AffordabilityRatio!$A$2:$I$321,6,FALSE))</f>
        <v>11.55</v>
      </c>
      <c r="AK302" s="268">
        <f>IF(ISNUMBER('Sensitivity Tests'!$C$30),'Sensitivity Tests'!$C$30,VLOOKUP($A302,AffordabilityRatio!$A$2:$I$321,7,FALSE))</f>
        <v>10.48</v>
      </c>
      <c r="AL302" s="268">
        <f>IF(ISNUMBER('Sensitivity Tests'!$C$30),'Sensitivity Tests'!$C$30,IF((VLOOKUP($A302,AffordabilityRatio!$A$2:$I$321,8,FALSE))="",AK302,VLOOKUP($A302,AffordabilityRatio!$A$2:$I$321,8,FALSE)))</f>
        <v>10.38</v>
      </c>
      <c r="AM302" s="268">
        <f>IF(ISNUMBER('Sensitivity Tests'!$C$30),'Sensitivity Tests'!$C$30,IF((VLOOKUP($A302,AffordabilityRatio!$A$2:$I$321,9,FALSE))="",AL302,VLOOKUP($A302,AffordabilityRatio!$A$2:$I$321,9,FALSE)))</f>
        <v>11.4</v>
      </c>
      <c r="AN302" s="268">
        <f>IF(ISNUMBER('Sensitivity Tests'!$C$30),'Sensitivity Tests'!$C$30,IF((VLOOKUP($A302,AffordabilityRatio!$A$2:$I$321,9,FALSE))="",AM302,VLOOKUP($A302,AffordabilityRatio!$A$2:$I$321,9,FALSE)))</f>
        <v>11.4</v>
      </c>
      <c r="AO302" s="268">
        <f>IF(ISNUMBER('Sensitivity Tests'!$C$30),'Sensitivity Tests'!$C$30,IF((VLOOKUP($A302,AffordabilityRatio!$A$2:$I$321,9,FALSE))="",AN302,VLOOKUP($A302,AffordabilityRatio!$A$2:$I$321,9,FALSE)))</f>
        <v>11.4</v>
      </c>
      <c r="AP302" s="268">
        <f>IF(ISNUMBER('Sensitivity Tests'!$C$30),'Sensitivity Tests'!$C$30,IF((VLOOKUP($A302,AffordabilityRatio!$A$2:$I$321,9,FALSE))="",AO302,VLOOKUP($A302,AffordabilityRatio!$A$2:$I$321,9,FALSE)))</f>
        <v>11.4</v>
      </c>
      <c r="AQ302" s="267">
        <f t="shared" si="243"/>
        <v>590</v>
      </c>
      <c r="AR302" s="267">
        <f t="shared" si="243"/>
        <v>596</v>
      </c>
      <c r="AS302" s="267">
        <f t="shared" si="243"/>
        <v>566</v>
      </c>
      <c r="AT302" s="267">
        <f t="shared" si="242"/>
        <v>462</v>
      </c>
      <c r="AU302" s="267">
        <f t="shared" si="242"/>
        <v>469</v>
      </c>
      <c r="AV302" s="267">
        <f t="shared" si="242"/>
        <v>456</v>
      </c>
      <c r="AW302" s="267">
        <f t="shared" si="242"/>
        <v>446</v>
      </c>
      <c r="AX302" s="267">
        <f t="shared" si="242"/>
        <v>436</v>
      </c>
      <c r="AY302" s="267">
        <f t="shared" si="218"/>
        <v>590</v>
      </c>
      <c r="AZ302" s="267">
        <f t="shared" si="219"/>
        <v>596</v>
      </c>
      <c r="BA302" s="267">
        <f t="shared" si="220"/>
        <v>566</v>
      </c>
      <c r="BB302" s="267">
        <f t="shared" si="221"/>
        <v>462</v>
      </c>
      <c r="BC302" s="267">
        <f t="shared" si="222"/>
        <v>469</v>
      </c>
      <c r="BD302" s="267">
        <f t="shared" si="223"/>
        <v>456</v>
      </c>
      <c r="BE302" s="267">
        <f t="shared" si="224"/>
        <v>446</v>
      </c>
      <c r="BF302" s="267">
        <f t="shared" si="225"/>
        <v>436</v>
      </c>
      <c r="BG302" s="269">
        <f>AY302*VLOOKUP($B302,'Major Cities &amp; Towns'!$A$28:$B$345,2,FALSE)</f>
        <v>590</v>
      </c>
      <c r="BH302" s="269">
        <f>AZ302*VLOOKUP($B302,'Major Cities &amp; Towns'!$A$28:$B$345,2,FALSE)</f>
        <v>596</v>
      </c>
      <c r="BI302" s="269">
        <f>BA302*VLOOKUP($B302,'Major Cities &amp; Towns'!$A$28:$B$345,2,FALSE)</f>
        <v>566</v>
      </c>
      <c r="BJ302" s="269">
        <f>BB302*VLOOKUP($B302,'Major Cities &amp; Towns'!$A$28:$B$345,2,FALSE)</f>
        <v>462</v>
      </c>
      <c r="BK302" s="269">
        <f>BC302*VLOOKUP($B302,'Major Cities &amp; Towns'!$A$28:$B$345,2,FALSE)</f>
        <v>469</v>
      </c>
      <c r="BL302" s="269">
        <f>BD302*VLOOKUP($B302,'Major Cities &amp; Towns'!$A$28:$B$345,2,FALSE)</f>
        <v>456</v>
      </c>
      <c r="BM302" s="269">
        <f>BE302*VLOOKUP($B302,'Major Cities &amp; Towns'!$A$28:$B$345,2,FALSE)</f>
        <v>446</v>
      </c>
      <c r="BN302" s="269">
        <f>BF302*VLOOKUP($B302,'Major Cities &amp; Towns'!$A$28:$B$345,2,FALSE)</f>
        <v>436</v>
      </c>
      <c r="BO302" s="270">
        <f t="shared" si="226"/>
        <v>590</v>
      </c>
      <c r="BP302" s="270">
        <f t="shared" si="201"/>
        <v>596</v>
      </c>
      <c r="BQ302" s="270">
        <f t="shared" si="201"/>
        <v>566</v>
      </c>
      <c r="BR302" s="270">
        <f t="shared" si="201"/>
        <v>462</v>
      </c>
      <c r="BS302" s="270">
        <f t="shared" si="200"/>
        <v>469</v>
      </c>
      <c r="BT302" s="270">
        <f t="shared" si="200"/>
        <v>456</v>
      </c>
      <c r="BU302" s="270">
        <f t="shared" si="200"/>
        <v>446</v>
      </c>
      <c r="BV302" s="270">
        <f t="shared" si="200"/>
        <v>436</v>
      </c>
      <c r="BW302" s="39">
        <f>VLOOKUP($A302,NetAdditions!$A$2:$H$336,6,FALSE)</f>
        <v>813</v>
      </c>
      <c r="BX302" s="39">
        <f>VLOOKUP($A302,NetAdditions!$A$2:$H$336,7,FALSE)</f>
        <v>1086</v>
      </c>
      <c r="BY302" s="39">
        <f>IF((VLOOKUP($C302,NetAdditions!$A$2:$H$336,8,FALSE))="",(AVERAGE(VLOOKUP($C302,NetAdditions!$A$2:$H$336,5,FALSE),VLOOKUP($C302,NetAdditions!$A$2:$H$336,6,FALSE),VLOOKUP($C302,NetAdditions!$A$2:$H$336,7,FALSE))),VLOOKUP($C302,NetAdditions!$A$2:$H$336,8,FALSE))</f>
        <v>868</v>
      </c>
      <c r="BZ302" s="39">
        <f t="shared" si="244"/>
        <v>922.33333333333337</v>
      </c>
      <c r="CA302" s="39">
        <f t="shared" si="244"/>
        <v>958.77777777777783</v>
      </c>
      <c r="CB302" s="39">
        <f t="shared" si="244"/>
        <v>916.37037037037044</v>
      </c>
      <c r="CC302" s="39">
        <f t="shared" si="244"/>
        <v>932.49382716049388</v>
      </c>
      <c r="CD302" s="39">
        <f t="shared" si="244"/>
        <v>935.88065843621405</v>
      </c>
      <c r="CE302" s="276">
        <f t="shared" si="202"/>
        <v>1752</v>
      </c>
      <c r="CF302" s="276">
        <f t="shared" si="203"/>
        <v>1624</v>
      </c>
      <c r="CG302" s="276">
        <f t="shared" si="204"/>
        <v>1497</v>
      </c>
      <c r="CH302" s="276">
        <f t="shared" si="205"/>
        <v>1387</v>
      </c>
      <c r="CI302" s="276">
        <f t="shared" si="206"/>
        <v>1371</v>
      </c>
      <c r="CJ302" s="276">
        <f t="shared" si="207"/>
        <v>1338</v>
      </c>
      <c r="CK302" s="276">
        <f t="shared" si="227"/>
        <v>1508.6666666666667</v>
      </c>
      <c r="CL302" s="276">
        <f t="shared" si="228"/>
        <v>1398.4444444444446</v>
      </c>
      <c r="CM302" s="276">
        <f t="shared" si="229"/>
        <v>1372.25</v>
      </c>
      <c r="CN302" s="276">
        <f t="shared" si="230"/>
        <v>1387</v>
      </c>
      <c r="CO302" s="276">
        <f t="shared" si="230"/>
        <v>1371</v>
      </c>
      <c r="CP302" s="276">
        <f t="shared" si="230"/>
        <v>1338</v>
      </c>
      <c r="CQ302" s="39">
        <f t="shared" si="208"/>
        <v>2767</v>
      </c>
      <c r="CR302" s="39">
        <f t="shared" si="209"/>
        <v>2876.3333333333335</v>
      </c>
      <c r="CS302" s="277">
        <f t="shared" si="210"/>
        <v>2749.1111111111113</v>
      </c>
      <c r="CT302" s="39">
        <f t="shared" si="211"/>
        <v>2797.4814814814818</v>
      </c>
      <c r="CU302" s="39">
        <f t="shared" si="212"/>
        <v>2807.641975308642</v>
      </c>
      <c r="CV302" s="39">
        <f t="shared" si="213"/>
        <v>2784.7448559670784</v>
      </c>
      <c r="CW302" s="297">
        <f t="shared" si="214"/>
        <v>1.834069818824569</v>
      </c>
      <c r="CX302" s="279" t="str">
        <f t="shared" si="231"/>
        <v>Pass</v>
      </c>
      <c r="CY302" s="278">
        <f t="shared" si="215"/>
        <v>2.056809153027173</v>
      </c>
      <c r="CZ302" s="279" t="str">
        <f t="shared" si="232"/>
        <v>Pass</v>
      </c>
      <c r="DA302" s="278">
        <f t="shared" si="216"/>
        <v>2.0033602558652661</v>
      </c>
      <c r="DB302" s="292" t="str">
        <f t="shared" si="233"/>
        <v>Pass</v>
      </c>
      <c r="DC302" s="299">
        <f t="shared" si="234"/>
        <v>2.01692969104649</v>
      </c>
      <c r="DD302" s="293" t="str">
        <f t="shared" si="235"/>
        <v>Pass</v>
      </c>
      <c r="DE302" s="299">
        <f t="shared" si="236"/>
        <v>2.0478789024862452</v>
      </c>
      <c r="DF302" s="293" t="str">
        <f t="shared" si="237"/>
        <v>Pass</v>
      </c>
      <c r="DG302" s="299">
        <f t="shared" si="238"/>
        <v>2.081274182337129</v>
      </c>
      <c r="DH302" s="293" t="str">
        <f t="shared" si="239"/>
        <v>Pass</v>
      </c>
    </row>
    <row r="303" spans="1:112" ht="15" thickTop="1" thickBot="1">
      <c r="A303" s="38" t="s">
        <v>716</v>
      </c>
      <c r="B303" s="38" t="s">
        <v>717</v>
      </c>
      <c r="C303" s="38" t="s">
        <v>716</v>
      </c>
      <c r="D303" s="38" t="s">
        <v>128</v>
      </c>
      <c r="E303" s="38" t="str">
        <f>VLOOKUP(C303,PoliticalControl!A:K,11,FALSE)</f>
        <v>CON</v>
      </c>
      <c r="F303" s="38" t="str">
        <f>VLOOKUP(C303,UrbanRuralClassification!A:N,13,FALSE)</f>
        <v xml:space="preserve">Largely Rural (rural including hub towns 50-79%) </v>
      </c>
      <c r="G303" s="38" t="str">
        <f>VLOOKUP(C303,UrbanRuralClassification!A:N,14,FALSE)</f>
        <v>Predominantly Rural</v>
      </c>
      <c r="H303" s="258" t="str">
        <f>IF(ISBLANK((VLOOKUP($A303,'local-plan-data'!$C$1:$AD$566,27,FALSE)))=TRUE,"",VLOOKUP($A303,'local-plan-data'!$C$1:$AD$566,27,FALSE))</f>
        <v/>
      </c>
      <c r="I303" s="259" t="str">
        <f>VLOOKUP($A303,'local-plan-data'!$C$1:$AD$566,28,FALSE)</f>
        <v/>
      </c>
      <c r="J303" s="260" t="str">
        <f t="shared" si="217"/>
        <v>-</v>
      </c>
      <c r="K303" s="259" t="str">
        <f t="shared" si="247"/>
        <v>-</v>
      </c>
      <c r="L303" s="259" t="str">
        <f t="shared" si="245"/>
        <v>-</v>
      </c>
      <c r="M303" s="259" t="str">
        <f t="shared" si="245"/>
        <v>-</v>
      </c>
      <c r="N303" s="259" t="str">
        <f t="shared" si="245"/>
        <v>-</v>
      </c>
      <c r="O303" s="259" t="str">
        <f t="shared" si="245"/>
        <v>-</v>
      </c>
      <c r="P303" s="259" t="str">
        <f t="shared" si="245"/>
        <v>-</v>
      </c>
      <c r="Q303" s="259" t="str">
        <f t="shared" si="245"/>
        <v>-</v>
      </c>
      <c r="R303" s="259" t="str">
        <f t="shared" si="245"/>
        <v>-</v>
      </c>
      <c r="S303" s="259" t="str">
        <f t="shared" si="248"/>
        <v>-</v>
      </c>
      <c r="T303" s="259" t="str">
        <f t="shared" si="246"/>
        <v>-</v>
      </c>
      <c r="U303" s="259" t="str">
        <f t="shared" si="246"/>
        <v>-</v>
      </c>
      <c r="V303" s="259" t="str">
        <f t="shared" si="246"/>
        <v>-</v>
      </c>
      <c r="W303" s="259" t="str">
        <f t="shared" si="246"/>
        <v>-</v>
      </c>
      <c r="X303" s="259" t="str">
        <f t="shared" si="246"/>
        <v>-</v>
      </c>
      <c r="Y303" s="259" t="str">
        <f t="shared" si="246"/>
        <v>-</v>
      </c>
      <c r="Z303" s="259" t="str">
        <f t="shared" si="246"/>
        <v>-</v>
      </c>
      <c r="AA303" s="267">
        <f>(VLOOKUP(A303,Hshldprojections2014!$A$2:$AW$319,40, FALSE)-VLOOKUP(A303,Hshldprojections2014!$A$2:$AW$319,30, FALSE))/10</f>
        <v>614.79999999999995</v>
      </c>
      <c r="AB303" s="267">
        <f>(VLOOKUP(A303,Hshldprojections2014!$A$2:$AW$319,41, FALSE)-VLOOKUP(A303,Hshldprojections2014!$A$2:$AW$319,31, FALSE))/10</f>
        <v>609.4</v>
      </c>
      <c r="AC303" s="267">
        <f>(VLOOKUP(A303,Hshldprojections2014!$A$2:$AW$319,42, FALSE)-VLOOKUP(A303,Hshldprojections2014!$A$2:$AW$319,32, FALSE))/10</f>
        <v>607.70000000000005</v>
      </c>
      <c r="AD303" s="267">
        <f>IF(IndividualLATest!$J$7=2014,(VLOOKUP($A303,Hshldprojections2014!$A$2:$AY$326,43,FALSE)-VLOOKUP($A303,Hshldprojections2014!$A$2:$AY$326,33,FALSE))/10,IF(IndividualLATest!$J$7=2016,(VLOOKUP($A303,Hshldprojections2016!$A$1:$AQ$322,33,FALSE)-VLOOKUP($A303,Hshldprojections2016!$A$1:$AQ$322,23,FALSE))/10,(VLOOKUP($A303,Hshldprojections2018!$A$1:$AQ$327,33,FALSE)-VLOOKUP($A303,Hshldprojections2018!$A$1:$AQ$327,23,FALSE))/10))</f>
        <v>337.8</v>
      </c>
      <c r="AE303" s="267">
        <f>IF(IndividualLATest!$J$7=2014,(VLOOKUP($A303,Hshldprojections2014!$A$2:$AY$326,44,FALSE)-VLOOKUP($A303,Hshldprojections2014!$A$2:$AY$326,34,FALSE))/10,IF(IndividualLATest!$J$7=2016,(VLOOKUP($A303,Hshldprojections2016!$A$1:$AQ$322,34,FALSE)-VLOOKUP($A303,Hshldprojections2016!$A$1:$AQ$322,24,FALSE))/10,(VLOOKUP($A303,Hshldprojections2018!$A$1:$AQ$327,34,FALSE)-VLOOKUP($A303,Hshldprojections2018!$A$1:$AQ$327,24,FALSE))/10))</f>
        <v>332.1</v>
      </c>
      <c r="AF303" s="267">
        <f>IF(IndividualLATest!$J$7=2014,(VLOOKUP($A303,Hshldprojections2014!$A$2:$AY$326,45,FALSE)-VLOOKUP($A303,Hshldprojections2014!$A$2:$AY$326,35,FALSE))/10,IF(IndividualLATest!$J$7=2016,(VLOOKUP($A303,Hshldprojections2016!$A$1:$AQ$322,35,FALSE)-VLOOKUP($A303,Hshldprojections2016!$A$1:$AQ$322,25,FALSE))/10,(VLOOKUP($A303,Hshldprojections2018!$A$1:$AQ$327,35,FALSE)-VLOOKUP($A303,Hshldprojections2018!$A$1:$AQ$327,25,FALSE))/10))</f>
        <v>330.7</v>
      </c>
      <c r="AG303" s="267">
        <f>IF(IndividualLATest!$J$7=2014,(VLOOKUP($A303,Hshldprojections2014!$A$2:$AY$326,46,FALSE)-VLOOKUP($A303,Hshldprojections2014!$A$2:$AY$326,36,FALSE))/10,IF(IndividualLATest!$J$7=2016,(VLOOKUP($A303,Hshldprojections2016!$A$1:$AQ$322,36,FALSE)-VLOOKUP($A303,Hshldprojections2016!$A$1:$AQ$322,26,FALSE))/10,(VLOOKUP($A303,Hshldprojections2018!$A$1:$AQ$327,36,FALSE)-VLOOKUP($A303,Hshldprojections2018!$A$1:$AQ$327,26,FALSE))/10))</f>
        <v>327.3</v>
      </c>
      <c r="AH303" s="267">
        <f>IF(IndividualLATest!$J$7=2014,(VLOOKUP($A303,Hshldprojections2014!$A$2:$AY$326,47,FALSE)-VLOOKUP($A303,Hshldprojections2014!$A$2:$AY$326,37,FALSE))/10,IF(IndividualLATest!$J$7=2016,(VLOOKUP($A303,Hshldprojections2016!$A$1:$AQ$322,37,FALSE)-VLOOKUP($A303,Hshldprojections2016!$A$1:$AQ$322,27,FALSE))/10,(VLOOKUP($A303,Hshldprojections2018!$A$1:$AQ$327,37,FALSE)-VLOOKUP($A303,Hshldprojections2018!$A$1:$AQ$327,27,FALSE))/10))</f>
        <v>328.3</v>
      </c>
      <c r="AI303" s="268">
        <f>IF(ISNUMBER('Sensitivity Tests'!$C$30),'Sensitivity Tests'!$C$30,VLOOKUP($A303,AffordabilityRatio!$A$2:$I$321,5,FALSE))</f>
        <v>9.24</v>
      </c>
      <c r="AJ303" s="268">
        <f>IF(ISNUMBER('Sensitivity Tests'!$C$30),'Sensitivity Tests'!$C$30,VLOOKUP($A303,AffordabilityRatio!$A$2:$I$321,6,FALSE))</f>
        <v>9.31</v>
      </c>
      <c r="AK303" s="268">
        <f>IF(ISNUMBER('Sensitivity Tests'!$C$30),'Sensitivity Tests'!$C$30,VLOOKUP($A303,AffordabilityRatio!$A$2:$I$321,7,FALSE))</f>
        <v>9.1300000000000008</v>
      </c>
      <c r="AL303" s="268">
        <f>IF(ISNUMBER('Sensitivity Tests'!$C$30),'Sensitivity Tests'!$C$30,IF((VLOOKUP($A303,AffordabilityRatio!$A$2:$I$321,8,FALSE))="",AK303,VLOOKUP($A303,AffordabilityRatio!$A$2:$I$321,8,FALSE)))</f>
        <v>8.65</v>
      </c>
      <c r="AM303" s="268">
        <f>IF(ISNUMBER('Sensitivity Tests'!$C$30),'Sensitivity Tests'!$C$30,IF((VLOOKUP($A303,AffordabilityRatio!$A$2:$I$321,9,FALSE))="",AL303,VLOOKUP($A303,AffordabilityRatio!$A$2:$I$321,9,FALSE)))</f>
        <v>9.5</v>
      </c>
      <c r="AN303" s="268">
        <f>IF(ISNUMBER('Sensitivity Tests'!$C$30),'Sensitivity Tests'!$C$30,IF((VLOOKUP($A303,AffordabilityRatio!$A$2:$I$321,9,FALSE))="",AM303,VLOOKUP($A303,AffordabilityRatio!$A$2:$I$321,9,FALSE)))</f>
        <v>9.5</v>
      </c>
      <c r="AO303" s="268">
        <f>IF(ISNUMBER('Sensitivity Tests'!$C$30),'Sensitivity Tests'!$C$30,IF((VLOOKUP($A303,AffordabilityRatio!$A$2:$I$321,9,FALSE))="",AN303,VLOOKUP($A303,AffordabilityRatio!$A$2:$I$321,9,FALSE)))</f>
        <v>9.5</v>
      </c>
      <c r="AP303" s="268">
        <f>IF(ISNUMBER('Sensitivity Tests'!$C$30),'Sensitivity Tests'!$C$30,IF((VLOOKUP($A303,AffordabilityRatio!$A$2:$I$321,9,FALSE))="",AO303,VLOOKUP($A303,AffordabilityRatio!$A$2:$I$321,9,FALSE)))</f>
        <v>9.5</v>
      </c>
      <c r="AQ303" s="267">
        <f t="shared" si="243"/>
        <v>816</v>
      </c>
      <c r="AR303" s="267">
        <f t="shared" si="243"/>
        <v>812</v>
      </c>
      <c r="AS303" s="267">
        <f t="shared" si="243"/>
        <v>803</v>
      </c>
      <c r="AT303" s="267">
        <f t="shared" si="242"/>
        <v>436</v>
      </c>
      <c r="AU303" s="267">
        <f t="shared" si="242"/>
        <v>446</v>
      </c>
      <c r="AV303" s="267">
        <f t="shared" si="242"/>
        <v>444</v>
      </c>
      <c r="AW303" s="267">
        <f t="shared" si="242"/>
        <v>440</v>
      </c>
      <c r="AX303" s="267">
        <f t="shared" si="242"/>
        <v>441</v>
      </c>
      <c r="AY303" s="267">
        <f t="shared" si="218"/>
        <v>816</v>
      </c>
      <c r="AZ303" s="267">
        <f t="shared" si="219"/>
        <v>812</v>
      </c>
      <c r="BA303" s="267">
        <f t="shared" si="220"/>
        <v>803</v>
      </c>
      <c r="BB303" s="267">
        <f t="shared" si="221"/>
        <v>436</v>
      </c>
      <c r="BC303" s="267">
        <f t="shared" si="222"/>
        <v>446</v>
      </c>
      <c r="BD303" s="267">
        <f t="shared" si="223"/>
        <v>444</v>
      </c>
      <c r="BE303" s="267">
        <f t="shared" si="224"/>
        <v>440</v>
      </c>
      <c r="BF303" s="267">
        <f t="shared" si="225"/>
        <v>441</v>
      </c>
      <c r="BG303" s="269">
        <f>AY303*VLOOKUP($B303,'Major Cities &amp; Towns'!$A$28:$B$345,2,FALSE)</f>
        <v>816</v>
      </c>
      <c r="BH303" s="269">
        <f>AZ303*VLOOKUP($B303,'Major Cities &amp; Towns'!$A$28:$B$345,2,FALSE)</f>
        <v>812</v>
      </c>
      <c r="BI303" s="269">
        <f>BA303*VLOOKUP($B303,'Major Cities &amp; Towns'!$A$28:$B$345,2,FALSE)</f>
        <v>803</v>
      </c>
      <c r="BJ303" s="269">
        <f>BB303*VLOOKUP($B303,'Major Cities &amp; Towns'!$A$28:$B$345,2,FALSE)</f>
        <v>436</v>
      </c>
      <c r="BK303" s="269">
        <f>BC303*VLOOKUP($B303,'Major Cities &amp; Towns'!$A$28:$B$345,2,FALSE)</f>
        <v>446</v>
      </c>
      <c r="BL303" s="269">
        <f>BD303*VLOOKUP($B303,'Major Cities &amp; Towns'!$A$28:$B$345,2,FALSE)</f>
        <v>444</v>
      </c>
      <c r="BM303" s="269">
        <f>BE303*VLOOKUP($B303,'Major Cities &amp; Towns'!$A$28:$B$345,2,FALSE)</f>
        <v>440</v>
      </c>
      <c r="BN303" s="269">
        <f>BF303*VLOOKUP($B303,'Major Cities &amp; Towns'!$A$28:$B$345,2,FALSE)</f>
        <v>441</v>
      </c>
      <c r="BO303" s="270">
        <f t="shared" si="226"/>
        <v>816</v>
      </c>
      <c r="BP303" s="270">
        <f t="shared" si="201"/>
        <v>812</v>
      </c>
      <c r="BQ303" s="270">
        <f t="shared" si="201"/>
        <v>803</v>
      </c>
      <c r="BR303" s="270">
        <f t="shared" si="201"/>
        <v>436</v>
      </c>
      <c r="BS303" s="270">
        <f t="shared" si="200"/>
        <v>446</v>
      </c>
      <c r="BT303" s="270">
        <f t="shared" si="200"/>
        <v>444</v>
      </c>
      <c r="BU303" s="270">
        <f t="shared" si="200"/>
        <v>440</v>
      </c>
      <c r="BV303" s="270">
        <f t="shared" si="200"/>
        <v>441</v>
      </c>
      <c r="BW303" s="39" t="str">
        <f>VLOOKUP($A303,NetAdditions!$A$2:$H$336,6,FALSE)</f>
        <v>Not Applicable</v>
      </c>
      <c r="BX303" s="39">
        <f>VLOOKUP($A303,NetAdditions!$A$2:$H$336,7,FALSE)</f>
        <v>888</v>
      </c>
      <c r="BY303" s="39">
        <f>IF((VLOOKUP($C303,NetAdditions!$A$2:$H$336,8,FALSE))="",(AVERAGE(VLOOKUP($C303,NetAdditions!$A$2:$H$336,5,FALSE),VLOOKUP($C303,NetAdditions!$A$2:$H$336,6,FALSE),VLOOKUP($C303,NetAdditions!$A$2:$H$336,7,FALSE))),VLOOKUP($C303,NetAdditions!$A$2:$H$336,8,FALSE))</f>
        <v>841</v>
      </c>
      <c r="BZ303" s="39">
        <f t="shared" si="244"/>
        <v>864.5</v>
      </c>
      <c r="CA303" s="39">
        <f t="shared" si="244"/>
        <v>864.5</v>
      </c>
      <c r="CB303" s="39">
        <f t="shared" si="244"/>
        <v>856.66666666666663</v>
      </c>
      <c r="CC303" s="39">
        <f t="shared" si="244"/>
        <v>861.8888888888888</v>
      </c>
      <c r="CD303" s="39">
        <f t="shared" si="244"/>
        <v>861.01851851851836</v>
      </c>
      <c r="CE303" s="276">
        <f t="shared" si="202"/>
        <v>2431</v>
      </c>
      <c r="CF303" s="276">
        <f t="shared" si="203"/>
        <v>2051</v>
      </c>
      <c r="CG303" s="276">
        <f t="shared" si="204"/>
        <v>1685</v>
      </c>
      <c r="CH303" s="276">
        <f t="shared" si="205"/>
        <v>1326</v>
      </c>
      <c r="CI303" s="276">
        <f t="shared" si="206"/>
        <v>1330</v>
      </c>
      <c r="CJ303" s="276">
        <f t="shared" si="207"/>
        <v>1325</v>
      </c>
      <c r="CK303" s="276">
        <f t="shared" si="227"/>
        <v>2093.3611111111113</v>
      </c>
      <c r="CL303" s="276">
        <f t="shared" si="228"/>
        <v>1766.1388888888889</v>
      </c>
      <c r="CM303" s="276">
        <f t="shared" si="229"/>
        <v>1544.5833333333333</v>
      </c>
      <c r="CN303" s="276">
        <f t="shared" si="230"/>
        <v>1326</v>
      </c>
      <c r="CO303" s="276">
        <f t="shared" si="230"/>
        <v>1330</v>
      </c>
      <c r="CP303" s="276">
        <f t="shared" si="230"/>
        <v>1325</v>
      </c>
      <c r="CQ303" s="39">
        <f t="shared" si="208"/>
        <v>1729</v>
      </c>
      <c r="CR303" s="39">
        <f t="shared" si="209"/>
        <v>2593.5</v>
      </c>
      <c r="CS303" s="277">
        <f t="shared" si="210"/>
        <v>2570</v>
      </c>
      <c r="CT303" s="39">
        <f t="shared" si="211"/>
        <v>2585.6666666666665</v>
      </c>
      <c r="CU303" s="39">
        <f t="shared" si="212"/>
        <v>2583.0555555555552</v>
      </c>
      <c r="CV303" s="39">
        <f t="shared" si="213"/>
        <v>2579.5740740740739</v>
      </c>
      <c r="CW303" s="297">
        <f t="shared" si="214"/>
        <v>0.82594445402794536</v>
      </c>
      <c r="CX303" s="279" t="str">
        <f t="shared" si="231"/>
        <v>Buffer and Action Plan</v>
      </c>
      <c r="CY303" s="278">
        <f t="shared" si="215"/>
        <v>1.4684575580755257</v>
      </c>
      <c r="CZ303" s="279" t="str">
        <f t="shared" si="232"/>
        <v>Pass</v>
      </c>
      <c r="DA303" s="278">
        <f t="shared" si="216"/>
        <v>1.6638791475586729</v>
      </c>
      <c r="DB303" s="292" t="str">
        <f t="shared" si="233"/>
        <v>Pass</v>
      </c>
      <c r="DC303" s="299">
        <f t="shared" si="234"/>
        <v>1.9499748617395676</v>
      </c>
      <c r="DD303" s="293" t="str">
        <f t="shared" si="235"/>
        <v>Pass</v>
      </c>
      <c r="DE303" s="299">
        <f t="shared" si="236"/>
        <v>1.9421470342522971</v>
      </c>
      <c r="DF303" s="293" t="str">
        <f t="shared" si="237"/>
        <v>Pass</v>
      </c>
      <c r="DG303" s="299">
        <f t="shared" si="238"/>
        <v>1.9468483577917539</v>
      </c>
      <c r="DH303" s="293" t="str">
        <f t="shared" si="239"/>
        <v>Pass</v>
      </c>
    </row>
    <row r="304" spans="1:112" customFormat="1" ht="15.5" thickTop="1" thickBot="1">
      <c r="A304" s="3" t="s">
        <v>718</v>
      </c>
      <c r="B304" s="3" t="s">
        <v>719</v>
      </c>
      <c r="C304" s="3" t="s">
        <v>718</v>
      </c>
      <c r="D304" s="3" t="s">
        <v>131</v>
      </c>
      <c r="E304" s="3" t="str">
        <f>VLOOKUP(C304,PoliticalControl!A:K,11,FALSE)</f>
        <v>CON</v>
      </c>
      <c r="F304" s="3" t="str">
        <f>VLOOKUP(C304,UrbanRuralClassification!A:N,13,FALSE)</f>
        <v>Urban with Major Conurbation</v>
      </c>
      <c r="G304" s="3" t="str">
        <f>VLOOKUP(C304,UrbanRuralClassification!A:N,14,FALSE)</f>
        <v>Predominantly Urban</v>
      </c>
      <c r="H304" s="262">
        <f>IF(ISBLANK((VLOOKUP($A304,'local-plan-data'!$C$1:$AD$566,27,FALSE)))=TRUE,"",VLOOKUP($A304,'local-plan-data'!$C$1:$AD$566,27,FALSE))</f>
        <v>40569</v>
      </c>
      <c r="I304" s="263">
        <f>VLOOKUP($A304,'local-plan-data'!$C$1:$AD$566,28,FALSE)</f>
        <v>1068</v>
      </c>
      <c r="J304" s="264">
        <f t="shared" si="217"/>
        <v>1068</v>
      </c>
      <c r="K304" s="259" t="str">
        <f t="shared" si="247"/>
        <v>-</v>
      </c>
      <c r="L304" s="259" t="str">
        <f t="shared" si="245"/>
        <v>-</v>
      </c>
      <c r="M304" s="259" t="str">
        <f t="shared" si="245"/>
        <v>-</v>
      </c>
      <c r="N304" s="259" t="str">
        <f t="shared" si="245"/>
        <v>-</v>
      </c>
      <c r="O304" s="259" t="str">
        <f t="shared" si="245"/>
        <v>-</v>
      </c>
      <c r="P304" s="259" t="str">
        <f t="shared" si="245"/>
        <v>-</v>
      </c>
      <c r="Q304" s="259" t="str">
        <f t="shared" si="245"/>
        <v>-</v>
      </c>
      <c r="R304" s="259" t="str">
        <f t="shared" si="245"/>
        <v>-</v>
      </c>
      <c r="S304" s="259">
        <f t="shared" si="248"/>
        <v>-796</v>
      </c>
      <c r="T304" s="259">
        <f t="shared" si="246"/>
        <v>-1161</v>
      </c>
      <c r="U304" s="259">
        <f t="shared" si="246"/>
        <v>-1527</v>
      </c>
      <c r="V304" s="259">
        <f t="shared" si="246"/>
        <v>-1892</v>
      </c>
      <c r="W304" s="259">
        <f t="shared" si="246"/>
        <v>-2257</v>
      </c>
      <c r="X304" s="259">
        <f t="shared" si="246"/>
        <v>-2622</v>
      </c>
      <c r="Y304" s="259">
        <f t="shared" si="246"/>
        <v>-2988</v>
      </c>
      <c r="Z304" s="259">
        <f t="shared" si="246"/>
        <v>-3353</v>
      </c>
      <c r="AA304" s="267">
        <f>(VLOOKUP(A304,Hshldprojections2014!$A$2:$AW$319,40, FALSE)-VLOOKUP(A304,Hshldprojections2014!$A$2:$AW$319,30, FALSE))/10</f>
        <v>1699.6</v>
      </c>
      <c r="AB304" s="267">
        <f>(VLOOKUP(A304,Hshldprojections2014!$A$2:$AW$319,41, FALSE)-VLOOKUP(A304,Hshldprojections2014!$A$2:$AW$319,31, FALSE))/10</f>
        <v>1656.9</v>
      </c>
      <c r="AC304" s="267">
        <f>(VLOOKUP(A304,Hshldprojections2014!$A$2:$AW$319,42, FALSE)-VLOOKUP(A304,Hshldprojections2014!$A$2:$AW$319,32, FALSE))/10</f>
        <v>1626.2</v>
      </c>
      <c r="AD304" s="267">
        <f>IF(IndividualLATest!$J$7=2014,(VLOOKUP($A304,Hshldprojections2014!$A$2:$AY$326,43,FALSE)-VLOOKUP($A304,Hshldprojections2014!$A$2:$AY$326,33,FALSE))/10,IF(IndividualLATest!$J$7=2016,(VLOOKUP($A304,Hshldprojections2016!$A$1:$AQ$322,33,FALSE)-VLOOKUP($A304,Hshldprojections2016!$A$1:$AQ$322,23,FALSE))/10,(VLOOKUP($A304,Hshldprojections2018!$A$1:$AQ$327,33,FALSE)-VLOOKUP($A304,Hshldprojections2018!$A$1:$AQ$327,23,FALSE))/10))</f>
        <v>1360.8</v>
      </c>
      <c r="AE304" s="267">
        <f>IF(IndividualLATest!$J$7=2014,(VLOOKUP($A304,Hshldprojections2014!$A$2:$AY$326,44,FALSE)-VLOOKUP($A304,Hshldprojections2014!$A$2:$AY$326,34,FALSE))/10,IF(IndividualLATest!$J$7=2016,(VLOOKUP($A304,Hshldprojections2016!$A$1:$AQ$322,34,FALSE)-VLOOKUP($A304,Hshldprojections2016!$A$1:$AQ$322,24,FALSE))/10,(VLOOKUP($A304,Hshldprojections2018!$A$1:$AQ$327,34,FALSE)-VLOOKUP($A304,Hshldprojections2018!$A$1:$AQ$327,24,FALSE))/10))</f>
        <v>1300.5999999999999</v>
      </c>
      <c r="AF304" s="267">
        <f>IF(IndividualLATest!$J$7=2014,(VLOOKUP($A304,Hshldprojections2014!$A$2:$AY$326,45,FALSE)-VLOOKUP($A304,Hshldprojections2014!$A$2:$AY$326,35,FALSE))/10,IF(IndividualLATest!$J$7=2016,(VLOOKUP($A304,Hshldprojections2016!$A$1:$AQ$322,35,FALSE)-VLOOKUP($A304,Hshldprojections2016!$A$1:$AQ$322,25,FALSE))/10,(VLOOKUP($A304,Hshldprojections2018!$A$1:$AQ$327,35,FALSE)-VLOOKUP($A304,Hshldprojections2018!$A$1:$AQ$327,25,FALSE))/10))</f>
        <v>1255.7</v>
      </c>
      <c r="AG304" s="267">
        <f>IF(IndividualLATest!$J$7=2014,(VLOOKUP($A304,Hshldprojections2014!$A$2:$AY$326,46,FALSE)-VLOOKUP($A304,Hshldprojections2014!$A$2:$AY$326,36,FALSE))/10,IF(IndividualLATest!$J$7=2016,(VLOOKUP($A304,Hshldprojections2016!$A$1:$AQ$322,36,FALSE)-VLOOKUP($A304,Hshldprojections2016!$A$1:$AQ$322,26,FALSE))/10,(VLOOKUP($A304,Hshldprojections2018!$A$1:$AQ$327,36,FALSE)-VLOOKUP($A304,Hshldprojections2018!$A$1:$AQ$327,26,FALSE))/10))</f>
        <v>1222.4000000000001</v>
      </c>
      <c r="AH304" s="267">
        <f>IF(IndividualLATest!$J$7=2014,(VLOOKUP($A304,Hshldprojections2014!$A$2:$AY$326,47,FALSE)-VLOOKUP($A304,Hshldprojections2014!$A$2:$AY$326,37,FALSE))/10,IF(IndividualLATest!$J$7=2016,(VLOOKUP($A304,Hshldprojections2016!$A$1:$AQ$322,37,FALSE)-VLOOKUP($A304,Hshldprojections2016!$A$1:$AQ$322,27,FALSE))/10,(VLOOKUP($A304,Hshldprojections2018!$A$1:$AQ$327,37,FALSE)-VLOOKUP($A304,Hshldprojections2018!$A$1:$AQ$327,27,FALSE))/10))</f>
        <v>1200.9000000000001</v>
      </c>
      <c r="AI304" s="268">
        <f>IF(ISNUMBER('Sensitivity Tests'!$C$30),'Sensitivity Tests'!$C$30,VLOOKUP($A304,AffordabilityRatio!$A$2:$I$321,5,FALSE))</f>
        <v>24.91</v>
      </c>
      <c r="AJ304" s="268">
        <f>IF(ISNUMBER('Sensitivity Tests'!$C$30),'Sensitivity Tests'!$C$30,VLOOKUP($A304,AffordabilityRatio!$A$2:$I$321,6,FALSE))</f>
        <v>24.53</v>
      </c>
      <c r="AK304" s="268">
        <f>IF(ISNUMBER('Sensitivity Tests'!$C$30),'Sensitivity Tests'!$C$30,VLOOKUP($A304,AffordabilityRatio!$A$2:$I$321,7,FALSE))</f>
        <v>21.71</v>
      </c>
      <c r="AL304" s="268">
        <f>IF(ISNUMBER('Sensitivity Tests'!$C$30),'Sensitivity Tests'!$C$30,IF((VLOOKUP($A304,AffordabilityRatio!$A$2:$I$321,8,FALSE))="",AK304,VLOOKUP($A304,AffordabilityRatio!$A$2:$I$321,8,FALSE)))</f>
        <v>21.4</v>
      </c>
      <c r="AM304" s="268">
        <f>IF(ISNUMBER('Sensitivity Tests'!$C$30),'Sensitivity Tests'!$C$30,IF((VLOOKUP($A304,AffordabilityRatio!$A$2:$I$321,9,FALSE))="",AL304,VLOOKUP($A304,AffordabilityRatio!$A$2:$I$321,9,FALSE)))</f>
        <v>18.88</v>
      </c>
      <c r="AN304" s="268">
        <f>IF(ISNUMBER('Sensitivity Tests'!$C$30),'Sensitivity Tests'!$C$30,IF((VLOOKUP($A304,AffordabilityRatio!$A$2:$I$321,9,FALSE))="",AM304,VLOOKUP($A304,AffordabilityRatio!$A$2:$I$321,9,FALSE)))</f>
        <v>18.88</v>
      </c>
      <c r="AO304" s="268">
        <f>IF(ISNUMBER('Sensitivity Tests'!$C$30),'Sensitivity Tests'!$C$30,IF((VLOOKUP($A304,AffordabilityRatio!$A$2:$I$321,9,FALSE))="",AN304,VLOOKUP($A304,AffordabilityRatio!$A$2:$I$321,9,FALSE)))</f>
        <v>18.88</v>
      </c>
      <c r="AP304" s="268">
        <f>IF(ISNUMBER('Sensitivity Tests'!$C$30),'Sensitivity Tests'!$C$30,IF((VLOOKUP($A304,AffordabilityRatio!$A$2:$I$321,9,FALSE))="",AO304,VLOOKUP($A304,AffordabilityRatio!$A$2:$I$321,9,FALSE)))</f>
        <v>18.88</v>
      </c>
      <c r="AQ304" s="267">
        <f t="shared" si="243"/>
        <v>3921</v>
      </c>
      <c r="AR304" s="267">
        <f t="shared" si="243"/>
        <v>3783</v>
      </c>
      <c r="AS304" s="267">
        <f t="shared" si="243"/>
        <v>3426</v>
      </c>
      <c r="AT304" s="267">
        <f t="shared" si="242"/>
        <v>2841</v>
      </c>
      <c r="AU304" s="267">
        <f t="shared" si="242"/>
        <v>2510</v>
      </c>
      <c r="AV304" s="267">
        <f t="shared" si="242"/>
        <v>2424</v>
      </c>
      <c r="AW304" s="267">
        <f t="shared" si="242"/>
        <v>2359</v>
      </c>
      <c r="AX304" s="267">
        <f t="shared" si="242"/>
        <v>2318</v>
      </c>
      <c r="AY304" s="267">
        <f t="shared" si="218"/>
        <v>2379.44</v>
      </c>
      <c r="AZ304" s="267">
        <f t="shared" si="219"/>
        <v>2319.6600000000003</v>
      </c>
      <c r="BA304" s="267">
        <f t="shared" si="220"/>
        <v>2276.6800000000003</v>
      </c>
      <c r="BB304" s="267">
        <f t="shared" si="221"/>
        <v>1905.12</v>
      </c>
      <c r="BC304" s="267">
        <f t="shared" si="222"/>
        <v>1820.84</v>
      </c>
      <c r="BD304" s="267">
        <f t="shared" si="223"/>
        <v>1757.98</v>
      </c>
      <c r="BE304" s="267">
        <f t="shared" si="224"/>
        <v>1711.3600000000001</v>
      </c>
      <c r="BF304" s="267">
        <f t="shared" si="225"/>
        <v>1681.2600000000002</v>
      </c>
      <c r="BG304" s="269">
        <f>AY304*VLOOKUP($B304,'Major Cities &amp; Towns'!$A$28:$B$345,2,FALSE)</f>
        <v>3212.2440000000001</v>
      </c>
      <c r="BH304" s="269">
        <f>AZ304*VLOOKUP($B304,'Major Cities &amp; Towns'!$A$28:$B$345,2,FALSE)</f>
        <v>3131.5410000000006</v>
      </c>
      <c r="BI304" s="269">
        <f>BA304*VLOOKUP($B304,'Major Cities &amp; Towns'!$A$28:$B$345,2,FALSE)</f>
        <v>3073.5180000000005</v>
      </c>
      <c r="BJ304" s="269">
        <f>BB304*VLOOKUP($B304,'Major Cities &amp; Towns'!$A$28:$B$345,2,FALSE)</f>
        <v>2571.9119999999998</v>
      </c>
      <c r="BK304" s="269">
        <f>BC304*VLOOKUP($B304,'Major Cities &amp; Towns'!$A$28:$B$345,2,FALSE)</f>
        <v>2458.134</v>
      </c>
      <c r="BL304" s="269">
        <f>BD304*VLOOKUP($B304,'Major Cities &amp; Towns'!$A$28:$B$345,2,FALSE)</f>
        <v>2373.2730000000001</v>
      </c>
      <c r="BM304" s="269">
        <f>BE304*VLOOKUP($B304,'Major Cities &amp; Towns'!$A$28:$B$345,2,FALSE)</f>
        <v>2310.3360000000002</v>
      </c>
      <c r="BN304" s="269">
        <f>BF304*VLOOKUP($B304,'Major Cities &amp; Towns'!$A$28:$B$345,2,FALSE)</f>
        <v>2269.7010000000005</v>
      </c>
      <c r="BO304" s="270">
        <f t="shared" si="226"/>
        <v>3921</v>
      </c>
      <c r="BP304" s="270">
        <f t="shared" si="201"/>
        <v>3783</v>
      </c>
      <c r="BQ304" s="270">
        <f t="shared" si="201"/>
        <v>3426</v>
      </c>
      <c r="BR304" s="270">
        <f t="shared" si="201"/>
        <v>2841</v>
      </c>
      <c r="BS304" s="270">
        <f t="shared" si="200"/>
        <v>2510</v>
      </c>
      <c r="BT304" s="270">
        <f t="shared" si="200"/>
        <v>2424</v>
      </c>
      <c r="BU304" s="270">
        <f t="shared" si="200"/>
        <v>2359</v>
      </c>
      <c r="BV304" s="270">
        <f t="shared" si="200"/>
        <v>2318</v>
      </c>
      <c r="BW304" s="39">
        <f>VLOOKUP($A304,NetAdditions!$A$2:$H$336,6,FALSE)</f>
        <v>803</v>
      </c>
      <c r="BX304" s="39">
        <f>VLOOKUP($A304,NetAdditions!$A$2:$H$336,7,FALSE)</f>
        <v>1110</v>
      </c>
      <c r="BY304" s="39">
        <f>IF((VLOOKUP($C304,NetAdditions!$A$2:$H$336,8,FALSE))="",(AVERAGE(VLOOKUP($C304,NetAdditions!$A$2:$H$336,5,FALSE),VLOOKUP($C304,NetAdditions!$A$2:$H$336,6,FALSE),VLOOKUP($C304,NetAdditions!$A$2:$H$336,7,FALSE))),VLOOKUP($C304,NetAdditions!$A$2:$H$336,8,FALSE))</f>
        <v>580</v>
      </c>
      <c r="BZ304" s="39">
        <f t="shared" si="244"/>
        <v>831</v>
      </c>
      <c r="CA304" s="39">
        <f t="shared" si="244"/>
        <v>840.33333333333337</v>
      </c>
      <c r="CB304" s="39">
        <f t="shared" si="244"/>
        <v>750.44444444444446</v>
      </c>
      <c r="CC304" s="39">
        <f t="shared" si="244"/>
        <v>807.25925925925924</v>
      </c>
      <c r="CD304" s="39">
        <f t="shared" si="244"/>
        <v>799.34567901234561</v>
      </c>
      <c r="CE304" s="276">
        <f t="shared" si="202"/>
        <v>11130</v>
      </c>
      <c r="CF304" s="276">
        <f t="shared" si="203"/>
        <v>10050</v>
      </c>
      <c r="CG304" s="276">
        <f t="shared" si="204"/>
        <v>8777</v>
      </c>
      <c r="CH304" s="276">
        <f t="shared" si="205"/>
        <v>7775</v>
      </c>
      <c r="CI304" s="276">
        <f t="shared" si="206"/>
        <v>7293</v>
      </c>
      <c r="CJ304" s="276">
        <f t="shared" si="207"/>
        <v>7101</v>
      </c>
      <c r="CK304" s="276">
        <f t="shared" si="227"/>
        <v>9584.1666666666679</v>
      </c>
      <c r="CL304" s="276">
        <f t="shared" si="228"/>
        <v>8654.1666666666679</v>
      </c>
      <c r="CM304" s="276">
        <f t="shared" si="229"/>
        <v>8045.583333333333</v>
      </c>
      <c r="CN304" s="276">
        <f t="shared" si="230"/>
        <v>7775</v>
      </c>
      <c r="CO304" s="276">
        <f t="shared" si="230"/>
        <v>7293</v>
      </c>
      <c r="CP304" s="276">
        <f t="shared" si="230"/>
        <v>7101</v>
      </c>
      <c r="CQ304" s="39">
        <f t="shared" si="208"/>
        <v>2493</v>
      </c>
      <c r="CR304" s="39">
        <f t="shared" si="209"/>
        <v>2521</v>
      </c>
      <c r="CS304" s="277">
        <f t="shared" si="210"/>
        <v>2251.3333333333335</v>
      </c>
      <c r="CT304" s="39">
        <f t="shared" si="211"/>
        <v>2421.7777777777778</v>
      </c>
      <c r="CU304" s="39">
        <f t="shared" si="212"/>
        <v>2398.037037037037</v>
      </c>
      <c r="CV304" s="39">
        <f t="shared" si="213"/>
        <v>2357.0493827160494</v>
      </c>
      <c r="CW304" s="297">
        <f t="shared" si="214"/>
        <v>0.26011651160768623</v>
      </c>
      <c r="CX304" s="279" t="str">
        <f t="shared" si="231"/>
        <v>Buffer and Action Plan</v>
      </c>
      <c r="CY304" s="278">
        <f t="shared" si="215"/>
        <v>0.29130476649012993</v>
      </c>
      <c r="CZ304" s="279" t="str">
        <f t="shared" si="232"/>
        <v>Presumption</v>
      </c>
      <c r="DA304" s="278">
        <f t="shared" si="216"/>
        <v>0.27982226273214084</v>
      </c>
      <c r="DB304" s="292" t="str">
        <f t="shared" si="233"/>
        <v>Presumption</v>
      </c>
      <c r="DC304" s="299">
        <f t="shared" si="234"/>
        <v>0.31148267238299393</v>
      </c>
      <c r="DD304" s="293" t="str">
        <f t="shared" si="235"/>
        <v>Presumption</v>
      </c>
      <c r="DE304" s="299">
        <f t="shared" si="236"/>
        <v>0.32881352489195625</v>
      </c>
      <c r="DF304" s="293" t="str">
        <f t="shared" si="237"/>
        <v>Presumption</v>
      </c>
      <c r="DG304" s="299">
        <f t="shared" si="238"/>
        <v>0.33193203530714682</v>
      </c>
      <c r="DH304" s="293" t="str">
        <f t="shared" si="239"/>
        <v>Presumption</v>
      </c>
    </row>
    <row r="305" spans="1:112" ht="15" thickTop="1" thickBot="1">
      <c r="A305" s="38" t="s">
        <v>720</v>
      </c>
      <c r="B305" s="38" t="s">
        <v>721</v>
      </c>
      <c r="C305" s="38" t="s">
        <v>720</v>
      </c>
      <c r="D305" s="38" t="s">
        <v>116</v>
      </c>
      <c r="E305" s="38" t="str">
        <f>VLOOKUP(C305,PoliticalControl!A:K,11,FALSE)</f>
        <v>LAB</v>
      </c>
      <c r="F305" s="38" t="str">
        <f>VLOOKUP(C305,UrbanRuralClassification!A:N,13,FALSE)</f>
        <v>Urban with Major Conurbation</v>
      </c>
      <c r="G305" s="38" t="str">
        <f>VLOOKUP(C305,UrbanRuralClassification!A:N,14,FALSE)</f>
        <v>Predominantly Urban</v>
      </c>
      <c r="H305" s="258">
        <f>IF(ISBLANK((VLOOKUP($A305,'local-plan-data'!$C$1:$AD$566,27,FALSE)))=TRUE,"",VLOOKUP($A305,'local-plan-data'!$C$1:$AD$566,27,FALSE))</f>
        <v>41528</v>
      </c>
      <c r="I305" s="259">
        <f>VLOOKUP($A305,'local-plan-data'!$C$1:$AD$566,28,FALSE)</f>
        <v>1000</v>
      </c>
      <c r="J305" s="260">
        <f t="shared" si="217"/>
        <v>1000</v>
      </c>
      <c r="K305" s="259">
        <f t="shared" si="247"/>
        <v>1000</v>
      </c>
      <c r="L305" s="259" t="str">
        <f t="shared" si="245"/>
        <v>-</v>
      </c>
      <c r="M305" s="259" t="str">
        <f t="shared" si="245"/>
        <v>-</v>
      </c>
      <c r="N305" s="259" t="str">
        <f t="shared" si="245"/>
        <v>-</v>
      </c>
      <c r="O305" s="259" t="str">
        <f t="shared" si="245"/>
        <v>-</v>
      </c>
      <c r="P305" s="259" t="str">
        <f t="shared" si="245"/>
        <v>-</v>
      </c>
      <c r="Q305" s="259" t="str">
        <f t="shared" si="245"/>
        <v>-</v>
      </c>
      <c r="R305" s="259" t="str">
        <f t="shared" si="245"/>
        <v>-</v>
      </c>
      <c r="S305" s="259">
        <f t="shared" si="248"/>
        <v>163</v>
      </c>
      <c r="T305" s="259">
        <f t="shared" si="246"/>
        <v>-202</v>
      </c>
      <c r="U305" s="259">
        <f t="shared" si="246"/>
        <v>-568</v>
      </c>
      <c r="V305" s="259">
        <f t="shared" si="246"/>
        <v>-933</v>
      </c>
      <c r="W305" s="259">
        <f t="shared" si="246"/>
        <v>-1298</v>
      </c>
      <c r="X305" s="259">
        <f t="shared" si="246"/>
        <v>-1663</v>
      </c>
      <c r="Y305" s="259">
        <f t="shared" si="246"/>
        <v>-2029</v>
      </c>
      <c r="Z305" s="259">
        <f t="shared" si="246"/>
        <v>-2394</v>
      </c>
      <c r="AA305" s="267">
        <f>(VLOOKUP(A305,Hshldprojections2014!$A$2:$AW$319,40, FALSE)-VLOOKUP(A305,Hshldprojections2014!$A$2:$AW$319,30, FALSE))/10</f>
        <v>871.4</v>
      </c>
      <c r="AB305" s="267">
        <f>(VLOOKUP(A305,Hshldprojections2014!$A$2:$AW$319,41, FALSE)-VLOOKUP(A305,Hshldprojections2014!$A$2:$AW$319,31, FALSE))/10</f>
        <v>841.8</v>
      </c>
      <c r="AC305" s="267">
        <f>(VLOOKUP(A305,Hshldprojections2014!$A$2:$AW$319,42, FALSE)-VLOOKUP(A305,Hshldprojections2014!$A$2:$AW$319,32, FALSE))/10</f>
        <v>816.4</v>
      </c>
      <c r="AD305" s="267">
        <f>IF(IndividualLATest!$J$7=2014,(VLOOKUP($A305,Hshldprojections2014!$A$2:$AY$326,43,FALSE)-VLOOKUP($A305,Hshldprojections2014!$A$2:$AY$326,33,FALSE))/10,IF(IndividualLATest!$J$7=2016,(VLOOKUP($A305,Hshldprojections2016!$A$1:$AQ$322,33,FALSE)-VLOOKUP($A305,Hshldprojections2016!$A$1:$AQ$322,23,FALSE))/10,(VLOOKUP($A305,Hshldprojections2018!$A$1:$AQ$327,33,FALSE)-VLOOKUP($A305,Hshldprojections2018!$A$1:$AQ$327,23,FALSE))/10))</f>
        <v>724.4</v>
      </c>
      <c r="AE305" s="267">
        <f>IF(IndividualLATest!$J$7=2014,(VLOOKUP($A305,Hshldprojections2014!$A$2:$AY$326,44,FALSE)-VLOOKUP($A305,Hshldprojections2014!$A$2:$AY$326,34,FALSE))/10,IF(IndividualLATest!$J$7=2016,(VLOOKUP($A305,Hshldprojections2016!$A$1:$AQ$322,34,FALSE)-VLOOKUP($A305,Hshldprojections2016!$A$1:$AQ$322,24,FALSE))/10,(VLOOKUP($A305,Hshldprojections2018!$A$1:$AQ$327,34,FALSE)-VLOOKUP($A305,Hshldprojections2018!$A$1:$AQ$327,24,FALSE))/10))</f>
        <v>699.2</v>
      </c>
      <c r="AF305" s="267">
        <f>IF(IndividualLATest!$J$7=2014,(VLOOKUP($A305,Hshldprojections2014!$A$2:$AY$326,45,FALSE)-VLOOKUP($A305,Hshldprojections2014!$A$2:$AY$326,35,FALSE))/10,IF(IndividualLATest!$J$7=2016,(VLOOKUP($A305,Hshldprojections2016!$A$1:$AQ$322,35,FALSE)-VLOOKUP($A305,Hshldprojections2016!$A$1:$AQ$322,25,FALSE))/10,(VLOOKUP($A305,Hshldprojections2018!$A$1:$AQ$327,35,FALSE)-VLOOKUP($A305,Hshldprojections2018!$A$1:$AQ$327,25,FALSE))/10))</f>
        <v>683.3</v>
      </c>
      <c r="AG305" s="267">
        <f>IF(IndividualLATest!$J$7=2014,(VLOOKUP($A305,Hshldprojections2014!$A$2:$AY$326,46,FALSE)-VLOOKUP($A305,Hshldprojections2014!$A$2:$AY$326,36,FALSE))/10,IF(IndividualLATest!$J$7=2016,(VLOOKUP($A305,Hshldprojections2016!$A$1:$AQ$322,36,FALSE)-VLOOKUP($A305,Hshldprojections2016!$A$1:$AQ$322,26,FALSE))/10,(VLOOKUP($A305,Hshldprojections2018!$A$1:$AQ$327,36,FALSE)-VLOOKUP($A305,Hshldprojections2018!$A$1:$AQ$327,26,FALSE))/10))</f>
        <v>673.8</v>
      </c>
      <c r="AH305" s="267">
        <f>IF(IndividualLATest!$J$7=2014,(VLOOKUP($A305,Hshldprojections2014!$A$2:$AY$326,47,FALSE)-VLOOKUP($A305,Hshldprojections2014!$A$2:$AY$326,37,FALSE))/10,IF(IndividualLATest!$J$7=2016,(VLOOKUP($A305,Hshldprojections2016!$A$1:$AQ$322,37,FALSE)-VLOOKUP($A305,Hshldprojections2016!$A$1:$AQ$322,27,FALSE))/10,(VLOOKUP($A305,Hshldprojections2018!$A$1:$AQ$327,37,FALSE)-VLOOKUP($A305,Hshldprojections2018!$A$1:$AQ$327,27,FALSE))/10))</f>
        <v>671.1</v>
      </c>
      <c r="AI305" s="268">
        <f>IF(ISNUMBER('Sensitivity Tests'!$C$30),'Sensitivity Tests'!$C$30,VLOOKUP($A305,AffordabilityRatio!$A$2:$I$321,5,FALSE))</f>
        <v>5.37</v>
      </c>
      <c r="AJ305" s="268">
        <f>IF(ISNUMBER('Sensitivity Tests'!$C$30),'Sensitivity Tests'!$C$30,VLOOKUP($A305,AffordabilityRatio!$A$2:$I$321,6,FALSE))</f>
        <v>5.37</v>
      </c>
      <c r="AK305" s="268">
        <f>IF(ISNUMBER('Sensitivity Tests'!$C$30),'Sensitivity Tests'!$C$30,VLOOKUP($A305,AffordabilityRatio!$A$2:$I$321,7,FALSE))</f>
        <v>5.8</v>
      </c>
      <c r="AL305" s="268">
        <f>IF(ISNUMBER('Sensitivity Tests'!$C$30),'Sensitivity Tests'!$C$30,IF((VLOOKUP($A305,AffordabilityRatio!$A$2:$I$321,8,FALSE))="",AK305,VLOOKUP($A305,AffordabilityRatio!$A$2:$I$321,8,FALSE)))</f>
        <v>5.68</v>
      </c>
      <c r="AM305" s="268">
        <f>IF(ISNUMBER('Sensitivity Tests'!$C$30),'Sensitivity Tests'!$C$30,IF((VLOOKUP($A305,AffordabilityRatio!$A$2:$I$321,9,FALSE))="",AL305,VLOOKUP($A305,AffordabilityRatio!$A$2:$I$321,9,FALSE)))</f>
        <v>5.67</v>
      </c>
      <c r="AN305" s="268">
        <f>IF(ISNUMBER('Sensitivity Tests'!$C$30),'Sensitivity Tests'!$C$30,IF((VLOOKUP($A305,AffordabilityRatio!$A$2:$I$321,9,FALSE))="",AM305,VLOOKUP($A305,AffordabilityRatio!$A$2:$I$321,9,FALSE)))</f>
        <v>5.67</v>
      </c>
      <c r="AO305" s="268">
        <f>IF(ISNUMBER('Sensitivity Tests'!$C$30),'Sensitivity Tests'!$C$30,IF((VLOOKUP($A305,AffordabilityRatio!$A$2:$I$321,9,FALSE))="",AN305,VLOOKUP($A305,AffordabilityRatio!$A$2:$I$321,9,FALSE)))</f>
        <v>5.67</v>
      </c>
      <c r="AP305" s="268">
        <f>IF(ISNUMBER('Sensitivity Tests'!$C$30),'Sensitivity Tests'!$C$30,IF((VLOOKUP($A305,AffordabilityRatio!$A$2:$I$321,9,FALSE))="",AO305,VLOOKUP($A305,AffordabilityRatio!$A$2:$I$321,9,FALSE)))</f>
        <v>5.67</v>
      </c>
      <c r="AQ305" s="267">
        <f t="shared" si="243"/>
        <v>946</v>
      </c>
      <c r="AR305" s="267">
        <f t="shared" si="243"/>
        <v>914</v>
      </c>
      <c r="AS305" s="267">
        <f t="shared" si="243"/>
        <v>908</v>
      </c>
      <c r="AT305" s="267">
        <f t="shared" si="242"/>
        <v>800</v>
      </c>
      <c r="AU305" s="267">
        <f t="shared" si="242"/>
        <v>772</v>
      </c>
      <c r="AV305" s="267">
        <f t="shared" si="242"/>
        <v>755</v>
      </c>
      <c r="AW305" s="267">
        <f t="shared" si="242"/>
        <v>744</v>
      </c>
      <c r="AX305" s="267">
        <f t="shared" si="242"/>
        <v>741</v>
      </c>
      <c r="AY305" s="267">
        <f t="shared" si="218"/>
        <v>946</v>
      </c>
      <c r="AZ305" s="267">
        <f t="shared" si="219"/>
        <v>914</v>
      </c>
      <c r="BA305" s="267">
        <f t="shared" si="220"/>
        <v>908</v>
      </c>
      <c r="BB305" s="267">
        <f t="shared" si="221"/>
        <v>800</v>
      </c>
      <c r="BC305" s="267">
        <f t="shared" si="222"/>
        <v>772</v>
      </c>
      <c r="BD305" s="267">
        <f t="shared" si="223"/>
        <v>755</v>
      </c>
      <c r="BE305" s="267">
        <f t="shared" si="224"/>
        <v>744</v>
      </c>
      <c r="BF305" s="267">
        <f t="shared" si="225"/>
        <v>741</v>
      </c>
      <c r="BG305" s="269">
        <f>AY305*VLOOKUP($B305,'Major Cities &amp; Towns'!$A$28:$B$345,2,FALSE)</f>
        <v>946</v>
      </c>
      <c r="BH305" s="269">
        <f>AZ305*VLOOKUP($B305,'Major Cities &amp; Towns'!$A$28:$B$345,2,FALSE)</f>
        <v>914</v>
      </c>
      <c r="BI305" s="269">
        <f>BA305*VLOOKUP($B305,'Major Cities &amp; Towns'!$A$28:$B$345,2,FALSE)</f>
        <v>908</v>
      </c>
      <c r="BJ305" s="269">
        <f>BB305*VLOOKUP($B305,'Major Cities &amp; Towns'!$A$28:$B$345,2,FALSE)</f>
        <v>800</v>
      </c>
      <c r="BK305" s="269">
        <f>BC305*VLOOKUP($B305,'Major Cities &amp; Towns'!$A$28:$B$345,2,FALSE)</f>
        <v>772</v>
      </c>
      <c r="BL305" s="269">
        <f>BD305*VLOOKUP($B305,'Major Cities &amp; Towns'!$A$28:$B$345,2,FALSE)</f>
        <v>755</v>
      </c>
      <c r="BM305" s="269">
        <f>BE305*VLOOKUP($B305,'Major Cities &amp; Towns'!$A$28:$B$345,2,FALSE)</f>
        <v>744</v>
      </c>
      <c r="BN305" s="269">
        <f>BF305*VLOOKUP($B305,'Major Cities &amp; Towns'!$A$28:$B$345,2,FALSE)</f>
        <v>741</v>
      </c>
      <c r="BO305" s="270">
        <f t="shared" si="226"/>
        <v>946</v>
      </c>
      <c r="BP305" s="270">
        <f t="shared" si="201"/>
        <v>914</v>
      </c>
      <c r="BQ305" s="270">
        <f t="shared" si="201"/>
        <v>908</v>
      </c>
      <c r="BR305" s="270">
        <f t="shared" si="201"/>
        <v>800</v>
      </c>
      <c r="BS305" s="270">
        <f t="shared" si="200"/>
        <v>772</v>
      </c>
      <c r="BT305" s="270">
        <f t="shared" si="200"/>
        <v>755</v>
      </c>
      <c r="BU305" s="270">
        <f t="shared" si="200"/>
        <v>744</v>
      </c>
      <c r="BV305" s="270">
        <f t="shared" si="200"/>
        <v>741</v>
      </c>
      <c r="BW305" s="39">
        <f>VLOOKUP($A305,NetAdditions!$A$2:$H$336,6,FALSE)</f>
        <v>1350</v>
      </c>
      <c r="BX305" s="39">
        <f>VLOOKUP($A305,NetAdditions!$A$2:$H$336,7,FALSE)</f>
        <v>1367</v>
      </c>
      <c r="BY305" s="39">
        <f>IF((VLOOKUP($C305,NetAdditions!$A$2:$H$336,8,FALSE))="",(AVERAGE(VLOOKUP($C305,NetAdditions!$A$2:$H$336,5,FALSE),VLOOKUP($C305,NetAdditions!$A$2:$H$336,6,FALSE),VLOOKUP($C305,NetAdditions!$A$2:$H$336,7,FALSE))),VLOOKUP($C305,NetAdditions!$A$2:$H$336,8,FALSE))</f>
        <v>1439</v>
      </c>
      <c r="BZ305" s="39">
        <f t="shared" si="244"/>
        <v>1385.3333333333333</v>
      </c>
      <c r="CA305" s="39">
        <f t="shared" si="244"/>
        <v>1397.1111111111111</v>
      </c>
      <c r="CB305" s="39">
        <f t="shared" si="244"/>
        <v>1407.148148148148</v>
      </c>
      <c r="CC305" s="39">
        <f t="shared" si="244"/>
        <v>1396.5308641975307</v>
      </c>
      <c r="CD305" s="39">
        <f t="shared" si="244"/>
        <v>1400.2633744855966</v>
      </c>
      <c r="CE305" s="276">
        <f t="shared" si="202"/>
        <v>2768</v>
      </c>
      <c r="CF305" s="276">
        <f t="shared" si="203"/>
        <v>2622</v>
      </c>
      <c r="CG305" s="276">
        <f t="shared" si="204"/>
        <v>2480</v>
      </c>
      <c r="CH305" s="276">
        <f t="shared" si="205"/>
        <v>2327</v>
      </c>
      <c r="CI305" s="276">
        <f t="shared" si="206"/>
        <v>2271</v>
      </c>
      <c r="CJ305" s="276">
        <f t="shared" si="207"/>
        <v>2240</v>
      </c>
      <c r="CK305" s="276">
        <f t="shared" si="227"/>
        <v>2383.5555555555557</v>
      </c>
      <c r="CL305" s="276">
        <f t="shared" si="228"/>
        <v>2257.8333333333335</v>
      </c>
      <c r="CM305" s="276">
        <f t="shared" si="229"/>
        <v>2273.333333333333</v>
      </c>
      <c r="CN305" s="276">
        <f t="shared" si="230"/>
        <v>2327</v>
      </c>
      <c r="CO305" s="276">
        <f t="shared" si="230"/>
        <v>2271</v>
      </c>
      <c r="CP305" s="276">
        <f t="shared" si="230"/>
        <v>2240</v>
      </c>
      <c r="CQ305" s="39">
        <f t="shared" si="208"/>
        <v>4156</v>
      </c>
      <c r="CR305" s="39">
        <f t="shared" si="209"/>
        <v>4191.333333333333</v>
      </c>
      <c r="CS305" s="277">
        <f t="shared" si="210"/>
        <v>4221.4444444444443</v>
      </c>
      <c r="CT305" s="39">
        <f t="shared" si="211"/>
        <v>4189.5925925925922</v>
      </c>
      <c r="CU305" s="39">
        <f t="shared" si="212"/>
        <v>4200.7901234567898</v>
      </c>
      <c r="CV305" s="39">
        <f t="shared" si="213"/>
        <v>4203.9423868312751</v>
      </c>
      <c r="CW305" s="297">
        <f t="shared" si="214"/>
        <v>1.7436136490770091</v>
      </c>
      <c r="CX305" s="279" t="str">
        <f t="shared" si="231"/>
        <v>Pass</v>
      </c>
      <c r="CY305" s="278">
        <f t="shared" si="215"/>
        <v>1.8563519598435074</v>
      </c>
      <c r="CZ305" s="279" t="str">
        <f t="shared" si="232"/>
        <v>Pass</v>
      </c>
      <c r="DA305" s="278">
        <f t="shared" si="216"/>
        <v>1.8569403714565007</v>
      </c>
      <c r="DB305" s="292" t="str">
        <f t="shared" si="233"/>
        <v>Pass</v>
      </c>
      <c r="DC305" s="299">
        <f t="shared" si="234"/>
        <v>1.8004265546164986</v>
      </c>
      <c r="DD305" s="293" t="str">
        <f t="shared" si="235"/>
        <v>Pass</v>
      </c>
      <c r="DE305" s="299">
        <f t="shared" si="236"/>
        <v>1.8497534669558739</v>
      </c>
      <c r="DF305" s="293" t="str">
        <f t="shared" si="237"/>
        <v>Pass</v>
      </c>
      <c r="DG305" s="299">
        <f t="shared" si="238"/>
        <v>1.8767599941211051</v>
      </c>
      <c r="DH305" s="293" t="str">
        <f t="shared" si="239"/>
        <v>Pass</v>
      </c>
    </row>
    <row r="306" spans="1:112" ht="15" thickTop="1" thickBot="1">
      <c r="A306" s="38" t="s">
        <v>722</v>
      </c>
      <c r="B306" s="38" t="s">
        <v>723</v>
      </c>
      <c r="C306" s="38" t="s">
        <v>722</v>
      </c>
      <c r="D306" s="38" t="s">
        <v>147</v>
      </c>
      <c r="E306" s="38" t="str">
        <f>VLOOKUP(C306,PoliticalControl!A:K,11,FALSE)</f>
        <v>CON</v>
      </c>
      <c r="F306" s="38" t="str">
        <f>VLOOKUP(C306,UrbanRuralClassification!A:N,13,FALSE)</f>
        <v xml:space="preserve">Largely Rural (rural including hub towns 50-79%) </v>
      </c>
      <c r="G306" s="38" t="str">
        <f>VLOOKUP(C306,UrbanRuralClassification!A:N,14,FALSE)</f>
        <v>Predominantly Rural</v>
      </c>
      <c r="H306" s="258">
        <f>IF(ISBLANK((VLOOKUP($A306,'local-plan-data'!$C$1:$AD$566,27,FALSE)))=TRUE,"",VLOOKUP($A306,'local-plan-data'!$C$1:$AD$566,27,FALSE))</f>
        <v>42024</v>
      </c>
      <c r="I306" s="259">
        <f>VLOOKUP($A306,'local-plan-data'!$C$1:$AD$566,28,FALSE)</f>
        <v>2100</v>
      </c>
      <c r="J306" s="260">
        <f t="shared" si="217"/>
        <v>2100</v>
      </c>
      <c r="K306" s="259">
        <f t="shared" si="247"/>
        <v>2100</v>
      </c>
      <c r="L306" s="259">
        <f t="shared" si="245"/>
        <v>2100</v>
      </c>
      <c r="M306" s="259" t="str">
        <f t="shared" si="245"/>
        <v>-</v>
      </c>
      <c r="N306" s="259" t="str">
        <f t="shared" si="245"/>
        <v>-</v>
      </c>
      <c r="O306" s="259" t="str">
        <f t="shared" si="245"/>
        <v>-</v>
      </c>
      <c r="P306" s="259" t="str">
        <f t="shared" si="245"/>
        <v>-</v>
      </c>
      <c r="Q306" s="259" t="str">
        <f t="shared" si="245"/>
        <v>-</v>
      </c>
      <c r="R306" s="259" t="str">
        <f t="shared" si="245"/>
        <v>-</v>
      </c>
      <c r="S306" s="259">
        <f t="shared" si="248"/>
        <v>659</v>
      </c>
      <c r="T306" s="259">
        <f t="shared" si="246"/>
        <v>294</v>
      </c>
      <c r="U306" s="259">
        <f t="shared" si="246"/>
        <v>-72</v>
      </c>
      <c r="V306" s="259">
        <f t="shared" si="246"/>
        <v>-437</v>
      </c>
      <c r="W306" s="259">
        <f t="shared" si="246"/>
        <v>-802</v>
      </c>
      <c r="X306" s="259">
        <f t="shared" si="246"/>
        <v>-1167</v>
      </c>
      <c r="Y306" s="259">
        <f t="shared" si="246"/>
        <v>-1533</v>
      </c>
      <c r="Z306" s="259">
        <f t="shared" si="246"/>
        <v>-1898</v>
      </c>
      <c r="AA306" s="267">
        <f>(VLOOKUP(A306,Hshldprojections2014!$A$2:$AW$319,40, FALSE)-VLOOKUP(A306,Hshldprojections2014!$A$2:$AW$319,30, FALSE))/10</f>
        <v>1518.6</v>
      </c>
      <c r="AB306" s="267">
        <f>(VLOOKUP(A306,Hshldprojections2014!$A$2:$AW$319,41, FALSE)-VLOOKUP(A306,Hshldprojections2014!$A$2:$AW$319,31, FALSE))/10</f>
        <v>1497.2</v>
      </c>
      <c r="AC306" s="267">
        <f>(VLOOKUP(A306,Hshldprojections2014!$A$2:$AW$319,42, FALSE)-VLOOKUP(A306,Hshldprojections2014!$A$2:$AW$319,32, FALSE))/10</f>
        <v>1484.1</v>
      </c>
      <c r="AD306" s="267">
        <f>IF(IndividualLATest!$J$7=2014,(VLOOKUP($A306,Hshldprojections2014!$A$2:$AY$326,43,FALSE)-VLOOKUP($A306,Hshldprojections2014!$A$2:$AY$326,33,FALSE))/10,IF(IndividualLATest!$J$7=2016,(VLOOKUP($A306,Hshldprojections2016!$A$1:$AQ$322,33,FALSE)-VLOOKUP($A306,Hshldprojections2016!$A$1:$AQ$322,23,FALSE))/10,(VLOOKUP($A306,Hshldprojections2018!$A$1:$AQ$327,33,FALSE)-VLOOKUP($A306,Hshldprojections2018!$A$1:$AQ$327,23,FALSE))/10))</f>
        <v>1566</v>
      </c>
      <c r="AE306" s="267">
        <f>IF(IndividualLATest!$J$7=2014,(VLOOKUP($A306,Hshldprojections2014!$A$2:$AY$326,44,FALSE)-VLOOKUP($A306,Hshldprojections2014!$A$2:$AY$326,34,FALSE))/10,IF(IndividualLATest!$J$7=2016,(VLOOKUP($A306,Hshldprojections2016!$A$1:$AQ$322,34,FALSE)-VLOOKUP($A306,Hshldprojections2016!$A$1:$AQ$322,24,FALSE))/10,(VLOOKUP($A306,Hshldprojections2018!$A$1:$AQ$327,34,FALSE)-VLOOKUP($A306,Hshldprojections2018!$A$1:$AQ$327,24,FALSE))/10))</f>
        <v>1525.2</v>
      </c>
      <c r="AF306" s="267">
        <f>IF(IndividualLATest!$J$7=2014,(VLOOKUP($A306,Hshldprojections2014!$A$2:$AY$326,45,FALSE)-VLOOKUP($A306,Hshldprojections2014!$A$2:$AY$326,35,FALSE))/10,IF(IndividualLATest!$J$7=2016,(VLOOKUP($A306,Hshldprojections2016!$A$1:$AQ$322,35,FALSE)-VLOOKUP($A306,Hshldprojections2016!$A$1:$AQ$322,25,FALSE))/10,(VLOOKUP($A306,Hshldprojections2018!$A$1:$AQ$327,35,FALSE)-VLOOKUP($A306,Hshldprojections2018!$A$1:$AQ$327,25,FALSE))/10))</f>
        <v>1491.7</v>
      </c>
      <c r="AG306" s="267">
        <f>IF(IndividualLATest!$J$7=2014,(VLOOKUP($A306,Hshldprojections2014!$A$2:$AY$326,46,FALSE)-VLOOKUP($A306,Hshldprojections2014!$A$2:$AY$326,36,FALSE))/10,IF(IndividualLATest!$J$7=2016,(VLOOKUP($A306,Hshldprojections2016!$A$1:$AQ$322,36,FALSE)-VLOOKUP($A306,Hshldprojections2016!$A$1:$AQ$322,26,FALSE))/10,(VLOOKUP($A306,Hshldprojections2018!$A$1:$AQ$327,36,FALSE)-VLOOKUP($A306,Hshldprojections2018!$A$1:$AQ$327,26,FALSE))/10))</f>
        <v>1457.1</v>
      </c>
      <c r="AH306" s="267">
        <f>IF(IndividualLATest!$J$7=2014,(VLOOKUP($A306,Hshldprojections2014!$A$2:$AY$326,47,FALSE)-VLOOKUP($A306,Hshldprojections2014!$A$2:$AY$326,37,FALSE))/10,IF(IndividualLATest!$J$7=2016,(VLOOKUP($A306,Hshldprojections2016!$A$1:$AQ$322,37,FALSE)-VLOOKUP($A306,Hshldprojections2016!$A$1:$AQ$322,27,FALSE))/10,(VLOOKUP($A306,Hshldprojections2018!$A$1:$AQ$327,37,FALSE)-VLOOKUP($A306,Hshldprojections2018!$A$1:$AQ$327,27,FALSE))/10))</f>
        <v>1433.2</v>
      </c>
      <c r="AI306" s="268">
        <f>IF(ISNUMBER('Sensitivity Tests'!$C$30),'Sensitivity Tests'!$C$30,VLOOKUP($A306,AffordabilityRatio!$A$2:$I$321,5,FALSE))</f>
        <v>9.5399999999999991</v>
      </c>
      <c r="AJ306" s="268">
        <f>IF(ISNUMBER('Sensitivity Tests'!$C$30),'Sensitivity Tests'!$C$30,VLOOKUP($A306,AffordabilityRatio!$A$2:$I$321,6,FALSE))</f>
        <v>9.8000000000000007</v>
      </c>
      <c r="AK306" s="268">
        <f>IF(ISNUMBER('Sensitivity Tests'!$C$30),'Sensitivity Tests'!$C$30,VLOOKUP($A306,AffordabilityRatio!$A$2:$I$321,7,FALSE))</f>
        <v>9.68</v>
      </c>
      <c r="AL306" s="268">
        <f>IF(ISNUMBER('Sensitivity Tests'!$C$30),'Sensitivity Tests'!$C$30,IF((VLOOKUP($A306,AffordabilityRatio!$A$2:$I$321,8,FALSE))="",AK306,VLOOKUP($A306,AffordabilityRatio!$A$2:$I$321,8,FALSE)))</f>
        <v>9.58</v>
      </c>
      <c r="AM306" s="268">
        <f>IF(ISNUMBER('Sensitivity Tests'!$C$30),'Sensitivity Tests'!$C$30,IF((VLOOKUP($A306,AffordabilityRatio!$A$2:$I$321,9,FALSE))="",AL306,VLOOKUP($A306,AffordabilityRatio!$A$2:$I$321,9,FALSE)))</f>
        <v>10.32</v>
      </c>
      <c r="AN306" s="268">
        <f>IF(ISNUMBER('Sensitivity Tests'!$C$30),'Sensitivity Tests'!$C$30,IF((VLOOKUP($A306,AffordabilityRatio!$A$2:$I$321,9,FALSE))="",AM306,VLOOKUP($A306,AffordabilityRatio!$A$2:$I$321,9,FALSE)))</f>
        <v>10.32</v>
      </c>
      <c r="AO306" s="268">
        <f>IF(ISNUMBER('Sensitivity Tests'!$C$30),'Sensitivity Tests'!$C$30,IF((VLOOKUP($A306,AffordabilityRatio!$A$2:$I$321,9,FALSE))="",AN306,VLOOKUP($A306,AffordabilityRatio!$A$2:$I$321,9,FALSE)))</f>
        <v>10.32</v>
      </c>
      <c r="AP306" s="268">
        <f>IF(ISNUMBER('Sensitivity Tests'!$C$30),'Sensitivity Tests'!$C$30,IF((VLOOKUP($A306,AffordabilityRatio!$A$2:$I$321,9,FALSE))="",AO306,VLOOKUP($A306,AffordabilityRatio!$A$2:$I$321,9,FALSE)))</f>
        <v>10.32</v>
      </c>
      <c r="AQ306" s="267">
        <f t="shared" si="243"/>
        <v>2044</v>
      </c>
      <c r="AR306" s="267">
        <f t="shared" si="243"/>
        <v>2040</v>
      </c>
      <c r="AS306" s="267">
        <f t="shared" si="243"/>
        <v>2011</v>
      </c>
      <c r="AT306" s="267">
        <f t="shared" si="242"/>
        <v>2112</v>
      </c>
      <c r="AU306" s="267">
        <f t="shared" si="242"/>
        <v>2128</v>
      </c>
      <c r="AV306" s="267">
        <f t="shared" si="242"/>
        <v>2081</v>
      </c>
      <c r="AW306" s="267">
        <f t="shared" si="242"/>
        <v>2033</v>
      </c>
      <c r="AX306" s="267">
        <f t="shared" si="242"/>
        <v>1999</v>
      </c>
      <c r="AY306" s="267">
        <f t="shared" si="218"/>
        <v>2044</v>
      </c>
      <c r="AZ306" s="267">
        <f t="shared" si="219"/>
        <v>2040</v>
      </c>
      <c r="BA306" s="267">
        <f t="shared" si="220"/>
        <v>2011</v>
      </c>
      <c r="BB306" s="267">
        <f t="shared" si="221"/>
        <v>2112</v>
      </c>
      <c r="BC306" s="267">
        <f t="shared" si="222"/>
        <v>2128</v>
      </c>
      <c r="BD306" s="267">
        <f t="shared" si="223"/>
        <v>2081</v>
      </c>
      <c r="BE306" s="267">
        <f t="shared" si="224"/>
        <v>2033</v>
      </c>
      <c r="BF306" s="267">
        <f t="shared" si="225"/>
        <v>1999</v>
      </c>
      <c r="BG306" s="269">
        <f>AY306*VLOOKUP($B306,'Major Cities &amp; Towns'!$A$28:$B$345,2,FALSE)</f>
        <v>2044</v>
      </c>
      <c r="BH306" s="269">
        <f>AZ306*VLOOKUP($B306,'Major Cities &amp; Towns'!$A$28:$B$345,2,FALSE)</f>
        <v>2040</v>
      </c>
      <c r="BI306" s="269">
        <f>BA306*VLOOKUP($B306,'Major Cities &amp; Towns'!$A$28:$B$345,2,FALSE)</f>
        <v>2011</v>
      </c>
      <c r="BJ306" s="269">
        <f>BB306*VLOOKUP($B306,'Major Cities &amp; Towns'!$A$28:$B$345,2,FALSE)</f>
        <v>2112</v>
      </c>
      <c r="BK306" s="269">
        <f>BC306*VLOOKUP($B306,'Major Cities &amp; Towns'!$A$28:$B$345,2,FALSE)</f>
        <v>2128</v>
      </c>
      <c r="BL306" s="269">
        <f>BD306*VLOOKUP($B306,'Major Cities &amp; Towns'!$A$28:$B$345,2,FALSE)</f>
        <v>2081</v>
      </c>
      <c r="BM306" s="269">
        <f>BE306*VLOOKUP($B306,'Major Cities &amp; Towns'!$A$28:$B$345,2,FALSE)</f>
        <v>2033</v>
      </c>
      <c r="BN306" s="269">
        <f>BF306*VLOOKUP($B306,'Major Cities &amp; Towns'!$A$28:$B$345,2,FALSE)</f>
        <v>1999</v>
      </c>
      <c r="BO306" s="270">
        <f t="shared" si="226"/>
        <v>2044</v>
      </c>
      <c r="BP306" s="270">
        <f t="shared" si="201"/>
        <v>2040.0000000000002</v>
      </c>
      <c r="BQ306" s="270">
        <f t="shared" si="201"/>
        <v>2011</v>
      </c>
      <c r="BR306" s="270">
        <f t="shared" si="201"/>
        <v>2112</v>
      </c>
      <c r="BS306" s="270">
        <f t="shared" si="200"/>
        <v>2128</v>
      </c>
      <c r="BT306" s="270">
        <f t="shared" si="200"/>
        <v>2081</v>
      </c>
      <c r="BU306" s="270">
        <f t="shared" si="200"/>
        <v>2033</v>
      </c>
      <c r="BV306" s="270">
        <f t="shared" si="200"/>
        <v>1999</v>
      </c>
      <c r="BW306" s="39">
        <f>VLOOKUP($A306,NetAdditions!$A$2:$H$336,6,FALSE)</f>
        <v>2699</v>
      </c>
      <c r="BX306" s="39">
        <f>VLOOKUP($A306,NetAdditions!$A$2:$H$336,7,FALSE)</f>
        <v>1800</v>
      </c>
      <c r="BY306" s="39">
        <f>IF((VLOOKUP($C306,NetAdditions!$A$2:$H$336,8,FALSE))="",(AVERAGE(VLOOKUP($C306,NetAdditions!$A$2:$H$336,5,FALSE),VLOOKUP($C306,NetAdditions!$A$2:$H$336,6,FALSE),VLOOKUP($C306,NetAdditions!$A$2:$H$336,7,FALSE))),VLOOKUP($C306,NetAdditions!$A$2:$H$336,8,FALSE))</f>
        <v>2846</v>
      </c>
      <c r="BZ306" s="39">
        <f t="shared" si="244"/>
        <v>2448.3333333333335</v>
      </c>
      <c r="CA306" s="39">
        <f t="shared" si="244"/>
        <v>2364.7777777777778</v>
      </c>
      <c r="CB306" s="39">
        <f t="shared" si="244"/>
        <v>2553.037037037037</v>
      </c>
      <c r="CC306" s="39">
        <f t="shared" si="244"/>
        <v>2455.3827160493825</v>
      </c>
      <c r="CD306" s="39">
        <f t="shared" si="244"/>
        <v>2457.7325102880659</v>
      </c>
      <c r="CE306" s="276">
        <f t="shared" si="202"/>
        <v>6095</v>
      </c>
      <c r="CF306" s="276">
        <f t="shared" si="203"/>
        <v>6163</v>
      </c>
      <c r="CG306" s="276">
        <f t="shared" si="204"/>
        <v>6251</v>
      </c>
      <c r="CH306" s="276">
        <f t="shared" si="205"/>
        <v>6321</v>
      </c>
      <c r="CI306" s="276">
        <f t="shared" si="206"/>
        <v>6242</v>
      </c>
      <c r="CJ306" s="276">
        <f t="shared" si="207"/>
        <v>6113</v>
      </c>
      <c r="CK306" s="276">
        <f t="shared" si="227"/>
        <v>5248.4722222222226</v>
      </c>
      <c r="CL306" s="276">
        <f t="shared" si="228"/>
        <v>5307.0277777777783</v>
      </c>
      <c r="CM306" s="276">
        <f t="shared" si="229"/>
        <v>5730.083333333333</v>
      </c>
      <c r="CN306" s="276">
        <f t="shared" si="230"/>
        <v>6321</v>
      </c>
      <c r="CO306" s="276">
        <f t="shared" si="230"/>
        <v>6242</v>
      </c>
      <c r="CP306" s="276">
        <f t="shared" si="230"/>
        <v>6113</v>
      </c>
      <c r="CQ306" s="39">
        <f t="shared" si="208"/>
        <v>7345</v>
      </c>
      <c r="CR306" s="39">
        <f t="shared" si="209"/>
        <v>7094.3333333333339</v>
      </c>
      <c r="CS306" s="277">
        <f t="shared" si="210"/>
        <v>7659.1111111111113</v>
      </c>
      <c r="CT306" s="39">
        <f t="shared" si="211"/>
        <v>7366.1481481481478</v>
      </c>
      <c r="CU306" s="39">
        <f t="shared" si="212"/>
        <v>7373.1975308641977</v>
      </c>
      <c r="CV306" s="39">
        <f t="shared" si="213"/>
        <v>7466.1522633744853</v>
      </c>
      <c r="CW306" s="297">
        <f t="shared" si="214"/>
        <v>1.3994548678186773</v>
      </c>
      <c r="CX306" s="279" t="str">
        <f t="shared" si="231"/>
        <v>Pass</v>
      </c>
      <c r="CY306" s="278">
        <f t="shared" si="215"/>
        <v>1.3367808932599854</v>
      </c>
      <c r="CZ306" s="279" t="str">
        <f t="shared" si="232"/>
        <v>Pass</v>
      </c>
      <c r="DA306" s="278">
        <f t="shared" si="216"/>
        <v>1.3366491664364006</v>
      </c>
      <c r="DB306" s="292" t="str">
        <f t="shared" si="233"/>
        <v>Pass</v>
      </c>
      <c r="DC306" s="299">
        <f t="shared" si="234"/>
        <v>1.1653453801848044</v>
      </c>
      <c r="DD306" s="293" t="str">
        <f t="shared" si="235"/>
        <v>Pass</v>
      </c>
      <c r="DE306" s="299">
        <f t="shared" si="236"/>
        <v>1.1812235711092915</v>
      </c>
      <c r="DF306" s="293" t="str">
        <f t="shared" si="237"/>
        <v>Pass</v>
      </c>
      <c r="DG306" s="299">
        <f t="shared" si="238"/>
        <v>1.2213564965441657</v>
      </c>
      <c r="DH306" s="293" t="str">
        <f t="shared" si="239"/>
        <v>Pass</v>
      </c>
    </row>
    <row r="307" spans="1:112" ht="15" thickTop="1" thickBot="1">
      <c r="A307" s="38" t="s">
        <v>724</v>
      </c>
      <c r="B307" s="38" t="s">
        <v>725</v>
      </c>
      <c r="C307" s="38" t="s">
        <v>724</v>
      </c>
      <c r="D307" s="38" t="s">
        <v>113</v>
      </c>
      <c r="E307" s="38" t="str">
        <f>VLOOKUP(C307,PoliticalControl!A:K,11,FALSE)</f>
        <v>LD</v>
      </c>
      <c r="F307" s="38" t="str">
        <f>VLOOKUP(C307,UrbanRuralClassification!A:N,13,FALSE)</f>
        <v xml:space="preserve">Largely Rural (rural including hub towns 50-79%) </v>
      </c>
      <c r="G307" s="38" t="str">
        <f>VLOOKUP(C307,UrbanRuralClassification!A:N,14,FALSE)</f>
        <v>Predominantly Rural</v>
      </c>
      <c r="H307" s="258">
        <f>IF(ISBLANK((VLOOKUP($A307,'local-plan-data'!$C$1:$AD$566,27,FALSE)))=TRUE,"",VLOOKUP($A307,'local-plan-data'!$C$1:$AD$566,27,FALSE))</f>
        <v>41353</v>
      </c>
      <c r="I307" s="259">
        <f>VLOOKUP($A307,'local-plan-data'!$C$1:$AD$566,28,FALSE)</f>
        <v>625</v>
      </c>
      <c r="J307" s="260">
        <f t="shared" si="217"/>
        <v>625</v>
      </c>
      <c r="K307" s="259" t="str">
        <f t="shared" si="247"/>
        <v>-</v>
      </c>
      <c r="L307" s="259" t="str">
        <f t="shared" si="245"/>
        <v>-</v>
      </c>
      <c r="M307" s="259" t="str">
        <f t="shared" si="245"/>
        <v>-</v>
      </c>
      <c r="N307" s="259" t="str">
        <f t="shared" si="245"/>
        <v>-</v>
      </c>
      <c r="O307" s="259" t="str">
        <f t="shared" si="245"/>
        <v>-</v>
      </c>
      <c r="P307" s="259" t="str">
        <f t="shared" si="245"/>
        <v>-</v>
      </c>
      <c r="Q307" s="259" t="str">
        <f t="shared" si="245"/>
        <v>-</v>
      </c>
      <c r="R307" s="259" t="str">
        <f t="shared" si="245"/>
        <v>-</v>
      </c>
      <c r="S307" s="259">
        <f t="shared" si="248"/>
        <v>-12</v>
      </c>
      <c r="T307" s="259">
        <f t="shared" si="246"/>
        <v>-377</v>
      </c>
      <c r="U307" s="259">
        <f t="shared" si="246"/>
        <v>-743</v>
      </c>
      <c r="V307" s="259">
        <f t="shared" si="246"/>
        <v>-1108</v>
      </c>
      <c r="W307" s="259">
        <f t="shared" si="246"/>
        <v>-1473</v>
      </c>
      <c r="X307" s="259">
        <f t="shared" si="246"/>
        <v>-1838</v>
      </c>
      <c r="Y307" s="259">
        <f t="shared" si="246"/>
        <v>-2204</v>
      </c>
      <c r="Z307" s="259">
        <f t="shared" si="246"/>
        <v>-2569</v>
      </c>
      <c r="AA307" s="267">
        <f>(VLOOKUP(A307,Hshldprojections2014!$A$2:$AW$319,40, FALSE)-VLOOKUP(A307,Hshldprojections2014!$A$2:$AW$319,30, FALSE))/10</f>
        <v>438.8</v>
      </c>
      <c r="AB307" s="267">
        <f>(VLOOKUP(A307,Hshldprojections2014!$A$2:$AW$319,41, FALSE)-VLOOKUP(A307,Hshldprojections2014!$A$2:$AW$319,31, FALSE))/10</f>
        <v>439.1</v>
      </c>
      <c r="AC307" s="267">
        <f>(VLOOKUP(A307,Hshldprojections2014!$A$2:$AW$319,42, FALSE)-VLOOKUP(A307,Hshldprojections2014!$A$2:$AW$319,32, FALSE))/10</f>
        <v>437.8</v>
      </c>
      <c r="AD307" s="267">
        <f>IF(IndividualLATest!$J$7=2014,(VLOOKUP($A307,Hshldprojections2014!$A$2:$AY$326,43,FALSE)-VLOOKUP($A307,Hshldprojections2014!$A$2:$AY$326,33,FALSE))/10,IF(IndividualLATest!$J$7=2016,(VLOOKUP($A307,Hshldprojections2016!$A$1:$AQ$322,33,FALSE)-VLOOKUP($A307,Hshldprojections2016!$A$1:$AQ$322,23,FALSE))/10,(VLOOKUP($A307,Hshldprojections2018!$A$1:$AQ$327,33,FALSE)-VLOOKUP($A307,Hshldprojections2018!$A$1:$AQ$327,23,FALSE))/10))</f>
        <v>377</v>
      </c>
      <c r="AE307" s="267">
        <f>IF(IndividualLATest!$J$7=2014,(VLOOKUP($A307,Hshldprojections2014!$A$2:$AY$326,44,FALSE)-VLOOKUP($A307,Hshldprojections2014!$A$2:$AY$326,34,FALSE))/10,IF(IndividualLATest!$J$7=2016,(VLOOKUP($A307,Hshldprojections2016!$A$1:$AQ$322,34,FALSE)-VLOOKUP($A307,Hshldprojections2016!$A$1:$AQ$322,24,FALSE))/10,(VLOOKUP($A307,Hshldprojections2018!$A$1:$AQ$327,34,FALSE)-VLOOKUP($A307,Hshldprojections2018!$A$1:$AQ$327,24,FALSE))/10))</f>
        <v>371.6</v>
      </c>
      <c r="AF307" s="267">
        <f>IF(IndividualLATest!$J$7=2014,(VLOOKUP($A307,Hshldprojections2014!$A$2:$AY$326,45,FALSE)-VLOOKUP($A307,Hshldprojections2014!$A$2:$AY$326,35,FALSE))/10,IF(IndividualLATest!$J$7=2016,(VLOOKUP($A307,Hshldprojections2016!$A$1:$AQ$322,35,FALSE)-VLOOKUP($A307,Hshldprojections2016!$A$1:$AQ$322,25,FALSE))/10,(VLOOKUP($A307,Hshldprojections2018!$A$1:$AQ$327,35,FALSE)-VLOOKUP($A307,Hshldprojections2018!$A$1:$AQ$327,25,FALSE))/10))</f>
        <v>363.7</v>
      </c>
      <c r="AG307" s="267">
        <f>IF(IndividualLATest!$J$7=2014,(VLOOKUP($A307,Hshldprojections2014!$A$2:$AY$326,46,FALSE)-VLOOKUP($A307,Hshldprojections2014!$A$2:$AY$326,36,FALSE))/10,IF(IndividualLATest!$J$7=2016,(VLOOKUP($A307,Hshldprojections2016!$A$1:$AQ$322,36,FALSE)-VLOOKUP($A307,Hshldprojections2016!$A$1:$AQ$322,26,FALSE))/10,(VLOOKUP($A307,Hshldprojections2018!$A$1:$AQ$327,36,FALSE)-VLOOKUP($A307,Hshldprojections2018!$A$1:$AQ$327,26,FALSE))/10))</f>
        <v>352.5</v>
      </c>
      <c r="AH307" s="267">
        <f>IF(IndividualLATest!$J$7=2014,(VLOOKUP($A307,Hshldprojections2014!$A$2:$AY$326,47,FALSE)-VLOOKUP($A307,Hshldprojections2014!$A$2:$AY$326,37,FALSE))/10,IF(IndividualLATest!$J$7=2016,(VLOOKUP($A307,Hshldprojections2016!$A$1:$AQ$322,37,FALSE)-VLOOKUP($A307,Hshldprojections2016!$A$1:$AQ$322,27,FALSE))/10,(VLOOKUP($A307,Hshldprojections2018!$A$1:$AQ$327,37,FALSE)-VLOOKUP($A307,Hshldprojections2018!$A$1:$AQ$327,27,FALSE))/10))</f>
        <v>342</v>
      </c>
      <c r="AI307" s="268">
        <f>IF(ISNUMBER('Sensitivity Tests'!$C$30),'Sensitivity Tests'!$C$30,VLOOKUP($A307,AffordabilityRatio!$A$2:$I$321,5,FALSE))</f>
        <v>12.15</v>
      </c>
      <c r="AJ307" s="268">
        <f>IF(ISNUMBER('Sensitivity Tests'!$C$30),'Sensitivity Tests'!$C$30,VLOOKUP($A307,AffordabilityRatio!$A$2:$I$321,6,FALSE))</f>
        <v>12.19</v>
      </c>
      <c r="AK307" s="268">
        <f>IF(ISNUMBER('Sensitivity Tests'!$C$30),'Sensitivity Tests'!$C$30,VLOOKUP($A307,AffordabilityRatio!$A$2:$I$321,7,FALSE))</f>
        <v>13.03</v>
      </c>
      <c r="AL307" s="268">
        <f>IF(ISNUMBER('Sensitivity Tests'!$C$30),'Sensitivity Tests'!$C$30,IF((VLOOKUP($A307,AffordabilityRatio!$A$2:$I$321,8,FALSE))="",AK307,VLOOKUP($A307,AffordabilityRatio!$A$2:$I$321,8,FALSE)))</f>
        <v>12.34</v>
      </c>
      <c r="AM307" s="268">
        <f>IF(ISNUMBER('Sensitivity Tests'!$C$30),'Sensitivity Tests'!$C$30,IF((VLOOKUP($A307,AffordabilityRatio!$A$2:$I$321,9,FALSE))="",AL307,VLOOKUP($A307,AffordabilityRatio!$A$2:$I$321,9,FALSE)))</f>
        <v>14.14</v>
      </c>
      <c r="AN307" s="268">
        <f>IF(ISNUMBER('Sensitivity Tests'!$C$30),'Sensitivity Tests'!$C$30,IF((VLOOKUP($A307,AffordabilityRatio!$A$2:$I$321,9,FALSE))="",AM307,VLOOKUP($A307,AffordabilityRatio!$A$2:$I$321,9,FALSE)))</f>
        <v>14.14</v>
      </c>
      <c r="AO307" s="268">
        <f>IF(ISNUMBER('Sensitivity Tests'!$C$30),'Sensitivity Tests'!$C$30,IF((VLOOKUP($A307,AffordabilityRatio!$A$2:$I$321,9,FALSE))="",AN307,VLOOKUP($A307,AffordabilityRatio!$A$2:$I$321,9,FALSE)))</f>
        <v>14.14</v>
      </c>
      <c r="AP307" s="268">
        <f>IF(ISNUMBER('Sensitivity Tests'!$C$30),'Sensitivity Tests'!$C$30,IF((VLOOKUP($A307,AffordabilityRatio!$A$2:$I$321,9,FALSE))="",AO307,VLOOKUP($A307,AffordabilityRatio!$A$2:$I$321,9,FALSE)))</f>
        <v>14.14</v>
      </c>
      <c r="AQ307" s="267">
        <f t="shared" si="243"/>
        <v>662</v>
      </c>
      <c r="AR307" s="267">
        <f t="shared" si="243"/>
        <v>664</v>
      </c>
      <c r="AS307" s="267">
        <f t="shared" si="243"/>
        <v>685</v>
      </c>
      <c r="AT307" s="267">
        <f t="shared" si="242"/>
        <v>574</v>
      </c>
      <c r="AU307" s="267">
        <f t="shared" si="242"/>
        <v>607</v>
      </c>
      <c r="AV307" s="267">
        <f t="shared" si="242"/>
        <v>594</v>
      </c>
      <c r="AW307" s="267">
        <f t="shared" si="242"/>
        <v>576</v>
      </c>
      <c r="AX307" s="267">
        <f t="shared" si="242"/>
        <v>559</v>
      </c>
      <c r="AY307" s="267">
        <f t="shared" si="218"/>
        <v>662</v>
      </c>
      <c r="AZ307" s="267">
        <f t="shared" si="219"/>
        <v>664</v>
      </c>
      <c r="BA307" s="267">
        <f t="shared" si="220"/>
        <v>685</v>
      </c>
      <c r="BB307" s="267">
        <f t="shared" si="221"/>
        <v>574</v>
      </c>
      <c r="BC307" s="267">
        <f t="shared" si="222"/>
        <v>607</v>
      </c>
      <c r="BD307" s="267">
        <f t="shared" si="223"/>
        <v>594</v>
      </c>
      <c r="BE307" s="267">
        <f t="shared" si="224"/>
        <v>576</v>
      </c>
      <c r="BF307" s="267">
        <f t="shared" si="225"/>
        <v>559</v>
      </c>
      <c r="BG307" s="269">
        <f>AY307*VLOOKUP($B307,'Major Cities &amp; Towns'!$A$28:$B$345,2,FALSE)</f>
        <v>662</v>
      </c>
      <c r="BH307" s="269">
        <f>AZ307*VLOOKUP($B307,'Major Cities &amp; Towns'!$A$28:$B$345,2,FALSE)</f>
        <v>664</v>
      </c>
      <c r="BI307" s="269">
        <f>BA307*VLOOKUP($B307,'Major Cities &amp; Towns'!$A$28:$B$345,2,FALSE)</f>
        <v>685</v>
      </c>
      <c r="BJ307" s="269">
        <f>BB307*VLOOKUP($B307,'Major Cities &amp; Towns'!$A$28:$B$345,2,FALSE)</f>
        <v>574</v>
      </c>
      <c r="BK307" s="269">
        <f>BC307*VLOOKUP($B307,'Major Cities &amp; Towns'!$A$28:$B$345,2,FALSE)</f>
        <v>607</v>
      </c>
      <c r="BL307" s="269">
        <f>BD307*VLOOKUP($B307,'Major Cities &amp; Towns'!$A$28:$B$345,2,FALSE)</f>
        <v>594</v>
      </c>
      <c r="BM307" s="269">
        <f>BE307*VLOOKUP($B307,'Major Cities &amp; Towns'!$A$28:$B$345,2,FALSE)</f>
        <v>576</v>
      </c>
      <c r="BN307" s="269">
        <f>BF307*VLOOKUP($B307,'Major Cities &amp; Towns'!$A$28:$B$345,2,FALSE)</f>
        <v>559</v>
      </c>
      <c r="BO307" s="270">
        <f t="shared" si="226"/>
        <v>662</v>
      </c>
      <c r="BP307" s="270">
        <f t="shared" si="201"/>
        <v>664</v>
      </c>
      <c r="BQ307" s="270">
        <f t="shared" si="201"/>
        <v>685</v>
      </c>
      <c r="BR307" s="270">
        <f t="shared" si="201"/>
        <v>574</v>
      </c>
      <c r="BS307" s="270">
        <f t="shared" si="200"/>
        <v>607</v>
      </c>
      <c r="BT307" s="270">
        <f t="shared" si="200"/>
        <v>594</v>
      </c>
      <c r="BU307" s="270">
        <f t="shared" si="200"/>
        <v>576</v>
      </c>
      <c r="BV307" s="270">
        <f t="shared" si="200"/>
        <v>559</v>
      </c>
      <c r="BW307" s="39">
        <f>VLOOKUP($A307,NetAdditions!$A$2:$H$336,6,FALSE)</f>
        <v>810</v>
      </c>
      <c r="BX307" s="39">
        <f>VLOOKUP($A307,NetAdditions!$A$2:$H$336,7,FALSE)</f>
        <v>636</v>
      </c>
      <c r="BY307" s="39">
        <f>IF((VLOOKUP($C307,NetAdditions!$A$2:$H$336,8,FALSE))="",(AVERAGE(VLOOKUP($C307,NetAdditions!$A$2:$H$336,5,FALSE),VLOOKUP($C307,NetAdditions!$A$2:$H$336,6,FALSE),VLOOKUP($C307,NetAdditions!$A$2:$H$336,7,FALSE))),VLOOKUP($C307,NetAdditions!$A$2:$H$336,8,FALSE))</f>
        <v>804</v>
      </c>
      <c r="BZ307" s="39">
        <f t="shared" si="244"/>
        <v>750</v>
      </c>
      <c r="CA307" s="39">
        <f t="shared" si="244"/>
        <v>730</v>
      </c>
      <c r="CB307" s="39">
        <f t="shared" si="244"/>
        <v>761.33333333333337</v>
      </c>
      <c r="CC307" s="39">
        <f t="shared" si="244"/>
        <v>747.1111111111112</v>
      </c>
      <c r="CD307" s="39">
        <f t="shared" si="244"/>
        <v>746.14814814814827</v>
      </c>
      <c r="CE307" s="276">
        <f t="shared" si="202"/>
        <v>2011</v>
      </c>
      <c r="CF307" s="276">
        <f t="shared" si="203"/>
        <v>1923</v>
      </c>
      <c r="CG307" s="276">
        <f t="shared" si="204"/>
        <v>1866</v>
      </c>
      <c r="CH307" s="276">
        <f t="shared" si="205"/>
        <v>1775</v>
      </c>
      <c r="CI307" s="276">
        <f t="shared" si="206"/>
        <v>1777</v>
      </c>
      <c r="CJ307" s="276">
        <f t="shared" si="207"/>
        <v>1729</v>
      </c>
      <c r="CK307" s="276">
        <f t="shared" si="227"/>
        <v>1731.6944444444446</v>
      </c>
      <c r="CL307" s="276">
        <f t="shared" si="228"/>
        <v>1655.9166666666667</v>
      </c>
      <c r="CM307" s="276">
        <f t="shared" si="229"/>
        <v>1710.5</v>
      </c>
      <c r="CN307" s="276">
        <f t="shared" si="230"/>
        <v>1775</v>
      </c>
      <c r="CO307" s="276">
        <f t="shared" si="230"/>
        <v>1777</v>
      </c>
      <c r="CP307" s="276">
        <f t="shared" si="230"/>
        <v>1729</v>
      </c>
      <c r="CQ307" s="39">
        <f t="shared" si="208"/>
        <v>2250</v>
      </c>
      <c r="CR307" s="39">
        <f t="shared" si="209"/>
        <v>2190</v>
      </c>
      <c r="CS307" s="277">
        <f t="shared" si="210"/>
        <v>2284</v>
      </c>
      <c r="CT307" s="39">
        <f t="shared" si="211"/>
        <v>2241.3333333333335</v>
      </c>
      <c r="CU307" s="39">
        <f t="shared" si="212"/>
        <v>2238.4444444444448</v>
      </c>
      <c r="CV307" s="39">
        <f t="shared" si="213"/>
        <v>2254.5925925925931</v>
      </c>
      <c r="CW307" s="297">
        <f t="shared" si="214"/>
        <v>1.2993054330216069</v>
      </c>
      <c r="CX307" s="279" t="str">
        <f t="shared" si="231"/>
        <v>Pass</v>
      </c>
      <c r="CY307" s="278">
        <f t="shared" si="215"/>
        <v>1.3225303205676613</v>
      </c>
      <c r="CZ307" s="279" t="str">
        <f t="shared" si="232"/>
        <v>Pass</v>
      </c>
      <c r="DA307" s="278">
        <f t="shared" si="216"/>
        <v>1.3352820812627886</v>
      </c>
      <c r="DB307" s="292" t="str">
        <f t="shared" si="233"/>
        <v>Pass</v>
      </c>
      <c r="DC307" s="299">
        <f t="shared" si="234"/>
        <v>1.2627230046948357</v>
      </c>
      <c r="DD307" s="293" t="str">
        <f t="shared" si="235"/>
        <v>Pass</v>
      </c>
      <c r="DE307" s="299">
        <f t="shared" si="236"/>
        <v>1.2596761082973802</v>
      </c>
      <c r="DF307" s="293" t="str">
        <f t="shared" si="237"/>
        <v>Pass</v>
      </c>
      <c r="DG307" s="299">
        <f t="shared" si="238"/>
        <v>1.3039864618811989</v>
      </c>
      <c r="DH307" s="293" t="str">
        <f t="shared" si="239"/>
        <v>Pass</v>
      </c>
    </row>
    <row r="308" spans="1:112" ht="15" thickTop="1" thickBot="1">
      <c r="A308" s="38" t="s">
        <v>726</v>
      </c>
      <c r="B308" s="38" t="s">
        <v>727</v>
      </c>
      <c r="C308" s="38" t="s">
        <v>726</v>
      </c>
      <c r="D308" s="38" t="s">
        <v>113</v>
      </c>
      <c r="E308" s="38" t="str">
        <f>VLOOKUP(C308,PoliticalControl!A:K,11,FALSE)</f>
        <v>CON</v>
      </c>
      <c r="F308" s="38" t="str">
        <f>VLOOKUP(C308,UrbanRuralClassification!A:N,13,FALSE)</f>
        <v>Urban with City and Town</v>
      </c>
      <c r="G308" s="38" t="str">
        <f>VLOOKUP(C308,UrbanRuralClassification!A:N,14,FALSE)</f>
        <v>Predominantly Urban</v>
      </c>
      <c r="H308" s="258" t="str">
        <f>IF(ISBLANK((VLOOKUP($A308,'local-plan-data'!$C$1:$AD$566,27,FALSE)))=TRUE,"",VLOOKUP($A308,'local-plan-data'!$C$1:$AD$566,27,FALSE))</f>
        <v/>
      </c>
      <c r="I308" s="259">
        <f>VLOOKUP($A308,'local-plan-data'!$C$1:$AD$566,28,FALSE)</f>
        <v>712</v>
      </c>
      <c r="J308" s="260">
        <f t="shared" si="217"/>
        <v>712</v>
      </c>
      <c r="K308" s="259" t="str">
        <f t="shared" si="247"/>
        <v>-</v>
      </c>
      <c r="L308" s="259" t="str">
        <f t="shared" si="245"/>
        <v>-</v>
      </c>
      <c r="M308" s="259" t="str">
        <f t="shared" si="245"/>
        <v>-</v>
      </c>
      <c r="N308" s="259" t="str">
        <f t="shared" si="245"/>
        <v>-</v>
      </c>
      <c r="O308" s="259" t="str">
        <f t="shared" si="245"/>
        <v>-</v>
      </c>
      <c r="P308" s="259" t="str">
        <f t="shared" si="245"/>
        <v>-</v>
      </c>
      <c r="Q308" s="259" t="str">
        <f t="shared" si="245"/>
        <v>-</v>
      </c>
      <c r="R308" s="259" t="str">
        <f t="shared" si="245"/>
        <v>-</v>
      </c>
      <c r="S308" s="259" t="str">
        <f t="shared" si="248"/>
        <v>-</v>
      </c>
      <c r="T308" s="259" t="str">
        <f t="shared" si="246"/>
        <v>-</v>
      </c>
      <c r="U308" s="259" t="str">
        <f t="shared" si="246"/>
        <v>-</v>
      </c>
      <c r="V308" s="259" t="str">
        <f t="shared" si="246"/>
        <v>-</v>
      </c>
      <c r="W308" s="259" t="str">
        <f t="shared" si="246"/>
        <v>-</v>
      </c>
      <c r="X308" s="259" t="str">
        <f t="shared" si="246"/>
        <v>-</v>
      </c>
      <c r="Y308" s="259" t="str">
        <f t="shared" si="246"/>
        <v>-</v>
      </c>
      <c r="Z308" s="259" t="str">
        <f t="shared" si="246"/>
        <v>-</v>
      </c>
      <c r="AA308" s="267">
        <f>(VLOOKUP(A308,Hshldprojections2014!$A$2:$AW$319,40, FALSE)-VLOOKUP(A308,Hshldprojections2014!$A$2:$AW$319,30, FALSE))/10</f>
        <v>548.20000000000005</v>
      </c>
      <c r="AB308" s="267">
        <f>(VLOOKUP(A308,Hshldprojections2014!$A$2:$AW$319,41, FALSE)-VLOOKUP(A308,Hshldprojections2014!$A$2:$AW$319,31, FALSE))/10</f>
        <v>543.29999999999995</v>
      </c>
      <c r="AC308" s="267">
        <f>(VLOOKUP(A308,Hshldprojections2014!$A$2:$AW$319,42, FALSE)-VLOOKUP(A308,Hshldprojections2014!$A$2:$AW$319,32, FALSE))/10</f>
        <v>538.6</v>
      </c>
      <c r="AD308" s="267">
        <f>IF(IndividualLATest!$J$7=2014,(VLOOKUP($A308,Hshldprojections2014!$A$2:$AY$326,43,FALSE)-VLOOKUP($A308,Hshldprojections2014!$A$2:$AY$326,33,FALSE))/10,IF(IndividualLATest!$J$7=2016,(VLOOKUP($A308,Hshldprojections2016!$A$1:$AQ$322,33,FALSE)-VLOOKUP($A308,Hshldprojections2016!$A$1:$AQ$322,23,FALSE))/10,(VLOOKUP($A308,Hshldprojections2018!$A$1:$AQ$327,33,FALSE)-VLOOKUP($A308,Hshldprojections2018!$A$1:$AQ$327,23,FALSE))/10))</f>
        <v>284</v>
      </c>
      <c r="AE308" s="267">
        <f>IF(IndividualLATest!$J$7=2014,(VLOOKUP($A308,Hshldprojections2014!$A$2:$AY$326,44,FALSE)-VLOOKUP($A308,Hshldprojections2014!$A$2:$AY$326,34,FALSE))/10,IF(IndividualLATest!$J$7=2016,(VLOOKUP($A308,Hshldprojections2016!$A$1:$AQ$322,34,FALSE)-VLOOKUP($A308,Hshldprojections2016!$A$1:$AQ$322,24,FALSE))/10,(VLOOKUP($A308,Hshldprojections2018!$A$1:$AQ$327,34,FALSE)-VLOOKUP($A308,Hshldprojections2018!$A$1:$AQ$327,24,FALSE))/10))</f>
        <v>271.8</v>
      </c>
      <c r="AF308" s="267">
        <f>IF(IndividualLATest!$J$7=2014,(VLOOKUP($A308,Hshldprojections2014!$A$2:$AY$326,45,FALSE)-VLOOKUP($A308,Hshldprojections2014!$A$2:$AY$326,35,FALSE))/10,IF(IndividualLATest!$J$7=2016,(VLOOKUP($A308,Hshldprojections2016!$A$1:$AQ$322,35,FALSE)-VLOOKUP($A308,Hshldprojections2016!$A$1:$AQ$322,25,FALSE))/10,(VLOOKUP($A308,Hshldprojections2018!$A$1:$AQ$327,35,FALSE)-VLOOKUP($A308,Hshldprojections2018!$A$1:$AQ$327,25,FALSE))/10))</f>
        <v>261.3</v>
      </c>
      <c r="AG308" s="267">
        <f>IF(IndividualLATest!$J$7=2014,(VLOOKUP($A308,Hshldprojections2014!$A$2:$AY$326,46,FALSE)-VLOOKUP($A308,Hshldprojections2014!$A$2:$AY$326,36,FALSE))/10,IF(IndividualLATest!$J$7=2016,(VLOOKUP($A308,Hshldprojections2016!$A$1:$AQ$322,36,FALSE)-VLOOKUP($A308,Hshldprojections2016!$A$1:$AQ$322,26,FALSE))/10,(VLOOKUP($A308,Hshldprojections2018!$A$1:$AQ$327,36,FALSE)-VLOOKUP($A308,Hshldprojections2018!$A$1:$AQ$327,26,FALSE))/10))</f>
        <v>251.7</v>
      </c>
      <c r="AH308" s="267">
        <f>IF(IndividualLATest!$J$7=2014,(VLOOKUP($A308,Hshldprojections2014!$A$2:$AY$326,47,FALSE)-VLOOKUP($A308,Hshldprojections2014!$A$2:$AY$326,37,FALSE))/10,IF(IndividualLATest!$J$7=2016,(VLOOKUP($A308,Hshldprojections2016!$A$1:$AQ$322,37,FALSE)-VLOOKUP($A308,Hshldprojections2016!$A$1:$AQ$322,27,FALSE))/10,(VLOOKUP($A308,Hshldprojections2018!$A$1:$AQ$327,37,FALSE)-VLOOKUP($A308,Hshldprojections2018!$A$1:$AQ$327,27,FALSE))/10))</f>
        <v>247</v>
      </c>
      <c r="AI308" s="268">
        <f>IF(ISNUMBER('Sensitivity Tests'!$C$30),'Sensitivity Tests'!$C$30,VLOOKUP($A308,AffordabilityRatio!$A$2:$I$321,5,FALSE))</f>
        <v>13.79</v>
      </c>
      <c r="AJ308" s="268">
        <f>IF(ISNUMBER('Sensitivity Tests'!$C$30),'Sensitivity Tests'!$C$30,VLOOKUP($A308,AffordabilityRatio!$A$2:$I$321,6,FALSE))</f>
        <v>13.2</v>
      </c>
      <c r="AK308" s="268">
        <f>IF(ISNUMBER('Sensitivity Tests'!$C$30),'Sensitivity Tests'!$C$30,VLOOKUP($A308,AffordabilityRatio!$A$2:$I$321,7,FALSE))</f>
        <v>13.91</v>
      </c>
      <c r="AL308" s="268">
        <f>IF(ISNUMBER('Sensitivity Tests'!$C$30),'Sensitivity Tests'!$C$30,IF((VLOOKUP($A308,AffordabilityRatio!$A$2:$I$321,8,FALSE))="",AK308,VLOOKUP($A308,AffordabilityRatio!$A$2:$I$321,8,FALSE)))</f>
        <v>14.29</v>
      </c>
      <c r="AM308" s="268">
        <f>IF(ISNUMBER('Sensitivity Tests'!$C$30),'Sensitivity Tests'!$C$30,IF((VLOOKUP($A308,AffordabilityRatio!$A$2:$I$321,9,FALSE))="",AL308,VLOOKUP($A308,AffordabilityRatio!$A$2:$I$321,9,FALSE)))</f>
        <v>15.21</v>
      </c>
      <c r="AN308" s="268">
        <f>IF(ISNUMBER('Sensitivity Tests'!$C$30),'Sensitivity Tests'!$C$30,IF((VLOOKUP($A308,AffordabilityRatio!$A$2:$I$321,9,FALSE))="",AM308,VLOOKUP($A308,AffordabilityRatio!$A$2:$I$321,9,FALSE)))</f>
        <v>15.21</v>
      </c>
      <c r="AO308" s="268">
        <f>IF(ISNUMBER('Sensitivity Tests'!$C$30),'Sensitivity Tests'!$C$30,IF((VLOOKUP($A308,AffordabilityRatio!$A$2:$I$321,9,FALSE))="",AN308,VLOOKUP($A308,AffordabilityRatio!$A$2:$I$321,9,FALSE)))</f>
        <v>15.21</v>
      </c>
      <c r="AP308" s="268">
        <f>IF(ISNUMBER('Sensitivity Tests'!$C$30),'Sensitivity Tests'!$C$30,IF((VLOOKUP($A308,AffordabilityRatio!$A$2:$I$321,9,FALSE))="",AO308,VLOOKUP($A308,AffordabilityRatio!$A$2:$I$321,9,FALSE)))</f>
        <v>15.21</v>
      </c>
      <c r="AQ308" s="267">
        <f t="shared" si="243"/>
        <v>884</v>
      </c>
      <c r="AR308" s="267">
        <f t="shared" si="243"/>
        <v>856</v>
      </c>
      <c r="AS308" s="267">
        <f t="shared" si="243"/>
        <v>872</v>
      </c>
      <c r="AT308" s="267">
        <f t="shared" si="242"/>
        <v>467</v>
      </c>
      <c r="AU308" s="267">
        <f t="shared" si="242"/>
        <v>462</v>
      </c>
      <c r="AV308" s="267">
        <f t="shared" si="242"/>
        <v>444</v>
      </c>
      <c r="AW308" s="267">
        <f t="shared" si="242"/>
        <v>428</v>
      </c>
      <c r="AX308" s="267">
        <f t="shared" si="242"/>
        <v>420</v>
      </c>
      <c r="AY308" s="267">
        <f t="shared" si="218"/>
        <v>884</v>
      </c>
      <c r="AZ308" s="267">
        <f t="shared" si="219"/>
        <v>856</v>
      </c>
      <c r="BA308" s="267">
        <f t="shared" si="220"/>
        <v>872</v>
      </c>
      <c r="BB308" s="267">
        <f t="shared" si="221"/>
        <v>467</v>
      </c>
      <c r="BC308" s="267">
        <f t="shared" si="222"/>
        <v>462</v>
      </c>
      <c r="BD308" s="267">
        <f t="shared" si="223"/>
        <v>444</v>
      </c>
      <c r="BE308" s="267">
        <f t="shared" si="224"/>
        <v>428</v>
      </c>
      <c r="BF308" s="267">
        <f t="shared" si="225"/>
        <v>420</v>
      </c>
      <c r="BG308" s="269">
        <f>AY308*VLOOKUP($B308,'Major Cities &amp; Towns'!$A$28:$B$345,2,FALSE)</f>
        <v>884</v>
      </c>
      <c r="BH308" s="269">
        <f>AZ308*VLOOKUP($B308,'Major Cities &amp; Towns'!$A$28:$B$345,2,FALSE)</f>
        <v>856</v>
      </c>
      <c r="BI308" s="269">
        <f>BA308*VLOOKUP($B308,'Major Cities &amp; Towns'!$A$28:$B$345,2,FALSE)</f>
        <v>872</v>
      </c>
      <c r="BJ308" s="269">
        <f>BB308*VLOOKUP($B308,'Major Cities &amp; Towns'!$A$28:$B$345,2,FALSE)</f>
        <v>467</v>
      </c>
      <c r="BK308" s="269">
        <f>BC308*VLOOKUP($B308,'Major Cities &amp; Towns'!$A$28:$B$345,2,FALSE)</f>
        <v>462</v>
      </c>
      <c r="BL308" s="269">
        <f>BD308*VLOOKUP($B308,'Major Cities &amp; Towns'!$A$28:$B$345,2,FALSE)</f>
        <v>444</v>
      </c>
      <c r="BM308" s="269">
        <f>BE308*VLOOKUP($B308,'Major Cities &amp; Towns'!$A$28:$B$345,2,FALSE)</f>
        <v>428</v>
      </c>
      <c r="BN308" s="269">
        <f>BF308*VLOOKUP($B308,'Major Cities &amp; Towns'!$A$28:$B$345,2,FALSE)</f>
        <v>420</v>
      </c>
      <c r="BO308" s="270">
        <f t="shared" si="226"/>
        <v>884</v>
      </c>
      <c r="BP308" s="270">
        <f t="shared" si="201"/>
        <v>856</v>
      </c>
      <c r="BQ308" s="270">
        <f t="shared" si="201"/>
        <v>872</v>
      </c>
      <c r="BR308" s="270">
        <f t="shared" si="201"/>
        <v>467</v>
      </c>
      <c r="BS308" s="270">
        <f t="shared" si="200"/>
        <v>462</v>
      </c>
      <c r="BT308" s="270">
        <f t="shared" si="200"/>
        <v>444</v>
      </c>
      <c r="BU308" s="270">
        <f t="shared" si="200"/>
        <v>428</v>
      </c>
      <c r="BV308" s="270">
        <f t="shared" si="200"/>
        <v>420</v>
      </c>
      <c r="BW308" s="39">
        <f>VLOOKUP($A308,NetAdditions!$A$2:$H$336,6,FALSE)</f>
        <v>654</v>
      </c>
      <c r="BX308" s="39">
        <f>VLOOKUP($A308,NetAdditions!$A$2:$H$336,7,FALSE)</f>
        <v>404</v>
      </c>
      <c r="BY308" s="39">
        <f>IF((VLOOKUP($C308,NetAdditions!$A$2:$H$336,8,FALSE))="",(AVERAGE(VLOOKUP($C308,NetAdditions!$A$2:$H$336,5,FALSE),VLOOKUP($C308,NetAdditions!$A$2:$H$336,6,FALSE),VLOOKUP($C308,NetAdditions!$A$2:$H$336,7,FALSE))),VLOOKUP($C308,NetAdditions!$A$2:$H$336,8,FALSE))</f>
        <v>310</v>
      </c>
      <c r="BZ308" s="39">
        <f t="shared" si="244"/>
        <v>456</v>
      </c>
      <c r="CA308" s="39">
        <f t="shared" si="244"/>
        <v>390</v>
      </c>
      <c r="CB308" s="39">
        <f t="shared" si="244"/>
        <v>385.33333333333331</v>
      </c>
      <c r="CC308" s="39">
        <f t="shared" si="244"/>
        <v>410.4444444444444</v>
      </c>
      <c r="CD308" s="39">
        <f t="shared" si="244"/>
        <v>395.25925925925918</v>
      </c>
      <c r="CE308" s="276">
        <f t="shared" si="202"/>
        <v>2612</v>
      </c>
      <c r="CF308" s="276">
        <f t="shared" si="203"/>
        <v>2195</v>
      </c>
      <c r="CG308" s="276">
        <f t="shared" si="204"/>
        <v>1801</v>
      </c>
      <c r="CH308" s="276">
        <f t="shared" si="205"/>
        <v>1373</v>
      </c>
      <c r="CI308" s="276">
        <f t="shared" si="206"/>
        <v>1334</v>
      </c>
      <c r="CJ308" s="276">
        <f t="shared" si="207"/>
        <v>1292</v>
      </c>
      <c r="CK308" s="276">
        <f t="shared" si="227"/>
        <v>2249.2222222222222</v>
      </c>
      <c r="CL308" s="276">
        <f t="shared" si="228"/>
        <v>1890.1388888888889</v>
      </c>
      <c r="CM308" s="276">
        <f t="shared" si="229"/>
        <v>1650.9166666666665</v>
      </c>
      <c r="CN308" s="276">
        <f t="shared" si="230"/>
        <v>1373</v>
      </c>
      <c r="CO308" s="276">
        <f t="shared" si="230"/>
        <v>1334</v>
      </c>
      <c r="CP308" s="276">
        <f t="shared" si="230"/>
        <v>1292</v>
      </c>
      <c r="CQ308" s="39">
        <f t="shared" si="208"/>
        <v>1368</v>
      </c>
      <c r="CR308" s="39">
        <f t="shared" si="209"/>
        <v>1170</v>
      </c>
      <c r="CS308" s="277">
        <f t="shared" si="210"/>
        <v>1156</v>
      </c>
      <c r="CT308" s="39">
        <f t="shared" si="211"/>
        <v>1231.3333333333333</v>
      </c>
      <c r="CU308" s="39">
        <f t="shared" si="212"/>
        <v>1185.7777777777776</v>
      </c>
      <c r="CV308" s="39">
        <f t="shared" si="213"/>
        <v>1191.037037037037</v>
      </c>
      <c r="CW308" s="297">
        <f t="shared" si="214"/>
        <v>0.60821024551696889</v>
      </c>
      <c r="CX308" s="279" t="str">
        <f t="shared" si="231"/>
        <v>Buffer and Action Plan</v>
      </c>
      <c r="CY308" s="278">
        <f t="shared" si="215"/>
        <v>0.61900213094275847</v>
      </c>
      <c r="CZ308" s="279" t="str">
        <f t="shared" si="232"/>
        <v>Buffer and Action Plan</v>
      </c>
      <c r="DA308" s="278">
        <f t="shared" si="216"/>
        <v>0.70021705113320887</v>
      </c>
      <c r="DB308" s="292" t="str">
        <f t="shared" si="233"/>
        <v>Presumption</v>
      </c>
      <c r="DC308" s="299">
        <f t="shared" si="234"/>
        <v>0.89681961641175034</v>
      </c>
      <c r="DD308" s="293" t="str">
        <f t="shared" si="235"/>
        <v>Action Plan</v>
      </c>
      <c r="DE308" s="299">
        <f t="shared" si="236"/>
        <v>0.88888888888888873</v>
      </c>
      <c r="DF308" s="293" t="str">
        <f t="shared" si="237"/>
        <v>Action Plan</v>
      </c>
      <c r="DG308" s="299">
        <f t="shared" si="238"/>
        <v>0.92185529182433201</v>
      </c>
      <c r="DH308" s="293" t="str">
        <f t="shared" si="239"/>
        <v>Action Plan</v>
      </c>
    </row>
    <row r="309" spans="1:112" ht="15" thickTop="1" thickBot="1">
      <c r="A309" s="38" t="s">
        <v>728</v>
      </c>
      <c r="B309" s="38" t="s">
        <v>729</v>
      </c>
      <c r="C309" s="38" t="s">
        <v>728</v>
      </c>
      <c r="D309" s="38" t="s">
        <v>116</v>
      </c>
      <c r="E309" s="38" t="str">
        <f>VLOOKUP(C309,PoliticalControl!A:K,11,FALSE)</f>
        <v>NOC</v>
      </c>
      <c r="F309" s="38" t="str">
        <f>VLOOKUP(C309,UrbanRuralClassification!A:N,13,FALSE)</f>
        <v>Urban with Major Conurbation</v>
      </c>
      <c r="G309" s="38" t="str">
        <f>VLOOKUP(C309,UrbanRuralClassification!A:N,14,FALSE)</f>
        <v>Predominantly Urban</v>
      </c>
      <c r="H309" s="258" t="str">
        <f>IF(ISBLANK((VLOOKUP($A309,'local-plan-data'!$C$1:$AD$566,27,FALSE)))=TRUE,"",VLOOKUP($A309,'local-plan-data'!$C$1:$AD$566,27,FALSE))</f>
        <v/>
      </c>
      <c r="I309" s="259">
        <f>VLOOKUP($A309,'local-plan-data'!$C$1:$AD$566,28,FALSE)</f>
        <v>1117.0588235294117</v>
      </c>
      <c r="J309" s="260">
        <f t="shared" si="217"/>
        <v>1117.0588235294117</v>
      </c>
      <c r="K309" s="259" t="str">
        <f t="shared" si="247"/>
        <v>-</v>
      </c>
      <c r="L309" s="259" t="str">
        <f t="shared" si="245"/>
        <v>-</v>
      </c>
      <c r="M309" s="259" t="str">
        <f t="shared" si="245"/>
        <v>-</v>
      </c>
      <c r="N309" s="259" t="str">
        <f t="shared" si="245"/>
        <v>-</v>
      </c>
      <c r="O309" s="259" t="str">
        <f t="shared" si="245"/>
        <v>-</v>
      </c>
      <c r="P309" s="259" t="str">
        <f t="shared" si="245"/>
        <v>-</v>
      </c>
      <c r="Q309" s="259" t="str">
        <f t="shared" si="245"/>
        <v>-</v>
      </c>
      <c r="R309" s="259" t="str">
        <f t="shared" si="245"/>
        <v>-</v>
      </c>
      <c r="S309" s="259" t="str">
        <f t="shared" si="248"/>
        <v>-</v>
      </c>
      <c r="T309" s="259" t="str">
        <f t="shared" si="246"/>
        <v>-</v>
      </c>
      <c r="U309" s="259" t="str">
        <f t="shared" si="246"/>
        <v>-</v>
      </c>
      <c r="V309" s="259" t="str">
        <f t="shared" si="246"/>
        <v>-</v>
      </c>
      <c r="W309" s="259" t="str">
        <f t="shared" si="246"/>
        <v>-</v>
      </c>
      <c r="X309" s="259" t="str">
        <f t="shared" si="246"/>
        <v>-</v>
      </c>
      <c r="Y309" s="259" t="str">
        <f t="shared" si="246"/>
        <v>-</v>
      </c>
      <c r="Z309" s="259" t="str">
        <f t="shared" si="246"/>
        <v>-</v>
      </c>
      <c r="AA309" s="267">
        <f>(VLOOKUP(A309,Hshldprojections2014!$A$2:$AW$319,40, FALSE)-VLOOKUP(A309,Hshldprojections2014!$A$2:$AW$319,30, FALSE))/10</f>
        <v>708.9</v>
      </c>
      <c r="AB309" s="267">
        <f>(VLOOKUP(A309,Hshldprojections2014!$A$2:$AW$319,41, FALSE)-VLOOKUP(A309,Hshldprojections2014!$A$2:$AW$319,31, FALSE))/10</f>
        <v>699.6</v>
      </c>
      <c r="AC309" s="267">
        <f>(VLOOKUP(A309,Hshldprojections2014!$A$2:$AW$319,42, FALSE)-VLOOKUP(A309,Hshldprojections2014!$A$2:$AW$319,32, FALSE))/10</f>
        <v>684.7</v>
      </c>
      <c r="AD309" s="267">
        <f>IF(IndividualLATest!$J$7=2014,(VLOOKUP($A309,Hshldprojections2014!$A$2:$AY$326,43,FALSE)-VLOOKUP($A309,Hshldprojections2014!$A$2:$AY$326,33,FALSE))/10,IF(IndividualLATest!$J$7=2016,(VLOOKUP($A309,Hshldprojections2016!$A$1:$AQ$322,33,FALSE)-VLOOKUP($A309,Hshldprojections2016!$A$1:$AQ$322,23,FALSE))/10,(VLOOKUP($A309,Hshldprojections2018!$A$1:$AQ$327,33,FALSE)-VLOOKUP($A309,Hshldprojections2018!$A$1:$AQ$327,23,FALSE))/10))</f>
        <v>606.79999999999995</v>
      </c>
      <c r="AE309" s="267">
        <f>IF(IndividualLATest!$J$7=2014,(VLOOKUP($A309,Hshldprojections2014!$A$2:$AY$326,44,FALSE)-VLOOKUP($A309,Hshldprojections2014!$A$2:$AY$326,34,FALSE))/10,IF(IndividualLATest!$J$7=2016,(VLOOKUP($A309,Hshldprojections2016!$A$1:$AQ$322,34,FALSE)-VLOOKUP($A309,Hshldprojections2016!$A$1:$AQ$322,24,FALSE))/10,(VLOOKUP($A309,Hshldprojections2018!$A$1:$AQ$327,34,FALSE)-VLOOKUP($A309,Hshldprojections2018!$A$1:$AQ$327,24,FALSE))/10))</f>
        <v>597</v>
      </c>
      <c r="AF309" s="267">
        <f>IF(IndividualLATest!$J$7=2014,(VLOOKUP($A309,Hshldprojections2014!$A$2:$AY$326,45,FALSE)-VLOOKUP($A309,Hshldprojections2014!$A$2:$AY$326,35,FALSE))/10,IF(IndividualLATest!$J$7=2016,(VLOOKUP($A309,Hshldprojections2016!$A$1:$AQ$322,35,FALSE)-VLOOKUP($A309,Hshldprojections2016!$A$1:$AQ$322,25,FALSE))/10,(VLOOKUP($A309,Hshldprojections2018!$A$1:$AQ$327,35,FALSE)-VLOOKUP($A309,Hshldprojections2018!$A$1:$AQ$327,25,FALSE))/10))</f>
        <v>586.70000000000005</v>
      </c>
      <c r="AG309" s="267">
        <f>IF(IndividualLATest!$J$7=2014,(VLOOKUP($A309,Hshldprojections2014!$A$2:$AY$326,46,FALSE)-VLOOKUP($A309,Hshldprojections2014!$A$2:$AY$326,36,FALSE))/10,IF(IndividualLATest!$J$7=2016,(VLOOKUP($A309,Hshldprojections2016!$A$1:$AQ$322,36,FALSE)-VLOOKUP($A309,Hshldprojections2016!$A$1:$AQ$322,26,FALSE))/10,(VLOOKUP($A309,Hshldprojections2018!$A$1:$AQ$327,36,FALSE)-VLOOKUP($A309,Hshldprojections2018!$A$1:$AQ$327,26,FALSE))/10))</f>
        <v>580.6</v>
      </c>
      <c r="AH309" s="267">
        <f>IF(IndividualLATest!$J$7=2014,(VLOOKUP($A309,Hshldprojections2014!$A$2:$AY$326,47,FALSE)-VLOOKUP($A309,Hshldprojections2014!$A$2:$AY$326,37,FALSE))/10,IF(IndividualLATest!$J$7=2016,(VLOOKUP($A309,Hshldprojections2016!$A$1:$AQ$322,37,FALSE)-VLOOKUP($A309,Hshldprojections2016!$A$1:$AQ$322,27,FALSE))/10,(VLOOKUP($A309,Hshldprojections2018!$A$1:$AQ$327,37,FALSE)-VLOOKUP($A309,Hshldprojections2018!$A$1:$AQ$327,27,FALSE))/10))</f>
        <v>575.70000000000005</v>
      </c>
      <c r="AI309" s="268">
        <f>IF(ISNUMBER('Sensitivity Tests'!$C$30),'Sensitivity Tests'!$C$30,VLOOKUP($A309,AffordabilityRatio!$A$2:$I$321,5,FALSE))</f>
        <v>5.92</v>
      </c>
      <c r="AJ309" s="268">
        <f>IF(ISNUMBER('Sensitivity Tests'!$C$30),'Sensitivity Tests'!$C$30,VLOOKUP($A309,AffordabilityRatio!$A$2:$I$321,6,FALSE))</f>
        <v>6.22</v>
      </c>
      <c r="AK309" s="268">
        <f>IF(ISNUMBER('Sensitivity Tests'!$C$30),'Sensitivity Tests'!$C$30,VLOOKUP($A309,AffordabilityRatio!$A$2:$I$321,7,FALSE))</f>
        <v>6.21</v>
      </c>
      <c r="AL309" s="268">
        <f>IF(ISNUMBER('Sensitivity Tests'!$C$30),'Sensitivity Tests'!$C$30,IF((VLOOKUP($A309,AffordabilityRatio!$A$2:$I$321,8,FALSE))="",AK309,VLOOKUP($A309,AffordabilityRatio!$A$2:$I$321,8,FALSE)))</f>
        <v>6.25</v>
      </c>
      <c r="AM309" s="268">
        <f>IF(ISNUMBER('Sensitivity Tests'!$C$30),'Sensitivity Tests'!$C$30,IF((VLOOKUP($A309,AffordabilityRatio!$A$2:$I$321,9,FALSE))="",AL309,VLOOKUP($A309,AffordabilityRatio!$A$2:$I$321,9,FALSE)))</f>
        <v>7.22</v>
      </c>
      <c r="AN309" s="268">
        <f>IF(ISNUMBER('Sensitivity Tests'!$C$30),'Sensitivity Tests'!$C$30,IF((VLOOKUP($A309,AffordabilityRatio!$A$2:$I$321,9,FALSE))="",AM309,VLOOKUP($A309,AffordabilityRatio!$A$2:$I$321,9,FALSE)))</f>
        <v>7.22</v>
      </c>
      <c r="AO309" s="268">
        <f>IF(ISNUMBER('Sensitivity Tests'!$C$30),'Sensitivity Tests'!$C$30,IF((VLOOKUP($A309,AffordabilityRatio!$A$2:$I$321,9,FALSE))="",AN309,VLOOKUP($A309,AffordabilityRatio!$A$2:$I$321,9,FALSE)))</f>
        <v>7.22</v>
      </c>
      <c r="AP309" s="268">
        <f>IF(ISNUMBER('Sensitivity Tests'!$C$30),'Sensitivity Tests'!$C$30,IF((VLOOKUP($A309,AffordabilityRatio!$A$2:$I$321,9,FALSE))="",AO309,VLOOKUP($A309,AffordabilityRatio!$A$2:$I$321,9,FALSE)))</f>
        <v>7.22</v>
      </c>
      <c r="AQ309" s="267">
        <f t="shared" si="243"/>
        <v>794</v>
      </c>
      <c r="AR309" s="267">
        <f t="shared" si="243"/>
        <v>797</v>
      </c>
      <c r="AS309" s="267">
        <f t="shared" si="243"/>
        <v>779</v>
      </c>
      <c r="AT309" s="267">
        <f t="shared" si="242"/>
        <v>692</v>
      </c>
      <c r="AU309" s="267">
        <f t="shared" si="242"/>
        <v>717</v>
      </c>
      <c r="AV309" s="267">
        <f t="shared" si="242"/>
        <v>705</v>
      </c>
      <c r="AW309" s="267">
        <f t="shared" si="242"/>
        <v>697</v>
      </c>
      <c r="AX309" s="267">
        <f t="shared" si="242"/>
        <v>692</v>
      </c>
      <c r="AY309" s="267">
        <f t="shared" si="218"/>
        <v>794</v>
      </c>
      <c r="AZ309" s="267">
        <f t="shared" si="219"/>
        <v>797</v>
      </c>
      <c r="BA309" s="267">
        <f t="shared" si="220"/>
        <v>779</v>
      </c>
      <c r="BB309" s="267">
        <f t="shared" si="221"/>
        <v>692</v>
      </c>
      <c r="BC309" s="267">
        <f t="shared" si="222"/>
        <v>717</v>
      </c>
      <c r="BD309" s="267">
        <f t="shared" si="223"/>
        <v>705</v>
      </c>
      <c r="BE309" s="267">
        <f t="shared" si="224"/>
        <v>697</v>
      </c>
      <c r="BF309" s="267">
        <f t="shared" si="225"/>
        <v>692</v>
      </c>
      <c r="BG309" s="269">
        <f>AY309*VLOOKUP($B309,'Major Cities &amp; Towns'!$A$28:$B$345,2,FALSE)</f>
        <v>794</v>
      </c>
      <c r="BH309" s="269">
        <f>AZ309*VLOOKUP($B309,'Major Cities &amp; Towns'!$A$28:$B$345,2,FALSE)</f>
        <v>797</v>
      </c>
      <c r="BI309" s="269">
        <f>BA309*VLOOKUP($B309,'Major Cities &amp; Towns'!$A$28:$B$345,2,FALSE)</f>
        <v>779</v>
      </c>
      <c r="BJ309" s="269">
        <f>BB309*VLOOKUP($B309,'Major Cities &amp; Towns'!$A$28:$B$345,2,FALSE)</f>
        <v>692</v>
      </c>
      <c r="BK309" s="269">
        <f>BC309*VLOOKUP($B309,'Major Cities &amp; Towns'!$A$28:$B$345,2,FALSE)</f>
        <v>717</v>
      </c>
      <c r="BL309" s="269">
        <f>BD309*VLOOKUP($B309,'Major Cities &amp; Towns'!$A$28:$B$345,2,FALSE)</f>
        <v>705</v>
      </c>
      <c r="BM309" s="269">
        <f>BE309*VLOOKUP($B309,'Major Cities &amp; Towns'!$A$28:$B$345,2,FALSE)</f>
        <v>697</v>
      </c>
      <c r="BN309" s="269">
        <f>BF309*VLOOKUP($B309,'Major Cities &amp; Towns'!$A$28:$B$345,2,FALSE)</f>
        <v>692</v>
      </c>
      <c r="BO309" s="270">
        <f t="shared" si="226"/>
        <v>794</v>
      </c>
      <c r="BP309" s="270">
        <f t="shared" si="201"/>
        <v>797</v>
      </c>
      <c r="BQ309" s="270">
        <f t="shared" si="201"/>
        <v>779</v>
      </c>
      <c r="BR309" s="270">
        <f t="shared" si="201"/>
        <v>692</v>
      </c>
      <c r="BS309" s="270">
        <f t="shared" si="200"/>
        <v>717</v>
      </c>
      <c r="BT309" s="270">
        <f t="shared" si="200"/>
        <v>705</v>
      </c>
      <c r="BU309" s="270">
        <f t="shared" si="200"/>
        <v>697</v>
      </c>
      <c r="BV309" s="270">
        <f t="shared" si="200"/>
        <v>692</v>
      </c>
      <c r="BW309" s="39">
        <f>VLOOKUP($A309,NetAdditions!$A$2:$H$336,6,FALSE)</f>
        <v>643</v>
      </c>
      <c r="BX309" s="39">
        <f>VLOOKUP($A309,NetAdditions!$A$2:$H$336,7,FALSE)</f>
        <v>747</v>
      </c>
      <c r="BY309" s="39">
        <f>IF((VLOOKUP($C309,NetAdditions!$A$2:$H$336,8,FALSE))="",(AVERAGE(VLOOKUP($C309,NetAdditions!$A$2:$H$336,5,FALSE),VLOOKUP($C309,NetAdditions!$A$2:$H$336,6,FALSE),VLOOKUP($C309,NetAdditions!$A$2:$H$336,7,FALSE))),VLOOKUP($C309,NetAdditions!$A$2:$H$336,8,FALSE))</f>
        <v>574</v>
      </c>
      <c r="BZ309" s="39">
        <f t="shared" si="244"/>
        <v>654.66666666666663</v>
      </c>
      <c r="CA309" s="39">
        <f t="shared" si="244"/>
        <v>658.55555555555554</v>
      </c>
      <c r="CB309" s="39">
        <f t="shared" si="244"/>
        <v>629.07407407407402</v>
      </c>
      <c r="CC309" s="39">
        <f t="shared" si="244"/>
        <v>647.43209876543199</v>
      </c>
      <c r="CD309" s="39">
        <f t="shared" si="244"/>
        <v>645.02057613168711</v>
      </c>
      <c r="CE309" s="276">
        <f t="shared" si="202"/>
        <v>2370</v>
      </c>
      <c r="CF309" s="276">
        <f t="shared" si="203"/>
        <v>2268</v>
      </c>
      <c r="CG309" s="276">
        <f t="shared" si="204"/>
        <v>2188</v>
      </c>
      <c r="CH309" s="276">
        <f t="shared" si="205"/>
        <v>2114</v>
      </c>
      <c r="CI309" s="276">
        <f t="shared" si="206"/>
        <v>2119</v>
      </c>
      <c r="CJ309" s="276">
        <f t="shared" si="207"/>
        <v>2094</v>
      </c>
      <c r="CK309" s="276">
        <f t="shared" si="227"/>
        <v>2040.8333333333335</v>
      </c>
      <c r="CL309" s="276">
        <f t="shared" si="228"/>
        <v>1953</v>
      </c>
      <c r="CM309" s="276">
        <f t="shared" si="229"/>
        <v>2005.6666666666665</v>
      </c>
      <c r="CN309" s="276">
        <f t="shared" si="230"/>
        <v>2114</v>
      </c>
      <c r="CO309" s="276">
        <f t="shared" si="230"/>
        <v>2119</v>
      </c>
      <c r="CP309" s="276">
        <f t="shared" si="230"/>
        <v>2094</v>
      </c>
      <c r="CQ309" s="39">
        <f t="shared" si="208"/>
        <v>1964</v>
      </c>
      <c r="CR309" s="39">
        <f t="shared" si="209"/>
        <v>1975.6666666666665</v>
      </c>
      <c r="CS309" s="277">
        <f t="shared" si="210"/>
        <v>1887.2222222222222</v>
      </c>
      <c r="CT309" s="39">
        <f t="shared" si="211"/>
        <v>1942.2962962962961</v>
      </c>
      <c r="CU309" s="39">
        <f t="shared" si="212"/>
        <v>1935.0617283950614</v>
      </c>
      <c r="CV309" s="39">
        <f t="shared" si="213"/>
        <v>1921.5267489711932</v>
      </c>
      <c r="CW309" s="297">
        <f t="shared" si="214"/>
        <v>0.96235198040016323</v>
      </c>
      <c r="CX309" s="279" t="str">
        <f t="shared" si="231"/>
        <v>Pass</v>
      </c>
      <c r="CY309" s="278">
        <f t="shared" si="215"/>
        <v>1.011606076122205</v>
      </c>
      <c r="CZ309" s="279" t="str">
        <f t="shared" si="232"/>
        <v>Pass</v>
      </c>
      <c r="DA309" s="278">
        <f t="shared" si="216"/>
        <v>0.94094509999446019</v>
      </c>
      <c r="DB309" s="292" t="str">
        <f t="shared" si="233"/>
        <v>Action Plan</v>
      </c>
      <c r="DC309" s="299">
        <f t="shared" si="234"/>
        <v>0.91877781281754778</v>
      </c>
      <c r="DD309" s="293" t="str">
        <f t="shared" si="235"/>
        <v>Action Plan</v>
      </c>
      <c r="DE309" s="299">
        <f t="shared" si="236"/>
        <v>0.91319571892169016</v>
      </c>
      <c r="DF309" s="293" t="str">
        <f t="shared" si="237"/>
        <v>Action Plan</v>
      </c>
      <c r="DG309" s="299">
        <f t="shared" si="238"/>
        <v>0.91763455060706456</v>
      </c>
      <c r="DH309" s="293" t="str">
        <f t="shared" si="239"/>
        <v>Action Plan</v>
      </c>
    </row>
    <row r="310" spans="1:112" ht="15" thickTop="1" thickBot="1">
      <c r="A310" s="38" t="s">
        <v>730</v>
      </c>
      <c r="B310" s="38" t="s">
        <v>731</v>
      </c>
      <c r="C310" s="38" t="s">
        <v>730</v>
      </c>
      <c r="D310" s="38" t="s">
        <v>113</v>
      </c>
      <c r="E310" s="38" t="str">
        <f>VLOOKUP(C310,PoliticalControl!A:K,11,FALSE)</f>
        <v>NOC</v>
      </c>
      <c r="F310" s="38" t="str">
        <f>VLOOKUP(C310,UrbanRuralClassification!A:N,13,FALSE)</f>
        <v>Urban with Major Conurbation</v>
      </c>
      <c r="G310" s="38" t="str">
        <f>VLOOKUP(C310,UrbanRuralClassification!A:N,14,FALSE)</f>
        <v>Predominantly Urban</v>
      </c>
      <c r="H310" s="258">
        <f>IF(ISBLANK((VLOOKUP($A310,'local-plan-data'!$C$1:$AD$566,27,FALSE)))=TRUE,"",VLOOKUP($A310,'local-plan-data'!$C$1:$AD$566,27,FALSE))</f>
        <v>41207</v>
      </c>
      <c r="I310" s="259">
        <f>VLOOKUP($A310,'local-plan-data'!$C$1:$AD$566,28,FALSE)</f>
        <v>292</v>
      </c>
      <c r="J310" s="260">
        <f t="shared" si="217"/>
        <v>292</v>
      </c>
      <c r="K310" s="259" t="str">
        <f t="shared" si="247"/>
        <v>-</v>
      </c>
      <c r="L310" s="259" t="str">
        <f t="shared" si="245"/>
        <v>-</v>
      </c>
      <c r="M310" s="259" t="str">
        <f t="shared" si="245"/>
        <v>-</v>
      </c>
      <c r="N310" s="259" t="str">
        <f t="shared" si="245"/>
        <v>-</v>
      </c>
      <c r="O310" s="259" t="str">
        <f t="shared" si="245"/>
        <v>-</v>
      </c>
      <c r="P310" s="259" t="str">
        <f t="shared" si="245"/>
        <v>-</v>
      </c>
      <c r="Q310" s="259" t="str">
        <f t="shared" si="245"/>
        <v>-</v>
      </c>
      <c r="R310" s="259" t="str">
        <f t="shared" si="245"/>
        <v>-</v>
      </c>
      <c r="S310" s="259">
        <f t="shared" si="248"/>
        <v>-158</v>
      </c>
      <c r="T310" s="259">
        <f t="shared" si="246"/>
        <v>-523</v>
      </c>
      <c r="U310" s="259">
        <f t="shared" si="246"/>
        <v>-889</v>
      </c>
      <c r="V310" s="259">
        <f t="shared" si="246"/>
        <v>-1254</v>
      </c>
      <c r="W310" s="259">
        <f t="shared" si="246"/>
        <v>-1619</v>
      </c>
      <c r="X310" s="259">
        <f t="shared" si="246"/>
        <v>-1984</v>
      </c>
      <c r="Y310" s="259">
        <f t="shared" si="246"/>
        <v>-2350</v>
      </c>
      <c r="Z310" s="259">
        <f t="shared" si="246"/>
        <v>-2715</v>
      </c>
      <c r="AA310" s="267">
        <f>(VLOOKUP(A310,Hshldprojections2014!$A$2:$AW$319,40, FALSE)-VLOOKUP(A310,Hshldprojections2014!$A$2:$AW$319,30, FALSE))/10</f>
        <v>307.60000000000002</v>
      </c>
      <c r="AB310" s="267">
        <f>(VLOOKUP(A310,Hshldprojections2014!$A$2:$AW$319,41, FALSE)-VLOOKUP(A310,Hshldprojections2014!$A$2:$AW$319,31, FALSE))/10</f>
        <v>307.5</v>
      </c>
      <c r="AC310" s="267">
        <f>(VLOOKUP(A310,Hshldprojections2014!$A$2:$AW$319,42, FALSE)-VLOOKUP(A310,Hshldprojections2014!$A$2:$AW$319,32, FALSE))/10</f>
        <v>308</v>
      </c>
      <c r="AD310" s="267">
        <f>IF(IndividualLATest!$J$7=2014,(VLOOKUP($A310,Hshldprojections2014!$A$2:$AY$326,43,FALSE)-VLOOKUP($A310,Hshldprojections2014!$A$2:$AY$326,33,FALSE))/10,IF(IndividualLATest!$J$7=2016,(VLOOKUP($A310,Hshldprojections2016!$A$1:$AQ$322,33,FALSE)-VLOOKUP($A310,Hshldprojections2016!$A$1:$AQ$322,23,FALSE))/10,(VLOOKUP($A310,Hshldprojections2018!$A$1:$AQ$327,33,FALSE)-VLOOKUP($A310,Hshldprojections2018!$A$1:$AQ$327,23,FALSE))/10))</f>
        <v>77.400000000000006</v>
      </c>
      <c r="AE310" s="267">
        <f>IF(IndividualLATest!$J$7=2014,(VLOOKUP($A310,Hshldprojections2014!$A$2:$AY$326,44,FALSE)-VLOOKUP($A310,Hshldprojections2014!$A$2:$AY$326,34,FALSE))/10,IF(IndividualLATest!$J$7=2016,(VLOOKUP($A310,Hshldprojections2016!$A$1:$AQ$322,34,FALSE)-VLOOKUP($A310,Hshldprojections2016!$A$1:$AQ$322,24,FALSE))/10,(VLOOKUP($A310,Hshldprojections2018!$A$1:$AQ$327,34,FALSE)-VLOOKUP($A310,Hshldprojections2018!$A$1:$AQ$327,24,FALSE))/10))</f>
        <v>74.900000000000006</v>
      </c>
      <c r="AF310" s="267">
        <f>IF(IndividualLATest!$J$7=2014,(VLOOKUP($A310,Hshldprojections2014!$A$2:$AY$326,45,FALSE)-VLOOKUP($A310,Hshldprojections2014!$A$2:$AY$326,35,FALSE))/10,IF(IndividualLATest!$J$7=2016,(VLOOKUP($A310,Hshldprojections2016!$A$1:$AQ$322,35,FALSE)-VLOOKUP($A310,Hshldprojections2016!$A$1:$AQ$322,25,FALSE))/10,(VLOOKUP($A310,Hshldprojections2018!$A$1:$AQ$327,35,FALSE)-VLOOKUP($A310,Hshldprojections2018!$A$1:$AQ$327,25,FALSE))/10))</f>
        <v>73.2</v>
      </c>
      <c r="AG310" s="267">
        <f>IF(IndividualLATest!$J$7=2014,(VLOOKUP($A310,Hshldprojections2014!$A$2:$AY$326,46,FALSE)-VLOOKUP($A310,Hshldprojections2014!$A$2:$AY$326,36,FALSE))/10,IF(IndividualLATest!$J$7=2016,(VLOOKUP($A310,Hshldprojections2016!$A$1:$AQ$322,36,FALSE)-VLOOKUP($A310,Hshldprojections2016!$A$1:$AQ$322,26,FALSE))/10,(VLOOKUP($A310,Hshldprojections2018!$A$1:$AQ$327,36,FALSE)-VLOOKUP($A310,Hshldprojections2018!$A$1:$AQ$327,26,FALSE))/10))</f>
        <v>71.400000000000006</v>
      </c>
      <c r="AH310" s="267">
        <f>IF(IndividualLATest!$J$7=2014,(VLOOKUP($A310,Hshldprojections2014!$A$2:$AY$326,47,FALSE)-VLOOKUP($A310,Hshldprojections2014!$A$2:$AY$326,37,FALSE))/10,IF(IndividualLATest!$J$7=2016,(VLOOKUP($A310,Hshldprojections2016!$A$1:$AQ$322,37,FALSE)-VLOOKUP($A310,Hshldprojections2016!$A$1:$AQ$322,27,FALSE))/10,(VLOOKUP($A310,Hshldprojections2018!$A$1:$AQ$327,37,FALSE)-VLOOKUP($A310,Hshldprojections2018!$A$1:$AQ$327,27,FALSE))/10))</f>
        <v>71.599999999999994</v>
      </c>
      <c r="AI310" s="268">
        <f>IF(ISNUMBER('Sensitivity Tests'!$C$30),'Sensitivity Tests'!$C$30,VLOOKUP($A310,AffordabilityRatio!$A$2:$I$321,5,FALSE))</f>
        <v>12.24</v>
      </c>
      <c r="AJ310" s="268">
        <f>IF(ISNUMBER('Sensitivity Tests'!$C$30),'Sensitivity Tests'!$C$30,VLOOKUP($A310,AffordabilityRatio!$A$2:$I$321,6,FALSE))</f>
        <v>11.85</v>
      </c>
      <c r="AK310" s="268">
        <f>IF(ISNUMBER('Sensitivity Tests'!$C$30),'Sensitivity Tests'!$C$30,VLOOKUP($A310,AffordabilityRatio!$A$2:$I$321,7,FALSE))</f>
        <v>10.49</v>
      </c>
      <c r="AL310" s="268">
        <f>IF(ISNUMBER('Sensitivity Tests'!$C$30),'Sensitivity Tests'!$C$30,IF((VLOOKUP($A310,AffordabilityRatio!$A$2:$I$321,8,FALSE))="",AK310,VLOOKUP($A310,AffordabilityRatio!$A$2:$I$321,8,FALSE)))</f>
        <v>10.220000000000001</v>
      </c>
      <c r="AM310" s="268">
        <f>IF(ISNUMBER('Sensitivity Tests'!$C$30),'Sensitivity Tests'!$C$30,IF((VLOOKUP($A310,AffordabilityRatio!$A$2:$I$321,9,FALSE))="",AL310,VLOOKUP($A310,AffordabilityRatio!$A$2:$I$321,9,FALSE)))</f>
        <v>13.12</v>
      </c>
      <c r="AN310" s="268">
        <f>IF(ISNUMBER('Sensitivity Tests'!$C$30),'Sensitivity Tests'!$C$30,IF((VLOOKUP($A310,AffordabilityRatio!$A$2:$I$321,9,FALSE))="",AM310,VLOOKUP($A310,AffordabilityRatio!$A$2:$I$321,9,FALSE)))</f>
        <v>13.12</v>
      </c>
      <c r="AO310" s="268">
        <f>IF(ISNUMBER('Sensitivity Tests'!$C$30),'Sensitivity Tests'!$C$30,IF((VLOOKUP($A310,AffordabilityRatio!$A$2:$I$321,9,FALSE))="",AN310,VLOOKUP($A310,AffordabilityRatio!$A$2:$I$321,9,FALSE)))</f>
        <v>13.12</v>
      </c>
      <c r="AP310" s="268">
        <f>IF(ISNUMBER('Sensitivity Tests'!$C$30),'Sensitivity Tests'!$C$30,IF((VLOOKUP($A310,AffordabilityRatio!$A$2:$I$321,9,FALSE))="",AO310,VLOOKUP($A310,AffordabilityRatio!$A$2:$I$321,9,FALSE)))</f>
        <v>13.12</v>
      </c>
      <c r="AQ310" s="267">
        <f t="shared" si="243"/>
        <v>466</v>
      </c>
      <c r="AR310" s="267">
        <f t="shared" si="243"/>
        <v>458</v>
      </c>
      <c r="AS310" s="267">
        <f t="shared" si="243"/>
        <v>433</v>
      </c>
      <c r="AT310" s="267">
        <f t="shared" si="242"/>
        <v>107</v>
      </c>
      <c r="AU310" s="267">
        <f t="shared" si="242"/>
        <v>118</v>
      </c>
      <c r="AV310" s="267">
        <f t="shared" si="242"/>
        <v>115</v>
      </c>
      <c r="AW310" s="267">
        <f t="shared" si="242"/>
        <v>112</v>
      </c>
      <c r="AX310" s="267">
        <f t="shared" si="242"/>
        <v>112</v>
      </c>
      <c r="AY310" s="267">
        <f t="shared" si="218"/>
        <v>430.64000000000004</v>
      </c>
      <c r="AZ310" s="267">
        <f t="shared" si="219"/>
        <v>430.5</v>
      </c>
      <c r="BA310" s="267">
        <f t="shared" si="220"/>
        <v>431.2</v>
      </c>
      <c r="BB310" s="267">
        <f t="shared" si="221"/>
        <v>107</v>
      </c>
      <c r="BC310" s="267">
        <f t="shared" si="222"/>
        <v>118</v>
      </c>
      <c r="BD310" s="267">
        <f t="shared" si="223"/>
        <v>115</v>
      </c>
      <c r="BE310" s="267">
        <f t="shared" si="224"/>
        <v>112</v>
      </c>
      <c r="BF310" s="267">
        <f t="shared" si="225"/>
        <v>112</v>
      </c>
      <c r="BG310" s="269">
        <f>AY310*VLOOKUP($B310,'Major Cities &amp; Towns'!$A$28:$B$345,2,FALSE)</f>
        <v>430.64000000000004</v>
      </c>
      <c r="BH310" s="269">
        <f>AZ310*VLOOKUP($B310,'Major Cities &amp; Towns'!$A$28:$B$345,2,FALSE)</f>
        <v>430.5</v>
      </c>
      <c r="BI310" s="269">
        <f>BA310*VLOOKUP($B310,'Major Cities &amp; Towns'!$A$28:$B$345,2,FALSE)</f>
        <v>431.2</v>
      </c>
      <c r="BJ310" s="269">
        <f>BB310*VLOOKUP($B310,'Major Cities &amp; Towns'!$A$28:$B$345,2,FALSE)</f>
        <v>107</v>
      </c>
      <c r="BK310" s="269">
        <f>BC310*VLOOKUP($B310,'Major Cities &amp; Towns'!$A$28:$B$345,2,FALSE)</f>
        <v>118</v>
      </c>
      <c r="BL310" s="269">
        <f>BD310*VLOOKUP($B310,'Major Cities &amp; Towns'!$A$28:$B$345,2,FALSE)</f>
        <v>115</v>
      </c>
      <c r="BM310" s="269">
        <f>BE310*VLOOKUP($B310,'Major Cities &amp; Towns'!$A$28:$B$345,2,FALSE)</f>
        <v>112</v>
      </c>
      <c r="BN310" s="269">
        <f>BF310*VLOOKUP($B310,'Major Cities &amp; Towns'!$A$28:$B$345,2,FALSE)</f>
        <v>112</v>
      </c>
      <c r="BO310" s="270">
        <f t="shared" si="226"/>
        <v>466</v>
      </c>
      <c r="BP310" s="270">
        <f t="shared" si="201"/>
        <v>458</v>
      </c>
      <c r="BQ310" s="270">
        <f t="shared" si="201"/>
        <v>433</v>
      </c>
      <c r="BR310" s="270">
        <f t="shared" si="201"/>
        <v>107</v>
      </c>
      <c r="BS310" s="270">
        <f t="shared" si="200"/>
        <v>118</v>
      </c>
      <c r="BT310" s="270">
        <f t="shared" si="200"/>
        <v>115</v>
      </c>
      <c r="BU310" s="270">
        <f t="shared" si="200"/>
        <v>112</v>
      </c>
      <c r="BV310" s="270">
        <f t="shared" si="200"/>
        <v>112</v>
      </c>
      <c r="BW310" s="39">
        <f>VLOOKUP($A310,NetAdditions!$A$2:$H$336,6,FALSE)</f>
        <v>231</v>
      </c>
      <c r="BX310" s="39">
        <f>VLOOKUP($A310,NetAdditions!$A$2:$H$336,7,FALSE)</f>
        <v>292</v>
      </c>
      <c r="BY310" s="39">
        <f>IF((VLOOKUP($C310,NetAdditions!$A$2:$H$336,8,FALSE))="",(AVERAGE(VLOOKUP($C310,NetAdditions!$A$2:$H$336,5,FALSE),VLOOKUP($C310,NetAdditions!$A$2:$H$336,6,FALSE),VLOOKUP($C310,NetAdditions!$A$2:$H$336,7,FALSE))),VLOOKUP($C310,NetAdditions!$A$2:$H$336,8,FALSE))</f>
        <v>141</v>
      </c>
      <c r="BZ310" s="39">
        <f t="shared" si="244"/>
        <v>221.33333333333334</v>
      </c>
      <c r="CA310" s="39">
        <f t="shared" si="244"/>
        <v>218.11111111111111</v>
      </c>
      <c r="CB310" s="39">
        <f t="shared" si="244"/>
        <v>193.4814814814815</v>
      </c>
      <c r="CC310" s="39">
        <f t="shared" si="244"/>
        <v>210.97530864197532</v>
      </c>
      <c r="CD310" s="39">
        <f t="shared" si="244"/>
        <v>207.52263374485597</v>
      </c>
      <c r="CE310" s="276">
        <f t="shared" si="202"/>
        <v>1357</v>
      </c>
      <c r="CF310" s="276">
        <f t="shared" si="203"/>
        <v>998</v>
      </c>
      <c r="CG310" s="276">
        <f t="shared" si="204"/>
        <v>658</v>
      </c>
      <c r="CH310" s="276">
        <f t="shared" si="205"/>
        <v>340</v>
      </c>
      <c r="CI310" s="276">
        <f t="shared" si="206"/>
        <v>345</v>
      </c>
      <c r="CJ310" s="276">
        <f t="shared" si="207"/>
        <v>339</v>
      </c>
      <c r="CK310" s="276">
        <f t="shared" si="227"/>
        <v>1168.5277777777778</v>
      </c>
      <c r="CL310" s="276">
        <f t="shared" si="228"/>
        <v>859.38888888888891</v>
      </c>
      <c r="CM310" s="276">
        <f t="shared" si="229"/>
        <v>603.16666666666663</v>
      </c>
      <c r="CN310" s="276">
        <f t="shared" si="230"/>
        <v>340</v>
      </c>
      <c r="CO310" s="276">
        <f t="shared" si="230"/>
        <v>345</v>
      </c>
      <c r="CP310" s="276">
        <f t="shared" si="230"/>
        <v>339</v>
      </c>
      <c r="CQ310" s="39">
        <f t="shared" si="208"/>
        <v>664</v>
      </c>
      <c r="CR310" s="39">
        <f t="shared" si="209"/>
        <v>654.33333333333337</v>
      </c>
      <c r="CS310" s="277">
        <f t="shared" si="210"/>
        <v>580.44444444444446</v>
      </c>
      <c r="CT310" s="39">
        <f t="shared" si="211"/>
        <v>632.92592592592598</v>
      </c>
      <c r="CU310" s="39">
        <f t="shared" si="212"/>
        <v>622.5679012345679</v>
      </c>
      <c r="CV310" s="39">
        <f t="shared" si="213"/>
        <v>611.97942386831278</v>
      </c>
      <c r="CW310" s="297">
        <f t="shared" si="214"/>
        <v>0.56823638481470029</v>
      </c>
      <c r="CX310" s="279" t="str">
        <f t="shared" si="231"/>
        <v>Buffer and Action Plan</v>
      </c>
      <c r="CY310" s="278">
        <f t="shared" si="215"/>
        <v>0.76139375525244035</v>
      </c>
      <c r="CZ310" s="279" t="str">
        <f t="shared" si="232"/>
        <v>Buffer and Action Plan</v>
      </c>
      <c r="DA310" s="278">
        <f t="shared" si="216"/>
        <v>0.96232845169015391</v>
      </c>
      <c r="DB310" s="292" t="str">
        <f t="shared" si="233"/>
        <v>Pass</v>
      </c>
      <c r="DC310" s="299">
        <f t="shared" si="234"/>
        <v>1.8615468409586058</v>
      </c>
      <c r="DD310" s="293" t="str">
        <f t="shared" si="235"/>
        <v>Pass</v>
      </c>
      <c r="DE310" s="299">
        <f t="shared" si="236"/>
        <v>1.8045446412596171</v>
      </c>
      <c r="DF310" s="293" t="str">
        <f t="shared" si="237"/>
        <v>Pass</v>
      </c>
      <c r="DG310" s="299">
        <f t="shared" si="238"/>
        <v>1.8052490379596247</v>
      </c>
      <c r="DH310" s="293" t="str">
        <f t="shared" si="239"/>
        <v>Pass</v>
      </c>
    </row>
    <row r="311" spans="1:112" ht="15" thickTop="1" thickBot="1">
      <c r="A311" s="38" t="s">
        <v>732</v>
      </c>
      <c r="B311" s="38" t="s">
        <v>733</v>
      </c>
      <c r="C311" s="38" t="s">
        <v>732</v>
      </c>
      <c r="D311" s="38" t="s">
        <v>113</v>
      </c>
      <c r="E311" s="38" t="str">
        <f>VLOOKUP(C311,PoliticalControl!A:K,11,FALSE)</f>
        <v>CON</v>
      </c>
      <c r="F311" s="38" t="str">
        <f>VLOOKUP(C311,UrbanRuralClassification!A:N,13,FALSE)</f>
        <v>Urban with City and Town</v>
      </c>
      <c r="G311" s="38" t="str">
        <f>VLOOKUP(C311,UrbanRuralClassification!A:N,14,FALSE)</f>
        <v>Predominantly Urban</v>
      </c>
      <c r="H311" s="258">
        <f>IF(ISBLANK((VLOOKUP($A311,'local-plan-data'!$C$1:$AD$566,27,FALSE)))=TRUE,"",VLOOKUP($A311,'local-plan-data'!$C$1:$AD$566,27,FALSE))</f>
        <v>40207</v>
      </c>
      <c r="I311" s="259">
        <f>VLOOKUP($A311,'local-plan-data'!$C$1:$AD$566,28,FALSE)</f>
        <v>661.5</v>
      </c>
      <c r="J311" s="260">
        <f t="shared" si="217"/>
        <v>661.5</v>
      </c>
      <c r="K311" s="259" t="str">
        <f t="shared" si="247"/>
        <v>-</v>
      </c>
      <c r="L311" s="259" t="str">
        <f t="shared" si="245"/>
        <v>-</v>
      </c>
      <c r="M311" s="259" t="str">
        <f t="shared" si="245"/>
        <v>-</v>
      </c>
      <c r="N311" s="259" t="str">
        <f t="shared" si="245"/>
        <v>-</v>
      </c>
      <c r="O311" s="259" t="str">
        <f t="shared" si="245"/>
        <v>-</v>
      </c>
      <c r="P311" s="259" t="str">
        <f t="shared" si="245"/>
        <v>-</v>
      </c>
      <c r="Q311" s="259" t="str">
        <f t="shared" si="245"/>
        <v>-</v>
      </c>
      <c r="R311" s="259" t="str">
        <f t="shared" si="245"/>
        <v>-</v>
      </c>
      <c r="S311" s="259">
        <f t="shared" si="248"/>
        <v>-1158</v>
      </c>
      <c r="T311" s="259">
        <f t="shared" si="246"/>
        <v>-1523</v>
      </c>
      <c r="U311" s="259">
        <f t="shared" si="246"/>
        <v>-1889</v>
      </c>
      <c r="V311" s="259">
        <f t="shared" si="246"/>
        <v>-2254</v>
      </c>
      <c r="W311" s="259">
        <f t="shared" si="246"/>
        <v>-2619</v>
      </c>
      <c r="X311" s="259">
        <f t="shared" si="246"/>
        <v>-2984</v>
      </c>
      <c r="Y311" s="259">
        <f t="shared" si="246"/>
        <v>-3350</v>
      </c>
      <c r="Z311" s="259">
        <f t="shared" si="246"/>
        <v>-3715</v>
      </c>
      <c r="AA311" s="267">
        <f>(VLOOKUP(A311,Hshldprojections2014!$A$2:$AW$319,40, FALSE)-VLOOKUP(A311,Hshldprojections2014!$A$2:$AW$319,30, FALSE))/10</f>
        <v>569.9</v>
      </c>
      <c r="AB311" s="267">
        <f>(VLOOKUP(A311,Hshldprojections2014!$A$2:$AW$319,41, FALSE)-VLOOKUP(A311,Hshldprojections2014!$A$2:$AW$319,31, FALSE))/10</f>
        <v>555.5</v>
      </c>
      <c r="AC311" s="267">
        <f>(VLOOKUP(A311,Hshldprojections2014!$A$2:$AW$319,42, FALSE)-VLOOKUP(A311,Hshldprojections2014!$A$2:$AW$319,32, FALSE))/10</f>
        <v>544.29999999999995</v>
      </c>
      <c r="AD311" s="267">
        <f>IF(IndividualLATest!$J$7=2014,(VLOOKUP($A311,Hshldprojections2014!$A$2:$AY$326,43,FALSE)-VLOOKUP($A311,Hshldprojections2014!$A$2:$AY$326,33,FALSE))/10,IF(IndividualLATest!$J$7=2016,(VLOOKUP($A311,Hshldprojections2016!$A$1:$AQ$322,33,FALSE)-VLOOKUP($A311,Hshldprojections2016!$A$1:$AQ$322,23,FALSE))/10,(VLOOKUP($A311,Hshldprojections2018!$A$1:$AQ$327,33,FALSE)-VLOOKUP($A311,Hshldprojections2018!$A$1:$AQ$327,23,FALSE))/10))</f>
        <v>652.1</v>
      </c>
      <c r="AE311" s="267">
        <f>IF(IndividualLATest!$J$7=2014,(VLOOKUP($A311,Hshldprojections2014!$A$2:$AY$326,44,FALSE)-VLOOKUP($A311,Hshldprojections2014!$A$2:$AY$326,34,FALSE))/10,IF(IndividualLATest!$J$7=2016,(VLOOKUP($A311,Hshldprojections2016!$A$1:$AQ$322,34,FALSE)-VLOOKUP($A311,Hshldprojections2016!$A$1:$AQ$322,24,FALSE))/10,(VLOOKUP($A311,Hshldprojections2018!$A$1:$AQ$327,34,FALSE)-VLOOKUP($A311,Hshldprojections2018!$A$1:$AQ$327,24,FALSE))/10))</f>
        <v>620.1</v>
      </c>
      <c r="AF311" s="267">
        <f>IF(IndividualLATest!$J$7=2014,(VLOOKUP($A311,Hshldprojections2014!$A$2:$AY$326,45,FALSE)-VLOOKUP($A311,Hshldprojections2014!$A$2:$AY$326,35,FALSE))/10,IF(IndividualLATest!$J$7=2016,(VLOOKUP($A311,Hshldprojections2016!$A$1:$AQ$322,35,FALSE)-VLOOKUP($A311,Hshldprojections2016!$A$1:$AQ$322,25,FALSE))/10,(VLOOKUP($A311,Hshldprojections2018!$A$1:$AQ$327,35,FALSE)-VLOOKUP($A311,Hshldprojections2018!$A$1:$AQ$327,25,FALSE))/10))</f>
        <v>591.6</v>
      </c>
      <c r="AG311" s="267">
        <f>IF(IndividualLATest!$J$7=2014,(VLOOKUP($A311,Hshldprojections2014!$A$2:$AY$326,46,FALSE)-VLOOKUP($A311,Hshldprojections2014!$A$2:$AY$326,36,FALSE))/10,IF(IndividualLATest!$J$7=2016,(VLOOKUP($A311,Hshldprojections2016!$A$1:$AQ$322,36,FALSE)-VLOOKUP($A311,Hshldprojections2016!$A$1:$AQ$322,26,FALSE))/10,(VLOOKUP($A311,Hshldprojections2018!$A$1:$AQ$327,36,FALSE)-VLOOKUP($A311,Hshldprojections2018!$A$1:$AQ$327,26,FALSE))/10))</f>
        <v>564.9</v>
      </c>
      <c r="AH311" s="267">
        <f>IF(IndividualLATest!$J$7=2014,(VLOOKUP($A311,Hshldprojections2014!$A$2:$AY$326,47,FALSE)-VLOOKUP($A311,Hshldprojections2014!$A$2:$AY$326,37,FALSE))/10,IF(IndividualLATest!$J$7=2016,(VLOOKUP($A311,Hshldprojections2016!$A$1:$AQ$322,37,FALSE)-VLOOKUP($A311,Hshldprojections2016!$A$1:$AQ$322,27,FALSE))/10,(VLOOKUP($A311,Hshldprojections2018!$A$1:$AQ$327,37,FALSE)-VLOOKUP($A311,Hshldprojections2018!$A$1:$AQ$327,27,FALSE))/10))</f>
        <v>542</v>
      </c>
      <c r="AI311" s="268">
        <f>IF(ISNUMBER('Sensitivity Tests'!$C$30),'Sensitivity Tests'!$C$30,VLOOKUP($A311,AffordabilityRatio!$A$2:$I$321,5,FALSE))</f>
        <v>12.17</v>
      </c>
      <c r="AJ311" s="268">
        <f>IF(ISNUMBER('Sensitivity Tests'!$C$30),'Sensitivity Tests'!$C$30,VLOOKUP($A311,AffordabilityRatio!$A$2:$I$321,6,FALSE))</f>
        <v>11.15</v>
      </c>
      <c r="AK311" s="268">
        <f>IF(ISNUMBER('Sensitivity Tests'!$C$30),'Sensitivity Tests'!$C$30,VLOOKUP($A311,AffordabilityRatio!$A$2:$I$321,7,FALSE))</f>
        <v>10.78</v>
      </c>
      <c r="AL311" s="268">
        <f>IF(ISNUMBER('Sensitivity Tests'!$C$30),'Sensitivity Tests'!$C$30,IF((VLOOKUP($A311,AffordabilityRatio!$A$2:$I$321,8,FALSE))="",AK311,VLOOKUP($A311,AffordabilityRatio!$A$2:$I$321,8,FALSE)))</f>
        <v>11.15</v>
      </c>
      <c r="AM311" s="268">
        <f>IF(ISNUMBER('Sensitivity Tests'!$C$30),'Sensitivity Tests'!$C$30,IF((VLOOKUP($A311,AffordabilityRatio!$A$2:$I$321,9,FALSE))="",AL311,VLOOKUP($A311,AffordabilityRatio!$A$2:$I$321,9,FALSE)))</f>
        <v>11.84</v>
      </c>
      <c r="AN311" s="268">
        <f>IF(ISNUMBER('Sensitivity Tests'!$C$30),'Sensitivity Tests'!$C$30,IF((VLOOKUP($A311,AffordabilityRatio!$A$2:$I$321,9,FALSE))="",AM311,VLOOKUP($A311,AffordabilityRatio!$A$2:$I$321,9,FALSE)))</f>
        <v>11.84</v>
      </c>
      <c r="AO311" s="268">
        <f>IF(ISNUMBER('Sensitivity Tests'!$C$30),'Sensitivity Tests'!$C$30,IF((VLOOKUP($A311,AffordabilityRatio!$A$2:$I$321,9,FALSE))="",AN311,VLOOKUP($A311,AffordabilityRatio!$A$2:$I$321,9,FALSE)))</f>
        <v>11.84</v>
      </c>
      <c r="AP311" s="268">
        <f>IF(ISNUMBER('Sensitivity Tests'!$C$30),'Sensitivity Tests'!$C$30,IF((VLOOKUP($A311,AffordabilityRatio!$A$2:$I$321,9,FALSE))="",AO311,VLOOKUP($A311,AffordabilityRatio!$A$2:$I$321,9,FALSE)))</f>
        <v>11.84</v>
      </c>
      <c r="AQ311" s="267">
        <f t="shared" si="243"/>
        <v>861</v>
      </c>
      <c r="AR311" s="267">
        <f t="shared" si="243"/>
        <v>804</v>
      </c>
      <c r="AS311" s="267">
        <f t="shared" si="243"/>
        <v>775</v>
      </c>
      <c r="AT311" s="267">
        <f t="shared" si="242"/>
        <v>944</v>
      </c>
      <c r="AU311" s="267">
        <f t="shared" si="242"/>
        <v>924</v>
      </c>
      <c r="AV311" s="267">
        <f t="shared" si="242"/>
        <v>881</v>
      </c>
      <c r="AW311" s="267">
        <f t="shared" si="242"/>
        <v>842</v>
      </c>
      <c r="AX311" s="267">
        <f t="shared" si="242"/>
        <v>808</v>
      </c>
      <c r="AY311" s="267">
        <f t="shared" si="218"/>
        <v>861</v>
      </c>
      <c r="AZ311" s="267">
        <f t="shared" si="219"/>
        <v>804</v>
      </c>
      <c r="BA311" s="267">
        <f t="shared" si="220"/>
        <v>775</v>
      </c>
      <c r="BB311" s="267">
        <f t="shared" si="221"/>
        <v>926.1</v>
      </c>
      <c r="BC311" s="267">
        <f t="shared" si="222"/>
        <v>924</v>
      </c>
      <c r="BD311" s="267">
        <f t="shared" si="223"/>
        <v>881</v>
      </c>
      <c r="BE311" s="267">
        <f t="shared" si="224"/>
        <v>842</v>
      </c>
      <c r="BF311" s="267">
        <f t="shared" si="225"/>
        <v>808</v>
      </c>
      <c r="BG311" s="269">
        <f>AY311*VLOOKUP($B311,'Major Cities &amp; Towns'!$A$28:$B$345,2,FALSE)</f>
        <v>861</v>
      </c>
      <c r="BH311" s="269">
        <f>AZ311*VLOOKUP($B311,'Major Cities &amp; Towns'!$A$28:$B$345,2,FALSE)</f>
        <v>804</v>
      </c>
      <c r="BI311" s="269">
        <f>BA311*VLOOKUP($B311,'Major Cities &amp; Towns'!$A$28:$B$345,2,FALSE)</f>
        <v>775</v>
      </c>
      <c r="BJ311" s="269">
        <f>BB311*VLOOKUP($B311,'Major Cities &amp; Towns'!$A$28:$B$345,2,FALSE)</f>
        <v>926.1</v>
      </c>
      <c r="BK311" s="269">
        <f>BC311*VLOOKUP($B311,'Major Cities &amp; Towns'!$A$28:$B$345,2,FALSE)</f>
        <v>924</v>
      </c>
      <c r="BL311" s="269">
        <f>BD311*VLOOKUP($B311,'Major Cities &amp; Towns'!$A$28:$B$345,2,FALSE)</f>
        <v>881</v>
      </c>
      <c r="BM311" s="269">
        <f>BE311*VLOOKUP($B311,'Major Cities &amp; Towns'!$A$28:$B$345,2,FALSE)</f>
        <v>842</v>
      </c>
      <c r="BN311" s="269">
        <f>BF311*VLOOKUP($B311,'Major Cities &amp; Towns'!$A$28:$B$345,2,FALSE)</f>
        <v>808</v>
      </c>
      <c r="BO311" s="270">
        <f t="shared" si="226"/>
        <v>861</v>
      </c>
      <c r="BP311" s="270">
        <f t="shared" si="201"/>
        <v>804</v>
      </c>
      <c r="BQ311" s="270">
        <f t="shared" si="201"/>
        <v>775</v>
      </c>
      <c r="BR311" s="270">
        <f t="shared" si="201"/>
        <v>944</v>
      </c>
      <c r="BS311" s="270">
        <f t="shared" si="200"/>
        <v>924</v>
      </c>
      <c r="BT311" s="270">
        <f t="shared" si="200"/>
        <v>881</v>
      </c>
      <c r="BU311" s="270">
        <f t="shared" si="200"/>
        <v>842</v>
      </c>
      <c r="BV311" s="270">
        <f t="shared" si="200"/>
        <v>808</v>
      </c>
      <c r="BW311" s="39">
        <f>VLOOKUP($A311,NetAdditions!$A$2:$H$336,6,FALSE)</f>
        <v>1250</v>
      </c>
      <c r="BX311" s="39">
        <f>VLOOKUP($A311,NetAdditions!$A$2:$H$336,7,FALSE)</f>
        <v>1555</v>
      </c>
      <c r="BY311" s="39">
        <f>IF((VLOOKUP($C311,NetAdditions!$A$2:$H$336,8,FALSE))="",(AVERAGE(VLOOKUP($C311,NetAdditions!$A$2:$H$336,5,FALSE),VLOOKUP($C311,NetAdditions!$A$2:$H$336,6,FALSE),VLOOKUP($C311,NetAdditions!$A$2:$H$336,7,FALSE))),VLOOKUP($C311,NetAdditions!$A$2:$H$336,8,FALSE))</f>
        <v>1129</v>
      </c>
      <c r="BZ311" s="39">
        <f t="shared" si="244"/>
        <v>1311.3333333333333</v>
      </c>
      <c r="CA311" s="39">
        <f t="shared" si="244"/>
        <v>1331.7777777777776</v>
      </c>
      <c r="CB311" s="39">
        <f t="shared" si="244"/>
        <v>1257.3703703703702</v>
      </c>
      <c r="CC311" s="39">
        <f t="shared" si="244"/>
        <v>1300.1604938271603</v>
      </c>
      <c r="CD311" s="39">
        <f t="shared" si="244"/>
        <v>1296.4362139917694</v>
      </c>
      <c r="CE311" s="276">
        <f t="shared" si="202"/>
        <v>2440</v>
      </c>
      <c r="CF311" s="276">
        <f t="shared" si="203"/>
        <v>2523</v>
      </c>
      <c r="CG311" s="276">
        <f t="shared" si="204"/>
        <v>2643</v>
      </c>
      <c r="CH311" s="276">
        <f t="shared" si="205"/>
        <v>2749</v>
      </c>
      <c r="CI311" s="276">
        <f t="shared" si="206"/>
        <v>2647</v>
      </c>
      <c r="CJ311" s="276">
        <f t="shared" si="207"/>
        <v>2531</v>
      </c>
      <c r="CK311" s="276">
        <f t="shared" si="227"/>
        <v>2101.1111111111113</v>
      </c>
      <c r="CL311" s="276">
        <f t="shared" si="228"/>
        <v>2172.5833333333335</v>
      </c>
      <c r="CM311" s="276">
        <f t="shared" si="229"/>
        <v>2422.75</v>
      </c>
      <c r="CN311" s="276">
        <f t="shared" si="230"/>
        <v>2749</v>
      </c>
      <c r="CO311" s="276">
        <f t="shared" si="230"/>
        <v>2647</v>
      </c>
      <c r="CP311" s="276">
        <f t="shared" si="230"/>
        <v>2531</v>
      </c>
      <c r="CQ311" s="39">
        <f t="shared" si="208"/>
        <v>3934</v>
      </c>
      <c r="CR311" s="39">
        <f t="shared" si="209"/>
        <v>3995.333333333333</v>
      </c>
      <c r="CS311" s="277">
        <f t="shared" si="210"/>
        <v>3772.1111111111104</v>
      </c>
      <c r="CT311" s="39">
        <f t="shared" si="211"/>
        <v>3900.4814814814808</v>
      </c>
      <c r="CU311" s="39">
        <f t="shared" si="212"/>
        <v>3889.3086419753081</v>
      </c>
      <c r="CV311" s="39">
        <f t="shared" si="213"/>
        <v>3853.9670781893001</v>
      </c>
      <c r="CW311" s="297">
        <f t="shared" si="214"/>
        <v>1.8723426758328925</v>
      </c>
      <c r="CX311" s="279" t="str">
        <f t="shared" si="231"/>
        <v>Pass</v>
      </c>
      <c r="CY311" s="278">
        <f t="shared" si="215"/>
        <v>1.8389781749836982</v>
      </c>
      <c r="CZ311" s="279" t="str">
        <f t="shared" si="232"/>
        <v>Pass</v>
      </c>
      <c r="DA311" s="278">
        <f t="shared" si="216"/>
        <v>1.5569543333447984</v>
      </c>
      <c r="DB311" s="292" t="str">
        <f t="shared" si="233"/>
        <v>Pass</v>
      </c>
      <c r="DC311" s="299">
        <f t="shared" si="234"/>
        <v>1.418872856122765</v>
      </c>
      <c r="DD311" s="293" t="str">
        <f t="shared" si="235"/>
        <v>Pass</v>
      </c>
      <c r="DE311" s="299">
        <f t="shared" si="236"/>
        <v>1.4693270275690624</v>
      </c>
      <c r="DF311" s="293" t="str">
        <f t="shared" si="237"/>
        <v>Pass</v>
      </c>
      <c r="DG311" s="299">
        <f t="shared" si="238"/>
        <v>1.5227052857326353</v>
      </c>
      <c r="DH311" s="293" t="str">
        <f t="shared" si="239"/>
        <v>Pass</v>
      </c>
    </row>
    <row r="312" spans="1:112" ht="15" thickTop="1" thickBot="1">
      <c r="A312" s="38" t="s">
        <v>734</v>
      </c>
      <c r="B312" s="38" t="s">
        <v>735</v>
      </c>
      <c r="C312" s="38" t="s">
        <v>734</v>
      </c>
      <c r="D312" s="38" t="s">
        <v>154</v>
      </c>
      <c r="E312" s="38" t="str">
        <f>VLOOKUP(C312,PoliticalControl!A:K,11,FALSE)</f>
        <v>LAB</v>
      </c>
      <c r="F312" s="38" t="str">
        <f>VLOOKUP(C312,UrbanRuralClassification!A:N,13,FALSE)</f>
        <v>Urban with Major Conurbation</v>
      </c>
      <c r="G312" s="38" t="str">
        <f>VLOOKUP(C312,UrbanRuralClassification!A:N,14,FALSE)</f>
        <v>Predominantly Urban</v>
      </c>
      <c r="H312" s="258">
        <f>IF(ISBLANK((VLOOKUP($A312,'local-plan-data'!$C$1:$AD$566,27,FALSE)))=TRUE,"",VLOOKUP($A312,'local-plan-data'!$C$1:$AD$566,27,FALSE))</f>
        <v>40577</v>
      </c>
      <c r="I312" s="259">
        <f>VLOOKUP($A312,'local-plan-data'!$C$1:$AD$566,28,FALSE)</f>
        <v>670.55</v>
      </c>
      <c r="J312" s="260">
        <f t="shared" si="217"/>
        <v>670.55</v>
      </c>
      <c r="K312" s="259" t="str">
        <f t="shared" si="247"/>
        <v>-</v>
      </c>
      <c r="L312" s="259" t="str">
        <f t="shared" si="245"/>
        <v>-</v>
      </c>
      <c r="M312" s="259" t="str">
        <f t="shared" si="245"/>
        <v>-</v>
      </c>
      <c r="N312" s="259" t="str">
        <f t="shared" si="245"/>
        <v>-</v>
      </c>
      <c r="O312" s="259" t="str">
        <f t="shared" si="245"/>
        <v>-</v>
      </c>
      <c r="P312" s="259" t="str">
        <f t="shared" si="245"/>
        <v>-</v>
      </c>
      <c r="Q312" s="259" t="str">
        <f t="shared" si="245"/>
        <v>-</v>
      </c>
      <c r="R312" s="259" t="str">
        <f t="shared" si="245"/>
        <v>-</v>
      </c>
      <c r="S312" s="259">
        <f t="shared" si="248"/>
        <v>-788</v>
      </c>
      <c r="T312" s="259">
        <f t="shared" si="246"/>
        <v>-1153</v>
      </c>
      <c r="U312" s="259">
        <f t="shared" si="246"/>
        <v>-1519</v>
      </c>
      <c r="V312" s="259">
        <f t="shared" si="246"/>
        <v>-1884</v>
      </c>
      <c r="W312" s="259">
        <f t="shared" si="246"/>
        <v>-2249</v>
      </c>
      <c r="X312" s="259">
        <f t="shared" si="246"/>
        <v>-2614</v>
      </c>
      <c r="Y312" s="259">
        <f t="shared" si="246"/>
        <v>-2980</v>
      </c>
      <c r="Z312" s="259">
        <f t="shared" si="246"/>
        <v>-3345</v>
      </c>
      <c r="AA312" s="267">
        <f>(VLOOKUP(A312,Hshldprojections2014!$A$2:$AW$319,40, FALSE)-VLOOKUP(A312,Hshldprojections2014!$A$2:$AW$319,30, FALSE))/10</f>
        <v>684.3</v>
      </c>
      <c r="AB312" s="267">
        <f>(VLOOKUP(A312,Hshldprojections2014!$A$2:$AW$319,41, FALSE)-VLOOKUP(A312,Hshldprojections2014!$A$2:$AW$319,31, FALSE))/10</f>
        <v>687.7</v>
      </c>
      <c r="AC312" s="267">
        <f>(VLOOKUP(A312,Hshldprojections2014!$A$2:$AW$319,42, FALSE)-VLOOKUP(A312,Hshldprojections2014!$A$2:$AW$319,32, FALSE))/10</f>
        <v>694.3</v>
      </c>
      <c r="AD312" s="267">
        <f>IF(IndividualLATest!$J$7=2014,(VLOOKUP($A312,Hshldprojections2014!$A$2:$AY$326,43,FALSE)-VLOOKUP($A312,Hshldprojections2014!$A$2:$AY$326,33,FALSE))/10,IF(IndividualLATest!$J$7=2016,(VLOOKUP($A312,Hshldprojections2016!$A$1:$AQ$322,33,FALSE)-VLOOKUP($A312,Hshldprojections2016!$A$1:$AQ$322,23,FALSE))/10,(VLOOKUP($A312,Hshldprojections2018!$A$1:$AQ$327,33,FALSE)-VLOOKUP($A312,Hshldprojections2018!$A$1:$AQ$327,23,FALSE))/10))</f>
        <v>713.7</v>
      </c>
      <c r="AE312" s="267">
        <f>IF(IndividualLATest!$J$7=2014,(VLOOKUP($A312,Hshldprojections2014!$A$2:$AY$326,44,FALSE)-VLOOKUP($A312,Hshldprojections2014!$A$2:$AY$326,34,FALSE))/10,IF(IndividualLATest!$J$7=2016,(VLOOKUP($A312,Hshldprojections2016!$A$1:$AQ$322,34,FALSE)-VLOOKUP($A312,Hshldprojections2016!$A$1:$AQ$322,24,FALSE))/10,(VLOOKUP($A312,Hshldprojections2018!$A$1:$AQ$327,34,FALSE)-VLOOKUP($A312,Hshldprojections2018!$A$1:$AQ$327,24,FALSE))/10))</f>
        <v>722.4</v>
      </c>
      <c r="AF312" s="267">
        <f>IF(IndividualLATest!$J$7=2014,(VLOOKUP($A312,Hshldprojections2014!$A$2:$AY$326,45,FALSE)-VLOOKUP($A312,Hshldprojections2014!$A$2:$AY$326,35,FALSE))/10,IF(IndividualLATest!$J$7=2016,(VLOOKUP($A312,Hshldprojections2016!$A$1:$AQ$322,35,FALSE)-VLOOKUP($A312,Hshldprojections2016!$A$1:$AQ$322,25,FALSE))/10,(VLOOKUP($A312,Hshldprojections2018!$A$1:$AQ$327,35,FALSE)-VLOOKUP($A312,Hshldprojections2018!$A$1:$AQ$327,25,FALSE))/10))</f>
        <v>731.3</v>
      </c>
      <c r="AG312" s="267">
        <f>IF(IndividualLATest!$J$7=2014,(VLOOKUP($A312,Hshldprojections2014!$A$2:$AY$326,46,FALSE)-VLOOKUP($A312,Hshldprojections2014!$A$2:$AY$326,36,FALSE))/10,IF(IndividualLATest!$J$7=2016,(VLOOKUP($A312,Hshldprojections2016!$A$1:$AQ$322,36,FALSE)-VLOOKUP($A312,Hshldprojections2016!$A$1:$AQ$322,26,FALSE))/10,(VLOOKUP($A312,Hshldprojections2018!$A$1:$AQ$327,36,FALSE)-VLOOKUP($A312,Hshldprojections2018!$A$1:$AQ$327,26,FALSE))/10))</f>
        <v>737.2</v>
      </c>
      <c r="AH312" s="267">
        <f>IF(IndividualLATest!$J$7=2014,(VLOOKUP($A312,Hshldprojections2014!$A$2:$AY$326,47,FALSE)-VLOOKUP($A312,Hshldprojections2014!$A$2:$AY$326,37,FALSE))/10,IF(IndividualLATest!$J$7=2016,(VLOOKUP($A312,Hshldprojections2016!$A$1:$AQ$322,37,FALSE)-VLOOKUP($A312,Hshldprojections2016!$A$1:$AQ$322,27,FALSE))/10,(VLOOKUP($A312,Hshldprojections2018!$A$1:$AQ$327,37,FALSE)-VLOOKUP($A312,Hshldprojections2018!$A$1:$AQ$327,27,FALSE))/10))</f>
        <v>746</v>
      </c>
      <c r="AI312" s="268">
        <f>IF(ISNUMBER('Sensitivity Tests'!$C$30),'Sensitivity Tests'!$C$30,VLOOKUP($A312,AffordabilityRatio!$A$2:$I$321,5,FALSE))</f>
        <v>5.47</v>
      </c>
      <c r="AJ312" s="268">
        <f>IF(ISNUMBER('Sensitivity Tests'!$C$30),'Sensitivity Tests'!$C$30,VLOOKUP($A312,AffordabilityRatio!$A$2:$I$321,6,FALSE))</f>
        <v>5.56</v>
      </c>
      <c r="AK312" s="268">
        <f>IF(ISNUMBER('Sensitivity Tests'!$C$30),'Sensitivity Tests'!$C$30,VLOOKUP($A312,AffordabilityRatio!$A$2:$I$321,7,FALSE))</f>
        <v>5.3</v>
      </c>
      <c r="AL312" s="268">
        <f>IF(ISNUMBER('Sensitivity Tests'!$C$30),'Sensitivity Tests'!$C$30,IF((VLOOKUP($A312,AffordabilityRatio!$A$2:$I$321,8,FALSE))="",AK312,VLOOKUP($A312,AffordabilityRatio!$A$2:$I$321,8,FALSE)))</f>
        <v>5.74</v>
      </c>
      <c r="AM312" s="268">
        <f>IF(ISNUMBER('Sensitivity Tests'!$C$30),'Sensitivity Tests'!$C$30,IF((VLOOKUP($A312,AffordabilityRatio!$A$2:$I$321,9,FALSE))="",AL312,VLOOKUP($A312,AffordabilityRatio!$A$2:$I$321,9,FALSE)))</f>
        <v>6.16</v>
      </c>
      <c r="AN312" s="268">
        <f>IF(ISNUMBER('Sensitivity Tests'!$C$30),'Sensitivity Tests'!$C$30,IF((VLOOKUP($A312,AffordabilityRatio!$A$2:$I$321,9,FALSE))="",AM312,VLOOKUP($A312,AffordabilityRatio!$A$2:$I$321,9,FALSE)))</f>
        <v>6.16</v>
      </c>
      <c r="AO312" s="268">
        <f>IF(ISNUMBER('Sensitivity Tests'!$C$30),'Sensitivity Tests'!$C$30,IF((VLOOKUP($A312,AffordabilityRatio!$A$2:$I$321,9,FALSE))="",AN312,VLOOKUP($A312,AffordabilityRatio!$A$2:$I$321,9,FALSE)))</f>
        <v>6.16</v>
      </c>
      <c r="AP312" s="268">
        <f>IF(ISNUMBER('Sensitivity Tests'!$C$30),'Sensitivity Tests'!$C$30,IF((VLOOKUP($A312,AffordabilityRatio!$A$2:$I$321,9,FALSE))="",AO312,VLOOKUP($A312,AffordabilityRatio!$A$2:$I$321,9,FALSE)))</f>
        <v>6.16</v>
      </c>
      <c r="AQ312" s="267">
        <f t="shared" si="243"/>
        <v>747</v>
      </c>
      <c r="AR312" s="267">
        <f t="shared" si="243"/>
        <v>755</v>
      </c>
      <c r="AS312" s="267">
        <f t="shared" si="243"/>
        <v>751</v>
      </c>
      <c r="AT312" s="267">
        <f t="shared" si="242"/>
        <v>791</v>
      </c>
      <c r="AU312" s="267">
        <f t="shared" si="242"/>
        <v>820</v>
      </c>
      <c r="AV312" s="267">
        <f t="shared" si="242"/>
        <v>830</v>
      </c>
      <c r="AW312" s="267">
        <f t="shared" si="242"/>
        <v>837</v>
      </c>
      <c r="AX312" s="267">
        <f t="shared" si="242"/>
        <v>847</v>
      </c>
      <c r="AY312" s="267">
        <f t="shared" si="218"/>
        <v>747</v>
      </c>
      <c r="AZ312" s="267">
        <f t="shared" si="219"/>
        <v>755</v>
      </c>
      <c r="BA312" s="267">
        <f t="shared" si="220"/>
        <v>751</v>
      </c>
      <c r="BB312" s="267">
        <f t="shared" si="221"/>
        <v>791</v>
      </c>
      <c r="BC312" s="267">
        <f t="shared" si="222"/>
        <v>820</v>
      </c>
      <c r="BD312" s="267">
        <f t="shared" si="223"/>
        <v>830</v>
      </c>
      <c r="BE312" s="267">
        <f t="shared" si="224"/>
        <v>837</v>
      </c>
      <c r="BF312" s="267">
        <f t="shared" si="225"/>
        <v>847</v>
      </c>
      <c r="BG312" s="269">
        <f>AY312*VLOOKUP($B312,'Major Cities &amp; Towns'!$A$28:$B$345,2,FALSE)</f>
        <v>1008.45</v>
      </c>
      <c r="BH312" s="269">
        <f>AZ312*VLOOKUP($B312,'Major Cities &amp; Towns'!$A$28:$B$345,2,FALSE)</f>
        <v>1019.2500000000001</v>
      </c>
      <c r="BI312" s="269">
        <f>BA312*VLOOKUP($B312,'Major Cities &amp; Towns'!$A$28:$B$345,2,FALSE)</f>
        <v>1013.85</v>
      </c>
      <c r="BJ312" s="269">
        <f>BB312*VLOOKUP($B312,'Major Cities &amp; Towns'!$A$28:$B$345,2,FALSE)</f>
        <v>1067.8500000000001</v>
      </c>
      <c r="BK312" s="269">
        <f>BC312*VLOOKUP($B312,'Major Cities &amp; Towns'!$A$28:$B$345,2,FALSE)</f>
        <v>1107</v>
      </c>
      <c r="BL312" s="269">
        <f>BD312*VLOOKUP($B312,'Major Cities &amp; Towns'!$A$28:$B$345,2,FALSE)</f>
        <v>1120.5</v>
      </c>
      <c r="BM312" s="269">
        <f>BE312*VLOOKUP($B312,'Major Cities &amp; Towns'!$A$28:$B$345,2,FALSE)</f>
        <v>1129.95</v>
      </c>
      <c r="BN312" s="269">
        <f>BF312*VLOOKUP($B312,'Major Cities &amp; Towns'!$A$28:$B$345,2,FALSE)</f>
        <v>1143.45</v>
      </c>
      <c r="BO312" s="270">
        <f t="shared" si="226"/>
        <v>747</v>
      </c>
      <c r="BP312" s="270">
        <f t="shared" si="201"/>
        <v>755</v>
      </c>
      <c r="BQ312" s="270">
        <f t="shared" si="201"/>
        <v>751</v>
      </c>
      <c r="BR312" s="270">
        <f t="shared" si="201"/>
        <v>791</v>
      </c>
      <c r="BS312" s="270">
        <f t="shared" si="200"/>
        <v>820</v>
      </c>
      <c r="BT312" s="270">
        <f t="shared" si="200"/>
        <v>830</v>
      </c>
      <c r="BU312" s="270">
        <f t="shared" si="200"/>
        <v>837</v>
      </c>
      <c r="BV312" s="270">
        <f t="shared" si="200"/>
        <v>847</v>
      </c>
      <c r="BW312" s="39">
        <f>VLOOKUP($A312,NetAdditions!$A$2:$H$336,6,FALSE)</f>
        <v>692</v>
      </c>
      <c r="BX312" s="39">
        <f>VLOOKUP($A312,NetAdditions!$A$2:$H$336,7,FALSE)</f>
        <v>818</v>
      </c>
      <c r="BY312" s="39">
        <f>IF((VLOOKUP($C312,NetAdditions!$A$2:$H$336,8,FALSE))="",(AVERAGE(VLOOKUP($C312,NetAdditions!$A$2:$H$336,5,FALSE),VLOOKUP($C312,NetAdditions!$A$2:$H$336,6,FALSE),VLOOKUP($C312,NetAdditions!$A$2:$H$336,7,FALSE))),VLOOKUP($C312,NetAdditions!$A$2:$H$336,8,FALSE))</f>
        <v>614</v>
      </c>
      <c r="BZ312" s="39">
        <f t="shared" si="244"/>
        <v>708</v>
      </c>
      <c r="CA312" s="39">
        <f t="shared" si="244"/>
        <v>713.33333333333337</v>
      </c>
      <c r="CB312" s="39">
        <f t="shared" si="244"/>
        <v>678.44444444444446</v>
      </c>
      <c r="CC312" s="39">
        <f t="shared" si="244"/>
        <v>699.92592592592598</v>
      </c>
      <c r="CD312" s="39">
        <f t="shared" si="244"/>
        <v>697.23456790123464</v>
      </c>
      <c r="CE312" s="276">
        <f t="shared" si="202"/>
        <v>2253</v>
      </c>
      <c r="CF312" s="276">
        <f t="shared" si="203"/>
        <v>2297</v>
      </c>
      <c r="CG312" s="276">
        <f t="shared" si="204"/>
        <v>2362</v>
      </c>
      <c r="CH312" s="276">
        <f t="shared" si="205"/>
        <v>2441</v>
      </c>
      <c r="CI312" s="276">
        <f t="shared" si="206"/>
        <v>2487</v>
      </c>
      <c r="CJ312" s="276">
        <f t="shared" si="207"/>
        <v>2514</v>
      </c>
      <c r="CK312" s="276">
        <f t="shared" si="227"/>
        <v>1940.0833333333335</v>
      </c>
      <c r="CL312" s="276">
        <f t="shared" si="228"/>
        <v>1977.9722222222224</v>
      </c>
      <c r="CM312" s="276">
        <f t="shared" si="229"/>
        <v>2165.1666666666665</v>
      </c>
      <c r="CN312" s="276">
        <f t="shared" si="230"/>
        <v>2441</v>
      </c>
      <c r="CO312" s="276">
        <f t="shared" si="230"/>
        <v>2487</v>
      </c>
      <c r="CP312" s="276">
        <f t="shared" si="230"/>
        <v>2514</v>
      </c>
      <c r="CQ312" s="39">
        <f t="shared" si="208"/>
        <v>2124</v>
      </c>
      <c r="CR312" s="39">
        <f t="shared" si="209"/>
        <v>2140</v>
      </c>
      <c r="CS312" s="277">
        <f t="shared" si="210"/>
        <v>2035.3333333333335</v>
      </c>
      <c r="CT312" s="39">
        <f t="shared" si="211"/>
        <v>2099.7777777777778</v>
      </c>
      <c r="CU312" s="39">
        <f t="shared" si="212"/>
        <v>2091.7037037037039</v>
      </c>
      <c r="CV312" s="39">
        <f t="shared" si="213"/>
        <v>2075.6049382716051</v>
      </c>
      <c r="CW312" s="297">
        <f t="shared" si="214"/>
        <v>1.0947983334049223</v>
      </c>
      <c r="CX312" s="279" t="str">
        <f t="shared" si="231"/>
        <v>Pass</v>
      </c>
      <c r="CY312" s="278">
        <f t="shared" si="215"/>
        <v>1.0819161037538443</v>
      </c>
      <c r="CZ312" s="279" t="str">
        <f t="shared" si="232"/>
        <v>Pass</v>
      </c>
      <c r="DA312" s="278">
        <f t="shared" si="216"/>
        <v>0.94003540912939743</v>
      </c>
      <c r="DB312" s="292" t="str">
        <f t="shared" si="233"/>
        <v>Action Plan</v>
      </c>
      <c r="DC312" s="299">
        <f t="shared" si="234"/>
        <v>0.86021211707405887</v>
      </c>
      <c r="DD312" s="293" t="str">
        <f t="shared" si="235"/>
        <v>Action Plan</v>
      </c>
      <c r="DE312" s="299">
        <f t="shared" si="236"/>
        <v>0.84105496731150142</v>
      </c>
      <c r="DF312" s="293" t="str">
        <f t="shared" si="237"/>
        <v>Buffer and Action Plan</v>
      </c>
      <c r="DG312" s="299">
        <f t="shared" si="238"/>
        <v>0.8256185116434388</v>
      </c>
      <c r="DH312" s="293" t="str">
        <f t="shared" si="239"/>
        <v>Buffer and Action Plan</v>
      </c>
    </row>
    <row r="313" spans="1:112" ht="15" thickTop="1" thickBot="1">
      <c r="A313" s="38" t="s">
        <v>736</v>
      </c>
      <c r="B313" s="38" t="s">
        <v>737</v>
      </c>
      <c r="C313" s="38" t="s">
        <v>736</v>
      </c>
      <c r="D313" s="38" t="s">
        <v>154</v>
      </c>
      <c r="E313" s="38" t="str">
        <f>VLOOKUP(C313,PoliticalControl!A:K,11,FALSE)</f>
        <v>CON</v>
      </c>
      <c r="F313" s="38" t="str">
        <f>VLOOKUP(C313,UrbanRuralClassification!A:N,13,FALSE)</f>
        <v>Urban with City and Town</v>
      </c>
      <c r="G313" s="38" t="str">
        <f>VLOOKUP(C313,UrbanRuralClassification!A:N,14,FALSE)</f>
        <v>Predominantly Urban</v>
      </c>
      <c r="H313" s="258">
        <f>IF(ISBLANK((VLOOKUP($A313,'local-plan-data'!$C$1:$AD$566,27,FALSE)))=TRUE,"",VLOOKUP($A313,'local-plan-data'!$C$1:$AD$566,27,FALSE))</f>
        <v>42425</v>
      </c>
      <c r="I313" s="259">
        <f>VLOOKUP($A313,'local-plan-data'!$C$1:$AD$566,28,FALSE)</f>
        <v>283.33333333333331</v>
      </c>
      <c r="J313" s="260">
        <f t="shared" si="217"/>
        <v>283.33333333333331</v>
      </c>
      <c r="K313" s="259">
        <f t="shared" si="247"/>
        <v>283.33333333333331</v>
      </c>
      <c r="L313" s="259">
        <f t="shared" si="245"/>
        <v>283.33333333333331</v>
      </c>
      <c r="M313" s="259">
        <f t="shared" si="245"/>
        <v>283.33333333333331</v>
      </c>
      <c r="N313" s="259" t="str">
        <f t="shared" si="245"/>
        <v>-</v>
      </c>
      <c r="O313" s="259" t="str">
        <f t="shared" si="245"/>
        <v>-</v>
      </c>
      <c r="P313" s="259" t="str">
        <f t="shared" si="245"/>
        <v>-</v>
      </c>
      <c r="Q313" s="259" t="str">
        <f t="shared" si="245"/>
        <v>-</v>
      </c>
      <c r="R313" s="259" t="str">
        <f t="shared" si="245"/>
        <v>-</v>
      </c>
      <c r="S313" s="259">
        <f t="shared" si="248"/>
        <v>1061</v>
      </c>
      <c r="T313" s="259">
        <f t="shared" si="246"/>
        <v>696</v>
      </c>
      <c r="U313" s="259">
        <f t="shared" si="246"/>
        <v>330</v>
      </c>
      <c r="V313" s="259">
        <f t="shared" si="246"/>
        <v>-35</v>
      </c>
      <c r="W313" s="259">
        <f t="shared" si="246"/>
        <v>-400</v>
      </c>
      <c r="X313" s="259">
        <f t="shared" si="246"/>
        <v>-765</v>
      </c>
      <c r="Y313" s="259">
        <f t="shared" si="246"/>
        <v>-1131</v>
      </c>
      <c r="Z313" s="259">
        <f t="shared" si="246"/>
        <v>-1496</v>
      </c>
      <c r="AA313" s="267">
        <f>(VLOOKUP(A313,Hshldprojections2014!$A$2:$AW$319,40, FALSE)-VLOOKUP(A313,Hshldprojections2014!$A$2:$AW$319,30, FALSE))/10</f>
        <v>320.2</v>
      </c>
      <c r="AB313" s="267">
        <f>(VLOOKUP(A313,Hshldprojections2014!$A$2:$AW$319,41, FALSE)-VLOOKUP(A313,Hshldprojections2014!$A$2:$AW$319,31, FALSE))/10</f>
        <v>313.89999999999998</v>
      </c>
      <c r="AC313" s="267">
        <f>(VLOOKUP(A313,Hshldprojections2014!$A$2:$AW$319,42, FALSE)-VLOOKUP(A313,Hshldprojections2014!$A$2:$AW$319,32, FALSE))/10</f>
        <v>306.5</v>
      </c>
      <c r="AD313" s="267">
        <f>IF(IndividualLATest!$J$7=2014,(VLOOKUP($A313,Hshldprojections2014!$A$2:$AY$326,43,FALSE)-VLOOKUP($A313,Hshldprojections2014!$A$2:$AY$326,33,FALSE))/10,IF(IndividualLATest!$J$7=2016,(VLOOKUP($A313,Hshldprojections2016!$A$1:$AQ$322,33,FALSE)-VLOOKUP($A313,Hshldprojections2016!$A$1:$AQ$322,23,FALSE))/10,(VLOOKUP($A313,Hshldprojections2018!$A$1:$AQ$327,33,FALSE)-VLOOKUP($A313,Hshldprojections2018!$A$1:$AQ$327,23,FALSE))/10))</f>
        <v>181.6</v>
      </c>
      <c r="AE313" s="267">
        <f>IF(IndividualLATest!$J$7=2014,(VLOOKUP($A313,Hshldprojections2014!$A$2:$AY$326,44,FALSE)-VLOOKUP($A313,Hshldprojections2014!$A$2:$AY$326,34,FALSE))/10,IF(IndividualLATest!$J$7=2016,(VLOOKUP($A313,Hshldprojections2016!$A$1:$AQ$322,34,FALSE)-VLOOKUP($A313,Hshldprojections2016!$A$1:$AQ$322,24,FALSE))/10,(VLOOKUP($A313,Hshldprojections2018!$A$1:$AQ$327,34,FALSE)-VLOOKUP($A313,Hshldprojections2018!$A$1:$AQ$327,24,FALSE))/10))</f>
        <v>186.3</v>
      </c>
      <c r="AF313" s="267">
        <f>IF(IndividualLATest!$J$7=2014,(VLOOKUP($A313,Hshldprojections2014!$A$2:$AY$326,45,FALSE)-VLOOKUP($A313,Hshldprojections2014!$A$2:$AY$326,35,FALSE))/10,IF(IndividualLATest!$J$7=2016,(VLOOKUP($A313,Hshldprojections2016!$A$1:$AQ$322,35,FALSE)-VLOOKUP($A313,Hshldprojections2016!$A$1:$AQ$322,25,FALSE))/10,(VLOOKUP($A313,Hshldprojections2018!$A$1:$AQ$327,35,FALSE)-VLOOKUP($A313,Hshldprojections2018!$A$1:$AQ$327,25,FALSE))/10))</f>
        <v>192.6</v>
      </c>
      <c r="AG313" s="267">
        <f>IF(IndividualLATest!$J$7=2014,(VLOOKUP($A313,Hshldprojections2014!$A$2:$AY$326,46,FALSE)-VLOOKUP($A313,Hshldprojections2014!$A$2:$AY$326,36,FALSE))/10,IF(IndividualLATest!$J$7=2016,(VLOOKUP($A313,Hshldprojections2016!$A$1:$AQ$322,36,FALSE)-VLOOKUP($A313,Hshldprojections2016!$A$1:$AQ$322,26,FALSE))/10,(VLOOKUP($A313,Hshldprojections2018!$A$1:$AQ$327,36,FALSE)-VLOOKUP($A313,Hshldprojections2018!$A$1:$AQ$327,26,FALSE))/10))</f>
        <v>195.6</v>
      </c>
      <c r="AH313" s="267">
        <f>IF(IndividualLATest!$J$7=2014,(VLOOKUP($A313,Hshldprojections2014!$A$2:$AY$326,47,FALSE)-VLOOKUP($A313,Hshldprojections2014!$A$2:$AY$326,37,FALSE))/10,IF(IndividualLATest!$J$7=2016,(VLOOKUP($A313,Hshldprojections2016!$A$1:$AQ$322,37,FALSE)-VLOOKUP($A313,Hshldprojections2016!$A$1:$AQ$322,27,FALSE))/10,(VLOOKUP($A313,Hshldprojections2018!$A$1:$AQ$327,37,FALSE)-VLOOKUP($A313,Hshldprojections2018!$A$1:$AQ$327,27,FALSE))/10))</f>
        <v>197.5</v>
      </c>
      <c r="AI313" s="268">
        <f>IF(ISNUMBER('Sensitivity Tests'!$C$30),'Sensitivity Tests'!$C$30,VLOOKUP($A313,AffordabilityRatio!$A$2:$I$321,5,FALSE))</f>
        <v>6.71</v>
      </c>
      <c r="AJ313" s="268">
        <f>IF(ISNUMBER('Sensitivity Tests'!$C$30),'Sensitivity Tests'!$C$30,VLOOKUP($A313,AffordabilityRatio!$A$2:$I$321,6,FALSE))</f>
        <v>6.79</v>
      </c>
      <c r="AK313" s="268">
        <f>IF(ISNUMBER('Sensitivity Tests'!$C$30),'Sensitivity Tests'!$C$30,VLOOKUP($A313,AffordabilityRatio!$A$2:$I$321,7,FALSE))</f>
        <v>6.86</v>
      </c>
      <c r="AL313" s="268">
        <f>IF(ISNUMBER('Sensitivity Tests'!$C$30),'Sensitivity Tests'!$C$30,IF((VLOOKUP($A313,AffordabilityRatio!$A$2:$I$321,8,FALSE))="",AK313,VLOOKUP($A313,AffordabilityRatio!$A$2:$I$321,8,FALSE)))</f>
        <v>7.3</v>
      </c>
      <c r="AM313" s="268">
        <f>IF(ISNUMBER('Sensitivity Tests'!$C$30),'Sensitivity Tests'!$C$30,IF((VLOOKUP($A313,AffordabilityRatio!$A$2:$I$321,9,FALSE))="",AL313,VLOOKUP($A313,AffordabilityRatio!$A$2:$I$321,9,FALSE)))</f>
        <v>8.26</v>
      </c>
      <c r="AN313" s="268">
        <f>IF(ISNUMBER('Sensitivity Tests'!$C$30),'Sensitivity Tests'!$C$30,IF((VLOOKUP($A313,AffordabilityRatio!$A$2:$I$321,9,FALSE))="",AM313,VLOOKUP($A313,AffordabilityRatio!$A$2:$I$321,9,FALSE)))</f>
        <v>8.26</v>
      </c>
      <c r="AO313" s="268">
        <f>IF(ISNUMBER('Sensitivity Tests'!$C$30),'Sensitivity Tests'!$C$30,IF((VLOOKUP($A313,AffordabilityRatio!$A$2:$I$321,9,FALSE))="",AN313,VLOOKUP($A313,AffordabilityRatio!$A$2:$I$321,9,FALSE)))</f>
        <v>8.26</v>
      </c>
      <c r="AP313" s="268">
        <f>IF(ISNUMBER('Sensitivity Tests'!$C$30),'Sensitivity Tests'!$C$30,IF((VLOOKUP($A313,AffordabilityRatio!$A$2:$I$321,9,FALSE))="",AO313,VLOOKUP($A313,AffordabilityRatio!$A$2:$I$321,9,FALSE)))</f>
        <v>8.26</v>
      </c>
      <c r="AQ313" s="267">
        <f t="shared" si="243"/>
        <v>374</v>
      </c>
      <c r="AR313" s="267">
        <f t="shared" si="243"/>
        <v>369</v>
      </c>
      <c r="AS313" s="267">
        <f t="shared" si="243"/>
        <v>361</v>
      </c>
      <c r="AT313" s="267">
        <f t="shared" si="242"/>
        <v>219</v>
      </c>
      <c r="AU313" s="267">
        <f t="shared" si="242"/>
        <v>236</v>
      </c>
      <c r="AV313" s="267">
        <f t="shared" si="242"/>
        <v>244</v>
      </c>
      <c r="AW313" s="267">
        <f t="shared" si="242"/>
        <v>248</v>
      </c>
      <c r="AX313" s="267">
        <f t="shared" si="242"/>
        <v>250</v>
      </c>
      <c r="AY313" s="267">
        <f t="shared" si="218"/>
        <v>374</v>
      </c>
      <c r="AZ313" s="267">
        <f t="shared" si="219"/>
        <v>369</v>
      </c>
      <c r="BA313" s="267">
        <f t="shared" si="220"/>
        <v>361</v>
      </c>
      <c r="BB313" s="267">
        <f t="shared" si="221"/>
        <v>219</v>
      </c>
      <c r="BC313" s="267">
        <f t="shared" si="222"/>
        <v>236</v>
      </c>
      <c r="BD313" s="267">
        <f t="shared" si="223"/>
        <v>244</v>
      </c>
      <c r="BE313" s="267">
        <f t="shared" si="224"/>
        <v>248</v>
      </c>
      <c r="BF313" s="267">
        <f t="shared" si="225"/>
        <v>250</v>
      </c>
      <c r="BG313" s="269">
        <f>AY313*VLOOKUP($B313,'Major Cities &amp; Towns'!$A$28:$B$345,2,FALSE)</f>
        <v>374</v>
      </c>
      <c r="BH313" s="269">
        <f>AZ313*VLOOKUP($B313,'Major Cities &amp; Towns'!$A$28:$B$345,2,FALSE)</f>
        <v>369</v>
      </c>
      <c r="BI313" s="269">
        <f>BA313*VLOOKUP($B313,'Major Cities &amp; Towns'!$A$28:$B$345,2,FALSE)</f>
        <v>361</v>
      </c>
      <c r="BJ313" s="269">
        <f>BB313*VLOOKUP($B313,'Major Cities &amp; Towns'!$A$28:$B$345,2,FALSE)</f>
        <v>219</v>
      </c>
      <c r="BK313" s="269">
        <f>BC313*VLOOKUP($B313,'Major Cities &amp; Towns'!$A$28:$B$345,2,FALSE)</f>
        <v>236</v>
      </c>
      <c r="BL313" s="269">
        <f>BD313*VLOOKUP($B313,'Major Cities &amp; Towns'!$A$28:$B$345,2,FALSE)</f>
        <v>244</v>
      </c>
      <c r="BM313" s="269">
        <f>BE313*VLOOKUP($B313,'Major Cities &amp; Towns'!$A$28:$B$345,2,FALSE)</f>
        <v>248</v>
      </c>
      <c r="BN313" s="269">
        <f>BF313*VLOOKUP($B313,'Major Cities &amp; Towns'!$A$28:$B$345,2,FALSE)</f>
        <v>250</v>
      </c>
      <c r="BO313" s="270">
        <f t="shared" si="226"/>
        <v>283.33333333333331</v>
      </c>
      <c r="BP313" s="270">
        <f t="shared" si="201"/>
        <v>283.33333333333331</v>
      </c>
      <c r="BQ313" s="270">
        <f t="shared" si="201"/>
        <v>290.78082191780823</v>
      </c>
      <c r="BR313" s="270">
        <f t="shared" si="201"/>
        <v>219</v>
      </c>
      <c r="BS313" s="270">
        <f t="shared" si="200"/>
        <v>236</v>
      </c>
      <c r="BT313" s="270">
        <f t="shared" si="200"/>
        <v>244</v>
      </c>
      <c r="BU313" s="270">
        <f t="shared" si="200"/>
        <v>248</v>
      </c>
      <c r="BV313" s="270">
        <f t="shared" ref="BV313:BV322" si="249">IFERROR(IF(AND(Z313&lt;365,Z313&gt;0),SUM(((Z313/365)*(MIN(R313,BN313)))+(((365-Z313)/365)*AX313)),(MIN(R313,AX313))),AX313)</f>
        <v>250</v>
      </c>
      <c r="BW313" s="39">
        <f>VLOOKUP($A313,NetAdditions!$A$2:$H$336,6,FALSE)</f>
        <v>234</v>
      </c>
      <c r="BX313" s="39">
        <f>VLOOKUP($A313,NetAdditions!$A$2:$H$336,7,FALSE)</f>
        <v>216</v>
      </c>
      <c r="BY313" s="39">
        <f>IF((VLOOKUP($C313,NetAdditions!$A$2:$H$336,8,FALSE))="",(AVERAGE(VLOOKUP($C313,NetAdditions!$A$2:$H$336,5,FALSE),VLOOKUP($C313,NetAdditions!$A$2:$H$336,6,FALSE),VLOOKUP($C313,NetAdditions!$A$2:$H$336,7,FALSE))),VLOOKUP($C313,NetAdditions!$A$2:$H$336,8,FALSE))</f>
        <v>346</v>
      </c>
      <c r="BZ313" s="39">
        <f t="shared" si="244"/>
        <v>265.33333333333331</v>
      </c>
      <c r="CA313" s="39">
        <f t="shared" si="244"/>
        <v>275.77777777777777</v>
      </c>
      <c r="CB313" s="39">
        <f t="shared" si="244"/>
        <v>295.7037037037037</v>
      </c>
      <c r="CC313" s="39">
        <f t="shared" si="244"/>
        <v>278.93827160493828</v>
      </c>
      <c r="CD313" s="39">
        <f t="shared" si="244"/>
        <v>283.4732510288066</v>
      </c>
      <c r="CE313" s="276">
        <f t="shared" si="202"/>
        <v>857.44748858447485</v>
      </c>
      <c r="CF313" s="276">
        <f t="shared" si="203"/>
        <v>793.11415525114148</v>
      </c>
      <c r="CG313" s="276">
        <f t="shared" si="204"/>
        <v>745.78082191780823</v>
      </c>
      <c r="CH313" s="276">
        <f t="shared" si="205"/>
        <v>699</v>
      </c>
      <c r="CI313" s="276">
        <f t="shared" si="206"/>
        <v>728</v>
      </c>
      <c r="CJ313" s="276">
        <f t="shared" si="207"/>
        <v>742</v>
      </c>
      <c r="CK313" s="276">
        <f t="shared" si="227"/>
        <v>738.35755961440896</v>
      </c>
      <c r="CL313" s="276">
        <f t="shared" si="228"/>
        <v>682.9594114662608</v>
      </c>
      <c r="CM313" s="276">
        <f t="shared" si="229"/>
        <v>683.63242009132421</v>
      </c>
      <c r="CN313" s="276">
        <f t="shared" si="230"/>
        <v>699</v>
      </c>
      <c r="CO313" s="276">
        <f t="shared" si="230"/>
        <v>728</v>
      </c>
      <c r="CP313" s="276">
        <f t="shared" si="230"/>
        <v>742</v>
      </c>
      <c r="CQ313" s="39">
        <f t="shared" si="208"/>
        <v>796</v>
      </c>
      <c r="CR313" s="39">
        <f t="shared" si="209"/>
        <v>827.33333333333326</v>
      </c>
      <c r="CS313" s="277">
        <f t="shared" si="210"/>
        <v>887.11111111111109</v>
      </c>
      <c r="CT313" s="39">
        <f t="shared" si="211"/>
        <v>836.81481481481478</v>
      </c>
      <c r="CU313" s="39">
        <f t="shared" si="212"/>
        <v>850.41975308641986</v>
      </c>
      <c r="CV313" s="39">
        <f t="shared" si="213"/>
        <v>858.11522633744858</v>
      </c>
      <c r="CW313" s="297">
        <f t="shared" si="214"/>
        <v>1.0780684637612346</v>
      </c>
      <c r="CX313" s="279" t="str">
        <f t="shared" si="231"/>
        <v>Pass</v>
      </c>
      <c r="CY313" s="278">
        <f t="shared" si="215"/>
        <v>1.2113945857442874</v>
      </c>
      <c r="CZ313" s="279" t="str">
        <f t="shared" si="232"/>
        <v>Pass</v>
      </c>
      <c r="DA313" s="278">
        <f t="shared" si="216"/>
        <v>1.2976434192407154</v>
      </c>
      <c r="DB313" s="292" t="str">
        <f t="shared" si="233"/>
        <v>Pass</v>
      </c>
      <c r="DC313" s="299">
        <f t="shared" si="234"/>
        <v>1.1971599639696922</v>
      </c>
      <c r="DD313" s="293" t="str">
        <f t="shared" si="235"/>
        <v>Pass</v>
      </c>
      <c r="DE313" s="299">
        <f t="shared" si="236"/>
        <v>1.1681590014923349</v>
      </c>
      <c r="DF313" s="293" t="str">
        <f t="shared" si="237"/>
        <v>Pass</v>
      </c>
      <c r="DG313" s="299">
        <f t="shared" si="238"/>
        <v>1.1564895233658337</v>
      </c>
      <c r="DH313" s="293" t="str">
        <f t="shared" si="239"/>
        <v>Pass</v>
      </c>
    </row>
    <row r="314" spans="1:112" ht="15" thickTop="1" thickBot="1">
      <c r="A314" s="38" t="s">
        <v>738</v>
      </c>
      <c r="B314" s="38" t="s">
        <v>739</v>
      </c>
      <c r="C314" s="38" t="s">
        <v>738</v>
      </c>
      <c r="D314" s="38" t="s">
        <v>113</v>
      </c>
      <c r="E314" s="38" t="str">
        <f>VLOOKUP(C314,PoliticalControl!A:K,11,FALSE)</f>
        <v>CON</v>
      </c>
      <c r="F314" s="38" t="str">
        <f>VLOOKUP(C314,UrbanRuralClassification!A:N,13,FALSE)</f>
        <v>Urban with City and Town</v>
      </c>
      <c r="G314" s="38" t="str">
        <f>VLOOKUP(C314,UrbanRuralClassification!A:N,14,FALSE)</f>
        <v>Predominantly Urban</v>
      </c>
      <c r="H314" s="258">
        <f>IF(ISBLANK((VLOOKUP($A314,'local-plan-data'!$C$1:$AD$566,27,FALSE)))=TRUE,"",VLOOKUP($A314,'local-plan-data'!$C$1:$AD$566,27,FALSE))</f>
        <v>40645</v>
      </c>
      <c r="I314" s="259">
        <f>VLOOKUP($A314,'local-plan-data'!$C$1:$AD$566,28,FALSE)</f>
        <v>200</v>
      </c>
      <c r="J314" s="260">
        <f t="shared" si="217"/>
        <v>200</v>
      </c>
      <c r="K314" s="259" t="str">
        <f t="shared" si="247"/>
        <v>-</v>
      </c>
      <c r="L314" s="259" t="str">
        <f t="shared" si="245"/>
        <v>-</v>
      </c>
      <c r="M314" s="259" t="str">
        <f t="shared" si="245"/>
        <v>-</v>
      </c>
      <c r="N314" s="259" t="str">
        <f t="shared" si="245"/>
        <v>-</v>
      </c>
      <c r="O314" s="259" t="str">
        <f t="shared" si="245"/>
        <v>-</v>
      </c>
      <c r="P314" s="259" t="str">
        <f t="shared" si="245"/>
        <v>-</v>
      </c>
      <c r="Q314" s="259" t="str">
        <f t="shared" si="245"/>
        <v>-</v>
      </c>
      <c r="R314" s="259" t="str">
        <f t="shared" si="245"/>
        <v>-</v>
      </c>
      <c r="S314" s="259">
        <f t="shared" si="248"/>
        <v>-719</v>
      </c>
      <c r="T314" s="259">
        <f t="shared" si="246"/>
        <v>-1084</v>
      </c>
      <c r="U314" s="259">
        <f t="shared" si="246"/>
        <v>-1450</v>
      </c>
      <c r="V314" s="259">
        <f t="shared" si="246"/>
        <v>-1815</v>
      </c>
      <c r="W314" s="259">
        <f t="shared" si="246"/>
        <v>-2180</v>
      </c>
      <c r="X314" s="259">
        <f t="shared" si="246"/>
        <v>-2545</v>
      </c>
      <c r="Y314" s="259">
        <f t="shared" si="246"/>
        <v>-2911</v>
      </c>
      <c r="Z314" s="259">
        <f t="shared" si="246"/>
        <v>-3276</v>
      </c>
      <c r="AA314" s="267">
        <f>(VLOOKUP(A314,Hshldprojections2014!$A$2:$AW$319,40, FALSE)-VLOOKUP(A314,Hshldprojections2014!$A$2:$AW$319,30, FALSE))/10</f>
        <v>623.5</v>
      </c>
      <c r="AB314" s="267">
        <f>(VLOOKUP(A314,Hshldprojections2014!$A$2:$AW$319,41, FALSE)-VLOOKUP(A314,Hshldprojections2014!$A$2:$AW$319,31, FALSE))/10</f>
        <v>628.6</v>
      </c>
      <c r="AC314" s="267">
        <f>(VLOOKUP(A314,Hshldprojections2014!$A$2:$AW$319,42, FALSE)-VLOOKUP(A314,Hshldprojections2014!$A$2:$AW$319,32, FALSE))/10</f>
        <v>632.29999999999995</v>
      </c>
      <c r="AD314" s="267">
        <f>IF(IndividualLATest!$J$7=2014,(VLOOKUP($A314,Hshldprojections2014!$A$2:$AY$326,43,FALSE)-VLOOKUP($A314,Hshldprojections2014!$A$2:$AY$326,33,FALSE))/10,IF(IndividualLATest!$J$7=2016,(VLOOKUP($A314,Hshldprojections2016!$A$1:$AQ$322,33,FALSE)-VLOOKUP($A314,Hshldprojections2016!$A$1:$AQ$322,23,FALSE))/10,(VLOOKUP($A314,Hshldprojections2018!$A$1:$AQ$327,33,FALSE)-VLOOKUP($A314,Hshldprojections2018!$A$1:$AQ$327,23,FALSE))/10))</f>
        <v>386.7</v>
      </c>
      <c r="AE314" s="267">
        <f>IF(IndividualLATest!$J$7=2014,(VLOOKUP($A314,Hshldprojections2014!$A$2:$AY$326,44,FALSE)-VLOOKUP($A314,Hshldprojections2014!$A$2:$AY$326,34,FALSE))/10,IF(IndividualLATest!$J$7=2016,(VLOOKUP($A314,Hshldprojections2016!$A$1:$AQ$322,34,FALSE)-VLOOKUP($A314,Hshldprojections2016!$A$1:$AQ$322,24,FALSE))/10,(VLOOKUP($A314,Hshldprojections2018!$A$1:$AQ$327,34,FALSE)-VLOOKUP($A314,Hshldprojections2018!$A$1:$AQ$327,24,FALSE))/10))</f>
        <v>382.1</v>
      </c>
      <c r="AF314" s="267">
        <f>IF(IndividualLATest!$J$7=2014,(VLOOKUP($A314,Hshldprojections2014!$A$2:$AY$326,45,FALSE)-VLOOKUP($A314,Hshldprojections2014!$A$2:$AY$326,35,FALSE))/10,IF(IndividualLATest!$J$7=2016,(VLOOKUP($A314,Hshldprojections2016!$A$1:$AQ$322,35,FALSE)-VLOOKUP($A314,Hshldprojections2016!$A$1:$AQ$322,25,FALSE))/10,(VLOOKUP($A314,Hshldprojections2018!$A$1:$AQ$327,35,FALSE)-VLOOKUP($A314,Hshldprojections2018!$A$1:$AQ$327,25,FALSE))/10))</f>
        <v>377.3</v>
      </c>
      <c r="AG314" s="267">
        <f>IF(IndividualLATest!$J$7=2014,(VLOOKUP($A314,Hshldprojections2014!$A$2:$AY$326,46,FALSE)-VLOOKUP($A314,Hshldprojections2014!$A$2:$AY$326,36,FALSE))/10,IF(IndividualLATest!$J$7=2016,(VLOOKUP($A314,Hshldprojections2016!$A$1:$AQ$322,36,FALSE)-VLOOKUP($A314,Hshldprojections2016!$A$1:$AQ$322,26,FALSE))/10,(VLOOKUP($A314,Hshldprojections2018!$A$1:$AQ$327,36,FALSE)-VLOOKUP($A314,Hshldprojections2018!$A$1:$AQ$327,26,FALSE))/10))</f>
        <v>373.4</v>
      </c>
      <c r="AH314" s="267">
        <f>IF(IndividualLATest!$J$7=2014,(VLOOKUP($A314,Hshldprojections2014!$A$2:$AY$326,47,FALSE)-VLOOKUP($A314,Hshldprojections2014!$A$2:$AY$326,37,FALSE))/10,IF(IndividualLATest!$J$7=2016,(VLOOKUP($A314,Hshldprojections2016!$A$1:$AQ$322,37,FALSE)-VLOOKUP($A314,Hshldprojections2016!$A$1:$AQ$322,27,FALSE))/10,(VLOOKUP($A314,Hshldprojections2018!$A$1:$AQ$327,37,FALSE)-VLOOKUP($A314,Hshldprojections2018!$A$1:$AQ$327,27,FALSE))/10))</f>
        <v>371.8</v>
      </c>
      <c r="AI314" s="268">
        <f>IF(ISNUMBER('Sensitivity Tests'!$C$30),'Sensitivity Tests'!$C$30,VLOOKUP($A314,AffordabilityRatio!$A$2:$I$321,5,FALSE))</f>
        <v>11.36</v>
      </c>
      <c r="AJ314" s="268">
        <f>IF(ISNUMBER('Sensitivity Tests'!$C$30),'Sensitivity Tests'!$C$30,VLOOKUP($A314,AffordabilityRatio!$A$2:$I$321,6,FALSE))</f>
        <v>11.73</v>
      </c>
      <c r="AK314" s="268">
        <f>IF(ISNUMBER('Sensitivity Tests'!$C$30),'Sensitivity Tests'!$C$30,VLOOKUP($A314,AffordabilityRatio!$A$2:$I$321,7,FALSE))</f>
        <v>10.64</v>
      </c>
      <c r="AL314" s="268">
        <f>IF(ISNUMBER('Sensitivity Tests'!$C$30),'Sensitivity Tests'!$C$30,IF((VLOOKUP($A314,AffordabilityRatio!$A$2:$I$321,8,FALSE))="",AK314,VLOOKUP($A314,AffordabilityRatio!$A$2:$I$321,8,FALSE)))</f>
        <v>9.7100000000000009</v>
      </c>
      <c r="AM314" s="268">
        <f>IF(ISNUMBER('Sensitivity Tests'!$C$30),'Sensitivity Tests'!$C$30,IF((VLOOKUP($A314,AffordabilityRatio!$A$2:$I$321,9,FALSE))="",AL314,VLOOKUP($A314,AffordabilityRatio!$A$2:$I$321,9,FALSE)))</f>
        <v>11.32</v>
      </c>
      <c r="AN314" s="268">
        <f>IF(ISNUMBER('Sensitivity Tests'!$C$30),'Sensitivity Tests'!$C$30,IF((VLOOKUP($A314,AffordabilityRatio!$A$2:$I$321,9,FALSE))="",AM314,VLOOKUP($A314,AffordabilityRatio!$A$2:$I$321,9,FALSE)))</f>
        <v>11.32</v>
      </c>
      <c r="AO314" s="268">
        <f>IF(ISNUMBER('Sensitivity Tests'!$C$30),'Sensitivity Tests'!$C$30,IF((VLOOKUP($A314,AffordabilityRatio!$A$2:$I$321,9,FALSE))="",AN314,VLOOKUP($A314,AffordabilityRatio!$A$2:$I$321,9,FALSE)))</f>
        <v>11.32</v>
      </c>
      <c r="AP314" s="268">
        <f>IF(ISNUMBER('Sensitivity Tests'!$C$30),'Sensitivity Tests'!$C$30,IF((VLOOKUP($A314,AffordabilityRatio!$A$2:$I$321,9,FALSE))="",AO314,VLOOKUP($A314,AffordabilityRatio!$A$2:$I$321,9,FALSE)))</f>
        <v>11.32</v>
      </c>
      <c r="AQ314" s="267">
        <f t="shared" si="243"/>
        <v>910</v>
      </c>
      <c r="AR314" s="267">
        <f t="shared" si="243"/>
        <v>932</v>
      </c>
      <c r="AS314" s="267">
        <f t="shared" si="243"/>
        <v>895</v>
      </c>
      <c r="AT314" s="267">
        <f t="shared" si="242"/>
        <v>525</v>
      </c>
      <c r="AU314" s="267">
        <f t="shared" si="242"/>
        <v>557</v>
      </c>
      <c r="AV314" s="267">
        <f t="shared" si="242"/>
        <v>550</v>
      </c>
      <c r="AW314" s="267">
        <f t="shared" si="242"/>
        <v>544</v>
      </c>
      <c r="AX314" s="267">
        <f t="shared" si="242"/>
        <v>542</v>
      </c>
      <c r="AY314" s="267">
        <f t="shared" si="218"/>
        <v>872.9</v>
      </c>
      <c r="AZ314" s="267">
        <f t="shared" si="219"/>
        <v>880.04000000000008</v>
      </c>
      <c r="BA314" s="267">
        <f t="shared" si="220"/>
        <v>885.21999999999991</v>
      </c>
      <c r="BB314" s="267">
        <f t="shared" si="221"/>
        <v>525</v>
      </c>
      <c r="BC314" s="267">
        <f t="shared" si="222"/>
        <v>534.94000000000005</v>
      </c>
      <c r="BD314" s="267">
        <f t="shared" si="223"/>
        <v>528.22</v>
      </c>
      <c r="BE314" s="267">
        <f t="shared" si="224"/>
        <v>522.76</v>
      </c>
      <c r="BF314" s="267">
        <f t="shared" si="225"/>
        <v>520.52</v>
      </c>
      <c r="BG314" s="269">
        <f>AY314*VLOOKUP($B314,'Major Cities &amp; Towns'!$A$28:$B$345,2,FALSE)</f>
        <v>872.9</v>
      </c>
      <c r="BH314" s="269">
        <f>AZ314*VLOOKUP($B314,'Major Cities &amp; Towns'!$A$28:$B$345,2,FALSE)</f>
        <v>880.04000000000008</v>
      </c>
      <c r="BI314" s="269">
        <f>BA314*VLOOKUP($B314,'Major Cities &amp; Towns'!$A$28:$B$345,2,FALSE)</f>
        <v>885.21999999999991</v>
      </c>
      <c r="BJ314" s="269">
        <f>BB314*VLOOKUP($B314,'Major Cities &amp; Towns'!$A$28:$B$345,2,FALSE)</f>
        <v>525</v>
      </c>
      <c r="BK314" s="269">
        <f>BC314*VLOOKUP($B314,'Major Cities &amp; Towns'!$A$28:$B$345,2,FALSE)</f>
        <v>534.94000000000005</v>
      </c>
      <c r="BL314" s="269">
        <f>BD314*VLOOKUP($B314,'Major Cities &amp; Towns'!$A$28:$B$345,2,FALSE)</f>
        <v>528.22</v>
      </c>
      <c r="BM314" s="269">
        <f>BE314*VLOOKUP($B314,'Major Cities &amp; Towns'!$A$28:$B$345,2,FALSE)</f>
        <v>522.76</v>
      </c>
      <c r="BN314" s="269">
        <f>BF314*VLOOKUP($B314,'Major Cities &amp; Towns'!$A$28:$B$345,2,FALSE)</f>
        <v>520.52</v>
      </c>
      <c r="BO314" s="270">
        <f t="shared" si="226"/>
        <v>910</v>
      </c>
      <c r="BP314" s="270">
        <f t="shared" si="201"/>
        <v>932</v>
      </c>
      <c r="BQ314" s="270">
        <f t="shared" si="201"/>
        <v>895</v>
      </c>
      <c r="BR314" s="270">
        <f t="shared" si="201"/>
        <v>525</v>
      </c>
      <c r="BS314" s="270">
        <f t="shared" si="201"/>
        <v>557</v>
      </c>
      <c r="BT314" s="270">
        <f t="shared" si="201"/>
        <v>550</v>
      </c>
      <c r="BU314" s="270">
        <f t="shared" si="201"/>
        <v>544</v>
      </c>
      <c r="BV314" s="270">
        <f t="shared" si="249"/>
        <v>542</v>
      </c>
      <c r="BW314" s="39">
        <f>VLOOKUP($A314,NetAdditions!$A$2:$H$336,6,FALSE)</f>
        <v>292</v>
      </c>
      <c r="BX314" s="39">
        <f>VLOOKUP($A314,NetAdditions!$A$2:$H$336,7,FALSE)</f>
        <v>396</v>
      </c>
      <c r="BY314" s="39">
        <f>IF((VLOOKUP($C314,NetAdditions!$A$2:$H$336,8,FALSE))="",(AVERAGE(VLOOKUP($C314,NetAdditions!$A$2:$H$336,5,FALSE),VLOOKUP($C314,NetAdditions!$A$2:$H$336,6,FALSE),VLOOKUP($C314,NetAdditions!$A$2:$H$336,7,FALSE))),VLOOKUP($C314,NetAdditions!$A$2:$H$336,8,FALSE))</f>
        <v>107</v>
      </c>
      <c r="BZ314" s="39">
        <f t="shared" si="244"/>
        <v>265</v>
      </c>
      <c r="CA314" s="39">
        <f t="shared" si="244"/>
        <v>256</v>
      </c>
      <c r="CB314" s="39">
        <f t="shared" si="244"/>
        <v>209.33333333333334</v>
      </c>
      <c r="CC314" s="39">
        <f t="shared" si="244"/>
        <v>243.44444444444446</v>
      </c>
      <c r="CD314" s="39">
        <f t="shared" si="244"/>
        <v>236.25925925925927</v>
      </c>
      <c r="CE314" s="276">
        <f t="shared" si="202"/>
        <v>2737</v>
      </c>
      <c r="CF314" s="276">
        <f t="shared" si="203"/>
        <v>2352</v>
      </c>
      <c r="CG314" s="276">
        <f t="shared" si="204"/>
        <v>1977</v>
      </c>
      <c r="CH314" s="276">
        <f t="shared" si="205"/>
        <v>1632</v>
      </c>
      <c r="CI314" s="276">
        <f t="shared" si="206"/>
        <v>1651</v>
      </c>
      <c r="CJ314" s="276">
        <f t="shared" si="207"/>
        <v>1636</v>
      </c>
      <c r="CK314" s="276">
        <f t="shared" si="227"/>
        <v>2356.8611111111113</v>
      </c>
      <c r="CL314" s="276">
        <f t="shared" si="228"/>
        <v>2025.3333333333335</v>
      </c>
      <c r="CM314" s="276">
        <f t="shared" si="229"/>
        <v>1812.25</v>
      </c>
      <c r="CN314" s="276">
        <f t="shared" si="230"/>
        <v>1632</v>
      </c>
      <c r="CO314" s="276">
        <f t="shared" si="230"/>
        <v>1651</v>
      </c>
      <c r="CP314" s="276">
        <f t="shared" si="230"/>
        <v>1636</v>
      </c>
      <c r="CQ314" s="39">
        <f t="shared" si="208"/>
        <v>795</v>
      </c>
      <c r="CR314" s="39">
        <f t="shared" si="209"/>
        <v>768</v>
      </c>
      <c r="CS314" s="277">
        <f t="shared" si="210"/>
        <v>628</v>
      </c>
      <c r="CT314" s="39">
        <f t="shared" si="211"/>
        <v>730.33333333333337</v>
      </c>
      <c r="CU314" s="39">
        <f t="shared" si="212"/>
        <v>708.77777777777783</v>
      </c>
      <c r="CV314" s="39">
        <f t="shared" si="213"/>
        <v>689.03703703703707</v>
      </c>
      <c r="CW314" s="297">
        <f t="shared" si="214"/>
        <v>0.33731304583544497</v>
      </c>
      <c r="CX314" s="279" t="str">
        <f t="shared" si="231"/>
        <v>Buffer and Action Plan</v>
      </c>
      <c r="CY314" s="278">
        <f t="shared" si="215"/>
        <v>0.37919684002633308</v>
      </c>
      <c r="CZ314" s="279" t="str">
        <f t="shared" si="232"/>
        <v>Presumption</v>
      </c>
      <c r="DA314" s="278">
        <f t="shared" si="216"/>
        <v>0.34653055593875015</v>
      </c>
      <c r="DB314" s="292" t="str">
        <f t="shared" si="233"/>
        <v>Presumption</v>
      </c>
      <c r="DC314" s="299">
        <f t="shared" si="234"/>
        <v>0.44750816993464054</v>
      </c>
      <c r="DD314" s="293" t="str">
        <f t="shared" si="235"/>
        <v>Presumption</v>
      </c>
      <c r="DE314" s="299">
        <f t="shared" si="236"/>
        <v>0.42930210646746081</v>
      </c>
      <c r="DF314" s="293" t="str">
        <f t="shared" si="237"/>
        <v>Presumption</v>
      </c>
      <c r="DG314" s="299">
        <f t="shared" si="238"/>
        <v>0.42117178302997377</v>
      </c>
      <c r="DH314" s="293" t="str">
        <f t="shared" si="239"/>
        <v>Presumption</v>
      </c>
    </row>
    <row r="315" spans="1:112" ht="15" thickTop="1" thickBot="1">
      <c r="A315" s="38" t="s">
        <v>740</v>
      </c>
      <c r="B315" s="38" t="s">
        <v>741</v>
      </c>
      <c r="C315" s="38" t="s">
        <v>740</v>
      </c>
      <c r="D315" s="38" t="s">
        <v>154</v>
      </c>
      <c r="E315" s="38" t="str">
        <f>VLOOKUP(C315,PoliticalControl!A:K,11,FALSE)</f>
        <v>CON</v>
      </c>
      <c r="F315" s="38" t="str">
        <f>VLOOKUP(C315,UrbanRuralClassification!A:N,13,FALSE)</f>
        <v xml:space="preserve">Mainly Rural (rural including hub towns &gt;=80%) </v>
      </c>
      <c r="G315" s="38" t="str">
        <f>VLOOKUP(C315,UrbanRuralClassification!A:N,14,FALSE)</f>
        <v>Predominantly Rural</v>
      </c>
      <c r="H315" s="258">
        <f>IF(ISBLANK((VLOOKUP($A315,'local-plan-data'!$C$1:$AD$566,27,FALSE)))=TRUE,"",VLOOKUP($A315,'local-plan-data'!$C$1:$AD$566,27,FALSE))</f>
        <v>42425</v>
      </c>
      <c r="I315" s="259">
        <f>VLOOKUP($A315,'local-plan-data'!$C$1:$AD$566,28,FALSE)</f>
        <v>479.16666666666669</v>
      </c>
      <c r="J315" s="260">
        <f t="shared" si="217"/>
        <v>479.16666666666669</v>
      </c>
      <c r="K315" s="259">
        <f t="shared" si="247"/>
        <v>479.16666666666669</v>
      </c>
      <c r="L315" s="259">
        <f t="shared" si="245"/>
        <v>479.16666666666669</v>
      </c>
      <c r="M315" s="259">
        <f t="shared" si="245"/>
        <v>479.16666666666669</v>
      </c>
      <c r="N315" s="259" t="str">
        <f t="shared" si="245"/>
        <v>-</v>
      </c>
      <c r="O315" s="259" t="str">
        <f t="shared" si="245"/>
        <v>-</v>
      </c>
      <c r="P315" s="259" t="str">
        <f t="shared" si="245"/>
        <v>-</v>
      </c>
      <c r="Q315" s="259" t="str">
        <f t="shared" si="245"/>
        <v>-</v>
      </c>
      <c r="R315" s="259" t="str">
        <f t="shared" si="245"/>
        <v>-</v>
      </c>
      <c r="S315" s="259">
        <f t="shared" si="248"/>
        <v>1061</v>
      </c>
      <c r="T315" s="259">
        <f t="shared" si="246"/>
        <v>696</v>
      </c>
      <c r="U315" s="259">
        <f t="shared" si="246"/>
        <v>330</v>
      </c>
      <c r="V315" s="259">
        <f t="shared" si="246"/>
        <v>-35</v>
      </c>
      <c r="W315" s="259">
        <f t="shared" si="246"/>
        <v>-400</v>
      </c>
      <c r="X315" s="259">
        <f t="shared" si="246"/>
        <v>-765</v>
      </c>
      <c r="Y315" s="259">
        <f t="shared" si="246"/>
        <v>-1131</v>
      </c>
      <c r="Z315" s="259">
        <f t="shared" si="246"/>
        <v>-1496</v>
      </c>
      <c r="AA315" s="267">
        <f>(VLOOKUP(A315,Hshldprojections2014!$A$2:$AW$319,40, FALSE)-VLOOKUP(A315,Hshldprojections2014!$A$2:$AW$319,30, FALSE))/10</f>
        <v>375.4</v>
      </c>
      <c r="AB315" s="267">
        <f>(VLOOKUP(A315,Hshldprojections2014!$A$2:$AW$319,41, FALSE)-VLOOKUP(A315,Hshldprojections2014!$A$2:$AW$319,31, FALSE))/10</f>
        <v>372.2</v>
      </c>
      <c r="AC315" s="267">
        <f>(VLOOKUP(A315,Hshldprojections2014!$A$2:$AW$319,42, FALSE)-VLOOKUP(A315,Hshldprojections2014!$A$2:$AW$319,32, FALSE))/10</f>
        <v>368.2</v>
      </c>
      <c r="AD315" s="267">
        <f>IF(IndividualLATest!$J$7=2014,(VLOOKUP($A315,Hshldprojections2014!$A$2:$AY$326,43,FALSE)-VLOOKUP($A315,Hshldprojections2014!$A$2:$AY$326,33,FALSE))/10,IF(IndividualLATest!$J$7=2016,(VLOOKUP($A315,Hshldprojections2016!$A$1:$AQ$322,33,FALSE)-VLOOKUP($A315,Hshldprojections2016!$A$1:$AQ$322,23,FALSE))/10,(VLOOKUP($A315,Hshldprojections2018!$A$1:$AQ$327,33,FALSE)-VLOOKUP($A315,Hshldprojections2018!$A$1:$AQ$327,23,FALSE))/10))</f>
        <v>798.8</v>
      </c>
      <c r="AE315" s="267">
        <f>IF(IndividualLATest!$J$7=2014,(VLOOKUP($A315,Hshldprojections2014!$A$2:$AY$326,44,FALSE)-VLOOKUP($A315,Hshldprojections2014!$A$2:$AY$326,34,FALSE))/10,IF(IndividualLATest!$J$7=2016,(VLOOKUP($A315,Hshldprojections2016!$A$1:$AQ$322,34,FALSE)-VLOOKUP($A315,Hshldprojections2016!$A$1:$AQ$322,24,FALSE))/10,(VLOOKUP($A315,Hshldprojections2018!$A$1:$AQ$327,34,FALSE)-VLOOKUP($A315,Hshldprojections2018!$A$1:$AQ$327,24,FALSE))/10))</f>
        <v>778.8</v>
      </c>
      <c r="AF315" s="267">
        <f>IF(IndividualLATest!$J$7=2014,(VLOOKUP($A315,Hshldprojections2014!$A$2:$AY$326,45,FALSE)-VLOOKUP($A315,Hshldprojections2014!$A$2:$AY$326,35,FALSE))/10,IF(IndividualLATest!$J$7=2016,(VLOOKUP($A315,Hshldprojections2016!$A$1:$AQ$322,35,FALSE)-VLOOKUP($A315,Hshldprojections2016!$A$1:$AQ$322,25,FALSE))/10,(VLOOKUP($A315,Hshldprojections2018!$A$1:$AQ$327,35,FALSE)-VLOOKUP($A315,Hshldprojections2018!$A$1:$AQ$327,25,FALSE))/10))</f>
        <v>762.7</v>
      </c>
      <c r="AG315" s="267">
        <f>IF(IndividualLATest!$J$7=2014,(VLOOKUP($A315,Hshldprojections2014!$A$2:$AY$326,46,FALSE)-VLOOKUP($A315,Hshldprojections2014!$A$2:$AY$326,36,FALSE))/10,IF(IndividualLATest!$J$7=2016,(VLOOKUP($A315,Hshldprojections2016!$A$1:$AQ$322,36,FALSE)-VLOOKUP($A315,Hshldprojections2016!$A$1:$AQ$322,26,FALSE))/10,(VLOOKUP($A315,Hshldprojections2018!$A$1:$AQ$327,36,FALSE)-VLOOKUP($A315,Hshldprojections2018!$A$1:$AQ$327,26,FALSE))/10))</f>
        <v>744.2</v>
      </c>
      <c r="AH315" s="267">
        <f>IF(IndividualLATest!$J$7=2014,(VLOOKUP($A315,Hshldprojections2014!$A$2:$AY$326,47,FALSE)-VLOOKUP($A315,Hshldprojections2014!$A$2:$AY$326,37,FALSE))/10,IF(IndividualLATest!$J$7=2016,(VLOOKUP($A315,Hshldprojections2016!$A$1:$AQ$322,37,FALSE)-VLOOKUP($A315,Hshldprojections2016!$A$1:$AQ$322,27,FALSE))/10,(VLOOKUP($A315,Hshldprojections2018!$A$1:$AQ$327,37,FALSE)-VLOOKUP($A315,Hshldprojections2018!$A$1:$AQ$327,27,FALSE))/10))</f>
        <v>726.3</v>
      </c>
      <c r="AI315" s="268">
        <f>IF(ISNUMBER('Sensitivity Tests'!$C$30),'Sensitivity Tests'!$C$30,VLOOKUP($A315,AffordabilityRatio!$A$2:$I$321,5,FALSE))</f>
        <v>9.4700000000000006</v>
      </c>
      <c r="AJ315" s="268">
        <f>IF(ISNUMBER('Sensitivity Tests'!$C$30),'Sensitivity Tests'!$C$30,VLOOKUP($A315,AffordabilityRatio!$A$2:$I$321,6,FALSE))</f>
        <v>9.7799999999999994</v>
      </c>
      <c r="AK315" s="268">
        <f>IF(ISNUMBER('Sensitivity Tests'!$C$30),'Sensitivity Tests'!$C$30,VLOOKUP($A315,AffordabilityRatio!$A$2:$I$321,7,FALSE))</f>
        <v>9.6300000000000008</v>
      </c>
      <c r="AL315" s="268">
        <f>IF(ISNUMBER('Sensitivity Tests'!$C$30),'Sensitivity Tests'!$C$30,IF((VLOOKUP($A315,AffordabilityRatio!$A$2:$I$321,8,FALSE))="",AK315,VLOOKUP($A315,AffordabilityRatio!$A$2:$I$321,8,FALSE)))</f>
        <v>10.050000000000001</v>
      </c>
      <c r="AM315" s="268">
        <f>IF(ISNUMBER('Sensitivity Tests'!$C$30),'Sensitivity Tests'!$C$30,IF((VLOOKUP($A315,AffordabilityRatio!$A$2:$I$321,9,FALSE))="",AL315,VLOOKUP($A315,AffordabilityRatio!$A$2:$I$321,9,FALSE)))</f>
        <v>10.39</v>
      </c>
      <c r="AN315" s="268">
        <f>IF(ISNUMBER('Sensitivity Tests'!$C$30),'Sensitivity Tests'!$C$30,IF((VLOOKUP($A315,AffordabilityRatio!$A$2:$I$321,9,FALSE))="",AM315,VLOOKUP($A315,AffordabilityRatio!$A$2:$I$321,9,FALSE)))</f>
        <v>10.39</v>
      </c>
      <c r="AO315" s="268">
        <f>IF(ISNUMBER('Sensitivity Tests'!$C$30),'Sensitivity Tests'!$C$30,IF((VLOOKUP($A315,AffordabilityRatio!$A$2:$I$321,9,FALSE))="",AN315,VLOOKUP($A315,AffordabilityRatio!$A$2:$I$321,9,FALSE)))</f>
        <v>10.39</v>
      </c>
      <c r="AP315" s="268">
        <f>IF(ISNUMBER('Sensitivity Tests'!$C$30),'Sensitivity Tests'!$C$30,IF((VLOOKUP($A315,AffordabilityRatio!$A$2:$I$321,9,FALSE))="",AO315,VLOOKUP($A315,AffordabilityRatio!$A$2:$I$321,9,FALSE)))</f>
        <v>10.39</v>
      </c>
      <c r="AQ315" s="267">
        <f t="shared" si="243"/>
        <v>504</v>
      </c>
      <c r="AR315" s="267">
        <f t="shared" si="243"/>
        <v>507</v>
      </c>
      <c r="AS315" s="267">
        <f t="shared" si="243"/>
        <v>498</v>
      </c>
      <c r="AT315" s="267">
        <f t="shared" si="242"/>
        <v>1101</v>
      </c>
      <c r="AU315" s="267">
        <f t="shared" si="242"/>
        <v>1090</v>
      </c>
      <c r="AV315" s="267">
        <f t="shared" si="242"/>
        <v>1067</v>
      </c>
      <c r="AW315" s="267">
        <f t="shared" si="242"/>
        <v>1041</v>
      </c>
      <c r="AX315" s="267">
        <f t="shared" si="242"/>
        <v>1016</v>
      </c>
      <c r="AY315" s="267">
        <f t="shared" si="218"/>
        <v>504</v>
      </c>
      <c r="AZ315" s="267">
        <f t="shared" si="219"/>
        <v>507</v>
      </c>
      <c r="BA315" s="267">
        <f t="shared" si="220"/>
        <v>498</v>
      </c>
      <c r="BB315" s="267">
        <f t="shared" si="221"/>
        <v>1101</v>
      </c>
      <c r="BC315" s="267">
        <f t="shared" si="222"/>
        <v>1090</v>
      </c>
      <c r="BD315" s="267">
        <f t="shared" si="223"/>
        <v>1067</v>
      </c>
      <c r="BE315" s="267">
        <f t="shared" si="224"/>
        <v>1041</v>
      </c>
      <c r="BF315" s="267">
        <f t="shared" si="225"/>
        <v>1016</v>
      </c>
      <c r="BG315" s="269">
        <f>AY315*VLOOKUP($B315,'Major Cities &amp; Towns'!$A$28:$B$345,2,FALSE)</f>
        <v>504</v>
      </c>
      <c r="BH315" s="269">
        <f>AZ315*VLOOKUP($B315,'Major Cities &amp; Towns'!$A$28:$B$345,2,FALSE)</f>
        <v>507</v>
      </c>
      <c r="BI315" s="269">
        <f>BA315*VLOOKUP($B315,'Major Cities &amp; Towns'!$A$28:$B$345,2,FALSE)</f>
        <v>498</v>
      </c>
      <c r="BJ315" s="269">
        <f>BB315*VLOOKUP($B315,'Major Cities &amp; Towns'!$A$28:$B$345,2,FALSE)</f>
        <v>1101</v>
      </c>
      <c r="BK315" s="269">
        <f>BC315*VLOOKUP($B315,'Major Cities &amp; Towns'!$A$28:$B$345,2,FALSE)</f>
        <v>1090</v>
      </c>
      <c r="BL315" s="269">
        <f>BD315*VLOOKUP($B315,'Major Cities &amp; Towns'!$A$28:$B$345,2,FALSE)</f>
        <v>1067</v>
      </c>
      <c r="BM315" s="269">
        <f>BE315*VLOOKUP($B315,'Major Cities &amp; Towns'!$A$28:$B$345,2,FALSE)</f>
        <v>1041</v>
      </c>
      <c r="BN315" s="269">
        <f>BF315*VLOOKUP($B315,'Major Cities &amp; Towns'!$A$28:$B$345,2,FALSE)</f>
        <v>1016</v>
      </c>
      <c r="BO315" s="270">
        <f t="shared" si="226"/>
        <v>479.16666666666669</v>
      </c>
      <c r="BP315" s="270">
        <f t="shared" ref="BP315:BU322" si="250">IFERROR(IF(AND(T315&lt;365,T315&gt;0),SUM(((T315/365)*(MIN(L315,BH315)))+(((365-T315)/365)*AR315)),(MIN(L315,AR315))),AR315)</f>
        <v>479.16666666666669</v>
      </c>
      <c r="BQ315" s="270">
        <f t="shared" si="250"/>
        <v>480.97260273972603</v>
      </c>
      <c r="BR315" s="270">
        <f t="shared" si="250"/>
        <v>1101</v>
      </c>
      <c r="BS315" s="270">
        <f t="shared" si="250"/>
        <v>1090</v>
      </c>
      <c r="BT315" s="270">
        <f t="shared" si="250"/>
        <v>1067</v>
      </c>
      <c r="BU315" s="270">
        <f t="shared" si="250"/>
        <v>1041</v>
      </c>
      <c r="BV315" s="270">
        <f t="shared" si="249"/>
        <v>1016</v>
      </c>
      <c r="BW315" s="39">
        <f>VLOOKUP($A315,NetAdditions!$A$2:$H$336,6,FALSE)</f>
        <v>1288</v>
      </c>
      <c r="BX315" s="39">
        <f>VLOOKUP($A315,NetAdditions!$A$2:$H$336,7,FALSE)</f>
        <v>794</v>
      </c>
      <c r="BY315" s="39">
        <f>IF((VLOOKUP($C315,NetAdditions!$A$2:$H$336,8,FALSE))="",(AVERAGE(VLOOKUP($C315,NetAdditions!$A$2:$H$336,5,FALSE),VLOOKUP($C315,NetAdditions!$A$2:$H$336,6,FALSE),VLOOKUP($C315,NetAdditions!$A$2:$H$336,7,FALSE))),VLOOKUP($C315,NetAdditions!$A$2:$H$336,8,FALSE))</f>
        <v>591</v>
      </c>
      <c r="BZ315" s="39">
        <f t="shared" si="244"/>
        <v>891</v>
      </c>
      <c r="CA315" s="39">
        <f t="shared" si="244"/>
        <v>758.66666666666663</v>
      </c>
      <c r="CB315" s="39">
        <f t="shared" si="244"/>
        <v>746.8888888888888</v>
      </c>
      <c r="CC315" s="39">
        <f t="shared" si="244"/>
        <v>798.85185185185173</v>
      </c>
      <c r="CD315" s="39">
        <f t="shared" si="244"/>
        <v>768.13580246913568</v>
      </c>
      <c r="CE315" s="276">
        <f t="shared" si="202"/>
        <v>1439.3059360730595</v>
      </c>
      <c r="CF315" s="276">
        <f t="shared" si="203"/>
        <v>2061.1392694063925</v>
      </c>
      <c r="CG315" s="276">
        <f t="shared" si="204"/>
        <v>2671.972602739726</v>
      </c>
      <c r="CH315" s="276">
        <f t="shared" si="205"/>
        <v>3258</v>
      </c>
      <c r="CI315" s="276">
        <f t="shared" si="206"/>
        <v>3198</v>
      </c>
      <c r="CJ315" s="276">
        <f t="shared" si="207"/>
        <v>3124</v>
      </c>
      <c r="CK315" s="276">
        <f t="shared" si="227"/>
        <v>1239.4023338406901</v>
      </c>
      <c r="CL315" s="276">
        <f t="shared" si="228"/>
        <v>1774.8699264332824</v>
      </c>
      <c r="CM315" s="276">
        <f t="shared" si="229"/>
        <v>2449.3082191780823</v>
      </c>
      <c r="CN315" s="276">
        <f t="shared" si="230"/>
        <v>3258</v>
      </c>
      <c r="CO315" s="276">
        <f t="shared" si="230"/>
        <v>3198</v>
      </c>
      <c r="CP315" s="276">
        <f t="shared" si="230"/>
        <v>3124</v>
      </c>
      <c r="CQ315" s="39">
        <f t="shared" si="208"/>
        <v>2673</v>
      </c>
      <c r="CR315" s="39">
        <f t="shared" si="209"/>
        <v>2276</v>
      </c>
      <c r="CS315" s="277">
        <f t="shared" si="210"/>
        <v>2240.6666666666665</v>
      </c>
      <c r="CT315" s="39">
        <f t="shared" si="211"/>
        <v>2396.5555555555552</v>
      </c>
      <c r="CU315" s="39">
        <f t="shared" si="212"/>
        <v>2304.4074074074069</v>
      </c>
      <c r="CV315" s="39">
        <f t="shared" si="213"/>
        <v>2313.8765432098762</v>
      </c>
      <c r="CW315" s="297">
        <f t="shared" si="214"/>
        <v>2.1566846592234845</v>
      </c>
      <c r="CX315" s="279" t="str">
        <f t="shared" si="231"/>
        <v>Pass</v>
      </c>
      <c r="CY315" s="278">
        <f t="shared" si="215"/>
        <v>1.2823474926828984</v>
      </c>
      <c r="CZ315" s="279" t="str">
        <f t="shared" si="232"/>
        <v>Pass</v>
      </c>
      <c r="DA315" s="278">
        <f t="shared" si="216"/>
        <v>0.91481613017187768</v>
      </c>
      <c r="DB315" s="292" t="str">
        <f t="shared" si="233"/>
        <v>Action Plan</v>
      </c>
      <c r="DC315" s="299">
        <f t="shared" si="234"/>
        <v>0.73559102380465169</v>
      </c>
      <c r="DD315" s="293" t="str">
        <f t="shared" si="235"/>
        <v>Presumption</v>
      </c>
      <c r="DE315" s="299">
        <f t="shared" si="236"/>
        <v>0.72057767586222854</v>
      </c>
      <c r="DF315" s="293" t="str">
        <f t="shared" si="237"/>
        <v>Presumption</v>
      </c>
      <c r="DG315" s="299">
        <f t="shared" si="238"/>
        <v>0.7406775106305622</v>
      </c>
      <c r="DH315" s="293" t="str">
        <f t="shared" si="239"/>
        <v>Presumption</v>
      </c>
    </row>
    <row r="316" spans="1:112" ht="15" thickTop="1" thickBot="1">
      <c r="A316" s="38" t="s">
        <v>742</v>
      </c>
      <c r="B316" s="38" t="s">
        <v>743</v>
      </c>
      <c r="C316" s="38" t="s">
        <v>742</v>
      </c>
      <c r="D316" s="38" t="s">
        <v>116</v>
      </c>
      <c r="E316" s="38" t="str">
        <f>VLOOKUP(C316,PoliticalControl!A:K,11,FALSE)</f>
        <v>CON</v>
      </c>
      <c r="F316" s="38" t="str">
        <f>VLOOKUP(C316,UrbanRuralClassification!A:N,13,FALSE)</f>
        <v xml:space="preserve">Largely Rural (rural including hub towns 50-79%) </v>
      </c>
      <c r="G316" s="38" t="str">
        <f>VLOOKUP(C316,UrbanRuralClassification!A:N,14,FALSE)</f>
        <v>Predominantly Rural</v>
      </c>
      <c r="H316" s="258" t="str">
        <f>IF(ISBLANK((VLOOKUP($A316,'local-plan-data'!$C$1:$AD$566,27,FALSE)))=TRUE,"",VLOOKUP($A316,'local-plan-data'!$C$1:$AD$566,27,FALSE))</f>
        <v/>
      </c>
      <c r="I316" s="259">
        <f>VLOOKUP($A316,'local-plan-data'!$C$1:$AD$566,28,FALSE)</f>
        <v>361.6</v>
      </c>
      <c r="J316" s="260">
        <f t="shared" si="217"/>
        <v>361.6</v>
      </c>
      <c r="K316" s="259" t="str">
        <f t="shared" si="247"/>
        <v>-</v>
      </c>
      <c r="L316" s="259" t="str">
        <f t="shared" si="245"/>
        <v>-</v>
      </c>
      <c r="M316" s="259" t="str">
        <f t="shared" si="245"/>
        <v>-</v>
      </c>
      <c r="N316" s="259" t="str">
        <f t="shared" si="245"/>
        <v>-</v>
      </c>
      <c r="O316" s="259" t="str">
        <f t="shared" si="245"/>
        <v>-</v>
      </c>
      <c r="P316" s="259" t="str">
        <f t="shared" si="245"/>
        <v>-</v>
      </c>
      <c r="Q316" s="259" t="str">
        <f t="shared" si="245"/>
        <v>-</v>
      </c>
      <c r="R316" s="259" t="str">
        <f t="shared" si="245"/>
        <v>-</v>
      </c>
      <c r="S316" s="259" t="str">
        <f t="shared" si="248"/>
        <v>-</v>
      </c>
      <c r="T316" s="259" t="str">
        <f t="shared" si="246"/>
        <v>-</v>
      </c>
      <c r="U316" s="259" t="str">
        <f t="shared" si="246"/>
        <v>-</v>
      </c>
      <c r="V316" s="259" t="str">
        <f t="shared" si="246"/>
        <v>-</v>
      </c>
      <c r="W316" s="259" t="str">
        <f t="shared" si="246"/>
        <v>-</v>
      </c>
      <c r="X316" s="259" t="str">
        <f t="shared" si="246"/>
        <v>-</v>
      </c>
      <c r="Y316" s="259" t="str">
        <f t="shared" si="246"/>
        <v>-</v>
      </c>
      <c r="Z316" s="259" t="str">
        <f t="shared" si="246"/>
        <v>-</v>
      </c>
      <c r="AA316" s="267">
        <f>(VLOOKUP(A316,Hshldprojections2014!$A$2:$AW$319,40, FALSE)-VLOOKUP(A316,Hshldprojections2014!$A$2:$AW$319,30, FALSE))/10</f>
        <v>271.2</v>
      </c>
      <c r="AB316" s="267">
        <f>(VLOOKUP(A316,Hshldprojections2014!$A$2:$AW$319,41, FALSE)-VLOOKUP(A316,Hshldprojections2014!$A$2:$AW$319,31, FALSE))/10</f>
        <v>266.39999999999998</v>
      </c>
      <c r="AC316" s="267">
        <f>(VLOOKUP(A316,Hshldprojections2014!$A$2:$AW$319,42, FALSE)-VLOOKUP(A316,Hshldprojections2014!$A$2:$AW$319,32, FALSE))/10</f>
        <v>262.8</v>
      </c>
      <c r="AD316" s="267">
        <f>IF(IndividualLATest!$J$7=2014,(VLOOKUP($A316,Hshldprojections2014!$A$2:$AY$326,43,FALSE)-VLOOKUP($A316,Hshldprojections2014!$A$2:$AY$326,33,FALSE))/10,IF(IndividualLATest!$J$7=2016,(VLOOKUP($A316,Hshldprojections2016!$A$1:$AQ$322,33,FALSE)-VLOOKUP($A316,Hshldprojections2016!$A$1:$AQ$322,23,FALSE))/10,(VLOOKUP($A316,Hshldprojections2018!$A$1:$AQ$327,33,FALSE)-VLOOKUP($A316,Hshldprojections2018!$A$1:$AQ$327,23,FALSE))/10))</f>
        <v>380.1</v>
      </c>
      <c r="AE316" s="267">
        <f>IF(IndividualLATest!$J$7=2014,(VLOOKUP($A316,Hshldprojections2014!$A$2:$AY$326,44,FALSE)-VLOOKUP($A316,Hshldprojections2014!$A$2:$AY$326,34,FALSE))/10,IF(IndividualLATest!$J$7=2016,(VLOOKUP($A316,Hshldprojections2016!$A$1:$AQ$322,34,FALSE)-VLOOKUP($A316,Hshldprojections2016!$A$1:$AQ$322,24,FALSE))/10,(VLOOKUP($A316,Hshldprojections2018!$A$1:$AQ$327,34,FALSE)-VLOOKUP($A316,Hshldprojections2018!$A$1:$AQ$327,24,FALSE))/10))</f>
        <v>369</v>
      </c>
      <c r="AF316" s="267">
        <f>IF(IndividualLATest!$J$7=2014,(VLOOKUP($A316,Hshldprojections2014!$A$2:$AY$326,45,FALSE)-VLOOKUP($A316,Hshldprojections2014!$A$2:$AY$326,35,FALSE))/10,IF(IndividualLATest!$J$7=2016,(VLOOKUP($A316,Hshldprojections2016!$A$1:$AQ$322,35,FALSE)-VLOOKUP($A316,Hshldprojections2016!$A$1:$AQ$322,25,FALSE))/10,(VLOOKUP($A316,Hshldprojections2018!$A$1:$AQ$327,35,FALSE)-VLOOKUP($A316,Hshldprojections2018!$A$1:$AQ$327,25,FALSE))/10))</f>
        <v>362.1</v>
      </c>
      <c r="AG316" s="267">
        <f>IF(IndividualLATest!$J$7=2014,(VLOOKUP($A316,Hshldprojections2014!$A$2:$AY$326,46,FALSE)-VLOOKUP($A316,Hshldprojections2014!$A$2:$AY$326,36,FALSE))/10,IF(IndividualLATest!$J$7=2016,(VLOOKUP($A316,Hshldprojections2016!$A$1:$AQ$322,36,FALSE)-VLOOKUP($A316,Hshldprojections2016!$A$1:$AQ$322,26,FALSE))/10,(VLOOKUP($A316,Hshldprojections2018!$A$1:$AQ$327,36,FALSE)-VLOOKUP($A316,Hshldprojections2018!$A$1:$AQ$327,26,FALSE))/10))</f>
        <v>354.6</v>
      </c>
      <c r="AH316" s="267">
        <f>IF(IndividualLATest!$J$7=2014,(VLOOKUP($A316,Hshldprojections2014!$A$2:$AY$326,47,FALSE)-VLOOKUP($A316,Hshldprojections2014!$A$2:$AY$326,37,FALSE))/10,IF(IndividualLATest!$J$7=2016,(VLOOKUP($A316,Hshldprojections2016!$A$1:$AQ$322,37,FALSE)-VLOOKUP($A316,Hshldprojections2016!$A$1:$AQ$322,27,FALSE))/10,(VLOOKUP($A316,Hshldprojections2018!$A$1:$AQ$327,37,FALSE)-VLOOKUP($A316,Hshldprojections2018!$A$1:$AQ$327,27,FALSE))/10))</f>
        <v>351.9</v>
      </c>
      <c r="AI316" s="268">
        <f>IF(ISNUMBER('Sensitivity Tests'!$C$30),'Sensitivity Tests'!$C$30,VLOOKUP($A316,AffordabilityRatio!$A$2:$I$321,5,FALSE))</f>
        <v>6.69</v>
      </c>
      <c r="AJ316" s="268">
        <f>IF(ISNUMBER('Sensitivity Tests'!$C$30),'Sensitivity Tests'!$C$30,VLOOKUP($A316,AffordabilityRatio!$A$2:$I$321,6,FALSE))</f>
        <v>6.54</v>
      </c>
      <c r="AK316" s="268">
        <f>IF(ISNUMBER('Sensitivity Tests'!$C$30),'Sensitivity Tests'!$C$30,VLOOKUP($A316,AffordabilityRatio!$A$2:$I$321,7,FALSE))</f>
        <v>6.09</v>
      </c>
      <c r="AL316" s="268">
        <f>IF(ISNUMBER('Sensitivity Tests'!$C$30),'Sensitivity Tests'!$C$30,IF((VLOOKUP($A316,AffordabilityRatio!$A$2:$I$321,8,FALSE))="",AK316,VLOOKUP($A316,AffordabilityRatio!$A$2:$I$321,8,FALSE)))</f>
        <v>6.35</v>
      </c>
      <c r="AM316" s="268">
        <f>IF(ISNUMBER('Sensitivity Tests'!$C$30),'Sensitivity Tests'!$C$30,IF((VLOOKUP($A316,AffordabilityRatio!$A$2:$I$321,9,FALSE))="",AL316,VLOOKUP($A316,AffordabilityRatio!$A$2:$I$321,9,FALSE)))</f>
        <v>6.81</v>
      </c>
      <c r="AN316" s="268">
        <f>IF(ISNUMBER('Sensitivity Tests'!$C$30),'Sensitivity Tests'!$C$30,IF((VLOOKUP($A316,AffordabilityRatio!$A$2:$I$321,9,FALSE))="",AM316,VLOOKUP($A316,AffordabilityRatio!$A$2:$I$321,9,FALSE)))</f>
        <v>6.81</v>
      </c>
      <c r="AO316" s="268">
        <f>IF(ISNUMBER('Sensitivity Tests'!$C$30),'Sensitivity Tests'!$C$30,IF((VLOOKUP($A316,AffordabilityRatio!$A$2:$I$321,9,FALSE))="",AN316,VLOOKUP($A316,AffordabilityRatio!$A$2:$I$321,9,FALSE)))</f>
        <v>6.81</v>
      </c>
      <c r="AP316" s="268">
        <f>IF(ISNUMBER('Sensitivity Tests'!$C$30),'Sensitivity Tests'!$C$30,IF((VLOOKUP($A316,AffordabilityRatio!$A$2:$I$321,9,FALSE))="",AO316,VLOOKUP($A316,AffordabilityRatio!$A$2:$I$321,9,FALSE)))</f>
        <v>6.81</v>
      </c>
      <c r="AQ316" s="267">
        <f t="shared" si="243"/>
        <v>317</v>
      </c>
      <c r="AR316" s="267">
        <f t="shared" si="243"/>
        <v>309</v>
      </c>
      <c r="AS316" s="267">
        <f t="shared" si="243"/>
        <v>297</v>
      </c>
      <c r="AT316" s="267">
        <f t="shared" si="242"/>
        <v>436</v>
      </c>
      <c r="AU316" s="267">
        <f t="shared" si="242"/>
        <v>434</v>
      </c>
      <c r="AV316" s="267">
        <f t="shared" si="242"/>
        <v>426</v>
      </c>
      <c r="AW316" s="267">
        <f t="shared" si="242"/>
        <v>417</v>
      </c>
      <c r="AX316" s="267">
        <f t="shared" si="242"/>
        <v>414</v>
      </c>
      <c r="AY316" s="267">
        <f t="shared" si="218"/>
        <v>317</v>
      </c>
      <c r="AZ316" s="267">
        <f t="shared" si="219"/>
        <v>309</v>
      </c>
      <c r="BA316" s="267">
        <f t="shared" si="220"/>
        <v>297</v>
      </c>
      <c r="BB316" s="267">
        <f t="shared" si="221"/>
        <v>436</v>
      </c>
      <c r="BC316" s="267">
        <f t="shared" si="222"/>
        <v>434</v>
      </c>
      <c r="BD316" s="267">
        <f t="shared" si="223"/>
        <v>426</v>
      </c>
      <c r="BE316" s="267">
        <f t="shared" si="224"/>
        <v>417</v>
      </c>
      <c r="BF316" s="267">
        <f t="shared" si="225"/>
        <v>414</v>
      </c>
      <c r="BG316" s="269">
        <f>AY316*VLOOKUP($B316,'Major Cities &amp; Towns'!$A$28:$B$345,2,FALSE)</f>
        <v>317</v>
      </c>
      <c r="BH316" s="269">
        <f>AZ316*VLOOKUP($B316,'Major Cities &amp; Towns'!$A$28:$B$345,2,FALSE)</f>
        <v>309</v>
      </c>
      <c r="BI316" s="269">
        <f>BA316*VLOOKUP($B316,'Major Cities &amp; Towns'!$A$28:$B$345,2,FALSE)</f>
        <v>297</v>
      </c>
      <c r="BJ316" s="269">
        <f>BB316*VLOOKUP($B316,'Major Cities &amp; Towns'!$A$28:$B$345,2,FALSE)</f>
        <v>436</v>
      </c>
      <c r="BK316" s="269">
        <f>BC316*VLOOKUP($B316,'Major Cities &amp; Towns'!$A$28:$B$345,2,FALSE)</f>
        <v>434</v>
      </c>
      <c r="BL316" s="269">
        <f>BD316*VLOOKUP($B316,'Major Cities &amp; Towns'!$A$28:$B$345,2,FALSE)</f>
        <v>426</v>
      </c>
      <c r="BM316" s="269">
        <f>BE316*VLOOKUP($B316,'Major Cities &amp; Towns'!$A$28:$B$345,2,FALSE)</f>
        <v>417</v>
      </c>
      <c r="BN316" s="269">
        <f>BF316*VLOOKUP($B316,'Major Cities &amp; Towns'!$A$28:$B$345,2,FALSE)</f>
        <v>414</v>
      </c>
      <c r="BO316" s="270">
        <f t="shared" si="226"/>
        <v>317</v>
      </c>
      <c r="BP316" s="270">
        <f t="shared" si="250"/>
        <v>309</v>
      </c>
      <c r="BQ316" s="270">
        <f t="shared" si="250"/>
        <v>297</v>
      </c>
      <c r="BR316" s="270">
        <f t="shared" si="250"/>
        <v>436</v>
      </c>
      <c r="BS316" s="270">
        <f t="shared" si="250"/>
        <v>434</v>
      </c>
      <c r="BT316" s="270">
        <f t="shared" si="250"/>
        <v>426</v>
      </c>
      <c r="BU316" s="270">
        <f t="shared" si="250"/>
        <v>417</v>
      </c>
      <c r="BV316" s="270">
        <f t="shared" si="249"/>
        <v>414</v>
      </c>
      <c r="BW316" s="39">
        <f>VLOOKUP($A316,NetAdditions!$A$2:$H$336,6,FALSE)</f>
        <v>396</v>
      </c>
      <c r="BX316" s="39">
        <f>VLOOKUP($A316,NetAdditions!$A$2:$H$336,7,FALSE)</f>
        <v>361</v>
      </c>
      <c r="BY316" s="39">
        <f>IF((VLOOKUP($C316,NetAdditions!$A$2:$H$336,8,FALSE))="",(AVERAGE(VLOOKUP($C316,NetAdditions!$A$2:$H$336,5,FALSE),VLOOKUP($C316,NetAdditions!$A$2:$H$336,6,FALSE),VLOOKUP($C316,NetAdditions!$A$2:$H$336,7,FALSE))),VLOOKUP($C316,NetAdditions!$A$2:$H$336,8,FALSE))</f>
        <v>576</v>
      </c>
      <c r="BZ316" s="39">
        <f t="shared" si="244"/>
        <v>444.33333333333331</v>
      </c>
      <c r="CA316" s="39">
        <f t="shared" si="244"/>
        <v>460.4444444444444</v>
      </c>
      <c r="CB316" s="39">
        <f t="shared" si="244"/>
        <v>493.59259259259255</v>
      </c>
      <c r="CC316" s="39">
        <f t="shared" si="244"/>
        <v>466.12345679012338</v>
      </c>
      <c r="CD316" s="39">
        <f t="shared" si="244"/>
        <v>473.38683127572011</v>
      </c>
      <c r="CE316" s="276">
        <f t="shared" si="202"/>
        <v>923</v>
      </c>
      <c r="CF316" s="276">
        <f t="shared" si="203"/>
        <v>1042</v>
      </c>
      <c r="CG316" s="276">
        <f t="shared" si="204"/>
        <v>1167</v>
      </c>
      <c r="CH316" s="276">
        <f t="shared" si="205"/>
        <v>1296</v>
      </c>
      <c r="CI316" s="276">
        <f t="shared" si="206"/>
        <v>1277</v>
      </c>
      <c r="CJ316" s="276">
        <f t="shared" si="207"/>
        <v>1257</v>
      </c>
      <c r="CK316" s="276">
        <f t="shared" si="227"/>
        <v>794.80555555555566</v>
      </c>
      <c r="CL316" s="276">
        <f t="shared" si="228"/>
        <v>897.27777777777783</v>
      </c>
      <c r="CM316" s="276">
        <f t="shared" si="229"/>
        <v>1069.75</v>
      </c>
      <c r="CN316" s="276">
        <f t="shared" si="230"/>
        <v>1296</v>
      </c>
      <c r="CO316" s="276">
        <f t="shared" si="230"/>
        <v>1277</v>
      </c>
      <c r="CP316" s="276">
        <f t="shared" si="230"/>
        <v>1257</v>
      </c>
      <c r="CQ316" s="39">
        <f t="shared" si="208"/>
        <v>1333</v>
      </c>
      <c r="CR316" s="39">
        <f t="shared" si="209"/>
        <v>1381.3333333333333</v>
      </c>
      <c r="CS316" s="277">
        <f t="shared" si="210"/>
        <v>1480.7777777777776</v>
      </c>
      <c r="CT316" s="39">
        <f t="shared" si="211"/>
        <v>1398.3703703703702</v>
      </c>
      <c r="CU316" s="39">
        <f t="shared" si="212"/>
        <v>1420.1604938271603</v>
      </c>
      <c r="CV316" s="39">
        <f t="shared" si="213"/>
        <v>1433.1028806584361</v>
      </c>
      <c r="CW316" s="297">
        <f t="shared" si="214"/>
        <v>1.6771397616468038</v>
      </c>
      <c r="CX316" s="279" t="str">
        <f t="shared" si="231"/>
        <v>Pass</v>
      </c>
      <c r="CY316" s="278">
        <f t="shared" si="215"/>
        <v>1.539471240170887</v>
      </c>
      <c r="CZ316" s="279" t="str">
        <f t="shared" si="232"/>
        <v>Pass</v>
      </c>
      <c r="DA316" s="278">
        <f t="shared" si="216"/>
        <v>1.3842278829425356</v>
      </c>
      <c r="DB316" s="292" t="str">
        <f t="shared" si="233"/>
        <v>Pass</v>
      </c>
      <c r="DC316" s="299">
        <f t="shared" si="234"/>
        <v>1.0789894833104707</v>
      </c>
      <c r="DD316" s="293" t="str">
        <f t="shared" si="235"/>
        <v>Pass</v>
      </c>
      <c r="DE316" s="299">
        <f t="shared" si="236"/>
        <v>1.1121068863172752</v>
      </c>
      <c r="DF316" s="293" t="str">
        <f t="shared" si="237"/>
        <v>Pass</v>
      </c>
      <c r="DG316" s="299">
        <f t="shared" si="238"/>
        <v>1.1400977570870614</v>
      </c>
      <c r="DH316" s="293" t="str">
        <f t="shared" si="239"/>
        <v>Pass</v>
      </c>
    </row>
    <row r="317" spans="1:112" ht="15" thickTop="1" thickBot="1">
      <c r="A317" s="38" t="s">
        <v>744</v>
      </c>
      <c r="B317" s="38" t="s">
        <v>745</v>
      </c>
      <c r="C317" s="38" t="s">
        <v>744</v>
      </c>
      <c r="D317" s="38" t="s">
        <v>154</v>
      </c>
      <c r="E317" s="38" t="str">
        <f>VLOOKUP(C317,PoliticalControl!A:K,11,FALSE)</f>
        <v>NOC</v>
      </c>
      <c r="F317" s="38" t="str">
        <f>VLOOKUP(C317,UrbanRuralClassification!A:N,13,FALSE)</f>
        <v>Urban with Significant Rural (rural including hub towns 26-49%)</v>
      </c>
      <c r="G317" s="38" t="str">
        <f>VLOOKUP(C317,UrbanRuralClassification!A:N,14,FALSE)</f>
        <v>Urban with Significant Rural</v>
      </c>
      <c r="H317" s="258">
        <f>IF(ISBLANK((VLOOKUP($A317,'local-plan-data'!$C$1:$AD$566,27,FALSE)))=TRUE,"",VLOOKUP($A317,'local-plan-data'!$C$1:$AD$566,27,FALSE))</f>
        <v>40521</v>
      </c>
      <c r="I317" s="259">
        <f>VLOOKUP($A317,'local-plan-data'!$C$1:$AD$566,28,FALSE)</f>
        <v>200</v>
      </c>
      <c r="J317" s="260">
        <f t="shared" si="217"/>
        <v>200</v>
      </c>
      <c r="K317" s="259" t="str">
        <f t="shared" si="247"/>
        <v>-</v>
      </c>
      <c r="L317" s="259" t="str">
        <f t="shared" si="245"/>
        <v>-</v>
      </c>
      <c r="M317" s="259" t="str">
        <f t="shared" si="245"/>
        <v>-</v>
      </c>
      <c r="N317" s="259" t="str">
        <f t="shared" si="245"/>
        <v>-</v>
      </c>
      <c r="O317" s="259" t="str">
        <f t="shared" si="245"/>
        <v>-</v>
      </c>
      <c r="P317" s="259" t="str">
        <f t="shared" si="245"/>
        <v>-</v>
      </c>
      <c r="Q317" s="259" t="str">
        <f t="shared" si="245"/>
        <v>-</v>
      </c>
      <c r="R317" s="259" t="str">
        <f t="shared" si="245"/>
        <v>-</v>
      </c>
      <c r="S317" s="259">
        <f t="shared" si="248"/>
        <v>-844</v>
      </c>
      <c r="T317" s="259">
        <f t="shared" si="246"/>
        <v>-1209</v>
      </c>
      <c r="U317" s="259">
        <f t="shared" si="246"/>
        <v>-1575</v>
      </c>
      <c r="V317" s="259">
        <f t="shared" si="246"/>
        <v>-1940</v>
      </c>
      <c r="W317" s="259">
        <f t="shared" si="246"/>
        <v>-2305</v>
      </c>
      <c r="X317" s="259">
        <f t="shared" si="246"/>
        <v>-2670</v>
      </c>
      <c r="Y317" s="259">
        <f t="shared" si="246"/>
        <v>-3036</v>
      </c>
      <c r="Z317" s="259">
        <f t="shared" si="246"/>
        <v>-3401</v>
      </c>
      <c r="AA317" s="267">
        <f>(VLOOKUP(A317,Hshldprojections2014!$A$2:$AW$319,40, FALSE)-VLOOKUP(A317,Hshldprojections2014!$A$2:$AW$319,30, FALSE))/10</f>
        <v>199</v>
      </c>
      <c r="AB317" s="267">
        <f>(VLOOKUP(A317,Hshldprojections2014!$A$2:$AW$319,41, FALSE)-VLOOKUP(A317,Hshldprojections2014!$A$2:$AW$319,31, FALSE))/10</f>
        <v>195.5</v>
      </c>
      <c r="AC317" s="267">
        <f>(VLOOKUP(A317,Hshldprojections2014!$A$2:$AW$319,42, FALSE)-VLOOKUP(A317,Hshldprojections2014!$A$2:$AW$319,32, FALSE))/10</f>
        <v>193.7</v>
      </c>
      <c r="AD317" s="267">
        <f>IF(IndividualLATest!$J$7=2014,(VLOOKUP($A317,Hshldprojections2014!$A$2:$AY$326,43,FALSE)-VLOOKUP($A317,Hshldprojections2014!$A$2:$AY$326,33,FALSE))/10,IF(IndividualLATest!$J$7=2016,(VLOOKUP($A317,Hshldprojections2016!$A$1:$AQ$322,33,FALSE)-VLOOKUP($A317,Hshldprojections2016!$A$1:$AQ$322,23,FALSE))/10,(VLOOKUP($A317,Hshldprojections2018!$A$1:$AQ$327,33,FALSE)-VLOOKUP($A317,Hshldprojections2018!$A$1:$AQ$327,23,FALSE))/10))</f>
        <v>300.3</v>
      </c>
      <c r="AE317" s="267">
        <f>IF(IndividualLATest!$J$7=2014,(VLOOKUP($A317,Hshldprojections2014!$A$2:$AY$326,44,FALSE)-VLOOKUP($A317,Hshldprojections2014!$A$2:$AY$326,34,FALSE))/10,IF(IndividualLATest!$J$7=2016,(VLOOKUP($A317,Hshldprojections2016!$A$1:$AQ$322,34,FALSE)-VLOOKUP($A317,Hshldprojections2016!$A$1:$AQ$322,24,FALSE))/10,(VLOOKUP($A317,Hshldprojections2018!$A$1:$AQ$327,34,FALSE)-VLOOKUP($A317,Hshldprojections2018!$A$1:$AQ$327,24,FALSE))/10))</f>
        <v>290.7</v>
      </c>
      <c r="AF317" s="267">
        <f>IF(IndividualLATest!$J$7=2014,(VLOOKUP($A317,Hshldprojections2014!$A$2:$AY$326,45,FALSE)-VLOOKUP($A317,Hshldprojections2014!$A$2:$AY$326,35,FALSE))/10,IF(IndividualLATest!$J$7=2016,(VLOOKUP($A317,Hshldprojections2016!$A$1:$AQ$322,35,FALSE)-VLOOKUP($A317,Hshldprojections2016!$A$1:$AQ$322,25,FALSE))/10,(VLOOKUP($A317,Hshldprojections2018!$A$1:$AQ$327,35,FALSE)-VLOOKUP($A317,Hshldprojections2018!$A$1:$AQ$327,25,FALSE))/10))</f>
        <v>283.39999999999998</v>
      </c>
      <c r="AG317" s="267">
        <f>IF(IndividualLATest!$J$7=2014,(VLOOKUP($A317,Hshldprojections2014!$A$2:$AY$326,46,FALSE)-VLOOKUP($A317,Hshldprojections2014!$A$2:$AY$326,36,FALSE))/10,IF(IndividualLATest!$J$7=2016,(VLOOKUP($A317,Hshldprojections2016!$A$1:$AQ$322,36,FALSE)-VLOOKUP($A317,Hshldprojections2016!$A$1:$AQ$322,26,FALSE))/10,(VLOOKUP($A317,Hshldprojections2018!$A$1:$AQ$327,36,FALSE)-VLOOKUP($A317,Hshldprojections2018!$A$1:$AQ$327,26,FALSE))/10))</f>
        <v>275.5</v>
      </c>
      <c r="AH317" s="267">
        <f>IF(IndividualLATest!$J$7=2014,(VLOOKUP($A317,Hshldprojections2014!$A$2:$AY$326,47,FALSE)-VLOOKUP($A317,Hshldprojections2014!$A$2:$AY$326,37,FALSE))/10,IF(IndividualLATest!$J$7=2016,(VLOOKUP($A317,Hshldprojections2016!$A$1:$AQ$322,37,FALSE)-VLOOKUP($A317,Hshldprojections2016!$A$1:$AQ$322,27,FALSE))/10,(VLOOKUP($A317,Hshldprojections2018!$A$1:$AQ$327,37,FALSE)-VLOOKUP($A317,Hshldprojections2018!$A$1:$AQ$327,27,FALSE))/10))</f>
        <v>270.5</v>
      </c>
      <c r="AI317" s="268">
        <f>IF(ISNUMBER('Sensitivity Tests'!$C$30),'Sensitivity Tests'!$C$30,VLOOKUP($A317,AffordabilityRatio!$A$2:$I$321,5,FALSE))</f>
        <v>7.39</v>
      </c>
      <c r="AJ317" s="268">
        <f>IF(ISNUMBER('Sensitivity Tests'!$C$30),'Sensitivity Tests'!$C$30,VLOOKUP($A317,AffordabilityRatio!$A$2:$I$321,6,FALSE))</f>
        <v>8.2899999999999991</v>
      </c>
      <c r="AK317" s="268">
        <f>IF(ISNUMBER('Sensitivity Tests'!$C$30),'Sensitivity Tests'!$C$30,VLOOKUP($A317,AffordabilityRatio!$A$2:$I$321,7,FALSE))</f>
        <v>7.12</v>
      </c>
      <c r="AL317" s="268">
        <f>IF(ISNUMBER('Sensitivity Tests'!$C$30),'Sensitivity Tests'!$C$30,IF((VLOOKUP($A317,AffordabilityRatio!$A$2:$I$321,8,FALSE))="",AK317,VLOOKUP($A317,AffordabilityRatio!$A$2:$I$321,8,FALSE)))</f>
        <v>7.29</v>
      </c>
      <c r="AM317" s="268">
        <f>IF(ISNUMBER('Sensitivity Tests'!$C$30),'Sensitivity Tests'!$C$30,IF((VLOOKUP($A317,AffordabilityRatio!$A$2:$I$321,9,FALSE))="",AL317,VLOOKUP($A317,AffordabilityRatio!$A$2:$I$321,9,FALSE)))</f>
        <v>7.85</v>
      </c>
      <c r="AN317" s="268">
        <f>IF(ISNUMBER('Sensitivity Tests'!$C$30),'Sensitivity Tests'!$C$30,IF((VLOOKUP($A317,AffordabilityRatio!$A$2:$I$321,9,FALSE))="",AM317,VLOOKUP($A317,AffordabilityRatio!$A$2:$I$321,9,FALSE)))</f>
        <v>7.85</v>
      </c>
      <c r="AO317" s="268">
        <f>IF(ISNUMBER('Sensitivity Tests'!$C$30),'Sensitivity Tests'!$C$30,IF((VLOOKUP($A317,AffordabilityRatio!$A$2:$I$321,9,FALSE))="",AN317,VLOOKUP($A317,AffordabilityRatio!$A$2:$I$321,9,FALSE)))</f>
        <v>7.85</v>
      </c>
      <c r="AP317" s="268">
        <f>IF(ISNUMBER('Sensitivity Tests'!$C$30),'Sensitivity Tests'!$C$30,IF((VLOOKUP($A317,AffordabilityRatio!$A$2:$I$321,9,FALSE))="",AO317,VLOOKUP($A317,AffordabilityRatio!$A$2:$I$321,9,FALSE)))</f>
        <v>7.85</v>
      </c>
      <c r="AQ317" s="267">
        <f t="shared" si="243"/>
        <v>241</v>
      </c>
      <c r="AR317" s="267">
        <f t="shared" si="243"/>
        <v>248</v>
      </c>
      <c r="AS317" s="267">
        <f t="shared" si="243"/>
        <v>231</v>
      </c>
      <c r="AT317" s="267">
        <f t="shared" si="242"/>
        <v>362</v>
      </c>
      <c r="AU317" s="267">
        <f t="shared" si="242"/>
        <v>361</v>
      </c>
      <c r="AV317" s="267">
        <f t="shared" si="242"/>
        <v>352</v>
      </c>
      <c r="AW317" s="267">
        <f t="shared" si="242"/>
        <v>342</v>
      </c>
      <c r="AX317" s="267">
        <f t="shared" si="242"/>
        <v>336</v>
      </c>
      <c r="AY317" s="267">
        <f t="shared" si="218"/>
        <v>241</v>
      </c>
      <c r="AZ317" s="267">
        <f t="shared" si="219"/>
        <v>248</v>
      </c>
      <c r="BA317" s="267">
        <f t="shared" si="220"/>
        <v>231</v>
      </c>
      <c r="BB317" s="267">
        <f t="shared" si="221"/>
        <v>362</v>
      </c>
      <c r="BC317" s="267">
        <f t="shared" si="222"/>
        <v>361</v>
      </c>
      <c r="BD317" s="267">
        <f t="shared" si="223"/>
        <v>352</v>
      </c>
      <c r="BE317" s="267">
        <f t="shared" si="224"/>
        <v>342</v>
      </c>
      <c r="BF317" s="267">
        <f t="shared" si="225"/>
        <v>336</v>
      </c>
      <c r="BG317" s="269">
        <f>AY317*VLOOKUP($B317,'Major Cities &amp; Towns'!$A$28:$B$345,2,FALSE)</f>
        <v>241</v>
      </c>
      <c r="BH317" s="269">
        <f>AZ317*VLOOKUP($B317,'Major Cities &amp; Towns'!$A$28:$B$345,2,FALSE)</f>
        <v>248</v>
      </c>
      <c r="BI317" s="269">
        <f>BA317*VLOOKUP($B317,'Major Cities &amp; Towns'!$A$28:$B$345,2,FALSE)</f>
        <v>231</v>
      </c>
      <c r="BJ317" s="269">
        <f>BB317*VLOOKUP($B317,'Major Cities &amp; Towns'!$A$28:$B$345,2,FALSE)</f>
        <v>362</v>
      </c>
      <c r="BK317" s="269">
        <f>BC317*VLOOKUP($B317,'Major Cities &amp; Towns'!$A$28:$B$345,2,FALSE)</f>
        <v>361</v>
      </c>
      <c r="BL317" s="269">
        <f>BD317*VLOOKUP($B317,'Major Cities &amp; Towns'!$A$28:$B$345,2,FALSE)</f>
        <v>352</v>
      </c>
      <c r="BM317" s="269">
        <f>BE317*VLOOKUP($B317,'Major Cities &amp; Towns'!$A$28:$B$345,2,FALSE)</f>
        <v>342</v>
      </c>
      <c r="BN317" s="269">
        <f>BF317*VLOOKUP($B317,'Major Cities &amp; Towns'!$A$28:$B$345,2,FALSE)</f>
        <v>336</v>
      </c>
      <c r="BO317" s="270">
        <f t="shared" si="226"/>
        <v>241</v>
      </c>
      <c r="BP317" s="270">
        <f t="shared" si="250"/>
        <v>248</v>
      </c>
      <c r="BQ317" s="270">
        <f t="shared" si="250"/>
        <v>231</v>
      </c>
      <c r="BR317" s="270">
        <f t="shared" si="250"/>
        <v>362</v>
      </c>
      <c r="BS317" s="270">
        <f t="shared" si="250"/>
        <v>361</v>
      </c>
      <c r="BT317" s="270">
        <f t="shared" si="250"/>
        <v>352</v>
      </c>
      <c r="BU317" s="270">
        <f t="shared" si="250"/>
        <v>342</v>
      </c>
      <c r="BV317" s="270">
        <f t="shared" si="249"/>
        <v>336</v>
      </c>
      <c r="BW317" s="39">
        <f>VLOOKUP($A317,NetAdditions!$A$2:$H$336,6,FALSE)</f>
        <v>183</v>
      </c>
      <c r="BX317" s="39">
        <f>VLOOKUP($A317,NetAdditions!$A$2:$H$336,7,FALSE)</f>
        <v>196</v>
      </c>
      <c r="BY317" s="39">
        <f>IF((VLOOKUP($C317,NetAdditions!$A$2:$H$336,8,FALSE))="",(AVERAGE(VLOOKUP($C317,NetAdditions!$A$2:$H$336,5,FALSE),VLOOKUP($C317,NetAdditions!$A$2:$H$336,6,FALSE),VLOOKUP($C317,NetAdditions!$A$2:$H$336,7,FALSE))),VLOOKUP($C317,NetAdditions!$A$2:$H$336,8,FALSE))</f>
        <v>236</v>
      </c>
      <c r="BZ317" s="39">
        <f t="shared" si="244"/>
        <v>205</v>
      </c>
      <c r="CA317" s="39">
        <f t="shared" si="244"/>
        <v>212.33333333333334</v>
      </c>
      <c r="CB317" s="39">
        <f t="shared" si="244"/>
        <v>217.7777777777778</v>
      </c>
      <c r="CC317" s="39">
        <f t="shared" si="244"/>
        <v>211.70370370370372</v>
      </c>
      <c r="CD317" s="39">
        <f t="shared" si="244"/>
        <v>213.93827160493831</v>
      </c>
      <c r="CE317" s="276">
        <f t="shared" si="202"/>
        <v>720</v>
      </c>
      <c r="CF317" s="276">
        <f t="shared" si="203"/>
        <v>841</v>
      </c>
      <c r="CG317" s="276">
        <f t="shared" si="204"/>
        <v>954</v>
      </c>
      <c r="CH317" s="276">
        <f t="shared" si="205"/>
        <v>1075</v>
      </c>
      <c r="CI317" s="276">
        <f t="shared" si="206"/>
        <v>1055</v>
      </c>
      <c r="CJ317" s="276">
        <f t="shared" si="207"/>
        <v>1030</v>
      </c>
      <c r="CK317" s="276">
        <f t="shared" si="227"/>
        <v>620</v>
      </c>
      <c r="CL317" s="276">
        <f t="shared" si="228"/>
        <v>724.19444444444446</v>
      </c>
      <c r="CM317" s="276">
        <f t="shared" si="229"/>
        <v>874.5</v>
      </c>
      <c r="CN317" s="276">
        <f t="shared" si="230"/>
        <v>1075</v>
      </c>
      <c r="CO317" s="276">
        <f t="shared" si="230"/>
        <v>1055</v>
      </c>
      <c r="CP317" s="276">
        <f t="shared" si="230"/>
        <v>1030</v>
      </c>
      <c r="CQ317" s="39">
        <f t="shared" si="208"/>
        <v>615</v>
      </c>
      <c r="CR317" s="39">
        <f t="shared" si="209"/>
        <v>637</v>
      </c>
      <c r="CS317" s="277">
        <f t="shared" si="210"/>
        <v>653.33333333333337</v>
      </c>
      <c r="CT317" s="39">
        <f t="shared" si="211"/>
        <v>635.1111111111112</v>
      </c>
      <c r="CU317" s="39">
        <f t="shared" si="212"/>
        <v>641.81481481481489</v>
      </c>
      <c r="CV317" s="39">
        <f t="shared" si="213"/>
        <v>643.41975308641986</v>
      </c>
      <c r="CW317" s="297">
        <f t="shared" si="214"/>
        <v>0.99193548387096775</v>
      </c>
      <c r="CX317" s="279" t="str">
        <f t="shared" si="231"/>
        <v>Pass</v>
      </c>
      <c r="CY317" s="278">
        <f t="shared" si="215"/>
        <v>0.87959802078938287</v>
      </c>
      <c r="CZ317" s="279" t="str">
        <f t="shared" si="232"/>
        <v>Action Plan</v>
      </c>
      <c r="DA317" s="278">
        <f t="shared" si="216"/>
        <v>0.74709357728225656</v>
      </c>
      <c r="DB317" s="292" t="str">
        <f t="shared" si="233"/>
        <v>Presumption</v>
      </c>
      <c r="DC317" s="299">
        <f t="shared" si="234"/>
        <v>0.59080103359173131</v>
      </c>
      <c r="DD317" s="293" t="str">
        <f t="shared" si="235"/>
        <v>Presumption</v>
      </c>
      <c r="DE317" s="299">
        <f t="shared" si="236"/>
        <v>0.60835527470598572</v>
      </c>
      <c r="DF317" s="293" t="str">
        <f t="shared" si="237"/>
        <v>Presumption</v>
      </c>
      <c r="DG317" s="299">
        <f t="shared" si="238"/>
        <v>0.62467937192856293</v>
      </c>
      <c r="DH317" s="293" t="str">
        <f t="shared" si="239"/>
        <v>Presumption</v>
      </c>
    </row>
    <row r="318" spans="1:112" ht="15" thickTop="1" thickBot="1">
      <c r="A318" s="38" t="s">
        <v>746</v>
      </c>
      <c r="B318" s="38" t="s">
        <v>747</v>
      </c>
      <c r="C318" s="38" t="s">
        <v>746</v>
      </c>
      <c r="D318" s="38" t="s">
        <v>136</v>
      </c>
      <c r="E318" s="38" t="str">
        <f>VLOOKUP(C318,PoliticalControl!A:K,11,FALSE)</f>
        <v>NOC</v>
      </c>
      <c r="F318" s="38" t="str">
        <f>VLOOKUP(C318,UrbanRuralClassification!A:N,13,FALSE)</f>
        <v>Urban with City and Town</v>
      </c>
      <c r="G318" s="38" t="str">
        <f>VLOOKUP(C318,UrbanRuralClassification!A:N,14,FALSE)</f>
        <v>Predominantly Urban</v>
      </c>
      <c r="H318" s="258" t="str">
        <f>IF(ISBLANK((VLOOKUP($A318,'local-plan-data'!$C$1:$AD$566,27,FALSE)))=TRUE,"",VLOOKUP($A318,'local-plan-data'!$C$1:$AD$566,27,FALSE))</f>
        <v/>
      </c>
      <c r="I318" s="259">
        <f>VLOOKUP($A318,'local-plan-data'!$C$1:$AD$566,28,FALSE)</f>
        <v>867</v>
      </c>
      <c r="J318" s="260">
        <f t="shared" si="217"/>
        <v>867</v>
      </c>
      <c r="K318" s="259" t="str">
        <f t="shared" si="247"/>
        <v>-</v>
      </c>
      <c r="L318" s="259" t="str">
        <f t="shared" si="245"/>
        <v>-</v>
      </c>
      <c r="M318" s="259" t="str">
        <f t="shared" si="245"/>
        <v>-</v>
      </c>
      <c r="N318" s="259" t="str">
        <f t="shared" si="245"/>
        <v>-</v>
      </c>
      <c r="O318" s="259" t="str">
        <f t="shared" si="245"/>
        <v>-</v>
      </c>
      <c r="P318" s="259" t="str">
        <f t="shared" si="245"/>
        <v>-</v>
      </c>
      <c r="Q318" s="259" t="str">
        <f t="shared" si="245"/>
        <v>-</v>
      </c>
      <c r="R318" s="259" t="str">
        <f t="shared" si="245"/>
        <v>-</v>
      </c>
      <c r="S318" s="259" t="str">
        <f t="shared" si="248"/>
        <v>-</v>
      </c>
      <c r="T318" s="259" t="str">
        <f t="shared" si="246"/>
        <v>-</v>
      </c>
      <c r="U318" s="259" t="str">
        <f t="shared" si="246"/>
        <v>-</v>
      </c>
      <c r="V318" s="259" t="str">
        <f t="shared" si="246"/>
        <v>-</v>
      </c>
      <c r="W318" s="259" t="str">
        <f t="shared" si="246"/>
        <v>-</v>
      </c>
      <c r="X318" s="259" t="str">
        <f t="shared" si="246"/>
        <v>-</v>
      </c>
      <c r="Y318" s="259" t="str">
        <f t="shared" si="246"/>
        <v>-</v>
      </c>
      <c r="Z318" s="259" t="str">
        <f t="shared" si="246"/>
        <v>-</v>
      </c>
      <c r="AA318" s="267">
        <f>(VLOOKUP(A318,Hshldprojections2014!$A$2:$AW$319,40, FALSE)-VLOOKUP(A318,Hshldprojections2014!$A$2:$AW$319,30, FALSE))/10</f>
        <v>827.3</v>
      </c>
      <c r="AB318" s="267">
        <f>(VLOOKUP(A318,Hshldprojections2014!$A$2:$AW$319,41, FALSE)-VLOOKUP(A318,Hshldprojections2014!$A$2:$AW$319,31, FALSE))/10</f>
        <v>819.8</v>
      </c>
      <c r="AC318" s="267">
        <f>(VLOOKUP(A318,Hshldprojections2014!$A$2:$AW$319,42, FALSE)-VLOOKUP(A318,Hshldprojections2014!$A$2:$AW$319,32, FALSE))/10</f>
        <v>812.6</v>
      </c>
      <c r="AD318" s="267">
        <f>IF(IndividualLATest!$J$7=2014,(VLOOKUP($A318,Hshldprojections2014!$A$2:$AY$326,43,FALSE)-VLOOKUP($A318,Hshldprojections2014!$A$2:$AY$326,33,FALSE))/10,IF(IndividualLATest!$J$7=2016,(VLOOKUP($A318,Hshldprojections2016!$A$1:$AQ$322,33,FALSE)-VLOOKUP($A318,Hshldprojections2016!$A$1:$AQ$322,23,FALSE))/10,(VLOOKUP($A318,Hshldprojections2018!$A$1:$AQ$327,33,FALSE)-VLOOKUP($A318,Hshldprojections2018!$A$1:$AQ$327,23,FALSE))/10))</f>
        <v>288.8</v>
      </c>
      <c r="AE318" s="267">
        <f>IF(IndividualLATest!$J$7=2014,(VLOOKUP($A318,Hshldprojections2014!$A$2:$AY$326,44,FALSE)-VLOOKUP($A318,Hshldprojections2014!$A$2:$AY$326,34,FALSE))/10,IF(IndividualLATest!$J$7=2016,(VLOOKUP($A318,Hshldprojections2016!$A$1:$AQ$322,34,FALSE)-VLOOKUP($A318,Hshldprojections2016!$A$1:$AQ$322,24,FALSE))/10,(VLOOKUP($A318,Hshldprojections2018!$A$1:$AQ$327,34,FALSE)-VLOOKUP($A318,Hshldprojections2018!$A$1:$AQ$327,24,FALSE))/10))</f>
        <v>298.8</v>
      </c>
      <c r="AF318" s="267">
        <f>IF(IndividualLATest!$J$7=2014,(VLOOKUP($A318,Hshldprojections2014!$A$2:$AY$326,45,FALSE)-VLOOKUP($A318,Hshldprojections2014!$A$2:$AY$326,35,FALSE))/10,IF(IndividualLATest!$J$7=2016,(VLOOKUP($A318,Hshldprojections2016!$A$1:$AQ$322,35,FALSE)-VLOOKUP($A318,Hshldprojections2016!$A$1:$AQ$322,25,FALSE))/10,(VLOOKUP($A318,Hshldprojections2018!$A$1:$AQ$327,35,FALSE)-VLOOKUP($A318,Hshldprojections2018!$A$1:$AQ$327,25,FALSE))/10))</f>
        <v>299.10000000000002</v>
      </c>
      <c r="AG318" s="267">
        <f>IF(IndividualLATest!$J$7=2014,(VLOOKUP($A318,Hshldprojections2014!$A$2:$AY$326,46,FALSE)-VLOOKUP($A318,Hshldprojections2014!$A$2:$AY$326,36,FALSE))/10,IF(IndividualLATest!$J$7=2016,(VLOOKUP($A318,Hshldprojections2016!$A$1:$AQ$322,36,FALSE)-VLOOKUP($A318,Hshldprojections2016!$A$1:$AQ$322,26,FALSE))/10,(VLOOKUP($A318,Hshldprojections2018!$A$1:$AQ$327,36,FALSE)-VLOOKUP($A318,Hshldprojections2018!$A$1:$AQ$327,26,FALSE))/10))</f>
        <v>294.2</v>
      </c>
      <c r="AH318" s="267">
        <f>IF(IndividualLATest!$J$7=2014,(VLOOKUP($A318,Hshldprojections2014!$A$2:$AY$326,47,FALSE)-VLOOKUP($A318,Hshldprojections2014!$A$2:$AY$326,37,FALSE))/10,IF(IndividualLATest!$J$7=2016,(VLOOKUP($A318,Hshldprojections2016!$A$1:$AQ$322,37,FALSE)-VLOOKUP($A318,Hshldprojections2016!$A$1:$AQ$322,27,FALSE))/10,(VLOOKUP($A318,Hshldprojections2018!$A$1:$AQ$327,37,FALSE)-VLOOKUP($A318,Hshldprojections2018!$A$1:$AQ$327,27,FALSE))/10))</f>
        <v>292.10000000000002</v>
      </c>
      <c r="AI318" s="268">
        <f>IF(ISNUMBER('Sensitivity Tests'!$C$30),'Sensitivity Tests'!$C$30,VLOOKUP($A318,AffordabilityRatio!$A$2:$I$321,5,FALSE))</f>
        <v>8.6</v>
      </c>
      <c r="AJ318" s="268">
        <f>IF(ISNUMBER('Sensitivity Tests'!$C$30),'Sensitivity Tests'!$C$30,VLOOKUP($A318,AffordabilityRatio!$A$2:$I$321,6,FALSE))</f>
        <v>8.8699999999999992</v>
      </c>
      <c r="AK318" s="268">
        <f>IF(ISNUMBER('Sensitivity Tests'!$C$30),'Sensitivity Tests'!$C$30,VLOOKUP($A318,AffordabilityRatio!$A$2:$I$321,7,FALSE))</f>
        <v>8.2200000000000006</v>
      </c>
      <c r="AL318" s="268">
        <f>IF(ISNUMBER('Sensitivity Tests'!$C$30),'Sensitivity Tests'!$C$30,IF((VLOOKUP($A318,AffordabilityRatio!$A$2:$I$321,8,FALSE))="",AK318,VLOOKUP($A318,AffordabilityRatio!$A$2:$I$321,8,FALSE)))</f>
        <v>8.0399999999999991</v>
      </c>
      <c r="AM318" s="268">
        <f>IF(ISNUMBER('Sensitivity Tests'!$C$30),'Sensitivity Tests'!$C$30,IF((VLOOKUP($A318,AffordabilityRatio!$A$2:$I$321,9,FALSE))="",AL318,VLOOKUP($A318,AffordabilityRatio!$A$2:$I$321,9,FALSE)))</f>
        <v>8.41</v>
      </c>
      <c r="AN318" s="268">
        <f>IF(ISNUMBER('Sensitivity Tests'!$C$30),'Sensitivity Tests'!$C$30,IF((VLOOKUP($A318,AffordabilityRatio!$A$2:$I$321,9,FALSE))="",AM318,VLOOKUP($A318,AffordabilityRatio!$A$2:$I$321,9,FALSE)))</f>
        <v>8.41</v>
      </c>
      <c r="AO318" s="268">
        <f>IF(ISNUMBER('Sensitivity Tests'!$C$30),'Sensitivity Tests'!$C$30,IF((VLOOKUP($A318,AffordabilityRatio!$A$2:$I$321,9,FALSE))="",AN318,VLOOKUP($A318,AffordabilityRatio!$A$2:$I$321,9,FALSE)))</f>
        <v>8.41</v>
      </c>
      <c r="AP318" s="268">
        <f>IF(ISNUMBER('Sensitivity Tests'!$C$30),'Sensitivity Tests'!$C$30,IF((VLOOKUP($A318,AffordabilityRatio!$A$2:$I$321,9,FALSE))="",AO318,VLOOKUP($A318,AffordabilityRatio!$A$2:$I$321,9,FALSE)))</f>
        <v>8.41</v>
      </c>
      <c r="AQ318" s="267">
        <f t="shared" si="243"/>
        <v>1065</v>
      </c>
      <c r="AR318" s="267">
        <f t="shared" si="243"/>
        <v>1069</v>
      </c>
      <c r="AS318" s="267">
        <f t="shared" si="243"/>
        <v>1027</v>
      </c>
      <c r="AT318" s="267">
        <f t="shared" si="242"/>
        <v>362</v>
      </c>
      <c r="AU318" s="267">
        <f t="shared" si="242"/>
        <v>381</v>
      </c>
      <c r="AV318" s="267">
        <f t="shared" si="242"/>
        <v>382</v>
      </c>
      <c r="AW318" s="267">
        <f t="shared" si="242"/>
        <v>375</v>
      </c>
      <c r="AX318" s="267">
        <f t="shared" si="242"/>
        <v>373</v>
      </c>
      <c r="AY318" s="267">
        <f t="shared" si="218"/>
        <v>1065</v>
      </c>
      <c r="AZ318" s="267">
        <f t="shared" si="219"/>
        <v>1069</v>
      </c>
      <c r="BA318" s="267">
        <f t="shared" si="220"/>
        <v>1027</v>
      </c>
      <c r="BB318" s="267">
        <f t="shared" si="221"/>
        <v>362</v>
      </c>
      <c r="BC318" s="267">
        <f t="shared" si="222"/>
        <v>381</v>
      </c>
      <c r="BD318" s="267">
        <f t="shared" si="223"/>
        <v>382</v>
      </c>
      <c r="BE318" s="267">
        <f t="shared" si="224"/>
        <v>375</v>
      </c>
      <c r="BF318" s="267">
        <f t="shared" si="225"/>
        <v>373</v>
      </c>
      <c r="BG318" s="269">
        <f>AY318*VLOOKUP($B318,'Major Cities &amp; Towns'!$A$28:$B$345,2,FALSE)</f>
        <v>1065</v>
      </c>
      <c r="BH318" s="269">
        <f>AZ318*VLOOKUP($B318,'Major Cities &amp; Towns'!$A$28:$B$345,2,FALSE)</f>
        <v>1069</v>
      </c>
      <c r="BI318" s="269">
        <f>BA318*VLOOKUP($B318,'Major Cities &amp; Towns'!$A$28:$B$345,2,FALSE)</f>
        <v>1027</v>
      </c>
      <c r="BJ318" s="269">
        <f>BB318*VLOOKUP($B318,'Major Cities &amp; Towns'!$A$28:$B$345,2,FALSE)</f>
        <v>362</v>
      </c>
      <c r="BK318" s="269">
        <f>BC318*VLOOKUP($B318,'Major Cities &amp; Towns'!$A$28:$B$345,2,FALSE)</f>
        <v>381</v>
      </c>
      <c r="BL318" s="269">
        <f>BD318*VLOOKUP($B318,'Major Cities &amp; Towns'!$A$28:$B$345,2,FALSE)</f>
        <v>382</v>
      </c>
      <c r="BM318" s="269">
        <f>BE318*VLOOKUP($B318,'Major Cities &amp; Towns'!$A$28:$B$345,2,FALSE)</f>
        <v>375</v>
      </c>
      <c r="BN318" s="269">
        <f>BF318*VLOOKUP($B318,'Major Cities &amp; Towns'!$A$28:$B$345,2,FALSE)</f>
        <v>373</v>
      </c>
      <c r="BO318" s="270">
        <f t="shared" si="226"/>
        <v>1065</v>
      </c>
      <c r="BP318" s="270">
        <f t="shared" si="250"/>
        <v>1069</v>
      </c>
      <c r="BQ318" s="270">
        <f t="shared" si="250"/>
        <v>1027</v>
      </c>
      <c r="BR318" s="270">
        <f t="shared" si="250"/>
        <v>362</v>
      </c>
      <c r="BS318" s="270">
        <f t="shared" si="250"/>
        <v>381</v>
      </c>
      <c r="BT318" s="270">
        <f t="shared" si="250"/>
        <v>382</v>
      </c>
      <c r="BU318" s="270">
        <f t="shared" si="250"/>
        <v>375</v>
      </c>
      <c r="BV318" s="270">
        <f t="shared" si="249"/>
        <v>373</v>
      </c>
      <c r="BW318" s="39">
        <f>VLOOKUP($A318,NetAdditions!$A$2:$H$336,6,FALSE)</f>
        <v>449</v>
      </c>
      <c r="BX318" s="39">
        <f>VLOOKUP($A318,NetAdditions!$A$2:$H$336,7,FALSE)</f>
        <v>560</v>
      </c>
      <c r="BY318" s="39">
        <f>IF((VLOOKUP($C318,NetAdditions!$A$2:$H$336,8,FALSE))="",(AVERAGE(VLOOKUP($C318,NetAdditions!$A$2:$H$336,5,FALSE),VLOOKUP($C318,NetAdditions!$A$2:$H$336,6,FALSE),VLOOKUP($C318,NetAdditions!$A$2:$H$336,7,FALSE))),VLOOKUP($C318,NetAdditions!$A$2:$H$336,8,FALSE))</f>
        <v>622</v>
      </c>
      <c r="BZ318" s="39">
        <f t="shared" si="244"/>
        <v>543.66666666666663</v>
      </c>
      <c r="CA318" s="39">
        <f t="shared" si="244"/>
        <v>575.22222222222217</v>
      </c>
      <c r="CB318" s="39">
        <f t="shared" si="244"/>
        <v>580.29629629629619</v>
      </c>
      <c r="CC318" s="39">
        <f t="shared" si="244"/>
        <v>566.39506172839492</v>
      </c>
      <c r="CD318" s="39">
        <f t="shared" si="244"/>
        <v>573.97119341563769</v>
      </c>
      <c r="CE318" s="276">
        <f t="shared" si="202"/>
        <v>3161</v>
      </c>
      <c r="CF318" s="276">
        <f t="shared" si="203"/>
        <v>2458</v>
      </c>
      <c r="CG318" s="276">
        <f t="shared" si="204"/>
        <v>1770</v>
      </c>
      <c r="CH318" s="276">
        <f t="shared" si="205"/>
        <v>1125</v>
      </c>
      <c r="CI318" s="276">
        <f t="shared" si="206"/>
        <v>1138</v>
      </c>
      <c r="CJ318" s="276">
        <f t="shared" si="207"/>
        <v>1130</v>
      </c>
      <c r="CK318" s="276">
        <f t="shared" si="227"/>
        <v>2721.9722222222222</v>
      </c>
      <c r="CL318" s="276">
        <f t="shared" si="228"/>
        <v>2116.6111111111113</v>
      </c>
      <c r="CM318" s="276">
        <f t="shared" si="229"/>
        <v>1622.5</v>
      </c>
      <c r="CN318" s="276">
        <f t="shared" si="230"/>
        <v>1125</v>
      </c>
      <c r="CO318" s="276">
        <f t="shared" si="230"/>
        <v>1138</v>
      </c>
      <c r="CP318" s="276">
        <f t="shared" si="230"/>
        <v>1130</v>
      </c>
      <c r="CQ318" s="39">
        <f t="shared" si="208"/>
        <v>1631</v>
      </c>
      <c r="CR318" s="39">
        <f t="shared" si="209"/>
        <v>1725.6666666666665</v>
      </c>
      <c r="CS318" s="277">
        <f t="shared" si="210"/>
        <v>1740.8888888888887</v>
      </c>
      <c r="CT318" s="39">
        <f t="shared" si="211"/>
        <v>1699.1851851851848</v>
      </c>
      <c r="CU318" s="39">
        <f t="shared" si="212"/>
        <v>1721.9135802469132</v>
      </c>
      <c r="CV318" s="39">
        <f t="shared" si="213"/>
        <v>1720.6625514403286</v>
      </c>
      <c r="CW318" s="297">
        <f t="shared" si="214"/>
        <v>0.59919788552009878</v>
      </c>
      <c r="CX318" s="279" t="str">
        <f t="shared" si="231"/>
        <v>Buffer and Action Plan</v>
      </c>
      <c r="CY318" s="278">
        <f t="shared" si="215"/>
        <v>0.81529698942229445</v>
      </c>
      <c r="CZ318" s="279" t="str">
        <f t="shared" si="232"/>
        <v>Buffer and Action Plan</v>
      </c>
      <c r="DA318" s="278">
        <f t="shared" si="216"/>
        <v>1.0729669577127203</v>
      </c>
      <c r="DB318" s="292" t="str">
        <f t="shared" si="233"/>
        <v>Pass</v>
      </c>
      <c r="DC318" s="299">
        <f t="shared" si="234"/>
        <v>1.5103868312757198</v>
      </c>
      <c r="DD318" s="293" t="str">
        <f t="shared" si="235"/>
        <v>Pass</v>
      </c>
      <c r="DE318" s="299">
        <f t="shared" si="236"/>
        <v>1.5131050793030871</v>
      </c>
      <c r="DF318" s="293" t="str">
        <f t="shared" si="237"/>
        <v>Pass</v>
      </c>
      <c r="DG318" s="299">
        <f t="shared" si="238"/>
        <v>1.5227102225135651</v>
      </c>
      <c r="DH318" s="293" t="str">
        <f t="shared" si="239"/>
        <v>Pass</v>
      </c>
    </row>
    <row r="319" spans="1:112" ht="15" thickTop="1" thickBot="1">
      <c r="A319" s="38" t="s">
        <v>748</v>
      </c>
      <c r="B319" s="38" t="s">
        <v>749</v>
      </c>
      <c r="C319" s="38" t="s">
        <v>748</v>
      </c>
      <c r="D319" s="38" t="e">
        <v>#N/A</v>
      </c>
      <c r="E319" s="38" t="e">
        <f>VLOOKUP(C319,PoliticalControl!A:K,11,FALSE)</f>
        <v>#N/A</v>
      </c>
      <c r="F319" s="38" t="e">
        <f>VLOOKUP(C319,UrbanRuralClassification!A:N,13,FALSE)</f>
        <v>#N/A</v>
      </c>
      <c r="G319" s="38" t="e">
        <f>VLOOKUP(C319,UrbanRuralClassification!A:N,14,FALSE)</f>
        <v>#N/A</v>
      </c>
      <c r="H319" s="258" t="e">
        <f>IF(ISBLANK((VLOOKUP($A319,'local-plan-data'!$C$1:$AD$566,27,FALSE)))=TRUE,"",VLOOKUP($A319,'local-plan-data'!$C$1:$AD$566,27,FALSE))</f>
        <v>#N/A</v>
      </c>
      <c r="I319" s="259" t="e">
        <f>VLOOKUP($A319,'local-plan-data'!$C$1:$AD$566,28,FALSE)</f>
        <v>#N/A</v>
      </c>
      <c r="J319" s="260" t="str">
        <f t="shared" si="217"/>
        <v>-</v>
      </c>
      <c r="K319" s="259" t="str">
        <f t="shared" si="247"/>
        <v>-</v>
      </c>
      <c r="L319" s="259" t="str">
        <f t="shared" si="245"/>
        <v>-</v>
      </c>
      <c r="M319" s="259" t="str">
        <f t="shared" si="245"/>
        <v>-</v>
      </c>
      <c r="N319" s="259" t="str">
        <f t="shared" si="245"/>
        <v>-</v>
      </c>
      <c r="O319" s="259" t="str">
        <f t="shared" si="245"/>
        <v>-</v>
      </c>
      <c r="P319" s="259" t="str">
        <f t="shared" si="245"/>
        <v>-</v>
      </c>
      <c r="Q319" s="259" t="str">
        <f t="shared" si="245"/>
        <v>-</v>
      </c>
      <c r="R319" s="259" t="str">
        <f t="shared" si="245"/>
        <v>-</v>
      </c>
      <c r="S319" s="259" t="str">
        <f t="shared" si="248"/>
        <v>-</v>
      </c>
      <c r="T319" s="259" t="str">
        <f t="shared" si="246"/>
        <v>-</v>
      </c>
      <c r="U319" s="259" t="str">
        <f t="shared" si="246"/>
        <v>-</v>
      </c>
      <c r="V319" s="259" t="str">
        <f t="shared" si="246"/>
        <v>-</v>
      </c>
      <c r="W319" s="259" t="str">
        <f t="shared" si="246"/>
        <v>-</v>
      </c>
      <c r="X319" s="259" t="str">
        <f t="shared" si="246"/>
        <v>-</v>
      </c>
      <c r="Y319" s="259" t="str">
        <f t="shared" si="246"/>
        <v>-</v>
      </c>
      <c r="Z319" s="259" t="str">
        <f t="shared" si="246"/>
        <v>-</v>
      </c>
      <c r="AA319" s="267">
        <f>(VLOOKUP(A319,Hshldprojections2014!$A$2:$AW$319,40, FALSE)-VLOOKUP(A319,Hshldprojections2014!$A$2:$AW$319,30, FALSE))/10</f>
        <v>1035.4000000000001</v>
      </c>
      <c r="AB319" s="267">
        <f>(VLOOKUP(A319,Hshldprojections2014!$A$2:$AW$319,41, FALSE)-VLOOKUP(A319,Hshldprojections2014!$A$2:$AW$319,31, FALSE))/10</f>
        <v>1027.2</v>
      </c>
      <c r="AC319" s="267">
        <f>(VLOOKUP(A319,Hshldprojections2014!$A$2:$AW$319,42, FALSE)-VLOOKUP(A319,Hshldprojections2014!$A$2:$AW$319,32, FALSE))/10</f>
        <v>1026.9000000000001</v>
      </c>
      <c r="AD319" s="267">
        <f>IF(IndividualLATest!$J$7=2014,(VLOOKUP($A319,Hshldprojections2014!$A$2:$AY$326,43,FALSE)-VLOOKUP($A319,Hshldprojections2014!$A$2:$AY$326,33,FALSE))/10,IF(IndividualLATest!$J$7=2016,(VLOOKUP($A319,Hshldprojections2016!$A$1:$AQ$322,33,FALSE)-VLOOKUP($A319,Hshldprojections2016!$A$1:$AQ$322,23,FALSE))/10,(VLOOKUP($A319,Hshldprojections2018!$A$1:$AQ$327,33,FALSE)-VLOOKUP($A319,Hshldprojections2018!$A$1:$AQ$327,23,FALSE))/10))</f>
        <v>989.7</v>
      </c>
      <c r="AE319" s="267">
        <f>IF(IndividualLATest!$J$7=2014,(VLOOKUP($A319,Hshldprojections2014!$A$2:$AY$326,44,FALSE)-VLOOKUP($A319,Hshldprojections2014!$A$2:$AY$326,34,FALSE))/10,IF(IndividualLATest!$J$7=2016,(VLOOKUP($A319,Hshldprojections2016!$A$1:$AQ$322,34,FALSE)-VLOOKUP($A319,Hshldprojections2016!$A$1:$AQ$322,24,FALSE))/10,(VLOOKUP($A319,Hshldprojections2018!$A$1:$AQ$327,34,FALSE)-VLOOKUP($A319,Hshldprojections2018!$A$1:$AQ$327,24,FALSE))/10))</f>
        <v>993.1</v>
      </c>
      <c r="AF319" s="267">
        <f>IF(IndividualLATest!$J$7=2014,(VLOOKUP($A319,Hshldprojections2014!$A$2:$AY$326,45,FALSE)-VLOOKUP($A319,Hshldprojections2014!$A$2:$AY$326,35,FALSE))/10,IF(IndividualLATest!$J$7=2016,(VLOOKUP($A319,Hshldprojections2016!$A$1:$AQ$322,35,FALSE)-VLOOKUP($A319,Hshldprojections2016!$A$1:$AQ$322,25,FALSE))/10,(VLOOKUP($A319,Hshldprojections2018!$A$1:$AQ$327,35,FALSE)-VLOOKUP($A319,Hshldprojections2018!$A$1:$AQ$327,25,FALSE))/10))</f>
        <v>988.2</v>
      </c>
      <c r="AG319" s="267">
        <f>IF(IndividualLATest!$J$7=2014,(VLOOKUP($A319,Hshldprojections2014!$A$2:$AY$326,46,FALSE)-VLOOKUP($A319,Hshldprojections2014!$A$2:$AY$326,36,FALSE))/10,IF(IndividualLATest!$J$7=2016,(VLOOKUP($A319,Hshldprojections2016!$A$1:$AQ$322,36,FALSE)-VLOOKUP($A319,Hshldprojections2016!$A$1:$AQ$322,26,FALSE))/10,(VLOOKUP($A319,Hshldprojections2018!$A$1:$AQ$327,36,FALSE)-VLOOKUP($A319,Hshldprojections2018!$A$1:$AQ$327,26,FALSE))/10))</f>
        <v>974.7</v>
      </c>
      <c r="AH319" s="267">
        <f>IF(IndividualLATest!$J$7=2014,(VLOOKUP($A319,Hshldprojections2014!$A$2:$AY$326,47,FALSE)-VLOOKUP($A319,Hshldprojections2014!$A$2:$AY$326,37,FALSE))/10,IF(IndividualLATest!$J$7=2016,(VLOOKUP($A319,Hshldprojections2016!$A$1:$AQ$322,37,FALSE)-VLOOKUP($A319,Hshldprojections2016!$A$1:$AQ$322,27,FALSE))/10,(VLOOKUP($A319,Hshldprojections2018!$A$1:$AQ$327,37,FALSE)-VLOOKUP($A319,Hshldprojections2018!$A$1:$AQ$327,27,FALSE))/10))</f>
        <v>965.4</v>
      </c>
      <c r="AI319" s="268">
        <f>IF(ISNUMBER('Sensitivity Tests'!$C$30),'Sensitivity Tests'!$C$30,VLOOKUP($A319,AffordabilityRatio!$A$2:$I$321,5,FALSE))</f>
        <v>9.3433333333333337</v>
      </c>
      <c r="AJ319" s="268">
        <f>IF(ISNUMBER('Sensitivity Tests'!$C$30),'Sensitivity Tests'!$C$30,VLOOKUP($A319,AffordabilityRatio!$A$2:$I$321,6,FALSE))</f>
        <v>9.1833333333333336</v>
      </c>
      <c r="AK319" s="268">
        <f>IF(ISNUMBER('Sensitivity Tests'!$C$30),'Sensitivity Tests'!$C$30,VLOOKUP($A319,AffordabilityRatio!$A$2:$I$321,7,FALSE))</f>
        <v>9.6199999999999992</v>
      </c>
      <c r="AL319" s="268">
        <f>IF(ISNUMBER('Sensitivity Tests'!$C$30),'Sensitivity Tests'!$C$30,IF((VLOOKUP($A319,AffordabilityRatio!$A$2:$I$321,8,FALSE))="",AK319,VLOOKUP($A319,AffordabilityRatio!$A$2:$I$321,8,FALSE)))</f>
        <v>8.8066666666666666</v>
      </c>
      <c r="AM319" s="268">
        <f>IF(ISNUMBER('Sensitivity Tests'!$C$30),'Sensitivity Tests'!$C$30,IF((VLOOKUP($A319,AffordabilityRatio!$A$2:$I$321,9,FALSE))="",AL319,VLOOKUP($A319,AffordabilityRatio!$A$2:$I$321,9,FALSE)))</f>
        <v>10.596666666666666</v>
      </c>
      <c r="AN319" s="268">
        <f>IF(ISNUMBER('Sensitivity Tests'!$C$30),'Sensitivity Tests'!$C$30,IF((VLOOKUP($A319,AffordabilityRatio!$A$2:$I$321,9,FALSE))="",AM319,VLOOKUP($A319,AffordabilityRatio!$A$2:$I$321,9,FALSE)))</f>
        <v>10.596666666666666</v>
      </c>
      <c r="AO319" s="268">
        <f>IF(ISNUMBER('Sensitivity Tests'!$C$30),'Sensitivity Tests'!$C$30,IF((VLOOKUP($A319,AffordabilityRatio!$A$2:$I$321,9,FALSE))="",AN319,VLOOKUP($A319,AffordabilityRatio!$A$2:$I$321,9,FALSE)))</f>
        <v>10.596666666666666</v>
      </c>
      <c r="AP319" s="268">
        <f>IF(ISNUMBER('Sensitivity Tests'!$C$30),'Sensitivity Tests'!$C$30,IF((VLOOKUP($A319,AffordabilityRatio!$A$2:$I$321,9,FALSE))="",AO319,VLOOKUP($A319,AffordabilityRatio!$A$2:$I$321,9,FALSE)))</f>
        <v>10.596666666666666</v>
      </c>
      <c r="AQ319" s="267">
        <f t="shared" si="243"/>
        <v>1381</v>
      </c>
      <c r="AR319" s="267">
        <f t="shared" si="243"/>
        <v>1360</v>
      </c>
      <c r="AS319" s="267">
        <f t="shared" si="243"/>
        <v>1388</v>
      </c>
      <c r="AT319" s="267">
        <f t="shared" si="243"/>
        <v>1287</v>
      </c>
      <c r="AU319" s="267">
        <f t="shared" si="243"/>
        <v>1403</v>
      </c>
      <c r="AV319" s="267">
        <f t="shared" si="243"/>
        <v>1396</v>
      </c>
      <c r="AW319" s="267">
        <f t="shared" si="243"/>
        <v>1377</v>
      </c>
      <c r="AX319" s="267">
        <f t="shared" si="243"/>
        <v>1363</v>
      </c>
      <c r="AY319" s="267">
        <f t="shared" si="218"/>
        <v>1381</v>
      </c>
      <c r="AZ319" s="267">
        <f t="shared" si="219"/>
        <v>1360</v>
      </c>
      <c r="BA319" s="267">
        <f t="shared" si="220"/>
        <v>1388</v>
      </c>
      <c r="BB319" s="267">
        <f t="shared" si="221"/>
        <v>1287</v>
      </c>
      <c r="BC319" s="267">
        <f t="shared" si="222"/>
        <v>1390.3400000000001</v>
      </c>
      <c r="BD319" s="267">
        <f t="shared" si="223"/>
        <v>1383.48</v>
      </c>
      <c r="BE319" s="267">
        <f t="shared" si="224"/>
        <v>1364.5800000000002</v>
      </c>
      <c r="BF319" s="267">
        <f t="shared" si="225"/>
        <v>1351.56</v>
      </c>
      <c r="BG319" s="269">
        <f>AY319*VLOOKUP($B319,'Major Cities &amp; Towns'!$A$28:$B$345,2,FALSE)</f>
        <v>1381</v>
      </c>
      <c r="BH319" s="269">
        <f>AZ319*VLOOKUP($B319,'Major Cities &amp; Towns'!$A$28:$B$345,2,FALSE)</f>
        <v>1360</v>
      </c>
      <c r="BI319" s="269">
        <f>BA319*VLOOKUP($B319,'Major Cities &amp; Towns'!$A$28:$B$345,2,FALSE)</f>
        <v>1388</v>
      </c>
      <c r="BJ319" s="269">
        <f>BB319*VLOOKUP($B319,'Major Cities &amp; Towns'!$A$28:$B$345,2,FALSE)</f>
        <v>1287</v>
      </c>
      <c r="BK319" s="269">
        <f>BC319*VLOOKUP($B319,'Major Cities &amp; Towns'!$A$28:$B$345,2,FALSE)</f>
        <v>1390.3400000000001</v>
      </c>
      <c r="BL319" s="269">
        <f>BD319*VLOOKUP($B319,'Major Cities &amp; Towns'!$A$28:$B$345,2,FALSE)</f>
        <v>1383.48</v>
      </c>
      <c r="BM319" s="269">
        <f>BE319*VLOOKUP($B319,'Major Cities &amp; Towns'!$A$28:$B$345,2,FALSE)</f>
        <v>1364.5800000000002</v>
      </c>
      <c r="BN319" s="269">
        <f>BF319*VLOOKUP($B319,'Major Cities &amp; Towns'!$A$28:$B$345,2,FALSE)</f>
        <v>1351.56</v>
      </c>
      <c r="BO319" s="270">
        <f t="shared" si="226"/>
        <v>1381</v>
      </c>
      <c r="BP319" s="270">
        <f t="shared" si="250"/>
        <v>1360</v>
      </c>
      <c r="BQ319" s="270">
        <f t="shared" si="250"/>
        <v>1388</v>
      </c>
      <c r="BR319" s="270">
        <f t="shared" si="250"/>
        <v>1287</v>
      </c>
      <c r="BS319" s="270">
        <f t="shared" si="250"/>
        <v>1403</v>
      </c>
      <c r="BT319" s="270">
        <f t="shared" si="250"/>
        <v>1396</v>
      </c>
      <c r="BU319" s="270">
        <f t="shared" si="250"/>
        <v>1377</v>
      </c>
      <c r="BV319" s="270">
        <f t="shared" si="249"/>
        <v>1363</v>
      </c>
      <c r="BW319" s="39">
        <f>VLOOKUP($A319,NetAdditions!$A$2:$H$336,6,FALSE)</f>
        <v>1481</v>
      </c>
      <c r="BX319" s="39">
        <f>VLOOKUP($A319,NetAdditions!$A$2:$H$336,7,FALSE)</f>
        <v>1479</v>
      </c>
      <c r="BY319" s="39">
        <f>IF((VLOOKUP($C319,NetAdditions!$A$2:$H$336,8,FALSE))="",(AVERAGE(VLOOKUP($C319,NetAdditions!$A$2:$H$336,5,FALSE),VLOOKUP($C319,NetAdditions!$A$2:$H$336,6,FALSE),VLOOKUP($C319,NetAdditions!$A$2:$H$336,7,FALSE))),VLOOKUP($C319,NetAdditions!$A$2:$H$336,8,FALSE))</f>
        <v>1377</v>
      </c>
      <c r="BZ319" s="39">
        <f t="shared" si="244"/>
        <v>1445.6666666666667</v>
      </c>
      <c r="CA319" s="39">
        <f t="shared" si="244"/>
        <v>1433.8888888888889</v>
      </c>
      <c r="CB319" s="39">
        <f t="shared" si="244"/>
        <v>1418.851851851852</v>
      </c>
      <c r="CC319" s="39">
        <f t="shared" si="244"/>
        <v>1432.8024691358025</v>
      </c>
      <c r="CD319" s="39">
        <f t="shared" si="244"/>
        <v>1428.514403292181</v>
      </c>
      <c r="CE319" s="276">
        <f t="shared" si="202"/>
        <v>4129</v>
      </c>
      <c r="CF319" s="276">
        <f t="shared" si="203"/>
        <v>4035</v>
      </c>
      <c r="CG319" s="276">
        <f t="shared" si="204"/>
        <v>4078</v>
      </c>
      <c r="CH319" s="276">
        <f t="shared" si="205"/>
        <v>4086</v>
      </c>
      <c r="CI319" s="276">
        <f t="shared" si="206"/>
        <v>4176</v>
      </c>
      <c r="CJ319" s="276">
        <f t="shared" si="207"/>
        <v>4136</v>
      </c>
      <c r="CK319" s="276">
        <f t="shared" si="227"/>
        <v>3555.5277777777778</v>
      </c>
      <c r="CL319" s="276">
        <f t="shared" si="228"/>
        <v>3474.5833333333335</v>
      </c>
      <c r="CM319" s="276">
        <f t="shared" si="229"/>
        <v>3738.1666666666665</v>
      </c>
      <c r="CN319" s="276">
        <f t="shared" si="230"/>
        <v>4086</v>
      </c>
      <c r="CO319" s="276">
        <f t="shared" si="230"/>
        <v>4176</v>
      </c>
      <c r="CP319" s="276">
        <f t="shared" si="230"/>
        <v>4136</v>
      </c>
      <c r="CQ319" s="39">
        <f t="shared" si="208"/>
        <v>4337</v>
      </c>
      <c r="CR319" s="39">
        <f t="shared" si="209"/>
        <v>4301.666666666667</v>
      </c>
      <c r="CS319" s="277">
        <f t="shared" si="210"/>
        <v>4256.5555555555557</v>
      </c>
      <c r="CT319" s="39">
        <f t="shared" si="211"/>
        <v>4298.4074074074078</v>
      </c>
      <c r="CU319" s="39">
        <f t="shared" si="212"/>
        <v>4285.5432098765432</v>
      </c>
      <c r="CV319" s="39">
        <f t="shared" si="213"/>
        <v>4280.1687242798353</v>
      </c>
      <c r="CW319" s="297">
        <f t="shared" si="214"/>
        <v>1.2197907796154657</v>
      </c>
      <c r="CX319" s="279" t="str">
        <f t="shared" si="231"/>
        <v>Pass</v>
      </c>
      <c r="CY319" s="278">
        <f t="shared" si="215"/>
        <v>1.2380381340688331</v>
      </c>
      <c r="CZ319" s="279" t="str">
        <f t="shared" si="232"/>
        <v>Pass</v>
      </c>
      <c r="DA319" s="278">
        <f t="shared" si="216"/>
        <v>1.1386746325441766</v>
      </c>
      <c r="DB319" s="292" t="str">
        <f t="shared" si="233"/>
        <v>Pass</v>
      </c>
      <c r="DC319" s="299">
        <f t="shared" si="234"/>
        <v>1.0519841917296642</v>
      </c>
      <c r="DD319" s="293" t="str">
        <f t="shared" si="235"/>
        <v>Pass</v>
      </c>
      <c r="DE319" s="299">
        <f t="shared" si="236"/>
        <v>1.0262316115604748</v>
      </c>
      <c r="DF319" s="293" t="str">
        <f t="shared" si="237"/>
        <v>Pass</v>
      </c>
      <c r="DG319" s="299">
        <f t="shared" si="238"/>
        <v>1.0348570416537319</v>
      </c>
      <c r="DH319" s="293" t="str">
        <f t="shared" si="239"/>
        <v>Pass</v>
      </c>
    </row>
    <row r="320" spans="1:112" ht="15" thickTop="1" thickBot="1">
      <c r="A320" s="38" t="s">
        <v>750</v>
      </c>
      <c r="B320" s="38" t="s">
        <v>751</v>
      </c>
      <c r="C320" s="38" t="s">
        <v>750</v>
      </c>
      <c r="D320" s="38" t="e">
        <v>#N/A</v>
      </c>
      <c r="E320" s="38" t="e">
        <f>VLOOKUP(C320,PoliticalControl!A:K,11,FALSE)</f>
        <v>#N/A</v>
      </c>
      <c r="F320" s="38" t="e">
        <f>VLOOKUP(C320,UrbanRuralClassification!A:N,13,FALSE)</f>
        <v>#N/A</v>
      </c>
      <c r="G320" s="38" t="e">
        <f>VLOOKUP(C320,UrbanRuralClassification!A:N,14,FALSE)</f>
        <v>#N/A</v>
      </c>
      <c r="H320" s="258" t="e">
        <f>IF(ISBLANK((VLOOKUP($A320,'local-plan-data'!$C$1:$AD$566,27,FALSE)))=TRUE,"",VLOOKUP($A320,'local-plan-data'!$C$1:$AD$566,27,FALSE))</f>
        <v>#N/A</v>
      </c>
      <c r="I320" s="259" t="e">
        <f>VLOOKUP($A320,'local-plan-data'!$C$1:$AD$566,28,FALSE)</f>
        <v>#N/A</v>
      </c>
      <c r="J320" s="260" t="str">
        <f t="shared" si="217"/>
        <v>-</v>
      </c>
      <c r="K320" s="259" t="str">
        <f t="shared" si="247"/>
        <v>-</v>
      </c>
      <c r="L320" s="259" t="str">
        <f t="shared" si="245"/>
        <v>-</v>
      </c>
      <c r="M320" s="259" t="str">
        <f t="shared" si="245"/>
        <v>-</v>
      </c>
      <c r="N320" s="259" t="str">
        <f t="shared" si="245"/>
        <v>-</v>
      </c>
      <c r="O320" s="259" t="str">
        <f t="shared" si="245"/>
        <v>-</v>
      </c>
      <c r="P320" s="259" t="str">
        <f t="shared" si="245"/>
        <v>-</v>
      </c>
      <c r="Q320" s="259" t="str">
        <f t="shared" si="245"/>
        <v>-</v>
      </c>
      <c r="R320" s="259" t="str">
        <f t="shared" si="245"/>
        <v>-</v>
      </c>
      <c r="S320" s="259" t="str">
        <f t="shared" si="248"/>
        <v>-</v>
      </c>
      <c r="T320" s="259" t="str">
        <f t="shared" si="246"/>
        <v>-</v>
      </c>
      <c r="U320" s="259" t="str">
        <f t="shared" si="246"/>
        <v>-</v>
      </c>
      <c r="V320" s="259" t="str">
        <f t="shared" si="246"/>
        <v>-</v>
      </c>
      <c r="W320" s="259" t="str">
        <f t="shared" si="246"/>
        <v>-</v>
      </c>
      <c r="X320" s="259" t="str">
        <f t="shared" si="246"/>
        <v>-</v>
      </c>
      <c r="Y320" s="259" t="str">
        <f t="shared" si="246"/>
        <v>-</v>
      </c>
      <c r="Z320" s="259" t="str">
        <f t="shared" si="246"/>
        <v>-</v>
      </c>
      <c r="AA320" s="267">
        <f>(VLOOKUP(A320,Hshldprojections2014!$A$2:$AW$319,40, FALSE)-VLOOKUP(A320,Hshldprojections2014!$A$2:$AW$319,30, FALSE))/10</f>
        <v>558</v>
      </c>
      <c r="AB320" s="267">
        <f>(VLOOKUP(A320,Hshldprojections2014!$A$2:$AW$319,41, FALSE)-VLOOKUP(A320,Hshldprojections2014!$A$2:$AW$319,31, FALSE))/10</f>
        <v>556</v>
      </c>
      <c r="AC320" s="267">
        <f>(VLOOKUP(A320,Hshldprojections2014!$A$2:$AW$319,42, FALSE)-VLOOKUP(A320,Hshldprojections2014!$A$2:$AW$319,32, FALSE))/10</f>
        <v>553.9</v>
      </c>
      <c r="AD320" s="267">
        <f>IF(IndividualLATest!$J$7=2014,(VLOOKUP($A320,Hshldprojections2014!$A$2:$AY$326,43,FALSE)-VLOOKUP($A320,Hshldprojections2014!$A$2:$AY$326,33,FALSE))/10,IF(IndividualLATest!$J$7=2016,(VLOOKUP($A320,Hshldprojections2016!$A$1:$AQ$322,33,FALSE)-VLOOKUP($A320,Hshldprojections2016!$A$1:$AQ$322,23,FALSE))/10,(VLOOKUP($A320,Hshldprojections2018!$A$1:$AQ$327,33,FALSE)-VLOOKUP($A320,Hshldprojections2018!$A$1:$AQ$327,23,FALSE))/10))</f>
        <v>724.1</v>
      </c>
      <c r="AE320" s="267">
        <f>IF(IndividualLATest!$J$7=2014,(VLOOKUP($A320,Hshldprojections2014!$A$2:$AY$326,44,FALSE)-VLOOKUP($A320,Hshldprojections2014!$A$2:$AY$326,34,FALSE))/10,IF(IndividualLATest!$J$7=2016,(VLOOKUP($A320,Hshldprojections2016!$A$1:$AQ$322,34,FALSE)-VLOOKUP($A320,Hshldprojections2016!$A$1:$AQ$322,24,FALSE))/10,(VLOOKUP($A320,Hshldprojections2018!$A$1:$AQ$327,34,FALSE)-VLOOKUP($A320,Hshldprojections2018!$A$1:$AQ$327,24,FALSE))/10))</f>
        <v>708.8</v>
      </c>
      <c r="AF320" s="267">
        <f>IF(IndividualLATest!$J$7=2014,(VLOOKUP($A320,Hshldprojections2014!$A$2:$AY$326,45,FALSE)-VLOOKUP($A320,Hshldprojections2014!$A$2:$AY$326,35,FALSE))/10,IF(IndividualLATest!$J$7=2016,(VLOOKUP($A320,Hshldprojections2016!$A$1:$AQ$322,35,FALSE)-VLOOKUP($A320,Hshldprojections2016!$A$1:$AQ$322,25,FALSE))/10,(VLOOKUP($A320,Hshldprojections2018!$A$1:$AQ$327,35,FALSE)-VLOOKUP($A320,Hshldprojections2018!$A$1:$AQ$327,25,FALSE))/10))</f>
        <v>693.9</v>
      </c>
      <c r="AG320" s="267">
        <f>IF(IndividualLATest!$J$7=2014,(VLOOKUP($A320,Hshldprojections2014!$A$2:$AY$326,46,FALSE)-VLOOKUP($A320,Hshldprojections2014!$A$2:$AY$326,36,FALSE))/10,IF(IndividualLATest!$J$7=2016,(VLOOKUP($A320,Hshldprojections2016!$A$1:$AQ$322,36,FALSE)-VLOOKUP($A320,Hshldprojections2016!$A$1:$AQ$322,26,FALSE))/10,(VLOOKUP($A320,Hshldprojections2018!$A$1:$AQ$327,36,FALSE)-VLOOKUP($A320,Hshldprojections2018!$A$1:$AQ$327,26,FALSE))/10))</f>
        <v>678.6</v>
      </c>
      <c r="AH320" s="267">
        <f>IF(IndividualLATest!$J$7=2014,(VLOOKUP($A320,Hshldprojections2014!$A$2:$AY$326,47,FALSE)-VLOOKUP($A320,Hshldprojections2014!$A$2:$AY$326,37,FALSE))/10,IF(IndividualLATest!$J$7=2016,(VLOOKUP($A320,Hshldprojections2016!$A$1:$AQ$322,37,FALSE)-VLOOKUP($A320,Hshldprojections2016!$A$1:$AQ$322,27,FALSE))/10,(VLOOKUP($A320,Hshldprojections2018!$A$1:$AQ$327,37,FALSE)-VLOOKUP($A320,Hshldprojections2018!$A$1:$AQ$327,27,FALSE))/10))</f>
        <v>663.8</v>
      </c>
      <c r="AI320" s="268">
        <f>IF(ISNUMBER('Sensitivity Tests'!$C$30),'Sensitivity Tests'!$C$30,VLOOKUP($A320,AffordabilityRatio!$A$2:$I$321,5,FALSE))</f>
        <v>9.7349999999999994</v>
      </c>
      <c r="AJ320" s="268">
        <f>IF(ISNUMBER('Sensitivity Tests'!$C$30),'Sensitivity Tests'!$C$30,VLOOKUP($A320,AffordabilityRatio!$A$2:$I$321,6,FALSE))</f>
        <v>9.8049999999999997</v>
      </c>
      <c r="AK320" s="268">
        <f>IF(ISNUMBER('Sensitivity Tests'!$C$30),'Sensitivity Tests'!$C$30,VLOOKUP($A320,AffordabilityRatio!$A$2:$I$321,7,FALSE))</f>
        <v>9.879999999999999</v>
      </c>
      <c r="AL320" s="268">
        <f>IF(ISNUMBER('Sensitivity Tests'!$C$30),'Sensitivity Tests'!$C$30,IF((VLOOKUP($A320,AffordabilityRatio!$A$2:$I$321,8,FALSE))="",AK320,VLOOKUP($A320,AffordabilityRatio!$A$2:$I$321,8,FALSE)))</f>
        <v>9.67</v>
      </c>
      <c r="AM320" s="268">
        <f>IF(ISNUMBER('Sensitivity Tests'!$C$30),'Sensitivity Tests'!$C$30,IF((VLOOKUP($A320,AffordabilityRatio!$A$2:$I$321,9,FALSE))="",AL320,VLOOKUP($A320,AffordabilityRatio!$A$2:$I$321,9,FALSE)))</f>
        <v>10.4</v>
      </c>
      <c r="AN320" s="268">
        <f>IF(ISNUMBER('Sensitivity Tests'!$C$30),'Sensitivity Tests'!$C$30,IF((VLOOKUP($A320,AffordabilityRatio!$A$2:$I$321,9,FALSE))="",AM320,VLOOKUP($A320,AffordabilityRatio!$A$2:$I$321,9,FALSE)))</f>
        <v>10.4</v>
      </c>
      <c r="AO320" s="268">
        <f>IF(ISNUMBER('Sensitivity Tests'!$C$30),'Sensitivity Tests'!$C$30,IF((VLOOKUP($A320,AffordabilityRatio!$A$2:$I$321,9,FALSE))="",AN320,VLOOKUP($A320,AffordabilityRatio!$A$2:$I$321,9,FALSE)))</f>
        <v>10.4</v>
      </c>
      <c r="AP320" s="268">
        <f>IF(ISNUMBER('Sensitivity Tests'!$C$30),'Sensitivity Tests'!$C$30,IF((VLOOKUP($A320,AffordabilityRatio!$A$2:$I$321,9,FALSE))="",AO320,VLOOKUP($A320,AffordabilityRatio!$A$2:$I$321,9,FALSE)))</f>
        <v>10.4</v>
      </c>
      <c r="AQ320" s="267">
        <f t="shared" si="243"/>
        <v>758</v>
      </c>
      <c r="AR320" s="267">
        <f t="shared" si="243"/>
        <v>758</v>
      </c>
      <c r="AS320" s="267">
        <f t="shared" si="243"/>
        <v>757</v>
      </c>
      <c r="AT320" s="267">
        <f t="shared" si="243"/>
        <v>981</v>
      </c>
      <c r="AU320" s="267">
        <f t="shared" si="243"/>
        <v>992</v>
      </c>
      <c r="AV320" s="267">
        <f t="shared" si="243"/>
        <v>971</v>
      </c>
      <c r="AW320" s="267">
        <f t="shared" si="243"/>
        <v>950</v>
      </c>
      <c r="AX320" s="267">
        <f t="shared" si="243"/>
        <v>929</v>
      </c>
      <c r="AY320" s="267">
        <f t="shared" si="218"/>
        <v>758</v>
      </c>
      <c r="AZ320" s="267">
        <f t="shared" si="219"/>
        <v>758</v>
      </c>
      <c r="BA320" s="267">
        <f t="shared" si="220"/>
        <v>757</v>
      </c>
      <c r="BB320" s="267">
        <f t="shared" si="221"/>
        <v>981</v>
      </c>
      <c r="BC320" s="267">
        <f t="shared" si="222"/>
        <v>992</v>
      </c>
      <c r="BD320" s="267">
        <f t="shared" si="223"/>
        <v>971</v>
      </c>
      <c r="BE320" s="267">
        <f t="shared" si="224"/>
        <v>950</v>
      </c>
      <c r="BF320" s="267">
        <f t="shared" si="225"/>
        <v>929</v>
      </c>
      <c r="BG320" s="269">
        <f>AY320*VLOOKUP($B320,'Major Cities &amp; Towns'!$A$28:$B$345,2,FALSE)</f>
        <v>758</v>
      </c>
      <c r="BH320" s="269">
        <f>AZ320*VLOOKUP($B320,'Major Cities &amp; Towns'!$A$28:$B$345,2,FALSE)</f>
        <v>758</v>
      </c>
      <c r="BI320" s="269">
        <f>BA320*VLOOKUP($B320,'Major Cities &amp; Towns'!$A$28:$B$345,2,FALSE)</f>
        <v>757</v>
      </c>
      <c r="BJ320" s="269">
        <f>BB320*VLOOKUP($B320,'Major Cities &amp; Towns'!$A$28:$B$345,2,FALSE)</f>
        <v>981</v>
      </c>
      <c r="BK320" s="269">
        <f>BC320*VLOOKUP($B320,'Major Cities &amp; Towns'!$A$28:$B$345,2,FALSE)</f>
        <v>992</v>
      </c>
      <c r="BL320" s="269">
        <f>BD320*VLOOKUP($B320,'Major Cities &amp; Towns'!$A$28:$B$345,2,FALSE)</f>
        <v>971</v>
      </c>
      <c r="BM320" s="269">
        <f>BE320*VLOOKUP($B320,'Major Cities &amp; Towns'!$A$28:$B$345,2,FALSE)</f>
        <v>950</v>
      </c>
      <c r="BN320" s="269">
        <f>BF320*VLOOKUP($B320,'Major Cities &amp; Towns'!$A$28:$B$345,2,FALSE)</f>
        <v>929</v>
      </c>
      <c r="BO320" s="270">
        <f t="shared" si="226"/>
        <v>758</v>
      </c>
      <c r="BP320" s="270">
        <f t="shared" si="250"/>
        <v>758</v>
      </c>
      <c r="BQ320" s="270">
        <f t="shared" si="250"/>
        <v>757</v>
      </c>
      <c r="BR320" s="270">
        <f t="shared" si="250"/>
        <v>981</v>
      </c>
      <c r="BS320" s="270">
        <f t="shared" si="250"/>
        <v>992</v>
      </c>
      <c r="BT320" s="270">
        <f t="shared" si="250"/>
        <v>971</v>
      </c>
      <c r="BU320" s="270">
        <f t="shared" si="250"/>
        <v>950</v>
      </c>
      <c r="BV320" s="270">
        <f t="shared" si="249"/>
        <v>929</v>
      </c>
      <c r="BW320" s="39">
        <f>VLOOKUP($A320,NetAdditions!$A$2:$H$336,6,FALSE)</f>
        <v>953</v>
      </c>
      <c r="BX320" s="39">
        <f>VLOOKUP($A320,NetAdditions!$A$2:$H$336,7,FALSE)</f>
        <v>1167</v>
      </c>
      <c r="BY320" s="39">
        <f>IF((VLOOKUP($C320,NetAdditions!$A$2:$H$336,8,FALSE))="",(AVERAGE(VLOOKUP($C320,NetAdditions!$A$2:$H$336,5,FALSE),VLOOKUP($C320,NetAdditions!$A$2:$H$336,6,FALSE),VLOOKUP($C320,NetAdditions!$A$2:$H$336,7,FALSE))),VLOOKUP($C320,NetAdditions!$A$2:$H$336,8,FALSE))</f>
        <v>686</v>
      </c>
      <c r="BZ320" s="39">
        <f t="shared" si="244"/>
        <v>935.33333333333337</v>
      </c>
      <c r="CA320" s="39">
        <f t="shared" si="244"/>
        <v>929.44444444444446</v>
      </c>
      <c r="CB320" s="39">
        <f t="shared" si="244"/>
        <v>850.25925925925924</v>
      </c>
      <c r="CC320" s="39">
        <f t="shared" si="244"/>
        <v>905.01234567901236</v>
      </c>
      <c r="CD320" s="39">
        <f t="shared" si="244"/>
        <v>894.90534979423865</v>
      </c>
      <c r="CE320" s="276">
        <f t="shared" si="202"/>
        <v>2273</v>
      </c>
      <c r="CF320" s="276">
        <f t="shared" si="203"/>
        <v>2496</v>
      </c>
      <c r="CG320" s="276">
        <f t="shared" si="204"/>
        <v>2730</v>
      </c>
      <c r="CH320" s="276">
        <f t="shared" si="205"/>
        <v>2944</v>
      </c>
      <c r="CI320" s="276">
        <f t="shared" si="206"/>
        <v>2913</v>
      </c>
      <c r="CJ320" s="276">
        <f t="shared" si="207"/>
        <v>2850</v>
      </c>
      <c r="CK320" s="276">
        <f t="shared" si="227"/>
        <v>1957.3055555555557</v>
      </c>
      <c r="CL320" s="276">
        <f t="shared" si="228"/>
        <v>2149.3333333333335</v>
      </c>
      <c r="CM320" s="276">
        <f t="shared" si="229"/>
        <v>2502.5</v>
      </c>
      <c r="CN320" s="276">
        <f t="shared" si="230"/>
        <v>2944</v>
      </c>
      <c r="CO320" s="276">
        <f t="shared" si="230"/>
        <v>2913</v>
      </c>
      <c r="CP320" s="276">
        <f t="shared" si="230"/>
        <v>2850</v>
      </c>
      <c r="CQ320" s="39">
        <f t="shared" si="208"/>
        <v>2806</v>
      </c>
      <c r="CR320" s="39">
        <f t="shared" si="209"/>
        <v>2788.3333333333335</v>
      </c>
      <c r="CS320" s="277">
        <f t="shared" si="210"/>
        <v>2550.7777777777778</v>
      </c>
      <c r="CT320" s="39">
        <f t="shared" si="211"/>
        <v>2715.037037037037</v>
      </c>
      <c r="CU320" s="39">
        <f t="shared" si="212"/>
        <v>2684.7160493827159</v>
      </c>
      <c r="CV320" s="39">
        <f t="shared" si="213"/>
        <v>2650.1769547325102</v>
      </c>
      <c r="CW320" s="297">
        <f t="shared" si="214"/>
        <v>1.4336034514567928</v>
      </c>
      <c r="CX320" s="279" t="str">
        <f t="shared" si="231"/>
        <v>Pass</v>
      </c>
      <c r="CY320" s="278">
        <f t="shared" si="215"/>
        <v>1.2973014888337469</v>
      </c>
      <c r="CZ320" s="279" t="str">
        <f t="shared" si="232"/>
        <v>Pass</v>
      </c>
      <c r="DA320" s="278">
        <f t="shared" si="216"/>
        <v>1.0192918192918192</v>
      </c>
      <c r="DB320" s="292" t="str">
        <f t="shared" si="233"/>
        <v>Pass</v>
      </c>
      <c r="DC320" s="299">
        <f t="shared" si="234"/>
        <v>0.9222272544283413</v>
      </c>
      <c r="DD320" s="293" t="str">
        <f t="shared" si="235"/>
        <v>Action Plan</v>
      </c>
      <c r="DE320" s="299">
        <f t="shared" si="236"/>
        <v>0.92163269803732095</v>
      </c>
      <c r="DF320" s="293" t="str">
        <f t="shared" si="237"/>
        <v>Action Plan</v>
      </c>
      <c r="DG320" s="299">
        <f t="shared" si="238"/>
        <v>0.92988665078333688</v>
      </c>
      <c r="DH320" s="293" t="str">
        <f t="shared" si="239"/>
        <v>Action Plan</v>
      </c>
    </row>
    <row r="321" spans="1:112" ht="15" thickTop="1" thickBot="1">
      <c r="A321" s="38" t="s">
        <v>752</v>
      </c>
      <c r="B321" s="38" t="s">
        <v>753</v>
      </c>
      <c r="C321" s="38" t="s">
        <v>752</v>
      </c>
      <c r="D321" s="38" t="e">
        <v>#N/A</v>
      </c>
      <c r="E321" s="38" t="e">
        <f>VLOOKUP(C321,PoliticalControl!A:K,11,FALSE)</f>
        <v>#N/A</v>
      </c>
      <c r="F321" s="38" t="e">
        <f>VLOOKUP(C321,UrbanRuralClassification!A:N,13,FALSE)</f>
        <v>#N/A</v>
      </c>
      <c r="G321" s="38" t="e">
        <f>VLOOKUP(C321,UrbanRuralClassification!A:N,14,FALSE)</f>
        <v>#N/A</v>
      </c>
      <c r="H321" s="258" t="e">
        <f>IF(ISBLANK((VLOOKUP($A321,'local-plan-data'!$C$1:$AD$566,27,FALSE)))=TRUE,"",VLOOKUP($A321,'local-plan-data'!$C$1:$AD$566,27,FALSE))</f>
        <v>#N/A</v>
      </c>
      <c r="I321" s="259" t="e">
        <f>VLOOKUP($A321,'local-plan-data'!$C$1:$AD$566,28,FALSE)</f>
        <v>#N/A</v>
      </c>
      <c r="J321" s="260" t="str">
        <f t="shared" si="217"/>
        <v>-</v>
      </c>
      <c r="K321" s="259" t="str">
        <f t="shared" si="247"/>
        <v>-</v>
      </c>
      <c r="L321" s="259" t="str">
        <f t="shared" si="245"/>
        <v>-</v>
      </c>
      <c r="M321" s="259" t="str">
        <f t="shared" si="245"/>
        <v>-</v>
      </c>
      <c r="N321" s="259" t="str">
        <f t="shared" si="245"/>
        <v>-</v>
      </c>
      <c r="O321" s="259" t="str">
        <f t="shared" si="245"/>
        <v>-</v>
      </c>
      <c r="P321" s="259" t="str">
        <f t="shared" si="245"/>
        <v>-</v>
      </c>
      <c r="Q321" s="259" t="str">
        <f t="shared" si="245"/>
        <v>-</v>
      </c>
      <c r="R321" s="259" t="str">
        <f t="shared" si="245"/>
        <v>-</v>
      </c>
      <c r="S321" s="259" t="str">
        <f t="shared" si="248"/>
        <v>-</v>
      </c>
      <c r="T321" s="259" t="str">
        <f t="shared" si="246"/>
        <v>-</v>
      </c>
      <c r="U321" s="259" t="str">
        <f t="shared" si="246"/>
        <v>-</v>
      </c>
      <c r="V321" s="259" t="str">
        <f t="shared" si="246"/>
        <v>-</v>
      </c>
      <c r="W321" s="259" t="str">
        <f t="shared" si="246"/>
        <v>-</v>
      </c>
      <c r="X321" s="259" t="str">
        <f t="shared" si="246"/>
        <v>-</v>
      </c>
      <c r="Y321" s="259" t="str">
        <f t="shared" si="246"/>
        <v>-</v>
      </c>
      <c r="Z321" s="259" t="str">
        <f t="shared" si="246"/>
        <v>-</v>
      </c>
      <c r="AA321" s="267">
        <f>(VLOOKUP(A321,Hshldprojections2014!$A$2:$AW$319,40, FALSE)-VLOOKUP(A321,Hshldprojections2014!$A$2:$AW$319,30, FALSE))/10</f>
        <v>1614</v>
      </c>
      <c r="AB321" s="267">
        <f>(VLOOKUP(A321,Hshldprojections2014!$A$2:$AW$319,41, FALSE)-VLOOKUP(A321,Hshldprojections2014!$A$2:$AW$319,31, FALSE))/10</f>
        <v>1592.5</v>
      </c>
      <c r="AC321" s="267">
        <f>(VLOOKUP(A321,Hshldprojections2014!$A$2:$AW$319,42, FALSE)-VLOOKUP(A321,Hshldprojections2014!$A$2:$AW$319,32, FALSE))/10</f>
        <v>1578</v>
      </c>
      <c r="AD321" s="267">
        <f>IF(IndividualLATest!$J$7=2014,(VLOOKUP($A321,Hshldprojections2014!$A$2:$AY$326,43,FALSE)-VLOOKUP($A321,Hshldprojections2014!$A$2:$AY$326,33,FALSE))/10,IF(IndividualLATest!$J$7=2016,(VLOOKUP($A321,Hshldprojections2016!$A$1:$AQ$322,33,FALSE)-VLOOKUP($A321,Hshldprojections2016!$A$1:$AQ$322,23,FALSE))/10,(VLOOKUP($A321,Hshldprojections2018!$A$1:$AQ$327,33,FALSE)-VLOOKUP($A321,Hshldprojections2018!$A$1:$AQ$327,23,FALSE))/10))</f>
        <v>1737.3</v>
      </c>
      <c r="AE321" s="267">
        <f>IF(IndividualLATest!$J$7=2014,(VLOOKUP($A321,Hshldprojections2014!$A$2:$AY$326,44,FALSE)-VLOOKUP($A321,Hshldprojections2014!$A$2:$AY$326,34,FALSE))/10,IF(IndividualLATest!$J$7=2016,(VLOOKUP($A321,Hshldprojections2016!$A$1:$AQ$322,34,FALSE)-VLOOKUP($A321,Hshldprojections2016!$A$1:$AQ$322,24,FALSE))/10,(VLOOKUP($A321,Hshldprojections2018!$A$1:$AQ$327,34,FALSE)-VLOOKUP($A321,Hshldprojections2018!$A$1:$AQ$327,24,FALSE))/10))</f>
        <v>1713.4</v>
      </c>
      <c r="AF321" s="267">
        <f>IF(IndividualLATest!$J$7=2014,(VLOOKUP($A321,Hshldprojections2014!$A$2:$AY$326,45,FALSE)-VLOOKUP($A321,Hshldprojections2014!$A$2:$AY$326,35,FALSE))/10,IF(IndividualLATest!$J$7=2016,(VLOOKUP($A321,Hshldprojections2016!$A$1:$AQ$322,35,FALSE)-VLOOKUP($A321,Hshldprojections2016!$A$1:$AQ$322,25,FALSE))/10,(VLOOKUP($A321,Hshldprojections2018!$A$1:$AQ$327,35,FALSE)-VLOOKUP($A321,Hshldprojections2018!$A$1:$AQ$327,25,FALSE))/10))</f>
        <v>1685.8</v>
      </c>
      <c r="AG321" s="267">
        <f>IF(IndividualLATest!$J$7=2014,(VLOOKUP($A321,Hshldprojections2014!$A$2:$AY$326,46,FALSE)-VLOOKUP($A321,Hshldprojections2014!$A$2:$AY$326,36,FALSE))/10,IF(IndividualLATest!$J$7=2016,(VLOOKUP($A321,Hshldprojections2016!$A$1:$AQ$322,36,FALSE)-VLOOKUP($A321,Hshldprojections2016!$A$1:$AQ$322,26,FALSE))/10,(VLOOKUP($A321,Hshldprojections2018!$A$1:$AQ$327,36,FALSE)-VLOOKUP($A321,Hshldprojections2018!$A$1:$AQ$327,26,FALSE))/10))</f>
        <v>1648.6</v>
      </c>
      <c r="AH321" s="267">
        <f>IF(IndividualLATest!$J$7=2014,(VLOOKUP($A321,Hshldprojections2014!$A$2:$AY$326,47,FALSE)-VLOOKUP($A321,Hshldprojections2014!$A$2:$AY$326,37,FALSE))/10,IF(IndividualLATest!$J$7=2016,(VLOOKUP($A321,Hshldprojections2016!$A$1:$AQ$322,37,FALSE)-VLOOKUP($A321,Hshldprojections2016!$A$1:$AQ$322,27,FALSE))/10,(VLOOKUP($A321,Hshldprojections2018!$A$1:$AQ$327,37,FALSE)-VLOOKUP($A321,Hshldprojections2018!$A$1:$AQ$327,27,FALSE))/10))</f>
        <v>1620.5</v>
      </c>
      <c r="AI321" s="268">
        <f>IF(ISNUMBER('Sensitivity Tests'!$C$30),'Sensitivity Tests'!$C$30,VLOOKUP($A321,AffordabilityRatio!$A$2:$I$321,5,FALSE))</f>
        <v>8.56</v>
      </c>
      <c r="AJ321" s="268">
        <f>IF(ISNUMBER('Sensitivity Tests'!$C$30),'Sensitivity Tests'!$C$30,VLOOKUP($A321,AffordabilityRatio!$A$2:$I$321,6,FALSE))</f>
        <v>8.34</v>
      </c>
      <c r="AK321" s="268">
        <f>IF(ISNUMBER('Sensitivity Tests'!$C$30),'Sensitivity Tests'!$C$30,VLOOKUP($A321,AffordabilityRatio!$A$2:$I$321,7,FALSE))</f>
        <v>8.3233333333333324</v>
      </c>
      <c r="AL321" s="268">
        <f>IF(ISNUMBER('Sensitivity Tests'!$C$30),'Sensitivity Tests'!$C$30,IF((VLOOKUP($A321,AffordabilityRatio!$A$2:$I$321,8,FALSE))="",AK321,VLOOKUP($A321,AffordabilityRatio!$A$2:$I$321,8,FALSE)))</f>
        <v>8.1366666666666649</v>
      </c>
      <c r="AM321" s="268">
        <f>IF(ISNUMBER('Sensitivity Tests'!$C$30),'Sensitivity Tests'!$C$30,IF((VLOOKUP($A321,AffordabilityRatio!$A$2:$I$321,9,FALSE))="",AL321,VLOOKUP($A321,AffordabilityRatio!$A$2:$I$321,9,FALSE)))</f>
        <v>8.4166666666666661</v>
      </c>
      <c r="AN321" s="268">
        <f>IF(ISNUMBER('Sensitivity Tests'!$C$30),'Sensitivity Tests'!$C$30,IF((VLOOKUP($A321,AffordabilityRatio!$A$2:$I$321,9,FALSE))="",AM321,VLOOKUP($A321,AffordabilityRatio!$A$2:$I$321,9,FALSE)))</f>
        <v>8.4166666666666661</v>
      </c>
      <c r="AO321" s="268">
        <f>IF(ISNUMBER('Sensitivity Tests'!$C$30),'Sensitivity Tests'!$C$30,IF((VLOOKUP($A321,AffordabilityRatio!$A$2:$I$321,9,FALSE))="",AN321,VLOOKUP($A321,AffordabilityRatio!$A$2:$I$321,9,FALSE)))</f>
        <v>8.4166666666666661</v>
      </c>
      <c r="AP321" s="268">
        <f>IF(ISNUMBER('Sensitivity Tests'!$C$30),'Sensitivity Tests'!$C$30,IF((VLOOKUP($A321,AffordabilityRatio!$A$2:$I$321,9,FALSE))="",AO321,VLOOKUP($A321,AffordabilityRatio!$A$2:$I$321,9,FALSE)))</f>
        <v>8.4166666666666661</v>
      </c>
      <c r="AQ321" s="267">
        <f t="shared" si="243"/>
        <v>2074</v>
      </c>
      <c r="AR321" s="267">
        <f t="shared" si="243"/>
        <v>2024</v>
      </c>
      <c r="AS321" s="267">
        <f t="shared" si="243"/>
        <v>2004</v>
      </c>
      <c r="AT321" s="267">
        <f t="shared" si="243"/>
        <v>2186</v>
      </c>
      <c r="AU321" s="267">
        <f t="shared" si="243"/>
        <v>2186</v>
      </c>
      <c r="AV321" s="267">
        <f t="shared" si="243"/>
        <v>2151</v>
      </c>
      <c r="AW321" s="267">
        <f t="shared" si="243"/>
        <v>2104</v>
      </c>
      <c r="AX321" s="267">
        <f t="shared" si="243"/>
        <v>2068</v>
      </c>
      <c r="AY321" s="267">
        <f t="shared" si="218"/>
        <v>2074</v>
      </c>
      <c r="AZ321" s="267">
        <f t="shared" si="219"/>
        <v>2024</v>
      </c>
      <c r="BA321" s="267">
        <f t="shared" si="220"/>
        <v>2004</v>
      </c>
      <c r="BB321" s="267">
        <f t="shared" si="221"/>
        <v>2186</v>
      </c>
      <c r="BC321" s="267">
        <f t="shared" si="222"/>
        <v>2186</v>
      </c>
      <c r="BD321" s="267">
        <f t="shared" si="223"/>
        <v>2151</v>
      </c>
      <c r="BE321" s="267">
        <f t="shared" si="224"/>
        <v>2104</v>
      </c>
      <c r="BF321" s="267">
        <f t="shared" si="225"/>
        <v>2068</v>
      </c>
      <c r="BG321" s="269">
        <f>AY321*VLOOKUP($B321,'Major Cities &amp; Towns'!$A$28:$B$345,2,FALSE)</f>
        <v>2074</v>
      </c>
      <c r="BH321" s="269">
        <f>AZ321*VLOOKUP($B321,'Major Cities &amp; Towns'!$A$28:$B$345,2,FALSE)</f>
        <v>2024</v>
      </c>
      <c r="BI321" s="269">
        <f>BA321*VLOOKUP($B321,'Major Cities &amp; Towns'!$A$28:$B$345,2,FALSE)</f>
        <v>2004</v>
      </c>
      <c r="BJ321" s="269">
        <f>BB321*VLOOKUP($B321,'Major Cities &amp; Towns'!$A$28:$B$345,2,FALSE)</f>
        <v>2186</v>
      </c>
      <c r="BK321" s="269">
        <f>BC321*VLOOKUP($B321,'Major Cities &amp; Towns'!$A$28:$B$345,2,FALSE)</f>
        <v>2186</v>
      </c>
      <c r="BL321" s="269">
        <f>BD321*VLOOKUP($B321,'Major Cities &amp; Towns'!$A$28:$B$345,2,FALSE)</f>
        <v>2151</v>
      </c>
      <c r="BM321" s="269">
        <f>BE321*VLOOKUP($B321,'Major Cities &amp; Towns'!$A$28:$B$345,2,FALSE)</f>
        <v>2104</v>
      </c>
      <c r="BN321" s="269">
        <f>BF321*VLOOKUP($B321,'Major Cities &amp; Towns'!$A$28:$B$345,2,FALSE)</f>
        <v>2068</v>
      </c>
      <c r="BO321" s="270">
        <f t="shared" si="226"/>
        <v>2074</v>
      </c>
      <c r="BP321" s="270">
        <f t="shared" si="250"/>
        <v>2024</v>
      </c>
      <c r="BQ321" s="270">
        <f t="shared" si="250"/>
        <v>2004</v>
      </c>
      <c r="BR321" s="270">
        <f t="shared" si="250"/>
        <v>2186</v>
      </c>
      <c r="BS321" s="270">
        <f t="shared" si="250"/>
        <v>2186</v>
      </c>
      <c r="BT321" s="270">
        <f t="shared" si="250"/>
        <v>2151</v>
      </c>
      <c r="BU321" s="270">
        <f t="shared" si="250"/>
        <v>2104</v>
      </c>
      <c r="BV321" s="270">
        <f t="shared" si="249"/>
        <v>2068</v>
      </c>
      <c r="BW321" s="39">
        <f>VLOOKUP($A321,NetAdditions!$A$2:$H$336,6,FALSE)</f>
        <v>2757</v>
      </c>
      <c r="BX321" s="39">
        <f>VLOOKUP($A321,NetAdditions!$A$2:$H$336,7,FALSE)</f>
        <v>2156</v>
      </c>
      <c r="BY321" s="39">
        <f>IF((VLOOKUP($C321,NetAdditions!$A$2:$H$336,8,FALSE))="",(AVERAGE(VLOOKUP($C321,NetAdditions!$A$2:$H$336,5,FALSE),VLOOKUP($C321,NetAdditions!$A$2:$H$336,6,FALSE),VLOOKUP($C321,NetAdditions!$A$2:$H$336,7,FALSE))),VLOOKUP($C321,NetAdditions!$A$2:$H$336,8,FALSE))</f>
        <v>1466</v>
      </c>
      <c r="BZ321" s="39">
        <f t="shared" si="244"/>
        <v>2126.3333333333335</v>
      </c>
      <c r="CA321" s="39">
        <f t="shared" si="244"/>
        <v>1916.1111111111113</v>
      </c>
      <c r="CB321" s="39">
        <f t="shared" si="244"/>
        <v>1836.1481481481485</v>
      </c>
      <c r="CC321" s="39">
        <f t="shared" si="244"/>
        <v>1959.5308641975309</v>
      </c>
      <c r="CD321" s="39">
        <f t="shared" si="244"/>
        <v>1903.9300411522636</v>
      </c>
      <c r="CE321" s="276">
        <f t="shared" si="202"/>
        <v>6102</v>
      </c>
      <c r="CF321" s="276">
        <f t="shared" si="203"/>
        <v>6214</v>
      </c>
      <c r="CG321" s="276">
        <f t="shared" si="204"/>
        <v>6376</v>
      </c>
      <c r="CH321" s="276">
        <f t="shared" si="205"/>
        <v>6523</v>
      </c>
      <c r="CI321" s="276">
        <f t="shared" si="206"/>
        <v>6441</v>
      </c>
      <c r="CJ321" s="276">
        <f t="shared" si="207"/>
        <v>6323</v>
      </c>
      <c r="CK321" s="276">
        <f t="shared" si="227"/>
        <v>5254.5</v>
      </c>
      <c r="CL321" s="276">
        <f t="shared" si="228"/>
        <v>5350.9444444444443</v>
      </c>
      <c r="CM321" s="276">
        <f t="shared" si="229"/>
        <v>5844.6666666666661</v>
      </c>
      <c r="CN321" s="276">
        <f t="shared" si="230"/>
        <v>6523</v>
      </c>
      <c r="CO321" s="276">
        <f t="shared" si="230"/>
        <v>6441</v>
      </c>
      <c r="CP321" s="276">
        <f t="shared" si="230"/>
        <v>6323</v>
      </c>
      <c r="CQ321" s="39">
        <f t="shared" si="208"/>
        <v>6379</v>
      </c>
      <c r="CR321" s="39">
        <f t="shared" si="209"/>
        <v>5748.3333333333339</v>
      </c>
      <c r="CS321" s="277">
        <f t="shared" si="210"/>
        <v>5508.4444444444453</v>
      </c>
      <c r="CT321" s="39">
        <f t="shared" si="211"/>
        <v>5878.5925925925931</v>
      </c>
      <c r="CU321" s="39">
        <f t="shared" si="212"/>
        <v>5711.7901234567908</v>
      </c>
      <c r="CV321" s="39">
        <f t="shared" si="213"/>
        <v>5699.609053497943</v>
      </c>
      <c r="CW321" s="297">
        <f t="shared" si="214"/>
        <v>1.2140070415834048</v>
      </c>
      <c r="CX321" s="279" t="str">
        <f t="shared" si="231"/>
        <v>Pass</v>
      </c>
      <c r="CY321" s="278">
        <f t="shared" si="215"/>
        <v>1.0742651868309854</v>
      </c>
      <c r="CZ321" s="279" t="str">
        <f t="shared" si="232"/>
        <v>Pass</v>
      </c>
      <c r="DA321" s="278">
        <f t="shared" si="216"/>
        <v>0.94247367020265416</v>
      </c>
      <c r="DB321" s="292" t="str">
        <f t="shared" si="233"/>
        <v>Action Plan</v>
      </c>
      <c r="DC321" s="299">
        <f t="shared" si="234"/>
        <v>0.9012099636045674</v>
      </c>
      <c r="DD321" s="293" t="str">
        <f t="shared" si="235"/>
        <v>Action Plan</v>
      </c>
      <c r="DE321" s="299">
        <f t="shared" si="236"/>
        <v>0.88678623248824573</v>
      </c>
      <c r="DF321" s="293" t="str">
        <f t="shared" si="237"/>
        <v>Action Plan</v>
      </c>
      <c r="DG321" s="299">
        <f t="shared" si="238"/>
        <v>0.90140899153850118</v>
      </c>
      <c r="DH321" s="293" t="str">
        <f t="shared" si="239"/>
        <v>Action Plan</v>
      </c>
    </row>
    <row r="322" spans="1:112" ht="15" thickTop="1" thickBot="1">
      <c r="A322" s="38" t="s">
        <v>754</v>
      </c>
      <c r="B322" s="38" t="s">
        <v>755</v>
      </c>
      <c r="C322" s="38" t="s">
        <v>754</v>
      </c>
      <c r="D322" s="38" t="e">
        <v>#N/A</v>
      </c>
      <c r="E322" s="38" t="e">
        <f>VLOOKUP(C322,PoliticalControl!A:K,11,FALSE)</f>
        <v>#N/A</v>
      </c>
      <c r="F322" s="38" t="e">
        <f>VLOOKUP(C322,UrbanRuralClassification!A:N,13,FALSE)</f>
        <v>#N/A</v>
      </c>
      <c r="G322" s="38" t="e">
        <f>VLOOKUP(C322,UrbanRuralClassification!A:N,14,FALSE)</f>
        <v>#N/A</v>
      </c>
      <c r="H322" s="258" t="e">
        <f>IF(ISBLANK((VLOOKUP($A322,'local-plan-data'!$C$1:$AD$566,27,FALSE)))=TRUE,"",VLOOKUP($A322,'local-plan-data'!$C$1:$AD$566,27,FALSE))</f>
        <v>#N/A</v>
      </c>
      <c r="I322" s="259" t="e">
        <f>VLOOKUP($A322,'local-plan-data'!$C$1:$AD$566,28,FALSE)</f>
        <v>#N/A</v>
      </c>
      <c r="J322" s="260" t="str">
        <f t="shared" si="217"/>
        <v>-</v>
      </c>
      <c r="K322" s="259" t="str">
        <f t="shared" si="247"/>
        <v>-</v>
      </c>
      <c r="L322" s="259" t="str">
        <f t="shared" si="245"/>
        <v>-</v>
      </c>
      <c r="M322" s="259" t="str">
        <f t="shared" si="245"/>
        <v>-</v>
      </c>
      <c r="N322" s="259" t="str">
        <f t="shared" si="245"/>
        <v>-</v>
      </c>
      <c r="O322" s="259" t="str">
        <f t="shared" si="245"/>
        <v>-</v>
      </c>
      <c r="P322" s="259" t="str">
        <f t="shared" si="245"/>
        <v>-</v>
      </c>
      <c r="Q322" s="259" t="str">
        <f t="shared" si="245"/>
        <v>-</v>
      </c>
      <c r="R322" s="259" t="str">
        <f t="shared" si="245"/>
        <v>-</v>
      </c>
      <c r="S322" s="259" t="str">
        <f t="shared" si="248"/>
        <v>-</v>
      </c>
      <c r="T322" s="259" t="str">
        <f t="shared" si="246"/>
        <v>-</v>
      </c>
      <c r="U322" s="259" t="str">
        <f t="shared" si="246"/>
        <v>-</v>
      </c>
      <c r="V322" s="259" t="str">
        <f t="shared" si="246"/>
        <v>-</v>
      </c>
      <c r="W322" s="259" t="str">
        <f t="shared" si="246"/>
        <v>-</v>
      </c>
      <c r="X322" s="259" t="str">
        <f t="shared" si="246"/>
        <v>-</v>
      </c>
      <c r="Y322" s="259" t="str">
        <f t="shared" si="246"/>
        <v>-</v>
      </c>
      <c r="Z322" s="259" t="str">
        <f t="shared" si="246"/>
        <v>-</v>
      </c>
      <c r="AA322" s="267">
        <f>(VLOOKUP(A322,Hshldprojections2014!$A$2:$AW$319,40, FALSE)-VLOOKUP(A322,Hshldprojections2014!$A$2:$AW$319,30, FALSE))/10</f>
        <v>949.5</v>
      </c>
      <c r="AB322" s="267">
        <f>(VLOOKUP(A322,Hshldprojections2014!$A$2:$AW$319,41, FALSE)-VLOOKUP(A322,Hshldprojections2014!$A$2:$AW$319,31, FALSE))/10</f>
        <v>937.7</v>
      </c>
      <c r="AC322" s="267">
        <f>(VLOOKUP(A322,Hshldprojections2014!$A$2:$AW$319,42, FALSE)-VLOOKUP(A322,Hshldprojections2014!$A$2:$AW$319,32, FALSE))/10</f>
        <v>929.3</v>
      </c>
      <c r="AD322" s="267">
        <f>IF(IndividualLATest!$J$7=2014,(VLOOKUP($A322,Hshldprojections2014!$A$2:$AY$326,43,FALSE)-VLOOKUP($A322,Hshldprojections2014!$A$2:$AY$326,33,FALSE))/10,IF(IndividualLATest!$J$7=2016,(VLOOKUP($A322,Hshldprojections2016!$A$1:$AQ$322,33,FALSE)-VLOOKUP($A322,Hshldprojections2016!$A$1:$AQ$322,23,FALSE))/10,(VLOOKUP($A322,Hshldprojections2018!$A$1:$AQ$327,33,FALSE)-VLOOKUP($A322,Hshldprojections2018!$A$1:$AQ$327,23,FALSE))/10))</f>
        <v>855.3</v>
      </c>
      <c r="AE322" s="267">
        <f>IF(IndividualLATest!$J$7=2014,(VLOOKUP($A322,Hshldprojections2014!$A$2:$AY$326,44,FALSE)-VLOOKUP($A322,Hshldprojections2014!$A$2:$AY$326,34,FALSE))/10,IF(IndividualLATest!$J$7=2016,(VLOOKUP($A322,Hshldprojections2016!$A$1:$AQ$322,34,FALSE)-VLOOKUP($A322,Hshldprojections2016!$A$1:$AQ$322,24,FALSE))/10,(VLOOKUP($A322,Hshldprojections2018!$A$1:$AQ$327,34,FALSE)-VLOOKUP($A322,Hshldprojections2018!$A$1:$AQ$327,24,FALSE))/10))</f>
        <v>855.5</v>
      </c>
      <c r="AF322" s="267">
        <f>IF(IndividualLATest!$J$7=2014,(VLOOKUP($A322,Hshldprojections2014!$A$2:$AY$326,45,FALSE)-VLOOKUP($A322,Hshldprojections2014!$A$2:$AY$326,35,FALSE))/10,IF(IndividualLATest!$J$7=2016,(VLOOKUP($A322,Hshldprojections2016!$A$1:$AQ$322,35,FALSE)-VLOOKUP($A322,Hshldprojections2016!$A$1:$AQ$322,25,FALSE))/10,(VLOOKUP($A322,Hshldprojections2018!$A$1:$AQ$327,35,FALSE)-VLOOKUP($A322,Hshldprojections2018!$A$1:$AQ$327,25,FALSE))/10))</f>
        <v>849.4</v>
      </c>
      <c r="AG322" s="267">
        <f>IF(IndividualLATest!$J$7=2014,(VLOOKUP($A322,Hshldprojections2014!$A$2:$AY$326,46,FALSE)-VLOOKUP($A322,Hshldprojections2014!$A$2:$AY$326,36,FALSE))/10,IF(IndividualLATest!$J$7=2016,(VLOOKUP($A322,Hshldprojections2016!$A$1:$AQ$322,36,FALSE)-VLOOKUP($A322,Hshldprojections2016!$A$1:$AQ$322,26,FALSE))/10,(VLOOKUP($A322,Hshldprojections2018!$A$1:$AQ$327,36,FALSE)-VLOOKUP($A322,Hshldprojections2018!$A$1:$AQ$327,26,FALSE))/10))</f>
        <v>833.4</v>
      </c>
      <c r="AH322" s="267">
        <f>IF(IndividualLATest!$J$7=2014,(VLOOKUP($A322,Hshldprojections2014!$A$2:$AY$326,47,FALSE)-VLOOKUP($A322,Hshldprojections2014!$A$2:$AY$326,37,FALSE))/10,IF(IndividualLATest!$J$7=2016,(VLOOKUP($A322,Hshldprojections2016!$A$1:$AQ$322,37,FALSE)-VLOOKUP($A322,Hshldprojections2016!$A$1:$AQ$322,27,FALSE))/10,(VLOOKUP($A322,Hshldprojections2018!$A$1:$AQ$327,37,FALSE)-VLOOKUP($A322,Hshldprojections2018!$A$1:$AQ$327,27,FALSE))/10))</f>
        <v>822.1</v>
      </c>
      <c r="AI322" s="268">
        <f>IF(ISNUMBER('Sensitivity Tests'!$C$30),'Sensitivity Tests'!$C$30,VLOOKUP($A322,AffordabilityRatio!$A$2:$I$321,5,FALSE))</f>
        <v>6.3299999999999992</v>
      </c>
      <c r="AJ322" s="268">
        <f>IF(ISNUMBER('Sensitivity Tests'!$C$30),'Sensitivity Tests'!$C$30,VLOOKUP($A322,AffordabilityRatio!$A$2:$I$321,6,FALSE))</f>
        <v>6.3900000000000006</v>
      </c>
      <c r="AK322" s="268">
        <f>IF(ISNUMBER('Sensitivity Tests'!$C$30),'Sensitivity Tests'!$C$30,VLOOKUP($A322,AffordabilityRatio!$A$2:$I$321,7,FALSE))</f>
        <v>6.5999999999999988</v>
      </c>
      <c r="AL322" s="268">
        <f>IF(ISNUMBER('Sensitivity Tests'!$C$30),'Sensitivity Tests'!$C$30,IF((VLOOKUP($A322,AffordabilityRatio!$A$2:$I$321,8,FALSE))="",AK322,VLOOKUP($A322,AffordabilityRatio!$A$2:$I$321,8,FALSE)))</f>
        <v>6.2899999999999991</v>
      </c>
      <c r="AM322" s="268">
        <f>IF(ISNUMBER('Sensitivity Tests'!$C$30),'Sensitivity Tests'!$C$30,IF((VLOOKUP($A322,AffordabilityRatio!$A$2:$I$321,9,FALSE))="",AL322,VLOOKUP($A322,AffordabilityRatio!$A$2:$I$321,9,FALSE)))</f>
        <v>6.9933333333333332</v>
      </c>
      <c r="AN322" s="268">
        <f>IF(ISNUMBER('Sensitivity Tests'!$C$30),'Sensitivity Tests'!$C$30,IF((VLOOKUP($A322,AffordabilityRatio!$A$2:$I$321,9,FALSE))="",AM322,VLOOKUP($A322,AffordabilityRatio!$A$2:$I$321,9,FALSE)))</f>
        <v>6.9933333333333332</v>
      </c>
      <c r="AO322" s="268">
        <f>IF(ISNUMBER('Sensitivity Tests'!$C$30),'Sensitivity Tests'!$C$30,IF((VLOOKUP($A322,AffordabilityRatio!$A$2:$I$321,9,FALSE))="",AN322,VLOOKUP($A322,AffordabilityRatio!$A$2:$I$321,9,FALSE)))</f>
        <v>6.9933333333333332</v>
      </c>
      <c r="AP322" s="268">
        <f>IF(ISNUMBER('Sensitivity Tests'!$C$30),'Sensitivity Tests'!$C$30,IF((VLOOKUP($A322,AffordabilityRatio!$A$2:$I$321,9,FALSE))="",AO322,VLOOKUP($A322,AffordabilityRatio!$A$2:$I$321,9,FALSE)))</f>
        <v>6.9933333333333332</v>
      </c>
      <c r="AQ322" s="267">
        <f t="shared" si="243"/>
        <v>1088</v>
      </c>
      <c r="AR322" s="267">
        <f t="shared" si="243"/>
        <v>1078</v>
      </c>
      <c r="AS322" s="267">
        <f t="shared" si="243"/>
        <v>1080</v>
      </c>
      <c r="AT322" s="267">
        <f t="shared" si="243"/>
        <v>978</v>
      </c>
      <c r="AU322" s="267">
        <f t="shared" si="243"/>
        <v>1016</v>
      </c>
      <c r="AV322" s="267">
        <f t="shared" si="243"/>
        <v>1008</v>
      </c>
      <c r="AW322" s="267">
        <f t="shared" si="243"/>
        <v>989</v>
      </c>
      <c r="AX322" s="267">
        <f t="shared" si="243"/>
        <v>976</v>
      </c>
      <c r="AY322" s="267">
        <f t="shared" si="218"/>
        <v>1088</v>
      </c>
      <c r="AZ322" s="267">
        <f t="shared" si="219"/>
        <v>1078</v>
      </c>
      <c r="BA322" s="267">
        <f t="shared" si="220"/>
        <v>1080</v>
      </c>
      <c r="BB322" s="267">
        <f t="shared" si="221"/>
        <v>978</v>
      </c>
      <c r="BC322" s="267">
        <f t="shared" si="222"/>
        <v>1016</v>
      </c>
      <c r="BD322" s="267">
        <f t="shared" si="223"/>
        <v>1008</v>
      </c>
      <c r="BE322" s="267">
        <f t="shared" si="224"/>
        <v>989</v>
      </c>
      <c r="BF322" s="267">
        <f t="shared" si="225"/>
        <v>976</v>
      </c>
      <c r="BG322" s="269">
        <f>AY322*VLOOKUP($B322,'Major Cities &amp; Towns'!$A$28:$B$345,2,FALSE)</f>
        <v>1088</v>
      </c>
      <c r="BH322" s="269">
        <f>AZ322*VLOOKUP($B322,'Major Cities &amp; Towns'!$A$28:$B$345,2,FALSE)</f>
        <v>1078</v>
      </c>
      <c r="BI322" s="269">
        <f>BA322*VLOOKUP($B322,'Major Cities &amp; Towns'!$A$28:$B$345,2,FALSE)</f>
        <v>1080</v>
      </c>
      <c r="BJ322" s="269">
        <f>BB322*VLOOKUP($B322,'Major Cities &amp; Towns'!$A$28:$B$345,2,FALSE)</f>
        <v>978</v>
      </c>
      <c r="BK322" s="269">
        <f>BC322*VLOOKUP($B322,'Major Cities &amp; Towns'!$A$28:$B$345,2,FALSE)</f>
        <v>1016</v>
      </c>
      <c r="BL322" s="269">
        <f>BD322*VLOOKUP($B322,'Major Cities &amp; Towns'!$A$28:$B$345,2,FALSE)</f>
        <v>1008</v>
      </c>
      <c r="BM322" s="269">
        <f>BE322*VLOOKUP($B322,'Major Cities &amp; Towns'!$A$28:$B$345,2,FALSE)</f>
        <v>989</v>
      </c>
      <c r="BN322" s="269">
        <f>BF322*VLOOKUP($B322,'Major Cities &amp; Towns'!$A$28:$B$345,2,FALSE)</f>
        <v>976</v>
      </c>
      <c r="BO322" s="270">
        <f t="shared" si="226"/>
        <v>1088</v>
      </c>
      <c r="BP322" s="270">
        <f t="shared" si="250"/>
        <v>1078</v>
      </c>
      <c r="BQ322" s="270">
        <f t="shared" si="250"/>
        <v>1080</v>
      </c>
      <c r="BR322" s="270">
        <f t="shared" si="250"/>
        <v>978</v>
      </c>
      <c r="BS322" s="270">
        <f t="shared" si="250"/>
        <v>1016</v>
      </c>
      <c r="BT322" s="270">
        <f t="shared" si="250"/>
        <v>1008</v>
      </c>
      <c r="BU322" s="270">
        <f t="shared" si="250"/>
        <v>989</v>
      </c>
      <c r="BV322" s="270">
        <f t="shared" si="249"/>
        <v>976</v>
      </c>
      <c r="BW322" s="39">
        <f>VLOOKUP($A322,NetAdditions!$A$2:$H$336,6,FALSE)</f>
        <v>1467</v>
      </c>
      <c r="BX322" s="39">
        <f>VLOOKUP($A322,NetAdditions!$A$2:$H$336,7,FALSE)</f>
        <v>1552</v>
      </c>
      <c r="BY322" s="39">
        <f>IF((VLOOKUP($C322,NetAdditions!$A$2:$H$336,8,FALSE))="",(AVERAGE(VLOOKUP($C322,NetAdditions!$A$2:$H$336,5,FALSE),VLOOKUP($C322,NetAdditions!$A$2:$H$336,6,FALSE),VLOOKUP($C322,NetAdditions!$A$2:$H$336,7,FALSE))),VLOOKUP($C322,NetAdditions!$A$2:$H$336,8,FALSE))</f>
        <v>1140</v>
      </c>
      <c r="BZ322" s="39">
        <f t="shared" si="244"/>
        <v>1386.3333333333333</v>
      </c>
      <c r="CA322" s="39">
        <f t="shared" si="244"/>
        <v>1359.4444444444443</v>
      </c>
      <c r="CB322" s="39">
        <f t="shared" si="244"/>
        <v>1295.2592592592591</v>
      </c>
      <c r="CC322" s="39">
        <f t="shared" si="244"/>
        <v>1347.0123456790122</v>
      </c>
      <c r="CD322" s="39">
        <f t="shared" si="244"/>
        <v>1333.9053497942386</v>
      </c>
      <c r="CE322" s="276">
        <f t="shared" si="202"/>
        <v>3246</v>
      </c>
      <c r="CF322" s="276">
        <f t="shared" si="203"/>
        <v>3136</v>
      </c>
      <c r="CG322" s="276">
        <f t="shared" si="204"/>
        <v>3074</v>
      </c>
      <c r="CH322" s="276">
        <f t="shared" si="205"/>
        <v>3002</v>
      </c>
      <c r="CI322" s="276">
        <f t="shared" si="206"/>
        <v>3013</v>
      </c>
      <c r="CJ322" s="276">
        <f t="shared" si="207"/>
        <v>2973</v>
      </c>
      <c r="CK322" s="276">
        <f t="shared" si="227"/>
        <v>2795.166666666667</v>
      </c>
      <c r="CL322" s="276">
        <f t="shared" si="228"/>
        <v>2700.4444444444448</v>
      </c>
      <c r="CM322" s="276">
        <f t="shared" si="229"/>
        <v>2817.833333333333</v>
      </c>
      <c r="CN322" s="276">
        <f t="shared" si="230"/>
        <v>3002</v>
      </c>
      <c r="CO322" s="276">
        <f t="shared" si="230"/>
        <v>3013</v>
      </c>
      <c r="CP322" s="276">
        <f t="shared" si="230"/>
        <v>2973</v>
      </c>
      <c r="CQ322" s="39">
        <f t="shared" si="208"/>
        <v>4159</v>
      </c>
      <c r="CR322" s="39">
        <f t="shared" si="209"/>
        <v>4078.333333333333</v>
      </c>
      <c r="CS322" s="277">
        <f t="shared" si="210"/>
        <v>3885.7777777777774</v>
      </c>
      <c r="CT322" s="39">
        <f t="shared" si="211"/>
        <v>4041.0370370370365</v>
      </c>
      <c r="CU322" s="39">
        <f t="shared" si="212"/>
        <v>4001.7160493827159</v>
      </c>
      <c r="CV322" s="39">
        <f t="shared" si="213"/>
        <v>3976.1769547325102</v>
      </c>
      <c r="CW322" s="297">
        <f t="shared" si="214"/>
        <v>1.4879255858326872</v>
      </c>
      <c r="CX322" s="279" t="str">
        <f t="shared" si="231"/>
        <v>Pass</v>
      </c>
      <c r="CY322" s="278">
        <f t="shared" si="215"/>
        <v>1.510245227123107</v>
      </c>
      <c r="CZ322" s="279" t="str">
        <f t="shared" si="232"/>
        <v>Pass</v>
      </c>
      <c r="DA322" s="278">
        <f t="shared" si="216"/>
        <v>1.3789948936338006</v>
      </c>
      <c r="DB322" s="292" t="str">
        <f t="shared" si="233"/>
        <v>Pass</v>
      </c>
      <c r="DC322" s="299">
        <f t="shared" si="234"/>
        <v>1.3461149357218642</v>
      </c>
      <c r="DD322" s="293" t="str">
        <f t="shared" si="235"/>
        <v>Pass</v>
      </c>
      <c r="DE322" s="299">
        <f t="shared" si="236"/>
        <v>1.3281500329846385</v>
      </c>
      <c r="DF322" s="293" t="str">
        <f t="shared" si="237"/>
        <v>Pass</v>
      </c>
      <c r="DG322" s="299">
        <f t="shared" si="238"/>
        <v>1.3374291808720182</v>
      </c>
      <c r="DH322" s="293" t="str">
        <f t="shared" si="239"/>
        <v>Pass</v>
      </c>
    </row>
    <row r="323" spans="1:112" ht="15" thickTop="1"/>
    <row r="325" spans="1:112">
      <c r="A325" s="34" t="s">
        <v>756</v>
      </c>
      <c r="B325" s="34"/>
      <c r="C325" s="34" t="s">
        <v>756</v>
      </c>
      <c r="D325" s="34"/>
      <c r="E325" s="34"/>
      <c r="F325" s="34"/>
      <c r="G325" s="34"/>
      <c r="H325" s="34"/>
      <c r="I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W325" s="34"/>
      <c r="BX325" s="34"/>
      <c r="BY325" s="34"/>
      <c r="BZ325" s="34"/>
      <c r="CA325" s="34"/>
      <c r="CB325" s="34"/>
      <c r="CC325" s="34"/>
      <c r="CD325" s="34"/>
      <c r="CE325" s="49"/>
      <c r="CF325" s="49"/>
      <c r="CG325" s="49"/>
      <c r="CH325" s="49"/>
      <c r="CI325" s="49"/>
      <c r="CJ325" s="49"/>
      <c r="CK325" s="49"/>
      <c r="CL325" s="49"/>
      <c r="CM325" s="49"/>
      <c r="CN325" s="49"/>
      <c r="CO325" s="49"/>
      <c r="CP325" s="49"/>
      <c r="CQ325" s="49"/>
      <c r="CR325" s="49"/>
      <c r="CS325" s="49"/>
      <c r="CT325" s="49"/>
      <c r="CU325" s="49"/>
      <c r="CV325" s="49"/>
      <c r="CW325" s="49"/>
      <c r="CY325" s="49"/>
      <c r="DA325" s="49"/>
    </row>
    <row r="326" spans="1:112">
      <c r="A326" s="34" t="s">
        <v>757</v>
      </c>
      <c r="B326" s="34"/>
      <c r="C326" s="34" t="s">
        <v>757</v>
      </c>
      <c r="D326" s="34"/>
      <c r="E326" s="34"/>
      <c r="F326" s="34"/>
      <c r="G326" s="34"/>
      <c r="H326" s="34"/>
      <c r="I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c r="AY326" s="34"/>
      <c r="AZ326" s="34"/>
      <c r="BA326" s="34"/>
      <c r="BB326" s="34"/>
      <c r="BC326" s="34"/>
      <c r="BD326" s="34"/>
      <c r="BE326" s="34"/>
      <c r="BF326" s="34"/>
      <c r="BG326" s="34"/>
      <c r="BH326" s="34"/>
      <c r="BI326" s="34"/>
      <c r="BJ326" s="34"/>
      <c r="BK326" s="34"/>
      <c r="BL326" s="34"/>
      <c r="BM326" s="34"/>
      <c r="BN326" s="34"/>
      <c r="BW326" s="34"/>
      <c r="BX326" s="34"/>
      <c r="BY326" s="34"/>
      <c r="BZ326" s="34"/>
      <c r="CA326" s="34"/>
      <c r="CB326" s="34"/>
      <c r="CC326" s="34"/>
      <c r="CD326" s="34"/>
      <c r="CE326" s="49"/>
      <c r="CF326" s="49"/>
      <c r="CG326" s="49"/>
      <c r="CH326" s="49"/>
      <c r="CI326" s="49"/>
      <c r="CJ326" s="49"/>
      <c r="CK326" s="49"/>
      <c r="CL326" s="49"/>
      <c r="CM326" s="49"/>
      <c r="CN326" s="49"/>
      <c r="CO326" s="49"/>
      <c r="CP326" s="49"/>
      <c r="CQ326" s="49"/>
      <c r="CR326" s="49"/>
      <c r="CS326" s="49"/>
      <c r="CT326" s="49"/>
      <c r="CU326" s="49"/>
      <c r="CV326" s="49"/>
      <c r="CW326" s="49"/>
      <c r="CY326" s="49"/>
      <c r="DA326" s="49"/>
    </row>
  </sheetData>
  <sheetProtection algorithmName="SHA-512" hashValue="ObfWc4q1mwEONL30lhwhlSgRPd5oVrsGXCGXhrAfSkY1xudZDS1Pcpfo7lrvWEGdKi19VqMSi4bBMG9XJ5+Xrw==" saltValue="bf4k1kd/oQ0tFqDqE8B7zg==" spinCount="100000" sheet="1" sort="0"/>
  <autoFilter ref="A4:DB322" xr:uid="{9594C367-358D-4124-B38C-2CB7AE964444}"/>
  <pageMargins left="0.25" right="0.25" top="0.75" bottom="0.75" header="0.3" footer="0.3"/>
  <pageSetup paperSize="8" scale="5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84C2-C95C-4930-8CE7-5239FFB4C5E2}">
  <sheetPr>
    <tabColor rgb="FF7030A0"/>
  </sheetPr>
  <dimension ref="A1:Y38"/>
  <sheetViews>
    <sheetView topLeftCell="A9" zoomScale="62" zoomScaleNormal="70" workbookViewId="0">
      <selection activeCell="AI18" sqref="AI18"/>
    </sheetView>
  </sheetViews>
  <sheetFormatPr defaultColWidth="9.36328125" defaultRowHeight="14"/>
  <cols>
    <col min="1" max="1" width="16.6328125" style="113" customWidth="1"/>
    <col min="2" max="2" width="45.54296875" style="116" customWidth="1"/>
    <col min="3" max="3" width="2.453125" style="113" customWidth="1"/>
    <col min="4" max="4" width="16.36328125" style="113" customWidth="1"/>
    <col min="5" max="5" width="29" style="113" customWidth="1"/>
    <col min="6" max="6" width="20.36328125" style="113" customWidth="1"/>
    <col min="7" max="8" width="15.6328125" style="113" customWidth="1"/>
    <col min="9" max="9" width="32" style="138" customWidth="1"/>
    <col min="10" max="11" width="32.453125" style="138" customWidth="1"/>
    <col min="12" max="12" width="33.08984375" style="138" customWidth="1"/>
    <col min="13" max="16" width="29" style="113" customWidth="1"/>
    <col min="17" max="19" width="15.36328125" style="113" customWidth="1"/>
    <col min="20" max="20" width="2.54296875" style="138" customWidth="1"/>
    <col min="21" max="21" width="19" style="113" customWidth="1"/>
    <col min="22" max="22" width="23.36328125" style="113" customWidth="1"/>
    <col min="23" max="16384" width="9.36328125" style="113"/>
  </cols>
  <sheetData>
    <row r="1" spans="1:22">
      <c r="A1" s="96"/>
      <c r="B1" s="101"/>
      <c r="C1" s="96"/>
      <c r="D1" s="96"/>
      <c r="E1" s="96"/>
      <c r="F1" s="96"/>
      <c r="G1" s="96"/>
      <c r="H1" s="96"/>
      <c r="I1" s="136"/>
      <c r="J1" s="136"/>
      <c r="K1" s="136"/>
      <c r="L1" s="136"/>
      <c r="M1" s="96"/>
      <c r="N1" s="96"/>
      <c r="O1" s="96"/>
      <c r="P1" s="96"/>
      <c r="Q1" s="96"/>
      <c r="R1" s="96"/>
      <c r="S1" s="96"/>
      <c r="T1" s="136"/>
      <c r="U1" s="112" t="s">
        <v>758</v>
      </c>
      <c r="V1" s="112">
        <v>2014</v>
      </c>
    </row>
    <row r="2" spans="1:22">
      <c r="A2" s="96"/>
      <c r="B2" s="61" t="s">
        <v>31</v>
      </c>
      <c r="C2" s="96"/>
      <c r="D2" s="96" t="str">
        <f>VLOOKUP(D3,'Calculations (All)'!B5:C322,2,FALSE)</f>
        <v>E07000223</v>
      </c>
      <c r="E2" s="96"/>
      <c r="F2" s="96"/>
      <c r="G2" s="96"/>
      <c r="H2" s="96"/>
      <c r="I2" s="136"/>
      <c r="J2" s="136"/>
      <c r="K2" s="136"/>
      <c r="L2" s="136"/>
      <c r="M2" s="96"/>
      <c r="N2" s="96"/>
      <c r="O2" s="96"/>
      <c r="P2" s="96"/>
      <c r="Q2" s="96"/>
      <c r="R2" s="96"/>
      <c r="S2" s="96"/>
      <c r="T2" s="136"/>
      <c r="U2" s="112"/>
      <c r="V2" s="112">
        <v>2016</v>
      </c>
    </row>
    <row r="3" spans="1:22">
      <c r="A3" s="96"/>
      <c r="B3" s="61" t="s">
        <v>759</v>
      </c>
      <c r="C3" s="96"/>
      <c r="D3" s="324" t="str">
        <f>'Sensitivity Tests'!D4</f>
        <v>Adur</v>
      </c>
      <c r="E3" s="114"/>
      <c r="F3" s="96"/>
      <c r="G3" s="96"/>
      <c r="H3" s="96"/>
      <c r="I3" s="136"/>
      <c r="J3" s="136"/>
      <c r="K3" s="136"/>
      <c r="L3" s="136"/>
      <c r="M3" s="96"/>
      <c r="N3" s="96"/>
      <c r="O3" s="96"/>
      <c r="P3" s="96"/>
      <c r="Q3" s="96"/>
      <c r="R3" s="96"/>
      <c r="S3" s="96"/>
      <c r="T3" s="136"/>
      <c r="U3" s="96"/>
      <c r="V3" s="112">
        <v>2018</v>
      </c>
    </row>
    <row r="4" spans="1:22">
      <c r="A4" s="96"/>
      <c r="B4" s="101"/>
      <c r="C4" s="96"/>
      <c r="D4" s="96"/>
      <c r="E4" s="96"/>
      <c r="F4" s="96"/>
      <c r="G4" s="96"/>
      <c r="H4" s="96"/>
      <c r="I4" s="136"/>
      <c r="J4" s="136"/>
      <c r="K4" s="136"/>
      <c r="L4" s="136"/>
      <c r="M4" s="96"/>
      <c r="N4" s="96"/>
      <c r="O4" s="96"/>
      <c r="P4" s="96"/>
      <c r="Q4" s="96"/>
      <c r="R4" s="96"/>
      <c r="S4" s="96"/>
      <c r="T4" s="136"/>
      <c r="U4" s="96"/>
      <c r="V4" s="96"/>
    </row>
    <row r="5" spans="1:22" ht="28">
      <c r="A5" s="96"/>
      <c r="B5" s="115" t="s">
        <v>760</v>
      </c>
      <c r="C5" s="96"/>
      <c r="D5" s="127">
        <f>IF(ISNUMBER('Sensitivity Tests'!$C$32),'Sensitivity Tests'!$C$32,VLOOKUP(D2,'Calculations (All) Sensitivity'!C5:I322,6,FALSE))</f>
        <v>43083</v>
      </c>
      <c r="E5" s="114"/>
      <c r="F5" s="96"/>
      <c r="G5" s="96"/>
      <c r="H5" s="96"/>
      <c r="I5" s="136"/>
      <c r="J5" s="136"/>
      <c r="K5" s="136"/>
      <c r="L5" s="136"/>
      <c r="M5" s="96"/>
      <c r="N5" s="96"/>
      <c r="O5" s="96"/>
      <c r="P5" s="96"/>
      <c r="Q5" s="96"/>
      <c r="R5" s="96"/>
      <c r="S5" s="96"/>
      <c r="T5" s="136"/>
      <c r="U5" s="96"/>
      <c r="V5" s="96"/>
    </row>
    <row r="6" spans="1:22">
      <c r="A6" s="96"/>
      <c r="B6" s="101"/>
      <c r="C6" s="96"/>
      <c r="D6" s="96"/>
      <c r="E6" s="96"/>
      <c r="F6" s="96"/>
      <c r="G6" s="96"/>
      <c r="H6" s="96"/>
      <c r="I6" s="136"/>
      <c r="J6" s="136"/>
      <c r="K6" s="136"/>
      <c r="L6" s="136"/>
      <c r="M6" s="96"/>
      <c r="N6" s="96"/>
      <c r="O6" s="96"/>
      <c r="P6" s="96"/>
      <c r="Q6" s="96"/>
      <c r="R6" s="96"/>
      <c r="S6" s="96"/>
      <c r="T6" s="136"/>
      <c r="U6" s="96"/>
      <c r="V6" s="96"/>
    </row>
    <row r="7" spans="1:22" ht="77.25" customHeight="1">
      <c r="A7" s="96"/>
      <c r="B7" s="115" t="s">
        <v>761</v>
      </c>
      <c r="C7" s="96"/>
      <c r="D7" s="325"/>
      <c r="E7" s="114"/>
      <c r="F7" s="102" t="s">
        <v>762</v>
      </c>
      <c r="G7" s="126">
        <f>IF(OR(D5&lt;&gt;"",D7&lt;&gt;""),MAX(D5,D7),"")</f>
        <v>43083</v>
      </c>
      <c r="H7" s="96"/>
      <c r="I7" s="159" t="s">
        <v>774</v>
      </c>
      <c r="J7" s="326" t="str">
        <f>IF(ISNUMBER('Sensitivity Tests'!C48),'Sensitivity Tests'!C48,"2014")</f>
        <v>2014</v>
      </c>
      <c r="K7" s="195"/>
      <c r="L7" s="136"/>
      <c r="M7" s="96"/>
      <c r="N7" s="96"/>
      <c r="O7" s="96"/>
      <c r="P7" s="96"/>
      <c r="Q7" s="96"/>
      <c r="R7" s="96"/>
      <c r="S7" s="96"/>
      <c r="T7" s="136"/>
      <c r="U7" s="96"/>
      <c r="V7" s="96"/>
    </row>
    <row r="8" spans="1:22">
      <c r="A8" s="96"/>
      <c r="B8" s="101"/>
      <c r="C8" s="96"/>
      <c r="D8" s="96"/>
      <c r="E8" s="96"/>
      <c r="F8" s="96"/>
      <c r="G8" s="96"/>
      <c r="H8" s="96"/>
      <c r="I8" s="136"/>
      <c r="J8" s="136"/>
      <c r="K8" s="136"/>
      <c r="L8" s="136"/>
      <c r="M8" s="96"/>
      <c r="N8" s="96"/>
      <c r="O8" s="96"/>
      <c r="P8" s="96"/>
      <c r="Q8" s="96"/>
      <c r="R8" s="96"/>
      <c r="S8" s="96"/>
      <c r="T8" s="136"/>
      <c r="U8" s="96"/>
      <c r="V8" s="96"/>
    </row>
    <row r="9" spans="1:22" s="116" customFormat="1" ht="65.25" customHeight="1" thickBot="1">
      <c r="A9" s="101"/>
      <c r="B9" s="101"/>
      <c r="C9" s="101"/>
      <c r="D9" s="415" t="s">
        <v>763</v>
      </c>
      <c r="E9" s="415"/>
      <c r="F9" s="415"/>
      <c r="G9" s="415" t="s">
        <v>4698</v>
      </c>
      <c r="H9" s="415"/>
      <c r="I9" s="415"/>
      <c r="J9" s="415"/>
      <c r="K9" s="415"/>
      <c r="L9" s="415"/>
      <c r="M9" s="415" t="s">
        <v>767</v>
      </c>
      <c r="N9" s="415"/>
      <c r="O9" s="415"/>
      <c r="P9" s="415"/>
      <c r="Q9" s="415"/>
      <c r="R9" s="415"/>
      <c r="S9" s="415"/>
      <c r="T9" s="415"/>
      <c r="U9" s="415"/>
      <c r="V9" s="415"/>
    </row>
    <row r="10" spans="1:22" ht="71.25" customHeight="1" thickTop="1" thickBot="1">
      <c r="A10" s="96"/>
      <c r="B10" s="115"/>
      <c r="C10" s="101"/>
      <c r="D10" s="144">
        <f>IF(ISNUMBER('Sensitivity Tests'!$C$34),'Sensitivity Tests'!$C$34,IF(ISNUMBER(VLOOKUP(D2,'Calculations (All) Sensitivity'!A4:J322,10,FALSE)),VLOOKUP(D2,'Calculations (All) Sensitivity'!A4:J322,10,FALSE),"-"))</f>
        <v>177.04761904761904</v>
      </c>
      <c r="E10" s="143" t="s">
        <v>771</v>
      </c>
      <c r="F10" s="125" t="s">
        <v>768</v>
      </c>
      <c r="G10" s="129" t="s">
        <v>769</v>
      </c>
      <c r="H10" s="129" t="s">
        <v>770</v>
      </c>
      <c r="I10" s="189" t="s">
        <v>4696</v>
      </c>
      <c r="J10" s="190" t="s">
        <v>4695</v>
      </c>
      <c r="K10" s="194" t="s">
        <v>4700</v>
      </c>
      <c r="L10" s="190" t="s">
        <v>4697</v>
      </c>
      <c r="M10" s="156" t="s">
        <v>4683</v>
      </c>
      <c r="N10" s="157" t="s">
        <v>764</v>
      </c>
      <c r="O10" s="158" t="s">
        <v>765</v>
      </c>
      <c r="P10" s="282" t="s">
        <v>766</v>
      </c>
      <c r="Q10" s="154" t="s">
        <v>772</v>
      </c>
      <c r="R10" s="191" t="s">
        <v>4699</v>
      </c>
      <c r="S10" s="150" t="s">
        <v>773</v>
      </c>
      <c r="T10" s="160"/>
      <c r="U10" s="164" t="s">
        <v>4689</v>
      </c>
      <c r="V10" s="164" t="s">
        <v>4691</v>
      </c>
    </row>
    <row r="11" spans="1:22" s="98" customFormat="1" ht="138" customHeight="1" thickTop="1" thickBot="1">
      <c r="B11" s="104"/>
      <c r="C11" s="97"/>
      <c r="D11" s="141"/>
      <c r="E11" s="139"/>
      <c r="F11" s="139" t="s">
        <v>775</v>
      </c>
      <c r="G11" s="99" t="str">
        <f>IF(J7=2014,"Uses: 2014 projections for all years",IF(J7=2016,"Uses: 2014 projections for 18/19, 19/20, and 20/21, 2016 projections for all other years","Uses: 2014 projections for 18/19, 19/20, and 20/21, 2018 projections for all other years"))</f>
        <v>Uses: 2014 projections for 18/19, 19/20, and 20/21, 2018 projections for all other years</v>
      </c>
      <c r="H11" s="99" t="s">
        <v>776</v>
      </c>
      <c r="I11" s="137" t="s">
        <v>777</v>
      </c>
      <c r="J11" s="137" t="s">
        <v>778</v>
      </c>
      <c r="K11" s="137" t="s">
        <v>4701</v>
      </c>
      <c r="L11" s="137" t="s">
        <v>779</v>
      </c>
      <c r="M11" s="100" t="s">
        <v>4684</v>
      </c>
      <c r="N11" s="103" t="s">
        <v>781</v>
      </c>
      <c r="O11" s="100" t="s">
        <v>782</v>
      </c>
      <c r="P11" s="100" t="s">
        <v>783</v>
      </c>
      <c r="Q11" s="97" t="s">
        <v>4687</v>
      </c>
      <c r="R11" s="100" t="s">
        <v>780</v>
      </c>
      <c r="S11" s="97" t="s">
        <v>4688</v>
      </c>
      <c r="T11" s="161"/>
      <c r="U11" s="97" t="s">
        <v>4690</v>
      </c>
      <c r="V11" s="97" t="s">
        <v>4692</v>
      </c>
    </row>
    <row r="12" spans="1:22" s="118" customFormat="1" ht="36" customHeight="1" thickTop="1" thickBot="1">
      <c r="A12" s="149">
        <v>43191</v>
      </c>
      <c r="B12" s="117" t="s">
        <v>784</v>
      </c>
      <c r="C12" s="105"/>
      <c r="D12" s="140">
        <f>$D$10</f>
        <v>177.04761904761904</v>
      </c>
      <c r="E12" s="140">
        <f>IFERROR(((EDATE($G$7,60))-A12),"-")</f>
        <v>1718</v>
      </c>
      <c r="F12" s="142">
        <f>IF(AND(ISNUMBER(G$7),ISNUMBER(D12)),IF((G$7-A12&gt;0),D12,IF(DATEDIF(G$7,A12,"y")&lt;5,D12,"-")),"-")</f>
        <v>177.04761904761904</v>
      </c>
      <c r="G12" s="130">
        <f>(VLOOKUP($D$2,Hshldprojections2014!$A$1:$AY$328,40,FALSE)-VLOOKUP($D$2,Hshldprojections2014!$A$1:$AY$328,30,FALSE))/10</f>
        <v>305.5</v>
      </c>
      <c r="H12" s="145">
        <f>IF(ISNUMBER('Sensitivity Tests'!$C$30),'Sensitivity Tests'!$C$30,VLOOKUP(D$2,AffordabilityRatio!$A$2:$I$321,5,FALSE))</f>
        <v>11.59</v>
      </c>
      <c r="I12" s="131">
        <f>IF(G12&lt;0,0,IF(H12&gt;4,ROUND((1+((H12-4)/4*0.25))*G12,0),G12))</f>
        <v>450</v>
      </c>
      <c r="J12" s="131">
        <f>IF(F12="-",MIN((MAX($D$10, G12)+((MAX($D$10, G12))*0.4)),I12),MIN(F12+(F12*0.4),I12))</f>
        <v>247.86666666666667</v>
      </c>
      <c r="K12" s="131">
        <f>J12*VLOOKUP($D$3,'Major Cities &amp; Towns'!$A$28:$B$345,2,FALSE)</f>
        <v>247.86666666666667</v>
      </c>
      <c r="L12" s="131">
        <f>IFERROR(IF(AND(E12&lt;365,E12&gt;0),SUM(((E12/365)*(MIN(F12,K12)))+(((365-E12)/365)*I12)),(MIN(F12,I12))),I12)</f>
        <v>177.04761904761904</v>
      </c>
      <c r="M12" s="153" t="str">
        <f>IF(AND(E12&lt;365,E12&gt;0),"Apportioned",IF(F12&lt;K12,"Adopted Housing Requirment","Minimum Local Housing Need"))</f>
        <v>Adopted Housing Requirment</v>
      </c>
      <c r="N12" s="111">
        <f>VLOOKUP(D$2,NetAdditions!$A$2:$H$336,6,FALSE)</f>
        <v>113</v>
      </c>
      <c r="O12" s="327"/>
      <c r="P12" s="327"/>
      <c r="Q12" s="106"/>
      <c r="R12" s="106"/>
      <c r="S12" s="106"/>
      <c r="T12" s="162"/>
      <c r="U12" s="107"/>
      <c r="V12" s="107"/>
    </row>
    <row r="13" spans="1:22" ht="36" customHeight="1" thickTop="1" thickBot="1">
      <c r="A13" s="149">
        <v>43556</v>
      </c>
      <c r="B13" s="101" t="s">
        <v>785</v>
      </c>
      <c r="C13" s="97"/>
      <c r="D13" s="140">
        <f t="shared" ref="D13:D20" si="0">$D$10</f>
        <v>177.04761904761904</v>
      </c>
      <c r="E13" s="140">
        <f t="shared" ref="E13:E20" si="1">IFERROR(((EDATE($G$7,60))-A13),"-")</f>
        <v>1353</v>
      </c>
      <c r="F13" s="142">
        <f t="shared" ref="F13:F20" si="2">IF(AND(ISNUMBER(G$7),ISNUMBER(D13)),IF((G$7-A13&gt;0),D13,IF(DATEDIF(G$7,A13,"y")&lt;5,D13,"-")),"-")</f>
        <v>177.04761904761904</v>
      </c>
      <c r="G13" s="130">
        <f>(VLOOKUP($D$2,Hshldprojections2014!$A$1:$AY$328,41,FALSE)-VLOOKUP($D$2,Hshldprojections2014!$A$1:$AY$328,31,FALSE))/10</f>
        <v>308.8</v>
      </c>
      <c r="H13" s="145">
        <f>IF(ISNUMBER('Sensitivity Tests'!$C$30),'Sensitivity Tests'!$C$30,VLOOKUP(D$2,AffordabilityRatio!$A$2:$I$321,6,FALSE))</f>
        <v>11.81</v>
      </c>
      <c r="I13" s="131">
        <f t="shared" ref="I13:I20" si="3">IF(G13&lt;0,0,IF(H13&gt;4,ROUND((1+((H13-4)/4*0.25))*G13,0),G13))</f>
        <v>460</v>
      </c>
      <c r="J13" s="131">
        <f t="shared" ref="J13:J20" si="4">IF(F13="-",MIN((MAX($D$10, G13)+((MAX($D$10, G13))*0.4)),I13),MIN(F13+(F13*0.4),I13))</f>
        <v>247.86666666666667</v>
      </c>
      <c r="K13" s="131">
        <f>J13*VLOOKUP($D$3,'Major Cities &amp; Towns'!$A$28:$B$345,2,FALSE)</f>
        <v>247.86666666666667</v>
      </c>
      <c r="L13" s="131">
        <f>IFERROR(IF(AND(E13&lt;365,E13&gt;0),SUM(((E13/365)*(MIN(F13,K13)))+(((365-E13)/365)*I13)),(MIN(F13,I13))),I13)</f>
        <v>177.04761904761904</v>
      </c>
      <c r="M13" s="153" t="str">
        <f t="shared" ref="M13:M20" si="5">IF(AND(E13&lt;365,E13&gt;0),"Apportioned",IF(F13&lt;K13,"Adopted Housing Requirment","Minimum Local Housing Need"))</f>
        <v>Adopted Housing Requirment</v>
      </c>
      <c r="N13" s="111">
        <f>VLOOKUP(D$2,NetAdditions!$A$2:$H$336,7,FALSE)</f>
        <v>13</v>
      </c>
      <c r="O13" s="327"/>
      <c r="P13" s="327"/>
      <c r="Q13" s="106"/>
      <c r="R13" s="106"/>
      <c r="S13" s="106"/>
      <c r="T13" s="162"/>
      <c r="U13" s="107"/>
      <c r="V13" s="107"/>
    </row>
    <row r="14" spans="1:22" ht="36" customHeight="1" thickTop="1" thickBot="1">
      <c r="A14" s="149">
        <v>43922</v>
      </c>
      <c r="B14" s="101" t="s">
        <v>786</v>
      </c>
      <c r="C14" s="97"/>
      <c r="D14" s="140">
        <f t="shared" si="0"/>
        <v>177.04761904761904</v>
      </c>
      <c r="E14" s="140">
        <f t="shared" si="1"/>
        <v>987</v>
      </c>
      <c r="F14" s="142">
        <f t="shared" si="2"/>
        <v>177.04761904761904</v>
      </c>
      <c r="G14" s="130">
        <f>(VLOOKUP($D$2,Hshldprojections2014!$A$1:$AY$328,42,FALSE)-VLOOKUP($D$2,Hshldprojections2014!$A$1:$AY$328,32,FALSE))/10</f>
        <v>312.5</v>
      </c>
      <c r="H14" s="145">
        <f>IF(ISNUMBER('Sensitivity Tests'!$C$30),'Sensitivity Tests'!$C$30,VLOOKUP(D$2,AffordabilityRatio!$A$2:$I$321,7,FALSE))</f>
        <v>11.49</v>
      </c>
      <c r="I14" s="131">
        <f t="shared" si="3"/>
        <v>459</v>
      </c>
      <c r="J14" s="131">
        <f t="shared" si="4"/>
        <v>247.86666666666667</v>
      </c>
      <c r="K14" s="131">
        <f>J14*VLOOKUP($D$3,'Major Cities &amp; Towns'!$A$28:$B$345,2,FALSE)</f>
        <v>247.86666666666667</v>
      </c>
      <c r="L14" s="131">
        <f t="shared" ref="L14:L20" si="6">IFERROR(IF(AND(E14&lt;365,E14&gt;0),SUM(((E14/365)*(MIN(F14,K14)))+(((365-E14)/365)*I14)),(MIN(F14,I14))),I14)</f>
        <v>177.04761904761904</v>
      </c>
      <c r="M14" s="153" t="str">
        <f t="shared" si="5"/>
        <v>Adopted Housing Requirment</v>
      </c>
      <c r="N14" s="111">
        <f>IF((VLOOKUP(D$2,NetAdditions!$A$2:$H$336,8,FALSE))="",AVERAGE(VLOOKUP(D$2,NetAdditions!$A$2:$H$336,5,FALSE),VLOOKUP(D$2,NetAdditions!$A$2:$H$336,6,FALSE),VLOOKUP(D$2,NetAdditions!$A$2:$H$336,7,FALSE)),VLOOKUP(D$2,NetAdditions!$A$2:$H$336,8,FALSE))</f>
        <v>209</v>
      </c>
      <c r="O14" s="327"/>
      <c r="P14" s="327"/>
      <c r="Q14" s="106"/>
      <c r="R14" s="106"/>
      <c r="S14" s="106"/>
      <c r="T14" s="162"/>
      <c r="U14" s="107"/>
      <c r="V14" s="107"/>
    </row>
    <row r="15" spans="1:22" ht="36" customHeight="1" thickTop="1" thickBot="1">
      <c r="A15" s="149">
        <v>44287</v>
      </c>
      <c r="B15" s="101" t="s">
        <v>787</v>
      </c>
      <c r="C15" s="97"/>
      <c r="D15" s="140">
        <f t="shared" si="0"/>
        <v>177.04761904761904</v>
      </c>
      <c r="E15" s="140">
        <f t="shared" si="1"/>
        <v>622</v>
      </c>
      <c r="F15" s="142">
        <f t="shared" si="2"/>
        <v>177.04761904761904</v>
      </c>
      <c r="G15" s="130">
        <f>IF($J$7=2014,(VLOOKUP($D$2,Hshldprojections2014!$A$1:$AY$328,43,FALSE)-VLOOKUP($D$2,Hshldprojections2014!$A$1:$AY$328,33,FALSE))/10,IF($J$7=2016,(VLOOKUP($D$2,Hshldprojections2016!$A$1:$AQ$330,33,FALSE)-VLOOKUP($D$2,Hshldprojections2016!$A$1:$AQ$330,23,FALSE))/10,(VLOOKUP($D$2,Hshldprojections2018!$A$1:$AQ$335,33,FALSE)-VLOOKUP($D$2,Hshldprojections2018!$A$1:$AQ$335,23,FALSE))/10))</f>
        <v>155.19999999999999</v>
      </c>
      <c r="H15" s="145">
        <f>IF(ISNUMBER('Sensitivity Tests'!$C$30),'Sensitivity Tests'!$C$30,IF((VLOOKUP(D$2,AffordabilityRatio!$A$2:$I$321,8,FALSE))="",H14,VLOOKUP(D$2,AffordabilityRatio!$A$2:$I$321,8,FALSE)))</f>
        <v>11.52</v>
      </c>
      <c r="I15" s="131">
        <f t="shared" si="3"/>
        <v>228</v>
      </c>
      <c r="J15" s="131">
        <f t="shared" si="4"/>
        <v>228</v>
      </c>
      <c r="K15" s="131">
        <f>J15*VLOOKUP($D$3,'Major Cities &amp; Towns'!$A$28:$B$345,2,FALSE)</f>
        <v>228</v>
      </c>
      <c r="L15" s="131">
        <f t="shared" si="6"/>
        <v>177.04761904761904</v>
      </c>
      <c r="M15" s="153" t="str">
        <f t="shared" si="5"/>
        <v>Adopted Housing Requirment</v>
      </c>
      <c r="N15" s="111">
        <f>IF(ISNUMBER('Sensitivity Tests'!$C$36),'Sensitivity Tests'!$C$36,AVERAGE(N12:N14))</f>
        <v>111.66666666666667</v>
      </c>
      <c r="O15" s="327"/>
      <c r="P15" s="327"/>
      <c r="Q15" s="155">
        <f>L14+L13+L12</f>
        <v>531.14285714285711</v>
      </c>
      <c r="R15" s="155">
        <f>Q15*((24+7)/36)</f>
        <v>457.37301587301585</v>
      </c>
      <c r="S15" s="188">
        <f>N12+N13+N14+(O14/2.5)+(P14/1.8)</f>
        <v>335</v>
      </c>
      <c r="T15" s="163"/>
      <c r="U15" s="147">
        <f>S15/R15</f>
        <v>0.7324437349251246</v>
      </c>
      <c r="V15" s="147" t="str">
        <f>IF(U15&lt;0.75, "Presumption", IF(U15&lt;0.85, "Buffer and Action Plan", IF(U15&lt;0.95, "Action Plan", "Pass")))</f>
        <v>Presumption</v>
      </c>
    </row>
    <row r="16" spans="1:22" ht="36" customHeight="1" thickTop="1" thickBot="1">
      <c r="A16" s="149">
        <v>44652</v>
      </c>
      <c r="B16" s="101" t="s">
        <v>788</v>
      </c>
      <c r="C16" s="97"/>
      <c r="D16" s="140">
        <f t="shared" si="0"/>
        <v>177.04761904761904</v>
      </c>
      <c r="E16" s="140">
        <f t="shared" si="1"/>
        <v>257</v>
      </c>
      <c r="F16" s="142">
        <f t="shared" si="2"/>
        <v>177.04761904761904</v>
      </c>
      <c r="G16" s="130">
        <f>IF($J$7=2014,(VLOOKUP($D$2,Hshldprojections2014!$A$1:$AY$328,44,FALSE)-VLOOKUP($D$2,Hshldprojections2014!$A$1:$AY$328,34,FALSE))/10,IF($J$7=2016,(VLOOKUP($D$2,Hshldprojections2016!$A$1:$AQ$330,34,FALSE)-VLOOKUP($D$2,Hshldprojections2016!$A$1:$AQ$330,24,FALSE))/10,(VLOOKUP($D$2,Hshldprojections2018!$A$1:$AQ$335,34,FALSE)-VLOOKUP($D$2,Hshldprojections2018!$A$1:$AQ$335,24,FALSE))/10))</f>
        <v>154.6</v>
      </c>
      <c r="H16" s="145">
        <f>IF(ISNUMBER('Sensitivity Tests'!$C$30),'Sensitivity Tests'!$C$30,IF((VLOOKUP(D$2,AffordabilityRatio!$A$2:$I$321,9,FALSE))="",H15,VLOOKUP(D$2,AffordabilityRatio!$A$2:$I$321,9,FALSE)))</f>
        <v>13.41</v>
      </c>
      <c r="I16" s="131">
        <f t="shared" si="3"/>
        <v>246</v>
      </c>
      <c r="J16" s="131">
        <f t="shared" si="4"/>
        <v>246</v>
      </c>
      <c r="K16" s="131">
        <f>J16*VLOOKUP($D$3,'Major Cities &amp; Towns'!$A$28:$B$345,2,FALSE)</f>
        <v>246</v>
      </c>
      <c r="L16" s="131">
        <f t="shared" si="6"/>
        <v>197.44996738421395</v>
      </c>
      <c r="M16" s="153" t="str">
        <f t="shared" si="5"/>
        <v>Apportioned</v>
      </c>
      <c r="N16" s="111">
        <f>IF(ISNUMBER('Sensitivity Tests'!$C$38),'Sensitivity Tests'!$C$38,AVERAGE(N13:N15))</f>
        <v>111.22222222222223</v>
      </c>
      <c r="O16" s="327"/>
      <c r="P16" s="327"/>
      <c r="Q16" s="155">
        <f t="shared" ref="Q16:Q20" si="7">L15+L14+L13</f>
        <v>531.14285714285711</v>
      </c>
      <c r="R16" s="155">
        <f>Q16*((24+7)/36)</f>
        <v>457.37301587301585</v>
      </c>
      <c r="S16" s="188">
        <f>N13+N14+(O14/2.5)+(P14/1.8)+N15+(O15/2.5)+(P15/1.8)</f>
        <v>333.66666666666669</v>
      </c>
      <c r="T16" s="163"/>
      <c r="U16" s="147">
        <f t="shared" ref="U16:U20" si="8">S16/R16</f>
        <v>0.729528535980149</v>
      </c>
      <c r="V16" s="147" t="str">
        <f t="shared" ref="V16:V20" si="9">IF(U16&lt;0.75, "Presumption", IF(U16&lt;0.85, "Buffer and Action Plan", IF(U16&lt;0.95, "Action Plan", "Pass")))</f>
        <v>Presumption</v>
      </c>
    </row>
    <row r="17" spans="1:25" ht="36" customHeight="1" thickTop="1" thickBot="1">
      <c r="A17" s="149">
        <v>45017</v>
      </c>
      <c r="B17" s="101" t="s">
        <v>789</v>
      </c>
      <c r="C17" s="97"/>
      <c r="D17" s="140">
        <f t="shared" si="0"/>
        <v>177.04761904761904</v>
      </c>
      <c r="E17" s="140">
        <f t="shared" si="1"/>
        <v>-108</v>
      </c>
      <c r="F17" s="142" t="str">
        <f t="shared" si="2"/>
        <v>-</v>
      </c>
      <c r="G17" s="130">
        <f>IF($J$7=2014,(VLOOKUP($D$2,Hshldprojections2014!$A$1:$AY$328,45,FALSE)-VLOOKUP($D$2,Hshldprojections2014!$A$1:$AY$328,35,FALSE))/10,IF($J$7=2016,(VLOOKUP($D$2,Hshldprojections2016!$A$1:$AQ$330,35,FALSE)-VLOOKUP($D$2,Hshldprojections2016!$A$1:$AQ$330,25,FALSE))/10,(VLOOKUP($D$2,Hshldprojections2018!$A$1:$AQ$335,35,FALSE)-VLOOKUP($D$2,Hshldprojections2018!$A$1:$AQ$335,25,FALSE))/10))</f>
        <v>153.30000000000001</v>
      </c>
      <c r="H17" s="145">
        <f>IF(ISNUMBER('Sensitivity Tests'!$C$30),'Sensitivity Tests'!$C$30,IF((VLOOKUP(D$2,AffordabilityRatio!$A$2:$I$321,9,FALSE))="",H16,VLOOKUP(D$2,AffordabilityRatio!$A$2:$I$321,9,FALSE)))</f>
        <v>13.41</v>
      </c>
      <c r="I17" s="131">
        <f t="shared" si="3"/>
        <v>243</v>
      </c>
      <c r="J17" s="131">
        <f t="shared" si="4"/>
        <v>243</v>
      </c>
      <c r="K17" s="131">
        <f>J17*VLOOKUP($D$3,'Major Cities &amp; Towns'!$A$28:$B$345,2,FALSE)</f>
        <v>243</v>
      </c>
      <c r="L17" s="131">
        <f t="shared" si="6"/>
        <v>243</v>
      </c>
      <c r="M17" s="153" t="str">
        <f t="shared" si="5"/>
        <v>Minimum Local Housing Need</v>
      </c>
      <c r="N17" s="111">
        <f>IF(ISNUMBER('Sensitivity Tests'!$C$40),'Sensitivity Tests'!$C$40,AVERAGE(N14:N16))</f>
        <v>143.96296296296296</v>
      </c>
      <c r="O17" s="327"/>
      <c r="P17" s="327"/>
      <c r="Q17" s="155">
        <f t="shared" si="7"/>
        <v>551.54520547945208</v>
      </c>
      <c r="R17" s="155">
        <f>Q17*((24+9)/36)</f>
        <v>505.58310502283103</v>
      </c>
      <c r="S17" s="188">
        <f>N14+(O14/2.5)+(P14/1.8)+N15+(O15/2.5)+(P15/1.8)+N16+(O16/2.5)+(P16/1.8)</f>
        <v>431.88888888888891</v>
      </c>
      <c r="T17" s="163"/>
      <c r="U17" s="147">
        <f t="shared" si="8"/>
        <v>0.85423916384505327</v>
      </c>
      <c r="V17" s="147" t="str">
        <f t="shared" si="9"/>
        <v>Action Plan</v>
      </c>
    </row>
    <row r="18" spans="1:25" ht="36" customHeight="1" thickTop="1" thickBot="1">
      <c r="A18" s="149">
        <v>45383</v>
      </c>
      <c r="B18" s="101" t="s">
        <v>790</v>
      </c>
      <c r="C18" s="97"/>
      <c r="D18" s="140">
        <f t="shared" si="0"/>
        <v>177.04761904761904</v>
      </c>
      <c r="E18" s="140">
        <f t="shared" si="1"/>
        <v>-474</v>
      </c>
      <c r="F18" s="142" t="str">
        <f t="shared" si="2"/>
        <v>-</v>
      </c>
      <c r="G18" s="130">
        <f>IF($J$7=2014,(VLOOKUP($D$2,Hshldprojections2014!$A$1:$AY$328,46,FALSE)-VLOOKUP($D$2,Hshldprojections2014!$A$1:$AY$328,36,FALSE))/10,IF($J$7=2016,(VLOOKUP($D$2,Hshldprojections2016!$A$1:$AQ$330,36,FALSE)-VLOOKUP($D$2,Hshldprojections2016!$A$1:$AQ$330,26,FALSE))/10,(VLOOKUP($D$2,Hshldprojections2018!$A$1:$AQ$335,36,FALSE)-VLOOKUP($D$2,Hshldprojections2018!$A$1:$AQ$335,26,FALSE))/10))</f>
        <v>151.80000000000001</v>
      </c>
      <c r="H18" s="145">
        <f>IF(ISNUMBER('Sensitivity Tests'!$C$30),'Sensitivity Tests'!$C$30,IF((VLOOKUP(D$2,AffordabilityRatio!$A$2:$I$321,9,FALSE))="",H17,VLOOKUP(D$2,AffordabilityRatio!$A$2:$I$321,9,FALSE)))</f>
        <v>13.41</v>
      </c>
      <c r="I18" s="131">
        <f t="shared" si="3"/>
        <v>241</v>
      </c>
      <c r="J18" s="131">
        <f t="shared" si="4"/>
        <v>241</v>
      </c>
      <c r="K18" s="131">
        <f>J18*VLOOKUP($D$3,'Major Cities &amp; Towns'!$A$28:$B$345,2,FALSE)</f>
        <v>241</v>
      </c>
      <c r="L18" s="131">
        <f t="shared" si="6"/>
        <v>241</v>
      </c>
      <c r="M18" s="153" t="str">
        <f t="shared" si="5"/>
        <v>Minimum Local Housing Need</v>
      </c>
      <c r="N18" s="111">
        <f>IF(ISNUMBER('Sensitivity Tests'!$C$42),'Sensitivity Tests'!$C$42,AVERAGE(N15:N17))</f>
        <v>122.28395061728395</v>
      </c>
      <c r="O18" s="327"/>
      <c r="P18" s="327"/>
      <c r="Q18" s="155">
        <f t="shared" si="7"/>
        <v>617.49758643183304</v>
      </c>
      <c r="R18" s="155">
        <f>Q18</f>
        <v>617.49758643183304</v>
      </c>
      <c r="S18" s="188">
        <f>N15+(O15/2.5)+(P15/1.8)+N16+(O16/2.5)+(P16/1.8)+N17+(O17/2.5)+(P17/1.8)</f>
        <v>366.85185185185185</v>
      </c>
      <c r="T18" s="163"/>
      <c r="U18" s="147">
        <f t="shared" si="8"/>
        <v>0.59409438986098684</v>
      </c>
      <c r="V18" s="147" t="str">
        <f t="shared" si="9"/>
        <v>Presumption</v>
      </c>
    </row>
    <row r="19" spans="1:25" ht="36" customHeight="1" thickTop="1" thickBot="1">
      <c r="A19" s="149">
        <v>45748</v>
      </c>
      <c r="B19" s="101" t="s">
        <v>791</v>
      </c>
      <c r="C19" s="97"/>
      <c r="D19" s="140">
        <f t="shared" si="0"/>
        <v>177.04761904761904</v>
      </c>
      <c r="E19" s="140">
        <f t="shared" si="1"/>
        <v>-839</v>
      </c>
      <c r="F19" s="142" t="str">
        <f t="shared" si="2"/>
        <v>-</v>
      </c>
      <c r="G19" s="130">
        <f>IF($J$7=2014,(VLOOKUP($D$2,Hshldprojections2014!$A$1:$AY$328,47,FALSE)-VLOOKUP($D$2,Hshldprojections2014!$A$1:$AY$328,37,FALSE))/10,IF($J$7=2016,(VLOOKUP($D$2,Hshldprojections2016!$A$1:$AQ$330,37,FALSE)-VLOOKUP($D$2,Hshldprojections2016!$A$1:$AQ$330,27,FALSE))/10,(VLOOKUP($D$2,Hshldprojections2018!$A$1:$AQ$335,37,FALSE)-VLOOKUP($D$2,Hshldprojections2018!$A$1:$AQ$335,27,FALSE))/10))</f>
        <v>152.19999999999999</v>
      </c>
      <c r="H19" s="145">
        <f>IF(ISNUMBER('Sensitivity Tests'!$C$30),'Sensitivity Tests'!$C$30,IF((VLOOKUP(D$2,AffordabilityRatio!$A$2:$I$321,9,FALSE))="",H18,VLOOKUP(D$2,AffordabilityRatio!$A$2:$I$321,9,FALSE)))</f>
        <v>13.41</v>
      </c>
      <c r="I19" s="131">
        <f t="shared" si="3"/>
        <v>242</v>
      </c>
      <c r="J19" s="131">
        <f t="shared" si="4"/>
        <v>242</v>
      </c>
      <c r="K19" s="131">
        <f>J19*VLOOKUP($D$3,'Major Cities &amp; Towns'!$A$28:$B$345,2,FALSE)</f>
        <v>242</v>
      </c>
      <c r="L19" s="131">
        <f t="shared" si="6"/>
        <v>242</v>
      </c>
      <c r="M19" s="153" t="str">
        <f t="shared" si="5"/>
        <v>Minimum Local Housing Need</v>
      </c>
      <c r="N19" s="111">
        <f>IF(ISNUMBER('Sensitivity Tests'!$C$44),'Sensitivity Tests'!$C$44,AVERAGE(N16:N18))</f>
        <v>125.82304526748972</v>
      </c>
      <c r="O19" s="327"/>
      <c r="P19" s="327"/>
      <c r="Q19" s="155">
        <f t="shared" si="7"/>
        <v>681.44996738421401</v>
      </c>
      <c r="R19" s="155">
        <f t="shared" ref="R19:R20" si="10">Q19</f>
        <v>681.44996738421401</v>
      </c>
      <c r="S19" s="188">
        <f>N16+(O16/2.5)+(P16/1.8)+N17+(O17/2.5)+(P17/1.8)+N18+(O18/2.5)+(P18/1.8)</f>
        <v>377.46913580246917</v>
      </c>
      <c r="T19" s="163"/>
      <c r="U19" s="147">
        <f t="shared" si="8"/>
        <v>0.55392054276766167</v>
      </c>
      <c r="V19" s="147" t="str">
        <f t="shared" si="9"/>
        <v>Presumption</v>
      </c>
    </row>
    <row r="20" spans="1:25" ht="36" customHeight="1" thickTop="1" thickBot="1">
      <c r="A20" s="149">
        <v>46113</v>
      </c>
      <c r="B20" s="101" t="s">
        <v>792</v>
      </c>
      <c r="C20" s="97"/>
      <c r="D20" s="140">
        <f t="shared" si="0"/>
        <v>177.04761904761904</v>
      </c>
      <c r="E20" s="140">
        <f t="shared" si="1"/>
        <v>-1204</v>
      </c>
      <c r="F20" s="142" t="str">
        <f t="shared" si="2"/>
        <v>-</v>
      </c>
      <c r="G20" s="130">
        <f>IF($J$7=2014,(VLOOKUP($D$2,Hshldprojections2014!$A$1:$AY$328,48,FALSE)-VLOOKUP($D$2,Hshldprojections2014!$A$1:$AY$328,38,FALSE))/10,IF($J$7=2016,(VLOOKUP($D$2,Hshldprojections2016!$A$1:$AQ$330,38,FALSE)-VLOOKUP($D$2,Hshldprojections2016!$A$1:$AQ$330,28,FALSE))/10,(VLOOKUP($D$2,Hshldprojections2018!$A$1:$AQ$335,38,FALSE)-VLOOKUP($D$2,Hshldprojections2018!$A$1:$AQ$335,28,FALSE))/10))</f>
        <v>151.9</v>
      </c>
      <c r="H20" s="145">
        <f>IF(ISNUMBER('Sensitivity Tests'!$C$30),'Sensitivity Tests'!$C$30,IF((VLOOKUP(D$2,AffordabilityRatio!$A$2:$I$321,9,FALSE))="",H19,VLOOKUP(D$2,AffordabilityRatio!$A$2:$I$321,9,FALSE)))</f>
        <v>13.41</v>
      </c>
      <c r="I20" s="131">
        <f t="shared" si="3"/>
        <v>241</v>
      </c>
      <c r="J20" s="131">
        <f t="shared" si="4"/>
        <v>241</v>
      </c>
      <c r="K20" s="131">
        <f>J20*VLOOKUP($D$3,'Major Cities &amp; Towns'!$A$28:$B$345,2,FALSE)</f>
        <v>241</v>
      </c>
      <c r="L20" s="131">
        <f t="shared" si="6"/>
        <v>241</v>
      </c>
      <c r="M20" s="153" t="str">
        <f t="shared" si="5"/>
        <v>Minimum Local Housing Need</v>
      </c>
      <c r="N20" s="111">
        <f>IF(ISNUMBER('Sensitivity Tests'!$C$46),'Sensitivity Tests'!$C$46,AVERAGE(N17:N19))</f>
        <v>130.68998628257887</v>
      </c>
      <c r="O20" s="327"/>
      <c r="P20" s="327"/>
      <c r="Q20" s="155">
        <f t="shared" si="7"/>
        <v>726</v>
      </c>
      <c r="R20" s="155">
        <f t="shared" si="10"/>
        <v>726</v>
      </c>
      <c r="S20" s="188">
        <f>N17+(O17/2.5)+(P17/1.8)+N18+(O18/2.5)+(P18/1.8)+N19+(O19/2.5)+(P19/1.8)</f>
        <v>392.06995884773659</v>
      </c>
      <c r="T20" s="163"/>
      <c r="U20" s="147">
        <f t="shared" si="8"/>
        <v>0.54004126563049115</v>
      </c>
      <c r="V20" s="147" t="str">
        <f t="shared" si="9"/>
        <v>Presumption</v>
      </c>
    </row>
    <row r="21" spans="1:25" ht="14.5" thickTop="1">
      <c r="A21" s="96"/>
      <c r="B21" s="101"/>
      <c r="C21" s="96"/>
      <c r="D21" s="96"/>
      <c r="E21" s="96"/>
      <c r="F21" s="96"/>
      <c r="G21" s="96"/>
      <c r="H21" s="96"/>
      <c r="I21" s="136"/>
      <c r="J21" s="136"/>
      <c r="K21" s="136"/>
      <c r="L21" s="136"/>
      <c r="M21" s="96"/>
      <c r="N21" s="96"/>
      <c r="O21" s="96"/>
      <c r="P21" s="96"/>
      <c r="Q21" s="96"/>
      <c r="R21" s="96"/>
      <c r="S21" s="96"/>
      <c r="T21" s="136"/>
      <c r="U21" s="96"/>
      <c r="V21" s="96"/>
    </row>
    <row r="22" spans="1:25">
      <c r="A22" s="96"/>
      <c r="B22" s="101" t="s">
        <v>793</v>
      </c>
      <c r="C22" s="96"/>
      <c r="D22" s="416">
        <f>IFERROR(VLOOKUP(D2,'local-plan-data'!$C$1:$AD$566,19,FALSE),"")</f>
        <v>0</v>
      </c>
      <c r="E22" s="417"/>
      <c r="F22" s="417"/>
      <c r="G22" s="417"/>
      <c r="H22" s="418"/>
      <c r="I22" s="136"/>
      <c r="J22" s="136"/>
      <c r="K22" s="136"/>
      <c r="L22" s="136"/>
      <c r="M22" s="96"/>
      <c r="N22" s="96"/>
      <c r="O22" s="96"/>
      <c r="P22" s="96"/>
      <c r="Q22" s="96"/>
      <c r="R22" s="96"/>
      <c r="S22" s="96"/>
      <c r="T22" s="136"/>
      <c r="U22" s="96"/>
      <c r="V22" s="96"/>
    </row>
    <row r="23" spans="1:25">
      <c r="A23" s="96"/>
      <c r="B23" s="101"/>
      <c r="C23" s="96"/>
      <c r="D23" s="419"/>
      <c r="E23" s="420"/>
      <c r="F23" s="420"/>
      <c r="G23" s="420"/>
      <c r="H23" s="421"/>
      <c r="I23" s="136"/>
      <c r="J23" s="136"/>
      <c r="K23" s="136"/>
      <c r="L23" s="136"/>
      <c r="M23" s="96"/>
      <c r="N23" s="96"/>
      <c r="O23" s="96"/>
      <c r="P23" s="96"/>
      <c r="Q23" s="96"/>
      <c r="R23" s="96"/>
      <c r="S23" s="96"/>
      <c r="T23" s="136"/>
      <c r="U23" s="96"/>
      <c r="V23" s="96"/>
    </row>
    <row r="24" spans="1:25">
      <c r="A24" s="96"/>
      <c r="B24" s="101"/>
      <c r="C24" s="96"/>
      <c r="D24" s="422"/>
      <c r="E24" s="423"/>
      <c r="F24" s="423"/>
      <c r="G24" s="423"/>
      <c r="H24" s="424"/>
      <c r="I24" s="136"/>
      <c r="J24" s="136"/>
      <c r="K24" s="136"/>
      <c r="L24" s="136"/>
      <c r="M24" s="96"/>
      <c r="N24" s="96"/>
      <c r="O24" s="96"/>
      <c r="P24" s="96"/>
      <c r="Q24" s="96"/>
      <c r="R24" s="96"/>
      <c r="S24" s="96"/>
      <c r="T24" s="136"/>
      <c r="U24" s="165" t="s">
        <v>4693</v>
      </c>
      <c r="V24" s="166"/>
      <c r="W24" s="166"/>
      <c r="X24" s="166"/>
      <c r="Y24" s="167"/>
    </row>
    <row r="25" spans="1:25">
      <c r="U25" s="168"/>
      <c r="V25" s="169"/>
      <c r="W25" s="169"/>
      <c r="X25" s="169"/>
      <c r="Y25" s="170"/>
    </row>
    <row r="26" spans="1:25">
      <c r="U26" s="171" t="s">
        <v>4652</v>
      </c>
      <c r="V26" s="172"/>
      <c r="W26" s="172"/>
      <c r="X26" s="172"/>
      <c r="Y26" s="173"/>
    </row>
    <row r="27" spans="1:25">
      <c r="U27" s="171" t="s">
        <v>4653</v>
      </c>
      <c r="V27" s="172"/>
      <c r="W27" s="172"/>
      <c r="X27" s="172"/>
      <c r="Y27" s="173"/>
    </row>
    <row r="28" spans="1:25">
      <c r="C28" s="184"/>
      <c r="D28" s="185" t="s">
        <v>4694</v>
      </c>
      <c r="E28" s="177"/>
      <c r="F28" s="177"/>
      <c r="G28" s="178"/>
      <c r="U28" s="171" t="s">
        <v>4649</v>
      </c>
      <c r="V28" s="172"/>
      <c r="W28" s="172"/>
      <c r="X28" s="172"/>
      <c r="Y28" s="173"/>
    </row>
    <row r="29" spans="1:25">
      <c r="C29" s="186"/>
      <c r="D29" s="179"/>
      <c r="E29" s="179"/>
      <c r="F29" s="179"/>
      <c r="G29" s="180"/>
      <c r="U29" s="171" t="s">
        <v>4654</v>
      </c>
      <c r="V29" s="172"/>
      <c r="W29" s="172"/>
      <c r="X29" s="172"/>
      <c r="Y29" s="173"/>
    </row>
    <row r="30" spans="1:25">
      <c r="C30" s="186"/>
      <c r="D30" s="148"/>
      <c r="E30" s="181" t="s">
        <v>4679</v>
      </c>
      <c r="F30" s="179"/>
      <c r="G30" s="180"/>
      <c r="U30" s="171" t="s">
        <v>4650</v>
      </c>
      <c r="V30" s="172"/>
      <c r="W30" s="172"/>
      <c r="X30" s="172"/>
      <c r="Y30" s="173"/>
    </row>
    <row r="31" spans="1:25">
      <c r="C31" s="186"/>
      <c r="D31" s="133"/>
      <c r="E31" s="181" t="s">
        <v>4680</v>
      </c>
      <c r="F31" s="179"/>
      <c r="G31" s="180"/>
      <c r="U31" s="174" t="s">
        <v>4651</v>
      </c>
      <c r="V31" s="175"/>
      <c r="W31" s="175"/>
      <c r="X31" s="175"/>
      <c r="Y31" s="176"/>
    </row>
    <row r="32" spans="1:25">
      <c r="C32" s="186"/>
      <c r="D32" s="134"/>
      <c r="E32" s="181" t="s">
        <v>4682</v>
      </c>
      <c r="F32" s="179"/>
      <c r="G32" s="180"/>
    </row>
    <row r="33" spans="3:12">
      <c r="C33" s="186"/>
      <c r="D33" s="135"/>
      <c r="E33" s="181" t="s">
        <v>4681</v>
      </c>
      <c r="F33" s="179"/>
      <c r="G33" s="180"/>
      <c r="L33" s="192"/>
    </row>
    <row r="34" spans="3:12">
      <c r="C34" s="186"/>
      <c r="D34" s="152"/>
      <c r="E34" s="181" t="s">
        <v>4685</v>
      </c>
      <c r="F34" s="179"/>
      <c r="G34" s="180"/>
    </row>
    <row r="35" spans="3:12">
      <c r="C35" s="186"/>
      <c r="D35" s="151"/>
      <c r="E35" s="181" t="s">
        <v>4686</v>
      </c>
      <c r="F35" s="179"/>
      <c r="G35" s="180"/>
    </row>
    <row r="36" spans="3:12">
      <c r="C36" s="187"/>
      <c r="D36" s="132"/>
      <c r="E36" s="182"/>
      <c r="F36" s="182"/>
      <c r="G36" s="183"/>
    </row>
    <row r="38" spans="3:12">
      <c r="G38" s="124"/>
    </row>
  </sheetData>
  <sheetProtection algorithmName="SHA-512" hashValue="2b4OwggWP0FKIaco4I3lTbiFxen0KlZVfaiBTgoxt0yXYODYdkSl+lmLSnsbt95gKfNlyjHyToOZ5vs7MRl8Jg==" saltValue="GiBBvuKNrLplaVHhb2siOg==" spinCount="100000" sheet="1" selectLockedCells="1"/>
  <mergeCells count="4">
    <mergeCell ref="D9:F9"/>
    <mergeCell ref="G9:L9"/>
    <mergeCell ref="M9:V9"/>
    <mergeCell ref="D22:H24"/>
  </mergeCells>
  <dataValidations count="1">
    <dataValidation type="list" allowBlank="1" showInputMessage="1" showErrorMessage="1" sqref="K7" xr:uid="{3859D2C9-28F7-485A-A9C9-1C4E8B2E005F}">
      <formula1>$V$1:$V$3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798C9F4-B9C0-4D0C-B311-3595FDB5DF1C}">
          <x14:formula1>
            <xm:f>'Calculations (All)'!$B$5:$B$322</xm:f>
          </x14:formula1>
          <xm:sqref>D3:E3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0536-8889-4338-A020-D3BA44B79107}">
  <sheetPr>
    <tabColor theme="9" tint="-0.249977111117893"/>
  </sheetPr>
  <dimension ref="A1:T345"/>
  <sheetViews>
    <sheetView zoomScale="56" zoomScaleNormal="145" workbookViewId="0">
      <selection activeCell="B15" sqref="B15"/>
    </sheetView>
  </sheetViews>
  <sheetFormatPr defaultColWidth="8.90625" defaultRowHeight="14"/>
  <cols>
    <col min="1" max="1" width="16.08984375" style="16" customWidth="1"/>
    <col min="2" max="2" width="26.453125" style="16" customWidth="1"/>
    <col min="3" max="3" width="34.6328125" style="8" customWidth="1"/>
    <col min="4" max="16384" width="8.90625" style="8"/>
  </cols>
  <sheetData>
    <row r="1" spans="1:20">
      <c r="A1" s="23" t="s">
        <v>794</v>
      </c>
      <c r="B1" s="23" t="s">
        <v>795</v>
      </c>
      <c r="C1" s="9" t="s">
        <v>796</v>
      </c>
      <c r="D1" s="11"/>
      <c r="E1" s="11"/>
      <c r="F1" s="11"/>
      <c r="G1" s="11"/>
      <c r="H1" s="11"/>
      <c r="I1" s="11"/>
      <c r="J1" s="11"/>
      <c r="K1" s="11"/>
      <c r="L1" s="11"/>
      <c r="M1" s="11"/>
      <c r="N1" s="11"/>
      <c r="O1" s="11"/>
      <c r="P1" s="11"/>
      <c r="Q1" s="11"/>
      <c r="R1" s="11"/>
      <c r="S1" s="11"/>
      <c r="T1" s="11"/>
    </row>
    <row r="2" spans="1:20">
      <c r="A2" s="56"/>
      <c r="B2" s="56"/>
      <c r="C2" s="53"/>
      <c r="D2" s="11"/>
      <c r="E2" s="11"/>
      <c r="F2" s="11" t="s">
        <v>797</v>
      </c>
      <c r="G2" s="11"/>
      <c r="H2" s="11"/>
      <c r="I2" s="11"/>
      <c r="J2" s="11"/>
      <c r="K2" s="11"/>
      <c r="L2" s="11"/>
      <c r="M2" s="11"/>
      <c r="N2" s="11"/>
      <c r="O2" s="11"/>
      <c r="P2" s="11"/>
      <c r="Q2" s="11"/>
      <c r="R2" s="11"/>
      <c r="S2" s="11"/>
      <c r="T2" s="11"/>
    </row>
    <row r="3" spans="1:20">
      <c r="A3" s="57" t="s">
        <v>798</v>
      </c>
      <c r="B3" s="57" t="s">
        <v>799</v>
      </c>
      <c r="C3" s="53" t="s">
        <v>799</v>
      </c>
      <c r="D3" s="11"/>
      <c r="E3" s="11"/>
      <c r="F3" s="11"/>
      <c r="G3" s="11"/>
      <c r="H3" s="11"/>
      <c r="I3" s="11"/>
      <c r="J3" s="11"/>
      <c r="K3" s="11"/>
      <c r="L3" s="11"/>
      <c r="M3" s="11"/>
      <c r="N3" s="11"/>
      <c r="O3" s="11"/>
      <c r="P3" s="11"/>
      <c r="Q3" s="11"/>
      <c r="R3" s="11"/>
      <c r="S3" s="11"/>
      <c r="T3" s="11"/>
    </row>
    <row r="4" spans="1:20">
      <c r="A4" s="57" t="s">
        <v>800</v>
      </c>
      <c r="B4" s="57" t="s">
        <v>153</v>
      </c>
      <c r="C4" s="53" t="s">
        <v>801</v>
      </c>
      <c r="D4" s="11"/>
      <c r="E4" s="11"/>
      <c r="F4" s="18"/>
      <c r="G4" s="11"/>
      <c r="H4" s="11"/>
      <c r="I4" s="11"/>
      <c r="J4" s="11"/>
      <c r="K4" s="11"/>
      <c r="L4" s="11"/>
      <c r="M4" s="11"/>
      <c r="N4" s="11"/>
      <c r="O4" s="11"/>
      <c r="P4" s="11"/>
      <c r="Q4" s="11"/>
      <c r="R4" s="11"/>
      <c r="S4" s="11"/>
      <c r="T4" s="11"/>
    </row>
    <row r="5" spans="1:20">
      <c r="A5" s="57" t="s">
        <v>802</v>
      </c>
      <c r="B5" s="57" t="s">
        <v>427</v>
      </c>
      <c r="C5" s="53" t="s">
        <v>803</v>
      </c>
      <c r="D5" s="11"/>
      <c r="E5" s="11"/>
      <c r="F5" s="11"/>
      <c r="G5" s="11"/>
      <c r="H5" s="11"/>
      <c r="I5" s="11"/>
      <c r="J5" s="11"/>
      <c r="K5" s="11"/>
      <c r="L5" s="11"/>
      <c r="M5" s="11"/>
      <c r="N5" s="11"/>
      <c r="O5" s="11"/>
      <c r="P5" s="11"/>
      <c r="Q5" s="11"/>
      <c r="R5" s="11"/>
      <c r="S5" s="11"/>
      <c r="T5" s="11"/>
    </row>
    <row r="6" spans="1:20">
      <c r="A6" s="57" t="s">
        <v>804</v>
      </c>
      <c r="B6" s="57" t="s">
        <v>184</v>
      </c>
      <c r="C6" s="53" t="s">
        <v>805</v>
      </c>
      <c r="D6" s="11"/>
      <c r="E6" s="11"/>
      <c r="F6" s="11"/>
      <c r="G6" s="11"/>
      <c r="H6" s="11"/>
      <c r="I6" s="11"/>
      <c r="J6" s="11"/>
      <c r="K6" s="11"/>
      <c r="L6" s="11"/>
      <c r="M6" s="11"/>
      <c r="N6" s="11"/>
      <c r="O6" s="11"/>
      <c r="P6" s="11"/>
      <c r="Q6" s="11"/>
      <c r="R6" s="11"/>
      <c r="S6" s="11"/>
      <c r="T6" s="11"/>
    </row>
    <row r="7" spans="1:20">
      <c r="A7" s="57" t="s">
        <v>806</v>
      </c>
      <c r="B7" s="57" t="s">
        <v>437</v>
      </c>
      <c r="C7" s="53" t="s">
        <v>807</v>
      </c>
      <c r="D7" s="11"/>
      <c r="E7" s="11"/>
      <c r="F7" s="11"/>
      <c r="G7" s="11"/>
      <c r="H7" s="11"/>
      <c r="I7" s="11"/>
      <c r="J7" s="11"/>
      <c r="K7" s="11"/>
      <c r="L7" s="11"/>
      <c r="M7" s="11"/>
      <c r="N7" s="11"/>
      <c r="O7" s="11"/>
      <c r="P7" s="11"/>
      <c r="Q7" s="11"/>
      <c r="R7" s="11"/>
      <c r="S7" s="11"/>
      <c r="T7" s="11"/>
    </row>
    <row r="8" spans="1:20">
      <c r="A8" s="57" t="s">
        <v>808</v>
      </c>
      <c r="B8" s="57" t="s">
        <v>571</v>
      </c>
      <c r="C8" s="53" t="s">
        <v>809</v>
      </c>
      <c r="D8" s="11"/>
      <c r="E8" s="11"/>
      <c r="F8" s="11"/>
      <c r="G8" s="11"/>
      <c r="H8" s="11"/>
      <c r="I8" s="11"/>
      <c r="J8" s="11"/>
      <c r="K8" s="11"/>
      <c r="L8" s="11"/>
      <c r="M8" s="11"/>
      <c r="N8" s="11"/>
      <c r="O8" s="11"/>
      <c r="P8" s="11"/>
      <c r="Q8" s="11"/>
      <c r="R8" s="11"/>
      <c r="S8" s="11"/>
      <c r="T8" s="11"/>
    </row>
    <row r="9" spans="1:20">
      <c r="A9" s="57" t="s">
        <v>810</v>
      </c>
      <c r="B9" s="57" t="s">
        <v>415</v>
      </c>
      <c r="C9" s="53" t="s">
        <v>811</v>
      </c>
      <c r="D9" s="11"/>
      <c r="E9" s="11"/>
      <c r="F9" s="11"/>
      <c r="G9" s="11"/>
      <c r="H9" s="11"/>
      <c r="I9" s="11"/>
      <c r="J9" s="11"/>
      <c r="K9" s="11"/>
      <c r="L9" s="11"/>
      <c r="M9" s="11"/>
      <c r="N9" s="11"/>
      <c r="O9" s="11"/>
      <c r="P9" s="11"/>
      <c r="Q9" s="11"/>
      <c r="R9" s="11"/>
      <c r="S9" s="11"/>
      <c r="T9" s="11"/>
    </row>
    <row r="10" spans="1:20">
      <c r="A10" s="57" t="s">
        <v>812</v>
      </c>
      <c r="B10" s="57" t="s">
        <v>417</v>
      </c>
      <c r="C10" s="53" t="s">
        <v>813</v>
      </c>
      <c r="D10" s="11"/>
      <c r="E10" s="11"/>
      <c r="F10" s="11"/>
      <c r="G10" s="11"/>
      <c r="H10" s="11"/>
      <c r="I10" s="11"/>
      <c r="J10" s="11"/>
      <c r="K10" s="11"/>
      <c r="L10" s="11"/>
      <c r="M10" s="11"/>
      <c r="N10" s="11"/>
      <c r="O10" s="11"/>
      <c r="P10" s="11"/>
      <c r="Q10" s="11"/>
      <c r="R10" s="11"/>
      <c r="S10" s="11"/>
      <c r="T10" s="11"/>
    </row>
    <row r="11" spans="1:20">
      <c r="A11" s="57" t="s">
        <v>814</v>
      </c>
      <c r="B11" s="57" t="s">
        <v>248</v>
      </c>
      <c r="C11" s="53" t="s">
        <v>815</v>
      </c>
      <c r="D11" s="11"/>
      <c r="E11" s="11"/>
      <c r="F11" s="11"/>
      <c r="G11" s="11"/>
      <c r="H11" s="11"/>
      <c r="I11" s="11"/>
      <c r="J11" s="11"/>
      <c r="K11" s="11"/>
      <c r="L11" s="11"/>
      <c r="M11" s="11"/>
      <c r="N11" s="11"/>
      <c r="O11" s="11"/>
      <c r="P11" s="11"/>
      <c r="Q11" s="11"/>
      <c r="R11" s="11"/>
      <c r="S11" s="11"/>
      <c r="T11" s="11"/>
    </row>
    <row r="12" spans="1:20">
      <c r="A12" s="57" t="s">
        <v>816</v>
      </c>
      <c r="B12" s="57" t="s">
        <v>172</v>
      </c>
      <c r="C12" s="53" t="s">
        <v>817</v>
      </c>
      <c r="D12" s="11"/>
      <c r="E12" s="11"/>
      <c r="F12" s="11"/>
      <c r="G12" s="11"/>
      <c r="H12" s="11"/>
      <c r="I12" s="11"/>
      <c r="J12" s="11"/>
      <c r="K12" s="11"/>
      <c r="L12" s="11"/>
      <c r="M12" s="11"/>
      <c r="N12" s="11"/>
      <c r="O12" s="11"/>
      <c r="P12" s="11"/>
      <c r="Q12" s="11"/>
      <c r="R12" s="11"/>
      <c r="S12" s="11"/>
      <c r="T12" s="11"/>
    </row>
    <row r="13" spans="1:20">
      <c r="A13" s="58" t="s">
        <v>818</v>
      </c>
      <c r="B13" s="58" t="s">
        <v>819</v>
      </c>
      <c r="C13" s="53"/>
      <c r="D13" s="11"/>
      <c r="E13" s="11"/>
      <c r="F13" s="11"/>
      <c r="G13" s="11"/>
      <c r="H13" s="11"/>
      <c r="I13" s="11"/>
      <c r="J13" s="11"/>
      <c r="K13" s="11"/>
      <c r="L13" s="11"/>
      <c r="M13" s="11"/>
      <c r="N13" s="11"/>
      <c r="O13" s="11"/>
      <c r="P13" s="11"/>
      <c r="Q13" s="11"/>
      <c r="R13" s="11"/>
      <c r="S13" s="11"/>
      <c r="T13" s="11"/>
    </row>
    <row r="14" spans="1:20">
      <c r="A14" s="57" t="s">
        <v>820</v>
      </c>
      <c r="B14" s="57" t="s">
        <v>499</v>
      </c>
      <c r="C14" s="53" t="s">
        <v>821</v>
      </c>
      <c r="D14" s="11"/>
      <c r="E14" s="11"/>
      <c r="F14" s="11"/>
      <c r="G14" s="11"/>
      <c r="H14" s="11"/>
      <c r="I14" s="11"/>
      <c r="J14" s="11"/>
      <c r="K14" s="11"/>
      <c r="L14" s="11"/>
      <c r="M14" s="11"/>
      <c r="N14" s="11"/>
      <c r="O14" s="11"/>
      <c r="P14" s="11"/>
      <c r="Q14" s="11"/>
      <c r="R14" s="11"/>
      <c r="S14" s="11"/>
      <c r="T14" s="11"/>
    </row>
    <row r="15" spans="1:20">
      <c r="A15" s="57" t="s">
        <v>822</v>
      </c>
      <c r="B15" s="57" t="s">
        <v>403</v>
      </c>
      <c r="C15" s="53" t="s">
        <v>823</v>
      </c>
      <c r="D15" s="11"/>
      <c r="E15" s="11"/>
      <c r="F15" s="11"/>
      <c r="G15" s="11"/>
      <c r="H15" s="11"/>
      <c r="I15" s="11"/>
      <c r="J15" s="11"/>
      <c r="K15" s="11"/>
      <c r="L15" s="11"/>
      <c r="M15" s="11"/>
      <c r="N15" s="11"/>
      <c r="O15" s="11"/>
      <c r="P15" s="11"/>
      <c r="Q15" s="11"/>
      <c r="R15" s="11"/>
      <c r="S15" s="11"/>
      <c r="T15" s="11"/>
    </row>
    <row r="16" spans="1:20">
      <c r="A16" s="57" t="s">
        <v>824</v>
      </c>
      <c r="B16" s="57" t="s">
        <v>465</v>
      </c>
      <c r="C16" s="53" t="s">
        <v>825</v>
      </c>
      <c r="D16" s="11"/>
      <c r="E16" s="11"/>
      <c r="F16" s="11"/>
      <c r="G16" s="11"/>
      <c r="H16" s="11"/>
      <c r="I16" s="11"/>
      <c r="J16" s="11"/>
      <c r="K16" s="11"/>
      <c r="L16" s="11"/>
      <c r="M16" s="11"/>
      <c r="N16" s="11"/>
      <c r="O16" s="11"/>
      <c r="P16" s="11"/>
      <c r="Q16" s="11"/>
      <c r="R16" s="11"/>
      <c r="S16" s="11"/>
      <c r="T16" s="11"/>
    </row>
    <row r="17" spans="1:20">
      <c r="A17" s="57" t="s">
        <v>826</v>
      </c>
      <c r="B17" s="57" t="s">
        <v>631</v>
      </c>
      <c r="C17" s="53" t="s">
        <v>827</v>
      </c>
      <c r="D17" s="11"/>
      <c r="E17" s="11"/>
      <c r="F17" s="11"/>
      <c r="G17" s="11"/>
      <c r="H17" s="11"/>
      <c r="I17" s="11"/>
      <c r="J17" s="11"/>
      <c r="K17" s="11"/>
      <c r="L17" s="11"/>
      <c r="M17" s="11"/>
      <c r="N17" s="11"/>
      <c r="O17" s="11"/>
      <c r="P17" s="11"/>
      <c r="Q17" s="11"/>
      <c r="R17" s="11"/>
      <c r="S17" s="11"/>
      <c r="T17" s="11"/>
    </row>
    <row r="18" spans="1:20">
      <c r="A18" s="57" t="s">
        <v>828</v>
      </c>
      <c r="B18" s="57" t="s">
        <v>609</v>
      </c>
      <c r="C18" s="53" t="s">
        <v>829</v>
      </c>
      <c r="D18" s="11"/>
      <c r="E18" s="11"/>
      <c r="F18" s="11"/>
      <c r="G18" s="11"/>
      <c r="H18" s="11"/>
      <c r="I18" s="11"/>
      <c r="J18" s="11"/>
      <c r="K18" s="11"/>
      <c r="L18" s="11"/>
      <c r="M18" s="11"/>
      <c r="N18" s="11"/>
      <c r="O18" s="11"/>
      <c r="P18" s="11"/>
      <c r="Q18" s="11"/>
      <c r="R18" s="11"/>
      <c r="S18" s="11"/>
      <c r="T18" s="11"/>
    </row>
    <row r="19" spans="1:20">
      <c r="A19" s="57" t="s">
        <v>830</v>
      </c>
      <c r="B19" s="57" t="s">
        <v>513</v>
      </c>
      <c r="C19" s="53" t="s">
        <v>831</v>
      </c>
      <c r="D19" s="11"/>
      <c r="E19" s="11"/>
      <c r="F19" s="11"/>
      <c r="G19" s="11"/>
      <c r="H19" s="11"/>
      <c r="I19" s="11"/>
      <c r="J19" s="11"/>
      <c r="K19" s="11"/>
      <c r="L19" s="11"/>
      <c r="M19" s="11"/>
      <c r="N19" s="11"/>
      <c r="O19" s="11"/>
      <c r="P19" s="11"/>
      <c r="Q19" s="11"/>
      <c r="R19" s="11"/>
      <c r="S19" s="11"/>
      <c r="T19" s="11"/>
    </row>
    <row r="20" spans="1:20">
      <c r="A20" s="57" t="s">
        <v>832</v>
      </c>
      <c r="B20" s="57" t="s">
        <v>265</v>
      </c>
      <c r="C20" s="53" t="s">
        <v>833</v>
      </c>
      <c r="D20" s="11"/>
      <c r="E20" s="11"/>
      <c r="F20" s="11"/>
      <c r="G20" s="11"/>
      <c r="H20" s="11"/>
      <c r="I20" s="11"/>
      <c r="J20" s="11"/>
      <c r="K20" s="11"/>
      <c r="L20" s="11"/>
      <c r="M20" s="11"/>
      <c r="N20" s="11"/>
      <c r="O20" s="11"/>
      <c r="P20" s="11"/>
      <c r="Q20" s="11"/>
      <c r="R20" s="11"/>
      <c r="S20" s="11"/>
      <c r="T20" s="11"/>
    </row>
    <row r="21" spans="1:20">
      <c r="A21" s="57" t="s">
        <v>834</v>
      </c>
      <c r="B21" s="57" t="s">
        <v>519</v>
      </c>
      <c r="C21" s="53" t="s">
        <v>835</v>
      </c>
      <c r="D21" s="11"/>
      <c r="E21" s="11"/>
      <c r="F21" s="11"/>
      <c r="G21" s="11"/>
      <c r="H21" s="11"/>
      <c r="I21" s="11"/>
      <c r="J21" s="11"/>
      <c r="K21" s="11"/>
      <c r="L21" s="11"/>
      <c r="M21" s="11"/>
      <c r="N21" s="11"/>
      <c r="O21" s="11"/>
      <c r="P21" s="11"/>
      <c r="Q21" s="11"/>
      <c r="R21" s="11"/>
      <c r="S21" s="11"/>
      <c r="T21" s="11"/>
    </row>
    <row r="22" spans="1:20">
      <c r="A22" s="57" t="s">
        <v>836</v>
      </c>
      <c r="B22" s="57" t="s">
        <v>182</v>
      </c>
      <c r="C22" s="53" t="s">
        <v>837</v>
      </c>
      <c r="D22" s="11"/>
      <c r="E22" s="11"/>
      <c r="F22" s="11"/>
      <c r="G22" s="11"/>
      <c r="H22" s="11"/>
      <c r="I22" s="11"/>
      <c r="J22" s="11"/>
      <c r="K22" s="11"/>
      <c r="L22" s="11"/>
      <c r="M22" s="11"/>
      <c r="N22" s="11"/>
      <c r="O22" s="11"/>
      <c r="P22" s="11"/>
      <c r="Q22" s="11"/>
      <c r="R22" s="11"/>
      <c r="S22" s="11"/>
      <c r="T22" s="11"/>
    </row>
    <row r="23" spans="1:20">
      <c r="A23" s="57" t="s">
        <v>838</v>
      </c>
      <c r="B23" s="57" t="s">
        <v>735</v>
      </c>
      <c r="C23" s="53" t="s">
        <v>839</v>
      </c>
      <c r="D23" s="11"/>
      <c r="E23" s="11"/>
      <c r="F23" s="11"/>
      <c r="G23" s="11"/>
      <c r="H23" s="11"/>
      <c r="I23" s="11"/>
      <c r="J23" s="11"/>
      <c r="K23" s="11"/>
      <c r="L23" s="11"/>
      <c r="M23" s="11"/>
      <c r="N23" s="11"/>
      <c r="O23" s="11"/>
      <c r="P23" s="11"/>
      <c r="Q23" s="11"/>
      <c r="R23" s="11"/>
      <c r="S23" s="11"/>
      <c r="T23" s="11"/>
    </row>
    <row r="26" spans="1:20">
      <c r="A26" s="19" t="s">
        <v>840</v>
      </c>
      <c r="B26" s="38"/>
      <c r="C26" s="34"/>
      <c r="D26" s="34"/>
      <c r="E26" s="34"/>
      <c r="F26" s="34"/>
      <c r="G26" s="34"/>
      <c r="H26" s="34"/>
      <c r="I26" s="34"/>
      <c r="J26" s="34"/>
      <c r="K26" s="34"/>
      <c r="L26" s="34"/>
      <c r="M26" s="34"/>
      <c r="N26" s="34"/>
      <c r="O26" s="34"/>
      <c r="P26" s="34"/>
      <c r="Q26" s="34"/>
      <c r="R26" s="34"/>
      <c r="S26" s="34"/>
      <c r="T26" s="34"/>
    </row>
    <row r="28" spans="1:20">
      <c r="A28" s="38" t="s">
        <v>130</v>
      </c>
      <c r="B28" s="38">
        <v>1.35</v>
      </c>
      <c r="C28" s="34"/>
      <c r="D28" s="34"/>
      <c r="E28" s="34"/>
      <c r="F28" s="34"/>
      <c r="G28" s="34"/>
      <c r="H28" s="34"/>
      <c r="I28" s="34"/>
      <c r="J28" s="34"/>
      <c r="K28" s="34"/>
      <c r="L28" s="34"/>
      <c r="M28" s="34"/>
      <c r="N28" s="34"/>
      <c r="O28" s="34"/>
      <c r="P28" s="34"/>
      <c r="Q28" s="34"/>
      <c r="R28" s="34"/>
      <c r="S28" s="34"/>
      <c r="T28" s="34"/>
    </row>
    <row r="29" spans="1:20">
      <c r="A29" s="38" t="s">
        <v>133</v>
      </c>
      <c r="B29" s="38">
        <v>1.35</v>
      </c>
      <c r="C29" s="34"/>
      <c r="D29" s="34"/>
      <c r="E29" s="34"/>
      <c r="F29" s="34"/>
      <c r="G29" s="34"/>
      <c r="H29" s="34"/>
      <c r="I29" s="34"/>
      <c r="J29" s="34"/>
      <c r="K29" s="34"/>
      <c r="L29" s="34"/>
      <c r="M29" s="34"/>
      <c r="N29" s="34"/>
      <c r="O29" s="34"/>
      <c r="P29" s="34"/>
      <c r="Q29" s="34"/>
      <c r="R29" s="34"/>
      <c r="S29" s="34"/>
      <c r="T29" s="34"/>
    </row>
    <row r="30" spans="1:20">
      <c r="A30" s="38" t="s">
        <v>151</v>
      </c>
      <c r="B30" s="38">
        <v>1.35</v>
      </c>
      <c r="C30" s="34"/>
      <c r="D30" s="34"/>
      <c r="E30" s="34"/>
      <c r="F30" s="34"/>
      <c r="G30" s="34"/>
      <c r="H30" s="34"/>
      <c r="I30" s="34"/>
      <c r="J30" s="34"/>
      <c r="K30" s="34"/>
      <c r="L30" s="34"/>
      <c r="M30" s="34"/>
      <c r="N30" s="34"/>
      <c r="O30" s="34"/>
      <c r="P30" s="34"/>
      <c r="Q30" s="34"/>
      <c r="R30" s="34"/>
      <c r="S30" s="34"/>
      <c r="T30" s="34"/>
    </row>
    <row r="31" spans="1:20">
      <c r="A31" s="38" t="s">
        <v>178</v>
      </c>
      <c r="B31" s="38">
        <v>1.35</v>
      </c>
      <c r="C31" s="34"/>
      <c r="D31" s="34"/>
      <c r="E31" s="34"/>
      <c r="F31" s="34"/>
      <c r="G31" s="34"/>
      <c r="H31" s="34"/>
      <c r="I31" s="34"/>
      <c r="J31" s="34"/>
      <c r="K31" s="34"/>
      <c r="L31" s="34"/>
      <c r="M31" s="34"/>
      <c r="N31" s="34"/>
      <c r="O31" s="34"/>
      <c r="P31" s="34"/>
      <c r="Q31" s="34"/>
      <c r="R31" s="34"/>
      <c r="S31" s="34"/>
      <c r="T31" s="34"/>
    </row>
    <row r="32" spans="1:20">
      <c r="A32" s="38" t="s">
        <v>188</v>
      </c>
      <c r="B32" s="38">
        <v>1.35</v>
      </c>
      <c r="C32" s="34"/>
      <c r="D32" s="34"/>
      <c r="E32" s="34"/>
      <c r="F32" s="34"/>
      <c r="G32" s="34"/>
      <c r="H32" s="34"/>
      <c r="I32" s="34"/>
      <c r="J32" s="34"/>
      <c r="K32" s="34"/>
      <c r="L32" s="34"/>
      <c r="M32" s="34"/>
      <c r="N32" s="34"/>
      <c r="O32" s="34"/>
      <c r="P32" s="34"/>
      <c r="Q32" s="34"/>
      <c r="R32" s="34"/>
      <c r="S32" s="34"/>
      <c r="T32" s="34"/>
    </row>
    <row r="33" spans="1:2">
      <c r="A33" s="38" t="s">
        <v>206</v>
      </c>
      <c r="B33" s="38">
        <v>1.35</v>
      </c>
    </row>
    <row r="34" spans="1:2">
      <c r="A34" s="38" t="s">
        <v>236</v>
      </c>
      <c r="B34" s="38">
        <v>1.35</v>
      </c>
    </row>
    <row r="35" spans="1:2">
      <c r="A35" s="38" t="s">
        <v>254</v>
      </c>
      <c r="B35" s="38">
        <v>1.35</v>
      </c>
    </row>
    <row r="36" spans="1:2">
      <c r="A36" s="38" t="s">
        <v>279</v>
      </c>
      <c r="B36" s="38">
        <v>1.35</v>
      </c>
    </row>
    <row r="37" spans="1:2">
      <c r="A37" s="38" t="s">
        <v>307</v>
      </c>
      <c r="B37" s="38">
        <v>1.35</v>
      </c>
    </row>
    <row r="38" spans="1:2">
      <c r="A38" s="38" t="s">
        <v>339</v>
      </c>
      <c r="B38" s="38">
        <v>1.35</v>
      </c>
    </row>
    <row r="39" spans="1:2">
      <c r="A39" s="38" t="s">
        <v>343</v>
      </c>
      <c r="B39" s="38">
        <v>1.35</v>
      </c>
    </row>
    <row r="40" spans="1:2">
      <c r="A40" s="38" t="s">
        <v>349</v>
      </c>
      <c r="B40" s="38">
        <v>1.35</v>
      </c>
    </row>
    <row r="41" spans="1:2">
      <c r="A41" s="38" t="s">
        <v>353</v>
      </c>
      <c r="B41" s="38">
        <v>1.35</v>
      </c>
    </row>
    <row r="42" spans="1:2">
      <c r="A42" s="38" t="s">
        <v>359</v>
      </c>
      <c r="B42" s="38">
        <v>1.35</v>
      </c>
    </row>
    <row r="43" spans="1:2">
      <c r="A43" s="38" t="s">
        <v>369</v>
      </c>
      <c r="B43" s="38">
        <v>1.35</v>
      </c>
    </row>
    <row r="44" spans="1:2">
      <c r="A44" s="38" t="s">
        <v>377</v>
      </c>
      <c r="B44" s="38">
        <v>1.35</v>
      </c>
    </row>
    <row r="45" spans="1:2">
      <c r="A45" s="38" t="s">
        <v>383</v>
      </c>
      <c r="B45" s="38">
        <v>1.35</v>
      </c>
    </row>
    <row r="46" spans="1:2">
      <c r="A46" s="38" t="s">
        <v>395</v>
      </c>
      <c r="B46" s="38">
        <v>1.35</v>
      </c>
    </row>
    <row r="47" spans="1:2">
      <c r="A47" s="38" t="s">
        <v>397</v>
      </c>
      <c r="B47" s="38">
        <v>1.35</v>
      </c>
    </row>
    <row r="48" spans="1:2">
      <c r="A48" s="38" t="s">
        <v>405</v>
      </c>
      <c r="B48" s="38">
        <v>1.35</v>
      </c>
    </row>
    <row r="49" spans="1:2">
      <c r="A49" s="38" t="s">
        <v>411</v>
      </c>
      <c r="B49" s="38">
        <v>1.35</v>
      </c>
    </row>
    <row r="50" spans="1:2">
      <c r="A50" s="38" t="s">
        <v>421</v>
      </c>
      <c r="B50" s="38">
        <v>1.35</v>
      </c>
    </row>
    <row r="51" spans="1:2">
      <c r="A51" s="38" t="s">
        <v>447</v>
      </c>
      <c r="B51" s="38">
        <v>1.35</v>
      </c>
    </row>
    <row r="52" spans="1:2">
      <c r="A52" s="38" t="s">
        <v>469</v>
      </c>
      <c r="B52" s="38">
        <v>1.35</v>
      </c>
    </row>
    <row r="53" spans="1:2">
      <c r="A53" s="38" t="s">
        <v>521</v>
      </c>
      <c r="B53" s="38">
        <v>1.35</v>
      </c>
    </row>
    <row r="54" spans="1:2">
      <c r="A54" s="38" t="s">
        <v>531</v>
      </c>
      <c r="B54" s="38">
        <v>1.35</v>
      </c>
    </row>
    <row r="55" spans="1:2">
      <c r="A55" s="38" t="s">
        <v>613</v>
      </c>
      <c r="B55" s="38">
        <v>1.35</v>
      </c>
    </row>
    <row r="56" spans="1:2">
      <c r="A56" s="38" t="s">
        <v>641</v>
      </c>
      <c r="B56" s="38">
        <v>1.35</v>
      </c>
    </row>
    <row r="57" spans="1:2">
      <c r="A57" s="38" t="s">
        <v>675</v>
      </c>
      <c r="B57" s="38">
        <v>1.35</v>
      </c>
    </row>
    <row r="58" spans="1:2">
      <c r="A58" s="38" t="s">
        <v>689</v>
      </c>
      <c r="B58" s="38">
        <v>1.35</v>
      </c>
    </row>
    <row r="59" spans="1:2">
      <c r="A59" s="38" t="s">
        <v>691</v>
      </c>
      <c r="B59" s="38">
        <v>1.35</v>
      </c>
    </row>
    <row r="60" spans="1:2">
      <c r="A60" s="38" t="s">
        <v>719</v>
      </c>
      <c r="B60" s="38">
        <v>1.35</v>
      </c>
    </row>
    <row r="61" spans="1:2">
      <c r="A61" s="38" t="s">
        <v>153</v>
      </c>
      <c r="B61" s="38">
        <v>1.35</v>
      </c>
    </row>
    <row r="62" spans="1:2">
      <c r="A62" s="38" t="s">
        <v>427</v>
      </c>
      <c r="B62" s="38">
        <v>1.35</v>
      </c>
    </row>
    <row r="63" spans="1:2">
      <c r="A63" s="38" t="s">
        <v>184</v>
      </c>
      <c r="B63" s="38">
        <v>1.35</v>
      </c>
    </row>
    <row r="64" spans="1:2">
      <c r="A64" s="38" t="s">
        <v>437</v>
      </c>
      <c r="B64" s="38">
        <v>1.35</v>
      </c>
    </row>
    <row r="65" spans="1:2">
      <c r="A65" s="38" t="s">
        <v>571</v>
      </c>
      <c r="B65" s="38">
        <v>1.35</v>
      </c>
    </row>
    <row r="66" spans="1:2">
      <c r="A66" s="38" t="s">
        <v>415</v>
      </c>
      <c r="B66" s="38">
        <v>1.35</v>
      </c>
    </row>
    <row r="67" spans="1:2">
      <c r="A67" s="38" t="s">
        <v>417</v>
      </c>
      <c r="B67" s="38">
        <v>1.35</v>
      </c>
    </row>
    <row r="68" spans="1:2">
      <c r="A68" s="38" t="s">
        <v>248</v>
      </c>
      <c r="B68" s="38">
        <v>1.35</v>
      </c>
    </row>
    <row r="69" spans="1:2">
      <c r="A69" s="38" t="s">
        <v>172</v>
      </c>
      <c r="B69" s="38">
        <v>1.35</v>
      </c>
    </row>
    <row r="70" spans="1:2">
      <c r="A70" s="38" t="s">
        <v>499</v>
      </c>
      <c r="B70" s="38">
        <v>1.35</v>
      </c>
    </row>
    <row r="71" spans="1:2">
      <c r="A71" s="38" t="s">
        <v>403</v>
      </c>
      <c r="B71" s="38">
        <v>1.35</v>
      </c>
    </row>
    <row r="72" spans="1:2">
      <c r="A72" s="38" t="s">
        <v>465</v>
      </c>
      <c r="B72" s="38">
        <v>1.35</v>
      </c>
    </row>
    <row r="73" spans="1:2">
      <c r="A73" s="38" t="s">
        <v>631</v>
      </c>
      <c r="B73" s="38">
        <v>1.35</v>
      </c>
    </row>
    <row r="74" spans="1:2">
      <c r="A74" s="38" t="s">
        <v>609</v>
      </c>
      <c r="B74" s="38">
        <v>1.35</v>
      </c>
    </row>
    <row r="75" spans="1:2">
      <c r="A75" s="38" t="s">
        <v>513</v>
      </c>
      <c r="B75" s="38">
        <v>1.35</v>
      </c>
    </row>
    <row r="76" spans="1:2">
      <c r="A76" s="38" t="s">
        <v>265</v>
      </c>
      <c r="B76" s="38">
        <v>1.35</v>
      </c>
    </row>
    <row r="77" spans="1:2">
      <c r="A77" s="38" t="s">
        <v>519</v>
      </c>
      <c r="B77" s="38">
        <v>1.35</v>
      </c>
    </row>
    <row r="78" spans="1:2">
      <c r="A78" s="38" t="s">
        <v>182</v>
      </c>
      <c r="B78" s="38">
        <v>1.35</v>
      </c>
    </row>
    <row r="79" spans="1:2">
      <c r="A79" s="38" t="s">
        <v>735</v>
      </c>
      <c r="B79" s="38">
        <v>1.35</v>
      </c>
    </row>
    <row r="80" spans="1:2">
      <c r="A80" s="38" t="s">
        <v>112</v>
      </c>
      <c r="B80" s="38">
        <v>1</v>
      </c>
    </row>
    <row r="81" spans="1:2">
      <c r="A81" s="38" t="s">
        <v>115</v>
      </c>
      <c r="B81" s="38">
        <v>1</v>
      </c>
    </row>
    <row r="82" spans="1:2">
      <c r="A82" s="38" t="s">
        <v>118</v>
      </c>
      <c r="B82" s="38">
        <v>1</v>
      </c>
    </row>
    <row r="83" spans="1:2">
      <c r="A83" s="38" t="s">
        <v>121</v>
      </c>
      <c r="B83" s="38">
        <v>1</v>
      </c>
    </row>
    <row r="84" spans="1:2">
      <c r="A84" s="38" t="s">
        <v>123</v>
      </c>
      <c r="B84" s="38">
        <v>1</v>
      </c>
    </row>
    <row r="85" spans="1:2">
      <c r="A85" s="38" t="s">
        <v>125</v>
      </c>
      <c r="B85" s="38">
        <v>1</v>
      </c>
    </row>
    <row r="86" spans="1:2">
      <c r="A86" s="38" t="s">
        <v>127</v>
      </c>
      <c r="B86" s="38">
        <v>1</v>
      </c>
    </row>
    <row r="87" spans="1:2">
      <c r="A87" s="38" t="s">
        <v>135</v>
      </c>
      <c r="B87" s="38">
        <v>1</v>
      </c>
    </row>
    <row r="88" spans="1:2">
      <c r="A88" s="38" t="s">
        <v>138</v>
      </c>
      <c r="B88" s="38">
        <v>1</v>
      </c>
    </row>
    <row r="89" spans="1:2">
      <c r="A89" s="38" t="s">
        <v>140</v>
      </c>
      <c r="B89" s="38">
        <v>1</v>
      </c>
    </row>
    <row r="90" spans="1:2">
      <c r="A90" s="38" t="s">
        <v>142</v>
      </c>
      <c r="B90" s="38">
        <v>1</v>
      </c>
    </row>
    <row r="91" spans="1:2">
      <c r="A91" s="38" t="s">
        <v>144</v>
      </c>
      <c r="B91" s="38">
        <v>1</v>
      </c>
    </row>
    <row r="92" spans="1:2">
      <c r="A92" s="38" t="s">
        <v>146</v>
      </c>
      <c r="B92" s="38">
        <v>1</v>
      </c>
    </row>
    <row r="93" spans="1:2">
      <c r="A93" s="38" t="s">
        <v>149</v>
      </c>
      <c r="B93" s="38">
        <v>1</v>
      </c>
    </row>
    <row r="94" spans="1:2">
      <c r="A94" s="38" t="s">
        <v>156</v>
      </c>
      <c r="B94" s="38">
        <v>1</v>
      </c>
    </row>
    <row r="95" spans="1:2">
      <c r="A95" s="38" t="s">
        <v>158</v>
      </c>
      <c r="B95" s="38">
        <v>1</v>
      </c>
    </row>
    <row r="96" spans="1:2">
      <c r="A96" s="38" t="s">
        <v>160</v>
      </c>
      <c r="B96" s="38">
        <v>1</v>
      </c>
    </row>
    <row r="97" spans="1:2">
      <c r="A97" s="38" t="s">
        <v>162</v>
      </c>
      <c r="B97" s="38">
        <v>1</v>
      </c>
    </row>
    <row r="98" spans="1:2">
      <c r="A98" s="38" t="s">
        <v>164</v>
      </c>
      <c r="B98" s="38">
        <v>1</v>
      </c>
    </row>
    <row r="99" spans="1:2">
      <c r="A99" s="38" t="s">
        <v>166</v>
      </c>
      <c r="B99" s="38">
        <v>1</v>
      </c>
    </row>
    <row r="100" spans="1:2">
      <c r="A100" s="38" t="s">
        <v>168</v>
      </c>
      <c r="B100" s="38">
        <v>1</v>
      </c>
    </row>
    <row r="101" spans="1:2">
      <c r="A101" s="38" t="s">
        <v>170</v>
      </c>
      <c r="B101" s="38">
        <v>1</v>
      </c>
    </row>
    <row r="102" spans="1:2">
      <c r="A102" s="38" t="s">
        <v>174</v>
      </c>
      <c r="B102" s="38">
        <v>1</v>
      </c>
    </row>
    <row r="103" spans="1:2">
      <c r="A103" s="38" t="s">
        <v>176</v>
      </c>
      <c r="B103" s="38">
        <v>1</v>
      </c>
    </row>
    <row r="104" spans="1:2">
      <c r="A104" s="38" t="s">
        <v>180</v>
      </c>
      <c r="B104" s="38">
        <v>1</v>
      </c>
    </row>
    <row r="105" spans="1:2">
      <c r="A105" s="38" t="s">
        <v>186</v>
      </c>
      <c r="B105" s="38">
        <v>1</v>
      </c>
    </row>
    <row r="106" spans="1:2">
      <c r="A106" s="38" t="s">
        <v>190</v>
      </c>
      <c r="B106" s="38">
        <v>1</v>
      </c>
    </row>
    <row r="107" spans="1:2">
      <c r="A107" s="38" t="s">
        <v>192</v>
      </c>
      <c r="B107" s="38">
        <v>1</v>
      </c>
    </row>
    <row r="108" spans="1:2">
      <c r="A108" s="38" t="s">
        <v>194</v>
      </c>
      <c r="B108" s="38">
        <v>1</v>
      </c>
    </row>
    <row r="109" spans="1:2">
      <c r="A109" s="38" t="s">
        <v>196</v>
      </c>
      <c r="B109" s="38">
        <v>1</v>
      </c>
    </row>
    <row r="110" spans="1:2">
      <c r="A110" s="38" t="s">
        <v>198</v>
      </c>
      <c r="B110" s="38">
        <v>1</v>
      </c>
    </row>
    <row r="111" spans="1:2">
      <c r="A111" s="38" t="s">
        <v>200</v>
      </c>
      <c r="B111" s="38">
        <v>1</v>
      </c>
    </row>
    <row r="112" spans="1:2">
      <c r="A112" s="38" t="s">
        <v>202</v>
      </c>
      <c r="B112" s="38">
        <v>1</v>
      </c>
    </row>
    <row r="113" spans="1:2">
      <c r="A113" s="38" t="s">
        <v>204</v>
      </c>
      <c r="B113" s="38">
        <v>1</v>
      </c>
    </row>
    <row r="114" spans="1:2">
      <c r="A114" s="38" t="s">
        <v>208</v>
      </c>
      <c r="B114" s="38">
        <v>1</v>
      </c>
    </row>
    <row r="115" spans="1:2">
      <c r="A115" s="38" t="s">
        <v>210</v>
      </c>
      <c r="B115" s="38">
        <v>1</v>
      </c>
    </row>
    <row r="116" spans="1:2">
      <c r="A116" s="38" t="s">
        <v>212</v>
      </c>
      <c r="B116" s="38">
        <v>1</v>
      </c>
    </row>
    <row r="117" spans="1:2">
      <c r="A117" s="38" t="s">
        <v>214</v>
      </c>
      <c r="B117" s="38">
        <v>1</v>
      </c>
    </row>
    <row r="118" spans="1:2">
      <c r="A118" s="38" t="s">
        <v>216</v>
      </c>
      <c r="B118" s="38">
        <v>1</v>
      </c>
    </row>
    <row r="119" spans="1:2">
      <c r="A119" s="38" t="s">
        <v>218</v>
      </c>
      <c r="B119" s="38">
        <v>1</v>
      </c>
    </row>
    <row r="120" spans="1:2">
      <c r="A120" s="38" t="s">
        <v>220</v>
      </c>
      <c r="B120" s="38">
        <v>1</v>
      </c>
    </row>
    <row r="121" spans="1:2">
      <c r="A121" s="38" t="s">
        <v>222</v>
      </c>
      <c r="B121" s="38">
        <v>1</v>
      </c>
    </row>
    <row r="122" spans="1:2">
      <c r="A122" s="38" t="s">
        <v>224</v>
      </c>
      <c r="B122" s="38">
        <v>1</v>
      </c>
    </row>
    <row r="123" spans="1:2">
      <c r="A123" s="38" t="s">
        <v>226</v>
      </c>
      <c r="B123" s="38">
        <v>1</v>
      </c>
    </row>
    <row r="124" spans="1:2">
      <c r="A124" s="38" t="s">
        <v>228</v>
      </c>
      <c r="B124" s="38">
        <v>1</v>
      </c>
    </row>
    <row r="125" spans="1:2">
      <c r="A125" s="38" t="s">
        <v>230</v>
      </c>
      <c r="B125" s="38">
        <v>1</v>
      </c>
    </row>
    <row r="126" spans="1:2">
      <c r="A126" s="38" t="s">
        <v>232</v>
      </c>
      <c r="B126" s="38">
        <v>1</v>
      </c>
    </row>
    <row r="127" spans="1:2">
      <c r="A127" s="38" t="s">
        <v>234</v>
      </c>
      <c r="B127" s="38">
        <v>1</v>
      </c>
    </row>
    <row r="128" spans="1:2">
      <c r="A128" s="38" t="s">
        <v>238</v>
      </c>
      <c r="B128" s="38">
        <v>1</v>
      </c>
    </row>
    <row r="129" spans="1:2">
      <c r="A129" s="38" t="s">
        <v>240</v>
      </c>
      <c r="B129" s="38">
        <v>1</v>
      </c>
    </row>
    <row r="130" spans="1:2">
      <c r="A130" s="38" t="s">
        <v>242</v>
      </c>
      <c r="B130" s="38">
        <v>1</v>
      </c>
    </row>
    <row r="131" spans="1:2">
      <c r="A131" s="38" t="s">
        <v>244</v>
      </c>
      <c r="B131" s="38">
        <v>1</v>
      </c>
    </row>
    <row r="132" spans="1:2">
      <c r="A132" s="38" t="s">
        <v>246</v>
      </c>
      <c r="B132" s="38">
        <v>1</v>
      </c>
    </row>
    <row r="133" spans="1:2">
      <c r="A133" s="38" t="s">
        <v>250</v>
      </c>
      <c r="B133" s="38">
        <v>1</v>
      </c>
    </row>
    <row r="134" spans="1:2">
      <c r="A134" s="38" t="s">
        <v>252</v>
      </c>
      <c r="B134" s="38">
        <v>1</v>
      </c>
    </row>
    <row r="135" spans="1:2">
      <c r="A135" s="38" t="s">
        <v>256</v>
      </c>
      <c r="B135" s="38">
        <v>1</v>
      </c>
    </row>
    <row r="136" spans="1:2">
      <c r="A136" s="38" t="s">
        <v>258</v>
      </c>
      <c r="B136" s="38">
        <v>1</v>
      </c>
    </row>
    <row r="137" spans="1:2">
      <c r="A137" s="38" t="s">
        <v>261</v>
      </c>
      <c r="B137" s="38">
        <v>1</v>
      </c>
    </row>
    <row r="138" spans="1:2">
      <c r="A138" s="38" t="s">
        <v>263</v>
      </c>
      <c r="B138" s="38">
        <v>1</v>
      </c>
    </row>
    <row r="139" spans="1:2">
      <c r="A139" s="38" t="s">
        <v>267</v>
      </c>
      <c r="B139" s="38">
        <v>1</v>
      </c>
    </row>
    <row r="140" spans="1:2">
      <c r="A140" s="38" t="s">
        <v>269</v>
      </c>
      <c r="B140" s="38">
        <v>1</v>
      </c>
    </row>
    <row r="141" spans="1:2">
      <c r="A141" s="38" t="s">
        <v>271</v>
      </c>
      <c r="B141" s="38">
        <v>1</v>
      </c>
    </row>
    <row r="142" spans="1:2">
      <c r="A142" s="38" t="s">
        <v>273</v>
      </c>
      <c r="B142" s="38">
        <v>1</v>
      </c>
    </row>
    <row r="143" spans="1:2">
      <c r="A143" s="38" t="s">
        <v>275</v>
      </c>
      <c r="B143" s="38">
        <v>1</v>
      </c>
    </row>
    <row r="144" spans="1:2">
      <c r="A144" s="38" t="s">
        <v>277</v>
      </c>
      <c r="B144" s="38">
        <v>1</v>
      </c>
    </row>
    <row r="145" spans="1:2">
      <c r="A145" s="38" t="s">
        <v>281</v>
      </c>
      <c r="B145" s="38">
        <v>1</v>
      </c>
    </row>
    <row r="146" spans="1:2">
      <c r="A146" s="38" t="s">
        <v>283</v>
      </c>
      <c r="B146" s="38">
        <v>1</v>
      </c>
    </row>
    <row r="147" spans="1:2">
      <c r="A147" s="38" t="s">
        <v>285</v>
      </c>
      <c r="B147" s="38">
        <v>1</v>
      </c>
    </row>
    <row r="148" spans="1:2">
      <c r="A148" s="38" t="s">
        <v>287</v>
      </c>
      <c r="B148" s="38">
        <v>1</v>
      </c>
    </row>
    <row r="149" spans="1:2">
      <c r="A149" s="38" t="s">
        <v>289</v>
      </c>
      <c r="B149" s="38">
        <v>1</v>
      </c>
    </row>
    <row r="150" spans="1:2">
      <c r="A150" s="38" t="s">
        <v>291</v>
      </c>
      <c r="B150" s="38">
        <v>1</v>
      </c>
    </row>
    <row r="151" spans="1:2">
      <c r="A151" s="38" t="s">
        <v>293</v>
      </c>
      <c r="B151" s="38">
        <v>1</v>
      </c>
    </row>
    <row r="152" spans="1:2">
      <c r="A152" s="38" t="s">
        <v>295</v>
      </c>
      <c r="B152" s="38">
        <v>1</v>
      </c>
    </row>
    <row r="153" spans="1:2">
      <c r="A153" s="38" t="s">
        <v>297</v>
      </c>
      <c r="B153" s="38">
        <v>1</v>
      </c>
    </row>
    <row r="154" spans="1:2">
      <c r="A154" s="38" t="s">
        <v>299</v>
      </c>
      <c r="B154" s="38">
        <v>1</v>
      </c>
    </row>
    <row r="155" spans="1:2">
      <c r="A155" s="38" t="s">
        <v>301</v>
      </c>
      <c r="B155" s="38">
        <v>1</v>
      </c>
    </row>
    <row r="156" spans="1:2">
      <c r="A156" s="38" t="s">
        <v>303</v>
      </c>
      <c r="B156" s="38">
        <v>1</v>
      </c>
    </row>
    <row r="157" spans="1:2">
      <c r="A157" s="38" t="s">
        <v>305</v>
      </c>
      <c r="B157" s="38">
        <v>1</v>
      </c>
    </row>
    <row r="158" spans="1:2">
      <c r="A158" s="38" t="s">
        <v>309</v>
      </c>
      <c r="B158" s="38">
        <v>1</v>
      </c>
    </row>
    <row r="159" spans="1:2">
      <c r="A159" s="38" t="s">
        <v>311</v>
      </c>
      <c r="B159" s="38">
        <v>1</v>
      </c>
    </row>
    <row r="160" spans="1:2">
      <c r="A160" s="38" t="s">
        <v>313</v>
      </c>
      <c r="B160" s="38">
        <v>1</v>
      </c>
    </row>
    <row r="161" spans="1:2">
      <c r="A161" s="38" t="s">
        <v>315</v>
      </c>
      <c r="B161" s="38">
        <v>1</v>
      </c>
    </row>
    <row r="162" spans="1:2">
      <c r="A162" s="38" t="s">
        <v>317</v>
      </c>
      <c r="B162" s="38">
        <v>1</v>
      </c>
    </row>
    <row r="163" spans="1:2">
      <c r="A163" s="38" t="s">
        <v>319</v>
      </c>
      <c r="B163" s="38">
        <v>1</v>
      </c>
    </row>
    <row r="164" spans="1:2">
      <c r="A164" s="38" t="s">
        <v>321</v>
      </c>
      <c r="B164" s="38">
        <v>1</v>
      </c>
    </row>
    <row r="165" spans="1:2">
      <c r="A165" s="38" t="s">
        <v>323</v>
      </c>
      <c r="B165" s="38">
        <v>1</v>
      </c>
    </row>
    <row r="166" spans="1:2">
      <c r="A166" s="38" t="s">
        <v>325</v>
      </c>
      <c r="B166" s="38">
        <v>1</v>
      </c>
    </row>
    <row r="167" spans="1:2">
      <c r="A167" s="38" t="s">
        <v>327</v>
      </c>
      <c r="B167" s="38">
        <v>1</v>
      </c>
    </row>
    <row r="168" spans="1:2">
      <c r="A168" s="38" t="s">
        <v>329</v>
      </c>
      <c r="B168" s="38">
        <v>1</v>
      </c>
    </row>
    <row r="169" spans="1:2">
      <c r="A169" s="38" t="s">
        <v>331</v>
      </c>
      <c r="B169" s="38">
        <v>1</v>
      </c>
    </row>
    <row r="170" spans="1:2">
      <c r="A170" s="38" t="s">
        <v>333</v>
      </c>
      <c r="B170" s="38">
        <v>1</v>
      </c>
    </row>
    <row r="171" spans="1:2">
      <c r="A171" s="38" t="s">
        <v>335</v>
      </c>
      <c r="B171" s="38">
        <v>1</v>
      </c>
    </row>
    <row r="172" spans="1:2">
      <c r="A172" s="38" t="s">
        <v>337</v>
      </c>
      <c r="B172" s="38">
        <v>1</v>
      </c>
    </row>
    <row r="173" spans="1:2">
      <c r="A173" s="38" t="s">
        <v>341</v>
      </c>
      <c r="B173" s="38">
        <v>1</v>
      </c>
    </row>
    <row r="174" spans="1:2">
      <c r="A174" s="38" t="s">
        <v>345</v>
      </c>
      <c r="B174" s="38">
        <v>1</v>
      </c>
    </row>
    <row r="175" spans="1:2">
      <c r="A175" s="38" t="s">
        <v>347</v>
      </c>
      <c r="B175" s="38">
        <v>1</v>
      </c>
    </row>
    <row r="176" spans="1:2">
      <c r="A176" s="38" t="s">
        <v>351</v>
      </c>
      <c r="B176" s="38">
        <v>1</v>
      </c>
    </row>
    <row r="177" spans="1:2">
      <c r="A177" s="38" t="s">
        <v>355</v>
      </c>
      <c r="B177" s="38">
        <v>1</v>
      </c>
    </row>
    <row r="178" spans="1:2">
      <c r="A178" s="38" t="s">
        <v>357</v>
      </c>
      <c r="B178" s="38">
        <v>1</v>
      </c>
    </row>
    <row r="179" spans="1:2">
      <c r="A179" s="38" t="s">
        <v>361</v>
      </c>
      <c r="B179" s="38">
        <v>1</v>
      </c>
    </row>
    <row r="180" spans="1:2">
      <c r="A180" s="38" t="s">
        <v>363</v>
      </c>
      <c r="B180" s="38">
        <v>1</v>
      </c>
    </row>
    <row r="181" spans="1:2">
      <c r="A181" s="38" t="s">
        <v>365</v>
      </c>
      <c r="B181" s="38">
        <v>1</v>
      </c>
    </row>
    <row r="182" spans="1:2">
      <c r="A182" s="38" t="s">
        <v>367</v>
      </c>
      <c r="B182" s="38">
        <v>1</v>
      </c>
    </row>
    <row r="183" spans="1:2">
      <c r="A183" s="38" t="s">
        <v>371</v>
      </c>
      <c r="B183" s="38">
        <v>1</v>
      </c>
    </row>
    <row r="184" spans="1:2">
      <c r="A184" s="38" t="s">
        <v>373</v>
      </c>
      <c r="B184" s="38">
        <v>1</v>
      </c>
    </row>
    <row r="185" spans="1:2">
      <c r="A185" s="38" t="s">
        <v>375</v>
      </c>
      <c r="B185" s="38">
        <v>1</v>
      </c>
    </row>
    <row r="186" spans="1:2">
      <c r="A186" s="38" t="s">
        <v>379</v>
      </c>
      <c r="B186" s="38">
        <v>1</v>
      </c>
    </row>
    <row r="187" spans="1:2">
      <c r="A187" s="38" t="s">
        <v>381</v>
      </c>
      <c r="B187" s="38">
        <v>1</v>
      </c>
    </row>
    <row r="188" spans="1:2">
      <c r="A188" s="38" t="s">
        <v>385</v>
      </c>
      <c r="B188" s="38">
        <v>1</v>
      </c>
    </row>
    <row r="189" spans="1:2">
      <c r="A189" s="38" t="s">
        <v>387</v>
      </c>
      <c r="B189" s="38">
        <v>1</v>
      </c>
    </row>
    <row r="190" spans="1:2">
      <c r="A190" s="38" t="s">
        <v>389</v>
      </c>
      <c r="B190" s="38">
        <v>1</v>
      </c>
    </row>
    <row r="191" spans="1:2">
      <c r="A191" s="38" t="s">
        <v>391</v>
      </c>
      <c r="B191" s="38">
        <v>1</v>
      </c>
    </row>
    <row r="192" spans="1:2">
      <c r="A192" s="38" t="s">
        <v>393</v>
      </c>
      <c r="B192" s="38">
        <v>1</v>
      </c>
    </row>
    <row r="193" spans="1:2">
      <c r="A193" s="38" t="s">
        <v>399</v>
      </c>
      <c r="B193" s="38">
        <v>1</v>
      </c>
    </row>
    <row r="194" spans="1:2">
      <c r="A194" s="38" t="s">
        <v>401</v>
      </c>
      <c r="B194" s="38">
        <v>1</v>
      </c>
    </row>
    <row r="195" spans="1:2">
      <c r="A195" s="38" t="s">
        <v>407</v>
      </c>
      <c r="B195" s="38">
        <v>1</v>
      </c>
    </row>
    <row r="196" spans="1:2">
      <c r="A196" s="38" t="s">
        <v>409</v>
      </c>
      <c r="B196" s="38">
        <v>1</v>
      </c>
    </row>
    <row r="197" spans="1:2">
      <c r="A197" s="38" t="s">
        <v>413</v>
      </c>
      <c r="B197" s="38">
        <v>1</v>
      </c>
    </row>
    <row r="198" spans="1:2">
      <c r="A198" s="38" t="s">
        <v>419</v>
      </c>
      <c r="B198" s="38">
        <v>1</v>
      </c>
    </row>
    <row r="199" spans="1:2">
      <c r="A199" s="38" t="s">
        <v>423</v>
      </c>
      <c r="B199" s="38">
        <v>1</v>
      </c>
    </row>
    <row r="200" spans="1:2">
      <c r="A200" s="38" t="s">
        <v>425</v>
      </c>
      <c r="B200" s="38">
        <v>1</v>
      </c>
    </row>
    <row r="201" spans="1:2">
      <c r="A201" s="38" t="s">
        <v>429</v>
      </c>
      <c r="B201" s="38">
        <v>1</v>
      </c>
    </row>
    <row r="202" spans="1:2">
      <c r="A202" s="38" t="s">
        <v>431</v>
      </c>
      <c r="B202" s="38">
        <v>1</v>
      </c>
    </row>
    <row r="203" spans="1:2">
      <c r="A203" s="38" t="s">
        <v>433</v>
      </c>
      <c r="B203" s="38">
        <v>1</v>
      </c>
    </row>
    <row r="204" spans="1:2">
      <c r="A204" s="38" t="s">
        <v>435</v>
      </c>
      <c r="B204" s="38">
        <v>1</v>
      </c>
    </row>
    <row r="205" spans="1:2">
      <c r="A205" s="38" t="s">
        <v>439</v>
      </c>
      <c r="B205" s="38">
        <v>1</v>
      </c>
    </row>
    <row r="206" spans="1:2">
      <c r="A206" s="38" t="s">
        <v>441</v>
      </c>
      <c r="B206" s="38">
        <v>1</v>
      </c>
    </row>
    <row r="207" spans="1:2">
      <c r="A207" s="38" t="s">
        <v>443</v>
      </c>
      <c r="B207" s="38">
        <v>1</v>
      </c>
    </row>
    <row r="208" spans="1:2">
      <c r="A208" s="38" t="s">
        <v>445</v>
      </c>
      <c r="B208" s="38">
        <v>1</v>
      </c>
    </row>
    <row r="209" spans="1:2">
      <c r="A209" s="38" t="s">
        <v>449</v>
      </c>
      <c r="B209" s="38">
        <v>1</v>
      </c>
    </row>
    <row r="210" spans="1:2">
      <c r="A210" s="38" t="s">
        <v>451</v>
      </c>
      <c r="B210" s="38">
        <v>1</v>
      </c>
    </row>
    <row r="211" spans="1:2">
      <c r="A211" s="38" t="s">
        <v>453</v>
      </c>
      <c r="B211" s="38">
        <v>1</v>
      </c>
    </row>
    <row r="212" spans="1:2">
      <c r="A212" s="38" t="s">
        <v>455</v>
      </c>
      <c r="B212" s="38">
        <v>1</v>
      </c>
    </row>
    <row r="213" spans="1:2">
      <c r="A213" s="38" t="s">
        <v>457</v>
      </c>
      <c r="B213" s="38">
        <v>1</v>
      </c>
    </row>
    <row r="214" spans="1:2">
      <c r="A214" s="38" t="s">
        <v>459</v>
      </c>
      <c r="B214" s="38">
        <v>1</v>
      </c>
    </row>
    <row r="215" spans="1:2">
      <c r="A215" s="38" t="s">
        <v>461</v>
      </c>
      <c r="B215" s="38">
        <v>1</v>
      </c>
    </row>
    <row r="216" spans="1:2">
      <c r="A216" s="38" t="s">
        <v>463</v>
      </c>
      <c r="B216" s="38">
        <v>1</v>
      </c>
    </row>
    <row r="217" spans="1:2">
      <c r="A217" s="38" t="s">
        <v>467</v>
      </c>
      <c r="B217" s="38">
        <v>1</v>
      </c>
    </row>
    <row r="218" spans="1:2">
      <c r="A218" s="38" t="s">
        <v>471</v>
      </c>
      <c r="B218" s="38">
        <v>1</v>
      </c>
    </row>
    <row r="219" spans="1:2">
      <c r="A219" s="38" t="s">
        <v>473</v>
      </c>
      <c r="B219" s="38">
        <v>1</v>
      </c>
    </row>
    <row r="220" spans="1:2">
      <c r="A220" s="38" t="s">
        <v>475</v>
      </c>
      <c r="B220" s="38">
        <v>1</v>
      </c>
    </row>
    <row r="221" spans="1:2">
      <c r="A221" s="38" t="s">
        <v>477</v>
      </c>
      <c r="B221" s="38">
        <v>1</v>
      </c>
    </row>
    <row r="222" spans="1:2">
      <c r="A222" s="38" t="s">
        <v>479</v>
      </c>
      <c r="B222" s="38">
        <v>1</v>
      </c>
    </row>
    <row r="223" spans="1:2">
      <c r="A223" s="38" t="s">
        <v>481</v>
      </c>
      <c r="B223" s="38">
        <v>1</v>
      </c>
    </row>
    <row r="224" spans="1:2">
      <c r="A224" s="38" t="s">
        <v>483</v>
      </c>
      <c r="B224" s="38">
        <v>1</v>
      </c>
    </row>
    <row r="225" spans="1:2">
      <c r="A225" s="38" t="s">
        <v>485</v>
      </c>
      <c r="B225" s="38">
        <v>1</v>
      </c>
    </row>
    <row r="226" spans="1:2">
      <c r="A226" s="38" t="s">
        <v>487</v>
      </c>
      <c r="B226" s="38">
        <v>1</v>
      </c>
    </row>
    <row r="227" spans="1:2">
      <c r="A227" s="38" t="s">
        <v>489</v>
      </c>
      <c r="B227" s="38">
        <v>1</v>
      </c>
    </row>
    <row r="228" spans="1:2">
      <c r="A228" s="38" t="s">
        <v>491</v>
      </c>
      <c r="B228" s="38">
        <v>1</v>
      </c>
    </row>
    <row r="229" spans="1:2">
      <c r="A229" s="38" t="s">
        <v>493</v>
      </c>
      <c r="B229" s="38">
        <v>1</v>
      </c>
    </row>
    <row r="230" spans="1:2">
      <c r="A230" s="38" t="s">
        <v>495</v>
      </c>
      <c r="B230" s="38">
        <v>1</v>
      </c>
    </row>
    <row r="231" spans="1:2">
      <c r="A231" s="38" t="s">
        <v>497</v>
      </c>
      <c r="B231" s="38">
        <v>1</v>
      </c>
    </row>
    <row r="232" spans="1:2">
      <c r="A232" s="38" t="s">
        <v>501</v>
      </c>
      <c r="B232" s="38">
        <v>1</v>
      </c>
    </row>
    <row r="233" spans="1:2">
      <c r="A233" s="38" t="s">
        <v>503</v>
      </c>
      <c r="B233" s="38">
        <v>1</v>
      </c>
    </row>
    <row r="234" spans="1:2">
      <c r="A234" s="38" t="s">
        <v>505</v>
      </c>
      <c r="B234" s="38">
        <v>1</v>
      </c>
    </row>
    <row r="235" spans="1:2">
      <c r="A235" s="38" t="s">
        <v>507</v>
      </c>
      <c r="B235" s="38">
        <v>1</v>
      </c>
    </row>
    <row r="236" spans="1:2">
      <c r="A236" s="38" t="s">
        <v>509</v>
      </c>
      <c r="B236" s="38">
        <v>1</v>
      </c>
    </row>
    <row r="237" spans="1:2">
      <c r="A237" s="38" t="s">
        <v>511</v>
      </c>
      <c r="B237" s="38">
        <v>1</v>
      </c>
    </row>
    <row r="238" spans="1:2">
      <c r="A238" s="38" t="s">
        <v>515</v>
      </c>
      <c r="B238" s="38">
        <v>1</v>
      </c>
    </row>
    <row r="239" spans="1:2">
      <c r="A239" s="38" t="s">
        <v>517</v>
      </c>
      <c r="B239" s="38">
        <v>1</v>
      </c>
    </row>
    <row r="240" spans="1:2">
      <c r="A240" s="38" t="s">
        <v>523</v>
      </c>
      <c r="B240" s="38">
        <v>1</v>
      </c>
    </row>
    <row r="241" spans="1:2">
      <c r="A241" s="38" t="s">
        <v>525</v>
      </c>
      <c r="B241" s="38">
        <v>1</v>
      </c>
    </row>
    <row r="242" spans="1:2">
      <c r="A242" s="38" t="s">
        <v>527</v>
      </c>
      <c r="B242" s="38">
        <v>1</v>
      </c>
    </row>
    <row r="243" spans="1:2">
      <c r="A243" s="38" t="s">
        <v>529</v>
      </c>
      <c r="B243" s="38">
        <v>1</v>
      </c>
    </row>
    <row r="244" spans="1:2">
      <c r="A244" s="38" t="s">
        <v>533</v>
      </c>
      <c r="B244" s="38">
        <v>1</v>
      </c>
    </row>
    <row r="245" spans="1:2">
      <c r="A245" s="38" t="s">
        <v>535</v>
      </c>
      <c r="B245" s="38">
        <v>1</v>
      </c>
    </row>
    <row r="246" spans="1:2">
      <c r="A246" s="38" t="s">
        <v>537</v>
      </c>
      <c r="B246" s="38">
        <v>1</v>
      </c>
    </row>
    <row r="247" spans="1:2">
      <c r="A247" s="38" t="s">
        <v>539</v>
      </c>
      <c r="B247" s="38">
        <v>1</v>
      </c>
    </row>
    <row r="248" spans="1:2">
      <c r="A248" s="38" t="s">
        <v>541</v>
      </c>
      <c r="B248" s="38">
        <v>1</v>
      </c>
    </row>
    <row r="249" spans="1:2">
      <c r="A249" s="38" t="s">
        <v>543</v>
      </c>
      <c r="B249" s="38">
        <v>1</v>
      </c>
    </row>
    <row r="250" spans="1:2">
      <c r="A250" s="38" t="s">
        <v>545</v>
      </c>
      <c r="B250" s="38">
        <v>1</v>
      </c>
    </row>
    <row r="251" spans="1:2">
      <c r="A251" s="38" t="s">
        <v>547</v>
      </c>
      <c r="B251" s="38">
        <v>1</v>
      </c>
    </row>
    <row r="252" spans="1:2">
      <c r="A252" s="38" t="s">
        <v>549</v>
      </c>
      <c r="B252" s="38">
        <v>1</v>
      </c>
    </row>
    <row r="253" spans="1:2">
      <c r="A253" s="38" t="s">
        <v>551</v>
      </c>
      <c r="B253" s="38">
        <v>1</v>
      </c>
    </row>
    <row r="254" spans="1:2">
      <c r="A254" s="38" t="s">
        <v>553</v>
      </c>
      <c r="B254" s="38">
        <v>1</v>
      </c>
    </row>
    <row r="255" spans="1:2">
      <c r="A255" s="38" t="s">
        <v>555</v>
      </c>
      <c r="B255" s="38">
        <v>1</v>
      </c>
    </row>
    <row r="256" spans="1:2">
      <c r="A256" s="38" t="s">
        <v>557</v>
      </c>
      <c r="B256" s="38">
        <v>1</v>
      </c>
    </row>
    <row r="257" spans="1:2">
      <c r="A257" s="38" t="s">
        <v>559</v>
      </c>
      <c r="B257" s="38">
        <v>1</v>
      </c>
    </row>
    <row r="258" spans="1:2">
      <c r="A258" s="38" t="s">
        <v>561</v>
      </c>
      <c r="B258" s="38">
        <v>1</v>
      </c>
    </row>
    <row r="259" spans="1:2">
      <c r="A259" s="38" t="s">
        <v>563</v>
      </c>
      <c r="B259" s="38">
        <v>1</v>
      </c>
    </row>
    <row r="260" spans="1:2">
      <c r="A260" s="38" t="s">
        <v>565</v>
      </c>
      <c r="B260" s="38">
        <v>1</v>
      </c>
    </row>
    <row r="261" spans="1:2">
      <c r="A261" s="38" t="s">
        <v>567</v>
      </c>
      <c r="B261" s="38">
        <v>1</v>
      </c>
    </row>
    <row r="262" spans="1:2">
      <c r="A262" s="38" t="s">
        <v>569</v>
      </c>
      <c r="B262" s="38">
        <v>1</v>
      </c>
    </row>
    <row r="263" spans="1:2">
      <c r="A263" s="38" t="s">
        <v>573</v>
      </c>
      <c r="B263" s="38">
        <v>1</v>
      </c>
    </row>
    <row r="264" spans="1:2">
      <c r="A264" s="38" t="s">
        <v>575</v>
      </c>
      <c r="B264" s="38">
        <v>1</v>
      </c>
    </row>
    <row r="265" spans="1:2">
      <c r="A265" s="38" t="s">
        <v>577</v>
      </c>
      <c r="B265" s="38">
        <v>1</v>
      </c>
    </row>
    <row r="266" spans="1:2">
      <c r="A266" s="38" t="s">
        <v>579</v>
      </c>
      <c r="B266" s="38">
        <v>1</v>
      </c>
    </row>
    <row r="267" spans="1:2">
      <c r="A267" s="38" t="s">
        <v>581</v>
      </c>
      <c r="B267" s="38">
        <v>1</v>
      </c>
    </row>
    <row r="268" spans="1:2">
      <c r="A268" s="38" t="s">
        <v>583</v>
      </c>
      <c r="B268" s="38">
        <v>1</v>
      </c>
    </row>
    <row r="269" spans="1:2">
      <c r="A269" s="38" t="s">
        <v>585</v>
      </c>
      <c r="B269" s="38">
        <v>1</v>
      </c>
    </row>
    <row r="270" spans="1:2">
      <c r="A270" s="38" t="s">
        <v>587</v>
      </c>
      <c r="B270" s="38">
        <v>1</v>
      </c>
    </row>
    <row r="271" spans="1:2">
      <c r="A271" s="38" t="s">
        <v>589</v>
      </c>
      <c r="B271" s="38">
        <v>1</v>
      </c>
    </row>
    <row r="272" spans="1:2">
      <c r="A272" s="38" t="s">
        <v>591</v>
      </c>
      <c r="B272" s="38">
        <v>1</v>
      </c>
    </row>
    <row r="273" spans="1:2">
      <c r="A273" s="38" t="s">
        <v>593</v>
      </c>
      <c r="B273" s="38">
        <v>1</v>
      </c>
    </row>
    <row r="274" spans="1:2">
      <c r="A274" s="38" t="s">
        <v>595</v>
      </c>
      <c r="B274" s="38">
        <v>1</v>
      </c>
    </row>
    <row r="275" spans="1:2">
      <c r="A275" s="38" t="s">
        <v>597</v>
      </c>
      <c r="B275" s="38">
        <v>1</v>
      </c>
    </row>
    <row r="276" spans="1:2">
      <c r="A276" s="38" t="s">
        <v>599</v>
      </c>
      <c r="B276" s="38">
        <v>1</v>
      </c>
    </row>
    <row r="277" spans="1:2">
      <c r="A277" s="38" t="s">
        <v>601</v>
      </c>
      <c r="B277" s="38">
        <v>1</v>
      </c>
    </row>
    <row r="278" spans="1:2">
      <c r="A278" s="38" t="s">
        <v>603</v>
      </c>
      <c r="B278" s="38">
        <v>1</v>
      </c>
    </row>
    <row r="279" spans="1:2">
      <c r="A279" s="38" t="s">
        <v>605</v>
      </c>
      <c r="B279" s="38">
        <v>1</v>
      </c>
    </row>
    <row r="280" spans="1:2">
      <c r="A280" s="38" t="s">
        <v>607</v>
      </c>
      <c r="B280" s="38">
        <v>1</v>
      </c>
    </row>
    <row r="281" spans="1:2">
      <c r="A281" s="38" t="s">
        <v>611</v>
      </c>
      <c r="B281" s="38">
        <v>1</v>
      </c>
    </row>
    <row r="282" spans="1:2">
      <c r="A282" s="38" t="s">
        <v>615</v>
      </c>
      <c r="B282" s="38">
        <v>1</v>
      </c>
    </row>
    <row r="283" spans="1:2">
      <c r="A283" s="38" t="s">
        <v>617</v>
      </c>
      <c r="B283" s="38">
        <v>1</v>
      </c>
    </row>
    <row r="284" spans="1:2">
      <c r="A284" s="38" t="s">
        <v>619</v>
      </c>
      <c r="B284" s="38">
        <v>1</v>
      </c>
    </row>
    <row r="285" spans="1:2">
      <c r="A285" s="38" t="s">
        <v>621</v>
      </c>
      <c r="B285" s="38">
        <v>1</v>
      </c>
    </row>
    <row r="286" spans="1:2">
      <c r="A286" s="38" t="s">
        <v>623</v>
      </c>
      <c r="B286" s="38">
        <v>1</v>
      </c>
    </row>
    <row r="287" spans="1:2">
      <c r="A287" s="38" t="s">
        <v>625</v>
      </c>
      <c r="B287" s="38">
        <v>1</v>
      </c>
    </row>
    <row r="288" spans="1:2">
      <c r="A288" s="38" t="s">
        <v>627</v>
      </c>
      <c r="B288" s="38">
        <v>1</v>
      </c>
    </row>
    <row r="289" spans="1:2">
      <c r="A289" s="38" t="s">
        <v>629</v>
      </c>
      <c r="B289" s="38">
        <v>1</v>
      </c>
    </row>
    <row r="290" spans="1:2">
      <c r="A290" s="38" t="s">
        <v>633</v>
      </c>
      <c r="B290" s="38">
        <v>1</v>
      </c>
    </row>
    <row r="291" spans="1:2">
      <c r="A291" s="38" t="s">
        <v>635</v>
      </c>
      <c r="B291" s="38">
        <v>1</v>
      </c>
    </row>
    <row r="292" spans="1:2">
      <c r="A292" s="38" t="s">
        <v>637</v>
      </c>
      <c r="B292" s="38">
        <v>1</v>
      </c>
    </row>
    <row r="293" spans="1:2">
      <c r="A293" s="38" t="s">
        <v>639</v>
      </c>
      <c r="B293" s="38">
        <v>1</v>
      </c>
    </row>
    <row r="294" spans="1:2">
      <c r="A294" s="38" t="s">
        <v>643</v>
      </c>
      <c r="B294" s="38">
        <v>1</v>
      </c>
    </row>
    <row r="295" spans="1:2">
      <c r="A295" s="38" t="s">
        <v>645</v>
      </c>
      <c r="B295" s="38">
        <v>1</v>
      </c>
    </row>
    <row r="296" spans="1:2">
      <c r="A296" s="38" t="s">
        <v>647</v>
      </c>
      <c r="B296" s="38">
        <v>1</v>
      </c>
    </row>
    <row r="297" spans="1:2">
      <c r="A297" s="38" t="s">
        <v>649</v>
      </c>
      <c r="B297" s="38">
        <v>1</v>
      </c>
    </row>
    <row r="298" spans="1:2">
      <c r="A298" s="38" t="s">
        <v>651</v>
      </c>
      <c r="B298" s="38">
        <v>1</v>
      </c>
    </row>
    <row r="299" spans="1:2">
      <c r="A299" s="38" t="s">
        <v>653</v>
      </c>
      <c r="B299" s="38">
        <v>1</v>
      </c>
    </row>
    <row r="300" spans="1:2">
      <c r="A300" s="38" t="s">
        <v>655</v>
      </c>
      <c r="B300" s="38">
        <v>1</v>
      </c>
    </row>
    <row r="301" spans="1:2">
      <c r="A301" s="38" t="s">
        <v>657</v>
      </c>
      <c r="B301" s="38">
        <v>1</v>
      </c>
    </row>
    <row r="302" spans="1:2">
      <c r="A302" s="38" t="s">
        <v>659</v>
      </c>
      <c r="B302" s="38">
        <v>1</v>
      </c>
    </row>
    <row r="303" spans="1:2">
      <c r="A303" s="38" t="s">
        <v>661</v>
      </c>
      <c r="B303" s="38">
        <v>1</v>
      </c>
    </row>
    <row r="304" spans="1:2">
      <c r="A304" s="38" t="s">
        <v>663</v>
      </c>
      <c r="B304" s="38">
        <v>1</v>
      </c>
    </row>
    <row r="305" spans="1:2">
      <c r="A305" s="38" t="s">
        <v>665</v>
      </c>
      <c r="B305" s="38">
        <v>1</v>
      </c>
    </row>
    <row r="306" spans="1:2">
      <c r="A306" s="38" t="s">
        <v>667</v>
      </c>
      <c r="B306" s="38">
        <v>1</v>
      </c>
    </row>
    <row r="307" spans="1:2">
      <c r="A307" s="38" t="s">
        <v>669</v>
      </c>
      <c r="B307" s="38">
        <v>1</v>
      </c>
    </row>
    <row r="308" spans="1:2">
      <c r="A308" s="38" t="s">
        <v>671</v>
      </c>
      <c r="B308" s="38">
        <v>1</v>
      </c>
    </row>
    <row r="309" spans="1:2">
      <c r="A309" s="38" t="s">
        <v>673</v>
      </c>
      <c r="B309" s="38">
        <v>1</v>
      </c>
    </row>
    <row r="310" spans="1:2">
      <c r="A310" s="38" t="s">
        <v>677</v>
      </c>
      <c r="B310" s="38">
        <v>1</v>
      </c>
    </row>
    <row r="311" spans="1:2">
      <c r="A311" s="38" t="s">
        <v>679</v>
      </c>
      <c r="B311" s="38">
        <v>1</v>
      </c>
    </row>
    <row r="312" spans="1:2">
      <c r="A312" s="38" t="s">
        <v>681</v>
      </c>
      <c r="B312" s="38">
        <v>1</v>
      </c>
    </row>
    <row r="313" spans="1:2">
      <c r="A313" s="38" t="s">
        <v>683</v>
      </c>
      <c r="B313" s="38">
        <v>1</v>
      </c>
    </row>
    <row r="314" spans="1:2">
      <c r="A314" s="38" t="s">
        <v>685</v>
      </c>
      <c r="B314" s="38">
        <v>1</v>
      </c>
    </row>
    <row r="315" spans="1:2">
      <c r="A315" s="38" t="s">
        <v>687</v>
      </c>
      <c r="B315" s="38">
        <v>1</v>
      </c>
    </row>
    <row r="316" spans="1:2">
      <c r="A316" s="38" t="s">
        <v>693</v>
      </c>
      <c r="B316" s="38">
        <v>1</v>
      </c>
    </row>
    <row r="317" spans="1:2">
      <c r="A317" s="38" t="s">
        <v>695</v>
      </c>
      <c r="B317" s="38">
        <v>1</v>
      </c>
    </row>
    <row r="318" spans="1:2">
      <c r="A318" s="38" t="s">
        <v>697</v>
      </c>
      <c r="B318" s="38">
        <v>1</v>
      </c>
    </row>
    <row r="319" spans="1:2">
      <c r="A319" s="38" t="s">
        <v>699</v>
      </c>
      <c r="B319" s="38">
        <v>1</v>
      </c>
    </row>
    <row r="320" spans="1:2">
      <c r="A320" s="38" t="s">
        <v>701</v>
      </c>
      <c r="B320" s="38">
        <v>1</v>
      </c>
    </row>
    <row r="321" spans="1:2">
      <c r="A321" s="38" t="s">
        <v>703</v>
      </c>
      <c r="B321" s="38">
        <v>1</v>
      </c>
    </row>
    <row r="322" spans="1:2">
      <c r="A322" s="38" t="s">
        <v>705</v>
      </c>
      <c r="B322" s="38">
        <v>1</v>
      </c>
    </row>
    <row r="323" spans="1:2">
      <c r="A323" s="38" t="s">
        <v>707</v>
      </c>
      <c r="B323" s="38">
        <v>1</v>
      </c>
    </row>
    <row r="324" spans="1:2">
      <c r="A324" s="38" t="s">
        <v>709</v>
      </c>
      <c r="B324" s="38">
        <v>1</v>
      </c>
    </row>
    <row r="325" spans="1:2">
      <c r="A325" s="38" t="s">
        <v>711</v>
      </c>
      <c r="B325" s="38">
        <v>1</v>
      </c>
    </row>
    <row r="326" spans="1:2">
      <c r="A326" s="38" t="s">
        <v>713</v>
      </c>
      <c r="B326" s="38">
        <v>1</v>
      </c>
    </row>
    <row r="327" spans="1:2">
      <c r="A327" s="38" t="s">
        <v>715</v>
      </c>
      <c r="B327" s="38">
        <v>1</v>
      </c>
    </row>
    <row r="328" spans="1:2">
      <c r="A328" s="38" t="s">
        <v>717</v>
      </c>
      <c r="B328" s="38">
        <v>1</v>
      </c>
    </row>
    <row r="329" spans="1:2">
      <c r="A329" s="38" t="s">
        <v>721</v>
      </c>
      <c r="B329" s="38">
        <v>1</v>
      </c>
    </row>
    <row r="330" spans="1:2">
      <c r="A330" s="38" t="s">
        <v>723</v>
      </c>
      <c r="B330" s="38">
        <v>1</v>
      </c>
    </row>
    <row r="331" spans="1:2">
      <c r="A331" s="38" t="s">
        <v>725</v>
      </c>
      <c r="B331" s="38">
        <v>1</v>
      </c>
    </row>
    <row r="332" spans="1:2">
      <c r="A332" s="38" t="s">
        <v>727</v>
      </c>
      <c r="B332" s="38">
        <v>1</v>
      </c>
    </row>
    <row r="333" spans="1:2">
      <c r="A333" s="38" t="s">
        <v>729</v>
      </c>
      <c r="B333" s="38">
        <v>1</v>
      </c>
    </row>
    <row r="334" spans="1:2">
      <c r="A334" s="38" t="s">
        <v>731</v>
      </c>
      <c r="B334" s="38">
        <v>1</v>
      </c>
    </row>
    <row r="335" spans="1:2">
      <c r="A335" s="38" t="s">
        <v>733</v>
      </c>
      <c r="B335" s="38">
        <v>1</v>
      </c>
    </row>
    <row r="336" spans="1:2">
      <c r="A336" s="38" t="s">
        <v>737</v>
      </c>
      <c r="B336" s="38">
        <v>1</v>
      </c>
    </row>
    <row r="337" spans="1:2">
      <c r="A337" s="38" t="s">
        <v>739</v>
      </c>
      <c r="B337" s="38">
        <v>1</v>
      </c>
    </row>
    <row r="338" spans="1:2">
      <c r="A338" s="38" t="s">
        <v>741</v>
      </c>
      <c r="B338" s="38">
        <v>1</v>
      </c>
    </row>
    <row r="339" spans="1:2">
      <c r="A339" s="38" t="s">
        <v>743</v>
      </c>
      <c r="B339" s="38">
        <v>1</v>
      </c>
    </row>
    <row r="340" spans="1:2">
      <c r="A340" s="38" t="s">
        <v>745</v>
      </c>
      <c r="B340" s="38">
        <v>1</v>
      </c>
    </row>
    <row r="341" spans="1:2">
      <c r="A341" s="38" t="s">
        <v>747</v>
      </c>
      <c r="B341" s="38">
        <v>1</v>
      </c>
    </row>
    <row r="342" spans="1:2">
      <c r="A342" s="38" t="s">
        <v>749</v>
      </c>
      <c r="B342" s="38">
        <v>1</v>
      </c>
    </row>
    <row r="343" spans="1:2">
      <c r="A343" s="38" t="s">
        <v>751</v>
      </c>
      <c r="B343" s="38">
        <v>1</v>
      </c>
    </row>
    <row r="344" spans="1:2">
      <c r="A344" s="38" t="s">
        <v>753</v>
      </c>
      <c r="B344" s="38">
        <v>1</v>
      </c>
    </row>
    <row r="345" spans="1:2">
      <c r="A345" s="38" t="s">
        <v>755</v>
      </c>
      <c r="B345" s="38">
        <v>1</v>
      </c>
    </row>
  </sheetData>
  <sheetProtection algorithmName="SHA-512" hashValue="26WyEGbLUCHEPaeqh2YGbiSUkjxe+5uuZXzAH/h5zxY26Juc5z7z20H3K5cnQ0cNei/e5uZW++5xP+X/kIeLKA==" saltValue="F/7mFzvFCt+Zky6RUqZBkQ==" spinCount="100000" sheet="1" objects="1" scenarios="1" sort="0" autoFilter="0" pivotTables="0"/>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936E4-FD78-4D25-8FAF-0A53965A9A73}">
  <sheetPr>
    <tabColor theme="9" tint="-0.249977111117893"/>
  </sheetPr>
  <dimension ref="A1:AS335"/>
  <sheetViews>
    <sheetView workbookViewId="0">
      <selection activeCell="B10" sqref="B10"/>
    </sheetView>
  </sheetViews>
  <sheetFormatPr defaultColWidth="9" defaultRowHeight="14"/>
  <cols>
    <col min="1" max="1" width="16" style="1" customWidth="1"/>
    <col min="2" max="2" width="38.453125" style="1" customWidth="1"/>
    <col min="3" max="43" width="9" style="1"/>
    <col min="44" max="44" width="9" style="21"/>
    <col min="45" max="16384" width="9" style="1"/>
  </cols>
  <sheetData>
    <row r="1" spans="1:45">
      <c r="A1" s="38" t="s">
        <v>841</v>
      </c>
      <c r="B1" s="38" t="s">
        <v>842</v>
      </c>
      <c r="C1" s="38">
        <v>2001</v>
      </c>
      <c r="D1" s="38">
        <v>2002</v>
      </c>
      <c r="E1" s="38">
        <v>2003</v>
      </c>
      <c r="F1" s="38">
        <v>2004</v>
      </c>
      <c r="G1" s="38">
        <v>2005</v>
      </c>
      <c r="H1" s="38">
        <v>2006</v>
      </c>
      <c r="I1" s="38">
        <v>2007</v>
      </c>
      <c r="J1" s="38">
        <v>2008</v>
      </c>
      <c r="K1" s="38">
        <v>2009</v>
      </c>
      <c r="L1" s="38">
        <v>2010</v>
      </c>
      <c r="M1" s="38">
        <v>2011</v>
      </c>
      <c r="N1" s="38">
        <v>2012</v>
      </c>
      <c r="O1" s="38">
        <v>2013</v>
      </c>
      <c r="P1" s="38">
        <v>2014</v>
      </c>
      <c r="Q1" s="38">
        <v>2015</v>
      </c>
      <c r="R1" s="38">
        <v>2016</v>
      </c>
      <c r="S1" s="38">
        <v>2017</v>
      </c>
      <c r="T1" s="38">
        <v>2018</v>
      </c>
      <c r="U1" s="38">
        <v>2019</v>
      </c>
      <c r="V1" s="38">
        <v>2020</v>
      </c>
      <c r="W1" s="38">
        <v>2021</v>
      </c>
      <c r="X1" s="38">
        <v>2022</v>
      </c>
      <c r="Y1" s="38">
        <v>2023</v>
      </c>
      <c r="Z1" s="38">
        <v>2024</v>
      </c>
      <c r="AA1" s="38">
        <v>2025</v>
      </c>
      <c r="AB1" s="38">
        <v>2026</v>
      </c>
      <c r="AC1" s="38">
        <v>2027</v>
      </c>
      <c r="AD1" s="38">
        <v>2028</v>
      </c>
      <c r="AE1" s="38">
        <v>2029</v>
      </c>
      <c r="AF1" s="38">
        <v>2030</v>
      </c>
      <c r="AG1" s="38">
        <v>2031</v>
      </c>
      <c r="AH1" s="38">
        <v>2032</v>
      </c>
      <c r="AI1" s="38">
        <v>2033</v>
      </c>
      <c r="AJ1" s="38">
        <v>2034</v>
      </c>
      <c r="AK1" s="38">
        <v>2035</v>
      </c>
      <c r="AL1" s="38">
        <v>2036</v>
      </c>
      <c r="AM1" s="38">
        <v>2037</v>
      </c>
      <c r="AN1" s="38">
        <v>2038</v>
      </c>
      <c r="AO1" s="38">
        <v>2039</v>
      </c>
      <c r="AP1" s="38">
        <v>2040</v>
      </c>
      <c r="AQ1" s="38">
        <v>2041</v>
      </c>
      <c r="AR1" s="38">
        <v>2042</v>
      </c>
      <c r="AS1" s="38">
        <v>2043</v>
      </c>
    </row>
    <row r="2" spans="1:45">
      <c r="A2" s="38" t="s">
        <v>111</v>
      </c>
      <c r="B2" s="38" t="s">
        <v>112</v>
      </c>
      <c r="C2" s="41">
        <v>25832</v>
      </c>
      <c r="D2" s="41">
        <v>25978</v>
      </c>
      <c r="E2" s="41">
        <v>25935</v>
      </c>
      <c r="F2" s="41">
        <v>25985</v>
      </c>
      <c r="G2" s="41">
        <v>25990</v>
      </c>
      <c r="H2" s="41">
        <v>26235</v>
      </c>
      <c r="I2" s="41">
        <v>26361</v>
      </c>
      <c r="J2" s="41">
        <v>26497</v>
      </c>
      <c r="K2" s="41">
        <v>26665</v>
      </c>
      <c r="L2" s="41">
        <v>26728</v>
      </c>
      <c r="M2" s="41">
        <v>26936</v>
      </c>
      <c r="N2" s="41">
        <v>27153</v>
      </c>
      <c r="O2" s="41">
        <v>27385</v>
      </c>
      <c r="P2" s="41">
        <v>27631</v>
      </c>
      <c r="Q2" s="41">
        <v>27728</v>
      </c>
      <c r="R2" s="41">
        <v>27775</v>
      </c>
      <c r="S2" s="41">
        <v>27851</v>
      </c>
      <c r="T2" s="41">
        <v>27937</v>
      </c>
      <c r="U2" s="41">
        <v>28092</v>
      </c>
      <c r="V2" s="41">
        <v>28205</v>
      </c>
      <c r="W2" s="41">
        <v>28320</v>
      </c>
      <c r="X2" s="41">
        <v>28473</v>
      </c>
      <c r="Y2" s="41">
        <v>28636</v>
      </c>
      <c r="Z2" s="41">
        <v>28794</v>
      </c>
      <c r="AA2" s="41">
        <v>28940</v>
      </c>
      <c r="AB2" s="41">
        <v>29088</v>
      </c>
      <c r="AC2" s="41">
        <v>29256</v>
      </c>
      <c r="AD2" s="41">
        <v>29422</v>
      </c>
      <c r="AE2" s="41">
        <v>29575</v>
      </c>
      <c r="AF2" s="41">
        <v>29721</v>
      </c>
      <c r="AG2" s="41">
        <v>29872</v>
      </c>
      <c r="AH2" s="41">
        <v>30019</v>
      </c>
      <c r="AI2" s="41">
        <v>30169</v>
      </c>
      <c r="AJ2" s="41">
        <v>30312</v>
      </c>
      <c r="AK2" s="41">
        <v>30462</v>
      </c>
      <c r="AL2" s="41">
        <v>30607</v>
      </c>
      <c r="AM2" s="41">
        <v>30753</v>
      </c>
      <c r="AN2" s="41">
        <v>30902</v>
      </c>
      <c r="AO2" s="41">
        <v>31048</v>
      </c>
      <c r="AP2" s="41">
        <v>31196</v>
      </c>
      <c r="AQ2" s="41">
        <v>31354</v>
      </c>
      <c r="AR2" s="41">
        <v>31516</v>
      </c>
      <c r="AS2" s="41">
        <v>31668</v>
      </c>
    </row>
    <row r="3" spans="1:45">
      <c r="A3" s="38" t="s">
        <v>114</v>
      </c>
      <c r="B3" s="38" t="s">
        <v>115</v>
      </c>
      <c r="C3" s="41">
        <v>39527</v>
      </c>
      <c r="D3" s="41">
        <v>39795</v>
      </c>
      <c r="E3" s="41">
        <v>40213</v>
      </c>
      <c r="F3" s="41">
        <v>40564</v>
      </c>
      <c r="G3" s="41">
        <v>40769</v>
      </c>
      <c r="H3" s="41">
        <v>41055</v>
      </c>
      <c r="I3" s="41">
        <v>41375</v>
      </c>
      <c r="J3" s="41">
        <v>41612</v>
      </c>
      <c r="K3" s="41">
        <v>41835</v>
      </c>
      <c r="L3" s="41">
        <v>41955</v>
      </c>
      <c r="M3" s="41">
        <v>42230</v>
      </c>
      <c r="N3" s="41">
        <v>42300</v>
      </c>
      <c r="O3" s="41">
        <v>42374</v>
      </c>
      <c r="P3" s="41">
        <v>42611</v>
      </c>
      <c r="Q3" s="41">
        <v>42825</v>
      </c>
      <c r="R3" s="41">
        <v>43084</v>
      </c>
      <c r="S3" s="41">
        <v>43247</v>
      </c>
      <c r="T3" s="41">
        <v>43470</v>
      </c>
      <c r="U3" s="41">
        <v>43724</v>
      </c>
      <c r="V3" s="41">
        <v>43895</v>
      </c>
      <c r="W3" s="41">
        <v>44034</v>
      </c>
      <c r="X3" s="41">
        <v>44199</v>
      </c>
      <c r="Y3" s="41">
        <v>44359</v>
      </c>
      <c r="Z3" s="41">
        <v>44485</v>
      </c>
      <c r="AA3" s="41">
        <v>44588</v>
      </c>
      <c r="AB3" s="41">
        <v>44677</v>
      </c>
      <c r="AC3" s="41">
        <v>44782</v>
      </c>
      <c r="AD3" s="41">
        <v>44896</v>
      </c>
      <c r="AE3" s="41">
        <v>44982</v>
      </c>
      <c r="AF3" s="41">
        <v>45059</v>
      </c>
      <c r="AG3" s="41">
        <v>45142</v>
      </c>
      <c r="AH3" s="41">
        <v>45207</v>
      </c>
      <c r="AI3" s="41">
        <v>45300</v>
      </c>
      <c r="AJ3" s="41">
        <v>45383</v>
      </c>
      <c r="AK3" s="41">
        <v>45465</v>
      </c>
      <c r="AL3" s="41">
        <v>45564</v>
      </c>
      <c r="AM3" s="41">
        <v>45653</v>
      </c>
      <c r="AN3" s="41">
        <v>45736</v>
      </c>
      <c r="AO3" s="41">
        <v>45820</v>
      </c>
      <c r="AP3" s="41">
        <v>45889</v>
      </c>
      <c r="AQ3" s="41">
        <v>45968</v>
      </c>
      <c r="AR3" s="41">
        <v>46047</v>
      </c>
      <c r="AS3" s="41">
        <v>46096</v>
      </c>
    </row>
    <row r="4" spans="1:45">
      <c r="A4" s="38" t="s">
        <v>117</v>
      </c>
      <c r="B4" s="38" t="s">
        <v>118</v>
      </c>
      <c r="C4" s="41">
        <v>48887</v>
      </c>
      <c r="D4" s="41">
        <v>49239</v>
      </c>
      <c r="E4" s="41">
        <v>49542</v>
      </c>
      <c r="F4" s="41">
        <v>49841</v>
      </c>
      <c r="G4" s="41">
        <v>50222</v>
      </c>
      <c r="H4" s="41">
        <v>50698</v>
      </c>
      <c r="I4" s="41">
        <v>50984</v>
      </c>
      <c r="J4" s="41">
        <v>51394</v>
      </c>
      <c r="K4" s="41">
        <v>51650</v>
      </c>
      <c r="L4" s="41">
        <v>52010</v>
      </c>
      <c r="M4" s="41">
        <v>52514</v>
      </c>
      <c r="N4" s="41">
        <v>52768</v>
      </c>
      <c r="O4" s="41">
        <v>53193</v>
      </c>
      <c r="P4" s="41">
        <v>53547</v>
      </c>
      <c r="Q4" s="41">
        <v>53797</v>
      </c>
      <c r="R4" s="41">
        <v>54225</v>
      </c>
      <c r="S4" s="41">
        <v>54806</v>
      </c>
      <c r="T4" s="41">
        <v>55304</v>
      </c>
      <c r="U4" s="41">
        <v>55893</v>
      </c>
      <c r="V4" s="41">
        <v>56413</v>
      </c>
      <c r="W4" s="41">
        <v>56923</v>
      </c>
      <c r="X4" s="41">
        <v>57496</v>
      </c>
      <c r="Y4" s="41">
        <v>58033</v>
      </c>
      <c r="Z4" s="41">
        <v>58560</v>
      </c>
      <c r="AA4" s="41">
        <v>59047</v>
      </c>
      <c r="AB4" s="41">
        <v>59524</v>
      </c>
      <c r="AC4" s="41">
        <v>59997</v>
      </c>
      <c r="AD4" s="41">
        <v>60455</v>
      </c>
      <c r="AE4" s="41">
        <v>60890</v>
      </c>
      <c r="AF4" s="41">
        <v>61314</v>
      </c>
      <c r="AG4" s="41">
        <v>61718</v>
      </c>
      <c r="AH4" s="41">
        <v>62102</v>
      </c>
      <c r="AI4" s="41">
        <v>62507</v>
      </c>
      <c r="AJ4" s="41">
        <v>62895</v>
      </c>
      <c r="AK4" s="41">
        <v>63281</v>
      </c>
      <c r="AL4" s="41">
        <v>63668</v>
      </c>
      <c r="AM4" s="41">
        <v>64050</v>
      </c>
      <c r="AN4" s="41">
        <v>64442</v>
      </c>
      <c r="AO4" s="41">
        <v>64823</v>
      </c>
      <c r="AP4" s="41">
        <v>65191</v>
      </c>
      <c r="AQ4" s="41">
        <v>65576</v>
      </c>
      <c r="AR4" s="41">
        <v>65960</v>
      </c>
      <c r="AS4" s="41">
        <v>66320</v>
      </c>
    </row>
    <row r="5" spans="1:45">
      <c r="A5" s="38" t="s">
        <v>120</v>
      </c>
      <c r="B5" s="38" t="s">
        <v>121</v>
      </c>
      <c r="C5" s="41">
        <v>62543</v>
      </c>
      <c r="D5" s="41">
        <v>63093</v>
      </c>
      <c r="E5" s="41">
        <v>63556</v>
      </c>
      <c r="F5" s="41">
        <v>64271</v>
      </c>
      <c r="G5" s="41">
        <v>64574</v>
      </c>
      <c r="H5" s="41">
        <v>64925</v>
      </c>
      <c r="I5" s="41">
        <v>65350</v>
      </c>
      <c r="J5" s="41">
        <v>65839</v>
      </c>
      <c r="K5" s="41">
        <v>65975</v>
      </c>
      <c r="L5" s="41">
        <v>66269</v>
      </c>
      <c r="M5" s="41">
        <v>66694</v>
      </c>
      <c r="N5" s="41">
        <v>67292</v>
      </c>
      <c r="O5" s="41">
        <v>67859</v>
      </c>
      <c r="P5" s="41">
        <v>68643</v>
      </c>
      <c r="Q5" s="41">
        <v>69139</v>
      </c>
      <c r="R5" s="41">
        <v>69812</v>
      </c>
      <c r="S5" s="41">
        <v>70468</v>
      </c>
      <c r="T5" s="41">
        <v>71003</v>
      </c>
      <c r="U5" s="41">
        <v>71810</v>
      </c>
      <c r="V5" s="41">
        <v>72523</v>
      </c>
      <c r="W5" s="41">
        <v>73188</v>
      </c>
      <c r="X5" s="41">
        <v>74022</v>
      </c>
      <c r="Y5" s="41">
        <v>74856</v>
      </c>
      <c r="Z5" s="41">
        <v>75668</v>
      </c>
      <c r="AA5" s="41">
        <v>76464</v>
      </c>
      <c r="AB5" s="41">
        <v>77250</v>
      </c>
      <c r="AC5" s="41">
        <v>78066</v>
      </c>
      <c r="AD5" s="41">
        <v>78857</v>
      </c>
      <c r="AE5" s="41">
        <v>79630</v>
      </c>
      <c r="AF5" s="41">
        <v>80367</v>
      </c>
      <c r="AG5" s="41">
        <v>81114</v>
      </c>
      <c r="AH5" s="41">
        <v>81862</v>
      </c>
      <c r="AI5" s="41">
        <v>82580</v>
      </c>
      <c r="AJ5" s="41">
        <v>83301</v>
      </c>
      <c r="AK5" s="41">
        <v>84020</v>
      </c>
      <c r="AL5" s="41">
        <v>84726</v>
      </c>
      <c r="AM5" s="41">
        <v>85408</v>
      </c>
      <c r="AN5" s="41">
        <v>86070</v>
      </c>
      <c r="AO5" s="41">
        <v>86718</v>
      </c>
      <c r="AP5" s="41">
        <v>87356</v>
      </c>
      <c r="AQ5" s="41">
        <v>88008</v>
      </c>
      <c r="AR5" s="41">
        <v>88641</v>
      </c>
      <c r="AS5" s="41">
        <v>89234</v>
      </c>
    </row>
    <row r="6" spans="1:45">
      <c r="A6" s="38" t="s">
        <v>122</v>
      </c>
      <c r="B6" s="38" t="s">
        <v>123</v>
      </c>
      <c r="C6" s="41">
        <v>46312</v>
      </c>
      <c r="D6" s="41">
        <v>46790</v>
      </c>
      <c r="E6" s="41">
        <v>47100</v>
      </c>
      <c r="F6" s="41">
        <v>47613</v>
      </c>
      <c r="G6" s="41">
        <v>48101</v>
      </c>
      <c r="H6" s="41">
        <v>48481</v>
      </c>
      <c r="I6" s="41">
        <v>48747</v>
      </c>
      <c r="J6" s="41">
        <v>49180</v>
      </c>
      <c r="K6" s="41">
        <v>49570</v>
      </c>
      <c r="L6" s="41">
        <v>49950</v>
      </c>
      <c r="M6" s="41">
        <v>50658</v>
      </c>
      <c r="N6" s="41">
        <v>50963</v>
      </c>
      <c r="O6" s="41">
        <v>51671</v>
      </c>
      <c r="P6" s="41">
        <v>52239</v>
      </c>
      <c r="Q6" s="41">
        <v>52821</v>
      </c>
      <c r="R6" s="41">
        <v>53386</v>
      </c>
      <c r="S6" s="41">
        <v>54238</v>
      </c>
      <c r="T6" s="41">
        <v>54823</v>
      </c>
      <c r="U6" s="41">
        <v>55591</v>
      </c>
      <c r="V6" s="41">
        <v>56261</v>
      </c>
      <c r="W6" s="41">
        <v>56941</v>
      </c>
      <c r="X6" s="41">
        <v>57579</v>
      </c>
      <c r="Y6" s="41">
        <v>58195</v>
      </c>
      <c r="Z6" s="41">
        <v>58776</v>
      </c>
      <c r="AA6" s="41">
        <v>59320</v>
      </c>
      <c r="AB6" s="41">
        <v>59866</v>
      </c>
      <c r="AC6" s="41">
        <v>60400</v>
      </c>
      <c r="AD6" s="41">
        <v>60914</v>
      </c>
      <c r="AE6" s="41">
        <v>61432</v>
      </c>
      <c r="AF6" s="41">
        <v>61942</v>
      </c>
      <c r="AG6" s="41">
        <v>62471</v>
      </c>
      <c r="AH6" s="41">
        <v>62987</v>
      </c>
      <c r="AI6" s="41">
        <v>63497</v>
      </c>
      <c r="AJ6" s="41">
        <v>64014</v>
      </c>
      <c r="AK6" s="41">
        <v>64527</v>
      </c>
      <c r="AL6" s="41">
        <v>65045</v>
      </c>
      <c r="AM6" s="41">
        <v>65563</v>
      </c>
      <c r="AN6" s="41">
        <v>66054</v>
      </c>
      <c r="AO6" s="41">
        <v>66540</v>
      </c>
      <c r="AP6" s="41">
        <v>67015</v>
      </c>
      <c r="AQ6" s="41">
        <v>67481</v>
      </c>
      <c r="AR6" s="41">
        <v>67942</v>
      </c>
      <c r="AS6" s="41">
        <v>68362</v>
      </c>
    </row>
    <row r="7" spans="1:45">
      <c r="A7" s="38" t="s">
        <v>124</v>
      </c>
      <c r="B7" s="38" t="s">
        <v>125</v>
      </c>
      <c r="C7" s="41">
        <v>41302</v>
      </c>
      <c r="D7" s="41">
        <v>41761</v>
      </c>
      <c r="E7" s="41">
        <v>42261</v>
      </c>
      <c r="F7" s="41">
        <v>42837</v>
      </c>
      <c r="G7" s="41">
        <v>43655</v>
      </c>
      <c r="H7" s="41">
        <v>44434</v>
      </c>
      <c r="I7" s="41">
        <v>45158</v>
      </c>
      <c r="J7" s="41">
        <v>45723</v>
      </c>
      <c r="K7" s="41">
        <v>46248</v>
      </c>
      <c r="L7" s="41">
        <v>46810</v>
      </c>
      <c r="M7" s="41">
        <v>47722</v>
      </c>
      <c r="N7" s="41">
        <v>48540</v>
      </c>
      <c r="O7" s="41">
        <v>49222</v>
      </c>
      <c r="P7" s="41">
        <v>49972</v>
      </c>
      <c r="Q7" s="41">
        <v>50489</v>
      </c>
      <c r="R7" s="41">
        <v>51353</v>
      </c>
      <c r="S7" s="41">
        <v>52228</v>
      </c>
      <c r="T7" s="41">
        <v>53016</v>
      </c>
      <c r="U7" s="41">
        <v>53853</v>
      </c>
      <c r="V7" s="41">
        <v>54620</v>
      </c>
      <c r="W7" s="41">
        <v>55338</v>
      </c>
      <c r="X7" s="41">
        <v>56117</v>
      </c>
      <c r="Y7" s="41">
        <v>56839</v>
      </c>
      <c r="Z7" s="41">
        <v>57544</v>
      </c>
      <c r="AA7" s="41">
        <v>58208</v>
      </c>
      <c r="AB7" s="41">
        <v>58845</v>
      </c>
      <c r="AC7" s="41">
        <v>59522</v>
      </c>
      <c r="AD7" s="41">
        <v>60154</v>
      </c>
      <c r="AE7" s="41">
        <v>60778</v>
      </c>
      <c r="AF7" s="41">
        <v>61362</v>
      </c>
      <c r="AG7" s="41">
        <v>61945</v>
      </c>
      <c r="AH7" s="41">
        <v>62538</v>
      </c>
      <c r="AI7" s="41">
        <v>63105</v>
      </c>
      <c r="AJ7" s="41">
        <v>63669</v>
      </c>
      <c r="AK7" s="41">
        <v>64214</v>
      </c>
      <c r="AL7" s="41">
        <v>64774</v>
      </c>
      <c r="AM7" s="41">
        <v>65327</v>
      </c>
      <c r="AN7" s="41">
        <v>65867</v>
      </c>
      <c r="AO7" s="41">
        <v>66396</v>
      </c>
      <c r="AP7" s="41">
        <v>66911</v>
      </c>
      <c r="AQ7" s="41">
        <v>67432</v>
      </c>
      <c r="AR7" s="41">
        <v>67942</v>
      </c>
      <c r="AS7" s="41">
        <v>68429</v>
      </c>
    </row>
    <row r="8" spans="1:45">
      <c r="A8" s="38" t="s">
        <v>126</v>
      </c>
      <c r="B8" s="38" t="s">
        <v>127</v>
      </c>
      <c r="C8" s="41">
        <v>34737</v>
      </c>
      <c r="D8" s="41">
        <v>34971</v>
      </c>
      <c r="E8" s="41">
        <v>35357</v>
      </c>
      <c r="F8" s="41">
        <v>35582</v>
      </c>
      <c r="G8" s="41">
        <v>35842</v>
      </c>
      <c r="H8" s="41">
        <v>36219</v>
      </c>
      <c r="I8" s="41">
        <v>36458</v>
      </c>
      <c r="J8" s="41">
        <v>36734</v>
      </c>
      <c r="K8" s="41">
        <v>36905</v>
      </c>
      <c r="L8" s="41">
        <v>37174</v>
      </c>
      <c r="M8" s="41">
        <v>37474</v>
      </c>
      <c r="N8" s="41">
        <v>37740</v>
      </c>
      <c r="O8" s="41">
        <v>38107</v>
      </c>
      <c r="P8" s="41">
        <v>38547</v>
      </c>
      <c r="Q8" s="41">
        <v>38877</v>
      </c>
      <c r="R8" s="41">
        <v>39151</v>
      </c>
      <c r="S8" s="41">
        <v>39555</v>
      </c>
      <c r="T8" s="41">
        <v>39898</v>
      </c>
      <c r="U8" s="41">
        <v>40337</v>
      </c>
      <c r="V8" s="41">
        <v>40718</v>
      </c>
      <c r="W8" s="41">
        <v>41051</v>
      </c>
      <c r="X8" s="41">
        <v>41456</v>
      </c>
      <c r="Y8" s="41">
        <v>41840</v>
      </c>
      <c r="Z8" s="41">
        <v>42215</v>
      </c>
      <c r="AA8" s="41">
        <v>42567</v>
      </c>
      <c r="AB8" s="41">
        <v>42891</v>
      </c>
      <c r="AC8" s="41">
        <v>43230</v>
      </c>
      <c r="AD8" s="41">
        <v>43552</v>
      </c>
      <c r="AE8" s="41">
        <v>43849</v>
      </c>
      <c r="AF8" s="41">
        <v>44143</v>
      </c>
      <c r="AG8" s="41">
        <v>44440</v>
      </c>
      <c r="AH8" s="41">
        <v>44719</v>
      </c>
      <c r="AI8" s="41">
        <v>44995</v>
      </c>
      <c r="AJ8" s="41">
        <v>45258</v>
      </c>
      <c r="AK8" s="41">
        <v>45516</v>
      </c>
      <c r="AL8" s="41">
        <v>45792</v>
      </c>
      <c r="AM8" s="41">
        <v>46046</v>
      </c>
      <c r="AN8" s="41">
        <v>46298</v>
      </c>
      <c r="AO8" s="41">
        <v>46554</v>
      </c>
      <c r="AP8" s="41">
        <v>46800</v>
      </c>
      <c r="AQ8" s="41">
        <v>47070</v>
      </c>
      <c r="AR8" s="41">
        <v>47328</v>
      </c>
      <c r="AS8" s="41">
        <v>47569</v>
      </c>
    </row>
    <row r="9" spans="1:45">
      <c r="A9" s="38" t="s">
        <v>129</v>
      </c>
      <c r="B9" s="38" t="s">
        <v>130</v>
      </c>
      <c r="C9" s="41">
        <v>67398</v>
      </c>
      <c r="D9" s="41">
        <v>67382</v>
      </c>
      <c r="E9" s="41">
        <v>66912</v>
      </c>
      <c r="F9" s="41">
        <v>66182</v>
      </c>
      <c r="G9" s="41">
        <v>65895</v>
      </c>
      <c r="H9" s="41">
        <v>65647</v>
      </c>
      <c r="I9" s="41">
        <v>65458</v>
      </c>
      <c r="J9" s="41">
        <v>65971</v>
      </c>
      <c r="K9" s="41">
        <v>67081</v>
      </c>
      <c r="L9" s="41">
        <v>68437</v>
      </c>
      <c r="M9" s="41">
        <v>69425</v>
      </c>
      <c r="N9" s="41">
        <v>70187</v>
      </c>
      <c r="O9" s="41">
        <v>71277</v>
      </c>
      <c r="P9" s="41">
        <v>72493</v>
      </c>
      <c r="Q9" s="41">
        <v>73898</v>
      </c>
      <c r="R9" s="41">
        <v>75416</v>
      </c>
      <c r="S9" s="41">
        <v>76136</v>
      </c>
      <c r="T9" s="41">
        <v>76609</v>
      </c>
      <c r="U9" s="41">
        <v>77231</v>
      </c>
      <c r="V9" s="41">
        <v>77823</v>
      </c>
      <c r="W9" s="41">
        <v>78344</v>
      </c>
      <c r="X9" s="41">
        <v>79039</v>
      </c>
      <c r="Y9" s="41">
        <v>79716</v>
      </c>
      <c r="Z9" s="41">
        <v>80303</v>
      </c>
      <c r="AA9" s="41">
        <v>80887</v>
      </c>
      <c r="AB9" s="41">
        <v>81442</v>
      </c>
      <c r="AC9" s="41">
        <v>81999</v>
      </c>
      <c r="AD9" s="41">
        <v>82558</v>
      </c>
      <c r="AE9" s="41">
        <v>83066</v>
      </c>
      <c r="AF9" s="41">
        <v>83583</v>
      </c>
      <c r="AG9" s="41">
        <v>84086</v>
      </c>
      <c r="AH9" s="41">
        <v>84610</v>
      </c>
      <c r="AI9" s="41">
        <v>85117</v>
      </c>
      <c r="AJ9" s="41">
        <v>85582</v>
      </c>
      <c r="AK9" s="41">
        <v>86032</v>
      </c>
      <c r="AL9" s="41">
        <v>86491</v>
      </c>
      <c r="AM9" s="41">
        <v>86955</v>
      </c>
      <c r="AN9" s="41">
        <v>87403</v>
      </c>
      <c r="AO9" s="41">
        <v>87808</v>
      </c>
      <c r="AP9" s="41">
        <v>88203</v>
      </c>
      <c r="AQ9" s="41">
        <v>88603</v>
      </c>
      <c r="AR9" s="41">
        <v>88993</v>
      </c>
      <c r="AS9" s="41">
        <v>89364</v>
      </c>
    </row>
    <row r="10" spans="1:45">
      <c r="A10" s="38" t="s">
        <v>132</v>
      </c>
      <c r="B10" s="38" t="s">
        <v>133</v>
      </c>
      <c r="C10" s="41">
        <v>128264</v>
      </c>
      <c r="D10" s="41">
        <v>127938</v>
      </c>
      <c r="E10" s="41">
        <v>127552</v>
      </c>
      <c r="F10" s="41">
        <v>127450</v>
      </c>
      <c r="G10" s="41">
        <v>128122</v>
      </c>
      <c r="H10" s="41">
        <v>128414</v>
      </c>
      <c r="I10" s="41">
        <v>129038</v>
      </c>
      <c r="J10" s="41">
        <v>130089</v>
      </c>
      <c r="K10" s="41">
        <v>132068</v>
      </c>
      <c r="L10" s="41">
        <v>133540</v>
      </c>
      <c r="M10" s="41">
        <v>135501</v>
      </c>
      <c r="N10" s="41">
        <v>137295</v>
      </c>
      <c r="O10" s="41">
        <v>138967</v>
      </c>
      <c r="P10" s="41">
        <v>140913</v>
      </c>
      <c r="Q10" s="41">
        <v>142855</v>
      </c>
      <c r="R10" s="41">
        <v>144854</v>
      </c>
      <c r="S10" s="41">
        <v>146017</v>
      </c>
      <c r="T10" s="41">
        <v>147581</v>
      </c>
      <c r="U10" s="41">
        <v>149162</v>
      </c>
      <c r="V10" s="41">
        <v>150622</v>
      </c>
      <c r="W10" s="41">
        <v>151940</v>
      </c>
      <c r="X10" s="41">
        <v>153877</v>
      </c>
      <c r="Y10" s="41">
        <v>155729</v>
      </c>
      <c r="Z10" s="41">
        <v>157461</v>
      </c>
      <c r="AA10" s="41">
        <v>159133</v>
      </c>
      <c r="AB10" s="41">
        <v>160758</v>
      </c>
      <c r="AC10" s="41">
        <v>162345</v>
      </c>
      <c r="AD10" s="41">
        <v>163889</v>
      </c>
      <c r="AE10" s="41">
        <v>165360</v>
      </c>
      <c r="AF10" s="41">
        <v>166808</v>
      </c>
      <c r="AG10" s="41">
        <v>168234</v>
      </c>
      <c r="AH10" s="41">
        <v>169603</v>
      </c>
      <c r="AI10" s="41">
        <v>170948</v>
      </c>
      <c r="AJ10" s="41">
        <v>172251</v>
      </c>
      <c r="AK10" s="41">
        <v>173504</v>
      </c>
      <c r="AL10" s="41">
        <v>174770</v>
      </c>
      <c r="AM10" s="41">
        <v>176007</v>
      </c>
      <c r="AN10" s="41">
        <v>177216</v>
      </c>
      <c r="AO10" s="41">
        <v>178372</v>
      </c>
      <c r="AP10" s="41">
        <v>179485</v>
      </c>
      <c r="AQ10" s="41">
        <v>180607</v>
      </c>
      <c r="AR10" s="41">
        <v>181704</v>
      </c>
      <c r="AS10" s="41">
        <v>182751</v>
      </c>
    </row>
    <row r="11" spans="1:45">
      <c r="A11" s="38" t="s">
        <v>134</v>
      </c>
      <c r="B11" s="38" t="s">
        <v>135</v>
      </c>
      <c r="C11" s="41">
        <v>91458</v>
      </c>
      <c r="D11" s="41">
        <v>92109</v>
      </c>
      <c r="E11" s="41">
        <v>92827</v>
      </c>
      <c r="F11" s="41">
        <v>93542</v>
      </c>
      <c r="G11" s="41">
        <v>94413</v>
      </c>
      <c r="H11" s="41">
        <v>95386</v>
      </c>
      <c r="I11" s="41">
        <v>96175</v>
      </c>
      <c r="J11" s="41">
        <v>97160</v>
      </c>
      <c r="K11" s="41">
        <v>97987</v>
      </c>
      <c r="L11" s="41">
        <v>98767</v>
      </c>
      <c r="M11" s="41">
        <v>100352</v>
      </c>
      <c r="N11" s="41">
        <v>101316</v>
      </c>
      <c r="O11" s="41">
        <v>102420</v>
      </c>
      <c r="P11" s="41">
        <v>103600</v>
      </c>
      <c r="Q11" s="41">
        <v>104651</v>
      </c>
      <c r="R11" s="41">
        <v>105755</v>
      </c>
      <c r="S11" s="41">
        <v>106749</v>
      </c>
      <c r="T11" s="41">
        <v>107780</v>
      </c>
      <c r="U11" s="41">
        <v>108915</v>
      </c>
      <c r="V11" s="41">
        <v>109897</v>
      </c>
      <c r="W11" s="41">
        <v>110878</v>
      </c>
      <c r="X11" s="41">
        <v>111815</v>
      </c>
      <c r="Y11" s="41">
        <v>112721</v>
      </c>
      <c r="Z11" s="41">
        <v>113615</v>
      </c>
      <c r="AA11" s="41">
        <v>114441</v>
      </c>
      <c r="AB11" s="41">
        <v>115274</v>
      </c>
      <c r="AC11" s="41">
        <v>116125</v>
      </c>
      <c r="AD11" s="41">
        <v>116976</v>
      </c>
      <c r="AE11" s="41">
        <v>117818</v>
      </c>
      <c r="AF11" s="41">
        <v>118628</v>
      </c>
      <c r="AG11" s="41">
        <v>119462</v>
      </c>
      <c r="AH11" s="41">
        <v>120320</v>
      </c>
      <c r="AI11" s="41">
        <v>121176</v>
      </c>
      <c r="AJ11" s="41">
        <v>121995</v>
      </c>
      <c r="AK11" s="41">
        <v>122813</v>
      </c>
      <c r="AL11" s="41">
        <v>123643</v>
      </c>
      <c r="AM11" s="41">
        <v>124509</v>
      </c>
      <c r="AN11" s="41">
        <v>125346</v>
      </c>
      <c r="AO11" s="41">
        <v>126112</v>
      </c>
      <c r="AP11" s="41">
        <v>126856</v>
      </c>
      <c r="AQ11" s="41">
        <v>127619</v>
      </c>
      <c r="AR11" s="41">
        <v>128344</v>
      </c>
      <c r="AS11" s="41">
        <v>129014</v>
      </c>
    </row>
    <row r="12" spans="1:45">
      <c r="A12" s="38" t="s">
        <v>137</v>
      </c>
      <c r="B12" s="38" t="s">
        <v>138</v>
      </c>
      <c r="C12" s="41">
        <v>30275</v>
      </c>
      <c r="D12" s="41">
        <v>30237</v>
      </c>
      <c r="E12" s="41">
        <v>30282</v>
      </c>
      <c r="F12" s="41">
        <v>30414</v>
      </c>
      <c r="G12" s="41">
        <v>30508</v>
      </c>
      <c r="H12" s="41">
        <v>30599</v>
      </c>
      <c r="I12" s="41">
        <v>30640</v>
      </c>
      <c r="J12" s="41">
        <v>30722</v>
      </c>
      <c r="K12" s="41">
        <v>30874</v>
      </c>
      <c r="L12" s="41">
        <v>30984</v>
      </c>
      <c r="M12" s="41">
        <v>31018</v>
      </c>
      <c r="N12" s="41">
        <v>30975</v>
      </c>
      <c r="O12" s="41">
        <v>30860</v>
      </c>
      <c r="P12" s="41">
        <v>30964</v>
      </c>
      <c r="Q12" s="41">
        <v>31034</v>
      </c>
      <c r="R12" s="41">
        <v>31090</v>
      </c>
      <c r="S12" s="41">
        <v>31071</v>
      </c>
      <c r="T12" s="41">
        <v>31227</v>
      </c>
      <c r="U12" s="41">
        <v>31310</v>
      </c>
      <c r="V12" s="41">
        <v>31319</v>
      </c>
      <c r="W12" s="41">
        <v>31349</v>
      </c>
      <c r="X12" s="41">
        <v>31306</v>
      </c>
      <c r="Y12" s="41">
        <v>31260</v>
      </c>
      <c r="Z12" s="41">
        <v>31217</v>
      </c>
      <c r="AA12" s="41">
        <v>31140</v>
      </c>
      <c r="AB12" s="41">
        <v>31083</v>
      </c>
      <c r="AC12" s="41">
        <v>31025</v>
      </c>
      <c r="AD12" s="41">
        <v>30955</v>
      </c>
      <c r="AE12" s="41">
        <v>30903</v>
      </c>
      <c r="AF12" s="41">
        <v>30828</v>
      </c>
      <c r="AG12" s="41">
        <v>30769</v>
      </c>
      <c r="AH12" s="41">
        <v>30727</v>
      </c>
      <c r="AI12" s="41">
        <v>30675</v>
      </c>
      <c r="AJ12" s="41">
        <v>30646</v>
      </c>
      <c r="AK12" s="41">
        <v>30606</v>
      </c>
      <c r="AL12" s="41">
        <v>30575</v>
      </c>
      <c r="AM12" s="41">
        <v>30559</v>
      </c>
      <c r="AN12" s="41">
        <v>30529</v>
      </c>
      <c r="AO12" s="41">
        <v>30509</v>
      </c>
      <c r="AP12" s="41">
        <v>30488</v>
      </c>
      <c r="AQ12" s="41">
        <v>30473</v>
      </c>
      <c r="AR12" s="41">
        <v>30455</v>
      </c>
      <c r="AS12" s="41">
        <v>30417</v>
      </c>
    </row>
    <row r="13" spans="1:45">
      <c r="A13" s="38" t="s">
        <v>139</v>
      </c>
      <c r="B13" s="38" t="s">
        <v>140</v>
      </c>
      <c r="C13" s="41">
        <v>68704</v>
      </c>
      <c r="D13" s="41">
        <v>69054</v>
      </c>
      <c r="E13" s="41">
        <v>69128</v>
      </c>
      <c r="F13" s="41">
        <v>69428</v>
      </c>
      <c r="G13" s="41">
        <v>69919</v>
      </c>
      <c r="H13" s="41">
        <v>70361</v>
      </c>
      <c r="I13" s="41">
        <v>70732</v>
      </c>
      <c r="J13" s="41">
        <v>71308</v>
      </c>
      <c r="K13" s="41">
        <v>71738</v>
      </c>
      <c r="L13" s="41">
        <v>72097</v>
      </c>
      <c r="M13" s="41">
        <v>72525</v>
      </c>
      <c r="N13" s="41">
        <v>73038</v>
      </c>
      <c r="O13" s="41">
        <v>73690</v>
      </c>
      <c r="P13" s="41">
        <v>74564</v>
      </c>
      <c r="Q13" s="41">
        <v>75069</v>
      </c>
      <c r="R13" s="41">
        <v>75644</v>
      </c>
      <c r="S13" s="41">
        <v>75844</v>
      </c>
      <c r="T13" s="41">
        <v>76213</v>
      </c>
      <c r="U13" s="41">
        <v>76619</v>
      </c>
      <c r="V13" s="41">
        <v>76950</v>
      </c>
      <c r="W13" s="41">
        <v>77264</v>
      </c>
      <c r="X13" s="41">
        <v>77712</v>
      </c>
      <c r="Y13" s="41">
        <v>78147</v>
      </c>
      <c r="Z13" s="41">
        <v>78594</v>
      </c>
      <c r="AA13" s="41">
        <v>79005</v>
      </c>
      <c r="AB13" s="41">
        <v>79406</v>
      </c>
      <c r="AC13" s="41">
        <v>79828</v>
      </c>
      <c r="AD13" s="41">
        <v>80244</v>
      </c>
      <c r="AE13" s="41">
        <v>80673</v>
      </c>
      <c r="AF13" s="41">
        <v>81069</v>
      </c>
      <c r="AG13" s="41">
        <v>81477</v>
      </c>
      <c r="AH13" s="41">
        <v>81900</v>
      </c>
      <c r="AI13" s="41">
        <v>82337</v>
      </c>
      <c r="AJ13" s="41">
        <v>82775</v>
      </c>
      <c r="AK13" s="41">
        <v>83199</v>
      </c>
      <c r="AL13" s="41">
        <v>83647</v>
      </c>
      <c r="AM13" s="41">
        <v>84103</v>
      </c>
      <c r="AN13" s="41">
        <v>84565</v>
      </c>
      <c r="AO13" s="41">
        <v>85003</v>
      </c>
      <c r="AP13" s="41">
        <v>85430</v>
      </c>
      <c r="AQ13" s="41">
        <v>85885</v>
      </c>
      <c r="AR13" s="41">
        <v>86326</v>
      </c>
      <c r="AS13" s="41">
        <v>86752</v>
      </c>
    </row>
    <row r="14" spans="1:45">
      <c r="A14" s="38" t="s">
        <v>141</v>
      </c>
      <c r="B14" s="38" t="s">
        <v>142</v>
      </c>
      <c r="C14" s="41">
        <v>61330</v>
      </c>
      <c r="D14" s="41">
        <v>61791</v>
      </c>
      <c r="E14" s="41">
        <v>62331</v>
      </c>
      <c r="F14" s="41">
        <v>62869</v>
      </c>
      <c r="G14" s="41">
        <v>63721</v>
      </c>
      <c r="H14" s="41">
        <v>64485</v>
      </c>
      <c r="I14" s="41">
        <v>65242</v>
      </c>
      <c r="J14" s="41">
        <v>66168</v>
      </c>
      <c r="K14" s="41">
        <v>67125</v>
      </c>
      <c r="L14" s="41">
        <v>68100</v>
      </c>
      <c r="M14" s="41">
        <v>69147</v>
      </c>
      <c r="N14" s="41">
        <v>70125</v>
      </c>
      <c r="O14" s="41">
        <v>70862</v>
      </c>
      <c r="P14" s="41">
        <v>71590</v>
      </c>
      <c r="Q14" s="41">
        <v>72127</v>
      </c>
      <c r="R14" s="41">
        <v>72612</v>
      </c>
      <c r="S14" s="41">
        <v>72846</v>
      </c>
      <c r="T14" s="41">
        <v>73153</v>
      </c>
      <c r="U14" s="41">
        <v>73602</v>
      </c>
      <c r="V14" s="41">
        <v>73924</v>
      </c>
      <c r="W14" s="41">
        <v>74229</v>
      </c>
      <c r="X14" s="41">
        <v>74551</v>
      </c>
      <c r="Y14" s="41">
        <v>74851</v>
      </c>
      <c r="Z14" s="41">
        <v>75148</v>
      </c>
      <c r="AA14" s="41">
        <v>75382</v>
      </c>
      <c r="AB14" s="41">
        <v>75624</v>
      </c>
      <c r="AC14" s="41">
        <v>75884</v>
      </c>
      <c r="AD14" s="41">
        <v>76126</v>
      </c>
      <c r="AE14" s="41">
        <v>76346</v>
      </c>
      <c r="AF14" s="41">
        <v>76557</v>
      </c>
      <c r="AG14" s="41">
        <v>76777</v>
      </c>
      <c r="AH14" s="41">
        <v>77016</v>
      </c>
      <c r="AI14" s="41">
        <v>77244</v>
      </c>
      <c r="AJ14" s="41">
        <v>77463</v>
      </c>
      <c r="AK14" s="41">
        <v>77674</v>
      </c>
      <c r="AL14" s="41">
        <v>77886</v>
      </c>
      <c r="AM14" s="41">
        <v>78116</v>
      </c>
      <c r="AN14" s="41">
        <v>78332</v>
      </c>
      <c r="AO14" s="41">
        <v>78547</v>
      </c>
      <c r="AP14" s="41">
        <v>78749</v>
      </c>
      <c r="AQ14" s="41">
        <v>78966</v>
      </c>
      <c r="AR14" s="41">
        <v>79179</v>
      </c>
      <c r="AS14" s="41">
        <v>79369</v>
      </c>
    </row>
    <row r="15" spans="1:45">
      <c r="A15" s="38" t="s">
        <v>143</v>
      </c>
      <c r="B15" s="38" t="s">
        <v>144</v>
      </c>
      <c r="C15" s="41">
        <v>44417</v>
      </c>
      <c r="D15" s="41">
        <v>44699</v>
      </c>
      <c r="E15" s="41">
        <v>45127</v>
      </c>
      <c r="F15" s="41">
        <v>45532</v>
      </c>
      <c r="G15" s="41">
        <v>45821</v>
      </c>
      <c r="H15" s="41">
        <v>46186</v>
      </c>
      <c r="I15" s="41">
        <v>46448</v>
      </c>
      <c r="J15" s="41">
        <v>46832</v>
      </c>
      <c r="K15" s="41">
        <v>47069</v>
      </c>
      <c r="L15" s="41">
        <v>47400</v>
      </c>
      <c r="M15" s="41">
        <v>47530</v>
      </c>
      <c r="N15" s="41">
        <v>47736</v>
      </c>
      <c r="O15" s="41">
        <v>47987</v>
      </c>
      <c r="P15" s="41">
        <v>48298</v>
      </c>
      <c r="Q15" s="41">
        <v>48633</v>
      </c>
      <c r="R15" s="41">
        <v>48960</v>
      </c>
      <c r="S15" s="41">
        <v>49393</v>
      </c>
      <c r="T15" s="41">
        <v>49751</v>
      </c>
      <c r="U15" s="41">
        <v>50227</v>
      </c>
      <c r="V15" s="41">
        <v>50661</v>
      </c>
      <c r="W15" s="41">
        <v>51052</v>
      </c>
      <c r="X15" s="41">
        <v>51500</v>
      </c>
      <c r="Y15" s="41">
        <v>51941</v>
      </c>
      <c r="Z15" s="41">
        <v>52357</v>
      </c>
      <c r="AA15" s="41">
        <v>52757</v>
      </c>
      <c r="AB15" s="41">
        <v>53125</v>
      </c>
      <c r="AC15" s="41">
        <v>53500</v>
      </c>
      <c r="AD15" s="41">
        <v>53877</v>
      </c>
      <c r="AE15" s="41">
        <v>54243</v>
      </c>
      <c r="AF15" s="41">
        <v>54601</v>
      </c>
      <c r="AG15" s="41">
        <v>54952</v>
      </c>
      <c r="AH15" s="41">
        <v>55293</v>
      </c>
      <c r="AI15" s="41">
        <v>55629</v>
      </c>
      <c r="AJ15" s="41">
        <v>55977</v>
      </c>
      <c r="AK15" s="41">
        <v>56311</v>
      </c>
      <c r="AL15" s="41">
        <v>56649</v>
      </c>
      <c r="AM15" s="41">
        <v>56983</v>
      </c>
      <c r="AN15" s="41">
        <v>57297</v>
      </c>
      <c r="AO15" s="41">
        <v>57609</v>
      </c>
      <c r="AP15" s="41">
        <v>57909</v>
      </c>
      <c r="AQ15" s="41">
        <v>58225</v>
      </c>
      <c r="AR15" s="41">
        <v>58525</v>
      </c>
      <c r="AS15" s="41">
        <v>58797</v>
      </c>
    </row>
    <row r="16" spans="1:45">
      <c r="A16" s="38" t="s">
        <v>145</v>
      </c>
      <c r="B16" s="38" t="s">
        <v>146</v>
      </c>
      <c r="C16" s="41">
        <v>70634</v>
      </c>
      <c r="D16" s="41">
        <v>70869</v>
      </c>
      <c r="E16" s="41">
        <v>71082</v>
      </c>
      <c r="F16" s="41">
        <v>71215</v>
      </c>
      <c r="G16" s="41">
        <v>71459</v>
      </c>
      <c r="H16" s="41">
        <v>71490</v>
      </c>
      <c r="I16" s="41">
        <v>72040</v>
      </c>
      <c r="J16" s="41">
        <v>72476</v>
      </c>
      <c r="K16" s="41">
        <v>72534</v>
      </c>
      <c r="L16" s="41">
        <v>72633</v>
      </c>
      <c r="M16" s="41">
        <v>73092</v>
      </c>
      <c r="N16" s="41">
        <v>73397</v>
      </c>
      <c r="O16" s="41">
        <v>74018</v>
      </c>
      <c r="P16" s="41">
        <v>74638</v>
      </c>
      <c r="Q16" s="41">
        <v>75521</v>
      </c>
      <c r="R16" s="41">
        <v>76113</v>
      </c>
      <c r="S16" s="41">
        <v>76718</v>
      </c>
      <c r="T16" s="41">
        <v>77949</v>
      </c>
      <c r="U16" s="41">
        <v>78689</v>
      </c>
      <c r="V16" s="41">
        <v>79362</v>
      </c>
      <c r="W16" s="41">
        <v>79940</v>
      </c>
      <c r="X16" s="41">
        <v>80574</v>
      </c>
      <c r="Y16" s="41">
        <v>81247</v>
      </c>
      <c r="Z16" s="41">
        <v>81907</v>
      </c>
      <c r="AA16" s="41">
        <v>82554</v>
      </c>
      <c r="AB16" s="41">
        <v>83222</v>
      </c>
      <c r="AC16" s="41">
        <v>83907</v>
      </c>
      <c r="AD16" s="41">
        <v>84584</v>
      </c>
      <c r="AE16" s="41">
        <v>85226</v>
      </c>
      <c r="AF16" s="41">
        <v>85856</v>
      </c>
      <c r="AG16" s="41">
        <v>86491</v>
      </c>
      <c r="AH16" s="41">
        <v>87137</v>
      </c>
      <c r="AI16" s="41">
        <v>87736</v>
      </c>
      <c r="AJ16" s="41">
        <v>88313</v>
      </c>
      <c r="AK16" s="41">
        <v>88862</v>
      </c>
      <c r="AL16" s="41">
        <v>89434</v>
      </c>
      <c r="AM16" s="41">
        <v>89978</v>
      </c>
      <c r="AN16" s="41">
        <v>90498</v>
      </c>
      <c r="AO16" s="41">
        <v>90999</v>
      </c>
      <c r="AP16" s="41">
        <v>91504</v>
      </c>
      <c r="AQ16" s="41">
        <v>92038</v>
      </c>
      <c r="AR16" s="41">
        <v>92571</v>
      </c>
      <c r="AS16" s="41">
        <v>93073</v>
      </c>
    </row>
    <row r="17" spans="1:45">
      <c r="A17" s="38" t="s">
        <v>148</v>
      </c>
      <c r="B17" s="38" t="s">
        <v>149</v>
      </c>
      <c r="C17" s="41">
        <v>59180</v>
      </c>
      <c r="D17" s="41">
        <v>59909</v>
      </c>
      <c r="E17" s="41">
        <v>60453</v>
      </c>
      <c r="F17" s="41">
        <v>60773</v>
      </c>
      <c r="G17" s="41">
        <v>61101</v>
      </c>
      <c r="H17" s="41">
        <v>61405</v>
      </c>
      <c r="I17" s="41">
        <v>61699</v>
      </c>
      <c r="J17" s="41">
        <v>62179</v>
      </c>
      <c r="K17" s="41">
        <v>62503</v>
      </c>
      <c r="L17" s="41">
        <v>62948</v>
      </c>
      <c r="M17" s="41">
        <v>63614</v>
      </c>
      <c r="N17" s="41">
        <v>64351</v>
      </c>
      <c r="O17" s="41">
        <v>65305</v>
      </c>
      <c r="P17" s="41">
        <v>66390</v>
      </c>
      <c r="Q17" s="41">
        <v>67505</v>
      </c>
      <c r="R17" s="41">
        <v>68553</v>
      </c>
      <c r="S17" s="41">
        <v>69263</v>
      </c>
      <c r="T17" s="41">
        <v>69755</v>
      </c>
      <c r="U17" s="41">
        <v>70514</v>
      </c>
      <c r="V17" s="41">
        <v>71189</v>
      </c>
      <c r="W17" s="41">
        <v>71837</v>
      </c>
      <c r="X17" s="41">
        <v>72518</v>
      </c>
      <c r="Y17" s="41">
        <v>73177</v>
      </c>
      <c r="Z17" s="41">
        <v>73818</v>
      </c>
      <c r="AA17" s="41">
        <v>74430</v>
      </c>
      <c r="AB17" s="41">
        <v>75040</v>
      </c>
      <c r="AC17" s="41">
        <v>75640</v>
      </c>
      <c r="AD17" s="41">
        <v>76243</v>
      </c>
      <c r="AE17" s="41">
        <v>76846</v>
      </c>
      <c r="AF17" s="41">
        <v>77420</v>
      </c>
      <c r="AG17" s="41">
        <v>77994</v>
      </c>
      <c r="AH17" s="41">
        <v>78562</v>
      </c>
      <c r="AI17" s="41">
        <v>79121</v>
      </c>
      <c r="AJ17" s="41">
        <v>79677</v>
      </c>
      <c r="AK17" s="41">
        <v>80197</v>
      </c>
      <c r="AL17" s="41">
        <v>80728</v>
      </c>
      <c r="AM17" s="41">
        <v>81244</v>
      </c>
      <c r="AN17" s="41">
        <v>81755</v>
      </c>
      <c r="AO17" s="41">
        <v>82233</v>
      </c>
      <c r="AP17" s="41">
        <v>82683</v>
      </c>
      <c r="AQ17" s="41">
        <v>83144</v>
      </c>
      <c r="AR17" s="41">
        <v>83604</v>
      </c>
      <c r="AS17" s="41">
        <v>84037</v>
      </c>
    </row>
    <row r="18" spans="1:45">
      <c r="A18" s="38" t="s">
        <v>150</v>
      </c>
      <c r="B18" s="38" t="s">
        <v>151</v>
      </c>
      <c r="C18" s="41">
        <v>89008</v>
      </c>
      <c r="D18" s="41">
        <v>88958</v>
      </c>
      <c r="E18" s="41">
        <v>89146</v>
      </c>
      <c r="F18" s="41">
        <v>89270</v>
      </c>
      <c r="G18" s="41">
        <v>89589</v>
      </c>
      <c r="H18" s="41">
        <v>89759</v>
      </c>
      <c r="I18" s="41">
        <v>89938</v>
      </c>
      <c r="J18" s="41">
        <v>90469</v>
      </c>
      <c r="K18" s="41">
        <v>90994</v>
      </c>
      <c r="L18" s="41">
        <v>91759</v>
      </c>
      <c r="M18" s="41">
        <v>92551</v>
      </c>
      <c r="N18" s="41">
        <v>92896</v>
      </c>
      <c r="O18" s="41">
        <v>93771</v>
      </c>
      <c r="P18" s="41">
        <v>94940</v>
      </c>
      <c r="Q18" s="41">
        <v>95873</v>
      </c>
      <c r="R18" s="41">
        <v>96841</v>
      </c>
      <c r="S18" s="41">
        <v>97483</v>
      </c>
      <c r="T18" s="41">
        <v>97964</v>
      </c>
      <c r="U18" s="41">
        <v>98714</v>
      </c>
      <c r="V18" s="41">
        <v>99334</v>
      </c>
      <c r="W18" s="41">
        <v>99924</v>
      </c>
      <c r="X18" s="41">
        <v>100677</v>
      </c>
      <c r="Y18" s="41">
        <v>101430</v>
      </c>
      <c r="Z18" s="41">
        <v>102167</v>
      </c>
      <c r="AA18" s="41">
        <v>102865</v>
      </c>
      <c r="AB18" s="41">
        <v>103578</v>
      </c>
      <c r="AC18" s="41">
        <v>104298</v>
      </c>
      <c r="AD18" s="41">
        <v>105027</v>
      </c>
      <c r="AE18" s="41">
        <v>105744</v>
      </c>
      <c r="AF18" s="41">
        <v>106439</v>
      </c>
      <c r="AG18" s="41">
        <v>107159</v>
      </c>
      <c r="AH18" s="41">
        <v>107878</v>
      </c>
      <c r="AI18" s="41">
        <v>108610</v>
      </c>
      <c r="AJ18" s="41">
        <v>109355</v>
      </c>
      <c r="AK18" s="41">
        <v>110087</v>
      </c>
      <c r="AL18" s="41">
        <v>110835</v>
      </c>
      <c r="AM18" s="41">
        <v>111604</v>
      </c>
      <c r="AN18" s="41">
        <v>112349</v>
      </c>
      <c r="AO18" s="41">
        <v>113081</v>
      </c>
      <c r="AP18" s="41">
        <v>113806</v>
      </c>
      <c r="AQ18" s="41">
        <v>114531</v>
      </c>
      <c r="AR18" s="41">
        <v>115254</v>
      </c>
      <c r="AS18" s="41">
        <v>115942</v>
      </c>
    </row>
    <row r="19" spans="1:45">
      <c r="A19" s="38" t="s">
        <v>152</v>
      </c>
      <c r="B19" s="38" t="s">
        <v>153</v>
      </c>
      <c r="C19" s="41">
        <v>392033</v>
      </c>
      <c r="D19" s="41">
        <v>392347</v>
      </c>
      <c r="E19" s="41">
        <v>392143</v>
      </c>
      <c r="F19" s="41">
        <v>391834</v>
      </c>
      <c r="G19" s="41">
        <v>394660</v>
      </c>
      <c r="H19" s="41">
        <v>395155</v>
      </c>
      <c r="I19" s="41">
        <v>396717</v>
      </c>
      <c r="J19" s="41">
        <v>398999</v>
      </c>
      <c r="K19" s="41">
        <v>401417</v>
      </c>
      <c r="L19" s="41">
        <v>404058</v>
      </c>
      <c r="M19" s="41">
        <v>407770</v>
      </c>
      <c r="N19" s="41">
        <v>409938</v>
      </c>
      <c r="O19" s="41">
        <v>411102</v>
      </c>
      <c r="P19" s="41">
        <v>413183</v>
      </c>
      <c r="Q19" s="41">
        <v>415596</v>
      </c>
      <c r="R19" s="41">
        <v>419526</v>
      </c>
      <c r="S19" s="41">
        <v>421572</v>
      </c>
      <c r="T19" s="41">
        <v>422460</v>
      </c>
      <c r="U19" s="41">
        <v>423870</v>
      </c>
      <c r="V19" s="41">
        <v>425157</v>
      </c>
      <c r="W19" s="41">
        <v>426334</v>
      </c>
      <c r="X19" s="41">
        <v>428636</v>
      </c>
      <c r="Y19" s="41">
        <v>430909</v>
      </c>
      <c r="Z19" s="41">
        <v>433166</v>
      </c>
      <c r="AA19" s="41">
        <v>435443</v>
      </c>
      <c r="AB19" s="41">
        <v>437759</v>
      </c>
      <c r="AC19" s="41">
        <v>440082</v>
      </c>
      <c r="AD19" s="41">
        <v>442498</v>
      </c>
      <c r="AE19" s="41">
        <v>444916</v>
      </c>
      <c r="AF19" s="41">
        <v>447312</v>
      </c>
      <c r="AG19" s="41">
        <v>449831</v>
      </c>
      <c r="AH19" s="41">
        <v>452522</v>
      </c>
      <c r="AI19" s="41">
        <v>455174</v>
      </c>
      <c r="AJ19" s="41">
        <v>457738</v>
      </c>
      <c r="AK19" s="41">
        <v>460229</v>
      </c>
      <c r="AL19" s="41">
        <v>462828</v>
      </c>
      <c r="AM19" s="41">
        <v>465487</v>
      </c>
      <c r="AN19" s="41">
        <v>467981</v>
      </c>
      <c r="AO19" s="41">
        <v>470323</v>
      </c>
      <c r="AP19" s="41">
        <v>472613</v>
      </c>
      <c r="AQ19" s="41">
        <v>474960</v>
      </c>
      <c r="AR19" s="41">
        <v>477287</v>
      </c>
      <c r="AS19" s="41">
        <v>479434</v>
      </c>
    </row>
    <row r="20" spans="1:45">
      <c r="A20" s="38" t="s">
        <v>155</v>
      </c>
      <c r="B20" s="38" t="s">
        <v>156</v>
      </c>
      <c r="C20" s="41">
        <v>35705</v>
      </c>
      <c r="D20" s="41">
        <v>36202</v>
      </c>
      <c r="E20" s="41">
        <v>36550</v>
      </c>
      <c r="F20" s="41">
        <v>36772</v>
      </c>
      <c r="G20" s="41">
        <v>36909</v>
      </c>
      <c r="H20" s="41">
        <v>37257</v>
      </c>
      <c r="I20" s="41">
        <v>37543</v>
      </c>
      <c r="J20" s="41">
        <v>37835</v>
      </c>
      <c r="K20" s="41">
        <v>38048</v>
      </c>
      <c r="L20" s="41">
        <v>38276</v>
      </c>
      <c r="M20" s="41">
        <v>38627</v>
      </c>
      <c r="N20" s="41">
        <v>38990</v>
      </c>
      <c r="O20" s="41">
        <v>39258</v>
      </c>
      <c r="P20" s="41">
        <v>39638</v>
      </c>
      <c r="Q20" s="41">
        <v>40071</v>
      </c>
      <c r="R20" s="41">
        <v>40618</v>
      </c>
      <c r="S20" s="41">
        <v>41320</v>
      </c>
      <c r="T20" s="41">
        <v>41954</v>
      </c>
      <c r="U20" s="41">
        <v>42705</v>
      </c>
      <c r="V20" s="41">
        <v>43393</v>
      </c>
      <c r="W20" s="41">
        <v>44042</v>
      </c>
      <c r="X20" s="41">
        <v>44662</v>
      </c>
      <c r="Y20" s="41">
        <v>45286</v>
      </c>
      <c r="Z20" s="41">
        <v>45901</v>
      </c>
      <c r="AA20" s="41">
        <v>46477</v>
      </c>
      <c r="AB20" s="41">
        <v>47045</v>
      </c>
      <c r="AC20" s="41">
        <v>47609</v>
      </c>
      <c r="AD20" s="41">
        <v>48179</v>
      </c>
      <c r="AE20" s="41">
        <v>48733</v>
      </c>
      <c r="AF20" s="41">
        <v>49263</v>
      </c>
      <c r="AG20" s="41">
        <v>49796</v>
      </c>
      <c r="AH20" s="41">
        <v>50323</v>
      </c>
      <c r="AI20" s="41">
        <v>50846</v>
      </c>
      <c r="AJ20" s="41">
        <v>51351</v>
      </c>
      <c r="AK20" s="41">
        <v>51839</v>
      </c>
      <c r="AL20" s="41">
        <v>52341</v>
      </c>
      <c r="AM20" s="41">
        <v>52832</v>
      </c>
      <c r="AN20" s="41">
        <v>53320</v>
      </c>
      <c r="AO20" s="41">
        <v>53795</v>
      </c>
      <c r="AP20" s="41">
        <v>54255</v>
      </c>
      <c r="AQ20" s="41">
        <v>54727</v>
      </c>
      <c r="AR20" s="41">
        <v>55192</v>
      </c>
      <c r="AS20" s="41">
        <v>55639</v>
      </c>
    </row>
    <row r="21" spans="1:45">
      <c r="A21" s="38" t="s">
        <v>157</v>
      </c>
      <c r="B21" s="38" t="s">
        <v>158</v>
      </c>
      <c r="C21" s="41">
        <v>53508</v>
      </c>
      <c r="D21" s="41">
        <v>53803</v>
      </c>
      <c r="E21" s="41">
        <v>54120</v>
      </c>
      <c r="F21" s="41">
        <v>54537</v>
      </c>
      <c r="G21" s="41">
        <v>54777</v>
      </c>
      <c r="H21" s="41">
        <v>55025</v>
      </c>
      <c r="I21" s="41">
        <v>55252</v>
      </c>
      <c r="J21" s="41">
        <v>55653</v>
      </c>
      <c r="K21" s="41">
        <v>56100</v>
      </c>
      <c r="L21" s="41">
        <v>56410</v>
      </c>
      <c r="M21" s="41">
        <v>56940</v>
      </c>
      <c r="N21" s="41">
        <v>56992</v>
      </c>
      <c r="O21" s="41">
        <v>56879</v>
      </c>
      <c r="P21" s="41">
        <v>56819</v>
      </c>
      <c r="Q21" s="41">
        <v>56899</v>
      </c>
      <c r="R21" s="41">
        <v>57074</v>
      </c>
      <c r="S21" s="41">
        <v>57160</v>
      </c>
      <c r="T21" s="41">
        <v>57235</v>
      </c>
      <c r="U21" s="41">
        <v>57331</v>
      </c>
      <c r="V21" s="41">
        <v>57385</v>
      </c>
      <c r="W21" s="41">
        <v>57413</v>
      </c>
      <c r="X21" s="41">
        <v>57618</v>
      </c>
      <c r="Y21" s="41">
        <v>57790</v>
      </c>
      <c r="Z21" s="41">
        <v>57951</v>
      </c>
      <c r="AA21" s="41">
        <v>58117</v>
      </c>
      <c r="AB21" s="41">
        <v>58262</v>
      </c>
      <c r="AC21" s="41">
        <v>58442</v>
      </c>
      <c r="AD21" s="41">
        <v>58603</v>
      </c>
      <c r="AE21" s="41">
        <v>58762</v>
      </c>
      <c r="AF21" s="41">
        <v>58926</v>
      </c>
      <c r="AG21" s="41">
        <v>59072</v>
      </c>
      <c r="AH21" s="41">
        <v>59244</v>
      </c>
      <c r="AI21" s="41">
        <v>59397</v>
      </c>
      <c r="AJ21" s="41">
        <v>59535</v>
      </c>
      <c r="AK21" s="41">
        <v>59691</v>
      </c>
      <c r="AL21" s="41">
        <v>59837</v>
      </c>
      <c r="AM21" s="41">
        <v>59991</v>
      </c>
      <c r="AN21" s="41">
        <v>60142</v>
      </c>
      <c r="AO21" s="41">
        <v>60270</v>
      </c>
      <c r="AP21" s="41">
        <v>60411</v>
      </c>
      <c r="AQ21" s="41">
        <v>60556</v>
      </c>
      <c r="AR21" s="41">
        <v>60702</v>
      </c>
      <c r="AS21" s="41">
        <v>60830</v>
      </c>
    </row>
    <row r="22" spans="1:45">
      <c r="A22" s="38" t="s">
        <v>159</v>
      </c>
      <c r="B22" s="38" t="s">
        <v>160</v>
      </c>
      <c r="C22" s="41">
        <v>63398</v>
      </c>
      <c r="D22" s="41">
        <v>63441</v>
      </c>
      <c r="E22" s="41">
        <v>63724</v>
      </c>
      <c r="F22" s="41">
        <v>63866</v>
      </c>
      <c r="G22" s="41">
        <v>64073</v>
      </c>
      <c r="H22" s="41">
        <v>64164</v>
      </c>
      <c r="I22" s="41">
        <v>64072</v>
      </c>
      <c r="J22" s="41">
        <v>63823</v>
      </c>
      <c r="K22" s="41">
        <v>63792</v>
      </c>
      <c r="L22" s="41">
        <v>63906</v>
      </c>
      <c r="M22" s="41">
        <v>64028</v>
      </c>
      <c r="N22" s="41">
        <v>63962</v>
      </c>
      <c r="O22" s="41">
        <v>63701</v>
      </c>
      <c r="P22" s="41">
        <v>63532</v>
      </c>
      <c r="Q22" s="41">
        <v>63205</v>
      </c>
      <c r="R22" s="41">
        <v>63225</v>
      </c>
      <c r="S22" s="41">
        <v>63228</v>
      </c>
      <c r="T22" s="41">
        <v>62891</v>
      </c>
      <c r="U22" s="41">
        <v>62935</v>
      </c>
      <c r="V22" s="41">
        <v>62914</v>
      </c>
      <c r="W22" s="41">
        <v>62922</v>
      </c>
      <c r="X22" s="41">
        <v>62921</v>
      </c>
      <c r="Y22" s="41">
        <v>62916</v>
      </c>
      <c r="Z22" s="41">
        <v>62931</v>
      </c>
      <c r="AA22" s="41">
        <v>62951</v>
      </c>
      <c r="AB22" s="41">
        <v>62980</v>
      </c>
      <c r="AC22" s="41">
        <v>63038</v>
      </c>
      <c r="AD22" s="41">
        <v>63114</v>
      </c>
      <c r="AE22" s="41">
        <v>63208</v>
      </c>
      <c r="AF22" s="41">
        <v>63305</v>
      </c>
      <c r="AG22" s="41">
        <v>63411</v>
      </c>
      <c r="AH22" s="41">
        <v>63549</v>
      </c>
      <c r="AI22" s="41">
        <v>63709</v>
      </c>
      <c r="AJ22" s="41">
        <v>63873</v>
      </c>
      <c r="AK22" s="41">
        <v>64053</v>
      </c>
      <c r="AL22" s="41">
        <v>64241</v>
      </c>
      <c r="AM22" s="41">
        <v>64444</v>
      </c>
      <c r="AN22" s="41">
        <v>64653</v>
      </c>
      <c r="AO22" s="41">
        <v>64848</v>
      </c>
      <c r="AP22" s="41">
        <v>65039</v>
      </c>
      <c r="AQ22" s="41">
        <v>65234</v>
      </c>
      <c r="AR22" s="41">
        <v>65427</v>
      </c>
      <c r="AS22" s="41">
        <v>65594</v>
      </c>
    </row>
    <row r="23" spans="1:45">
      <c r="A23" s="38" t="s">
        <v>161</v>
      </c>
      <c r="B23" s="38" t="s">
        <v>162</v>
      </c>
      <c r="C23" s="41">
        <v>30096</v>
      </c>
      <c r="D23" s="41">
        <v>30374</v>
      </c>
      <c r="E23" s="41">
        <v>30756</v>
      </c>
      <c r="F23" s="41">
        <v>30960</v>
      </c>
      <c r="G23" s="41">
        <v>31112</v>
      </c>
      <c r="H23" s="41">
        <v>31324</v>
      </c>
      <c r="I23" s="41">
        <v>31538</v>
      </c>
      <c r="J23" s="41">
        <v>31746</v>
      </c>
      <c r="K23" s="41">
        <v>31885</v>
      </c>
      <c r="L23" s="41">
        <v>32194</v>
      </c>
      <c r="M23" s="41">
        <v>32691</v>
      </c>
      <c r="N23" s="41">
        <v>32927</v>
      </c>
      <c r="O23" s="41">
        <v>33067</v>
      </c>
      <c r="P23" s="41">
        <v>33386</v>
      </c>
      <c r="Q23" s="41">
        <v>33775</v>
      </c>
      <c r="R23" s="41">
        <v>34059</v>
      </c>
      <c r="S23" s="41">
        <v>34530</v>
      </c>
      <c r="T23" s="41">
        <v>34830</v>
      </c>
      <c r="U23" s="41">
        <v>35291</v>
      </c>
      <c r="V23" s="41">
        <v>35706</v>
      </c>
      <c r="W23" s="41">
        <v>36095</v>
      </c>
      <c r="X23" s="41">
        <v>36461</v>
      </c>
      <c r="Y23" s="41">
        <v>36812</v>
      </c>
      <c r="Z23" s="41">
        <v>37166</v>
      </c>
      <c r="AA23" s="41">
        <v>37502</v>
      </c>
      <c r="AB23" s="41">
        <v>37824</v>
      </c>
      <c r="AC23" s="41">
        <v>38138</v>
      </c>
      <c r="AD23" s="41">
        <v>38443</v>
      </c>
      <c r="AE23" s="41">
        <v>38738</v>
      </c>
      <c r="AF23" s="41">
        <v>39026</v>
      </c>
      <c r="AG23" s="41">
        <v>39309</v>
      </c>
      <c r="AH23" s="41">
        <v>39598</v>
      </c>
      <c r="AI23" s="41">
        <v>39890</v>
      </c>
      <c r="AJ23" s="41">
        <v>40174</v>
      </c>
      <c r="AK23" s="41">
        <v>40463</v>
      </c>
      <c r="AL23" s="41">
        <v>40755</v>
      </c>
      <c r="AM23" s="41">
        <v>41057</v>
      </c>
      <c r="AN23" s="41">
        <v>41350</v>
      </c>
      <c r="AO23" s="41">
        <v>41639</v>
      </c>
      <c r="AP23" s="41">
        <v>41914</v>
      </c>
      <c r="AQ23" s="41">
        <v>42191</v>
      </c>
      <c r="AR23" s="41">
        <v>42460</v>
      </c>
      <c r="AS23" s="41">
        <v>42708</v>
      </c>
    </row>
    <row r="24" spans="1:45">
      <c r="A24" s="38" t="s">
        <v>163</v>
      </c>
      <c r="B24" s="38" t="s">
        <v>164</v>
      </c>
      <c r="C24" s="41">
        <v>107342</v>
      </c>
      <c r="D24" s="41">
        <v>108002</v>
      </c>
      <c r="E24" s="41">
        <v>108741</v>
      </c>
      <c r="F24" s="41">
        <v>109176</v>
      </c>
      <c r="G24" s="41">
        <v>109625</v>
      </c>
      <c r="H24" s="41">
        <v>110430</v>
      </c>
      <c r="I24" s="41">
        <v>111026</v>
      </c>
      <c r="J24" s="41">
        <v>111962</v>
      </c>
      <c r="K24" s="41">
        <v>113097</v>
      </c>
      <c r="L24" s="41">
        <v>114133</v>
      </c>
      <c r="M24" s="41">
        <v>115716</v>
      </c>
      <c r="N24" s="41">
        <v>116294</v>
      </c>
      <c r="O24" s="41">
        <v>116850</v>
      </c>
      <c r="P24" s="41">
        <v>117347</v>
      </c>
      <c r="Q24" s="41">
        <v>117827</v>
      </c>
      <c r="R24" s="41">
        <v>118494</v>
      </c>
      <c r="S24" s="41">
        <v>119118</v>
      </c>
      <c r="T24" s="41">
        <v>119587</v>
      </c>
      <c r="U24" s="41">
        <v>120205</v>
      </c>
      <c r="V24" s="41">
        <v>120701</v>
      </c>
      <c r="W24" s="41">
        <v>121149</v>
      </c>
      <c r="X24" s="41">
        <v>121646</v>
      </c>
      <c r="Y24" s="41">
        <v>122127</v>
      </c>
      <c r="Z24" s="41">
        <v>122575</v>
      </c>
      <c r="AA24" s="41">
        <v>122964</v>
      </c>
      <c r="AB24" s="41">
        <v>123357</v>
      </c>
      <c r="AC24" s="41">
        <v>123801</v>
      </c>
      <c r="AD24" s="41">
        <v>124228</v>
      </c>
      <c r="AE24" s="41">
        <v>124631</v>
      </c>
      <c r="AF24" s="41">
        <v>125037</v>
      </c>
      <c r="AG24" s="41">
        <v>125441</v>
      </c>
      <c r="AH24" s="41">
        <v>125906</v>
      </c>
      <c r="AI24" s="41">
        <v>126343</v>
      </c>
      <c r="AJ24" s="41">
        <v>126795</v>
      </c>
      <c r="AK24" s="41">
        <v>127247</v>
      </c>
      <c r="AL24" s="41">
        <v>127725</v>
      </c>
      <c r="AM24" s="41">
        <v>128227</v>
      </c>
      <c r="AN24" s="41">
        <v>128679</v>
      </c>
      <c r="AO24" s="41">
        <v>129137</v>
      </c>
      <c r="AP24" s="41">
        <v>129584</v>
      </c>
      <c r="AQ24" s="41">
        <v>130056</v>
      </c>
      <c r="AR24" s="41">
        <v>130525</v>
      </c>
      <c r="AS24" s="41">
        <v>130934</v>
      </c>
    </row>
    <row r="25" spans="1:45">
      <c r="A25" s="38" t="s">
        <v>165</v>
      </c>
      <c r="B25" s="38" t="s">
        <v>166</v>
      </c>
      <c r="C25" s="41">
        <v>23847</v>
      </c>
      <c r="D25" s="41">
        <v>24161</v>
      </c>
      <c r="E25" s="41">
        <v>24395</v>
      </c>
      <c r="F25" s="41">
        <v>24816</v>
      </c>
      <c r="G25" s="41">
        <v>24958</v>
      </c>
      <c r="H25" s="41">
        <v>25370</v>
      </c>
      <c r="I25" s="41">
        <v>25752</v>
      </c>
      <c r="J25" s="41">
        <v>26177</v>
      </c>
      <c r="K25" s="41">
        <v>26588</v>
      </c>
      <c r="L25" s="41">
        <v>26958</v>
      </c>
      <c r="M25" s="41">
        <v>27146</v>
      </c>
      <c r="N25" s="41">
        <v>27202</v>
      </c>
      <c r="O25" s="41">
        <v>27413</v>
      </c>
      <c r="P25" s="41">
        <v>27646</v>
      </c>
      <c r="Q25" s="41">
        <v>27772</v>
      </c>
      <c r="R25" s="41">
        <v>28032</v>
      </c>
      <c r="S25" s="41">
        <v>28254</v>
      </c>
      <c r="T25" s="41">
        <v>28541</v>
      </c>
      <c r="U25" s="41">
        <v>28883</v>
      </c>
      <c r="V25" s="41">
        <v>29182</v>
      </c>
      <c r="W25" s="41">
        <v>29469</v>
      </c>
      <c r="X25" s="41">
        <v>29807</v>
      </c>
      <c r="Y25" s="41">
        <v>30125</v>
      </c>
      <c r="Z25" s="41">
        <v>30446</v>
      </c>
      <c r="AA25" s="41">
        <v>30748</v>
      </c>
      <c r="AB25" s="41">
        <v>31036</v>
      </c>
      <c r="AC25" s="41">
        <v>31341</v>
      </c>
      <c r="AD25" s="41">
        <v>31635</v>
      </c>
      <c r="AE25" s="41">
        <v>31924</v>
      </c>
      <c r="AF25" s="41">
        <v>32204</v>
      </c>
      <c r="AG25" s="41">
        <v>32480</v>
      </c>
      <c r="AH25" s="41">
        <v>32761</v>
      </c>
      <c r="AI25" s="41">
        <v>33038</v>
      </c>
      <c r="AJ25" s="41">
        <v>33314</v>
      </c>
      <c r="AK25" s="41">
        <v>33579</v>
      </c>
      <c r="AL25" s="41">
        <v>33843</v>
      </c>
      <c r="AM25" s="41">
        <v>34108</v>
      </c>
      <c r="AN25" s="41">
        <v>34369</v>
      </c>
      <c r="AO25" s="41">
        <v>34618</v>
      </c>
      <c r="AP25" s="41">
        <v>34856</v>
      </c>
      <c r="AQ25" s="41">
        <v>35100</v>
      </c>
      <c r="AR25" s="41">
        <v>35337</v>
      </c>
      <c r="AS25" s="41">
        <v>35564</v>
      </c>
    </row>
    <row r="26" spans="1:45">
      <c r="A26" s="38" t="s">
        <v>167</v>
      </c>
      <c r="B26" s="38" t="s">
        <v>168</v>
      </c>
      <c r="C26" s="41">
        <v>150910</v>
      </c>
      <c r="D26" s="41">
        <v>151844</v>
      </c>
      <c r="E26" s="41">
        <v>151970</v>
      </c>
      <c r="F26" s="41">
        <v>152182</v>
      </c>
      <c r="G26" s="41">
        <v>153648</v>
      </c>
      <c r="H26" s="41">
        <v>154709</v>
      </c>
      <c r="I26" s="41">
        <v>157098</v>
      </c>
      <c r="J26" s="41">
        <v>158883</v>
      </c>
      <c r="K26" s="41">
        <v>160518</v>
      </c>
      <c r="L26" s="41">
        <v>163255</v>
      </c>
      <c r="M26" s="41">
        <v>167041</v>
      </c>
      <c r="N26" s="41">
        <v>168434</v>
      </c>
      <c r="O26" s="41">
        <v>169615</v>
      </c>
      <c r="P26" s="41">
        <v>170959</v>
      </c>
      <c r="Q26" s="41">
        <v>171797</v>
      </c>
      <c r="R26" s="41">
        <v>172846</v>
      </c>
      <c r="S26" s="41">
        <v>173548</v>
      </c>
      <c r="T26" s="41">
        <v>173805</v>
      </c>
      <c r="U26" s="41">
        <v>174371</v>
      </c>
      <c r="V26" s="41">
        <v>174841</v>
      </c>
      <c r="W26" s="41">
        <v>175273</v>
      </c>
      <c r="X26" s="41">
        <v>175922</v>
      </c>
      <c r="Y26" s="41">
        <v>176546</v>
      </c>
      <c r="Z26" s="41">
        <v>177272</v>
      </c>
      <c r="AA26" s="41">
        <v>177988</v>
      </c>
      <c r="AB26" s="41">
        <v>178734</v>
      </c>
      <c r="AC26" s="41">
        <v>179587</v>
      </c>
      <c r="AD26" s="41">
        <v>180413</v>
      </c>
      <c r="AE26" s="41">
        <v>181191</v>
      </c>
      <c r="AF26" s="41">
        <v>181936</v>
      </c>
      <c r="AG26" s="41">
        <v>182709</v>
      </c>
      <c r="AH26" s="41">
        <v>183490</v>
      </c>
      <c r="AI26" s="41">
        <v>184176</v>
      </c>
      <c r="AJ26" s="41">
        <v>184832</v>
      </c>
      <c r="AK26" s="41">
        <v>185425</v>
      </c>
      <c r="AL26" s="41">
        <v>186047</v>
      </c>
      <c r="AM26" s="41">
        <v>186627</v>
      </c>
      <c r="AN26" s="41">
        <v>187161</v>
      </c>
      <c r="AO26" s="41">
        <v>187672</v>
      </c>
      <c r="AP26" s="41">
        <v>188178</v>
      </c>
      <c r="AQ26" s="41">
        <v>188740</v>
      </c>
      <c r="AR26" s="41">
        <v>189312</v>
      </c>
      <c r="AS26" s="41">
        <v>189843</v>
      </c>
    </row>
    <row r="27" spans="1:45">
      <c r="A27" s="38" t="s">
        <v>169</v>
      </c>
      <c r="B27" s="38" t="s">
        <v>170</v>
      </c>
      <c r="C27" s="41">
        <v>42939</v>
      </c>
      <c r="D27" s="41">
        <v>43057</v>
      </c>
      <c r="E27" s="41">
        <v>43143</v>
      </c>
      <c r="F27" s="41">
        <v>43033</v>
      </c>
      <c r="G27" s="41">
        <v>43296</v>
      </c>
      <c r="H27" s="41">
        <v>43676</v>
      </c>
      <c r="I27" s="41">
        <v>44035</v>
      </c>
      <c r="J27" s="41">
        <v>44500</v>
      </c>
      <c r="K27" s="41">
        <v>44727</v>
      </c>
      <c r="L27" s="41">
        <v>45117</v>
      </c>
      <c r="M27" s="41">
        <v>45703</v>
      </c>
      <c r="N27" s="41">
        <v>46336</v>
      </c>
      <c r="O27" s="41">
        <v>46936</v>
      </c>
      <c r="P27" s="41">
        <v>47581</v>
      </c>
      <c r="Q27" s="41">
        <v>48018</v>
      </c>
      <c r="R27" s="41">
        <v>48377</v>
      </c>
      <c r="S27" s="41">
        <v>48817</v>
      </c>
      <c r="T27" s="41">
        <v>49347</v>
      </c>
      <c r="U27" s="41">
        <v>49813</v>
      </c>
      <c r="V27" s="41">
        <v>50198</v>
      </c>
      <c r="W27" s="41">
        <v>50582</v>
      </c>
      <c r="X27" s="41">
        <v>50976</v>
      </c>
      <c r="Y27" s="41">
        <v>51380</v>
      </c>
      <c r="Z27" s="41">
        <v>51762</v>
      </c>
      <c r="AA27" s="41">
        <v>52103</v>
      </c>
      <c r="AB27" s="41">
        <v>52448</v>
      </c>
      <c r="AC27" s="41">
        <v>52777</v>
      </c>
      <c r="AD27" s="41">
        <v>53105</v>
      </c>
      <c r="AE27" s="41">
        <v>53429</v>
      </c>
      <c r="AF27" s="41">
        <v>53730</v>
      </c>
      <c r="AG27" s="41">
        <v>54033</v>
      </c>
      <c r="AH27" s="41">
        <v>54321</v>
      </c>
      <c r="AI27" s="41">
        <v>54613</v>
      </c>
      <c r="AJ27" s="41">
        <v>54897</v>
      </c>
      <c r="AK27" s="41">
        <v>55165</v>
      </c>
      <c r="AL27" s="41">
        <v>55427</v>
      </c>
      <c r="AM27" s="41">
        <v>55684</v>
      </c>
      <c r="AN27" s="41">
        <v>55931</v>
      </c>
      <c r="AO27" s="41">
        <v>56162</v>
      </c>
      <c r="AP27" s="41">
        <v>56383</v>
      </c>
      <c r="AQ27" s="41">
        <v>56606</v>
      </c>
      <c r="AR27" s="41">
        <v>56825</v>
      </c>
      <c r="AS27" s="41">
        <v>57020</v>
      </c>
    </row>
    <row r="28" spans="1:45">
      <c r="A28" s="38" t="s">
        <v>171</v>
      </c>
      <c r="B28" s="38" t="s">
        <v>172</v>
      </c>
      <c r="C28" s="41">
        <v>180738</v>
      </c>
      <c r="D28" s="41">
        <v>181972</v>
      </c>
      <c r="E28" s="41">
        <v>183013</v>
      </c>
      <c r="F28" s="41">
        <v>184766</v>
      </c>
      <c r="G28" s="41">
        <v>186938</v>
      </c>
      <c r="H28" s="41">
        <v>188137</v>
      </c>
      <c r="I28" s="41">
        <v>189768</v>
      </c>
      <c r="J28" s="41">
        <v>191511</v>
      </c>
      <c r="K28" s="41">
        <v>193109</v>
      </c>
      <c r="L28" s="41">
        <v>194969</v>
      </c>
      <c r="M28" s="41">
        <v>197778</v>
      </c>
      <c r="N28" s="41">
        <v>198267</v>
      </c>
      <c r="O28" s="41">
        <v>198656</v>
      </c>
      <c r="P28" s="41">
        <v>199287</v>
      </c>
      <c r="Q28" s="41">
        <v>200052</v>
      </c>
      <c r="R28" s="41">
        <v>200914</v>
      </c>
      <c r="S28" s="41">
        <v>201740</v>
      </c>
      <c r="T28" s="41">
        <v>202621</v>
      </c>
      <c r="U28" s="41">
        <v>203686</v>
      </c>
      <c r="V28" s="41">
        <v>204525</v>
      </c>
      <c r="W28" s="41">
        <v>205270</v>
      </c>
      <c r="X28" s="41">
        <v>206418</v>
      </c>
      <c r="Y28" s="41">
        <v>207554</v>
      </c>
      <c r="Z28" s="41">
        <v>208648</v>
      </c>
      <c r="AA28" s="41">
        <v>209672</v>
      </c>
      <c r="AB28" s="41">
        <v>210735</v>
      </c>
      <c r="AC28" s="41">
        <v>211826</v>
      </c>
      <c r="AD28" s="41">
        <v>212947</v>
      </c>
      <c r="AE28" s="41">
        <v>214008</v>
      </c>
      <c r="AF28" s="41">
        <v>215051</v>
      </c>
      <c r="AG28" s="41">
        <v>216085</v>
      </c>
      <c r="AH28" s="41">
        <v>217130</v>
      </c>
      <c r="AI28" s="41">
        <v>218167</v>
      </c>
      <c r="AJ28" s="41">
        <v>219158</v>
      </c>
      <c r="AK28" s="41">
        <v>220108</v>
      </c>
      <c r="AL28" s="41">
        <v>221053</v>
      </c>
      <c r="AM28" s="41">
        <v>221951</v>
      </c>
      <c r="AN28" s="41">
        <v>222801</v>
      </c>
      <c r="AO28" s="41">
        <v>223588</v>
      </c>
      <c r="AP28" s="41">
        <v>224374</v>
      </c>
      <c r="AQ28" s="41">
        <v>225183</v>
      </c>
      <c r="AR28" s="41">
        <v>225952</v>
      </c>
      <c r="AS28" s="41">
        <v>226635</v>
      </c>
    </row>
    <row r="29" spans="1:45">
      <c r="A29" s="38" t="s">
        <v>173</v>
      </c>
      <c r="B29" s="38" t="s">
        <v>174</v>
      </c>
      <c r="C29" s="41">
        <v>54041</v>
      </c>
      <c r="D29" s="41">
        <v>54914</v>
      </c>
      <c r="E29" s="41">
        <v>55559</v>
      </c>
      <c r="F29" s="41">
        <v>56329</v>
      </c>
      <c r="G29" s="41">
        <v>57053</v>
      </c>
      <c r="H29" s="41">
        <v>57804</v>
      </c>
      <c r="I29" s="41">
        <v>58409</v>
      </c>
      <c r="J29" s="41">
        <v>59100</v>
      </c>
      <c r="K29" s="41">
        <v>59563</v>
      </c>
      <c r="L29" s="41">
        <v>60235</v>
      </c>
      <c r="M29" s="41">
        <v>60916</v>
      </c>
      <c r="N29" s="41">
        <v>61476</v>
      </c>
      <c r="O29" s="41">
        <v>61945</v>
      </c>
      <c r="P29" s="41">
        <v>62485</v>
      </c>
      <c r="Q29" s="41">
        <v>62921</v>
      </c>
      <c r="R29" s="41">
        <v>63354</v>
      </c>
      <c r="S29" s="41">
        <v>63764</v>
      </c>
      <c r="T29" s="41">
        <v>63872</v>
      </c>
      <c r="U29" s="41">
        <v>64294</v>
      </c>
      <c r="V29" s="41">
        <v>64629</v>
      </c>
      <c r="W29" s="41">
        <v>64971</v>
      </c>
      <c r="X29" s="41">
        <v>65391</v>
      </c>
      <c r="Y29" s="41">
        <v>65785</v>
      </c>
      <c r="Z29" s="41">
        <v>66184</v>
      </c>
      <c r="AA29" s="41">
        <v>66534</v>
      </c>
      <c r="AB29" s="41">
        <v>66895</v>
      </c>
      <c r="AC29" s="41">
        <v>67263</v>
      </c>
      <c r="AD29" s="41">
        <v>67614</v>
      </c>
      <c r="AE29" s="41">
        <v>67954</v>
      </c>
      <c r="AF29" s="41">
        <v>68275</v>
      </c>
      <c r="AG29" s="41">
        <v>68608</v>
      </c>
      <c r="AH29" s="41">
        <v>68923</v>
      </c>
      <c r="AI29" s="41">
        <v>69240</v>
      </c>
      <c r="AJ29" s="41">
        <v>69555</v>
      </c>
      <c r="AK29" s="41">
        <v>69867</v>
      </c>
      <c r="AL29" s="41">
        <v>70193</v>
      </c>
      <c r="AM29" s="41">
        <v>70516</v>
      </c>
      <c r="AN29" s="41">
        <v>70844</v>
      </c>
      <c r="AO29" s="41">
        <v>71156</v>
      </c>
      <c r="AP29" s="41">
        <v>71468</v>
      </c>
      <c r="AQ29" s="41">
        <v>71800</v>
      </c>
      <c r="AR29" s="41">
        <v>72129</v>
      </c>
      <c r="AS29" s="41">
        <v>72442</v>
      </c>
    </row>
    <row r="30" spans="1:45">
      <c r="A30" s="38" t="s">
        <v>175</v>
      </c>
      <c r="B30" s="38" t="s">
        <v>176</v>
      </c>
      <c r="C30" s="41">
        <v>50493</v>
      </c>
      <c r="D30" s="41">
        <v>50800</v>
      </c>
      <c r="E30" s="41">
        <v>51297</v>
      </c>
      <c r="F30" s="41">
        <v>51620</v>
      </c>
      <c r="G30" s="41">
        <v>52209</v>
      </c>
      <c r="H30" s="41">
        <v>52701</v>
      </c>
      <c r="I30" s="41">
        <v>53165</v>
      </c>
      <c r="J30" s="41">
        <v>53699</v>
      </c>
      <c r="K30" s="41">
        <v>53919</v>
      </c>
      <c r="L30" s="41">
        <v>54096</v>
      </c>
      <c r="M30" s="41">
        <v>54522</v>
      </c>
      <c r="N30" s="41">
        <v>54961</v>
      </c>
      <c r="O30" s="41">
        <v>55467</v>
      </c>
      <c r="P30" s="41">
        <v>56076</v>
      </c>
      <c r="Q30" s="41">
        <v>56789</v>
      </c>
      <c r="R30" s="41">
        <v>57461</v>
      </c>
      <c r="S30" s="41">
        <v>58214</v>
      </c>
      <c r="T30" s="41">
        <v>58612</v>
      </c>
      <c r="U30" s="41">
        <v>59303</v>
      </c>
      <c r="V30" s="41">
        <v>59931</v>
      </c>
      <c r="W30" s="41">
        <v>60538</v>
      </c>
      <c r="X30" s="41">
        <v>61234</v>
      </c>
      <c r="Y30" s="41">
        <v>61912</v>
      </c>
      <c r="Z30" s="41">
        <v>62572</v>
      </c>
      <c r="AA30" s="41">
        <v>63190</v>
      </c>
      <c r="AB30" s="41">
        <v>63815</v>
      </c>
      <c r="AC30" s="41">
        <v>64450</v>
      </c>
      <c r="AD30" s="41">
        <v>65057</v>
      </c>
      <c r="AE30" s="41">
        <v>65639</v>
      </c>
      <c r="AF30" s="41">
        <v>66194</v>
      </c>
      <c r="AG30" s="41">
        <v>66757</v>
      </c>
      <c r="AH30" s="41">
        <v>67316</v>
      </c>
      <c r="AI30" s="41">
        <v>67875</v>
      </c>
      <c r="AJ30" s="41">
        <v>68414</v>
      </c>
      <c r="AK30" s="41">
        <v>68950</v>
      </c>
      <c r="AL30" s="41">
        <v>69497</v>
      </c>
      <c r="AM30" s="41">
        <v>70022</v>
      </c>
      <c r="AN30" s="41">
        <v>70532</v>
      </c>
      <c r="AO30" s="41">
        <v>71041</v>
      </c>
      <c r="AP30" s="41">
        <v>71543</v>
      </c>
      <c r="AQ30" s="41">
        <v>72054</v>
      </c>
      <c r="AR30" s="41">
        <v>72551</v>
      </c>
      <c r="AS30" s="41">
        <v>73024</v>
      </c>
    </row>
    <row r="31" spans="1:45">
      <c r="A31" s="38" t="s">
        <v>177</v>
      </c>
      <c r="B31" s="38" t="s">
        <v>178</v>
      </c>
      <c r="C31" s="41">
        <v>102078</v>
      </c>
      <c r="D31" s="41">
        <v>101617</v>
      </c>
      <c r="E31" s="41">
        <v>100433</v>
      </c>
      <c r="F31" s="41">
        <v>99774</v>
      </c>
      <c r="G31" s="41">
        <v>100007</v>
      </c>
      <c r="H31" s="41">
        <v>101019</v>
      </c>
      <c r="I31" s="41">
        <v>102392</v>
      </c>
      <c r="J31" s="41">
        <v>104271</v>
      </c>
      <c r="K31" s="41">
        <v>106268</v>
      </c>
      <c r="L31" s="41">
        <v>108018</v>
      </c>
      <c r="M31" s="41">
        <v>110100</v>
      </c>
      <c r="N31" s="41">
        <v>110886</v>
      </c>
      <c r="O31" s="41">
        <v>111838</v>
      </c>
      <c r="P31" s="41">
        <v>112834</v>
      </c>
      <c r="Q31" s="41">
        <v>113783</v>
      </c>
      <c r="R31" s="41">
        <v>114536</v>
      </c>
      <c r="S31" s="41">
        <v>115055</v>
      </c>
      <c r="T31" s="41">
        <v>115403</v>
      </c>
      <c r="U31" s="41">
        <v>116023</v>
      </c>
      <c r="V31" s="41">
        <v>116559</v>
      </c>
      <c r="W31" s="41">
        <v>117059</v>
      </c>
      <c r="X31" s="41">
        <v>118138</v>
      </c>
      <c r="Y31" s="41">
        <v>119121</v>
      </c>
      <c r="Z31" s="41">
        <v>120012</v>
      </c>
      <c r="AA31" s="41">
        <v>120849</v>
      </c>
      <c r="AB31" s="41">
        <v>121729</v>
      </c>
      <c r="AC31" s="41">
        <v>122544</v>
      </c>
      <c r="AD31" s="41">
        <v>123366</v>
      </c>
      <c r="AE31" s="41">
        <v>124164</v>
      </c>
      <c r="AF31" s="41">
        <v>124969</v>
      </c>
      <c r="AG31" s="41">
        <v>125778</v>
      </c>
      <c r="AH31" s="41">
        <v>126571</v>
      </c>
      <c r="AI31" s="41">
        <v>127358</v>
      </c>
      <c r="AJ31" s="41">
        <v>128126</v>
      </c>
      <c r="AK31" s="41">
        <v>128881</v>
      </c>
      <c r="AL31" s="41">
        <v>129637</v>
      </c>
      <c r="AM31" s="41">
        <v>130370</v>
      </c>
      <c r="AN31" s="41">
        <v>131087</v>
      </c>
      <c r="AO31" s="41">
        <v>131759</v>
      </c>
      <c r="AP31" s="41">
        <v>132397</v>
      </c>
      <c r="AQ31" s="41">
        <v>133016</v>
      </c>
      <c r="AR31" s="41">
        <v>133612</v>
      </c>
      <c r="AS31" s="41">
        <v>134171</v>
      </c>
    </row>
    <row r="32" spans="1:45">
      <c r="A32" s="38" t="s">
        <v>179</v>
      </c>
      <c r="B32" s="38" t="s">
        <v>180</v>
      </c>
      <c r="C32" s="41">
        <v>28588</v>
      </c>
      <c r="D32" s="41">
        <v>28623</v>
      </c>
      <c r="E32" s="41">
        <v>28797</v>
      </c>
      <c r="F32" s="41">
        <v>28967</v>
      </c>
      <c r="G32" s="41">
        <v>29169</v>
      </c>
      <c r="H32" s="41">
        <v>29316</v>
      </c>
      <c r="I32" s="41">
        <v>29331</v>
      </c>
      <c r="J32" s="41">
        <v>29546</v>
      </c>
      <c r="K32" s="41">
        <v>29855</v>
      </c>
      <c r="L32" s="41">
        <v>30160</v>
      </c>
      <c r="M32" s="41">
        <v>30660</v>
      </c>
      <c r="N32" s="41">
        <v>30798</v>
      </c>
      <c r="O32" s="41">
        <v>31047</v>
      </c>
      <c r="P32" s="41">
        <v>31408</v>
      </c>
      <c r="Q32" s="41">
        <v>31581</v>
      </c>
      <c r="R32" s="41">
        <v>31678</v>
      </c>
      <c r="S32" s="41">
        <v>31618</v>
      </c>
      <c r="T32" s="41">
        <v>31509</v>
      </c>
      <c r="U32" s="41">
        <v>31514</v>
      </c>
      <c r="V32" s="41">
        <v>31460</v>
      </c>
      <c r="W32" s="41">
        <v>31405</v>
      </c>
      <c r="X32" s="41">
        <v>31423</v>
      </c>
      <c r="Y32" s="41">
        <v>31453</v>
      </c>
      <c r="Z32" s="41">
        <v>31499</v>
      </c>
      <c r="AA32" s="41">
        <v>31534</v>
      </c>
      <c r="AB32" s="41">
        <v>31575</v>
      </c>
      <c r="AC32" s="41">
        <v>31634</v>
      </c>
      <c r="AD32" s="41">
        <v>31699</v>
      </c>
      <c r="AE32" s="41">
        <v>31776</v>
      </c>
      <c r="AF32" s="41">
        <v>31854</v>
      </c>
      <c r="AG32" s="41">
        <v>31949</v>
      </c>
      <c r="AH32" s="41">
        <v>32044</v>
      </c>
      <c r="AI32" s="41">
        <v>32147</v>
      </c>
      <c r="AJ32" s="41">
        <v>32257</v>
      </c>
      <c r="AK32" s="41">
        <v>32369</v>
      </c>
      <c r="AL32" s="41">
        <v>32489</v>
      </c>
      <c r="AM32" s="41">
        <v>32611</v>
      </c>
      <c r="AN32" s="41">
        <v>32734</v>
      </c>
      <c r="AO32" s="41">
        <v>32849</v>
      </c>
      <c r="AP32" s="41">
        <v>32967</v>
      </c>
      <c r="AQ32" s="41">
        <v>33090</v>
      </c>
      <c r="AR32" s="41">
        <v>33216</v>
      </c>
      <c r="AS32" s="41">
        <v>33340</v>
      </c>
    </row>
    <row r="33" spans="1:45">
      <c r="A33" s="38" t="s">
        <v>181</v>
      </c>
      <c r="B33" s="38" t="s">
        <v>182</v>
      </c>
      <c r="C33" s="41">
        <v>114401</v>
      </c>
      <c r="D33" s="41">
        <v>113882</v>
      </c>
      <c r="E33" s="41">
        <v>113320</v>
      </c>
      <c r="F33" s="41">
        <v>112685</v>
      </c>
      <c r="G33" s="41">
        <v>113412</v>
      </c>
      <c r="H33" s="41">
        <v>113901</v>
      </c>
      <c r="I33" s="41">
        <v>114462</v>
      </c>
      <c r="J33" s="41">
        <v>115636</v>
      </c>
      <c r="K33" s="41">
        <v>116879</v>
      </c>
      <c r="L33" s="41">
        <v>118368</v>
      </c>
      <c r="M33" s="41">
        <v>120405</v>
      </c>
      <c r="N33" s="41">
        <v>121262</v>
      </c>
      <c r="O33" s="41">
        <v>121948</v>
      </c>
      <c r="P33" s="41">
        <v>122950</v>
      </c>
      <c r="Q33" s="41">
        <v>124120</v>
      </c>
      <c r="R33" s="41">
        <v>125126</v>
      </c>
      <c r="S33" s="41">
        <v>125184</v>
      </c>
      <c r="T33" s="41">
        <v>125689</v>
      </c>
      <c r="U33" s="41">
        <v>126098</v>
      </c>
      <c r="V33" s="41">
        <v>126411</v>
      </c>
      <c r="W33" s="41">
        <v>126757</v>
      </c>
      <c r="X33" s="41">
        <v>127249</v>
      </c>
      <c r="Y33" s="41">
        <v>127708</v>
      </c>
      <c r="Z33" s="41">
        <v>128183</v>
      </c>
      <c r="AA33" s="41">
        <v>128635</v>
      </c>
      <c r="AB33" s="41">
        <v>129186</v>
      </c>
      <c r="AC33" s="41">
        <v>129713</v>
      </c>
      <c r="AD33" s="41">
        <v>130262</v>
      </c>
      <c r="AE33" s="41">
        <v>130792</v>
      </c>
      <c r="AF33" s="41">
        <v>131341</v>
      </c>
      <c r="AG33" s="41">
        <v>131941</v>
      </c>
      <c r="AH33" s="41">
        <v>132560</v>
      </c>
      <c r="AI33" s="41">
        <v>133136</v>
      </c>
      <c r="AJ33" s="41">
        <v>133677</v>
      </c>
      <c r="AK33" s="41">
        <v>134238</v>
      </c>
      <c r="AL33" s="41">
        <v>134822</v>
      </c>
      <c r="AM33" s="41">
        <v>135366</v>
      </c>
      <c r="AN33" s="41">
        <v>135857</v>
      </c>
      <c r="AO33" s="41">
        <v>136299</v>
      </c>
      <c r="AP33" s="41">
        <v>136750</v>
      </c>
      <c r="AQ33" s="41">
        <v>137216</v>
      </c>
      <c r="AR33" s="41">
        <v>137669</v>
      </c>
      <c r="AS33" s="41">
        <v>138072</v>
      </c>
    </row>
    <row r="34" spans="1:45">
      <c r="A34" s="38" t="s">
        <v>183</v>
      </c>
      <c r="B34" s="38" t="s">
        <v>184</v>
      </c>
      <c r="C34" s="41">
        <v>165115</v>
      </c>
      <c r="D34" s="41">
        <v>165435</v>
      </c>
      <c r="E34" s="41">
        <v>166124</v>
      </c>
      <c r="F34" s="41">
        <v>167595</v>
      </c>
      <c r="G34" s="41">
        <v>171540</v>
      </c>
      <c r="H34" s="41">
        <v>173040</v>
      </c>
      <c r="I34" s="41">
        <v>174620</v>
      </c>
      <c r="J34" s="41">
        <v>175566</v>
      </c>
      <c r="K34" s="41">
        <v>176970</v>
      </c>
      <c r="L34" s="41">
        <v>178458</v>
      </c>
      <c r="M34" s="41">
        <v>180934</v>
      </c>
      <c r="N34" s="41">
        <v>182252</v>
      </c>
      <c r="O34" s="41">
        <v>184106</v>
      </c>
      <c r="P34" s="41">
        <v>185914</v>
      </c>
      <c r="Q34" s="41">
        <v>188202</v>
      </c>
      <c r="R34" s="41">
        <v>190104</v>
      </c>
      <c r="S34" s="41">
        <v>191029</v>
      </c>
      <c r="T34" s="41">
        <v>192655</v>
      </c>
      <c r="U34" s="41">
        <v>194184</v>
      </c>
      <c r="V34" s="41">
        <v>195658</v>
      </c>
      <c r="W34" s="41">
        <v>196922</v>
      </c>
      <c r="X34" s="41">
        <v>198177</v>
      </c>
      <c r="Y34" s="41">
        <v>199450</v>
      </c>
      <c r="Z34" s="41">
        <v>200738</v>
      </c>
      <c r="AA34" s="41">
        <v>202001</v>
      </c>
      <c r="AB34" s="41">
        <v>203239</v>
      </c>
      <c r="AC34" s="41">
        <v>204491</v>
      </c>
      <c r="AD34" s="41">
        <v>205814</v>
      </c>
      <c r="AE34" s="41">
        <v>207080</v>
      </c>
      <c r="AF34" s="41">
        <v>208360</v>
      </c>
      <c r="AG34" s="41">
        <v>209675</v>
      </c>
      <c r="AH34" s="41">
        <v>211073</v>
      </c>
      <c r="AI34" s="41">
        <v>212440</v>
      </c>
      <c r="AJ34" s="41">
        <v>213746</v>
      </c>
      <c r="AK34" s="41">
        <v>215085</v>
      </c>
      <c r="AL34" s="41">
        <v>216475</v>
      </c>
      <c r="AM34" s="41">
        <v>217852</v>
      </c>
      <c r="AN34" s="41">
        <v>219135</v>
      </c>
      <c r="AO34" s="41">
        <v>220347</v>
      </c>
      <c r="AP34" s="41">
        <v>221548</v>
      </c>
      <c r="AQ34" s="41">
        <v>222778</v>
      </c>
      <c r="AR34" s="41">
        <v>223957</v>
      </c>
      <c r="AS34" s="41">
        <v>225032</v>
      </c>
    </row>
    <row r="35" spans="1:45">
      <c r="A35" s="38" t="s">
        <v>185</v>
      </c>
      <c r="B35" s="38" t="s">
        <v>186</v>
      </c>
      <c r="C35" s="41">
        <v>49873</v>
      </c>
      <c r="D35" s="41">
        <v>50199</v>
      </c>
      <c r="E35" s="41">
        <v>50620</v>
      </c>
      <c r="F35" s="41">
        <v>50955</v>
      </c>
      <c r="G35" s="41">
        <v>51321</v>
      </c>
      <c r="H35" s="41">
        <v>51686</v>
      </c>
      <c r="I35" s="41">
        <v>52023</v>
      </c>
      <c r="J35" s="41">
        <v>52226</v>
      </c>
      <c r="K35" s="41">
        <v>52463</v>
      </c>
      <c r="L35" s="41">
        <v>52763</v>
      </c>
      <c r="M35" s="41">
        <v>53343</v>
      </c>
      <c r="N35" s="41">
        <v>53639</v>
      </c>
      <c r="O35" s="41">
        <v>53781</v>
      </c>
      <c r="P35" s="41">
        <v>54120</v>
      </c>
      <c r="Q35" s="41">
        <v>54411</v>
      </c>
      <c r="R35" s="41">
        <v>54681</v>
      </c>
      <c r="S35" s="41">
        <v>55225</v>
      </c>
      <c r="T35" s="41">
        <v>55676</v>
      </c>
      <c r="U35" s="41">
        <v>56275</v>
      </c>
      <c r="V35" s="41">
        <v>56796</v>
      </c>
      <c r="W35" s="41">
        <v>57266</v>
      </c>
      <c r="X35" s="41">
        <v>57846</v>
      </c>
      <c r="Y35" s="41">
        <v>58411</v>
      </c>
      <c r="Z35" s="41">
        <v>58966</v>
      </c>
      <c r="AA35" s="41">
        <v>59498</v>
      </c>
      <c r="AB35" s="41">
        <v>59997</v>
      </c>
      <c r="AC35" s="41">
        <v>60540</v>
      </c>
      <c r="AD35" s="41">
        <v>61035</v>
      </c>
      <c r="AE35" s="41">
        <v>61519</v>
      </c>
      <c r="AF35" s="41">
        <v>61982</v>
      </c>
      <c r="AG35" s="41">
        <v>62439</v>
      </c>
      <c r="AH35" s="41">
        <v>62896</v>
      </c>
      <c r="AI35" s="41">
        <v>63336</v>
      </c>
      <c r="AJ35" s="41">
        <v>63758</v>
      </c>
      <c r="AK35" s="41">
        <v>64171</v>
      </c>
      <c r="AL35" s="41">
        <v>64593</v>
      </c>
      <c r="AM35" s="41">
        <v>64989</v>
      </c>
      <c r="AN35" s="41">
        <v>65391</v>
      </c>
      <c r="AO35" s="41">
        <v>65796</v>
      </c>
      <c r="AP35" s="41">
        <v>66196</v>
      </c>
      <c r="AQ35" s="41">
        <v>66619</v>
      </c>
      <c r="AR35" s="41">
        <v>67041</v>
      </c>
      <c r="AS35" s="41">
        <v>67441</v>
      </c>
    </row>
    <row r="36" spans="1:45">
      <c r="A36" s="38" t="s">
        <v>187</v>
      </c>
      <c r="B36" s="38" t="s">
        <v>188</v>
      </c>
      <c r="C36" s="41">
        <v>125015</v>
      </c>
      <c r="D36" s="41">
        <v>125261</v>
      </c>
      <c r="E36" s="41">
        <v>125458</v>
      </c>
      <c r="F36" s="41">
        <v>125440</v>
      </c>
      <c r="G36" s="41">
        <v>126182</v>
      </c>
      <c r="H36" s="41">
        <v>126644</v>
      </c>
      <c r="I36" s="41">
        <v>126956</v>
      </c>
      <c r="J36" s="41">
        <v>127786</v>
      </c>
      <c r="K36" s="41">
        <v>128521</v>
      </c>
      <c r="L36" s="41">
        <v>129256</v>
      </c>
      <c r="M36" s="41">
        <v>130503</v>
      </c>
      <c r="N36" s="41">
        <v>131684</v>
      </c>
      <c r="O36" s="41">
        <v>133349</v>
      </c>
      <c r="P36" s="41">
        <v>134731</v>
      </c>
      <c r="Q36" s="41">
        <v>135926</v>
      </c>
      <c r="R36" s="41">
        <v>137021</v>
      </c>
      <c r="S36" s="41">
        <v>137809</v>
      </c>
      <c r="T36" s="41">
        <v>138377</v>
      </c>
      <c r="U36" s="41">
        <v>139373</v>
      </c>
      <c r="V36" s="41">
        <v>140192</v>
      </c>
      <c r="W36" s="41">
        <v>140998</v>
      </c>
      <c r="X36" s="41">
        <v>141974</v>
      </c>
      <c r="Y36" s="41">
        <v>142958</v>
      </c>
      <c r="Z36" s="41">
        <v>143920</v>
      </c>
      <c r="AA36" s="41">
        <v>144795</v>
      </c>
      <c r="AB36" s="41">
        <v>145682</v>
      </c>
      <c r="AC36" s="41">
        <v>146598</v>
      </c>
      <c r="AD36" s="41">
        <v>147501</v>
      </c>
      <c r="AE36" s="41">
        <v>148364</v>
      </c>
      <c r="AF36" s="41">
        <v>149194</v>
      </c>
      <c r="AG36" s="41">
        <v>150039</v>
      </c>
      <c r="AH36" s="41">
        <v>150873</v>
      </c>
      <c r="AI36" s="41">
        <v>151686</v>
      </c>
      <c r="AJ36" s="41">
        <v>152482</v>
      </c>
      <c r="AK36" s="41">
        <v>153272</v>
      </c>
      <c r="AL36" s="41">
        <v>154063</v>
      </c>
      <c r="AM36" s="41">
        <v>154862</v>
      </c>
      <c r="AN36" s="41">
        <v>155654</v>
      </c>
      <c r="AO36" s="41">
        <v>156433</v>
      </c>
      <c r="AP36" s="41">
        <v>157225</v>
      </c>
      <c r="AQ36" s="41">
        <v>158036</v>
      </c>
      <c r="AR36" s="41">
        <v>158857</v>
      </c>
      <c r="AS36" s="41">
        <v>159654</v>
      </c>
    </row>
    <row r="37" spans="1:45">
      <c r="A37" s="38" t="s">
        <v>189</v>
      </c>
      <c r="B37" s="38" t="s">
        <v>190</v>
      </c>
      <c r="C37" s="41">
        <v>35034</v>
      </c>
      <c r="D37" s="41">
        <v>35529</v>
      </c>
      <c r="E37" s="41">
        <v>35974</v>
      </c>
      <c r="F37" s="41">
        <v>36297</v>
      </c>
      <c r="G37" s="41">
        <v>36614</v>
      </c>
      <c r="H37" s="41">
        <v>36963</v>
      </c>
      <c r="I37" s="41">
        <v>37423</v>
      </c>
      <c r="J37" s="41">
        <v>37714</v>
      </c>
      <c r="K37" s="41">
        <v>37934</v>
      </c>
      <c r="L37" s="41">
        <v>38165</v>
      </c>
      <c r="M37" s="41">
        <v>38246</v>
      </c>
      <c r="N37" s="41">
        <v>38547</v>
      </c>
      <c r="O37" s="41">
        <v>38735</v>
      </c>
      <c r="P37" s="41">
        <v>39079</v>
      </c>
      <c r="Q37" s="41">
        <v>39277</v>
      </c>
      <c r="R37" s="41">
        <v>39753</v>
      </c>
      <c r="S37" s="41">
        <v>40177</v>
      </c>
      <c r="T37" s="41">
        <v>40600</v>
      </c>
      <c r="U37" s="41">
        <v>41070</v>
      </c>
      <c r="V37" s="41">
        <v>41464</v>
      </c>
      <c r="W37" s="41">
        <v>41868</v>
      </c>
      <c r="X37" s="41">
        <v>42279</v>
      </c>
      <c r="Y37" s="41">
        <v>42685</v>
      </c>
      <c r="Z37" s="41">
        <v>43101</v>
      </c>
      <c r="AA37" s="41">
        <v>43480</v>
      </c>
      <c r="AB37" s="41">
        <v>43859</v>
      </c>
      <c r="AC37" s="41">
        <v>44233</v>
      </c>
      <c r="AD37" s="41">
        <v>44594</v>
      </c>
      <c r="AE37" s="41">
        <v>44960</v>
      </c>
      <c r="AF37" s="41">
        <v>45325</v>
      </c>
      <c r="AG37" s="41">
        <v>45677</v>
      </c>
      <c r="AH37" s="41">
        <v>46027</v>
      </c>
      <c r="AI37" s="41">
        <v>46375</v>
      </c>
      <c r="AJ37" s="41">
        <v>46718</v>
      </c>
      <c r="AK37" s="41">
        <v>47068</v>
      </c>
      <c r="AL37" s="41">
        <v>47410</v>
      </c>
      <c r="AM37" s="41">
        <v>47751</v>
      </c>
      <c r="AN37" s="41">
        <v>48095</v>
      </c>
      <c r="AO37" s="41">
        <v>48430</v>
      </c>
      <c r="AP37" s="41">
        <v>48765</v>
      </c>
      <c r="AQ37" s="41">
        <v>49107</v>
      </c>
      <c r="AR37" s="41">
        <v>49452</v>
      </c>
      <c r="AS37" s="41">
        <v>49779</v>
      </c>
    </row>
    <row r="38" spans="1:45">
      <c r="A38" s="38" t="s">
        <v>191</v>
      </c>
      <c r="B38" s="38" t="s">
        <v>192</v>
      </c>
      <c r="C38" s="41">
        <v>34769</v>
      </c>
      <c r="D38" s="41">
        <v>34980</v>
      </c>
      <c r="E38" s="41">
        <v>35025</v>
      </c>
      <c r="F38" s="41">
        <v>35067</v>
      </c>
      <c r="G38" s="41">
        <v>35453</v>
      </c>
      <c r="H38" s="41">
        <v>35772</v>
      </c>
      <c r="I38" s="41">
        <v>36164</v>
      </c>
      <c r="J38" s="41">
        <v>36482</v>
      </c>
      <c r="K38" s="41">
        <v>36844</v>
      </c>
      <c r="L38" s="41">
        <v>37216</v>
      </c>
      <c r="M38" s="41">
        <v>37555</v>
      </c>
      <c r="N38" s="41">
        <v>37966</v>
      </c>
      <c r="O38" s="41">
        <v>38221</v>
      </c>
      <c r="P38" s="41">
        <v>38622</v>
      </c>
      <c r="Q38" s="41">
        <v>38848</v>
      </c>
      <c r="R38" s="41">
        <v>39078</v>
      </c>
      <c r="S38" s="41">
        <v>39085</v>
      </c>
      <c r="T38" s="41">
        <v>39132</v>
      </c>
      <c r="U38" s="41">
        <v>39234</v>
      </c>
      <c r="V38" s="41">
        <v>39297</v>
      </c>
      <c r="W38" s="41">
        <v>39335</v>
      </c>
      <c r="X38" s="41">
        <v>39422</v>
      </c>
      <c r="Y38" s="41">
        <v>39496</v>
      </c>
      <c r="Z38" s="41">
        <v>39566</v>
      </c>
      <c r="AA38" s="41">
        <v>39638</v>
      </c>
      <c r="AB38" s="41">
        <v>39704</v>
      </c>
      <c r="AC38" s="41">
        <v>39800</v>
      </c>
      <c r="AD38" s="41">
        <v>39881</v>
      </c>
      <c r="AE38" s="41">
        <v>39955</v>
      </c>
      <c r="AF38" s="41">
        <v>40038</v>
      </c>
      <c r="AG38" s="41">
        <v>40132</v>
      </c>
      <c r="AH38" s="41">
        <v>40243</v>
      </c>
      <c r="AI38" s="41">
        <v>40350</v>
      </c>
      <c r="AJ38" s="41">
        <v>40458</v>
      </c>
      <c r="AK38" s="41">
        <v>40569</v>
      </c>
      <c r="AL38" s="41">
        <v>40698</v>
      </c>
      <c r="AM38" s="41">
        <v>40830</v>
      </c>
      <c r="AN38" s="41">
        <v>40965</v>
      </c>
      <c r="AO38" s="41">
        <v>41091</v>
      </c>
      <c r="AP38" s="41">
        <v>41219</v>
      </c>
      <c r="AQ38" s="41">
        <v>41362</v>
      </c>
      <c r="AR38" s="41">
        <v>41501</v>
      </c>
      <c r="AS38" s="41">
        <v>41631</v>
      </c>
    </row>
    <row r="39" spans="1:45">
      <c r="A39" s="38" t="s">
        <v>193</v>
      </c>
      <c r="B39" s="38" t="s">
        <v>194</v>
      </c>
      <c r="C39" s="41">
        <v>45101</v>
      </c>
      <c r="D39" s="41">
        <v>45321</v>
      </c>
      <c r="E39" s="41">
        <v>45434</v>
      </c>
      <c r="F39" s="41">
        <v>45572</v>
      </c>
      <c r="G39" s="41">
        <v>45819</v>
      </c>
      <c r="H39" s="41">
        <v>45978</v>
      </c>
      <c r="I39" s="41">
        <v>46046</v>
      </c>
      <c r="J39" s="41">
        <v>46341</v>
      </c>
      <c r="K39" s="41">
        <v>46512</v>
      </c>
      <c r="L39" s="41">
        <v>46491</v>
      </c>
      <c r="M39" s="41">
        <v>46760</v>
      </c>
      <c r="N39" s="41">
        <v>47027</v>
      </c>
      <c r="O39" s="41">
        <v>47285</v>
      </c>
      <c r="P39" s="41">
        <v>47440</v>
      </c>
      <c r="Q39" s="41">
        <v>47569</v>
      </c>
      <c r="R39" s="41">
        <v>47800</v>
      </c>
      <c r="S39" s="41">
        <v>48080</v>
      </c>
      <c r="T39" s="41">
        <v>48304</v>
      </c>
      <c r="U39" s="41">
        <v>48689</v>
      </c>
      <c r="V39" s="41">
        <v>49009</v>
      </c>
      <c r="W39" s="41">
        <v>49299</v>
      </c>
      <c r="X39" s="41">
        <v>49665</v>
      </c>
      <c r="Y39" s="41">
        <v>50005</v>
      </c>
      <c r="Z39" s="41">
        <v>50347</v>
      </c>
      <c r="AA39" s="41">
        <v>50665</v>
      </c>
      <c r="AB39" s="41">
        <v>50972</v>
      </c>
      <c r="AC39" s="41">
        <v>51304</v>
      </c>
      <c r="AD39" s="41">
        <v>51626</v>
      </c>
      <c r="AE39" s="41">
        <v>51928</v>
      </c>
      <c r="AF39" s="41">
        <v>52228</v>
      </c>
      <c r="AG39" s="41">
        <v>52522</v>
      </c>
      <c r="AH39" s="41">
        <v>52818</v>
      </c>
      <c r="AI39" s="41">
        <v>53136</v>
      </c>
      <c r="AJ39" s="41">
        <v>53426</v>
      </c>
      <c r="AK39" s="41">
        <v>53718</v>
      </c>
      <c r="AL39" s="41">
        <v>54027</v>
      </c>
      <c r="AM39" s="41">
        <v>54330</v>
      </c>
      <c r="AN39" s="41">
        <v>54623</v>
      </c>
      <c r="AO39" s="41">
        <v>54903</v>
      </c>
      <c r="AP39" s="41">
        <v>55178</v>
      </c>
      <c r="AQ39" s="41">
        <v>55458</v>
      </c>
      <c r="AR39" s="41">
        <v>55735</v>
      </c>
      <c r="AS39" s="41">
        <v>55989</v>
      </c>
    </row>
    <row r="40" spans="1:45">
      <c r="A40" s="38" t="s">
        <v>195</v>
      </c>
      <c r="B40" s="38" t="s">
        <v>196</v>
      </c>
      <c r="C40" s="41">
        <v>186908</v>
      </c>
      <c r="D40" s="41">
        <v>186789</v>
      </c>
      <c r="E40" s="41">
        <v>187600</v>
      </c>
      <c r="F40" s="41">
        <v>188453</v>
      </c>
      <c r="G40" s="41">
        <v>190058</v>
      </c>
      <c r="H40" s="41">
        <v>191728</v>
      </c>
      <c r="I40" s="41">
        <v>193141</v>
      </c>
      <c r="J40" s="41">
        <v>194643</v>
      </c>
      <c r="K40" s="41">
        <v>196173</v>
      </c>
      <c r="L40" s="41">
        <v>198117</v>
      </c>
      <c r="M40" s="41">
        <v>200350</v>
      </c>
      <c r="N40" s="41">
        <v>202011</v>
      </c>
      <c r="O40" s="41">
        <v>203752</v>
      </c>
      <c r="P40" s="41">
        <v>205873</v>
      </c>
      <c r="Q40" s="41">
        <v>208201</v>
      </c>
      <c r="R40" s="41">
        <v>210624</v>
      </c>
      <c r="S40" s="41">
        <v>212034</v>
      </c>
      <c r="T40" s="41">
        <v>213711</v>
      </c>
      <c r="U40" s="41">
        <v>215412</v>
      </c>
      <c r="V40" s="41">
        <v>216866</v>
      </c>
      <c r="W40" s="41">
        <v>218216</v>
      </c>
      <c r="X40" s="41">
        <v>219780</v>
      </c>
      <c r="Y40" s="41">
        <v>221302</v>
      </c>
      <c r="Z40" s="41">
        <v>222776</v>
      </c>
      <c r="AA40" s="41">
        <v>224113</v>
      </c>
      <c r="AB40" s="41">
        <v>225396</v>
      </c>
      <c r="AC40" s="41">
        <v>226698</v>
      </c>
      <c r="AD40" s="41">
        <v>227953</v>
      </c>
      <c r="AE40" s="41">
        <v>229183</v>
      </c>
      <c r="AF40" s="41">
        <v>230342</v>
      </c>
      <c r="AG40" s="41">
        <v>231480</v>
      </c>
      <c r="AH40" s="41">
        <v>232590</v>
      </c>
      <c r="AI40" s="41">
        <v>233687</v>
      </c>
      <c r="AJ40" s="41">
        <v>234765</v>
      </c>
      <c r="AK40" s="41">
        <v>235816</v>
      </c>
      <c r="AL40" s="41">
        <v>236845</v>
      </c>
      <c r="AM40" s="41">
        <v>237855</v>
      </c>
      <c r="AN40" s="41">
        <v>238853</v>
      </c>
      <c r="AO40" s="41">
        <v>239808</v>
      </c>
      <c r="AP40" s="41">
        <v>240749</v>
      </c>
      <c r="AQ40" s="41">
        <v>241716</v>
      </c>
      <c r="AR40" s="41">
        <v>242651</v>
      </c>
      <c r="AS40" s="41">
        <v>243556</v>
      </c>
    </row>
    <row r="41" spans="1:45">
      <c r="A41" s="38" t="s">
        <v>197</v>
      </c>
      <c r="B41" s="38" t="s">
        <v>198</v>
      </c>
      <c r="C41" s="41">
        <v>36443</v>
      </c>
      <c r="D41" s="41">
        <v>36320</v>
      </c>
      <c r="E41" s="41">
        <v>36303</v>
      </c>
      <c r="F41" s="41">
        <v>36375</v>
      </c>
      <c r="G41" s="41">
        <v>36444</v>
      </c>
      <c r="H41" s="41">
        <v>36583</v>
      </c>
      <c r="I41" s="41">
        <v>36585</v>
      </c>
      <c r="J41" s="41">
        <v>36733</v>
      </c>
      <c r="K41" s="41">
        <v>36748</v>
      </c>
      <c r="L41" s="41">
        <v>36831</v>
      </c>
      <c r="M41" s="41">
        <v>37230</v>
      </c>
      <c r="N41" s="41">
        <v>37247</v>
      </c>
      <c r="O41" s="41">
        <v>37195</v>
      </c>
      <c r="P41" s="41">
        <v>37358</v>
      </c>
      <c r="Q41" s="41">
        <v>37393</v>
      </c>
      <c r="R41" s="41">
        <v>37489</v>
      </c>
      <c r="S41" s="41">
        <v>37621</v>
      </c>
      <c r="T41" s="41">
        <v>37952</v>
      </c>
      <c r="U41" s="41">
        <v>38167</v>
      </c>
      <c r="V41" s="41">
        <v>38342</v>
      </c>
      <c r="W41" s="41">
        <v>38531</v>
      </c>
      <c r="X41" s="41">
        <v>38714</v>
      </c>
      <c r="Y41" s="41">
        <v>38899</v>
      </c>
      <c r="Z41" s="41">
        <v>39061</v>
      </c>
      <c r="AA41" s="41">
        <v>39214</v>
      </c>
      <c r="AB41" s="41">
        <v>39380</v>
      </c>
      <c r="AC41" s="41">
        <v>39542</v>
      </c>
      <c r="AD41" s="41">
        <v>39708</v>
      </c>
      <c r="AE41" s="41">
        <v>39853</v>
      </c>
      <c r="AF41" s="41">
        <v>40003</v>
      </c>
      <c r="AG41" s="41">
        <v>40150</v>
      </c>
      <c r="AH41" s="41">
        <v>40289</v>
      </c>
      <c r="AI41" s="41">
        <v>40444</v>
      </c>
      <c r="AJ41" s="41">
        <v>40578</v>
      </c>
      <c r="AK41" s="41">
        <v>40708</v>
      </c>
      <c r="AL41" s="41">
        <v>40853</v>
      </c>
      <c r="AM41" s="41">
        <v>40985</v>
      </c>
      <c r="AN41" s="41">
        <v>41118</v>
      </c>
      <c r="AO41" s="41">
        <v>41243</v>
      </c>
      <c r="AP41" s="41">
        <v>41365</v>
      </c>
      <c r="AQ41" s="41">
        <v>41494</v>
      </c>
      <c r="AR41" s="41">
        <v>41612</v>
      </c>
      <c r="AS41" s="41">
        <v>41720</v>
      </c>
    </row>
    <row r="42" spans="1:45">
      <c r="A42" s="38" t="s">
        <v>199</v>
      </c>
      <c r="B42" s="38" t="s">
        <v>200</v>
      </c>
      <c r="C42" s="41">
        <v>73748</v>
      </c>
      <c r="D42" s="41">
        <v>74154</v>
      </c>
      <c r="E42" s="41">
        <v>74527</v>
      </c>
      <c r="F42" s="41">
        <v>74596</v>
      </c>
      <c r="G42" s="41">
        <v>74768</v>
      </c>
      <c r="H42" s="41">
        <v>75293</v>
      </c>
      <c r="I42" s="41">
        <v>75646</v>
      </c>
      <c r="J42" s="41">
        <v>75946</v>
      </c>
      <c r="K42" s="41">
        <v>76395</v>
      </c>
      <c r="L42" s="41">
        <v>76965</v>
      </c>
      <c r="M42" s="41">
        <v>77798</v>
      </c>
      <c r="N42" s="41">
        <v>78285</v>
      </c>
      <c r="O42" s="41">
        <v>78478</v>
      </c>
      <c r="P42" s="41">
        <v>78962</v>
      </c>
      <c r="Q42" s="41">
        <v>79325</v>
      </c>
      <c r="R42" s="41">
        <v>79662</v>
      </c>
      <c r="S42" s="41">
        <v>80239</v>
      </c>
      <c r="T42" s="41">
        <v>80611</v>
      </c>
      <c r="U42" s="41">
        <v>81195</v>
      </c>
      <c r="V42" s="41">
        <v>81651</v>
      </c>
      <c r="W42" s="41">
        <v>82075</v>
      </c>
      <c r="X42" s="41">
        <v>82531</v>
      </c>
      <c r="Y42" s="41">
        <v>82963</v>
      </c>
      <c r="Z42" s="41">
        <v>83385</v>
      </c>
      <c r="AA42" s="41">
        <v>83748</v>
      </c>
      <c r="AB42" s="41">
        <v>84118</v>
      </c>
      <c r="AC42" s="41">
        <v>84496</v>
      </c>
      <c r="AD42" s="41">
        <v>84878</v>
      </c>
      <c r="AE42" s="41">
        <v>85266</v>
      </c>
      <c r="AF42" s="41">
        <v>85641</v>
      </c>
      <c r="AG42" s="41">
        <v>86027</v>
      </c>
      <c r="AH42" s="41">
        <v>86415</v>
      </c>
      <c r="AI42" s="41">
        <v>86825</v>
      </c>
      <c r="AJ42" s="41">
        <v>87231</v>
      </c>
      <c r="AK42" s="41">
        <v>87632</v>
      </c>
      <c r="AL42" s="41">
        <v>88068</v>
      </c>
      <c r="AM42" s="41">
        <v>88490</v>
      </c>
      <c r="AN42" s="41">
        <v>88910</v>
      </c>
      <c r="AO42" s="41">
        <v>89322</v>
      </c>
      <c r="AP42" s="41">
        <v>89721</v>
      </c>
      <c r="AQ42" s="41">
        <v>90137</v>
      </c>
      <c r="AR42" s="41">
        <v>90541</v>
      </c>
      <c r="AS42" s="41">
        <v>90916</v>
      </c>
    </row>
    <row r="43" spans="1:45">
      <c r="A43" s="38" t="s">
        <v>201</v>
      </c>
      <c r="B43" s="38" t="s">
        <v>202</v>
      </c>
      <c r="C43" s="41">
        <v>80267</v>
      </c>
      <c r="D43" s="41">
        <v>80850</v>
      </c>
      <c r="E43" s="41">
        <v>81431</v>
      </c>
      <c r="F43" s="41">
        <v>82103</v>
      </c>
      <c r="G43" s="41">
        <v>82917</v>
      </c>
      <c r="H43" s="41">
        <v>83916</v>
      </c>
      <c r="I43" s="41">
        <v>84732</v>
      </c>
      <c r="J43" s="41">
        <v>85765</v>
      </c>
      <c r="K43" s="41">
        <v>86467</v>
      </c>
      <c r="L43" s="41">
        <v>87215</v>
      </c>
      <c r="M43" s="41">
        <v>88166</v>
      </c>
      <c r="N43" s="41">
        <v>88880</v>
      </c>
      <c r="O43" s="41">
        <v>89611</v>
      </c>
      <c r="P43" s="41">
        <v>90302</v>
      </c>
      <c r="Q43" s="41">
        <v>90860</v>
      </c>
      <c r="R43" s="41">
        <v>91529</v>
      </c>
      <c r="S43" s="41">
        <v>92058</v>
      </c>
      <c r="T43" s="41">
        <v>92647</v>
      </c>
      <c r="U43" s="41">
        <v>93264</v>
      </c>
      <c r="V43" s="41">
        <v>93822</v>
      </c>
      <c r="W43" s="41">
        <v>94302</v>
      </c>
      <c r="X43" s="41">
        <v>94769</v>
      </c>
      <c r="Y43" s="41">
        <v>95215</v>
      </c>
      <c r="Z43" s="41">
        <v>95649</v>
      </c>
      <c r="AA43" s="41">
        <v>96054</v>
      </c>
      <c r="AB43" s="41">
        <v>96443</v>
      </c>
      <c r="AC43" s="41">
        <v>96851</v>
      </c>
      <c r="AD43" s="41">
        <v>97248</v>
      </c>
      <c r="AE43" s="41">
        <v>97632</v>
      </c>
      <c r="AF43" s="41">
        <v>98015</v>
      </c>
      <c r="AG43" s="41">
        <v>98384</v>
      </c>
      <c r="AH43" s="41">
        <v>98761</v>
      </c>
      <c r="AI43" s="41">
        <v>99137</v>
      </c>
      <c r="AJ43" s="41">
        <v>99494</v>
      </c>
      <c r="AK43" s="41">
        <v>99850</v>
      </c>
      <c r="AL43" s="41">
        <v>100198</v>
      </c>
      <c r="AM43" s="41">
        <v>100543</v>
      </c>
      <c r="AN43" s="41">
        <v>100878</v>
      </c>
      <c r="AO43" s="41">
        <v>101182</v>
      </c>
      <c r="AP43" s="41">
        <v>101490</v>
      </c>
      <c r="AQ43" s="41">
        <v>101803</v>
      </c>
      <c r="AR43" s="41">
        <v>102094</v>
      </c>
      <c r="AS43" s="41">
        <v>102359</v>
      </c>
    </row>
    <row r="44" spans="1:45">
      <c r="A44" s="38" t="s">
        <v>203</v>
      </c>
      <c r="B44" s="38" t="s">
        <v>204</v>
      </c>
      <c r="C44" s="41">
        <v>42788</v>
      </c>
      <c r="D44" s="41">
        <v>42274</v>
      </c>
      <c r="E44" s="41">
        <v>42683</v>
      </c>
      <c r="F44" s="41">
        <v>42688</v>
      </c>
      <c r="G44" s="41">
        <v>44628</v>
      </c>
      <c r="H44" s="41">
        <v>44480</v>
      </c>
      <c r="I44" s="41">
        <v>44036</v>
      </c>
      <c r="J44" s="41">
        <v>44364</v>
      </c>
      <c r="K44" s="41">
        <v>44691</v>
      </c>
      <c r="L44" s="41">
        <v>45872</v>
      </c>
      <c r="M44" s="41">
        <v>46116</v>
      </c>
      <c r="N44" s="41">
        <v>45740</v>
      </c>
      <c r="O44" s="41">
        <v>45564</v>
      </c>
      <c r="P44" s="41">
        <v>45609</v>
      </c>
      <c r="Q44" s="41">
        <v>45642</v>
      </c>
      <c r="R44" s="41">
        <v>45182</v>
      </c>
      <c r="S44" s="41">
        <v>44862</v>
      </c>
      <c r="T44" s="41">
        <v>44703</v>
      </c>
      <c r="U44" s="41">
        <v>44336</v>
      </c>
      <c r="V44" s="41">
        <v>44055</v>
      </c>
      <c r="W44" s="41">
        <v>43790</v>
      </c>
      <c r="X44" s="41">
        <v>43722</v>
      </c>
      <c r="Y44" s="41">
        <v>43684</v>
      </c>
      <c r="Z44" s="41">
        <v>43698</v>
      </c>
      <c r="AA44" s="41">
        <v>43742</v>
      </c>
      <c r="AB44" s="41">
        <v>43825</v>
      </c>
      <c r="AC44" s="41">
        <v>43947</v>
      </c>
      <c r="AD44" s="41">
        <v>44089</v>
      </c>
      <c r="AE44" s="41">
        <v>44238</v>
      </c>
      <c r="AF44" s="41">
        <v>44387</v>
      </c>
      <c r="AG44" s="41">
        <v>44559</v>
      </c>
      <c r="AH44" s="41">
        <v>44741</v>
      </c>
      <c r="AI44" s="41">
        <v>44887</v>
      </c>
      <c r="AJ44" s="41">
        <v>45022</v>
      </c>
      <c r="AK44" s="41">
        <v>45153</v>
      </c>
      <c r="AL44" s="41">
        <v>45286</v>
      </c>
      <c r="AM44" s="41">
        <v>45396</v>
      </c>
      <c r="AN44" s="41">
        <v>45476</v>
      </c>
      <c r="AO44" s="41">
        <v>45521</v>
      </c>
      <c r="AP44" s="41">
        <v>45574</v>
      </c>
      <c r="AQ44" s="41">
        <v>45640</v>
      </c>
      <c r="AR44" s="41">
        <v>45695</v>
      </c>
      <c r="AS44" s="41">
        <v>45745</v>
      </c>
    </row>
    <row r="45" spans="1:45">
      <c r="A45" s="38" t="s">
        <v>205</v>
      </c>
      <c r="B45" s="38" t="s">
        <v>206</v>
      </c>
      <c r="C45" s="41">
        <v>92853</v>
      </c>
      <c r="D45" s="41">
        <v>93357</v>
      </c>
      <c r="E45" s="41">
        <v>93014</v>
      </c>
      <c r="F45" s="41">
        <v>93590</v>
      </c>
      <c r="G45" s="41">
        <v>94640</v>
      </c>
      <c r="H45" s="41">
        <v>94102</v>
      </c>
      <c r="I45" s="41">
        <v>93745</v>
      </c>
      <c r="J45" s="41">
        <v>92940</v>
      </c>
      <c r="K45" s="41">
        <v>93761</v>
      </c>
      <c r="L45" s="41">
        <v>93784</v>
      </c>
      <c r="M45" s="41">
        <v>96501</v>
      </c>
      <c r="N45" s="41">
        <v>97589</v>
      </c>
      <c r="O45" s="41">
        <v>99505</v>
      </c>
      <c r="P45" s="41">
        <v>101262</v>
      </c>
      <c r="Q45" s="41">
        <v>103972</v>
      </c>
      <c r="R45" s="41">
        <v>105880</v>
      </c>
      <c r="S45" s="41">
        <v>107173</v>
      </c>
      <c r="T45" s="41">
        <v>110070</v>
      </c>
      <c r="U45" s="41">
        <v>111638</v>
      </c>
      <c r="V45" s="41">
        <v>113029</v>
      </c>
      <c r="W45" s="41">
        <v>114218</v>
      </c>
      <c r="X45" s="41">
        <v>116017</v>
      </c>
      <c r="Y45" s="41">
        <v>117670</v>
      </c>
      <c r="Z45" s="41">
        <v>119212</v>
      </c>
      <c r="AA45" s="41">
        <v>120624</v>
      </c>
      <c r="AB45" s="41">
        <v>122012</v>
      </c>
      <c r="AC45" s="41">
        <v>123378</v>
      </c>
      <c r="AD45" s="41">
        <v>124725</v>
      </c>
      <c r="AE45" s="41">
        <v>126035</v>
      </c>
      <c r="AF45" s="41">
        <v>127326</v>
      </c>
      <c r="AG45" s="41">
        <v>128609</v>
      </c>
      <c r="AH45" s="41">
        <v>129890</v>
      </c>
      <c r="AI45" s="41">
        <v>131115</v>
      </c>
      <c r="AJ45" s="41">
        <v>132295</v>
      </c>
      <c r="AK45" s="41">
        <v>133454</v>
      </c>
      <c r="AL45" s="41">
        <v>134608</v>
      </c>
      <c r="AM45" s="41">
        <v>135727</v>
      </c>
      <c r="AN45" s="41">
        <v>136780</v>
      </c>
      <c r="AO45" s="41">
        <v>137769</v>
      </c>
      <c r="AP45" s="41">
        <v>138730</v>
      </c>
      <c r="AQ45" s="41">
        <v>139664</v>
      </c>
      <c r="AR45" s="41">
        <v>140544</v>
      </c>
      <c r="AS45" s="41">
        <v>141366</v>
      </c>
    </row>
    <row r="46" spans="1:45">
      <c r="A46" s="38" t="s">
        <v>207</v>
      </c>
      <c r="B46" s="38" t="s">
        <v>208</v>
      </c>
      <c r="C46" s="41">
        <v>36803</v>
      </c>
      <c r="D46" s="41">
        <v>37245</v>
      </c>
      <c r="E46" s="41">
        <v>37717</v>
      </c>
      <c r="F46" s="41">
        <v>38055</v>
      </c>
      <c r="G46" s="41">
        <v>38410</v>
      </c>
      <c r="H46" s="41">
        <v>38581</v>
      </c>
      <c r="I46" s="41">
        <v>38858</v>
      </c>
      <c r="J46" s="41">
        <v>39239</v>
      </c>
      <c r="K46" s="41">
        <v>39603</v>
      </c>
      <c r="L46" s="41">
        <v>39952</v>
      </c>
      <c r="M46" s="41">
        <v>40532</v>
      </c>
      <c r="N46" s="41">
        <v>40885</v>
      </c>
      <c r="O46" s="41">
        <v>41131</v>
      </c>
      <c r="P46" s="41">
        <v>41478</v>
      </c>
      <c r="Q46" s="41">
        <v>41680</v>
      </c>
      <c r="R46" s="41">
        <v>41962</v>
      </c>
      <c r="S46" s="41">
        <v>42448</v>
      </c>
      <c r="T46" s="41">
        <v>42982</v>
      </c>
      <c r="U46" s="41">
        <v>43491</v>
      </c>
      <c r="V46" s="41">
        <v>43952</v>
      </c>
      <c r="W46" s="41">
        <v>44390</v>
      </c>
      <c r="X46" s="41">
        <v>44849</v>
      </c>
      <c r="Y46" s="41">
        <v>45256</v>
      </c>
      <c r="Z46" s="41">
        <v>45675</v>
      </c>
      <c r="AA46" s="41">
        <v>46059</v>
      </c>
      <c r="AB46" s="41">
        <v>46443</v>
      </c>
      <c r="AC46" s="41">
        <v>46831</v>
      </c>
      <c r="AD46" s="41">
        <v>47188</v>
      </c>
      <c r="AE46" s="41">
        <v>47551</v>
      </c>
      <c r="AF46" s="41">
        <v>47887</v>
      </c>
      <c r="AG46" s="41">
        <v>48237</v>
      </c>
      <c r="AH46" s="41">
        <v>48583</v>
      </c>
      <c r="AI46" s="41">
        <v>48938</v>
      </c>
      <c r="AJ46" s="41">
        <v>49291</v>
      </c>
      <c r="AK46" s="41">
        <v>49627</v>
      </c>
      <c r="AL46" s="41">
        <v>49983</v>
      </c>
      <c r="AM46" s="41">
        <v>50334</v>
      </c>
      <c r="AN46" s="41">
        <v>50696</v>
      </c>
      <c r="AO46" s="41">
        <v>51042</v>
      </c>
      <c r="AP46" s="41">
        <v>51372</v>
      </c>
      <c r="AQ46" s="41">
        <v>51712</v>
      </c>
      <c r="AR46" s="41">
        <v>52049</v>
      </c>
      <c r="AS46" s="41">
        <v>52372</v>
      </c>
    </row>
    <row r="47" spans="1:45">
      <c r="A47" s="38" t="s">
        <v>209</v>
      </c>
      <c r="B47" s="38" t="s">
        <v>210</v>
      </c>
      <c r="C47" s="41">
        <v>55275</v>
      </c>
      <c r="D47" s="41">
        <v>55649</v>
      </c>
      <c r="E47" s="41">
        <v>56433</v>
      </c>
      <c r="F47" s="41">
        <v>57028</v>
      </c>
      <c r="G47" s="41">
        <v>57587</v>
      </c>
      <c r="H47" s="41">
        <v>58072</v>
      </c>
      <c r="I47" s="41">
        <v>58812</v>
      </c>
      <c r="J47" s="41">
        <v>59241</v>
      </c>
      <c r="K47" s="41">
        <v>59367</v>
      </c>
      <c r="L47" s="41">
        <v>59999</v>
      </c>
      <c r="M47" s="41">
        <v>60452</v>
      </c>
      <c r="N47" s="41">
        <v>61173</v>
      </c>
      <c r="O47" s="41">
        <v>61901</v>
      </c>
      <c r="P47" s="41">
        <v>62828</v>
      </c>
      <c r="Q47" s="41">
        <v>63781</v>
      </c>
      <c r="R47" s="41">
        <v>64956</v>
      </c>
      <c r="S47" s="41">
        <v>65676</v>
      </c>
      <c r="T47" s="41">
        <v>66094</v>
      </c>
      <c r="U47" s="41">
        <v>66533</v>
      </c>
      <c r="V47" s="41">
        <v>66995</v>
      </c>
      <c r="W47" s="41">
        <v>67403</v>
      </c>
      <c r="X47" s="41">
        <v>67854</v>
      </c>
      <c r="Y47" s="41">
        <v>68299</v>
      </c>
      <c r="Z47" s="41">
        <v>68801</v>
      </c>
      <c r="AA47" s="41">
        <v>69303</v>
      </c>
      <c r="AB47" s="41">
        <v>69855</v>
      </c>
      <c r="AC47" s="41">
        <v>70427</v>
      </c>
      <c r="AD47" s="41">
        <v>70979</v>
      </c>
      <c r="AE47" s="41">
        <v>71501</v>
      </c>
      <c r="AF47" s="41">
        <v>72026</v>
      </c>
      <c r="AG47" s="41">
        <v>72560</v>
      </c>
      <c r="AH47" s="41">
        <v>73094</v>
      </c>
      <c r="AI47" s="41">
        <v>73559</v>
      </c>
      <c r="AJ47" s="41">
        <v>74023</v>
      </c>
      <c r="AK47" s="41">
        <v>74487</v>
      </c>
      <c r="AL47" s="41">
        <v>74963</v>
      </c>
      <c r="AM47" s="41">
        <v>75395</v>
      </c>
      <c r="AN47" s="41">
        <v>75801</v>
      </c>
      <c r="AO47" s="41">
        <v>76185</v>
      </c>
      <c r="AP47" s="41">
        <v>76580</v>
      </c>
      <c r="AQ47" s="41">
        <v>76996</v>
      </c>
      <c r="AR47" s="41">
        <v>77402</v>
      </c>
      <c r="AS47" s="41">
        <v>77792</v>
      </c>
    </row>
    <row r="48" spans="1:45">
      <c r="A48" s="38" t="s">
        <v>211</v>
      </c>
      <c r="B48" s="38" t="s">
        <v>212</v>
      </c>
      <c r="C48" s="41">
        <v>43645</v>
      </c>
      <c r="D48" s="41">
        <v>44125</v>
      </c>
      <c r="E48" s="41">
        <v>44631</v>
      </c>
      <c r="F48" s="41">
        <v>45381</v>
      </c>
      <c r="G48" s="41">
        <v>45887</v>
      </c>
      <c r="H48" s="41">
        <v>46450</v>
      </c>
      <c r="I48" s="41">
        <v>46905</v>
      </c>
      <c r="J48" s="41">
        <v>47180</v>
      </c>
      <c r="K48" s="41">
        <v>47352</v>
      </c>
      <c r="L48" s="41">
        <v>47550</v>
      </c>
      <c r="M48" s="41">
        <v>48009</v>
      </c>
      <c r="N48" s="41">
        <v>48233</v>
      </c>
      <c r="O48" s="41">
        <v>48414</v>
      </c>
      <c r="P48" s="41">
        <v>48567</v>
      </c>
      <c r="Q48" s="41">
        <v>48675</v>
      </c>
      <c r="R48" s="41">
        <v>48890</v>
      </c>
      <c r="S48" s="41">
        <v>49022</v>
      </c>
      <c r="T48" s="41">
        <v>49277</v>
      </c>
      <c r="U48" s="41">
        <v>49499</v>
      </c>
      <c r="V48" s="41">
        <v>49640</v>
      </c>
      <c r="W48" s="41">
        <v>49784</v>
      </c>
      <c r="X48" s="41">
        <v>49934</v>
      </c>
      <c r="Y48" s="41">
        <v>50073</v>
      </c>
      <c r="Z48" s="41">
        <v>50216</v>
      </c>
      <c r="AA48" s="41">
        <v>50320</v>
      </c>
      <c r="AB48" s="41">
        <v>50437</v>
      </c>
      <c r="AC48" s="41">
        <v>50555</v>
      </c>
      <c r="AD48" s="41">
        <v>50691</v>
      </c>
      <c r="AE48" s="41">
        <v>50811</v>
      </c>
      <c r="AF48" s="41">
        <v>50912</v>
      </c>
      <c r="AG48" s="41">
        <v>51012</v>
      </c>
      <c r="AH48" s="41">
        <v>51118</v>
      </c>
      <c r="AI48" s="41">
        <v>51221</v>
      </c>
      <c r="AJ48" s="41">
        <v>51317</v>
      </c>
      <c r="AK48" s="41">
        <v>51395</v>
      </c>
      <c r="AL48" s="41">
        <v>51487</v>
      </c>
      <c r="AM48" s="41">
        <v>51570</v>
      </c>
      <c r="AN48" s="41">
        <v>51642</v>
      </c>
      <c r="AO48" s="41">
        <v>51715</v>
      </c>
      <c r="AP48" s="41">
        <v>51760</v>
      </c>
      <c r="AQ48" s="41">
        <v>51825</v>
      </c>
      <c r="AR48" s="41">
        <v>51875</v>
      </c>
      <c r="AS48" s="41">
        <v>51906</v>
      </c>
    </row>
    <row r="49" spans="1:45">
      <c r="A49" s="38" t="s">
        <v>213</v>
      </c>
      <c r="B49" s="38" t="s">
        <v>214</v>
      </c>
      <c r="C49" s="41">
        <v>35214</v>
      </c>
      <c r="D49" s="41">
        <v>35362</v>
      </c>
      <c r="E49" s="41">
        <v>35514</v>
      </c>
      <c r="F49" s="41">
        <v>35522</v>
      </c>
      <c r="G49" s="41">
        <v>35687</v>
      </c>
      <c r="H49" s="41">
        <v>35810</v>
      </c>
      <c r="I49" s="41">
        <v>36009</v>
      </c>
      <c r="J49" s="41">
        <v>36147</v>
      </c>
      <c r="K49" s="41">
        <v>36244</v>
      </c>
      <c r="L49" s="41">
        <v>36312</v>
      </c>
      <c r="M49" s="41">
        <v>36501</v>
      </c>
      <c r="N49" s="41">
        <v>36620</v>
      </c>
      <c r="O49" s="41">
        <v>36746</v>
      </c>
      <c r="P49" s="41">
        <v>36799</v>
      </c>
      <c r="Q49" s="41">
        <v>36891</v>
      </c>
      <c r="R49" s="41">
        <v>37063</v>
      </c>
      <c r="S49" s="41">
        <v>37095</v>
      </c>
      <c r="T49" s="41">
        <v>37157</v>
      </c>
      <c r="U49" s="41">
        <v>37253</v>
      </c>
      <c r="V49" s="41">
        <v>37306</v>
      </c>
      <c r="W49" s="41">
        <v>37350</v>
      </c>
      <c r="X49" s="41">
        <v>37518</v>
      </c>
      <c r="Y49" s="41">
        <v>37684</v>
      </c>
      <c r="Z49" s="41">
        <v>37832</v>
      </c>
      <c r="AA49" s="41">
        <v>37969</v>
      </c>
      <c r="AB49" s="41">
        <v>38106</v>
      </c>
      <c r="AC49" s="41">
        <v>38263</v>
      </c>
      <c r="AD49" s="41">
        <v>38413</v>
      </c>
      <c r="AE49" s="41">
        <v>38547</v>
      </c>
      <c r="AF49" s="41">
        <v>38669</v>
      </c>
      <c r="AG49" s="41">
        <v>38810</v>
      </c>
      <c r="AH49" s="41">
        <v>38936</v>
      </c>
      <c r="AI49" s="41">
        <v>39082</v>
      </c>
      <c r="AJ49" s="41">
        <v>39223</v>
      </c>
      <c r="AK49" s="41">
        <v>39352</v>
      </c>
      <c r="AL49" s="41">
        <v>39507</v>
      </c>
      <c r="AM49" s="41">
        <v>39650</v>
      </c>
      <c r="AN49" s="41">
        <v>39821</v>
      </c>
      <c r="AO49" s="41">
        <v>39986</v>
      </c>
      <c r="AP49" s="41">
        <v>40145</v>
      </c>
      <c r="AQ49" s="41">
        <v>40332</v>
      </c>
      <c r="AR49" s="41">
        <v>40512</v>
      </c>
      <c r="AS49" s="41">
        <v>40709</v>
      </c>
    </row>
    <row r="50" spans="1:45">
      <c r="A50" s="38" t="s">
        <v>215</v>
      </c>
      <c r="B50" s="38" t="s">
        <v>216</v>
      </c>
      <c r="C50" s="41">
        <v>93662</v>
      </c>
      <c r="D50" s="41">
        <v>94725</v>
      </c>
      <c r="E50" s="41">
        <v>95753</v>
      </c>
      <c r="F50" s="41">
        <v>96632</v>
      </c>
      <c r="G50" s="41">
        <v>97574</v>
      </c>
      <c r="H50" s="41">
        <v>98627</v>
      </c>
      <c r="I50" s="41">
        <v>99816</v>
      </c>
      <c r="J50" s="41">
        <v>100955</v>
      </c>
      <c r="K50" s="41">
        <v>101735</v>
      </c>
      <c r="L50" s="41">
        <v>102721</v>
      </c>
      <c r="M50" s="41">
        <v>104413</v>
      </c>
      <c r="N50" s="41">
        <v>106043</v>
      </c>
      <c r="O50" s="41">
        <v>107723</v>
      </c>
      <c r="P50" s="41">
        <v>109467</v>
      </c>
      <c r="Q50" s="41">
        <v>111355</v>
      </c>
      <c r="R50" s="41">
        <v>113144</v>
      </c>
      <c r="S50" s="41">
        <v>114713</v>
      </c>
      <c r="T50" s="41">
        <v>116209</v>
      </c>
      <c r="U50" s="41">
        <v>117824</v>
      </c>
      <c r="V50" s="41">
        <v>119285</v>
      </c>
      <c r="W50" s="41">
        <v>120654</v>
      </c>
      <c r="X50" s="41">
        <v>122135</v>
      </c>
      <c r="Y50" s="41">
        <v>123553</v>
      </c>
      <c r="Z50" s="41">
        <v>124904</v>
      </c>
      <c r="AA50" s="41">
        <v>126152</v>
      </c>
      <c r="AB50" s="41">
        <v>127348</v>
      </c>
      <c r="AC50" s="41">
        <v>128568</v>
      </c>
      <c r="AD50" s="41">
        <v>129728</v>
      </c>
      <c r="AE50" s="41">
        <v>130845</v>
      </c>
      <c r="AF50" s="41">
        <v>131894</v>
      </c>
      <c r="AG50" s="41">
        <v>132932</v>
      </c>
      <c r="AH50" s="41">
        <v>133941</v>
      </c>
      <c r="AI50" s="41">
        <v>134933</v>
      </c>
      <c r="AJ50" s="41">
        <v>135881</v>
      </c>
      <c r="AK50" s="41">
        <v>136802</v>
      </c>
      <c r="AL50" s="41">
        <v>137722</v>
      </c>
      <c r="AM50" s="41">
        <v>138614</v>
      </c>
      <c r="AN50" s="41">
        <v>139506</v>
      </c>
      <c r="AO50" s="41">
        <v>140351</v>
      </c>
      <c r="AP50" s="41">
        <v>141163</v>
      </c>
      <c r="AQ50" s="41">
        <v>141997</v>
      </c>
      <c r="AR50" s="41">
        <v>142804</v>
      </c>
      <c r="AS50" s="41">
        <v>143567</v>
      </c>
    </row>
    <row r="51" spans="1:45">
      <c r="A51" s="38" t="s">
        <v>217</v>
      </c>
      <c r="B51" s="38" t="s">
        <v>218</v>
      </c>
      <c r="C51" s="41">
        <v>60031</v>
      </c>
      <c r="D51" s="41">
        <v>60225</v>
      </c>
      <c r="E51" s="41">
        <v>60487</v>
      </c>
      <c r="F51" s="41">
        <v>61075</v>
      </c>
      <c r="G51" s="41">
        <v>61733</v>
      </c>
      <c r="H51" s="41">
        <v>62401</v>
      </c>
      <c r="I51" s="41">
        <v>63013</v>
      </c>
      <c r="J51" s="41">
        <v>63828</v>
      </c>
      <c r="K51" s="41">
        <v>64574</v>
      </c>
      <c r="L51" s="41">
        <v>65379</v>
      </c>
      <c r="M51" s="41">
        <v>66320</v>
      </c>
      <c r="N51" s="41">
        <v>67115</v>
      </c>
      <c r="O51" s="41">
        <v>67901</v>
      </c>
      <c r="P51" s="41">
        <v>68818</v>
      </c>
      <c r="Q51" s="41">
        <v>69849</v>
      </c>
      <c r="R51" s="41">
        <v>70640</v>
      </c>
      <c r="S51" s="41">
        <v>71722</v>
      </c>
      <c r="T51" s="41">
        <v>72713</v>
      </c>
      <c r="U51" s="41">
        <v>73724</v>
      </c>
      <c r="V51" s="41">
        <v>74733</v>
      </c>
      <c r="W51" s="41">
        <v>75629</v>
      </c>
      <c r="X51" s="41">
        <v>76558</v>
      </c>
      <c r="Y51" s="41">
        <v>77488</v>
      </c>
      <c r="Z51" s="41">
        <v>78448</v>
      </c>
      <c r="AA51" s="41">
        <v>79371</v>
      </c>
      <c r="AB51" s="41">
        <v>80287</v>
      </c>
      <c r="AC51" s="41">
        <v>81218</v>
      </c>
      <c r="AD51" s="41">
        <v>82155</v>
      </c>
      <c r="AE51" s="41">
        <v>83058</v>
      </c>
      <c r="AF51" s="41">
        <v>83930</v>
      </c>
      <c r="AG51" s="41">
        <v>84826</v>
      </c>
      <c r="AH51" s="41">
        <v>85703</v>
      </c>
      <c r="AI51" s="41">
        <v>86548</v>
      </c>
      <c r="AJ51" s="41">
        <v>87338</v>
      </c>
      <c r="AK51" s="41">
        <v>88128</v>
      </c>
      <c r="AL51" s="41">
        <v>88921</v>
      </c>
      <c r="AM51" s="41">
        <v>89679</v>
      </c>
      <c r="AN51" s="41">
        <v>90414</v>
      </c>
      <c r="AO51" s="41">
        <v>91107</v>
      </c>
      <c r="AP51" s="41">
        <v>91814</v>
      </c>
      <c r="AQ51" s="41">
        <v>92527</v>
      </c>
      <c r="AR51" s="41">
        <v>93227</v>
      </c>
      <c r="AS51" s="41">
        <v>93903</v>
      </c>
    </row>
    <row r="52" spans="1:45">
      <c r="A52" s="38" t="s">
        <v>219</v>
      </c>
      <c r="B52" s="38" t="s">
        <v>220</v>
      </c>
      <c r="C52" s="41">
        <v>64187</v>
      </c>
      <c r="D52" s="41">
        <v>64609</v>
      </c>
      <c r="E52" s="41">
        <v>65088</v>
      </c>
      <c r="F52" s="41">
        <v>65745</v>
      </c>
      <c r="G52" s="41">
        <v>66386</v>
      </c>
      <c r="H52" s="41">
        <v>66705</v>
      </c>
      <c r="I52" s="41">
        <v>67112</v>
      </c>
      <c r="J52" s="41">
        <v>67606</v>
      </c>
      <c r="K52" s="41">
        <v>68217</v>
      </c>
      <c r="L52" s="41">
        <v>68876</v>
      </c>
      <c r="M52" s="41">
        <v>69420</v>
      </c>
      <c r="N52" s="41">
        <v>69932</v>
      </c>
      <c r="O52" s="41">
        <v>70453</v>
      </c>
      <c r="P52" s="41">
        <v>70942</v>
      </c>
      <c r="Q52" s="41">
        <v>71404</v>
      </c>
      <c r="R52" s="41">
        <v>72027</v>
      </c>
      <c r="S52" s="41">
        <v>72818</v>
      </c>
      <c r="T52" s="41">
        <v>73215</v>
      </c>
      <c r="U52" s="41">
        <v>73970</v>
      </c>
      <c r="V52" s="41">
        <v>74588</v>
      </c>
      <c r="W52" s="41">
        <v>75214</v>
      </c>
      <c r="X52" s="41">
        <v>75961</v>
      </c>
      <c r="Y52" s="41">
        <v>76633</v>
      </c>
      <c r="Z52" s="41">
        <v>77318</v>
      </c>
      <c r="AA52" s="41">
        <v>77948</v>
      </c>
      <c r="AB52" s="41">
        <v>78592</v>
      </c>
      <c r="AC52" s="41">
        <v>79237</v>
      </c>
      <c r="AD52" s="41">
        <v>79845</v>
      </c>
      <c r="AE52" s="41">
        <v>80433</v>
      </c>
      <c r="AF52" s="41">
        <v>80996</v>
      </c>
      <c r="AG52" s="41">
        <v>81569</v>
      </c>
      <c r="AH52" s="41">
        <v>82132</v>
      </c>
      <c r="AI52" s="41">
        <v>82680</v>
      </c>
      <c r="AJ52" s="41">
        <v>83227</v>
      </c>
      <c r="AK52" s="41">
        <v>83757</v>
      </c>
      <c r="AL52" s="41">
        <v>84303</v>
      </c>
      <c r="AM52" s="41">
        <v>84839</v>
      </c>
      <c r="AN52" s="41">
        <v>85359</v>
      </c>
      <c r="AO52" s="41">
        <v>85860</v>
      </c>
      <c r="AP52" s="41">
        <v>86352</v>
      </c>
      <c r="AQ52" s="41">
        <v>86881</v>
      </c>
      <c r="AR52" s="41">
        <v>87403</v>
      </c>
      <c r="AS52" s="41">
        <v>87902</v>
      </c>
    </row>
    <row r="53" spans="1:45">
      <c r="A53" s="38" t="s">
        <v>221</v>
      </c>
      <c r="B53" s="38" t="s">
        <v>222</v>
      </c>
      <c r="C53" s="41">
        <v>47772</v>
      </c>
      <c r="D53" s="41">
        <v>47666</v>
      </c>
      <c r="E53" s="41">
        <v>47390</v>
      </c>
      <c r="F53" s="41">
        <v>47563</v>
      </c>
      <c r="G53" s="41">
        <v>48089</v>
      </c>
      <c r="H53" s="41">
        <v>48377</v>
      </c>
      <c r="I53" s="41">
        <v>48732</v>
      </c>
      <c r="J53" s="41">
        <v>48975</v>
      </c>
      <c r="K53" s="41">
        <v>49490</v>
      </c>
      <c r="L53" s="41">
        <v>49950</v>
      </c>
      <c r="M53" s="41">
        <v>50535</v>
      </c>
      <c r="N53" s="41">
        <v>50746</v>
      </c>
      <c r="O53" s="41">
        <v>50789</v>
      </c>
      <c r="P53" s="41">
        <v>51033</v>
      </c>
      <c r="Q53" s="41">
        <v>51180</v>
      </c>
      <c r="R53" s="41">
        <v>51418</v>
      </c>
      <c r="S53" s="41">
        <v>51477</v>
      </c>
      <c r="T53" s="41">
        <v>51509</v>
      </c>
      <c r="U53" s="41">
        <v>51669</v>
      </c>
      <c r="V53" s="41">
        <v>51820</v>
      </c>
      <c r="W53" s="41">
        <v>51944</v>
      </c>
      <c r="X53" s="41">
        <v>52131</v>
      </c>
      <c r="Y53" s="41">
        <v>52338</v>
      </c>
      <c r="Z53" s="41">
        <v>52562</v>
      </c>
      <c r="AA53" s="41">
        <v>52768</v>
      </c>
      <c r="AB53" s="41">
        <v>52987</v>
      </c>
      <c r="AC53" s="41">
        <v>53238</v>
      </c>
      <c r="AD53" s="41">
        <v>53502</v>
      </c>
      <c r="AE53" s="41">
        <v>53765</v>
      </c>
      <c r="AF53" s="41">
        <v>54030</v>
      </c>
      <c r="AG53" s="41">
        <v>54311</v>
      </c>
      <c r="AH53" s="41">
        <v>54595</v>
      </c>
      <c r="AI53" s="41">
        <v>54881</v>
      </c>
      <c r="AJ53" s="41">
        <v>55173</v>
      </c>
      <c r="AK53" s="41">
        <v>55446</v>
      </c>
      <c r="AL53" s="41">
        <v>55732</v>
      </c>
      <c r="AM53" s="41">
        <v>56010</v>
      </c>
      <c r="AN53" s="41">
        <v>56287</v>
      </c>
      <c r="AO53" s="41">
        <v>56558</v>
      </c>
      <c r="AP53" s="41">
        <v>56825</v>
      </c>
      <c r="AQ53" s="41">
        <v>57097</v>
      </c>
      <c r="AR53" s="41">
        <v>57370</v>
      </c>
      <c r="AS53" s="41">
        <v>57626</v>
      </c>
    </row>
    <row r="54" spans="1:45">
      <c r="A54" s="38" t="s">
        <v>223</v>
      </c>
      <c r="B54" s="38" t="s">
        <v>224</v>
      </c>
      <c r="C54" s="41">
        <v>52805</v>
      </c>
      <c r="D54" s="41">
        <v>53046</v>
      </c>
      <c r="E54" s="41">
        <v>53622</v>
      </c>
      <c r="F54" s="41">
        <v>53987</v>
      </c>
      <c r="G54" s="41">
        <v>54306</v>
      </c>
      <c r="H54" s="41">
        <v>54796</v>
      </c>
      <c r="I54" s="41">
        <v>55092</v>
      </c>
      <c r="J54" s="41">
        <v>55626</v>
      </c>
      <c r="K54" s="41">
        <v>56066</v>
      </c>
      <c r="L54" s="41">
        <v>56430</v>
      </c>
      <c r="M54" s="41">
        <v>56533</v>
      </c>
      <c r="N54" s="41">
        <v>57024</v>
      </c>
      <c r="O54" s="41">
        <v>57488</v>
      </c>
      <c r="P54" s="41">
        <v>57833</v>
      </c>
      <c r="Q54" s="41">
        <v>58396</v>
      </c>
      <c r="R54" s="41">
        <v>58830</v>
      </c>
      <c r="S54" s="41">
        <v>59377</v>
      </c>
      <c r="T54" s="41">
        <v>60114</v>
      </c>
      <c r="U54" s="41">
        <v>60813</v>
      </c>
      <c r="V54" s="41">
        <v>61446</v>
      </c>
      <c r="W54" s="41">
        <v>62025</v>
      </c>
      <c r="X54" s="41">
        <v>62717</v>
      </c>
      <c r="Y54" s="41">
        <v>63390</v>
      </c>
      <c r="Z54" s="41">
        <v>64014</v>
      </c>
      <c r="AA54" s="41">
        <v>64615</v>
      </c>
      <c r="AB54" s="41">
        <v>65187</v>
      </c>
      <c r="AC54" s="41">
        <v>65759</v>
      </c>
      <c r="AD54" s="41">
        <v>66314</v>
      </c>
      <c r="AE54" s="41">
        <v>66840</v>
      </c>
      <c r="AF54" s="41">
        <v>67367</v>
      </c>
      <c r="AG54" s="41">
        <v>67880</v>
      </c>
      <c r="AH54" s="41">
        <v>68371</v>
      </c>
      <c r="AI54" s="41">
        <v>68864</v>
      </c>
      <c r="AJ54" s="41">
        <v>69343</v>
      </c>
      <c r="AK54" s="41">
        <v>69818</v>
      </c>
      <c r="AL54" s="41">
        <v>70303</v>
      </c>
      <c r="AM54" s="41">
        <v>70764</v>
      </c>
      <c r="AN54" s="41">
        <v>71226</v>
      </c>
      <c r="AO54" s="41">
        <v>71669</v>
      </c>
      <c r="AP54" s="41">
        <v>72118</v>
      </c>
      <c r="AQ54" s="41">
        <v>72563</v>
      </c>
      <c r="AR54" s="41">
        <v>73007</v>
      </c>
      <c r="AS54" s="41">
        <v>73417</v>
      </c>
    </row>
    <row r="55" spans="1:45">
      <c r="A55" s="38" t="s">
        <v>225</v>
      </c>
      <c r="B55" s="38" t="s">
        <v>226</v>
      </c>
      <c r="C55" s="41">
        <v>146271</v>
      </c>
      <c r="D55" s="41">
        <v>147334</v>
      </c>
      <c r="E55" s="41">
        <v>148564</v>
      </c>
      <c r="F55" s="41">
        <v>149760</v>
      </c>
      <c r="G55" s="41">
        <v>151157</v>
      </c>
      <c r="H55" s="41">
        <v>152371</v>
      </c>
      <c r="I55" s="41">
        <v>153842</v>
      </c>
      <c r="J55" s="41">
        <v>155219</v>
      </c>
      <c r="K55" s="41">
        <v>156213</v>
      </c>
      <c r="L55" s="41">
        <v>157219</v>
      </c>
      <c r="M55" s="41">
        <v>159177</v>
      </c>
      <c r="N55" s="41">
        <v>160311</v>
      </c>
      <c r="O55" s="41">
        <v>161070</v>
      </c>
      <c r="P55" s="41">
        <v>162280</v>
      </c>
      <c r="Q55" s="41">
        <v>163121</v>
      </c>
      <c r="R55" s="41">
        <v>164160</v>
      </c>
      <c r="S55" s="41">
        <v>165357</v>
      </c>
      <c r="T55" s="41">
        <v>166568</v>
      </c>
      <c r="U55" s="41">
        <v>168111</v>
      </c>
      <c r="V55" s="41">
        <v>169460</v>
      </c>
      <c r="W55" s="41">
        <v>170695</v>
      </c>
      <c r="X55" s="41">
        <v>172005</v>
      </c>
      <c r="Y55" s="41">
        <v>173251</v>
      </c>
      <c r="Z55" s="41">
        <v>174450</v>
      </c>
      <c r="AA55" s="41">
        <v>175591</v>
      </c>
      <c r="AB55" s="41">
        <v>176666</v>
      </c>
      <c r="AC55" s="41">
        <v>177809</v>
      </c>
      <c r="AD55" s="41">
        <v>178908</v>
      </c>
      <c r="AE55" s="41">
        <v>179933</v>
      </c>
      <c r="AF55" s="41">
        <v>180926</v>
      </c>
      <c r="AG55" s="41">
        <v>181950</v>
      </c>
      <c r="AH55" s="41">
        <v>182940</v>
      </c>
      <c r="AI55" s="41">
        <v>183926</v>
      </c>
      <c r="AJ55" s="41">
        <v>184869</v>
      </c>
      <c r="AK55" s="41">
        <v>185804</v>
      </c>
      <c r="AL55" s="41">
        <v>186796</v>
      </c>
      <c r="AM55" s="41">
        <v>187736</v>
      </c>
      <c r="AN55" s="41">
        <v>188688</v>
      </c>
      <c r="AO55" s="41">
        <v>189606</v>
      </c>
      <c r="AP55" s="41">
        <v>190480</v>
      </c>
      <c r="AQ55" s="41">
        <v>191428</v>
      </c>
      <c r="AR55" s="41">
        <v>192362</v>
      </c>
      <c r="AS55" s="41">
        <v>193233</v>
      </c>
    </row>
    <row r="56" spans="1:45">
      <c r="A56" s="38" t="s">
        <v>227</v>
      </c>
      <c r="B56" s="38" t="s">
        <v>228</v>
      </c>
      <c r="C56" s="41">
        <v>131983</v>
      </c>
      <c r="D56" s="41">
        <v>132871</v>
      </c>
      <c r="E56" s="41">
        <v>134025</v>
      </c>
      <c r="F56" s="41">
        <v>134844</v>
      </c>
      <c r="G56" s="41">
        <v>135958</v>
      </c>
      <c r="H56" s="41">
        <v>136868</v>
      </c>
      <c r="I56" s="41">
        <v>137703</v>
      </c>
      <c r="J56" s="41">
        <v>138271</v>
      </c>
      <c r="K56" s="41">
        <v>138894</v>
      </c>
      <c r="L56" s="41">
        <v>139710</v>
      </c>
      <c r="M56" s="41">
        <v>140907</v>
      </c>
      <c r="N56" s="41">
        <v>141501</v>
      </c>
      <c r="O56" s="41">
        <v>142174</v>
      </c>
      <c r="P56" s="41">
        <v>142877</v>
      </c>
      <c r="Q56" s="41">
        <v>143846</v>
      </c>
      <c r="R56" s="41">
        <v>144921</v>
      </c>
      <c r="S56" s="41">
        <v>146035</v>
      </c>
      <c r="T56" s="41">
        <v>147480</v>
      </c>
      <c r="U56" s="41">
        <v>148997</v>
      </c>
      <c r="V56" s="41">
        <v>150419</v>
      </c>
      <c r="W56" s="41">
        <v>151732</v>
      </c>
      <c r="X56" s="41">
        <v>153021</v>
      </c>
      <c r="Y56" s="41">
        <v>154319</v>
      </c>
      <c r="Z56" s="41">
        <v>155526</v>
      </c>
      <c r="AA56" s="41">
        <v>156693</v>
      </c>
      <c r="AB56" s="41">
        <v>157829</v>
      </c>
      <c r="AC56" s="41">
        <v>158999</v>
      </c>
      <c r="AD56" s="41">
        <v>160153</v>
      </c>
      <c r="AE56" s="41">
        <v>161219</v>
      </c>
      <c r="AF56" s="41">
        <v>162271</v>
      </c>
      <c r="AG56" s="41">
        <v>163358</v>
      </c>
      <c r="AH56" s="41">
        <v>164453</v>
      </c>
      <c r="AI56" s="41">
        <v>165548</v>
      </c>
      <c r="AJ56" s="41">
        <v>166577</v>
      </c>
      <c r="AK56" s="41">
        <v>167568</v>
      </c>
      <c r="AL56" s="41">
        <v>168607</v>
      </c>
      <c r="AM56" s="41">
        <v>169622</v>
      </c>
      <c r="AN56" s="41">
        <v>170605</v>
      </c>
      <c r="AO56" s="41">
        <v>171532</v>
      </c>
      <c r="AP56" s="41">
        <v>172426</v>
      </c>
      <c r="AQ56" s="41">
        <v>173363</v>
      </c>
      <c r="AR56" s="41">
        <v>174288</v>
      </c>
      <c r="AS56" s="41">
        <v>175141</v>
      </c>
    </row>
    <row r="57" spans="1:45">
      <c r="A57" s="38" t="s">
        <v>229</v>
      </c>
      <c r="B57" s="38" t="s">
        <v>230</v>
      </c>
      <c r="C57" s="41">
        <v>43135</v>
      </c>
      <c r="D57" s="41">
        <v>43440</v>
      </c>
      <c r="E57" s="41">
        <v>43768</v>
      </c>
      <c r="F57" s="41">
        <v>44156</v>
      </c>
      <c r="G57" s="41">
        <v>44600</v>
      </c>
      <c r="H57" s="41">
        <v>44914</v>
      </c>
      <c r="I57" s="41">
        <v>45179</v>
      </c>
      <c r="J57" s="41">
        <v>45525</v>
      </c>
      <c r="K57" s="41">
        <v>45832</v>
      </c>
      <c r="L57" s="41">
        <v>46057</v>
      </c>
      <c r="M57" s="41">
        <v>46503</v>
      </c>
      <c r="N57" s="41">
        <v>46648</v>
      </c>
      <c r="O57" s="41">
        <v>46888</v>
      </c>
      <c r="P57" s="41">
        <v>47183</v>
      </c>
      <c r="Q57" s="41">
        <v>47335</v>
      </c>
      <c r="R57" s="41">
        <v>47560</v>
      </c>
      <c r="S57" s="41">
        <v>47747</v>
      </c>
      <c r="T57" s="41">
        <v>47873</v>
      </c>
      <c r="U57" s="41">
        <v>48164</v>
      </c>
      <c r="V57" s="41">
        <v>48373</v>
      </c>
      <c r="W57" s="41">
        <v>48573</v>
      </c>
      <c r="X57" s="41">
        <v>48764</v>
      </c>
      <c r="Y57" s="41">
        <v>48943</v>
      </c>
      <c r="Z57" s="41">
        <v>49154</v>
      </c>
      <c r="AA57" s="41">
        <v>49325</v>
      </c>
      <c r="AB57" s="41">
        <v>49497</v>
      </c>
      <c r="AC57" s="41">
        <v>49684</v>
      </c>
      <c r="AD57" s="41">
        <v>49868</v>
      </c>
      <c r="AE57" s="41">
        <v>50045</v>
      </c>
      <c r="AF57" s="41">
        <v>50210</v>
      </c>
      <c r="AG57" s="41">
        <v>50382</v>
      </c>
      <c r="AH57" s="41">
        <v>50552</v>
      </c>
      <c r="AI57" s="41">
        <v>50732</v>
      </c>
      <c r="AJ57" s="41">
        <v>50904</v>
      </c>
      <c r="AK57" s="41">
        <v>51063</v>
      </c>
      <c r="AL57" s="41">
        <v>51236</v>
      </c>
      <c r="AM57" s="41">
        <v>51423</v>
      </c>
      <c r="AN57" s="41">
        <v>51607</v>
      </c>
      <c r="AO57" s="41">
        <v>51787</v>
      </c>
      <c r="AP57" s="41">
        <v>51961</v>
      </c>
      <c r="AQ57" s="41">
        <v>52147</v>
      </c>
      <c r="AR57" s="41">
        <v>52339</v>
      </c>
      <c r="AS57" s="41">
        <v>52511</v>
      </c>
    </row>
    <row r="58" spans="1:45">
      <c r="A58" s="38" t="s">
        <v>231</v>
      </c>
      <c r="B58" s="38" t="s">
        <v>232</v>
      </c>
      <c r="C58" s="41">
        <v>45646</v>
      </c>
      <c r="D58" s="41">
        <v>45946</v>
      </c>
      <c r="E58" s="41">
        <v>46313</v>
      </c>
      <c r="F58" s="41">
        <v>46630</v>
      </c>
      <c r="G58" s="41">
        <v>47030</v>
      </c>
      <c r="H58" s="41">
        <v>47537</v>
      </c>
      <c r="I58" s="41">
        <v>47942</v>
      </c>
      <c r="J58" s="41">
        <v>48540</v>
      </c>
      <c r="K58" s="41">
        <v>48855</v>
      </c>
      <c r="L58" s="41">
        <v>49350</v>
      </c>
      <c r="M58" s="41">
        <v>49847</v>
      </c>
      <c r="N58" s="41">
        <v>50317</v>
      </c>
      <c r="O58" s="41">
        <v>50665</v>
      </c>
      <c r="P58" s="41">
        <v>50997</v>
      </c>
      <c r="Q58" s="41">
        <v>51615</v>
      </c>
      <c r="R58" s="41">
        <v>52233</v>
      </c>
      <c r="S58" s="41">
        <v>52745</v>
      </c>
      <c r="T58" s="41">
        <v>53200</v>
      </c>
      <c r="U58" s="41">
        <v>53719</v>
      </c>
      <c r="V58" s="41">
        <v>54192</v>
      </c>
      <c r="W58" s="41">
        <v>54660</v>
      </c>
      <c r="X58" s="41">
        <v>55171</v>
      </c>
      <c r="Y58" s="41">
        <v>55673</v>
      </c>
      <c r="Z58" s="41">
        <v>56167</v>
      </c>
      <c r="AA58" s="41">
        <v>56650</v>
      </c>
      <c r="AB58" s="41">
        <v>57124</v>
      </c>
      <c r="AC58" s="41">
        <v>57611</v>
      </c>
      <c r="AD58" s="41">
        <v>58097</v>
      </c>
      <c r="AE58" s="41">
        <v>58560</v>
      </c>
      <c r="AF58" s="41">
        <v>59010</v>
      </c>
      <c r="AG58" s="41">
        <v>59455</v>
      </c>
      <c r="AH58" s="41">
        <v>59891</v>
      </c>
      <c r="AI58" s="41">
        <v>60324</v>
      </c>
      <c r="AJ58" s="41">
        <v>60749</v>
      </c>
      <c r="AK58" s="41">
        <v>61165</v>
      </c>
      <c r="AL58" s="41">
        <v>61586</v>
      </c>
      <c r="AM58" s="41">
        <v>61991</v>
      </c>
      <c r="AN58" s="41">
        <v>62388</v>
      </c>
      <c r="AO58" s="41">
        <v>62775</v>
      </c>
      <c r="AP58" s="41">
        <v>63148</v>
      </c>
      <c r="AQ58" s="41">
        <v>63527</v>
      </c>
      <c r="AR58" s="41">
        <v>63901</v>
      </c>
      <c r="AS58" s="41">
        <v>64247</v>
      </c>
    </row>
    <row r="59" spans="1:45">
      <c r="A59" s="38" t="s">
        <v>233</v>
      </c>
      <c r="B59" s="38" t="s">
        <v>234</v>
      </c>
      <c r="C59" s="41">
        <v>40869</v>
      </c>
      <c r="D59" s="41">
        <v>41324</v>
      </c>
      <c r="E59" s="41">
        <v>41867</v>
      </c>
      <c r="F59" s="41">
        <v>42263</v>
      </c>
      <c r="G59" s="41">
        <v>42597</v>
      </c>
      <c r="H59" s="41">
        <v>42973</v>
      </c>
      <c r="I59" s="41">
        <v>43370</v>
      </c>
      <c r="J59" s="41">
        <v>43803</v>
      </c>
      <c r="K59" s="41">
        <v>44106</v>
      </c>
      <c r="L59" s="41">
        <v>44637</v>
      </c>
      <c r="M59" s="41">
        <v>44941</v>
      </c>
      <c r="N59" s="41">
        <v>45575</v>
      </c>
      <c r="O59" s="41">
        <v>46271</v>
      </c>
      <c r="P59" s="41">
        <v>46817</v>
      </c>
      <c r="Q59" s="41">
        <v>47524</v>
      </c>
      <c r="R59" s="41">
        <v>48189</v>
      </c>
      <c r="S59" s="41">
        <v>48979</v>
      </c>
      <c r="T59" s="41">
        <v>49552</v>
      </c>
      <c r="U59" s="41">
        <v>50295</v>
      </c>
      <c r="V59" s="41">
        <v>50966</v>
      </c>
      <c r="W59" s="41">
        <v>51608</v>
      </c>
      <c r="X59" s="41">
        <v>52223</v>
      </c>
      <c r="Y59" s="41">
        <v>52815</v>
      </c>
      <c r="Z59" s="41">
        <v>53391</v>
      </c>
      <c r="AA59" s="41">
        <v>53921</v>
      </c>
      <c r="AB59" s="41">
        <v>54439</v>
      </c>
      <c r="AC59" s="41">
        <v>54958</v>
      </c>
      <c r="AD59" s="41">
        <v>55447</v>
      </c>
      <c r="AE59" s="41">
        <v>55925</v>
      </c>
      <c r="AF59" s="41">
        <v>56379</v>
      </c>
      <c r="AG59" s="41">
        <v>56827</v>
      </c>
      <c r="AH59" s="41">
        <v>57266</v>
      </c>
      <c r="AI59" s="41">
        <v>57688</v>
      </c>
      <c r="AJ59" s="41">
        <v>58118</v>
      </c>
      <c r="AK59" s="41">
        <v>58537</v>
      </c>
      <c r="AL59" s="41">
        <v>58953</v>
      </c>
      <c r="AM59" s="41">
        <v>59370</v>
      </c>
      <c r="AN59" s="41">
        <v>59766</v>
      </c>
      <c r="AO59" s="41">
        <v>60159</v>
      </c>
      <c r="AP59" s="41">
        <v>60539</v>
      </c>
      <c r="AQ59" s="41">
        <v>60927</v>
      </c>
      <c r="AR59" s="41">
        <v>61301</v>
      </c>
      <c r="AS59" s="41">
        <v>61653</v>
      </c>
    </row>
    <row r="60" spans="1:45">
      <c r="A60" s="38" t="s">
        <v>235</v>
      </c>
      <c r="B60" s="38" t="s">
        <v>236</v>
      </c>
      <c r="C60" s="41">
        <v>4071</v>
      </c>
      <c r="D60" s="41">
        <v>4078</v>
      </c>
      <c r="E60" s="41">
        <v>3996</v>
      </c>
      <c r="F60" s="41">
        <v>3998</v>
      </c>
      <c r="G60" s="41">
        <v>4016</v>
      </c>
      <c r="H60" s="41">
        <v>4075</v>
      </c>
      <c r="I60" s="41">
        <v>4234</v>
      </c>
      <c r="J60" s="41">
        <v>4159</v>
      </c>
      <c r="K60" s="41">
        <v>4158</v>
      </c>
      <c r="L60" s="41">
        <v>4040</v>
      </c>
      <c r="M60" s="41">
        <v>4093</v>
      </c>
      <c r="N60" s="41">
        <v>3703</v>
      </c>
      <c r="O60" s="41">
        <v>3434</v>
      </c>
      <c r="P60" s="41">
        <v>3443</v>
      </c>
      <c r="Q60" s="41">
        <v>3624</v>
      </c>
      <c r="R60" s="41">
        <v>3848</v>
      </c>
      <c r="S60" s="41">
        <v>3970</v>
      </c>
      <c r="T60" s="41">
        <v>4359</v>
      </c>
      <c r="U60" s="41">
        <v>4321</v>
      </c>
      <c r="V60" s="41">
        <v>4288</v>
      </c>
      <c r="W60" s="41">
        <v>4284</v>
      </c>
      <c r="X60" s="41">
        <v>4302</v>
      </c>
      <c r="Y60" s="41">
        <v>4328</v>
      </c>
      <c r="Z60" s="41">
        <v>4347</v>
      </c>
      <c r="AA60" s="41">
        <v>4369</v>
      </c>
      <c r="AB60" s="41">
        <v>4386</v>
      </c>
      <c r="AC60" s="41">
        <v>4414</v>
      </c>
      <c r="AD60" s="41">
        <v>4441</v>
      </c>
      <c r="AE60" s="41">
        <v>4467</v>
      </c>
      <c r="AF60" s="41">
        <v>4496</v>
      </c>
      <c r="AG60" s="41">
        <v>4528</v>
      </c>
      <c r="AH60" s="41">
        <v>4557</v>
      </c>
      <c r="AI60" s="41">
        <v>4586</v>
      </c>
      <c r="AJ60" s="41">
        <v>4614</v>
      </c>
      <c r="AK60" s="41">
        <v>4642</v>
      </c>
      <c r="AL60" s="41">
        <v>4672</v>
      </c>
      <c r="AM60" s="41">
        <v>4700</v>
      </c>
      <c r="AN60" s="41">
        <v>4729</v>
      </c>
      <c r="AO60" s="41">
        <v>4756</v>
      </c>
      <c r="AP60" s="41">
        <v>4780</v>
      </c>
      <c r="AQ60" s="41">
        <v>4805</v>
      </c>
      <c r="AR60" s="41">
        <v>4827</v>
      </c>
      <c r="AS60" s="41">
        <v>4848</v>
      </c>
    </row>
    <row r="61" spans="1:45">
      <c r="A61" s="38" t="s">
        <v>237</v>
      </c>
      <c r="B61" s="38" t="s">
        <v>238</v>
      </c>
      <c r="C61" s="41">
        <v>63223</v>
      </c>
      <c r="D61" s="41">
        <v>63631</v>
      </c>
      <c r="E61" s="41">
        <v>64229</v>
      </c>
      <c r="F61" s="41">
        <v>64825</v>
      </c>
      <c r="G61" s="41">
        <v>66277</v>
      </c>
      <c r="H61" s="41">
        <v>67107</v>
      </c>
      <c r="I61" s="41">
        <v>67844</v>
      </c>
      <c r="J61" s="41">
        <v>68972</v>
      </c>
      <c r="K61" s="41">
        <v>69653</v>
      </c>
      <c r="L61" s="41">
        <v>70692</v>
      </c>
      <c r="M61" s="41">
        <v>71304</v>
      </c>
      <c r="N61" s="41">
        <v>72334</v>
      </c>
      <c r="O61" s="41">
        <v>73226</v>
      </c>
      <c r="P61" s="41">
        <v>74602</v>
      </c>
      <c r="Q61" s="41">
        <v>76139</v>
      </c>
      <c r="R61" s="41">
        <v>77324</v>
      </c>
      <c r="S61" s="41">
        <v>78330</v>
      </c>
      <c r="T61" s="41">
        <v>79335</v>
      </c>
      <c r="U61" s="41">
        <v>80314</v>
      </c>
      <c r="V61" s="41">
        <v>81181</v>
      </c>
      <c r="W61" s="41">
        <v>82038</v>
      </c>
      <c r="X61" s="41">
        <v>82873</v>
      </c>
      <c r="Y61" s="41">
        <v>83676</v>
      </c>
      <c r="Z61" s="41">
        <v>84469</v>
      </c>
      <c r="AA61" s="41">
        <v>85219</v>
      </c>
      <c r="AB61" s="41">
        <v>85978</v>
      </c>
      <c r="AC61" s="41">
        <v>86741</v>
      </c>
      <c r="AD61" s="41">
        <v>87499</v>
      </c>
      <c r="AE61" s="41">
        <v>88219</v>
      </c>
      <c r="AF61" s="41">
        <v>88925</v>
      </c>
      <c r="AG61" s="41">
        <v>89627</v>
      </c>
      <c r="AH61" s="41">
        <v>90335</v>
      </c>
      <c r="AI61" s="41">
        <v>91030</v>
      </c>
      <c r="AJ61" s="41">
        <v>91686</v>
      </c>
      <c r="AK61" s="41">
        <v>92332</v>
      </c>
      <c r="AL61" s="41">
        <v>92981</v>
      </c>
      <c r="AM61" s="41">
        <v>93596</v>
      </c>
      <c r="AN61" s="41">
        <v>94211</v>
      </c>
      <c r="AO61" s="41">
        <v>94792</v>
      </c>
      <c r="AP61" s="41">
        <v>95368</v>
      </c>
      <c r="AQ61" s="41">
        <v>95964</v>
      </c>
      <c r="AR61" s="41">
        <v>96543</v>
      </c>
      <c r="AS61" s="41">
        <v>97101</v>
      </c>
    </row>
    <row r="62" spans="1:45">
      <c r="A62" s="38" t="s">
        <v>239</v>
      </c>
      <c r="B62" s="38" t="s">
        <v>240</v>
      </c>
      <c r="C62" s="41">
        <v>29262</v>
      </c>
      <c r="D62" s="41">
        <v>29304</v>
      </c>
      <c r="E62" s="41">
        <v>29432</v>
      </c>
      <c r="F62" s="41">
        <v>29625</v>
      </c>
      <c r="G62" s="41">
        <v>29827</v>
      </c>
      <c r="H62" s="41">
        <v>30025</v>
      </c>
      <c r="I62" s="41">
        <v>30220</v>
      </c>
      <c r="J62" s="41">
        <v>30316</v>
      </c>
      <c r="K62" s="41">
        <v>30345</v>
      </c>
      <c r="L62" s="41">
        <v>30420</v>
      </c>
      <c r="M62" s="41">
        <v>30452</v>
      </c>
      <c r="N62" s="41">
        <v>30363</v>
      </c>
      <c r="O62" s="41">
        <v>30274</v>
      </c>
      <c r="P62" s="41">
        <v>30219</v>
      </c>
      <c r="Q62" s="41">
        <v>30164</v>
      </c>
      <c r="R62" s="41">
        <v>30005</v>
      </c>
      <c r="S62" s="41">
        <v>29878</v>
      </c>
      <c r="T62" s="41">
        <v>29841</v>
      </c>
      <c r="U62" s="41">
        <v>29767</v>
      </c>
      <c r="V62" s="41">
        <v>29658</v>
      </c>
      <c r="W62" s="41">
        <v>29553</v>
      </c>
      <c r="X62" s="41">
        <v>29500</v>
      </c>
      <c r="Y62" s="41">
        <v>29448</v>
      </c>
      <c r="Z62" s="41">
        <v>29378</v>
      </c>
      <c r="AA62" s="41">
        <v>29282</v>
      </c>
      <c r="AB62" s="41">
        <v>29215</v>
      </c>
      <c r="AC62" s="41">
        <v>29152</v>
      </c>
      <c r="AD62" s="41">
        <v>29097</v>
      </c>
      <c r="AE62" s="41">
        <v>29018</v>
      </c>
      <c r="AF62" s="41">
        <v>28939</v>
      </c>
      <c r="AG62" s="41">
        <v>28891</v>
      </c>
      <c r="AH62" s="41">
        <v>28833</v>
      </c>
      <c r="AI62" s="41">
        <v>28787</v>
      </c>
      <c r="AJ62" s="41">
        <v>28717</v>
      </c>
      <c r="AK62" s="41">
        <v>28663</v>
      </c>
      <c r="AL62" s="41">
        <v>28632</v>
      </c>
      <c r="AM62" s="41">
        <v>28597</v>
      </c>
      <c r="AN62" s="41">
        <v>28550</v>
      </c>
      <c r="AO62" s="41">
        <v>28503</v>
      </c>
      <c r="AP62" s="41">
        <v>28456</v>
      </c>
      <c r="AQ62" s="41">
        <v>28420</v>
      </c>
      <c r="AR62" s="41">
        <v>28385</v>
      </c>
      <c r="AS62" s="41">
        <v>28329</v>
      </c>
    </row>
    <row r="63" spans="1:45">
      <c r="A63" s="38" t="s">
        <v>241</v>
      </c>
      <c r="B63" s="38" t="s">
        <v>242</v>
      </c>
      <c r="C63" s="41">
        <v>22009</v>
      </c>
      <c r="D63" s="41">
        <v>22009</v>
      </c>
      <c r="E63" s="41">
        <v>22050</v>
      </c>
      <c r="F63" s="41">
        <v>22092</v>
      </c>
      <c r="G63" s="41">
        <v>22374</v>
      </c>
      <c r="H63" s="41">
        <v>22737</v>
      </c>
      <c r="I63" s="41">
        <v>23229</v>
      </c>
      <c r="J63" s="41">
        <v>23653</v>
      </c>
      <c r="K63" s="41">
        <v>24075</v>
      </c>
      <c r="L63" s="41">
        <v>24476</v>
      </c>
      <c r="M63" s="41">
        <v>25116</v>
      </c>
      <c r="N63" s="41">
        <v>25620</v>
      </c>
      <c r="O63" s="41">
        <v>26042</v>
      </c>
      <c r="P63" s="41">
        <v>26502</v>
      </c>
      <c r="Q63" s="41">
        <v>26989</v>
      </c>
      <c r="R63" s="41">
        <v>27496</v>
      </c>
      <c r="S63" s="41">
        <v>27981</v>
      </c>
      <c r="T63" s="41">
        <v>28431</v>
      </c>
      <c r="U63" s="41">
        <v>28953</v>
      </c>
      <c r="V63" s="41">
        <v>29444</v>
      </c>
      <c r="W63" s="41">
        <v>29898</v>
      </c>
      <c r="X63" s="41">
        <v>30432</v>
      </c>
      <c r="Y63" s="41">
        <v>30950</v>
      </c>
      <c r="Z63" s="41">
        <v>31459</v>
      </c>
      <c r="AA63" s="41">
        <v>31947</v>
      </c>
      <c r="AB63" s="41">
        <v>32418</v>
      </c>
      <c r="AC63" s="41">
        <v>32898</v>
      </c>
      <c r="AD63" s="41">
        <v>33365</v>
      </c>
      <c r="AE63" s="41">
        <v>33830</v>
      </c>
      <c r="AF63" s="41">
        <v>34279</v>
      </c>
      <c r="AG63" s="41">
        <v>34727</v>
      </c>
      <c r="AH63" s="41">
        <v>35171</v>
      </c>
      <c r="AI63" s="41">
        <v>35611</v>
      </c>
      <c r="AJ63" s="41">
        <v>36046</v>
      </c>
      <c r="AK63" s="41">
        <v>36475</v>
      </c>
      <c r="AL63" s="41">
        <v>36894</v>
      </c>
      <c r="AM63" s="41">
        <v>37303</v>
      </c>
      <c r="AN63" s="41">
        <v>37699</v>
      </c>
      <c r="AO63" s="41">
        <v>38091</v>
      </c>
      <c r="AP63" s="41">
        <v>38462</v>
      </c>
      <c r="AQ63" s="41">
        <v>38839</v>
      </c>
      <c r="AR63" s="41">
        <v>39196</v>
      </c>
      <c r="AS63" s="41">
        <v>39536</v>
      </c>
    </row>
    <row r="64" spans="1:45">
      <c r="A64" s="38" t="s">
        <v>243</v>
      </c>
      <c r="B64" s="38" t="s">
        <v>244</v>
      </c>
      <c r="C64" s="41">
        <v>213892</v>
      </c>
      <c r="D64" s="41">
        <v>216334</v>
      </c>
      <c r="E64" s="41">
        <v>218184</v>
      </c>
      <c r="F64" s="41">
        <v>219841</v>
      </c>
      <c r="G64" s="41">
        <v>221455</v>
      </c>
      <c r="H64" s="41">
        <v>222891</v>
      </c>
      <c r="I64" s="41">
        <v>224537</v>
      </c>
      <c r="J64" s="41">
        <v>225973</v>
      </c>
      <c r="K64" s="41">
        <v>226539</v>
      </c>
      <c r="L64" s="41">
        <v>227818</v>
      </c>
      <c r="M64" s="41">
        <v>230091</v>
      </c>
      <c r="N64" s="41">
        <v>231802</v>
      </c>
      <c r="O64" s="41">
        <v>233255</v>
      </c>
      <c r="P64" s="41">
        <v>234998</v>
      </c>
      <c r="Q64" s="41">
        <v>236764</v>
      </c>
      <c r="R64" s="41">
        <v>239030</v>
      </c>
      <c r="S64" s="41">
        <v>242052</v>
      </c>
      <c r="T64" s="41">
        <v>244343</v>
      </c>
      <c r="U64" s="41">
        <v>247302</v>
      </c>
      <c r="V64" s="41">
        <v>250047</v>
      </c>
      <c r="W64" s="41">
        <v>252704</v>
      </c>
      <c r="X64" s="41">
        <v>255721</v>
      </c>
      <c r="Y64" s="41">
        <v>258620</v>
      </c>
      <c r="Z64" s="41">
        <v>261491</v>
      </c>
      <c r="AA64" s="41">
        <v>264261</v>
      </c>
      <c r="AB64" s="41">
        <v>267009</v>
      </c>
      <c r="AC64" s="41">
        <v>269815</v>
      </c>
      <c r="AD64" s="41">
        <v>272488</v>
      </c>
      <c r="AE64" s="41">
        <v>275066</v>
      </c>
      <c r="AF64" s="41">
        <v>277545</v>
      </c>
      <c r="AG64" s="41">
        <v>280024</v>
      </c>
      <c r="AH64" s="41">
        <v>282436</v>
      </c>
      <c r="AI64" s="41">
        <v>284767</v>
      </c>
      <c r="AJ64" s="41">
        <v>287012</v>
      </c>
      <c r="AK64" s="41">
        <v>289166</v>
      </c>
      <c r="AL64" s="41">
        <v>291346</v>
      </c>
      <c r="AM64" s="41">
        <v>293455</v>
      </c>
      <c r="AN64" s="41">
        <v>295509</v>
      </c>
      <c r="AO64" s="41">
        <v>297496</v>
      </c>
      <c r="AP64" s="41">
        <v>299440</v>
      </c>
      <c r="AQ64" s="41">
        <v>301455</v>
      </c>
      <c r="AR64" s="41">
        <v>303416</v>
      </c>
      <c r="AS64" s="41">
        <v>305256</v>
      </c>
    </row>
    <row r="65" spans="1:45">
      <c r="A65" s="38" t="s">
        <v>245</v>
      </c>
      <c r="B65" s="38" t="s">
        <v>246</v>
      </c>
      <c r="C65" s="41">
        <v>34283</v>
      </c>
      <c r="D65" s="41">
        <v>34358</v>
      </c>
      <c r="E65" s="41">
        <v>34706</v>
      </c>
      <c r="F65" s="41">
        <v>34995</v>
      </c>
      <c r="G65" s="41">
        <v>35240</v>
      </c>
      <c r="H65" s="41">
        <v>35500</v>
      </c>
      <c r="I65" s="41">
        <v>35789</v>
      </c>
      <c r="J65" s="41">
        <v>35865</v>
      </c>
      <c r="K65" s="41">
        <v>35885</v>
      </c>
      <c r="L65" s="41">
        <v>35925</v>
      </c>
      <c r="M65" s="41">
        <v>36231</v>
      </c>
      <c r="N65" s="41">
        <v>36507</v>
      </c>
      <c r="O65" s="41">
        <v>36780</v>
      </c>
      <c r="P65" s="41">
        <v>37034</v>
      </c>
      <c r="Q65" s="41">
        <v>37434</v>
      </c>
      <c r="R65" s="41">
        <v>37734</v>
      </c>
      <c r="S65" s="41">
        <v>38372</v>
      </c>
      <c r="T65" s="41">
        <v>39034</v>
      </c>
      <c r="U65" s="41">
        <v>39725</v>
      </c>
      <c r="V65" s="41">
        <v>40371</v>
      </c>
      <c r="W65" s="41">
        <v>40940</v>
      </c>
      <c r="X65" s="41">
        <v>41572</v>
      </c>
      <c r="Y65" s="41">
        <v>42212</v>
      </c>
      <c r="Z65" s="41">
        <v>42848</v>
      </c>
      <c r="AA65" s="41">
        <v>43446</v>
      </c>
      <c r="AB65" s="41">
        <v>44016</v>
      </c>
      <c r="AC65" s="41">
        <v>44614</v>
      </c>
      <c r="AD65" s="41">
        <v>45191</v>
      </c>
      <c r="AE65" s="41">
        <v>45752</v>
      </c>
      <c r="AF65" s="41">
        <v>46286</v>
      </c>
      <c r="AG65" s="41">
        <v>46799</v>
      </c>
      <c r="AH65" s="41">
        <v>47308</v>
      </c>
      <c r="AI65" s="41">
        <v>47788</v>
      </c>
      <c r="AJ65" s="41">
        <v>48254</v>
      </c>
      <c r="AK65" s="41">
        <v>48701</v>
      </c>
      <c r="AL65" s="41">
        <v>49144</v>
      </c>
      <c r="AM65" s="41">
        <v>49571</v>
      </c>
      <c r="AN65" s="41">
        <v>49985</v>
      </c>
      <c r="AO65" s="41">
        <v>50391</v>
      </c>
      <c r="AP65" s="41">
        <v>50788</v>
      </c>
      <c r="AQ65" s="41">
        <v>51195</v>
      </c>
      <c r="AR65" s="41">
        <v>51585</v>
      </c>
      <c r="AS65" s="41">
        <v>51952</v>
      </c>
    </row>
    <row r="66" spans="1:45">
      <c r="A66" s="38" t="s">
        <v>247</v>
      </c>
      <c r="B66" s="38" t="s">
        <v>248</v>
      </c>
      <c r="C66" s="41">
        <v>122421</v>
      </c>
      <c r="D66" s="41">
        <v>122301</v>
      </c>
      <c r="E66" s="41">
        <v>122339</v>
      </c>
      <c r="F66" s="41">
        <v>121679</v>
      </c>
      <c r="G66" s="41">
        <v>122133</v>
      </c>
      <c r="H66" s="41">
        <v>122723</v>
      </c>
      <c r="I66" s="41">
        <v>123048</v>
      </c>
      <c r="J66" s="41">
        <v>124172</v>
      </c>
      <c r="K66" s="41">
        <v>124860</v>
      </c>
      <c r="L66" s="41">
        <v>126004</v>
      </c>
      <c r="M66" s="41">
        <v>127550</v>
      </c>
      <c r="N66" s="41">
        <v>129301</v>
      </c>
      <c r="O66" s="41">
        <v>131468</v>
      </c>
      <c r="P66" s="41">
        <v>133700</v>
      </c>
      <c r="Q66" s="41">
        <v>136948</v>
      </c>
      <c r="R66" s="41">
        <v>140120</v>
      </c>
      <c r="S66" s="41">
        <v>142562</v>
      </c>
      <c r="T66" s="41">
        <v>144851</v>
      </c>
      <c r="U66" s="41">
        <v>147042</v>
      </c>
      <c r="V66" s="41">
        <v>149178</v>
      </c>
      <c r="W66" s="41">
        <v>151161</v>
      </c>
      <c r="X66" s="41">
        <v>153051</v>
      </c>
      <c r="Y66" s="41">
        <v>154852</v>
      </c>
      <c r="Z66" s="41">
        <v>156648</v>
      </c>
      <c r="AA66" s="41">
        <v>158391</v>
      </c>
      <c r="AB66" s="41">
        <v>160158</v>
      </c>
      <c r="AC66" s="41">
        <v>161875</v>
      </c>
      <c r="AD66" s="41">
        <v>163593</v>
      </c>
      <c r="AE66" s="41">
        <v>165286</v>
      </c>
      <c r="AF66" s="41">
        <v>166986</v>
      </c>
      <c r="AG66" s="41">
        <v>168700</v>
      </c>
      <c r="AH66" s="41">
        <v>170402</v>
      </c>
      <c r="AI66" s="41">
        <v>172044</v>
      </c>
      <c r="AJ66" s="41">
        <v>173615</v>
      </c>
      <c r="AK66" s="41">
        <v>175188</v>
      </c>
      <c r="AL66" s="41">
        <v>176789</v>
      </c>
      <c r="AM66" s="41">
        <v>178359</v>
      </c>
      <c r="AN66" s="41">
        <v>179849</v>
      </c>
      <c r="AO66" s="41">
        <v>181248</v>
      </c>
      <c r="AP66" s="41">
        <v>182641</v>
      </c>
      <c r="AQ66" s="41">
        <v>184038</v>
      </c>
      <c r="AR66" s="41">
        <v>185400</v>
      </c>
      <c r="AS66" s="41">
        <v>186688</v>
      </c>
    </row>
    <row r="67" spans="1:45">
      <c r="A67" s="38" t="s">
        <v>249</v>
      </c>
      <c r="B67" s="38" t="s">
        <v>250</v>
      </c>
      <c r="C67" s="41">
        <v>22586</v>
      </c>
      <c r="D67" s="41">
        <v>22758</v>
      </c>
      <c r="E67" s="41">
        <v>22941</v>
      </c>
      <c r="F67" s="41">
        <v>23177</v>
      </c>
      <c r="G67" s="41">
        <v>23457</v>
      </c>
      <c r="H67" s="41">
        <v>23680</v>
      </c>
      <c r="I67" s="41">
        <v>23941</v>
      </c>
      <c r="J67" s="41">
        <v>24170</v>
      </c>
      <c r="K67" s="41">
        <v>24224</v>
      </c>
      <c r="L67" s="41">
        <v>24355</v>
      </c>
      <c r="M67" s="41">
        <v>24563</v>
      </c>
      <c r="N67" s="41">
        <v>24674</v>
      </c>
      <c r="O67" s="41">
        <v>24799</v>
      </c>
      <c r="P67" s="41">
        <v>24978</v>
      </c>
      <c r="Q67" s="41">
        <v>25109</v>
      </c>
      <c r="R67" s="41">
        <v>25452</v>
      </c>
      <c r="S67" s="41">
        <v>25692</v>
      </c>
      <c r="T67" s="41">
        <v>25903</v>
      </c>
      <c r="U67" s="41">
        <v>26142</v>
      </c>
      <c r="V67" s="41">
        <v>26350</v>
      </c>
      <c r="W67" s="41">
        <v>26554</v>
      </c>
      <c r="X67" s="41">
        <v>26769</v>
      </c>
      <c r="Y67" s="41">
        <v>26979</v>
      </c>
      <c r="Z67" s="41">
        <v>27179</v>
      </c>
      <c r="AA67" s="41">
        <v>27354</v>
      </c>
      <c r="AB67" s="41">
        <v>27533</v>
      </c>
      <c r="AC67" s="41">
        <v>27708</v>
      </c>
      <c r="AD67" s="41">
        <v>27883</v>
      </c>
      <c r="AE67" s="41">
        <v>28040</v>
      </c>
      <c r="AF67" s="41">
        <v>28198</v>
      </c>
      <c r="AG67" s="41">
        <v>28356</v>
      </c>
      <c r="AH67" s="41">
        <v>28501</v>
      </c>
      <c r="AI67" s="41">
        <v>28640</v>
      </c>
      <c r="AJ67" s="41">
        <v>28773</v>
      </c>
      <c r="AK67" s="41">
        <v>28905</v>
      </c>
      <c r="AL67" s="41">
        <v>29035</v>
      </c>
      <c r="AM67" s="41">
        <v>29153</v>
      </c>
      <c r="AN67" s="41">
        <v>29272</v>
      </c>
      <c r="AO67" s="41">
        <v>29387</v>
      </c>
      <c r="AP67" s="41">
        <v>29508</v>
      </c>
      <c r="AQ67" s="41">
        <v>29625</v>
      </c>
      <c r="AR67" s="41">
        <v>29740</v>
      </c>
      <c r="AS67" s="41">
        <v>29837</v>
      </c>
    </row>
    <row r="68" spans="1:45">
      <c r="A68" s="38" t="s">
        <v>251</v>
      </c>
      <c r="B68" s="38" t="s">
        <v>252</v>
      </c>
      <c r="C68" s="41">
        <v>40499</v>
      </c>
      <c r="D68" s="41">
        <v>40039</v>
      </c>
      <c r="E68" s="41">
        <v>39843</v>
      </c>
      <c r="F68" s="41">
        <v>39799</v>
      </c>
      <c r="G68" s="41">
        <v>40080</v>
      </c>
      <c r="H68" s="41">
        <v>40425</v>
      </c>
      <c r="I68" s="41">
        <v>40687</v>
      </c>
      <c r="J68" s="41">
        <v>41096</v>
      </c>
      <c r="K68" s="41">
        <v>41461</v>
      </c>
      <c r="L68" s="41">
        <v>41936</v>
      </c>
      <c r="M68" s="41">
        <v>42507</v>
      </c>
      <c r="N68" s="41">
        <v>43064</v>
      </c>
      <c r="O68" s="41">
        <v>43305</v>
      </c>
      <c r="P68" s="41">
        <v>43683</v>
      </c>
      <c r="Q68" s="41">
        <v>44016</v>
      </c>
      <c r="R68" s="41">
        <v>44271</v>
      </c>
      <c r="S68" s="41">
        <v>44366</v>
      </c>
      <c r="T68" s="41">
        <v>44671</v>
      </c>
      <c r="U68" s="41">
        <v>44980</v>
      </c>
      <c r="V68" s="41">
        <v>45234</v>
      </c>
      <c r="W68" s="41">
        <v>45489</v>
      </c>
      <c r="X68" s="41">
        <v>45804</v>
      </c>
      <c r="Y68" s="41">
        <v>46099</v>
      </c>
      <c r="Z68" s="41">
        <v>46402</v>
      </c>
      <c r="AA68" s="41">
        <v>46673</v>
      </c>
      <c r="AB68" s="41">
        <v>46968</v>
      </c>
      <c r="AC68" s="41">
        <v>47265</v>
      </c>
      <c r="AD68" s="41">
        <v>47549</v>
      </c>
      <c r="AE68" s="41">
        <v>47832</v>
      </c>
      <c r="AF68" s="41">
        <v>48103</v>
      </c>
      <c r="AG68" s="41">
        <v>48379</v>
      </c>
      <c r="AH68" s="41">
        <v>48664</v>
      </c>
      <c r="AI68" s="41">
        <v>48935</v>
      </c>
      <c r="AJ68" s="41">
        <v>49212</v>
      </c>
      <c r="AK68" s="41">
        <v>49471</v>
      </c>
      <c r="AL68" s="41">
        <v>49731</v>
      </c>
      <c r="AM68" s="41">
        <v>49993</v>
      </c>
      <c r="AN68" s="41">
        <v>50243</v>
      </c>
      <c r="AO68" s="41">
        <v>50483</v>
      </c>
      <c r="AP68" s="41">
        <v>50711</v>
      </c>
      <c r="AQ68" s="41">
        <v>50942</v>
      </c>
      <c r="AR68" s="41">
        <v>51162</v>
      </c>
      <c r="AS68" s="41">
        <v>51369</v>
      </c>
    </row>
    <row r="69" spans="1:45">
      <c r="A69" s="38" t="s">
        <v>253</v>
      </c>
      <c r="B69" s="38" t="s">
        <v>254</v>
      </c>
      <c r="C69" s="41">
        <v>140258</v>
      </c>
      <c r="D69" s="41">
        <v>139784</v>
      </c>
      <c r="E69" s="41">
        <v>139214</v>
      </c>
      <c r="F69" s="41">
        <v>138797</v>
      </c>
      <c r="G69" s="41">
        <v>138902</v>
      </c>
      <c r="H69" s="41">
        <v>138804</v>
      </c>
      <c r="I69" s="41">
        <v>139228</v>
      </c>
      <c r="J69" s="41">
        <v>140562</v>
      </c>
      <c r="K69" s="41">
        <v>141470</v>
      </c>
      <c r="L69" s="41">
        <v>142707</v>
      </c>
      <c r="M69" s="41">
        <v>144484</v>
      </c>
      <c r="N69" s="41">
        <v>145889</v>
      </c>
      <c r="O69" s="41">
        <v>147417</v>
      </c>
      <c r="P69" s="41">
        <v>148737</v>
      </c>
      <c r="Q69" s="41">
        <v>149816</v>
      </c>
      <c r="R69" s="41">
        <v>151027</v>
      </c>
      <c r="S69" s="41">
        <v>151816</v>
      </c>
      <c r="T69" s="41">
        <v>152037</v>
      </c>
      <c r="U69" s="41">
        <v>152821</v>
      </c>
      <c r="V69" s="41">
        <v>153460</v>
      </c>
      <c r="W69" s="41">
        <v>154137</v>
      </c>
      <c r="X69" s="41">
        <v>155269</v>
      </c>
      <c r="Y69" s="41">
        <v>156293</v>
      </c>
      <c r="Z69" s="41">
        <v>157272</v>
      </c>
      <c r="AA69" s="41">
        <v>158189</v>
      </c>
      <c r="AB69" s="41">
        <v>159117</v>
      </c>
      <c r="AC69" s="41">
        <v>160037</v>
      </c>
      <c r="AD69" s="41">
        <v>160922</v>
      </c>
      <c r="AE69" s="41">
        <v>161791</v>
      </c>
      <c r="AF69" s="41">
        <v>162667</v>
      </c>
      <c r="AG69" s="41">
        <v>163547</v>
      </c>
      <c r="AH69" s="41">
        <v>164446</v>
      </c>
      <c r="AI69" s="41">
        <v>165348</v>
      </c>
      <c r="AJ69" s="41">
        <v>166238</v>
      </c>
      <c r="AK69" s="41">
        <v>167123</v>
      </c>
      <c r="AL69" s="41">
        <v>168017</v>
      </c>
      <c r="AM69" s="41">
        <v>168879</v>
      </c>
      <c r="AN69" s="41">
        <v>169740</v>
      </c>
      <c r="AO69" s="41">
        <v>170562</v>
      </c>
      <c r="AP69" s="41">
        <v>171356</v>
      </c>
      <c r="AQ69" s="41">
        <v>172157</v>
      </c>
      <c r="AR69" s="41">
        <v>172934</v>
      </c>
      <c r="AS69" s="41">
        <v>173668</v>
      </c>
    </row>
    <row r="70" spans="1:45">
      <c r="A70" s="38" t="s">
        <v>255</v>
      </c>
      <c r="B70" s="38" t="s">
        <v>256</v>
      </c>
      <c r="C70" s="41">
        <v>55574</v>
      </c>
      <c r="D70" s="41">
        <v>55830</v>
      </c>
      <c r="E70" s="41">
        <v>56127</v>
      </c>
      <c r="F70" s="41">
        <v>56281</v>
      </c>
      <c r="G70" s="41">
        <v>56568</v>
      </c>
      <c r="H70" s="41">
        <v>56912</v>
      </c>
      <c r="I70" s="41">
        <v>57166</v>
      </c>
      <c r="J70" s="41">
        <v>57757</v>
      </c>
      <c r="K70" s="41">
        <v>58322</v>
      </c>
      <c r="L70" s="41">
        <v>59007</v>
      </c>
      <c r="M70" s="41">
        <v>59788</v>
      </c>
      <c r="N70" s="41">
        <v>60366</v>
      </c>
      <c r="O70" s="41">
        <v>61005</v>
      </c>
      <c r="P70" s="41">
        <v>61748</v>
      </c>
      <c r="Q70" s="41">
        <v>62449</v>
      </c>
      <c r="R70" s="41">
        <v>63095</v>
      </c>
      <c r="S70" s="41">
        <v>63543</v>
      </c>
      <c r="T70" s="41">
        <v>63920</v>
      </c>
      <c r="U70" s="41">
        <v>64406</v>
      </c>
      <c r="V70" s="41">
        <v>64811</v>
      </c>
      <c r="W70" s="41">
        <v>65196</v>
      </c>
      <c r="X70" s="41">
        <v>65585</v>
      </c>
      <c r="Y70" s="41">
        <v>65974</v>
      </c>
      <c r="Z70" s="41">
        <v>66339</v>
      </c>
      <c r="AA70" s="41">
        <v>66679</v>
      </c>
      <c r="AB70" s="41">
        <v>67025</v>
      </c>
      <c r="AC70" s="41">
        <v>67369</v>
      </c>
      <c r="AD70" s="41">
        <v>67714</v>
      </c>
      <c r="AE70" s="41">
        <v>68042</v>
      </c>
      <c r="AF70" s="41">
        <v>68365</v>
      </c>
      <c r="AG70" s="41">
        <v>68700</v>
      </c>
      <c r="AH70" s="41">
        <v>69021</v>
      </c>
      <c r="AI70" s="41">
        <v>69349</v>
      </c>
      <c r="AJ70" s="41">
        <v>69663</v>
      </c>
      <c r="AK70" s="41">
        <v>69965</v>
      </c>
      <c r="AL70" s="41">
        <v>70273</v>
      </c>
      <c r="AM70" s="41">
        <v>70566</v>
      </c>
      <c r="AN70" s="41">
        <v>70862</v>
      </c>
      <c r="AO70" s="41">
        <v>71140</v>
      </c>
      <c r="AP70" s="41">
        <v>71402</v>
      </c>
      <c r="AQ70" s="41">
        <v>71676</v>
      </c>
      <c r="AR70" s="41">
        <v>71943</v>
      </c>
      <c r="AS70" s="41">
        <v>72183</v>
      </c>
    </row>
    <row r="71" spans="1:45">
      <c r="A71" s="38" t="s">
        <v>257</v>
      </c>
      <c r="B71" s="38" t="s">
        <v>258</v>
      </c>
      <c r="C71" s="41">
        <v>42007</v>
      </c>
      <c r="D71" s="41">
        <v>42264</v>
      </c>
      <c r="E71" s="41">
        <v>42506</v>
      </c>
      <c r="F71" s="41">
        <v>42791</v>
      </c>
      <c r="G71" s="41">
        <v>43233</v>
      </c>
      <c r="H71" s="41">
        <v>43780</v>
      </c>
      <c r="I71" s="41">
        <v>44343</v>
      </c>
      <c r="J71" s="41">
        <v>44909</v>
      </c>
      <c r="K71" s="41">
        <v>45278</v>
      </c>
      <c r="L71" s="41">
        <v>45689</v>
      </c>
      <c r="M71" s="41">
        <v>46328</v>
      </c>
      <c r="N71" s="41">
        <v>46457</v>
      </c>
      <c r="O71" s="41">
        <v>46634</v>
      </c>
      <c r="P71" s="41">
        <v>46832</v>
      </c>
      <c r="Q71" s="41">
        <v>47076</v>
      </c>
      <c r="R71" s="41">
        <v>47394</v>
      </c>
      <c r="S71" s="41">
        <v>47643</v>
      </c>
      <c r="T71" s="41">
        <v>47823</v>
      </c>
      <c r="U71" s="41">
        <v>48102</v>
      </c>
      <c r="V71" s="41">
        <v>48310</v>
      </c>
      <c r="W71" s="41">
        <v>48475</v>
      </c>
      <c r="X71" s="41">
        <v>48663</v>
      </c>
      <c r="Y71" s="41">
        <v>48803</v>
      </c>
      <c r="Z71" s="41">
        <v>48971</v>
      </c>
      <c r="AA71" s="41">
        <v>49104</v>
      </c>
      <c r="AB71" s="41">
        <v>49235</v>
      </c>
      <c r="AC71" s="41">
        <v>49379</v>
      </c>
      <c r="AD71" s="41">
        <v>49513</v>
      </c>
      <c r="AE71" s="41">
        <v>49661</v>
      </c>
      <c r="AF71" s="41">
        <v>49787</v>
      </c>
      <c r="AG71" s="41">
        <v>49923</v>
      </c>
      <c r="AH71" s="41">
        <v>50063</v>
      </c>
      <c r="AI71" s="41">
        <v>50211</v>
      </c>
      <c r="AJ71" s="41">
        <v>50342</v>
      </c>
      <c r="AK71" s="41">
        <v>50469</v>
      </c>
      <c r="AL71" s="41">
        <v>50609</v>
      </c>
      <c r="AM71" s="41">
        <v>50733</v>
      </c>
      <c r="AN71" s="41">
        <v>50855</v>
      </c>
      <c r="AO71" s="41">
        <v>50957</v>
      </c>
      <c r="AP71" s="41">
        <v>51059</v>
      </c>
      <c r="AQ71" s="41">
        <v>51166</v>
      </c>
      <c r="AR71" s="41">
        <v>51261</v>
      </c>
      <c r="AS71" s="41">
        <v>51328</v>
      </c>
    </row>
    <row r="72" spans="1:45">
      <c r="A72" s="38" t="s">
        <v>260</v>
      </c>
      <c r="B72" s="38" t="s">
        <v>261</v>
      </c>
      <c r="C72" s="41">
        <v>34914</v>
      </c>
      <c r="D72" s="41">
        <v>35086</v>
      </c>
      <c r="E72" s="41">
        <v>35251</v>
      </c>
      <c r="F72" s="41">
        <v>35665</v>
      </c>
      <c r="G72" s="41">
        <v>36349</v>
      </c>
      <c r="H72" s="41">
        <v>36868</v>
      </c>
      <c r="I72" s="41">
        <v>37323</v>
      </c>
      <c r="J72" s="41">
        <v>37969</v>
      </c>
      <c r="K72" s="41">
        <v>38512</v>
      </c>
      <c r="L72" s="41">
        <v>39072</v>
      </c>
      <c r="M72" s="41">
        <v>39822</v>
      </c>
      <c r="N72" s="41">
        <v>40323</v>
      </c>
      <c r="O72" s="41">
        <v>40963</v>
      </c>
      <c r="P72" s="41">
        <v>41580</v>
      </c>
      <c r="Q72" s="41">
        <v>42270</v>
      </c>
      <c r="R72" s="41">
        <v>42944</v>
      </c>
      <c r="S72" s="41">
        <v>43766</v>
      </c>
      <c r="T72" s="41">
        <v>44470</v>
      </c>
      <c r="U72" s="41">
        <v>45279</v>
      </c>
      <c r="V72" s="41">
        <v>46028</v>
      </c>
      <c r="W72" s="41">
        <v>46746</v>
      </c>
      <c r="X72" s="41">
        <v>47464</v>
      </c>
      <c r="Y72" s="41">
        <v>48165</v>
      </c>
      <c r="Z72" s="41">
        <v>48851</v>
      </c>
      <c r="AA72" s="41">
        <v>49506</v>
      </c>
      <c r="AB72" s="41">
        <v>50158</v>
      </c>
      <c r="AC72" s="41">
        <v>50785</v>
      </c>
      <c r="AD72" s="41">
        <v>51406</v>
      </c>
      <c r="AE72" s="41">
        <v>51997</v>
      </c>
      <c r="AF72" s="41">
        <v>52595</v>
      </c>
      <c r="AG72" s="41">
        <v>53185</v>
      </c>
      <c r="AH72" s="41">
        <v>53758</v>
      </c>
      <c r="AI72" s="41">
        <v>54330</v>
      </c>
      <c r="AJ72" s="41">
        <v>54885</v>
      </c>
      <c r="AK72" s="41">
        <v>55441</v>
      </c>
      <c r="AL72" s="41">
        <v>55993</v>
      </c>
      <c r="AM72" s="41">
        <v>56543</v>
      </c>
      <c r="AN72" s="41">
        <v>57074</v>
      </c>
      <c r="AO72" s="41">
        <v>57582</v>
      </c>
      <c r="AP72" s="41">
        <v>58075</v>
      </c>
      <c r="AQ72" s="41">
        <v>58562</v>
      </c>
      <c r="AR72" s="41">
        <v>59040</v>
      </c>
      <c r="AS72" s="41">
        <v>59494</v>
      </c>
    </row>
    <row r="73" spans="1:45">
      <c r="A73" s="38" t="s">
        <v>262</v>
      </c>
      <c r="B73" s="38" t="s">
        <v>263</v>
      </c>
      <c r="C73" s="41">
        <v>28617</v>
      </c>
      <c r="D73" s="41">
        <v>29204</v>
      </c>
      <c r="E73" s="41">
        <v>29700</v>
      </c>
      <c r="F73" s="41">
        <v>30014</v>
      </c>
      <c r="G73" s="41">
        <v>30322</v>
      </c>
      <c r="H73" s="41">
        <v>30725</v>
      </c>
      <c r="I73" s="41">
        <v>30960</v>
      </c>
      <c r="J73" s="41">
        <v>31167</v>
      </c>
      <c r="K73" s="41">
        <v>31494</v>
      </c>
      <c r="L73" s="41">
        <v>31721</v>
      </c>
      <c r="M73" s="41">
        <v>31630</v>
      </c>
      <c r="N73" s="41">
        <v>31804</v>
      </c>
      <c r="O73" s="41">
        <v>31951</v>
      </c>
      <c r="P73" s="41">
        <v>32288</v>
      </c>
      <c r="Q73" s="41">
        <v>32691</v>
      </c>
      <c r="R73" s="41">
        <v>33253</v>
      </c>
      <c r="S73" s="41">
        <v>33876</v>
      </c>
      <c r="T73" s="41">
        <v>34532</v>
      </c>
      <c r="U73" s="41">
        <v>35182</v>
      </c>
      <c r="V73" s="41">
        <v>35799</v>
      </c>
      <c r="W73" s="41">
        <v>36398</v>
      </c>
      <c r="X73" s="41">
        <v>37004</v>
      </c>
      <c r="Y73" s="41">
        <v>37599</v>
      </c>
      <c r="Z73" s="41">
        <v>38160</v>
      </c>
      <c r="AA73" s="41">
        <v>38708</v>
      </c>
      <c r="AB73" s="41">
        <v>39238</v>
      </c>
      <c r="AC73" s="41">
        <v>39748</v>
      </c>
      <c r="AD73" s="41">
        <v>40254</v>
      </c>
      <c r="AE73" s="41">
        <v>40735</v>
      </c>
      <c r="AF73" s="41">
        <v>41200</v>
      </c>
      <c r="AG73" s="41">
        <v>41661</v>
      </c>
      <c r="AH73" s="41">
        <v>42092</v>
      </c>
      <c r="AI73" s="41">
        <v>42521</v>
      </c>
      <c r="AJ73" s="41">
        <v>42945</v>
      </c>
      <c r="AK73" s="41">
        <v>43355</v>
      </c>
      <c r="AL73" s="41">
        <v>43765</v>
      </c>
      <c r="AM73" s="41">
        <v>44162</v>
      </c>
      <c r="AN73" s="41">
        <v>44550</v>
      </c>
      <c r="AO73" s="41">
        <v>44925</v>
      </c>
      <c r="AP73" s="41">
        <v>45285</v>
      </c>
      <c r="AQ73" s="41">
        <v>45656</v>
      </c>
      <c r="AR73" s="41">
        <v>46027</v>
      </c>
      <c r="AS73" s="41">
        <v>46369</v>
      </c>
    </row>
    <row r="74" spans="1:45">
      <c r="A74" s="38" t="s">
        <v>264</v>
      </c>
      <c r="B74" s="38" t="s">
        <v>265</v>
      </c>
      <c r="C74" s="41">
        <v>95419</v>
      </c>
      <c r="D74" s="41">
        <v>95914</v>
      </c>
      <c r="E74" s="41">
        <v>96318</v>
      </c>
      <c r="F74" s="41">
        <v>96714</v>
      </c>
      <c r="G74" s="41">
        <v>97533</v>
      </c>
      <c r="H74" s="41">
        <v>98134</v>
      </c>
      <c r="I74" s="41">
        <v>98557</v>
      </c>
      <c r="J74" s="41">
        <v>99034</v>
      </c>
      <c r="K74" s="41">
        <v>99576</v>
      </c>
      <c r="L74" s="41">
        <v>100394</v>
      </c>
      <c r="M74" s="41">
        <v>101412</v>
      </c>
      <c r="N74" s="41">
        <v>101752</v>
      </c>
      <c r="O74" s="41">
        <v>102118</v>
      </c>
      <c r="P74" s="41">
        <v>102506</v>
      </c>
      <c r="Q74" s="41">
        <v>102990</v>
      </c>
      <c r="R74" s="41">
        <v>103839</v>
      </c>
      <c r="S74" s="41">
        <v>104123</v>
      </c>
      <c r="T74" s="41">
        <v>104123</v>
      </c>
      <c r="U74" s="41">
        <v>104456</v>
      </c>
      <c r="V74" s="41">
        <v>104723</v>
      </c>
      <c r="W74" s="41">
        <v>104982</v>
      </c>
      <c r="X74" s="41">
        <v>105364</v>
      </c>
      <c r="Y74" s="41">
        <v>105758</v>
      </c>
      <c r="Z74" s="41">
        <v>106197</v>
      </c>
      <c r="AA74" s="41">
        <v>106600</v>
      </c>
      <c r="AB74" s="41">
        <v>107034</v>
      </c>
      <c r="AC74" s="41">
        <v>107522</v>
      </c>
      <c r="AD74" s="41">
        <v>108039</v>
      </c>
      <c r="AE74" s="41">
        <v>108543</v>
      </c>
      <c r="AF74" s="41">
        <v>109039</v>
      </c>
      <c r="AG74" s="41">
        <v>109558</v>
      </c>
      <c r="AH74" s="41">
        <v>110115</v>
      </c>
      <c r="AI74" s="41">
        <v>110669</v>
      </c>
      <c r="AJ74" s="41">
        <v>111206</v>
      </c>
      <c r="AK74" s="41">
        <v>111728</v>
      </c>
      <c r="AL74" s="41">
        <v>112272</v>
      </c>
      <c r="AM74" s="41">
        <v>112818</v>
      </c>
      <c r="AN74" s="41">
        <v>113339</v>
      </c>
      <c r="AO74" s="41">
        <v>113837</v>
      </c>
      <c r="AP74" s="41">
        <v>114331</v>
      </c>
      <c r="AQ74" s="41">
        <v>114838</v>
      </c>
      <c r="AR74" s="41">
        <v>115343</v>
      </c>
      <c r="AS74" s="41">
        <v>115806</v>
      </c>
    </row>
    <row r="75" spans="1:45">
      <c r="A75" s="38" t="s">
        <v>266</v>
      </c>
      <c r="B75" s="38" t="s">
        <v>267</v>
      </c>
      <c r="C75" s="41">
        <v>28958</v>
      </c>
      <c r="D75" s="41">
        <v>29094</v>
      </c>
      <c r="E75" s="41">
        <v>29210</v>
      </c>
      <c r="F75" s="41">
        <v>29350</v>
      </c>
      <c r="G75" s="41">
        <v>29431</v>
      </c>
      <c r="H75" s="41">
        <v>29547</v>
      </c>
      <c r="I75" s="41">
        <v>29729</v>
      </c>
      <c r="J75" s="41">
        <v>30078</v>
      </c>
      <c r="K75" s="41">
        <v>30277</v>
      </c>
      <c r="L75" s="41">
        <v>30514</v>
      </c>
      <c r="M75" s="41">
        <v>30722</v>
      </c>
      <c r="N75" s="41">
        <v>30924</v>
      </c>
      <c r="O75" s="41">
        <v>31005</v>
      </c>
      <c r="P75" s="41">
        <v>31133</v>
      </c>
      <c r="Q75" s="41">
        <v>31290</v>
      </c>
      <c r="R75" s="41">
        <v>31496</v>
      </c>
      <c r="S75" s="41">
        <v>31779</v>
      </c>
      <c r="T75" s="41">
        <v>32015</v>
      </c>
      <c r="U75" s="41">
        <v>32256</v>
      </c>
      <c r="V75" s="41">
        <v>32473</v>
      </c>
      <c r="W75" s="41">
        <v>32691</v>
      </c>
      <c r="X75" s="41">
        <v>32939</v>
      </c>
      <c r="Y75" s="41">
        <v>33187</v>
      </c>
      <c r="Z75" s="41">
        <v>33404</v>
      </c>
      <c r="AA75" s="41">
        <v>33591</v>
      </c>
      <c r="AB75" s="41">
        <v>33789</v>
      </c>
      <c r="AC75" s="41">
        <v>33980</v>
      </c>
      <c r="AD75" s="41">
        <v>34165</v>
      </c>
      <c r="AE75" s="41">
        <v>34321</v>
      </c>
      <c r="AF75" s="41">
        <v>34476</v>
      </c>
      <c r="AG75" s="41">
        <v>34634</v>
      </c>
      <c r="AH75" s="41">
        <v>34776</v>
      </c>
      <c r="AI75" s="41">
        <v>34932</v>
      </c>
      <c r="AJ75" s="41">
        <v>35068</v>
      </c>
      <c r="AK75" s="41">
        <v>35219</v>
      </c>
      <c r="AL75" s="41">
        <v>35376</v>
      </c>
      <c r="AM75" s="41">
        <v>35515</v>
      </c>
      <c r="AN75" s="41">
        <v>35665</v>
      </c>
      <c r="AO75" s="41">
        <v>35813</v>
      </c>
      <c r="AP75" s="41">
        <v>35970</v>
      </c>
      <c r="AQ75" s="41">
        <v>36125</v>
      </c>
      <c r="AR75" s="41">
        <v>36280</v>
      </c>
      <c r="AS75" s="41">
        <v>36427</v>
      </c>
    </row>
    <row r="76" spans="1:45">
      <c r="A76" s="38" t="s">
        <v>268</v>
      </c>
      <c r="B76" s="38" t="s">
        <v>269</v>
      </c>
      <c r="C76" s="41">
        <v>117831</v>
      </c>
      <c r="D76" s="41">
        <v>118660</v>
      </c>
      <c r="E76" s="41">
        <v>119411</v>
      </c>
      <c r="F76" s="41">
        <v>119762</v>
      </c>
      <c r="G76" s="41">
        <v>120456</v>
      </c>
      <c r="H76" s="41">
        <v>121478</v>
      </c>
      <c r="I76" s="41">
        <v>122461</v>
      </c>
      <c r="J76" s="41">
        <v>123525</v>
      </c>
      <c r="K76" s="41">
        <v>124413</v>
      </c>
      <c r="L76" s="41">
        <v>125261</v>
      </c>
      <c r="M76" s="41">
        <v>125776</v>
      </c>
      <c r="N76" s="41">
        <v>126105</v>
      </c>
      <c r="O76" s="41">
        <v>126539</v>
      </c>
      <c r="P76" s="41">
        <v>127037</v>
      </c>
      <c r="Q76" s="41">
        <v>127734</v>
      </c>
      <c r="R76" s="41">
        <v>128716</v>
      </c>
      <c r="S76" s="41">
        <v>129654</v>
      </c>
      <c r="T76" s="41">
        <v>130400</v>
      </c>
      <c r="U76" s="41">
        <v>131428</v>
      </c>
      <c r="V76" s="41">
        <v>132311</v>
      </c>
      <c r="W76" s="41">
        <v>133167</v>
      </c>
      <c r="X76" s="41">
        <v>134127</v>
      </c>
      <c r="Y76" s="41">
        <v>135038</v>
      </c>
      <c r="Z76" s="41">
        <v>135948</v>
      </c>
      <c r="AA76" s="41">
        <v>136807</v>
      </c>
      <c r="AB76" s="41">
        <v>137660</v>
      </c>
      <c r="AC76" s="41">
        <v>138524</v>
      </c>
      <c r="AD76" s="41">
        <v>139407</v>
      </c>
      <c r="AE76" s="41">
        <v>140277</v>
      </c>
      <c r="AF76" s="41">
        <v>141100</v>
      </c>
      <c r="AG76" s="41">
        <v>141933</v>
      </c>
      <c r="AH76" s="41">
        <v>142757</v>
      </c>
      <c r="AI76" s="41">
        <v>143619</v>
      </c>
      <c r="AJ76" s="41">
        <v>144461</v>
      </c>
      <c r="AK76" s="41">
        <v>145254</v>
      </c>
      <c r="AL76" s="41">
        <v>146059</v>
      </c>
      <c r="AM76" s="41">
        <v>146855</v>
      </c>
      <c r="AN76" s="41">
        <v>147662</v>
      </c>
      <c r="AO76" s="41">
        <v>148422</v>
      </c>
      <c r="AP76" s="41">
        <v>149143</v>
      </c>
      <c r="AQ76" s="41">
        <v>149876</v>
      </c>
      <c r="AR76" s="41">
        <v>150570</v>
      </c>
      <c r="AS76" s="41">
        <v>151226</v>
      </c>
    </row>
    <row r="77" spans="1:45">
      <c r="A77" s="38" t="s">
        <v>270</v>
      </c>
      <c r="B77" s="38" t="s">
        <v>271</v>
      </c>
      <c r="C77" s="41">
        <v>147011</v>
      </c>
      <c r="D77" s="41">
        <v>148890</v>
      </c>
      <c r="E77" s="41">
        <v>150263</v>
      </c>
      <c r="F77" s="41">
        <v>151222</v>
      </c>
      <c r="G77" s="41">
        <v>152475</v>
      </c>
      <c r="H77" s="41">
        <v>153799</v>
      </c>
      <c r="I77" s="41">
        <v>155410</v>
      </c>
      <c r="J77" s="41">
        <v>156135</v>
      </c>
      <c r="K77" s="41">
        <v>156318</v>
      </c>
      <c r="L77" s="41">
        <v>156973</v>
      </c>
      <c r="M77" s="41">
        <v>158809</v>
      </c>
      <c r="N77" s="41">
        <v>159641</v>
      </c>
      <c r="O77" s="41">
        <v>160401</v>
      </c>
      <c r="P77" s="41">
        <v>161403</v>
      </c>
      <c r="Q77" s="41">
        <v>162770</v>
      </c>
      <c r="R77" s="41">
        <v>163954</v>
      </c>
      <c r="S77" s="41">
        <v>165257</v>
      </c>
      <c r="T77" s="41">
        <v>166574</v>
      </c>
      <c r="U77" s="41">
        <v>168003</v>
      </c>
      <c r="V77" s="41">
        <v>169289</v>
      </c>
      <c r="W77" s="41">
        <v>170471</v>
      </c>
      <c r="X77" s="41">
        <v>171956</v>
      </c>
      <c r="Y77" s="41">
        <v>173410</v>
      </c>
      <c r="Z77" s="41">
        <v>174796</v>
      </c>
      <c r="AA77" s="41">
        <v>176152</v>
      </c>
      <c r="AB77" s="41">
        <v>177444</v>
      </c>
      <c r="AC77" s="41">
        <v>178834</v>
      </c>
      <c r="AD77" s="41">
        <v>180159</v>
      </c>
      <c r="AE77" s="41">
        <v>181377</v>
      </c>
      <c r="AF77" s="41">
        <v>182561</v>
      </c>
      <c r="AG77" s="41">
        <v>183682</v>
      </c>
      <c r="AH77" s="41">
        <v>184800</v>
      </c>
      <c r="AI77" s="41">
        <v>185881</v>
      </c>
      <c r="AJ77" s="41">
        <v>186920</v>
      </c>
      <c r="AK77" s="41">
        <v>187892</v>
      </c>
      <c r="AL77" s="41">
        <v>188843</v>
      </c>
      <c r="AM77" s="41">
        <v>189751</v>
      </c>
      <c r="AN77" s="41">
        <v>190671</v>
      </c>
      <c r="AO77" s="41">
        <v>191567</v>
      </c>
      <c r="AP77" s="41">
        <v>192404</v>
      </c>
      <c r="AQ77" s="41">
        <v>193286</v>
      </c>
      <c r="AR77" s="41">
        <v>194154</v>
      </c>
      <c r="AS77" s="41">
        <v>194957</v>
      </c>
    </row>
    <row r="78" spans="1:45">
      <c r="A78" s="38" t="s">
        <v>272</v>
      </c>
      <c r="B78" s="38" t="s">
        <v>273</v>
      </c>
      <c r="C78" s="41">
        <v>44108</v>
      </c>
      <c r="D78" s="41">
        <v>44290</v>
      </c>
      <c r="E78" s="41">
        <v>44692</v>
      </c>
      <c r="F78" s="41">
        <v>45160</v>
      </c>
      <c r="G78" s="41">
        <v>45495</v>
      </c>
      <c r="H78" s="41">
        <v>45875</v>
      </c>
      <c r="I78" s="41">
        <v>46374</v>
      </c>
      <c r="J78" s="41">
        <v>46828</v>
      </c>
      <c r="K78" s="41">
        <v>47019</v>
      </c>
      <c r="L78" s="41">
        <v>47545</v>
      </c>
      <c r="M78" s="41">
        <v>48136</v>
      </c>
      <c r="N78" s="41">
        <v>48247</v>
      </c>
      <c r="O78" s="41">
        <v>48589</v>
      </c>
      <c r="P78" s="41">
        <v>49025</v>
      </c>
      <c r="Q78" s="41">
        <v>49234</v>
      </c>
      <c r="R78" s="41">
        <v>49875</v>
      </c>
      <c r="S78" s="41">
        <v>50447</v>
      </c>
      <c r="T78" s="41">
        <v>51077</v>
      </c>
      <c r="U78" s="41">
        <v>51798</v>
      </c>
      <c r="V78" s="41">
        <v>52426</v>
      </c>
      <c r="W78" s="41">
        <v>53047</v>
      </c>
      <c r="X78" s="41">
        <v>53770</v>
      </c>
      <c r="Y78" s="41">
        <v>54499</v>
      </c>
      <c r="Z78" s="41">
        <v>55201</v>
      </c>
      <c r="AA78" s="41">
        <v>55860</v>
      </c>
      <c r="AB78" s="41">
        <v>56520</v>
      </c>
      <c r="AC78" s="41">
        <v>57187</v>
      </c>
      <c r="AD78" s="41">
        <v>57847</v>
      </c>
      <c r="AE78" s="41">
        <v>58492</v>
      </c>
      <c r="AF78" s="41">
        <v>59092</v>
      </c>
      <c r="AG78" s="41">
        <v>59702</v>
      </c>
      <c r="AH78" s="41">
        <v>60301</v>
      </c>
      <c r="AI78" s="41">
        <v>60891</v>
      </c>
      <c r="AJ78" s="41">
        <v>61471</v>
      </c>
      <c r="AK78" s="41">
        <v>62039</v>
      </c>
      <c r="AL78" s="41">
        <v>62605</v>
      </c>
      <c r="AM78" s="41">
        <v>63161</v>
      </c>
      <c r="AN78" s="41">
        <v>63697</v>
      </c>
      <c r="AO78" s="41">
        <v>64228</v>
      </c>
      <c r="AP78" s="41">
        <v>64751</v>
      </c>
      <c r="AQ78" s="41">
        <v>65281</v>
      </c>
      <c r="AR78" s="41">
        <v>65805</v>
      </c>
      <c r="AS78" s="41">
        <v>66296</v>
      </c>
    </row>
    <row r="79" spans="1:45">
      <c r="A79" s="38" t="s">
        <v>274</v>
      </c>
      <c r="B79" s="38" t="s">
        <v>275</v>
      </c>
      <c r="C79" s="41">
        <v>124146</v>
      </c>
      <c r="D79" s="41">
        <v>124523</v>
      </c>
      <c r="E79" s="41">
        <v>124557</v>
      </c>
      <c r="F79" s="41">
        <v>124910</v>
      </c>
      <c r="G79" s="41">
        <v>125423</v>
      </c>
      <c r="H79" s="41">
        <v>125900</v>
      </c>
      <c r="I79" s="41">
        <v>126301</v>
      </c>
      <c r="J79" s="41">
        <v>127071</v>
      </c>
      <c r="K79" s="41">
        <v>127629</v>
      </c>
      <c r="L79" s="41">
        <v>128162</v>
      </c>
      <c r="M79" s="41">
        <v>129410</v>
      </c>
      <c r="N79" s="41">
        <v>129907</v>
      </c>
      <c r="O79" s="41">
        <v>130257</v>
      </c>
      <c r="P79" s="41">
        <v>130936</v>
      </c>
      <c r="Q79" s="41">
        <v>131327</v>
      </c>
      <c r="R79" s="41">
        <v>132108</v>
      </c>
      <c r="S79" s="41">
        <v>132995</v>
      </c>
      <c r="T79" s="41">
        <v>133541</v>
      </c>
      <c r="U79" s="41">
        <v>134432</v>
      </c>
      <c r="V79" s="41">
        <v>135129</v>
      </c>
      <c r="W79" s="41">
        <v>135821</v>
      </c>
      <c r="X79" s="41">
        <v>136583</v>
      </c>
      <c r="Y79" s="41">
        <v>137261</v>
      </c>
      <c r="Z79" s="41">
        <v>137968</v>
      </c>
      <c r="AA79" s="41">
        <v>138596</v>
      </c>
      <c r="AB79" s="41">
        <v>139228</v>
      </c>
      <c r="AC79" s="41">
        <v>139866</v>
      </c>
      <c r="AD79" s="41">
        <v>140480</v>
      </c>
      <c r="AE79" s="41">
        <v>141117</v>
      </c>
      <c r="AF79" s="41">
        <v>141739</v>
      </c>
      <c r="AG79" s="41">
        <v>142408</v>
      </c>
      <c r="AH79" s="41">
        <v>143093</v>
      </c>
      <c r="AI79" s="41">
        <v>143786</v>
      </c>
      <c r="AJ79" s="41">
        <v>144494</v>
      </c>
      <c r="AK79" s="41">
        <v>145192</v>
      </c>
      <c r="AL79" s="41">
        <v>145940</v>
      </c>
      <c r="AM79" s="41">
        <v>146737</v>
      </c>
      <c r="AN79" s="41">
        <v>147538</v>
      </c>
      <c r="AO79" s="41">
        <v>148317</v>
      </c>
      <c r="AP79" s="41">
        <v>149098</v>
      </c>
      <c r="AQ79" s="41">
        <v>149901</v>
      </c>
      <c r="AR79" s="41">
        <v>150717</v>
      </c>
      <c r="AS79" s="41">
        <v>151477</v>
      </c>
    </row>
    <row r="80" spans="1:45">
      <c r="A80" s="38" t="s">
        <v>276</v>
      </c>
      <c r="B80" s="38" t="s">
        <v>277</v>
      </c>
      <c r="C80" s="41">
        <v>206133</v>
      </c>
      <c r="D80" s="41">
        <v>206983</v>
      </c>
      <c r="E80" s="41">
        <v>208033</v>
      </c>
      <c r="F80" s="41">
        <v>209302</v>
      </c>
      <c r="G80" s="41">
        <v>211035</v>
      </c>
      <c r="H80" s="41">
        <v>212852</v>
      </c>
      <c r="I80" s="41">
        <v>215031</v>
      </c>
      <c r="J80" s="41">
        <v>216974</v>
      </c>
      <c r="K80" s="41">
        <v>218593</v>
      </c>
      <c r="L80" s="41">
        <v>220613</v>
      </c>
      <c r="M80" s="41">
        <v>222734</v>
      </c>
      <c r="N80" s="41">
        <v>223788</v>
      </c>
      <c r="O80" s="41">
        <v>224948</v>
      </c>
      <c r="P80" s="41">
        <v>226183</v>
      </c>
      <c r="Q80" s="41">
        <v>227512</v>
      </c>
      <c r="R80" s="41">
        <v>229250</v>
      </c>
      <c r="S80" s="41">
        <v>230664</v>
      </c>
      <c r="T80" s="41">
        <v>232449</v>
      </c>
      <c r="U80" s="41">
        <v>234113</v>
      </c>
      <c r="V80" s="41">
        <v>235608</v>
      </c>
      <c r="W80" s="41">
        <v>236947</v>
      </c>
      <c r="X80" s="41">
        <v>238142</v>
      </c>
      <c r="Y80" s="41">
        <v>239301</v>
      </c>
      <c r="Z80" s="41">
        <v>240426</v>
      </c>
      <c r="AA80" s="41">
        <v>241547</v>
      </c>
      <c r="AB80" s="41">
        <v>242658</v>
      </c>
      <c r="AC80" s="41">
        <v>243795</v>
      </c>
      <c r="AD80" s="41">
        <v>244919</v>
      </c>
      <c r="AE80" s="41">
        <v>245963</v>
      </c>
      <c r="AF80" s="41">
        <v>247039</v>
      </c>
      <c r="AG80" s="41">
        <v>248150</v>
      </c>
      <c r="AH80" s="41">
        <v>249223</v>
      </c>
      <c r="AI80" s="41">
        <v>250296</v>
      </c>
      <c r="AJ80" s="41">
        <v>251281</v>
      </c>
      <c r="AK80" s="41">
        <v>252221</v>
      </c>
      <c r="AL80" s="41">
        <v>253192</v>
      </c>
      <c r="AM80" s="41">
        <v>254091</v>
      </c>
      <c r="AN80" s="41">
        <v>254932</v>
      </c>
      <c r="AO80" s="41">
        <v>255698</v>
      </c>
      <c r="AP80" s="41">
        <v>256394</v>
      </c>
      <c r="AQ80" s="41">
        <v>257144</v>
      </c>
      <c r="AR80" s="41">
        <v>257811</v>
      </c>
      <c r="AS80" s="41">
        <v>258374</v>
      </c>
    </row>
    <row r="81" spans="1:45">
      <c r="A81" s="38" t="s">
        <v>278</v>
      </c>
      <c r="B81" s="38" t="s">
        <v>279</v>
      </c>
      <c r="C81" s="41">
        <v>120238</v>
      </c>
      <c r="D81" s="41">
        <v>120404</v>
      </c>
      <c r="E81" s="41">
        <v>119263</v>
      </c>
      <c r="F81" s="41">
        <v>118958</v>
      </c>
      <c r="G81" s="41">
        <v>119160</v>
      </c>
      <c r="H81" s="41">
        <v>119278</v>
      </c>
      <c r="I81" s="41">
        <v>119530</v>
      </c>
      <c r="J81" s="41">
        <v>120487</v>
      </c>
      <c r="K81" s="41">
        <v>122089</v>
      </c>
      <c r="L81" s="41">
        <v>122888</v>
      </c>
      <c r="M81" s="41">
        <v>123646</v>
      </c>
      <c r="N81" s="41">
        <v>123776</v>
      </c>
      <c r="O81" s="41">
        <v>124206</v>
      </c>
      <c r="P81" s="41">
        <v>124450</v>
      </c>
      <c r="Q81" s="41">
        <v>124688</v>
      </c>
      <c r="R81" s="41">
        <v>124928</v>
      </c>
      <c r="S81" s="41">
        <v>124108</v>
      </c>
      <c r="T81" s="41">
        <v>123577</v>
      </c>
      <c r="U81" s="41">
        <v>123377</v>
      </c>
      <c r="V81" s="41">
        <v>123090</v>
      </c>
      <c r="W81" s="41">
        <v>122874</v>
      </c>
      <c r="X81" s="41">
        <v>123254</v>
      </c>
      <c r="Y81" s="41">
        <v>123611</v>
      </c>
      <c r="Z81" s="41">
        <v>123985</v>
      </c>
      <c r="AA81" s="41">
        <v>124298</v>
      </c>
      <c r="AB81" s="41">
        <v>124663</v>
      </c>
      <c r="AC81" s="41">
        <v>124985</v>
      </c>
      <c r="AD81" s="41">
        <v>125329</v>
      </c>
      <c r="AE81" s="41">
        <v>125696</v>
      </c>
      <c r="AF81" s="41">
        <v>126054</v>
      </c>
      <c r="AG81" s="41">
        <v>126444</v>
      </c>
      <c r="AH81" s="41">
        <v>126827</v>
      </c>
      <c r="AI81" s="41">
        <v>127222</v>
      </c>
      <c r="AJ81" s="41">
        <v>127608</v>
      </c>
      <c r="AK81" s="41">
        <v>127997</v>
      </c>
      <c r="AL81" s="41">
        <v>128389</v>
      </c>
      <c r="AM81" s="41">
        <v>128778</v>
      </c>
      <c r="AN81" s="41">
        <v>129157</v>
      </c>
      <c r="AO81" s="41">
        <v>129489</v>
      </c>
      <c r="AP81" s="41">
        <v>129823</v>
      </c>
      <c r="AQ81" s="41">
        <v>130162</v>
      </c>
      <c r="AR81" s="41">
        <v>130496</v>
      </c>
      <c r="AS81" s="41">
        <v>130797</v>
      </c>
    </row>
    <row r="82" spans="1:45">
      <c r="A82" s="38" t="s">
        <v>280</v>
      </c>
      <c r="B82" s="38" t="s">
        <v>281</v>
      </c>
      <c r="C82" s="41">
        <v>29639</v>
      </c>
      <c r="D82" s="41">
        <v>30085</v>
      </c>
      <c r="E82" s="41">
        <v>31095</v>
      </c>
      <c r="F82" s="41">
        <v>30871</v>
      </c>
      <c r="G82" s="41">
        <v>31354</v>
      </c>
      <c r="H82" s="41">
        <v>31864</v>
      </c>
      <c r="I82" s="41">
        <v>32507</v>
      </c>
      <c r="J82" s="41">
        <v>32985</v>
      </c>
      <c r="K82" s="41">
        <v>33589</v>
      </c>
      <c r="L82" s="41">
        <v>33995</v>
      </c>
      <c r="M82" s="41">
        <v>34561</v>
      </c>
      <c r="N82" s="41">
        <v>35047</v>
      </c>
      <c r="O82" s="41">
        <v>35437</v>
      </c>
      <c r="P82" s="41">
        <v>35932</v>
      </c>
      <c r="Q82" s="41">
        <v>36238</v>
      </c>
      <c r="R82" s="41">
        <v>36508</v>
      </c>
      <c r="S82" s="41">
        <v>36820</v>
      </c>
      <c r="T82" s="41">
        <v>37101</v>
      </c>
      <c r="U82" s="41">
        <v>37476</v>
      </c>
      <c r="V82" s="41">
        <v>37788</v>
      </c>
      <c r="W82" s="41">
        <v>38063</v>
      </c>
      <c r="X82" s="41">
        <v>38357</v>
      </c>
      <c r="Y82" s="41">
        <v>38639</v>
      </c>
      <c r="Z82" s="41">
        <v>38916</v>
      </c>
      <c r="AA82" s="41">
        <v>39166</v>
      </c>
      <c r="AB82" s="41">
        <v>39396</v>
      </c>
      <c r="AC82" s="41">
        <v>39647</v>
      </c>
      <c r="AD82" s="41">
        <v>39898</v>
      </c>
      <c r="AE82" s="41">
        <v>40139</v>
      </c>
      <c r="AF82" s="41">
        <v>40367</v>
      </c>
      <c r="AG82" s="41">
        <v>40588</v>
      </c>
      <c r="AH82" s="41">
        <v>40812</v>
      </c>
      <c r="AI82" s="41">
        <v>41035</v>
      </c>
      <c r="AJ82" s="41">
        <v>41241</v>
      </c>
      <c r="AK82" s="41">
        <v>41441</v>
      </c>
      <c r="AL82" s="41">
        <v>41645</v>
      </c>
      <c r="AM82" s="41">
        <v>41833</v>
      </c>
      <c r="AN82" s="41">
        <v>42027</v>
      </c>
      <c r="AO82" s="41">
        <v>42214</v>
      </c>
      <c r="AP82" s="41">
        <v>42396</v>
      </c>
      <c r="AQ82" s="41">
        <v>42590</v>
      </c>
      <c r="AR82" s="41">
        <v>42773</v>
      </c>
      <c r="AS82" s="41">
        <v>42953</v>
      </c>
    </row>
    <row r="83" spans="1:45">
      <c r="A83" s="38" t="s">
        <v>282</v>
      </c>
      <c r="B83" s="38" t="s">
        <v>283</v>
      </c>
      <c r="C83" s="41">
        <v>54867</v>
      </c>
      <c r="D83" s="41">
        <v>55289</v>
      </c>
      <c r="E83" s="41">
        <v>55597</v>
      </c>
      <c r="F83" s="41">
        <v>56173</v>
      </c>
      <c r="G83" s="41">
        <v>56740</v>
      </c>
      <c r="H83" s="41">
        <v>57170</v>
      </c>
      <c r="I83" s="41">
        <v>57784</v>
      </c>
      <c r="J83" s="41">
        <v>58140</v>
      </c>
      <c r="K83" s="41">
        <v>58259</v>
      </c>
      <c r="L83" s="41">
        <v>58505</v>
      </c>
      <c r="M83" s="41">
        <v>59309</v>
      </c>
      <c r="N83" s="41">
        <v>59734</v>
      </c>
      <c r="O83" s="41">
        <v>60028</v>
      </c>
      <c r="P83" s="41">
        <v>60663</v>
      </c>
      <c r="Q83" s="41">
        <v>61343</v>
      </c>
      <c r="R83" s="41">
        <v>62159</v>
      </c>
      <c r="S83" s="41">
        <v>63205</v>
      </c>
      <c r="T83" s="41">
        <v>64200</v>
      </c>
      <c r="U83" s="41">
        <v>65258</v>
      </c>
      <c r="V83" s="41">
        <v>66249</v>
      </c>
      <c r="W83" s="41">
        <v>67205</v>
      </c>
      <c r="X83" s="41">
        <v>68301</v>
      </c>
      <c r="Y83" s="41">
        <v>69375</v>
      </c>
      <c r="Z83" s="41">
        <v>70411</v>
      </c>
      <c r="AA83" s="41">
        <v>71420</v>
      </c>
      <c r="AB83" s="41">
        <v>72419</v>
      </c>
      <c r="AC83" s="41">
        <v>73444</v>
      </c>
      <c r="AD83" s="41">
        <v>74439</v>
      </c>
      <c r="AE83" s="41">
        <v>75405</v>
      </c>
      <c r="AF83" s="41">
        <v>76326</v>
      </c>
      <c r="AG83" s="41">
        <v>77243</v>
      </c>
      <c r="AH83" s="41">
        <v>78156</v>
      </c>
      <c r="AI83" s="41">
        <v>79040</v>
      </c>
      <c r="AJ83" s="41">
        <v>79906</v>
      </c>
      <c r="AK83" s="41">
        <v>80724</v>
      </c>
      <c r="AL83" s="41">
        <v>81546</v>
      </c>
      <c r="AM83" s="41">
        <v>82348</v>
      </c>
      <c r="AN83" s="41">
        <v>83137</v>
      </c>
      <c r="AO83" s="41">
        <v>83917</v>
      </c>
      <c r="AP83" s="41">
        <v>84667</v>
      </c>
      <c r="AQ83" s="41">
        <v>85422</v>
      </c>
      <c r="AR83" s="41">
        <v>86158</v>
      </c>
      <c r="AS83" s="41">
        <v>86857</v>
      </c>
    </row>
    <row r="84" spans="1:45">
      <c r="A84" s="38" t="s">
        <v>284</v>
      </c>
      <c r="B84" s="38" t="s">
        <v>285</v>
      </c>
      <c r="C84" s="41">
        <v>43417</v>
      </c>
      <c r="D84" s="41">
        <v>43536</v>
      </c>
      <c r="E84" s="41">
        <v>43636</v>
      </c>
      <c r="F84" s="41">
        <v>43816</v>
      </c>
      <c r="G84" s="41">
        <v>44114</v>
      </c>
      <c r="H84" s="41">
        <v>44533</v>
      </c>
      <c r="I84" s="41">
        <v>45018</v>
      </c>
      <c r="J84" s="41">
        <v>45498</v>
      </c>
      <c r="K84" s="41">
        <v>46040</v>
      </c>
      <c r="L84" s="41">
        <v>46610</v>
      </c>
      <c r="M84" s="41">
        <v>47270</v>
      </c>
      <c r="N84" s="41">
        <v>47589</v>
      </c>
      <c r="O84" s="41">
        <v>47955</v>
      </c>
      <c r="P84" s="41">
        <v>48257</v>
      </c>
      <c r="Q84" s="41">
        <v>48648</v>
      </c>
      <c r="R84" s="41">
        <v>48874</v>
      </c>
      <c r="S84" s="41">
        <v>49227</v>
      </c>
      <c r="T84" s="41">
        <v>49760</v>
      </c>
      <c r="U84" s="41">
        <v>50245</v>
      </c>
      <c r="V84" s="41">
        <v>50676</v>
      </c>
      <c r="W84" s="41">
        <v>51045</v>
      </c>
      <c r="X84" s="41">
        <v>51526</v>
      </c>
      <c r="Y84" s="41">
        <v>51967</v>
      </c>
      <c r="Z84" s="41">
        <v>52392</v>
      </c>
      <c r="AA84" s="41">
        <v>52796</v>
      </c>
      <c r="AB84" s="41">
        <v>53171</v>
      </c>
      <c r="AC84" s="41">
        <v>53561</v>
      </c>
      <c r="AD84" s="41">
        <v>53922</v>
      </c>
      <c r="AE84" s="41">
        <v>54266</v>
      </c>
      <c r="AF84" s="41">
        <v>54601</v>
      </c>
      <c r="AG84" s="41">
        <v>54931</v>
      </c>
      <c r="AH84" s="41">
        <v>55237</v>
      </c>
      <c r="AI84" s="41">
        <v>55544</v>
      </c>
      <c r="AJ84" s="41">
        <v>55826</v>
      </c>
      <c r="AK84" s="41">
        <v>56097</v>
      </c>
      <c r="AL84" s="41">
        <v>56370</v>
      </c>
      <c r="AM84" s="41">
        <v>56623</v>
      </c>
      <c r="AN84" s="41">
        <v>56877</v>
      </c>
      <c r="AO84" s="41">
        <v>57126</v>
      </c>
      <c r="AP84" s="41">
        <v>57365</v>
      </c>
      <c r="AQ84" s="41">
        <v>57622</v>
      </c>
      <c r="AR84" s="41">
        <v>57867</v>
      </c>
      <c r="AS84" s="41">
        <v>58102</v>
      </c>
    </row>
    <row r="85" spans="1:45">
      <c r="A85" s="38" t="s">
        <v>286</v>
      </c>
      <c r="B85" s="38" t="s">
        <v>287</v>
      </c>
      <c r="C85" s="41">
        <v>51764</v>
      </c>
      <c r="D85" s="41">
        <v>52141</v>
      </c>
      <c r="E85" s="41">
        <v>52363</v>
      </c>
      <c r="F85" s="41">
        <v>52575</v>
      </c>
      <c r="G85" s="41">
        <v>53003</v>
      </c>
      <c r="H85" s="41">
        <v>53487</v>
      </c>
      <c r="I85" s="41">
        <v>54056</v>
      </c>
      <c r="J85" s="41">
        <v>54718</v>
      </c>
      <c r="K85" s="41">
        <v>55354</v>
      </c>
      <c r="L85" s="41">
        <v>55766</v>
      </c>
      <c r="M85" s="41">
        <v>56466</v>
      </c>
      <c r="N85" s="41">
        <v>57135</v>
      </c>
      <c r="O85" s="41">
        <v>57836</v>
      </c>
      <c r="P85" s="41">
        <v>58776</v>
      </c>
      <c r="Q85" s="41">
        <v>59508</v>
      </c>
      <c r="R85" s="41">
        <v>60309</v>
      </c>
      <c r="S85" s="41">
        <v>60874</v>
      </c>
      <c r="T85" s="41">
        <v>61401</v>
      </c>
      <c r="U85" s="41">
        <v>62082</v>
      </c>
      <c r="V85" s="41">
        <v>62605</v>
      </c>
      <c r="W85" s="41">
        <v>63093</v>
      </c>
      <c r="X85" s="41">
        <v>63633</v>
      </c>
      <c r="Y85" s="41">
        <v>64147</v>
      </c>
      <c r="Z85" s="41">
        <v>64649</v>
      </c>
      <c r="AA85" s="41">
        <v>65092</v>
      </c>
      <c r="AB85" s="41">
        <v>65519</v>
      </c>
      <c r="AC85" s="41">
        <v>65967</v>
      </c>
      <c r="AD85" s="41">
        <v>66403</v>
      </c>
      <c r="AE85" s="41">
        <v>66835</v>
      </c>
      <c r="AF85" s="41">
        <v>67242</v>
      </c>
      <c r="AG85" s="41">
        <v>67651</v>
      </c>
      <c r="AH85" s="41">
        <v>68056</v>
      </c>
      <c r="AI85" s="41">
        <v>68448</v>
      </c>
      <c r="AJ85" s="41">
        <v>68848</v>
      </c>
      <c r="AK85" s="41">
        <v>69233</v>
      </c>
      <c r="AL85" s="41">
        <v>69629</v>
      </c>
      <c r="AM85" s="41">
        <v>70015</v>
      </c>
      <c r="AN85" s="41">
        <v>70397</v>
      </c>
      <c r="AO85" s="41">
        <v>70772</v>
      </c>
      <c r="AP85" s="41">
        <v>71131</v>
      </c>
      <c r="AQ85" s="41">
        <v>71503</v>
      </c>
      <c r="AR85" s="41">
        <v>71875</v>
      </c>
      <c r="AS85" s="41">
        <v>72217</v>
      </c>
    </row>
    <row r="86" spans="1:45">
      <c r="A86" s="38" t="s">
        <v>288</v>
      </c>
      <c r="B86" s="38" t="s">
        <v>289</v>
      </c>
      <c r="C86" s="41">
        <v>55394</v>
      </c>
      <c r="D86" s="41">
        <v>56447</v>
      </c>
      <c r="E86" s="41">
        <v>57325</v>
      </c>
      <c r="F86" s="41">
        <v>58337</v>
      </c>
      <c r="G86" s="41">
        <v>58875</v>
      </c>
      <c r="H86" s="41">
        <v>59319</v>
      </c>
      <c r="I86" s="41">
        <v>59990</v>
      </c>
      <c r="J86" s="41">
        <v>60487</v>
      </c>
      <c r="K86" s="41">
        <v>60520</v>
      </c>
      <c r="L86" s="41">
        <v>60686</v>
      </c>
      <c r="M86" s="41">
        <v>60860</v>
      </c>
      <c r="N86" s="41">
        <v>61016</v>
      </c>
      <c r="O86" s="41">
        <v>61221</v>
      </c>
      <c r="P86" s="41">
        <v>61896</v>
      </c>
      <c r="Q86" s="41">
        <v>62296</v>
      </c>
      <c r="R86" s="41">
        <v>62735</v>
      </c>
      <c r="S86" s="41">
        <v>63502</v>
      </c>
      <c r="T86" s="41">
        <v>64159</v>
      </c>
      <c r="U86" s="41">
        <v>65007</v>
      </c>
      <c r="V86" s="41">
        <v>65736</v>
      </c>
      <c r="W86" s="41">
        <v>66430</v>
      </c>
      <c r="X86" s="41">
        <v>67117</v>
      </c>
      <c r="Y86" s="41">
        <v>67797</v>
      </c>
      <c r="Z86" s="41">
        <v>68451</v>
      </c>
      <c r="AA86" s="41">
        <v>69053</v>
      </c>
      <c r="AB86" s="41">
        <v>69669</v>
      </c>
      <c r="AC86" s="41">
        <v>70277</v>
      </c>
      <c r="AD86" s="41">
        <v>70904</v>
      </c>
      <c r="AE86" s="41">
        <v>71482</v>
      </c>
      <c r="AF86" s="41">
        <v>72063</v>
      </c>
      <c r="AG86" s="41">
        <v>72643</v>
      </c>
      <c r="AH86" s="41">
        <v>73203</v>
      </c>
      <c r="AI86" s="41">
        <v>73781</v>
      </c>
      <c r="AJ86" s="41">
        <v>74328</v>
      </c>
      <c r="AK86" s="41">
        <v>74878</v>
      </c>
      <c r="AL86" s="41">
        <v>75416</v>
      </c>
      <c r="AM86" s="41">
        <v>75935</v>
      </c>
      <c r="AN86" s="41">
        <v>76444</v>
      </c>
      <c r="AO86" s="41">
        <v>76944</v>
      </c>
      <c r="AP86" s="41">
        <v>77424</v>
      </c>
      <c r="AQ86" s="41">
        <v>77899</v>
      </c>
      <c r="AR86" s="41">
        <v>78357</v>
      </c>
      <c r="AS86" s="41">
        <v>78769</v>
      </c>
    </row>
    <row r="87" spans="1:45">
      <c r="A87" s="38" t="s">
        <v>290</v>
      </c>
      <c r="B87" s="38" t="s">
        <v>291</v>
      </c>
      <c r="C87" s="41">
        <v>31111</v>
      </c>
      <c r="D87" s="41">
        <v>31671</v>
      </c>
      <c r="E87" s="41">
        <v>32354</v>
      </c>
      <c r="F87" s="41">
        <v>32789</v>
      </c>
      <c r="G87" s="41">
        <v>33203</v>
      </c>
      <c r="H87" s="41">
        <v>33799</v>
      </c>
      <c r="I87" s="41">
        <v>34322</v>
      </c>
      <c r="J87" s="41">
        <v>34696</v>
      </c>
      <c r="K87" s="41">
        <v>34898</v>
      </c>
      <c r="L87" s="41">
        <v>35219</v>
      </c>
      <c r="M87" s="41">
        <v>35538</v>
      </c>
      <c r="N87" s="41">
        <v>35820</v>
      </c>
      <c r="O87" s="41">
        <v>36241</v>
      </c>
      <c r="P87" s="41">
        <v>36697</v>
      </c>
      <c r="Q87" s="41">
        <v>37182</v>
      </c>
      <c r="R87" s="41">
        <v>37785</v>
      </c>
      <c r="S87" s="41">
        <v>38514</v>
      </c>
      <c r="T87" s="41">
        <v>38963</v>
      </c>
      <c r="U87" s="41">
        <v>39587</v>
      </c>
      <c r="V87" s="41">
        <v>40166</v>
      </c>
      <c r="W87" s="41">
        <v>40710</v>
      </c>
      <c r="X87" s="41">
        <v>41303</v>
      </c>
      <c r="Y87" s="41">
        <v>41885</v>
      </c>
      <c r="Z87" s="41">
        <v>42442</v>
      </c>
      <c r="AA87" s="41">
        <v>42959</v>
      </c>
      <c r="AB87" s="41">
        <v>43454</v>
      </c>
      <c r="AC87" s="41">
        <v>43958</v>
      </c>
      <c r="AD87" s="41">
        <v>44446</v>
      </c>
      <c r="AE87" s="41">
        <v>44914</v>
      </c>
      <c r="AF87" s="41">
        <v>45362</v>
      </c>
      <c r="AG87" s="41">
        <v>45813</v>
      </c>
      <c r="AH87" s="41">
        <v>46244</v>
      </c>
      <c r="AI87" s="41">
        <v>46662</v>
      </c>
      <c r="AJ87" s="41">
        <v>47072</v>
      </c>
      <c r="AK87" s="41">
        <v>47474</v>
      </c>
      <c r="AL87" s="41">
        <v>47877</v>
      </c>
      <c r="AM87" s="41">
        <v>48268</v>
      </c>
      <c r="AN87" s="41">
        <v>48651</v>
      </c>
      <c r="AO87" s="41">
        <v>49012</v>
      </c>
      <c r="AP87" s="41">
        <v>49365</v>
      </c>
      <c r="AQ87" s="41">
        <v>49732</v>
      </c>
      <c r="AR87" s="41">
        <v>50089</v>
      </c>
      <c r="AS87" s="41">
        <v>50429</v>
      </c>
    </row>
    <row r="88" spans="1:45">
      <c r="A88" s="38" t="s">
        <v>292</v>
      </c>
      <c r="B88" s="38" t="s">
        <v>293</v>
      </c>
      <c r="C88" s="41">
        <v>130742</v>
      </c>
      <c r="D88" s="41">
        <v>132842</v>
      </c>
      <c r="E88" s="41">
        <v>134549</v>
      </c>
      <c r="F88" s="41">
        <v>136336</v>
      </c>
      <c r="G88" s="41">
        <v>137718</v>
      </c>
      <c r="H88" s="41">
        <v>138681</v>
      </c>
      <c r="I88" s="41">
        <v>139974</v>
      </c>
      <c r="J88" s="41">
        <v>141054</v>
      </c>
      <c r="K88" s="41">
        <v>141537</v>
      </c>
      <c r="L88" s="41">
        <v>142062</v>
      </c>
      <c r="M88" s="41">
        <v>143073</v>
      </c>
      <c r="N88" s="41">
        <v>143651</v>
      </c>
      <c r="O88" s="41">
        <v>143995</v>
      </c>
      <c r="P88" s="41">
        <v>144788</v>
      </c>
      <c r="Q88" s="41">
        <v>145046</v>
      </c>
      <c r="R88" s="41">
        <v>145624</v>
      </c>
      <c r="S88" s="41">
        <v>146378</v>
      </c>
      <c r="T88" s="41">
        <v>147462</v>
      </c>
      <c r="U88" s="41">
        <v>148539</v>
      </c>
      <c r="V88" s="41">
        <v>149397</v>
      </c>
      <c r="W88" s="41">
        <v>150186</v>
      </c>
      <c r="X88" s="41">
        <v>151281</v>
      </c>
      <c r="Y88" s="41">
        <v>152304</v>
      </c>
      <c r="Z88" s="41">
        <v>153265</v>
      </c>
      <c r="AA88" s="41">
        <v>154139</v>
      </c>
      <c r="AB88" s="41">
        <v>155000</v>
      </c>
      <c r="AC88" s="41">
        <v>155916</v>
      </c>
      <c r="AD88" s="41">
        <v>156781</v>
      </c>
      <c r="AE88" s="41">
        <v>157556</v>
      </c>
      <c r="AF88" s="41">
        <v>158302</v>
      </c>
      <c r="AG88" s="41">
        <v>159054</v>
      </c>
      <c r="AH88" s="41">
        <v>159793</v>
      </c>
      <c r="AI88" s="41">
        <v>160511</v>
      </c>
      <c r="AJ88" s="41">
        <v>161168</v>
      </c>
      <c r="AK88" s="41">
        <v>161796</v>
      </c>
      <c r="AL88" s="41">
        <v>162427</v>
      </c>
      <c r="AM88" s="41">
        <v>163010</v>
      </c>
      <c r="AN88" s="41">
        <v>163598</v>
      </c>
      <c r="AO88" s="41">
        <v>164153</v>
      </c>
      <c r="AP88" s="41">
        <v>164674</v>
      </c>
      <c r="AQ88" s="41">
        <v>165242</v>
      </c>
      <c r="AR88" s="41">
        <v>165803</v>
      </c>
      <c r="AS88" s="41">
        <v>166310</v>
      </c>
    </row>
    <row r="89" spans="1:45">
      <c r="A89" s="38" t="s">
        <v>294</v>
      </c>
      <c r="B89" s="38" t="s">
        <v>295</v>
      </c>
      <c r="C89" s="41">
        <v>42425</v>
      </c>
      <c r="D89" s="41">
        <v>42665</v>
      </c>
      <c r="E89" s="41">
        <v>43607</v>
      </c>
      <c r="F89" s="41">
        <v>43950</v>
      </c>
      <c r="G89" s="41">
        <v>44352</v>
      </c>
      <c r="H89" s="41">
        <v>44788</v>
      </c>
      <c r="I89" s="41">
        <v>45338</v>
      </c>
      <c r="J89" s="41">
        <v>46070</v>
      </c>
      <c r="K89" s="41">
        <v>46470</v>
      </c>
      <c r="L89" s="41">
        <v>47001</v>
      </c>
      <c r="M89" s="41">
        <v>47094</v>
      </c>
      <c r="N89" s="41">
        <v>47475</v>
      </c>
      <c r="O89" s="41">
        <v>47762</v>
      </c>
      <c r="P89" s="41">
        <v>48167</v>
      </c>
      <c r="Q89" s="41">
        <v>48500</v>
      </c>
      <c r="R89" s="41">
        <v>48854</v>
      </c>
      <c r="S89" s="41">
        <v>49319</v>
      </c>
      <c r="T89" s="41">
        <v>49774</v>
      </c>
      <c r="U89" s="41">
        <v>50276</v>
      </c>
      <c r="V89" s="41">
        <v>50751</v>
      </c>
      <c r="W89" s="41">
        <v>51205</v>
      </c>
      <c r="X89" s="41">
        <v>51682</v>
      </c>
      <c r="Y89" s="41">
        <v>52142</v>
      </c>
      <c r="Z89" s="41">
        <v>52577</v>
      </c>
      <c r="AA89" s="41">
        <v>53003</v>
      </c>
      <c r="AB89" s="41">
        <v>53412</v>
      </c>
      <c r="AC89" s="41">
        <v>53824</v>
      </c>
      <c r="AD89" s="41">
        <v>54233</v>
      </c>
      <c r="AE89" s="41">
        <v>54637</v>
      </c>
      <c r="AF89" s="41">
        <v>55037</v>
      </c>
      <c r="AG89" s="41">
        <v>55436</v>
      </c>
      <c r="AH89" s="41">
        <v>55835</v>
      </c>
      <c r="AI89" s="41">
        <v>56232</v>
      </c>
      <c r="AJ89" s="41">
        <v>56641</v>
      </c>
      <c r="AK89" s="41">
        <v>57039</v>
      </c>
      <c r="AL89" s="41">
        <v>57447</v>
      </c>
      <c r="AM89" s="41">
        <v>57856</v>
      </c>
      <c r="AN89" s="41">
        <v>58248</v>
      </c>
      <c r="AO89" s="41">
        <v>58640</v>
      </c>
      <c r="AP89" s="41">
        <v>59014</v>
      </c>
      <c r="AQ89" s="41">
        <v>59403</v>
      </c>
      <c r="AR89" s="41">
        <v>59779</v>
      </c>
      <c r="AS89" s="41">
        <v>60125</v>
      </c>
    </row>
    <row r="90" spans="1:45">
      <c r="A90" s="38" t="s">
        <v>296</v>
      </c>
      <c r="B90" s="38" t="s">
        <v>297</v>
      </c>
      <c r="C90" s="41">
        <v>97142</v>
      </c>
      <c r="D90" s="41">
        <v>97967</v>
      </c>
      <c r="E90" s="41">
        <v>98953</v>
      </c>
      <c r="F90" s="41">
        <v>100115</v>
      </c>
      <c r="G90" s="41">
        <v>101252</v>
      </c>
      <c r="H90" s="41">
        <v>102074</v>
      </c>
      <c r="I90" s="41">
        <v>103142</v>
      </c>
      <c r="J90" s="41">
        <v>103724</v>
      </c>
      <c r="K90" s="41">
        <v>103922</v>
      </c>
      <c r="L90" s="41">
        <v>104186</v>
      </c>
      <c r="M90" s="41">
        <v>104349</v>
      </c>
      <c r="N90" s="41">
        <v>104766</v>
      </c>
      <c r="O90" s="41">
        <v>105365</v>
      </c>
      <c r="P90" s="41">
        <v>106027</v>
      </c>
      <c r="Q90" s="41">
        <v>106608</v>
      </c>
      <c r="R90" s="41">
        <v>107451</v>
      </c>
      <c r="S90" s="41">
        <v>108499</v>
      </c>
      <c r="T90" s="41">
        <v>109257</v>
      </c>
      <c r="U90" s="41">
        <v>110382</v>
      </c>
      <c r="V90" s="41">
        <v>111347</v>
      </c>
      <c r="W90" s="41">
        <v>112238</v>
      </c>
      <c r="X90" s="41">
        <v>113377</v>
      </c>
      <c r="Y90" s="41">
        <v>114462</v>
      </c>
      <c r="Z90" s="41">
        <v>115546</v>
      </c>
      <c r="AA90" s="41">
        <v>116542</v>
      </c>
      <c r="AB90" s="41">
        <v>117516</v>
      </c>
      <c r="AC90" s="41">
        <v>118586</v>
      </c>
      <c r="AD90" s="41">
        <v>119602</v>
      </c>
      <c r="AE90" s="41">
        <v>120581</v>
      </c>
      <c r="AF90" s="41">
        <v>121509</v>
      </c>
      <c r="AG90" s="41">
        <v>122436</v>
      </c>
      <c r="AH90" s="41">
        <v>123345</v>
      </c>
      <c r="AI90" s="41">
        <v>124237</v>
      </c>
      <c r="AJ90" s="41">
        <v>125112</v>
      </c>
      <c r="AK90" s="41">
        <v>125944</v>
      </c>
      <c r="AL90" s="41">
        <v>126771</v>
      </c>
      <c r="AM90" s="41">
        <v>127571</v>
      </c>
      <c r="AN90" s="41">
        <v>128357</v>
      </c>
      <c r="AO90" s="41">
        <v>129122</v>
      </c>
      <c r="AP90" s="41">
        <v>129866</v>
      </c>
      <c r="AQ90" s="41">
        <v>130624</v>
      </c>
      <c r="AR90" s="41">
        <v>131344</v>
      </c>
      <c r="AS90" s="41">
        <v>132033</v>
      </c>
    </row>
    <row r="91" spans="1:45">
      <c r="A91" s="38" t="s">
        <v>298</v>
      </c>
      <c r="B91" s="38" t="s">
        <v>299</v>
      </c>
      <c r="C91" s="41">
        <v>40741</v>
      </c>
      <c r="D91" s="41">
        <v>41059</v>
      </c>
      <c r="E91" s="41">
        <v>41538</v>
      </c>
      <c r="F91" s="41">
        <v>42157</v>
      </c>
      <c r="G91" s="41">
        <v>42753</v>
      </c>
      <c r="H91" s="41">
        <v>43184</v>
      </c>
      <c r="I91" s="41">
        <v>43551</v>
      </c>
      <c r="J91" s="41">
        <v>43908</v>
      </c>
      <c r="K91" s="41">
        <v>43844</v>
      </c>
      <c r="L91" s="41">
        <v>43978</v>
      </c>
      <c r="M91" s="41">
        <v>44781</v>
      </c>
      <c r="N91" s="41">
        <v>45062</v>
      </c>
      <c r="O91" s="41">
        <v>45241</v>
      </c>
      <c r="P91" s="41">
        <v>45688</v>
      </c>
      <c r="Q91" s="41">
        <v>46076</v>
      </c>
      <c r="R91" s="41">
        <v>46558</v>
      </c>
      <c r="S91" s="41">
        <v>46730</v>
      </c>
      <c r="T91" s="41">
        <v>46769</v>
      </c>
      <c r="U91" s="41">
        <v>47031</v>
      </c>
      <c r="V91" s="41">
        <v>47240</v>
      </c>
      <c r="W91" s="41">
        <v>47453</v>
      </c>
      <c r="X91" s="41">
        <v>47740</v>
      </c>
      <c r="Y91" s="41">
        <v>48017</v>
      </c>
      <c r="Z91" s="41">
        <v>48312</v>
      </c>
      <c r="AA91" s="41">
        <v>48589</v>
      </c>
      <c r="AB91" s="41">
        <v>48900</v>
      </c>
      <c r="AC91" s="41">
        <v>49215</v>
      </c>
      <c r="AD91" s="41">
        <v>49520</v>
      </c>
      <c r="AE91" s="41">
        <v>49822</v>
      </c>
      <c r="AF91" s="41">
        <v>50129</v>
      </c>
      <c r="AG91" s="41">
        <v>50434</v>
      </c>
      <c r="AH91" s="41">
        <v>50727</v>
      </c>
      <c r="AI91" s="41">
        <v>51023</v>
      </c>
      <c r="AJ91" s="41">
        <v>51311</v>
      </c>
      <c r="AK91" s="41">
        <v>51595</v>
      </c>
      <c r="AL91" s="41">
        <v>51869</v>
      </c>
      <c r="AM91" s="41">
        <v>52133</v>
      </c>
      <c r="AN91" s="41">
        <v>52398</v>
      </c>
      <c r="AO91" s="41">
        <v>52659</v>
      </c>
      <c r="AP91" s="41">
        <v>52920</v>
      </c>
      <c r="AQ91" s="41">
        <v>53186</v>
      </c>
      <c r="AR91" s="41">
        <v>53454</v>
      </c>
      <c r="AS91" s="41">
        <v>53711</v>
      </c>
    </row>
    <row r="92" spans="1:45">
      <c r="A92" s="38" t="s">
        <v>300</v>
      </c>
      <c r="B92" s="38" t="s">
        <v>301</v>
      </c>
      <c r="C92" s="41">
        <v>46725</v>
      </c>
      <c r="D92" s="41">
        <v>47008</v>
      </c>
      <c r="E92" s="41">
        <v>47256</v>
      </c>
      <c r="F92" s="41">
        <v>47619</v>
      </c>
      <c r="G92" s="41">
        <v>48227</v>
      </c>
      <c r="H92" s="41">
        <v>48933</v>
      </c>
      <c r="I92" s="41">
        <v>49438</v>
      </c>
      <c r="J92" s="41">
        <v>49877</v>
      </c>
      <c r="K92" s="41">
        <v>50459</v>
      </c>
      <c r="L92" s="41">
        <v>51239</v>
      </c>
      <c r="M92" s="41">
        <v>52119</v>
      </c>
      <c r="N92" s="41">
        <v>52574</v>
      </c>
      <c r="O92" s="41">
        <v>52998</v>
      </c>
      <c r="P92" s="41">
        <v>53508</v>
      </c>
      <c r="Q92" s="41">
        <v>53780</v>
      </c>
      <c r="R92" s="41">
        <v>54228</v>
      </c>
      <c r="S92" s="41">
        <v>54686</v>
      </c>
      <c r="T92" s="41">
        <v>55306</v>
      </c>
      <c r="U92" s="41">
        <v>55905</v>
      </c>
      <c r="V92" s="41">
        <v>56431</v>
      </c>
      <c r="W92" s="41">
        <v>56907</v>
      </c>
      <c r="X92" s="41">
        <v>57434</v>
      </c>
      <c r="Y92" s="41">
        <v>57935</v>
      </c>
      <c r="Z92" s="41">
        <v>58426</v>
      </c>
      <c r="AA92" s="41">
        <v>58877</v>
      </c>
      <c r="AB92" s="41">
        <v>59313</v>
      </c>
      <c r="AC92" s="41">
        <v>59759</v>
      </c>
      <c r="AD92" s="41">
        <v>60189</v>
      </c>
      <c r="AE92" s="41">
        <v>60611</v>
      </c>
      <c r="AF92" s="41">
        <v>61009</v>
      </c>
      <c r="AG92" s="41">
        <v>61416</v>
      </c>
      <c r="AH92" s="41">
        <v>61802</v>
      </c>
      <c r="AI92" s="41">
        <v>62179</v>
      </c>
      <c r="AJ92" s="41">
        <v>62552</v>
      </c>
      <c r="AK92" s="41">
        <v>62921</v>
      </c>
      <c r="AL92" s="41">
        <v>63283</v>
      </c>
      <c r="AM92" s="41">
        <v>63626</v>
      </c>
      <c r="AN92" s="41">
        <v>63956</v>
      </c>
      <c r="AO92" s="41">
        <v>64282</v>
      </c>
      <c r="AP92" s="41">
        <v>64608</v>
      </c>
      <c r="AQ92" s="41">
        <v>64939</v>
      </c>
      <c r="AR92" s="41">
        <v>65251</v>
      </c>
      <c r="AS92" s="41">
        <v>65547</v>
      </c>
    </row>
    <row r="93" spans="1:45">
      <c r="A93" s="38" t="s">
        <v>302</v>
      </c>
      <c r="B93" s="38" t="s">
        <v>303</v>
      </c>
      <c r="C93" s="41">
        <v>21057</v>
      </c>
      <c r="D93" s="41">
        <v>21316</v>
      </c>
      <c r="E93" s="41">
        <v>21637</v>
      </c>
      <c r="F93" s="41">
        <v>21981</v>
      </c>
      <c r="G93" s="41">
        <v>22192</v>
      </c>
      <c r="H93" s="41">
        <v>22356</v>
      </c>
      <c r="I93" s="41">
        <v>22534</v>
      </c>
      <c r="J93" s="41">
        <v>22695</v>
      </c>
      <c r="K93" s="41">
        <v>22889</v>
      </c>
      <c r="L93" s="41">
        <v>22972</v>
      </c>
      <c r="M93" s="41">
        <v>22991</v>
      </c>
      <c r="N93" s="41">
        <v>23140</v>
      </c>
      <c r="O93" s="41">
        <v>23190</v>
      </c>
      <c r="P93" s="41">
        <v>23297</v>
      </c>
      <c r="Q93" s="41">
        <v>23423</v>
      </c>
      <c r="R93" s="41">
        <v>23571</v>
      </c>
      <c r="S93" s="41">
        <v>23754</v>
      </c>
      <c r="T93" s="41">
        <v>23897</v>
      </c>
      <c r="U93" s="41">
        <v>24077</v>
      </c>
      <c r="V93" s="41">
        <v>24223</v>
      </c>
      <c r="W93" s="41">
        <v>24368</v>
      </c>
      <c r="X93" s="41">
        <v>24529</v>
      </c>
      <c r="Y93" s="41">
        <v>24668</v>
      </c>
      <c r="Z93" s="41">
        <v>24811</v>
      </c>
      <c r="AA93" s="41">
        <v>24943</v>
      </c>
      <c r="AB93" s="41">
        <v>25064</v>
      </c>
      <c r="AC93" s="41">
        <v>25194</v>
      </c>
      <c r="AD93" s="41">
        <v>25314</v>
      </c>
      <c r="AE93" s="41">
        <v>25416</v>
      </c>
      <c r="AF93" s="41">
        <v>25528</v>
      </c>
      <c r="AG93" s="41">
        <v>25630</v>
      </c>
      <c r="AH93" s="41">
        <v>25731</v>
      </c>
      <c r="AI93" s="41">
        <v>25829</v>
      </c>
      <c r="AJ93" s="41">
        <v>25913</v>
      </c>
      <c r="AK93" s="41">
        <v>26006</v>
      </c>
      <c r="AL93" s="41">
        <v>26087</v>
      </c>
      <c r="AM93" s="41">
        <v>26163</v>
      </c>
      <c r="AN93" s="41">
        <v>26240</v>
      </c>
      <c r="AO93" s="41">
        <v>26313</v>
      </c>
      <c r="AP93" s="41">
        <v>26377</v>
      </c>
      <c r="AQ93" s="41">
        <v>26440</v>
      </c>
      <c r="AR93" s="41">
        <v>26498</v>
      </c>
      <c r="AS93" s="41">
        <v>26551</v>
      </c>
    </row>
    <row r="94" spans="1:45">
      <c r="A94" s="38" t="s">
        <v>304</v>
      </c>
      <c r="B94" s="38" t="s">
        <v>305</v>
      </c>
      <c r="C94" s="41">
        <v>50707</v>
      </c>
      <c r="D94" s="41">
        <v>50962</v>
      </c>
      <c r="E94" s="41">
        <v>51286</v>
      </c>
      <c r="F94" s="41">
        <v>51395</v>
      </c>
      <c r="G94" s="41">
        <v>51881</v>
      </c>
      <c r="H94" s="41">
        <v>52319</v>
      </c>
      <c r="I94" s="41">
        <v>52486</v>
      </c>
      <c r="J94" s="41">
        <v>52482</v>
      </c>
      <c r="K94" s="41">
        <v>52420</v>
      </c>
      <c r="L94" s="41">
        <v>52664</v>
      </c>
      <c r="M94" s="41">
        <v>52825</v>
      </c>
      <c r="N94" s="41">
        <v>52999</v>
      </c>
      <c r="O94" s="41">
        <v>53356</v>
      </c>
      <c r="P94" s="41">
        <v>53721</v>
      </c>
      <c r="Q94" s="41">
        <v>53873</v>
      </c>
      <c r="R94" s="41">
        <v>54067</v>
      </c>
      <c r="S94" s="41">
        <v>54180</v>
      </c>
      <c r="T94" s="41">
        <v>54373</v>
      </c>
      <c r="U94" s="41">
        <v>54666</v>
      </c>
      <c r="V94" s="41">
        <v>54891</v>
      </c>
      <c r="W94" s="41">
        <v>55105</v>
      </c>
      <c r="X94" s="41">
        <v>55433</v>
      </c>
      <c r="Y94" s="41">
        <v>55748</v>
      </c>
      <c r="Z94" s="41">
        <v>56021</v>
      </c>
      <c r="AA94" s="41">
        <v>56263</v>
      </c>
      <c r="AB94" s="41">
        <v>56497</v>
      </c>
      <c r="AC94" s="41">
        <v>56747</v>
      </c>
      <c r="AD94" s="41">
        <v>56988</v>
      </c>
      <c r="AE94" s="41">
        <v>57207</v>
      </c>
      <c r="AF94" s="41">
        <v>57414</v>
      </c>
      <c r="AG94" s="41">
        <v>57626</v>
      </c>
      <c r="AH94" s="41">
        <v>57836</v>
      </c>
      <c r="AI94" s="41">
        <v>58048</v>
      </c>
      <c r="AJ94" s="41">
        <v>58236</v>
      </c>
      <c r="AK94" s="41">
        <v>58429</v>
      </c>
      <c r="AL94" s="41">
        <v>58612</v>
      </c>
      <c r="AM94" s="41">
        <v>58787</v>
      </c>
      <c r="AN94" s="41">
        <v>58962</v>
      </c>
      <c r="AO94" s="41">
        <v>59121</v>
      </c>
      <c r="AP94" s="41">
        <v>59283</v>
      </c>
      <c r="AQ94" s="41">
        <v>59453</v>
      </c>
      <c r="AR94" s="41">
        <v>59619</v>
      </c>
      <c r="AS94" s="41">
        <v>59790</v>
      </c>
    </row>
    <row r="95" spans="1:45">
      <c r="A95" s="38" t="s">
        <v>306</v>
      </c>
      <c r="B95" s="38" t="s">
        <v>307</v>
      </c>
      <c r="C95" s="41">
        <v>111298</v>
      </c>
      <c r="D95" s="41">
        <v>112256</v>
      </c>
      <c r="E95" s="41">
        <v>112140</v>
      </c>
      <c r="F95" s="41">
        <v>111713</v>
      </c>
      <c r="G95" s="41">
        <v>112144</v>
      </c>
      <c r="H95" s="41">
        <v>112388</v>
      </c>
      <c r="I95" s="41">
        <v>113097</v>
      </c>
      <c r="J95" s="41">
        <v>114565</v>
      </c>
      <c r="K95" s="41">
        <v>115720</v>
      </c>
      <c r="L95" s="41">
        <v>117244</v>
      </c>
      <c r="M95" s="41">
        <v>119575</v>
      </c>
      <c r="N95" s="41">
        <v>120848</v>
      </c>
      <c r="O95" s="41">
        <v>122205</v>
      </c>
      <c r="P95" s="41">
        <v>123817</v>
      </c>
      <c r="Q95" s="41">
        <v>125374</v>
      </c>
      <c r="R95" s="41">
        <v>126753</v>
      </c>
      <c r="S95" s="41">
        <v>127534</v>
      </c>
      <c r="T95" s="41">
        <v>128093</v>
      </c>
      <c r="U95" s="41">
        <v>128850</v>
      </c>
      <c r="V95" s="41">
        <v>129524</v>
      </c>
      <c r="W95" s="41">
        <v>130145</v>
      </c>
      <c r="X95" s="41">
        <v>130975</v>
      </c>
      <c r="Y95" s="41">
        <v>131718</v>
      </c>
      <c r="Z95" s="41">
        <v>132426</v>
      </c>
      <c r="AA95" s="41">
        <v>133082</v>
      </c>
      <c r="AB95" s="41">
        <v>133746</v>
      </c>
      <c r="AC95" s="41">
        <v>134399</v>
      </c>
      <c r="AD95" s="41">
        <v>135030</v>
      </c>
      <c r="AE95" s="41">
        <v>135669</v>
      </c>
      <c r="AF95" s="41">
        <v>136307</v>
      </c>
      <c r="AG95" s="41">
        <v>136979</v>
      </c>
      <c r="AH95" s="41">
        <v>137635</v>
      </c>
      <c r="AI95" s="41">
        <v>138301</v>
      </c>
      <c r="AJ95" s="41">
        <v>138964</v>
      </c>
      <c r="AK95" s="41">
        <v>139635</v>
      </c>
      <c r="AL95" s="41">
        <v>140324</v>
      </c>
      <c r="AM95" s="41">
        <v>140993</v>
      </c>
      <c r="AN95" s="41">
        <v>141668</v>
      </c>
      <c r="AO95" s="41">
        <v>142293</v>
      </c>
      <c r="AP95" s="41">
        <v>142915</v>
      </c>
      <c r="AQ95" s="41">
        <v>143544</v>
      </c>
      <c r="AR95" s="41">
        <v>144128</v>
      </c>
      <c r="AS95" s="41">
        <v>144694</v>
      </c>
    </row>
    <row r="96" spans="1:45">
      <c r="A96" s="38" t="s">
        <v>308</v>
      </c>
      <c r="B96" s="38" t="s">
        <v>309</v>
      </c>
      <c r="C96" s="41">
        <v>50302</v>
      </c>
      <c r="D96" s="41">
        <v>50509</v>
      </c>
      <c r="E96" s="41">
        <v>50447</v>
      </c>
      <c r="F96" s="41">
        <v>50508</v>
      </c>
      <c r="G96" s="41">
        <v>50548</v>
      </c>
      <c r="H96" s="41">
        <v>50869</v>
      </c>
      <c r="I96" s="41">
        <v>51011</v>
      </c>
      <c r="J96" s="41">
        <v>51254</v>
      </c>
      <c r="K96" s="41">
        <v>51527</v>
      </c>
      <c r="L96" s="41">
        <v>51789</v>
      </c>
      <c r="M96" s="41">
        <v>51938</v>
      </c>
      <c r="N96" s="41">
        <v>52312</v>
      </c>
      <c r="O96" s="41">
        <v>52691</v>
      </c>
      <c r="P96" s="41">
        <v>53145</v>
      </c>
      <c r="Q96" s="41">
        <v>53424</v>
      </c>
      <c r="R96" s="41">
        <v>53630</v>
      </c>
      <c r="S96" s="41">
        <v>53862</v>
      </c>
      <c r="T96" s="41">
        <v>54075</v>
      </c>
      <c r="U96" s="41">
        <v>54347</v>
      </c>
      <c r="V96" s="41">
        <v>54566</v>
      </c>
      <c r="W96" s="41">
        <v>54782</v>
      </c>
      <c r="X96" s="41">
        <v>55112</v>
      </c>
      <c r="Y96" s="41">
        <v>55433</v>
      </c>
      <c r="Z96" s="41">
        <v>55742</v>
      </c>
      <c r="AA96" s="41">
        <v>56041</v>
      </c>
      <c r="AB96" s="41">
        <v>56333</v>
      </c>
      <c r="AC96" s="41">
        <v>56662</v>
      </c>
      <c r="AD96" s="41">
        <v>56969</v>
      </c>
      <c r="AE96" s="41">
        <v>57273</v>
      </c>
      <c r="AF96" s="41">
        <v>57579</v>
      </c>
      <c r="AG96" s="41">
        <v>57891</v>
      </c>
      <c r="AH96" s="41">
        <v>58225</v>
      </c>
      <c r="AI96" s="41">
        <v>58554</v>
      </c>
      <c r="AJ96" s="41">
        <v>58872</v>
      </c>
      <c r="AK96" s="41">
        <v>59196</v>
      </c>
      <c r="AL96" s="41">
        <v>59519</v>
      </c>
      <c r="AM96" s="41">
        <v>59850</v>
      </c>
      <c r="AN96" s="41">
        <v>60175</v>
      </c>
      <c r="AO96" s="41">
        <v>60485</v>
      </c>
      <c r="AP96" s="41">
        <v>60798</v>
      </c>
      <c r="AQ96" s="41">
        <v>61116</v>
      </c>
      <c r="AR96" s="41">
        <v>61424</v>
      </c>
      <c r="AS96" s="41">
        <v>61724</v>
      </c>
    </row>
    <row r="97" spans="1:45">
      <c r="A97" s="38" t="s">
        <v>310</v>
      </c>
      <c r="B97" s="38" t="s">
        <v>311</v>
      </c>
      <c r="C97" s="41">
        <v>27180</v>
      </c>
      <c r="D97" s="41">
        <v>27257</v>
      </c>
      <c r="E97" s="41">
        <v>27216</v>
      </c>
      <c r="F97" s="41">
        <v>27403</v>
      </c>
      <c r="G97" s="41">
        <v>27654</v>
      </c>
      <c r="H97" s="41">
        <v>27891</v>
      </c>
      <c r="I97" s="41">
        <v>28241</v>
      </c>
      <c r="J97" s="41">
        <v>28651</v>
      </c>
      <c r="K97" s="41">
        <v>28838</v>
      </c>
      <c r="L97" s="41">
        <v>29202</v>
      </c>
      <c r="M97" s="41">
        <v>29736</v>
      </c>
      <c r="N97" s="41">
        <v>29933</v>
      </c>
      <c r="O97" s="41">
        <v>30279</v>
      </c>
      <c r="P97" s="41">
        <v>30527</v>
      </c>
      <c r="Q97" s="41">
        <v>30698</v>
      </c>
      <c r="R97" s="41">
        <v>30870</v>
      </c>
      <c r="S97" s="41">
        <v>31008</v>
      </c>
      <c r="T97" s="41">
        <v>31149</v>
      </c>
      <c r="U97" s="41">
        <v>31297</v>
      </c>
      <c r="V97" s="41">
        <v>31416</v>
      </c>
      <c r="W97" s="41">
        <v>31513</v>
      </c>
      <c r="X97" s="41">
        <v>31694</v>
      </c>
      <c r="Y97" s="41">
        <v>31876</v>
      </c>
      <c r="Z97" s="41">
        <v>32035</v>
      </c>
      <c r="AA97" s="41">
        <v>32195</v>
      </c>
      <c r="AB97" s="41">
        <v>32344</v>
      </c>
      <c r="AC97" s="41">
        <v>32505</v>
      </c>
      <c r="AD97" s="41">
        <v>32660</v>
      </c>
      <c r="AE97" s="41">
        <v>32810</v>
      </c>
      <c r="AF97" s="41">
        <v>32951</v>
      </c>
      <c r="AG97" s="41">
        <v>33087</v>
      </c>
      <c r="AH97" s="41">
        <v>33218</v>
      </c>
      <c r="AI97" s="41">
        <v>33353</v>
      </c>
      <c r="AJ97" s="41">
        <v>33475</v>
      </c>
      <c r="AK97" s="41">
        <v>33594</v>
      </c>
      <c r="AL97" s="41">
        <v>33703</v>
      </c>
      <c r="AM97" s="41">
        <v>33815</v>
      </c>
      <c r="AN97" s="41">
        <v>33919</v>
      </c>
      <c r="AO97" s="41">
        <v>34017</v>
      </c>
      <c r="AP97" s="41">
        <v>34117</v>
      </c>
      <c r="AQ97" s="41">
        <v>34226</v>
      </c>
      <c r="AR97" s="41">
        <v>34337</v>
      </c>
      <c r="AS97" s="41">
        <v>34445</v>
      </c>
    </row>
    <row r="98" spans="1:45">
      <c r="A98" s="38" t="s">
        <v>312</v>
      </c>
      <c r="B98" s="38" t="s">
        <v>313</v>
      </c>
      <c r="C98" s="41">
        <v>45866</v>
      </c>
      <c r="D98" s="41">
        <v>46102</v>
      </c>
      <c r="E98" s="41">
        <v>46165</v>
      </c>
      <c r="F98" s="41">
        <v>46318</v>
      </c>
      <c r="G98" s="41">
        <v>46513</v>
      </c>
      <c r="H98" s="41">
        <v>46613</v>
      </c>
      <c r="I98" s="41">
        <v>46892</v>
      </c>
      <c r="J98" s="41">
        <v>47234</v>
      </c>
      <c r="K98" s="41">
        <v>47562</v>
      </c>
      <c r="L98" s="41">
        <v>47977</v>
      </c>
      <c r="M98" s="41">
        <v>48447</v>
      </c>
      <c r="N98" s="41">
        <v>48829</v>
      </c>
      <c r="O98" s="41">
        <v>49101</v>
      </c>
      <c r="P98" s="41">
        <v>49648</v>
      </c>
      <c r="Q98" s="41">
        <v>49963</v>
      </c>
      <c r="R98" s="41">
        <v>50377</v>
      </c>
      <c r="S98" s="41">
        <v>50657</v>
      </c>
      <c r="T98" s="41">
        <v>50872</v>
      </c>
      <c r="U98" s="41">
        <v>51196</v>
      </c>
      <c r="V98" s="41">
        <v>51459</v>
      </c>
      <c r="W98" s="41">
        <v>51701</v>
      </c>
      <c r="X98" s="41">
        <v>51941</v>
      </c>
      <c r="Y98" s="41">
        <v>52172</v>
      </c>
      <c r="Z98" s="41">
        <v>52412</v>
      </c>
      <c r="AA98" s="41">
        <v>52619</v>
      </c>
      <c r="AB98" s="41">
        <v>52826</v>
      </c>
      <c r="AC98" s="41">
        <v>53047</v>
      </c>
      <c r="AD98" s="41">
        <v>53266</v>
      </c>
      <c r="AE98" s="41">
        <v>53496</v>
      </c>
      <c r="AF98" s="41">
        <v>53710</v>
      </c>
      <c r="AG98" s="41">
        <v>53957</v>
      </c>
      <c r="AH98" s="41">
        <v>54218</v>
      </c>
      <c r="AI98" s="41">
        <v>54481</v>
      </c>
      <c r="AJ98" s="41">
        <v>54740</v>
      </c>
      <c r="AK98" s="41">
        <v>54998</v>
      </c>
      <c r="AL98" s="41">
        <v>55277</v>
      </c>
      <c r="AM98" s="41">
        <v>55551</v>
      </c>
      <c r="AN98" s="41">
        <v>55826</v>
      </c>
      <c r="AO98" s="41">
        <v>56091</v>
      </c>
      <c r="AP98" s="41">
        <v>56351</v>
      </c>
      <c r="AQ98" s="41">
        <v>56625</v>
      </c>
      <c r="AR98" s="41">
        <v>56893</v>
      </c>
      <c r="AS98" s="41">
        <v>57138</v>
      </c>
    </row>
    <row r="99" spans="1:45">
      <c r="A99" s="38" t="s">
        <v>314</v>
      </c>
      <c r="B99" s="38" t="s">
        <v>315</v>
      </c>
      <c r="C99" s="41">
        <v>46257</v>
      </c>
      <c r="D99" s="41">
        <v>46147</v>
      </c>
      <c r="E99" s="41">
        <v>46369</v>
      </c>
      <c r="F99" s="41">
        <v>46325</v>
      </c>
      <c r="G99" s="41">
        <v>47113</v>
      </c>
      <c r="H99" s="41">
        <v>47228</v>
      </c>
      <c r="I99" s="41">
        <v>47694</v>
      </c>
      <c r="J99" s="41">
        <v>47686</v>
      </c>
      <c r="K99" s="41">
        <v>47741</v>
      </c>
      <c r="L99" s="41">
        <v>48019</v>
      </c>
      <c r="M99" s="41">
        <v>48748</v>
      </c>
      <c r="N99" s="41">
        <v>49379</v>
      </c>
      <c r="O99" s="41">
        <v>50092</v>
      </c>
      <c r="P99" s="41">
        <v>50739</v>
      </c>
      <c r="Q99" s="41">
        <v>51685</v>
      </c>
      <c r="R99" s="41">
        <v>52491</v>
      </c>
      <c r="S99" s="41">
        <v>53085</v>
      </c>
      <c r="T99" s="41">
        <v>53764</v>
      </c>
      <c r="U99" s="41">
        <v>54118</v>
      </c>
      <c r="V99" s="41">
        <v>54555</v>
      </c>
      <c r="W99" s="41">
        <v>54960</v>
      </c>
      <c r="X99" s="41">
        <v>55359</v>
      </c>
      <c r="Y99" s="41">
        <v>55731</v>
      </c>
      <c r="Z99" s="41">
        <v>56143</v>
      </c>
      <c r="AA99" s="41">
        <v>56570</v>
      </c>
      <c r="AB99" s="41">
        <v>57018</v>
      </c>
      <c r="AC99" s="41">
        <v>57493</v>
      </c>
      <c r="AD99" s="41">
        <v>57960</v>
      </c>
      <c r="AE99" s="41">
        <v>58396</v>
      </c>
      <c r="AF99" s="41">
        <v>58826</v>
      </c>
      <c r="AG99" s="41">
        <v>59279</v>
      </c>
      <c r="AH99" s="41">
        <v>59739</v>
      </c>
      <c r="AI99" s="41">
        <v>60147</v>
      </c>
      <c r="AJ99" s="41">
        <v>60537</v>
      </c>
      <c r="AK99" s="41">
        <v>60938</v>
      </c>
      <c r="AL99" s="41">
        <v>61358</v>
      </c>
      <c r="AM99" s="41">
        <v>61747</v>
      </c>
      <c r="AN99" s="41">
        <v>62105</v>
      </c>
      <c r="AO99" s="41">
        <v>62437</v>
      </c>
      <c r="AP99" s="41">
        <v>62776</v>
      </c>
      <c r="AQ99" s="41">
        <v>63130</v>
      </c>
      <c r="AR99" s="41">
        <v>63469</v>
      </c>
      <c r="AS99" s="41">
        <v>63782</v>
      </c>
    </row>
    <row r="100" spans="1:45">
      <c r="A100" s="38" t="s">
        <v>316</v>
      </c>
      <c r="B100" s="38" t="s">
        <v>317</v>
      </c>
      <c r="C100" s="41">
        <v>43414</v>
      </c>
      <c r="D100" s="41">
        <v>43672</v>
      </c>
      <c r="E100" s="41">
        <v>43892</v>
      </c>
      <c r="F100" s="41">
        <v>43991</v>
      </c>
      <c r="G100" s="41">
        <v>44002</v>
      </c>
      <c r="H100" s="41">
        <v>44354</v>
      </c>
      <c r="I100" s="41">
        <v>44813</v>
      </c>
      <c r="J100" s="41">
        <v>45297</v>
      </c>
      <c r="K100" s="41">
        <v>45585</v>
      </c>
      <c r="L100" s="41">
        <v>45902</v>
      </c>
      <c r="M100" s="41">
        <v>46673</v>
      </c>
      <c r="N100" s="41">
        <v>47079</v>
      </c>
      <c r="O100" s="41">
        <v>47502</v>
      </c>
      <c r="P100" s="41">
        <v>47968</v>
      </c>
      <c r="Q100" s="41">
        <v>48326</v>
      </c>
      <c r="R100" s="41">
        <v>48684</v>
      </c>
      <c r="S100" s="41">
        <v>49038</v>
      </c>
      <c r="T100" s="41">
        <v>49239</v>
      </c>
      <c r="U100" s="41">
        <v>49571</v>
      </c>
      <c r="V100" s="41">
        <v>49835</v>
      </c>
      <c r="W100" s="41">
        <v>50058</v>
      </c>
      <c r="X100" s="41">
        <v>50323</v>
      </c>
      <c r="Y100" s="41">
        <v>50574</v>
      </c>
      <c r="Z100" s="41">
        <v>50822</v>
      </c>
      <c r="AA100" s="41">
        <v>51048</v>
      </c>
      <c r="AB100" s="41">
        <v>51268</v>
      </c>
      <c r="AC100" s="41">
        <v>51507</v>
      </c>
      <c r="AD100" s="41">
        <v>51729</v>
      </c>
      <c r="AE100" s="41">
        <v>51955</v>
      </c>
      <c r="AF100" s="41">
        <v>52165</v>
      </c>
      <c r="AG100" s="41">
        <v>52379</v>
      </c>
      <c r="AH100" s="41">
        <v>52595</v>
      </c>
      <c r="AI100" s="41">
        <v>52805</v>
      </c>
      <c r="AJ100" s="41">
        <v>53012</v>
      </c>
      <c r="AK100" s="41">
        <v>53214</v>
      </c>
      <c r="AL100" s="41">
        <v>53416</v>
      </c>
      <c r="AM100" s="41">
        <v>53606</v>
      </c>
      <c r="AN100" s="41">
        <v>53799</v>
      </c>
      <c r="AO100" s="41">
        <v>53995</v>
      </c>
      <c r="AP100" s="41">
        <v>54189</v>
      </c>
      <c r="AQ100" s="41">
        <v>54399</v>
      </c>
      <c r="AR100" s="41">
        <v>54596</v>
      </c>
      <c r="AS100" s="41">
        <v>54783</v>
      </c>
    </row>
    <row r="101" spans="1:45">
      <c r="A101" s="38" t="s">
        <v>318</v>
      </c>
      <c r="B101" s="38" t="s">
        <v>319</v>
      </c>
      <c r="C101" s="41">
        <v>35055</v>
      </c>
      <c r="D101" s="41">
        <v>35503</v>
      </c>
      <c r="E101" s="41">
        <v>36171</v>
      </c>
      <c r="F101" s="41">
        <v>36883</v>
      </c>
      <c r="G101" s="41">
        <v>37374</v>
      </c>
      <c r="H101" s="41">
        <v>38129</v>
      </c>
      <c r="I101" s="41">
        <v>38974</v>
      </c>
      <c r="J101" s="41">
        <v>39361</v>
      </c>
      <c r="K101" s="41">
        <v>39776</v>
      </c>
      <c r="L101" s="41">
        <v>40163</v>
      </c>
      <c r="M101" s="41">
        <v>40531</v>
      </c>
      <c r="N101" s="41">
        <v>40759</v>
      </c>
      <c r="O101" s="41">
        <v>41045</v>
      </c>
      <c r="P101" s="41">
        <v>41501</v>
      </c>
      <c r="Q101" s="41">
        <v>41946</v>
      </c>
      <c r="R101" s="41">
        <v>42316</v>
      </c>
      <c r="S101" s="41">
        <v>42763</v>
      </c>
      <c r="T101" s="41">
        <v>43135</v>
      </c>
      <c r="U101" s="41">
        <v>43680</v>
      </c>
      <c r="V101" s="41">
        <v>44139</v>
      </c>
      <c r="W101" s="41">
        <v>44601</v>
      </c>
      <c r="X101" s="41">
        <v>45091</v>
      </c>
      <c r="Y101" s="41">
        <v>45590</v>
      </c>
      <c r="Z101" s="41">
        <v>46063</v>
      </c>
      <c r="AA101" s="41">
        <v>46482</v>
      </c>
      <c r="AB101" s="41">
        <v>46907</v>
      </c>
      <c r="AC101" s="41">
        <v>47331</v>
      </c>
      <c r="AD101" s="41">
        <v>47760</v>
      </c>
      <c r="AE101" s="41">
        <v>48168</v>
      </c>
      <c r="AF101" s="41">
        <v>48560</v>
      </c>
      <c r="AG101" s="41">
        <v>48959</v>
      </c>
      <c r="AH101" s="41">
        <v>49364</v>
      </c>
      <c r="AI101" s="41">
        <v>49765</v>
      </c>
      <c r="AJ101" s="41">
        <v>50163</v>
      </c>
      <c r="AK101" s="41">
        <v>50548</v>
      </c>
      <c r="AL101" s="41">
        <v>50941</v>
      </c>
      <c r="AM101" s="41">
        <v>51321</v>
      </c>
      <c r="AN101" s="41">
        <v>51695</v>
      </c>
      <c r="AO101" s="41">
        <v>52054</v>
      </c>
      <c r="AP101" s="41">
        <v>52404</v>
      </c>
      <c r="AQ101" s="41">
        <v>52763</v>
      </c>
      <c r="AR101" s="41">
        <v>53106</v>
      </c>
      <c r="AS101" s="41">
        <v>53429</v>
      </c>
    </row>
    <row r="102" spans="1:45">
      <c r="A102" s="38" t="s">
        <v>320</v>
      </c>
      <c r="B102" s="38" t="s">
        <v>321</v>
      </c>
      <c r="C102" s="41">
        <v>40960</v>
      </c>
      <c r="D102" s="41">
        <v>41472</v>
      </c>
      <c r="E102" s="41">
        <v>42055</v>
      </c>
      <c r="F102" s="41">
        <v>42696</v>
      </c>
      <c r="G102" s="41">
        <v>43370</v>
      </c>
      <c r="H102" s="41">
        <v>43921</v>
      </c>
      <c r="I102" s="41">
        <v>44622</v>
      </c>
      <c r="J102" s="41">
        <v>45147</v>
      </c>
      <c r="K102" s="41">
        <v>45657</v>
      </c>
      <c r="L102" s="41">
        <v>46255</v>
      </c>
      <c r="M102" s="41">
        <v>47331</v>
      </c>
      <c r="N102" s="41">
        <v>47721</v>
      </c>
      <c r="O102" s="41">
        <v>48039</v>
      </c>
      <c r="P102" s="41">
        <v>48523</v>
      </c>
      <c r="Q102" s="41">
        <v>48931</v>
      </c>
      <c r="R102" s="41">
        <v>49597</v>
      </c>
      <c r="S102" s="41">
        <v>50109</v>
      </c>
      <c r="T102" s="41">
        <v>50780</v>
      </c>
      <c r="U102" s="41">
        <v>51416</v>
      </c>
      <c r="V102" s="41">
        <v>51987</v>
      </c>
      <c r="W102" s="41">
        <v>52567</v>
      </c>
      <c r="X102" s="41">
        <v>53201</v>
      </c>
      <c r="Y102" s="41">
        <v>53787</v>
      </c>
      <c r="Z102" s="41">
        <v>54368</v>
      </c>
      <c r="AA102" s="41">
        <v>54909</v>
      </c>
      <c r="AB102" s="41">
        <v>55479</v>
      </c>
      <c r="AC102" s="41">
        <v>56063</v>
      </c>
      <c r="AD102" s="41">
        <v>56617</v>
      </c>
      <c r="AE102" s="41">
        <v>57167</v>
      </c>
      <c r="AF102" s="41">
        <v>57678</v>
      </c>
      <c r="AG102" s="41">
        <v>58203</v>
      </c>
      <c r="AH102" s="41">
        <v>58724</v>
      </c>
      <c r="AI102" s="41">
        <v>59235</v>
      </c>
      <c r="AJ102" s="41">
        <v>59750</v>
      </c>
      <c r="AK102" s="41">
        <v>60240</v>
      </c>
      <c r="AL102" s="41">
        <v>60736</v>
      </c>
      <c r="AM102" s="41">
        <v>61224</v>
      </c>
      <c r="AN102" s="41">
        <v>61706</v>
      </c>
      <c r="AO102" s="41">
        <v>62181</v>
      </c>
      <c r="AP102" s="41">
        <v>62639</v>
      </c>
      <c r="AQ102" s="41">
        <v>63097</v>
      </c>
      <c r="AR102" s="41">
        <v>63544</v>
      </c>
      <c r="AS102" s="41">
        <v>63963</v>
      </c>
    </row>
    <row r="103" spans="1:45">
      <c r="A103" s="38" t="s">
        <v>322</v>
      </c>
      <c r="B103" s="38" t="s">
        <v>323</v>
      </c>
      <c r="C103" s="41">
        <v>32420</v>
      </c>
      <c r="D103" s="41">
        <v>32530</v>
      </c>
      <c r="E103" s="41">
        <v>32788</v>
      </c>
      <c r="F103" s="41">
        <v>33008</v>
      </c>
      <c r="G103" s="41">
        <v>33265</v>
      </c>
      <c r="H103" s="41">
        <v>33462</v>
      </c>
      <c r="I103" s="41">
        <v>33643</v>
      </c>
      <c r="J103" s="41">
        <v>33802</v>
      </c>
      <c r="K103" s="41">
        <v>33880</v>
      </c>
      <c r="L103" s="41">
        <v>33963</v>
      </c>
      <c r="M103" s="41">
        <v>34215</v>
      </c>
      <c r="N103" s="41">
        <v>34453</v>
      </c>
      <c r="O103" s="41">
        <v>34655</v>
      </c>
      <c r="P103" s="41">
        <v>35010</v>
      </c>
      <c r="Q103" s="41">
        <v>35400</v>
      </c>
      <c r="R103" s="41">
        <v>35805</v>
      </c>
      <c r="S103" s="41">
        <v>36032</v>
      </c>
      <c r="T103" s="41">
        <v>36320</v>
      </c>
      <c r="U103" s="41">
        <v>36689</v>
      </c>
      <c r="V103" s="41">
        <v>37015</v>
      </c>
      <c r="W103" s="41">
        <v>37313</v>
      </c>
      <c r="X103" s="41">
        <v>37671</v>
      </c>
      <c r="Y103" s="41">
        <v>38044</v>
      </c>
      <c r="Z103" s="41">
        <v>38406</v>
      </c>
      <c r="AA103" s="41">
        <v>38744</v>
      </c>
      <c r="AB103" s="41">
        <v>39065</v>
      </c>
      <c r="AC103" s="41">
        <v>39378</v>
      </c>
      <c r="AD103" s="41">
        <v>39703</v>
      </c>
      <c r="AE103" s="41">
        <v>40013</v>
      </c>
      <c r="AF103" s="41">
        <v>40315</v>
      </c>
      <c r="AG103" s="41">
        <v>40613</v>
      </c>
      <c r="AH103" s="41">
        <v>40895</v>
      </c>
      <c r="AI103" s="41">
        <v>41176</v>
      </c>
      <c r="AJ103" s="41">
        <v>41437</v>
      </c>
      <c r="AK103" s="41">
        <v>41710</v>
      </c>
      <c r="AL103" s="41">
        <v>41989</v>
      </c>
      <c r="AM103" s="41">
        <v>42253</v>
      </c>
      <c r="AN103" s="41">
        <v>42509</v>
      </c>
      <c r="AO103" s="41">
        <v>42760</v>
      </c>
      <c r="AP103" s="41">
        <v>43011</v>
      </c>
      <c r="AQ103" s="41">
        <v>43269</v>
      </c>
      <c r="AR103" s="41">
        <v>43521</v>
      </c>
      <c r="AS103" s="41">
        <v>43750</v>
      </c>
    </row>
    <row r="104" spans="1:45">
      <c r="A104" s="38" t="s">
        <v>324</v>
      </c>
      <c r="B104" s="38" t="s">
        <v>325</v>
      </c>
      <c r="C104" s="41">
        <v>32199</v>
      </c>
      <c r="D104" s="41">
        <v>32513</v>
      </c>
      <c r="E104" s="41">
        <v>32964</v>
      </c>
      <c r="F104" s="41">
        <v>33312</v>
      </c>
      <c r="G104" s="41">
        <v>33525</v>
      </c>
      <c r="H104" s="41">
        <v>33621</v>
      </c>
      <c r="I104" s="41">
        <v>33924</v>
      </c>
      <c r="J104" s="41">
        <v>34057</v>
      </c>
      <c r="K104" s="41">
        <v>34246</v>
      </c>
      <c r="L104" s="41">
        <v>34397</v>
      </c>
      <c r="M104" s="41">
        <v>34976</v>
      </c>
      <c r="N104" s="41">
        <v>35097</v>
      </c>
      <c r="O104" s="41">
        <v>35442</v>
      </c>
      <c r="P104" s="41">
        <v>35835</v>
      </c>
      <c r="Q104" s="41">
        <v>36137</v>
      </c>
      <c r="R104" s="41">
        <v>36563</v>
      </c>
      <c r="S104" s="41">
        <v>37085</v>
      </c>
      <c r="T104" s="41">
        <v>37660</v>
      </c>
      <c r="U104" s="41">
        <v>38237</v>
      </c>
      <c r="V104" s="41">
        <v>38736</v>
      </c>
      <c r="W104" s="41">
        <v>39234</v>
      </c>
      <c r="X104" s="41">
        <v>39710</v>
      </c>
      <c r="Y104" s="41">
        <v>40181</v>
      </c>
      <c r="Z104" s="41">
        <v>40631</v>
      </c>
      <c r="AA104" s="41">
        <v>41049</v>
      </c>
      <c r="AB104" s="41">
        <v>41456</v>
      </c>
      <c r="AC104" s="41">
        <v>41883</v>
      </c>
      <c r="AD104" s="41">
        <v>42275</v>
      </c>
      <c r="AE104" s="41">
        <v>42651</v>
      </c>
      <c r="AF104" s="41">
        <v>43016</v>
      </c>
      <c r="AG104" s="41">
        <v>43356</v>
      </c>
      <c r="AH104" s="41">
        <v>43690</v>
      </c>
      <c r="AI104" s="41">
        <v>44018</v>
      </c>
      <c r="AJ104" s="41">
        <v>44331</v>
      </c>
      <c r="AK104" s="41">
        <v>44640</v>
      </c>
      <c r="AL104" s="41">
        <v>44948</v>
      </c>
      <c r="AM104" s="41">
        <v>45254</v>
      </c>
      <c r="AN104" s="41">
        <v>45548</v>
      </c>
      <c r="AO104" s="41">
        <v>45827</v>
      </c>
      <c r="AP104" s="41">
        <v>46105</v>
      </c>
      <c r="AQ104" s="41">
        <v>46385</v>
      </c>
      <c r="AR104" s="41">
        <v>46661</v>
      </c>
      <c r="AS104" s="41">
        <v>46913</v>
      </c>
    </row>
    <row r="105" spans="1:45">
      <c r="A105" s="38" t="s">
        <v>326</v>
      </c>
      <c r="B105" s="38" t="s">
        <v>327</v>
      </c>
      <c r="C105" s="41">
        <v>83621</v>
      </c>
      <c r="D105" s="41">
        <v>83828</v>
      </c>
      <c r="E105" s="41">
        <v>84075</v>
      </c>
      <c r="F105" s="41">
        <v>84223</v>
      </c>
      <c r="G105" s="41">
        <v>84625</v>
      </c>
      <c r="H105" s="41">
        <v>85037</v>
      </c>
      <c r="I105" s="41">
        <v>85672</v>
      </c>
      <c r="J105" s="41">
        <v>86221</v>
      </c>
      <c r="K105" s="41">
        <v>86974</v>
      </c>
      <c r="L105" s="41">
        <v>87639</v>
      </c>
      <c r="M105" s="41">
        <v>88579</v>
      </c>
      <c r="N105" s="41">
        <v>88673</v>
      </c>
      <c r="O105" s="41">
        <v>88778</v>
      </c>
      <c r="P105" s="41">
        <v>89070</v>
      </c>
      <c r="Q105" s="41">
        <v>89330</v>
      </c>
      <c r="R105" s="41">
        <v>89767</v>
      </c>
      <c r="S105" s="41">
        <v>89899</v>
      </c>
      <c r="T105" s="41">
        <v>90011</v>
      </c>
      <c r="U105" s="41">
        <v>90264</v>
      </c>
      <c r="V105" s="41">
        <v>90408</v>
      </c>
      <c r="W105" s="41">
        <v>90555</v>
      </c>
      <c r="X105" s="41">
        <v>90757</v>
      </c>
      <c r="Y105" s="41">
        <v>90923</v>
      </c>
      <c r="Z105" s="41">
        <v>91082</v>
      </c>
      <c r="AA105" s="41">
        <v>91243</v>
      </c>
      <c r="AB105" s="41">
        <v>91409</v>
      </c>
      <c r="AC105" s="41">
        <v>91607</v>
      </c>
      <c r="AD105" s="41">
        <v>91776</v>
      </c>
      <c r="AE105" s="41">
        <v>91959</v>
      </c>
      <c r="AF105" s="41">
        <v>92151</v>
      </c>
      <c r="AG105" s="41">
        <v>92363</v>
      </c>
      <c r="AH105" s="41">
        <v>92577</v>
      </c>
      <c r="AI105" s="41">
        <v>92803</v>
      </c>
      <c r="AJ105" s="41">
        <v>93018</v>
      </c>
      <c r="AK105" s="41">
        <v>93250</v>
      </c>
      <c r="AL105" s="41">
        <v>93502</v>
      </c>
      <c r="AM105" s="41">
        <v>93748</v>
      </c>
      <c r="AN105" s="41">
        <v>93973</v>
      </c>
      <c r="AO105" s="41">
        <v>94175</v>
      </c>
      <c r="AP105" s="41">
        <v>94379</v>
      </c>
      <c r="AQ105" s="41">
        <v>94607</v>
      </c>
      <c r="AR105" s="41">
        <v>94825</v>
      </c>
      <c r="AS105" s="41">
        <v>94979</v>
      </c>
    </row>
    <row r="106" spans="1:45">
      <c r="A106" s="38" t="s">
        <v>328</v>
      </c>
      <c r="B106" s="38" t="s">
        <v>329</v>
      </c>
      <c r="C106" s="41">
        <v>47264</v>
      </c>
      <c r="D106" s="41">
        <v>47466</v>
      </c>
      <c r="E106" s="41">
        <v>47520</v>
      </c>
      <c r="F106" s="41">
        <v>47659</v>
      </c>
      <c r="G106" s="41">
        <v>47808</v>
      </c>
      <c r="H106" s="41">
        <v>47917</v>
      </c>
      <c r="I106" s="41">
        <v>48003</v>
      </c>
      <c r="J106" s="41">
        <v>48195</v>
      </c>
      <c r="K106" s="41">
        <v>48407</v>
      </c>
      <c r="L106" s="41">
        <v>48636</v>
      </c>
      <c r="M106" s="41">
        <v>49192</v>
      </c>
      <c r="N106" s="41">
        <v>49403</v>
      </c>
      <c r="O106" s="41">
        <v>49820</v>
      </c>
      <c r="P106" s="41">
        <v>50321</v>
      </c>
      <c r="Q106" s="41">
        <v>50537</v>
      </c>
      <c r="R106" s="41">
        <v>50909</v>
      </c>
      <c r="S106" s="41">
        <v>51216</v>
      </c>
      <c r="T106" s="41">
        <v>51614</v>
      </c>
      <c r="U106" s="41">
        <v>52110</v>
      </c>
      <c r="V106" s="41">
        <v>52487</v>
      </c>
      <c r="W106" s="41">
        <v>52871</v>
      </c>
      <c r="X106" s="41">
        <v>53256</v>
      </c>
      <c r="Y106" s="41">
        <v>53637</v>
      </c>
      <c r="Z106" s="41">
        <v>54016</v>
      </c>
      <c r="AA106" s="41">
        <v>54350</v>
      </c>
      <c r="AB106" s="41">
        <v>54675</v>
      </c>
      <c r="AC106" s="41">
        <v>55028</v>
      </c>
      <c r="AD106" s="41">
        <v>55373</v>
      </c>
      <c r="AE106" s="41">
        <v>55714</v>
      </c>
      <c r="AF106" s="41">
        <v>56051</v>
      </c>
      <c r="AG106" s="41">
        <v>56393</v>
      </c>
      <c r="AH106" s="41">
        <v>56736</v>
      </c>
      <c r="AI106" s="41">
        <v>57060</v>
      </c>
      <c r="AJ106" s="41">
        <v>57382</v>
      </c>
      <c r="AK106" s="41">
        <v>57718</v>
      </c>
      <c r="AL106" s="41">
        <v>58049</v>
      </c>
      <c r="AM106" s="41">
        <v>58368</v>
      </c>
      <c r="AN106" s="41">
        <v>58679</v>
      </c>
      <c r="AO106" s="41">
        <v>58990</v>
      </c>
      <c r="AP106" s="41">
        <v>59297</v>
      </c>
      <c r="AQ106" s="41">
        <v>59624</v>
      </c>
      <c r="AR106" s="41">
        <v>59924</v>
      </c>
      <c r="AS106" s="41">
        <v>60206</v>
      </c>
    </row>
    <row r="107" spans="1:45">
      <c r="A107" s="38" t="s">
        <v>330</v>
      </c>
      <c r="B107" s="38" t="s">
        <v>331</v>
      </c>
      <c r="C107" s="41">
        <v>45334</v>
      </c>
      <c r="D107" s="41">
        <v>45534</v>
      </c>
      <c r="E107" s="41">
        <v>45832</v>
      </c>
      <c r="F107" s="41">
        <v>46250</v>
      </c>
      <c r="G107" s="41">
        <v>46715</v>
      </c>
      <c r="H107" s="41">
        <v>47340</v>
      </c>
      <c r="I107" s="41">
        <v>47949</v>
      </c>
      <c r="J107" s="41">
        <v>48440</v>
      </c>
      <c r="K107" s="41">
        <v>48949</v>
      </c>
      <c r="L107" s="41">
        <v>49381</v>
      </c>
      <c r="M107" s="41">
        <v>50025</v>
      </c>
      <c r="N107" s="41">
        <v>50643</v>
      </c>
      <c r="O107" s="41">
        <v>51160</v>
      </c>
      <c r="P107" s="41">
        <v>51705</v>
      </c>
      <c r="Q107" s="41">
        <v>52294</v>
      </c>
      <c r="R107" s="41">
        <v>52677</v>
      </c>
      <c r="S107" s="41">
        <v>53038</v>
      </c>
      <c r="T107" s="41">
        <v>53236</v>
      </c>
      <c r="U107" s="41">
        <v>53644</v>
      </c>
      <c r="V107" s="41">
        <v>53941</v>
      </c>
      <c r="W107" s="41">
        <v>54220</v>
      </c>
      <c r="X107" s="41">
        <v>54614</v>
      </c>
      <c r="Y107" s="41">
        <v>55006</v>
      </c>
      <c r="Z107" s="41">
        <v>55407</v>
      </c>
      <c r="AA107" s="41">
        <v>55771</v>
      </c>
      <c r="AB107" s="41">
        <v>56150</v>
      </c>
      <c r="AC107" s="41">
        <v>56521</v>
      </c>
      <c r="AD107" s="41">
        <v>56914</v>
      </c>
      <c r="AE107" s="41">
        <v>57295</v>
      </c>
      <c r="AF107" s="41">
        <v>57660</v>
      </c>
      <c r="AG107" s="41">
        <v>58043</v>
      </c>
      <c r="AH107" s="41">
        <v>58438</v>
      </c>
      <c r="AI107" s="41">
        <v>58837</v>
      </c>
      <c r="AJ107" s="41">
        <v>59204</v>
      </c>
      <c r="AK107" s="41">
        <v>59570</v>
      </c>
      <c r="AL107" s="41">
        <v>59956</v>
      </c>
      <c r="AM107" s="41">
        <v>60343</v>
      </c>
      <c r="AN107" s="41">
        <v>60731</v>
      </c>
      <c r="AO107" s="41">
        <v>61096</v>
      </c>
      <c r="AP107" s="41">
        <v>61451</v>
      </c>
      <c r="AQ107" s="41">
        <v>61815</v>
      </c>
      <c r="AR107" s="41">
        <v>62170</v>
      </c>
      <c r="AS107" s="41">
        <v>62501</v>
      </c>
    </row>
    <row r="108" spans="1:45">
      <c r="A108" s="38" t="s">
        <v>332</v>
      </c>
      <c r="B108" s="38" t="s">
        <v>333</v>
      </c>
      <c r="C108" s="41">
        <v>31186</v>
      </c>
      <c r="D108" s="41">
        <v>31443</v>
      </c>
      <c r="E108" s="41">
        <v>31955</v>
      </c>
      <c r="F108" s="41">
        <v>32299</v>
      </c>
      <c r="G108" s="41">
        <v>32642</v>
      </c>
      <c r="H108" s="41">
        <v>33125</v>
      </c>
      <c r="I108" s="41">
        <v>33570</v>
      </c>
      <c r="J108" s="41">
        <v>34118</v>
      </c>
      <c r="K108" s="41">
        <v>34341</v>
      </c>
      <c r="L108" s="41">
        <v>34527</v>
      </c>
      <c r="M108" s="41">
        <v>35224</v>
      </c>
      <c r="N108" s="41">
        <v>35576</v>
      </c>
      <c r="O108" s="41">
        <v>35819</v>
      </c>
      <c r="P108" s="41">
        <v>36291</v>
      </c>
      <c r="Q108" s="41">
        <v>36626</v>
      </c>
      <c r="R108" s="41">
        <v>36997</v>
      </c>
      <c r="S108" s="41">
        <v>37115</v>
      </c>
      <c r="T108" s="41">
        <v>37148</v>
      </c>
      <c r="U108" s="41">
        <v>37282</v>
      </c>
      <c r="V108" s="41">
        <v>37398</v>
      </c>
      <c r="W108" s="41">
        <v>37485</v>
      </c>
      <c r="X108" s="41">
        <v>37585</v>
      </c>
      <c r="Y108" s="41">
        <v>37674</v>
      </c>
      <c r="Z108" s="41">
        <v>37788</v>
      </c>
      <c r="AA108" s="41">
        <v>37897</v>
      </c>
      <c r="AB108" s="41">
        <v>38002</v>
      </c>
      <c r="AC108" s="41">
        <v>38103</v>
      </c>
      <c r="AD108" s="41">
        <v>38197</v>
      </c>
      <c r="AE108" s="41">
        <v>38306</v>
      </c>
      <c r="AF108" s="41">
        <v>38418</v>
      </c>
      <c r="AG108" s="41">
        <v>38516</v>
      </c>
      <c r="AH108" s="41">
        <v>38611</v>
      </c>
      <c r="AI108" s="41">
        <v>38703</v>
      </c>
      <c r="AJ108" s="41">
        <v>38792</v>
      </c>
      <c r="AK108" s="41">
        <v>38883</v>
      </c>
      <c r="AL108" s="41">
        <v>38965</v>
      </c>
      <c r="AM108" s="41">
        <v>39046</v>
      </c>
      <c r="AN108" s="41">
        <v>39124</v>
      </c>
      <c r="AO108" s="41">
        <v>39196</v>
      </c>
      <c r="AP108" s="41">
        <v>39273</v>
      </c>
      <c r="AQ108" s="41">
        <v>39357</v>
      </c>
      <c r="AR108" s="41">
        <v>39436</v>
      </c>
      <c r="AS108" s="41">
        <v>39499</v>
      </c>
    </row>
    <row r="109" spans="1:45">
      <c r="A109" s="38" t="s">
        <v>334</v>
      </c>
      <c r="B109" s="38" t="s">
        <v>335</v>
      </c>
      <c r="C109" s="41">
        <v>38068</v>
      </c>
      <c r="D109" s="41">
        <v>38007</v>
      </c>
      <c r="E109" s="41">
        <v>38034</v>
      </c>
      <c r="F109" s="41">
        <v>38113</v>
      </c>
      <c r="G109" s="41">
        <v>38412</v>
      </c>
      <c r="H109" s="41">
        <v>38673</v>
      </c>
      <c r="I109" s="41">
        <v>38944</v>
      </c>
      <c r="J109" s="41">
        <v>39285</v>
      </c>
      <c r="K109" s="41">
        <v>39620</v>
      </c>
      <c r="L109" s="41">
        <v>39891</v>
      </c>
      <c r="M109" s="41">
        <v>40216</v>
      </c>
      <c r="N109" s="41">
        <v>40563</v>
      </c>
      <c r="O109" s="41">
        <v>40912</v>
      </c>
      <c r="P109" s="41">
        <v>41430</v>
      </c>
      <c r="Q109" s="41">
        <v>41837</v>
      </c>
      <c r="R109" s="41">
        <v>42116</v>
      </c>
      <c r="S109" s="41">
        <v>42139</v>
      </c>
      <c r="T109" s="41">
        <v>42255</v>
      </c>
      <c r="U109" s="41">
        <v>42389</v>
      </c>
      <c r="V109" s="41">
        <v>42478</v>
      </c>
      <c r="W109" s="41">
        <v>42561</v>
      </c>
      <c r="X109" s="41">
        <v>42701</v>
      </c>
      <c r="Y109" s="41">
        <v>42842</v>
      </c>
      <c r="Z109" s="41">
        <v>42972</v>
      </c>
      <c r="AA109" s="41">
        <v>43093</v>
      </c>
      <c r="AB109" s="41">
        <v>43243</v>
      </c>
      <c r="AC109" s="41">
        <v>43403</v>
      </c>
      <c r="AD109" s="41">
        <v>43560</v>
      </c>
      <c r="AE109" s="41">
        <v>43712</v>
      </c>
      <c r="AF109" s="41">
        <v>43871</v>
      </c>
      <c r="AG109" s="41">
        <v>44045</v>
      </c>
      <c r="AH109" s="41">
        <v>44223</v>
      </c>
      <c r="AI109" s="41">
        <v>44410</v>
      </c>
      <c r="AJ109" s="41">
        <v>44589</v>
      </c>
      <c r="AK109" s="41">
        <v>44763</v>
      </c>
      <c r="AL109" s="41">
        <v>44957</v>
      </c>
      <c r="AM109" s="41">
        <v>45142</v>
      </c>
      <c r="AN109" s="41">
        <v>45340</v>
      </c>
      <c r="AO109" s="41">
        <v>45526</v>
      </c>
      <c r="AP109" s="41">
        <v>45712</v>
      </c>
      <c r="AQ109" s="41">
        <v>45911</v>
      </c>
      <c r="AR109" s="41">
        <v>46114</v>
      </c>
      <c r="AS109" s="41">
        <v>46301</v>
      </c>
    </row>
    <row r="110" spans="1:45">
      <c r="A110" s="38" t="s">
        <v>336</v>
      </c>
      <c r="B110" s="38" t="s">
        <v>337</v>
      </c>
      <c r="C110" s="41">
        <v>39198</v>
      </c>
      <c r="D110" s="41">
        <v>39362</v>
      </c>
      <c r="E110" s="41">
        <v>39846</v>
      </c>
      <c r="F110" s="41">
        <v>40117</v>
      </c>
      <c r="G110" s="41">
        <v>40406</v>
      </c>
      <c r="H110" s="41">
        <v>40625</v>
      </c>
      <c r="I110" s="41">
        <v>40831</v>
      </c>
      <c r="J110" s="41">
        <v>41084</v>
      </c>
      <c r="K110" s="41">
        <v>41314</v>
      </c>
      <c r="L110" s="41">
        <v>41571</v>
      </c>
      <c r="M110" s="41">
        <v>41988</v>
      </c>
      <c r="N110" s="41">
        <v>42114</v>
      </c>
      <c r="O110" s="41">
        <v>42259</v>
      </c>
      <c r="P110" s="41">
        <v>42483</v>
      </c>
      <c r="Q110" s="41">
        <v>42745</v>
      </c>
      <c r="R110" s="41">
        <v>43014</v>
      </c>
      <c r="S110" s="41">
        <v>43302</v>
      </c>
      <c r="T110" s="41">
        <v>43350</v>
      </c>
      <c r="U110" s="41">
        <v>43633</v>
      </c>
      <c r="V110" s="41">
        <v>43886</v>
      </c>
      <c r="W110" s="41">
        <v>44127</v>
      </c>
      <c r="X110" s="41">
        <v>44416</v>
      </c>
      <c r="Y110" s="41">
        <v>44672</v>
      </c>
      <c r="Z110" s="41">
        <v>44934</v>
      </c>
      <c r="AA110" s="41">
        <v>45196</v>
      </c>
      <c r="AB110" s="41">
        <v>45460</v>
      </c>
      <c r="AC110" s="41">
        <v>45747</v>
      </c>
      <c r="AD110" s="41">
        <v>46018</v>
      </c>
      <c r="AE110" s="41">
        <v>46266</v>
      </c>
      <c r="AF110" s="41">
        <v>46540</v>
      </c>
      <c r="AG110" s="41">
        <v>46794</v>
      </c>
      <c r="AH110" s="41">
        <v>47062</v>
      </c>
      <c r="AI110" s="41">
        <v>47328</v>
      </c>
      <c r="AJ110" s="41">
        <v>47580</v>
      </c>
      <c r="AK110" s="41">
        <v>47853</v>
      </c>
      <c r="AL110" s="41">
        <v>48106</v>
      </c>
      <c r="AM110" s="41">
        <v>48361</v>
      </c>
      <c r="AN110" s="41">
        <v>48612</v>
      </c>
      <c r="AO110" s="41">
        <v>48854</v>
      </c>
      <c r="AP110" s="41">
        <v>49097</v>
      </c>
      <c r="AQ110" s="41">
        <v>49339</v>
      </c>
      <c r="AR110" s="41">
        <v>49576</v>
      </c>
      <c r="AS110" s="41">
        <v>49799</v>
      </c>
    </row>
    <row r="111" spans="1:45">
      <c r="A111" s="38" t="s">
        <v>338</v>
      </c>
      <c r="B111" s="38" t="s">
        <v>339</v>
      </c>
      <c r="C111" s="41">
        <v>93457</v>
      </c>
      <c r="D111" s="41">
        <v>94354</v>
      </c>
      <c r="E111" s="41">
        <v>94677</v>
      </c>
      <c r="F111" s="41">
        <v>95021</v>
      </c>
      <c r="G111" s="41">
        <v>95486</v>
      </c>
      <c r="H111" s="41">
        <v>95972</v>
      </c>
      <c r="I111" s="41">
        <v>96024</v>
      </c>
      <c r="J111" s="41">
        <v>96658</v>
      </c>
      <c r="K111" s="41">
        <v>97617</v>
      </c>
      <c r="L111" s="41">
        <v>99129</v>
      </c>
      <c r="M111" s="41">
        <v>100570</v>
      </c>
      <c r="N111" s="41">
        <v>101488</v>
      </c>
      <c r="O111" s="41">
        <v>102682</v>
      </c>
      <c r="P111" s="41">
        <v>104312</v>
      </c>
      <c r="Q111" s="41">
        <v>106080</v>
      </c>
      <c r="R111" s="41">
        <v>107453</v>
      </c>
      <c r="S111" s="41">
        <v>108502</v>
      </c>
      <c r="T111" s="41">
        <v>109640</v>
      </c>
      <c r="U111" s="41">
        <v>110800</v>
      </c>
      <c r="V111" s="41">
        <v>111846</v>
      </c>
      <c r="W111" s="41">
        <v>112784</v>
      </c>
      <c r="X111" s="41">
        <v>114363</v>
      </c>
      <c r="Y111" s="41">
        <v>115895</v>
      </c>
      <c r="Z111" s="41">
        <v>117343</v>
      </c>
      <c r="AA111" s="41">
        <v>118733</v>
      </c>
      <c r="AB111" s="41">
        <v>120078</v>
      </c>
      <c r="AC111" s="41">
        <v>121374</v>
      </c>
      <c r="AD111" s="41">
        <v>122644</v>
      </c>
      <c r="AE111" s="41">
        <v>123873</v>
      </c>
      <c r="AF111" s="41">
        <v>125056</v>
      </c>
      <c r="AG111" s="41">
        <v>126238</v>
      </c>
      <c r="AH111" s="41">
        <v>127362</v>
      </c>
      <c r="AI111" s="41">
        <v>128484</v>
      </c>
      <c r="AJ111" s="41">
        <v>129558</v>
      </c>
      <c r="AK111" s="41">
        <v>130608</v>
      </c>
      <c r="AL111" s="41">
        <v>131670</v>
      </c>
      <c r="AM111" s="41">
        <v>132697</v>
      </c>
      <c r="AN111" s="41">
        <v>133701</v>
      </c>
      <c r="AO111" s="41">
        <v>134653</v>
      </c>
      <c r="AP111" s="41">
        <v>135580</v>
      </c>
      <c r="AQ111" s="41">
        <v>136511</v>
      </c>
      <c r="AR111" s="41">
        <v>137404</v>
      </c>
      <c r="AS111" s="41">
        <v>138256</v>
      </c>
    </row>
    <row r="112" spans="1:45">
      <c r="A112" s="38" t="s">
        <v>340</v>
      </c>
      <c r="B112" s="38" t="s">
        <v>341</v>
      </c>
      <c r="C112" s="41">
        <v>51965</v>
      </c>
      <c r="D112" s="41">
        <v>51835</v>
      </c>
      <c r="E112" s="41">
        <v>51582</v>
      </c>
      <c r="F112" s="41">
        <v>51608</v>
      </c>
      <c r="G112" s="41">
        <v>51863</v>
      </c>
      <c r="H112" s="41">
        <v>52396</v>
      </c>
      <c r="I112" s="41">
        <v>52664</v>
      </c>
      <c r="J112" s="41">
        <v>52654</v>
      </c>
      <c r="K112" s="41">
        <v>53051</v>
      </c>
      <c r="L112" s="41">
        <v>53619</v>
      </c>
      <c r="M112" s="41">
        <v>53751</v>
      </c>
      <c r="N112" s="41">
        <v>54000</v>
      </c>
      <c r="O112" s="41">
        <v>54450</v>
      </c>
      <c r="P112" s="41">
        <v>54988</v>
      </c>
      <c r="Q112" s="41">
        <v>55590</v>
      </c>
      <c r="R112" s="41">
        <v>56041</v>
      </c>
      <c r="S112" s="41">
        <v>56100</v>
      </c>
      <c r="T112" s="41">
        <v>56064</v>
      </c>
      <c r="U112" s="41">
        <v>56139</v>
      </c>
      <c r="V112" s="41">
        <v>56168</v>
      </c>
      <c r="W112" s="41">
        <v>56149</v>
      </c>
      <c r="X112" s="41">
        <v>56223</v>
      </c>
      <c r="Y112" s="41">
        <v>56310</v>
      </c>
      <c r="Z112" s="41">
        <v>56416</v>
      </c>
      <c r="AA112" s="41">
        <v>56504</v>
      </c>
      <c r="AB112" s="41">
        <v>56603</v>
      </c>
      <c r="AC112" s="41">
        <v>56697</v>
      </c>
      <c r="AD112" s="41">
        <v>56809</v>
      </c>
      <c r="AE112" s="41">
        <v>56910</v>
      </c>
      <c r="AF112" s="41">
        <v>57010</v>
      </c>
      <c r="AG112" s="41">
        <v>57136</v>
      </c>
      <c r="AH112" s="41">
        <v>57252</v>
      </c>
      <c r="AI112" s="41">
        <v>57365</v>
      </c>
      <c r="AJ112" s="41">
        <v>57469</v>
      </c>
      <c r="AK112" s="41">
        <v>57567</v>
      </c>
      <c r="AL112" s="41">
        <v>57677</v>
      </c>
      <c r="AM112" s="41">
        <v>57762</v>
      </c>
      <c r="AN112" s="41">
        <v>57839</v>
      </c>
      <c r="AO112" s="41">
        <v>57901</v>
      </c>
      <c r="AP112" s="41">
        <v>57955</v>
      </c>
      <c r="AQ112" s="41">
        <v>58032</v>
      </c>
      <c r="AR112" s="41">
        <v>58105</v>
      </c>
      <c r="AS112" s="41">
        <v>58168</v>
      </c>
    </row>
    <row r="113" spans="1:45">
      <c r="A113" s="38" t="s">
        <v>342</v>
      </c>
      <c r="B113" s="38" t="s">
        <v>343</v>
      </c>
      <c r="C113" s="41">
        <v>87162</v>
      </c>
      <c r="D113" s="41">
        <v>87842</v>
      </c>
      <c r="E113" s="41">
        <v>87850</v>
      </c>
      <c r="F113" s="41">
        <v>87711</v>
      </c>
      <c r="G113" s="41">
        <v>88435</v>
      </c>
      <c r="H113" s="41">
        <v>89574</v>
      </c>
      <c r="I113" s="41">
        <v>91118</v>
      </c>
      <c r="J113" s="41">
        <v>93796</v>
      </c>
      <c r="K113" s="41">
        <v>96218</v>
      </c>
      <c r="L113" s="41">
        <v>98391</v>
      </c>
      <c r="M113" s="41">
        <v>100949</v>
      </c>
      <c r="N113" s="41">
        <v>103279</v>
      </c>
      <c r="O113" s="41">
        <v>105685</v>
      </c>
      <c r="P113" s="41">
        <v>108550</v>
      </c>
      <c r="Q113" s="41">
        <v>111131</v>
      </c>
      <c r="R113" s="41">
        <v>113326</v>
      </c>
      <c r="S113" s="41">
        <v>114687</v>
      </c>
      <c r="T113" s="41">
        <v>116383</v>
      </c>
      <c r="U113" s="41">
        <v>117819</v>
      </c>
      <c r="V113" s="41">
        <v>119136</v>
      </c>
      <c r="W113" s="41">
        <v>120349</v>
      </c>
      <c r="X113" s="41">
        <v>121924</v>
      </c>
      <c r="Y113" s="41">
        <v>123416</v>
      </c>
      <c r="Z113" s="41">
        <v>124769</v>
      </c>
      <c r="AA113" s="41">
        <v>126079</v>
      </c>
      <c r="AB113" s="41">
        <v>127357</v>
      </c>
      <c r="AC113" s="41">
        <v>128552</v>
      </c>
      <c r="AD113" s="41">
        <v>129714</v>
      </c>
      <c r="AE113" s="41">
        <v>130852</v>
      </c>
      <c r="AF113" s="41">
        <v>131978</v>
      </c>
      <c r="AG113" s="41">
        <v>133122</v>
      </c>
      <c r="AH113" s="41">
        <v>134259</v>
      </c>
      <c r="AI113" s="41">
        <v>135410</v>
      </c>
      <c r="AJ113" s="41">
        <v>136532</v>
      </c>
      <c r="AK113" s="41">
        <v>137668</v>
      </c>
      <c r="AL113" s="41">
        <v>138828</v>
      </c>
      <c r="AM113" s="41">
        <v>139987</v>
      </c>
      <c r="AN113" s="41">
        <v>141120</v>
      </c>
      <c r="AO113" s="41">
        <v>142186</v>
      </c>
      <c r="AP113" s="41">
        <v>143230</v>
      </c>
      <c r="AQ113" s="41">
        <v>144266</v>
      </c>
      <c r="AR113" s="41">
        <v>145259</v>
      </c>
      <c r="AS113" s="41">
        <v>146175</v>
      </c>
    </row>
    <row r="114" spans="1:45">
      <c r="A114" s="38" t="s">
        <v>344</v>
      </c>
      <c r="B114" s="38" t="s">
        <v>345</v>
      </c>
      <c r="C114" s="41">
        <v>47651</v>
      </c>
      <c r="D114" s="41">
        <v>47987</v>
      </c>
      <c r="E114" s="41">
        <v>48363</v>
      </c>
      <c r="F114" s="41">
        <v>48880</v>
      </c>
      <c r="G114" s="41">
        <v>49265</v>
      </c>
      <c r="H114" s="41">
        <v>49827</v>
      </c>
      <c r="I114" s="41">
        <v>50323</v>
      </c>
      <c r="J114" s="41">
        <v>50862</v>
      </c>
      <c r="K114" s="41">
        <v>51376</v>
      </c>
      <c r="L114" s="41">
        <v>52078</v>
      </c>
      <c r="M114" s="41">
        <v>53016</v>
      </c>
      <c r="N114" s="41">
        <v>53295</v>
      </c>
      <c r="O114" s="41">
        <v>53493</v>
      </c>
      <c r="P114" s="41">
        <v>53856</v>
      </c>
      <c r="Q114" s="41">
        <v>54070</v>
      </c>
      <c r="R114" s="41">
        <v>54470</v>
      </c>
      <c r="S114" s="41">
        <v>54801</v>
      </c>
      <c r="T114" s="41">
        <v>55252</v>
      </c>
      <c r="U114" s="41">
        <v>55706</v>
      </c>
      <c r="V114" s="41">
        <v>56088</v>
      </c>
      <c r="W114" s="41">
        <v>56485</v>
      </c>
      <c r="X114" s="41">
        <v>56875</v>
      </c>
      <c r="Y114" s="41">
        <v>57226</v>
      </c>
      <c r="Z114" s="41">
        <v>57591</v>
      </c>
      <c r="AA114" s="41">
        <v>57921</v>
      </c>
      <c r="AB114" s="41">
        <v>58280</v>
      </c>
      <c r="AC114" s="41">
        <v>58621</v>
      </c>
      <c r="AD114" s="41">
        <v>58952</v>
      </c>
      <c r="AE114" s="41">
        <v>59282</v>
      </c>
      <c r="AF114" s="41">
        <v>59595</v>
      </c>
      <c r="AG114" s="41">
        <v>59926</v>
      </c>
      <c r="AH114" s="41">
        <v>60229</v>
      </c>
      <c r="AI114" s="41">
        <v>60515</v>
      </c>
      <c r="AJ114" s="41">
        <v>60792</v>
      </c>
      <c r="AK114" s="41">
        <v>61072</v>
      </c>
      <c r="AL114" s="41">
        <v>61346</v>
      </c>
      <c r="AM114" s="41">
        <v>61612</v>
      </c>
      <c r="AN114" s="41">
        <v>61858</v>
      </c>
      <c r="AO114" s="41">
        <v>62083</v>
      </c>
      <c r="AP114" s="41">
        <v>62312</v>
      </c>
      <c r="AQ114" s="41">
        <v>62545</v>
      </c>
      <c r="AR114" s="41">
        <v>62774</v>
      </c>
      <c r="AS114" s="41">
        <v>62979</v>
      </c>
    </row>
    <row r="115" spans="1:45">
      <c r="A115" s="38" t="s">
        <v>346</v>
      </c>
      <c r="B115" s="38" t="s">
        <v>347</v>
      </c>
      <c r="C115" s="41">
        <v>34546</v>
      </c>
      <c r="D115" s="41">
        <v>34955</v>
      </c>
      <c r="E115" s="41">
        <v>35294</v>
      </c>
      <c r="F115" s="41">
        <v>35536</v>
      </c>
      <c r="G115" s="41">
        <v>35812</v>
      </c>
      <c r="H115" s="41">
        <v>36342</v>
      </c>
      <c r="I115" s="41">
        <v>36681</v>
      </c>
      <c r="J115" s="41">
        <v>37155</v>
      </c>
      <c r="K115" s="41">
        <v>37464</v>
      </c>
      <c r="L115" s="41">
        <v>37772</v>
      </c>
      <c r="M115" s="41">
        <v>38276</v>
      </c>
      <c r="N115" s="41">
        <v>38518</v>
      </c>
      <c r="O115" s="41">
        <v>38751</v>
      </c>
      <c r="P115" s="41">
        <v>38992</v>
      </c>
      <c r="Q115" s="41">
        <v>39340</v>
      </c>
      <c r="R115" s="41">
        <v>39679</v>
      </c>
      <c r="S115" s="41">
        <v>39957</v>
      </c>
      <c r="T115" s="41">
        <v>40339</v>
      </c>
      <c r="U115" s="41">
        <v>40618</v>
      </c>
      <c r="V115" s="41">
        <v>40851</v>
      </c>
      <c r="W115" s="41">
        <v>41050</v>
      </c>
      <c r="X115" s="41">
        <v>41300</v>
      </c>
      <c r="Y115" s="41">
        <v>41526</v>
      </c>
      <c r="Z115" s="41">
        <v>41732</v>
      </c>
      <c r="AA115" s="41">
        <v>41917</v>
      </c>
      <c r="AB115" s="41">
        <v>42093</v>
      </c>
      <c r="AC115" s="41">
        <v>42278</v>
      </c>
      <c r="AD115" s="41">
        <v>42457</v>
      </c>
      <c r="AE115" s="41">
        <v>42617</v>
      </c>
      <c r="AF115" s="41">
        <v>42777</v>
      </c>
      <c r="AG115" s="41">
        <v>42944</v>
      </c>
      <c r="AH115" s="41">
        <v>43096</v>
      </c>
      <c r="AI115" s="41">
        <v>43252</v>
      </c>
      <c r="AJ115" s="41">
        <v>43394</v>
      </c>
      <c r="AK115" s="41">
        <v>43533</v>
      </c>
      <c r="AL115" s="41">
        <v>43670</v>
      </c>
      <c r="AM115" s="41">
        <v>43780</v>
      </c>
      <c r="AN115" s="41">
        <v>43895</v>
      </c>
      <c r="AO115" s="41">
        <v>44000</v>
      </c>
      <c r="AP115" s="41">
        <v>44106</v>
      </c>
      <c r="AQ115" s="41">
        <v>44210</v>
      </c>
      <c r="AR115" s="41">
        <v>44299</v>
      </c>
      <c r="AS115" s="41">
        <v>44380</v>
      </c>
    </row>
    <row r="116" spans="1:45">
      <c r="A116" s="38" t="s">
        <v>348</v>
      </c>
      <c r="B116" s="38" t="s">
        <v>349</v>
      </c>
      <c r="C116" s="41">
        <v>76844</v>
      </c>
      <c r="D116" s="41">
        <v>77637</v>
      </c>
      <c r="E116" s="41">
        <v>76968</v>
      </c>
      <c r="F116" s="41">
        <v>76855</v>
      </c>
      <c r="G116" s="41">
        <v>77051</v>
      </c>
      <c r="H116" s="41">
        <v>77423</v>
      </c>
      <c r="I116" s="41">
        <v>77755</v>
      </c>
      <c r="J116" s="41">
        <v>77531</v>
      </c>
      <c r="K116" s="41">
        <v>78798</v>
      </c>
      <c r="L116" s="41">
        <v>79009</v>
      </c>
      <c r="M116" s="41">
        <v>79729</v>
      </c>
      <c r="N116" s="41">
        <v>79771</v>
      </c>
      <c r="O116" s="41">
        <v>79636</v>
      </c>
      <c r="P116" s="41">
        <v>79694</v>
      </c>
      <c r="Q116" s="41">
        <v>79852</v>
      </c>
      <c r="R116" s="41">
        <v>79655</v>
      </c>
      <c r="S116" s="41">
        <v>79821</v>
      </c>
      <c r="T116" s="41">
        <v>80446</v>
      </c>
      <c r="U116" s="41">
        <v>80917</v>
      </c>
      <c r="V116" s="41">
        <v>81338</v>
      </c>
      <c r="W116" s="41">
        <v>81737</v>
      </c>
      <c r="X116" s="41">
        <v>82451</v>
      </c>
      <c r="Y116" s="41">
        <v>83081</v>
      </c>
      <c r="Z116" s="41">
        <v>83677</v>
      </c>
      <c r="AA116" s="41">
        <v>84248</v>
      </c>
      <c r="AB116" s="41">
        <v>84811</v>
      </c>
      <c r="AC116" s="41">
        <v>85380</v>
      </c>
      <c r="AD116" s="41">
        <v>85926</v>
      </c>
      <c r="AE116" s="41">
        <v>86475</v>
      </c>
      <c r="AF116" s="41">
        <v>87036</v>
      </c>
      <c r="AG116" s="41">
        <v>87616</v>
      </c>
      <c r="AH116" s="41">
        <v>88212</v>
      </c>
      <c r="AI116" s="41">
        <v>88794</v>
      </c>
      <c r="AJ116" s="41">
        <v>89359</v>
      </c>
      <c r="AK116" s="41">
        <v>89905</v>
      </c>
      <c r="AL116" s="41">
        <v>90459</v>
      </c>
      <c r="AM116" s="41">
        <v>90992</v>
      </c>
      <c r="AN116" s="41">
        <v>91484</v>
      </c>
      <c r="AO116" s="41">
        <v>91909</v>
      </c>
      <c r="AP116" s="41">
        <v>92311</v>
      </c>
      <c r="AQ116" s="41">
        <v>92704</v>
      </c>
      <c r="AR116" s="41">
        <v>93061</v>
      </c>
      <c r="AS116" s="41">
        <v>93367</v>
      </c>
    </row>
    <row r="117" spans="1:45">
      <c r="A117" s="38" t="s">
        <v>350</v>
      </c>
      <c r="B117" s="38" t="s">
        <v>351</v>
      </c>
      <c r="C117" s="41">
        <v>30810</v>
      </c>
      <c r="D117" s="41">
        <v>31388</v>
      </c>
      <c r="E117" s="41">
        <v>31789</v>
      </c>
      <c r="F117" s="41">
        <v>32165</v>
      </c>
      <c r="G117" s="41">
        <v>32466</v>
      </c>
      <c r="H117" s="41">
        <v>32900</v>
      </c>
      <c r="I117" s="41">
        <v>33325</v>
      </c>
      <c r="J117" s="41">
        <v>33749</v>
      </c>
      <c r="K117" s="41">
        <v>34110</v>
      </c>
      <c r="L117" s="41">
        <v>34498</v>
      </c>
      <c r="M117" s="41">
        <v>34963</v>
      </c>
      <c r="N117" s="41">
        <v>35253</v>
      </c>
      <c r="O117" s="41">
        <v>35724</v>
      </c>
      <c r="P117" s="41">
        <v>36070</v>
      </c>
      <c r="Q117" s="41">
        <v>36614</v>
      </c>
      <c r="R117" s="41">
        <v>37156</v>
      </c>
      <c r="S117" s="41">
        <v>37737</v>
      </c>
      <c r="T117" s="41">
        <v>38278</v>
      </c>
      <c r="U117" s="41">
        <v>38875</v>
      </c>
      <c r="V117" s="41">
        <v>39434</v>
      </c>
      <c r="W117" s="41">
        <v>39948</v>
      </c>
      <c r="X117" s="41">
        <v>40509</v>
      </c>
      <c r="Y117" s="41">
        <v>41066</v>
      </c>
      <c r="Z117" s="41">
        <v>41604</v>
      </c>
      <c r="AA117" s="41">
        <v>42123</v>
      </c>
      <c r="AB117" s="41">
        <v>42621</v>
      </c>
      <c r="AC117" s="41">
        <v>43116</v>
      </c>
      <c r="AD117" s="41">
        <v>43607</v>
      </c>
      <c r="AE117" s="41">
        <v>44080</v>
      </c>
      <c r="AF117" s="41">
        <v>44549</v>
      </c>
      <c r="AG117" s="41">
        <v>45014</v>
      </c>
      <c r="AH117" s="41">
        <v>45461</v>
      </c>
      <c r="AI117" s="41">
        <v>45911</v>
      </c>
      <c r="AJ117" s="41">
        <v>46350</v>
      </c>
      <c r="AK117" s="41">
        <v>46785</v>
      </c>
      <c r="AL117" s="41">
        <v>47213</v>
      </c>
      <c r="AM117" s="41">
        <v>47635</v>
      </c>
      <c r="AN117" s="41">
        <v>48055</v>
      </c>
      <c r="AO117" s="41">
        <v>48469</v>
      </c>
      <c r="AP117" s="41">
        <v>48866</v>
      </c>
      <c r="AQ117" s="41">
        <v>49272</v>
      </c>
      <c r="AR117" s="41">
        <v>49675</v>
      </c>
      <c r="AS117" s="41">
        <v>50063</v>
      </c>
    </row>
    <row r="118" spans="1:45">
      <c r="A118" s="38" t="s">
        <v>352</v>
      </c>
      <c r="B118" s="38" t="s">
        <v>353</v>
      </c>
      <c r="C118" s="41">
        <v>93549</v>
      </c>
      <c r="D118" s="41">
        <v>94177</v>
      </c>
      <c r="E118" s="41">
        <v>93659</v>
      </c>
      <c r="F118" s="41">
        <v>93378</v>
      </c>
      <c r="G118" s="41">
        <v>93800</v>
      </c>
      <c r="H118" s="41">
        <v>94711</v>
      </c>
      <c r="I118" s="41">
        <v>95379</v>
      </c>
      <c r="J118" s="41">
        <v>97602</v>
      </c>
      <c r="K118" s="41">
        <v>99637</v>
      </c>
      <c r="L118" s="41">
        <v>100487</v>
      </c>
      <c r="M118" s="41">
        <v>101500</v>
      </c>
      <c r="N118" s="41">
        <v>102387</v>
      </c>
      <c r="O118" s="41">
        <v>103743</v>
      </c>
      <c r="P118" s="41">
        <v>104931</v>
      </c>
      <c r="Q118" s="41">
        <v>106268</v>
      </c>
      <c r="R118" s="41">
        <v>107520</v>
      </c>
      <c r="S118" s="41">
        <v>107563</v>
      </c>
      <c r="T118" s="41">
        <v>107378</v>
      </c>
      <c r="U118" s="41">
        <v>107770</v>
      </c>
      <c r="V118" s="41">
        <v>108130</v>
      </c>
      <c r="W118" s="41">
        <v>108482</v>
      </c>
      <c r="X118" s="41">
        <v>109412</v>
      </c>
      <c r="Y118" s="41">
        <v>110261</v>
      </c>
      <c r="Z118" s="41">
        <v>111053</v>
      </c>
      <c r="AA118" s="41">
        <v>111797</v>
      </c>
      <c r="AB118" s="41">
        <v>112547</v>
      </c>
      <c r="AC118" s="41">
        <v>113253</v>
      </c>
      <c r="AD118" s="41">
        <v>113937</v>
      </c>
      <c r="AE118" s="41">
        <v>114625</v>
      </c>
      <c r="AF118" s="41">
        <v>115322</v>
      </c>
      <c r="AG118" s="41">
        <v>116011</v>
      </c>
      <c r="AH118" s="41">
        <v>116698</v>
      </c>
      <c r="AI118" s="41">
        <v>117373</v>
      </c>
      <c r="AJ118" s="41">
        <v>118032</v>
      </c>
      <c r="AK118" s="41">
        <v>118702</v>
      </c>
      <c r="AL118" s="41">
        <v>119354</v>
      </c>
      <c r="AM118" s="41">
        <v>119994</v>
      </c>
      <c r="AN118" s="41">
        <v>120619</v>
      </c>
      <c r="AO118" s="41">
        <v>121207</v>
      </c>
      <c r="AP118" s="41">
        <v>121786</v>
      </c>
      <c r="AQ118" s="41">
        <v>122367</v>
      </c>
      <c r="AR118" s="41">
        <v>122923</v>
      </c>
      <c r="AS118" s="41">
        <v>123449</v>
      </c>
    </row>
    <row r="119" spans="1:45">
      <c r="A119" s="38" t="s">
        <v>354</v>
      </c>
      <c r="B119" s="38" t="s">
        <v>355</v>
      </c>
      <c r="C119" s="41">
        <v>32801</v>
      </c>
      <c r="D119" s="41">
        <v>32752</v>
      </c>
      <c r="E119" s="41">
        <v>32741</v>
      </c>
      <c r="F119" s="41">
        <v>32685</v>
      </c>
      <c r="G119" s="41">
        <v>32867</v>
      </c>
      <c r="H119" s="41">
        <v>33052</v>
      </c>
      <c r="I119" s="41">
        <v>33236</v>
      </c>
      <c r="J119" s="41">
        <v>33442</v>
      </c>
      <c r="K119" s="41">
        <v>33772</v>
      </c>
      <c r="L119" s="41">
        <v>34078</v>
      </c>
      <c r="M119" s="41">
        <v>34401</v>
      </c>
      <c r="N119" s="41">
        <v>34566</v>
      </c>
      <c r="O119" s="41">
        <v>34718</v>
      </c>
      <c r="P119" s="41">
        <v>35018</v>
      </c>
      <c r="Q119" s="41">
        <v>35274</v>
      </c>
      <c r="R119" s="41">
        <v>35399</v>
      </c>
      <c r="S119" s="41">
        <v>35400</v>
      </c>
      <c r="T119" s="41">
        <v>35451</v>
      </c>
      <c r="U119" s="41">
        <v>35579</v>
      </c>
      <c r="V119" s="41">
        <v>35637</v>
      </c>
      <c r="W119" s="41">
        <v>35676</v>
      </c>
      <c r="X119" s="41">
        <v>35800</v>
      </c>
      <c r="Y119" s="41">
        <v>35937</v>
      </c>
      <c r="Z119" s="41">
        <v>36102</v>
      </c>
      <c r="AA119" s="41">
        <v>36231</v>
      </c>
      <c r="AB119" s="41">
        <v>36358</v>
      </c>
      <c r="AC119" s="41">
        <v>36498</v>
      </c>
      <c r="AD119" s="41">
        <v>36664</v>
      </c>
      <c r="AE119" s="41">
        <v>36833</v>
      </c>
      <c r="AF119" s="41">
        <v>36989</v>
      </c>
      <c r="AG119" s="41">
        <v>37147</v>
      </c>
      <c r="AH119" s="41">
        <v>37312</v>
      </c>
      <c r="AI119" s="41">
        <v>37495</v>
      </c>
      <c r="AJ119" s="41">
        <v>37667</v>
      </c>
      <c r="AK119" s="41">
        <v>37835</v>
      </c>
      <c r="AL119" s="41">
        <v>38008</v>
      </c>
      <c r="AM119" s="41">
        <v>38187</v>
      </c>
      <c r="AN119" s="41">
        <v>38362</v>
      </c>
      <c r="AO119" s="41">
        <v>38525</v>
      </c>
      <c r="AP119" s="41">
        <v>38679</v>
      </c>
      <c r="AQ119" s="41">
        <v>38834</v>
      </c>
      <c r="AR119" s="41">
        <v>38987</v>
      </c>
      <c r="AS119" s="41">
        <v>39129</v>
      </c>
    </row>
    <row r="120" spans="1:45">
      <c r="A120" s="38" t="s">
        <v>356</v>
      </c>
      <c r="B120" s="38" t="s">
        <v>357</v>
      </c>
      <c r="C120" s="41">
        <v>62705</v>
      </c>
      <c r="D120" s="41">
        <v>62896</v>
      </c>
      <c r="E120" s="41">
        <v>62937</v>
      </c>
      <c r="F120" s="41">
        <v>63471</v>
      </c>
      <c r="G120" s="41">
        <v>63989</v>
      </c>
      <c r="H120" s="41">
        <v>64365</v>
      </c>
      <c r="I120" s="41">
        <v>65057</v>
      </c>
      <c r="J120" s="41">
        <v>65252</v>
      </c>
      <c r="K120" s="41">
        <v>65550</v>
      </c>
      <c r="L120" s="41">
        <v>66208</v>
      </c>
      <c r="M120" s="41">
        <v>67119</v>
      </c>
      <c r="N120" s="41">
        <v>67579</v>
      </c>
      <c r="O120" s="41">
        <v>67892</v>
      </c>
      <c r="P120" s="41">
        <v>68108</v>
      </c>
      <c r="Q120" s="41">
        <v>68447</v>
      </c>
      <c r="R120" s="41">
        <v>68696</v>
      </c>
      <c r="S120" s="41">
        <v>69156</v>
      </c>
      <c r="T120" s="41">
        <v>69516</v>
      </c>
      <c r="U120" s="41">
        <v>69774</v>
      </c>
      <c r="V120" s="41">
        <v>70040</v>
      </c>
      <c r="W120" s="41">
        <v>70299</v>
      </c>
      <c r="X120" s="41">
        <v>70665</v>
      </c>
      <c r="Y120" s="41">
        <v>70993</v>
      </c>
      <c r="Z120" s="41">
        <v>71242</v>
      </c>
      <c r="AA120" s="41">
        <v>71511</v>
      </c>
      <c r="AB120" s="41">
        <v>71791</v>
      </c>
      <c r="AC120" s="41">
        <v>72075</v>
      </c>
      <c r="AD120" s="41">
        <v>72328</v>
      </c>
      <c r="AE120" s="41">
        <v>72557</v>
      </c>
      <c r="AF120" s="41">
        <v>72793</v>
      </c>
      <c r="AG120" s="41">
        <v>73056</v>
      </c>
      <c r="AH120" s="41">
        <v>73293</v>
      </c>
      <c r="AI120" s="41">
        <v>73544</v>
      </c>
      <c r="AJ120" s="41">
        <v>73788</v>
      </c>
      <c r="AK120" s="41">
        <v>74026</v>
      </c>
      <c r="AL120" s="41">
        <v>74273</v>
      </c>
      <c r="AM120" s="41">
        <v>74491</v>
      </c>
      <c r="AN120" s="41">
        <v>74712</v>
      </c>
      <c r="AO120" s="41">
        <v>74926</v>
      </c>
      <c r="AP120" s="41">
        <v>75139</v>
      </c>
      <c r="AQ120" s="41">
        <v>75351</v>
      </c>
      <c r="AR120" s="41">
        <v>75556</v>
      </c>
      <c r="AS120" s="41">
        <v>75737</v>
      </c>
    </row>
    <row r="121" spans="1:45">
      <c r="A121" s="38" t="s">
        <v>358</v>
      </c>
      <c r="B121" s="38" t="s">
        <v>359</v>
      </c>
      <c r="C121" s="41">
        <v>80414</v>
      </c>
      <c r="D121" s="41">
        <v>80513</v>
      </c>
      <c r="E121" s="41">
        <v>80289</v>
      </c>
      <c r="F121" s="41">
        <v>80183</v>
      </c>
      <c r="G121" s="41">
        <v>81073</v>
      </c>
      <c r="H121" s="41">
        <v>81325</v>
      </c>
      <c r="I121" s="41">
        <v>81504</v>
      </c>
      <c r="J121" s="41">
        <v>82094</v>
      </c>
      <c r="K121" s="41">
        <v>83007</v>
      </c>
      <c r="L121" s="41">
        <v>83791</v>
      </c>
      <c r="M121" s="41">
        <v>84549</v>
      </c>
      <c r="N121" s="41">
        <v>84765</v>
      </c>
      <c r="O121" s="41">
        <v>85052</v>
      </c>
      <c r="P121" s="41">
        <v>85630</v>
      </c>
      <c r="Q121" s="41">
        <v>85912</v>
      </c>
      <c r="R121" s="41">
        <v>86223</v>
      </c>
      <c r="S121" s="41">
        <v>86160</v>
      </c>
      <c r="T121" s="41">
        <v>86281</v>
      </c>
      <c r="U121" s="41">
        <v>86433</v>
      </c>
      <c r="V121" s="41">
        <v>86429</v>
      </c>
      <c r="W121" s="41">
        <v>86403</v>
      </c>
      <c r="X121" s="41">
        <v>86910</v>
      </c>
      <c r="Y121" s="41">
        <v>87397</v>
      </c>
      <c r="Z121" s="41">
        <v>87871</v>
      </c>
      <c r="AA121" s="41">
        <v>88263</v>
      </c>
      <c r="AB121" s="41">
        <v>88662</v>
      </c>
      <c r="AC121" s="41">
        <v>89047</v>
      </c>
      <c r="AD121" s="41">
        <v>89435</v>
      </c>
      <c r="AE121" s="41">
        <v>89830</v>
      </c>
      <c r="AF121" s="41">
        <v>90208</v>
      </c>
      <c r="AG121" s="41">
        <v>90585</v>
      </c>
      <c r="AH121" s="41">
        <v>90957</v>
      </c>
      <c r="AI121" s="41">
        <v>91337</v>
      </c>
      <c r="AJ121" s="41">
        <v>91718</v>
      </c>
      <c r="AK121" s="41">
        <v>92090</v>
      </c>
      <c r="AL121" s="41">
        <v>92458</v>
      </c>
      <c r="AM121" s="41">
        <v>92825</v>
      </c>
      <c r="AN121" s="41">
        <v>93184</v>
      </c>
      <c r="AO121" s="41">
        <v>93531</v>
      </c>
      <c r="AP121" s="41">
        <v>93865</v>
      </c>
      <c r="AQ121" s="41">
        <v>94201</v>
      </c>
      <c r="AR121" s="41">
        <v>94531</v>
      </c>
      <c r="AS121" s="41">
        <v>94852</v>
      </c>
    </row>
    <row r="122" spans="1:45">
      <c r="A122" s="38" t="s">
        <v>360</v>
      </c>
      <c r="B122" s="38" t="s">
        <v>361</v>
      </c>
      <c r="C122" s="41">
        <v>32286</v>
      </c>
      <c r="D122" s="41">
        <v>32571</v>
      </c>
      <c r="E122" s="41">
        <v>32984</v>
      </c>
      <c r="F122" s="41">
        <v>33375</v>
      </c>
      <c r="G122" s="41">
        <v>33830</v>
      </c>
      <c r="H122" s="41">
        <v>34357</v>
      </c>
      <c r="I122" s="41">
        <v>34729</v>
      </c>
      <c r="J122" s="41">
        <v>35027</v>
      </c>
      <c r="K122" s="41">
        <v>35175</v>
      </c>
      <c r="L122" s="41">
        <v>35354</v>
      </c>
      <c r="M122" s="41">
        <v>35578</v>
      </c>
      <c r="N122" s="41">
        <v>35862</v>
      </c>
      <c r="O122" s="41">
        <v>36113</v>
      </c>
      <c r="P122" s="41">
        <v>36494</v>
      </c>
      <c r="Q122" s="41">
        <v>36827</v>
      </c>
      <c r="R122" s="41">
        <v>37129</v>
      </c>
      <c r="S122" s="41">
        <v>37399</v>
      </c>
      <c r="T122" s="41">
        <v>37716</v>
      </c>
      <c r="U122" s="41">
        <v>38026</v>
      </c>
      <c r="V122" s="41">
        <v>38300</v>
      </c>
      <c r="W122" s="41">
        <v>38544</v>
      </c>
      <c r="X122" s="41">
        <v>38859</v>
      </c>
      <c r="Y122" s="41">
        <v>39150</v>
      </c>
      <c r="Z122" s="41">
        <v>39414</v>
      </c>
      <c r="AA122" s="41">
        <v>39659</v>
      </c>
      <c r="AB122" s="41">
        <v>39888</v>
      </c>
      <c r="AC122" s="41">
        <v>40107</v>
      </c>
      <c r="AD122" s="41">
        <v>40312</v>
      </c>
      <c r="AE122" s="41">
        <v>40495</v>
      </c>
      <c r="AF122" s="41">
        <v>40667</v>
      </c>
      <c r="AG122" s="41">
        <v>40835</v>
      </c>
      <c r="AH122" s="41">
        <v>40992</v>
      </c>
      <c r="AI122" s="41">
        <v>41154</v>
      </c>
      <c r="AJ122" s="41">
        <v>41311</v>
      </c>
      <c r="AK122" s="41">
        <v>41469</v>
      </c>
      <c r="AL122" s="41">
        <v>41624</v>
      </c>
      <c r="AM122" s="41">
        <v>41773</v>
      </c>
      <c r="AN122" s="41">
        <v>41938</v>
      </c>
      <c r="AO122" s="41">
        <v>42101</v>
      </c>
      <c r="AP122" s="41">
        <v>42260</v>
      </c>
      <c r="AQ122" s="41">
        <v>42428</v>
      </c>
      <c r="AR122" s="41">
        <v>42597</v>
      </c>
      <c r="AS122" s="41">
        <v>42765</v>
      </c>
    </row>
    <row r="123" spans="1:45">
      <c r="A123" s="38" t="s">
        <v>362</v>
      </c>
      <c r="B123" s="38" t="s">
        <v>363</v>
      </c>
      <c r="C123" s="41">
        <v>37587</v>
      </c>
      <c r="D123" s="41">
        <v>37715</v>
      </c>
      <c r="E123" s="41">
        <v>37917</v>
      </c>
      <c r="F123" s="41">
        <v>38156</v>
      </c>
      <c r="G123" s="41">
        <v>38386</v>
      </c>
      <c r="H123" s="41">
        <v>38621</v>
      </c>
      <c r="I123" s="41">
        <v>38876</v>
      </c>
      <c r="J123" s="41">
        <v>39199</v>
      </c>
      <c r="K123" s="41">
        <v>39458</v>
      </c>
      <c r="L123" s="41">
        <v>39774</v>
      </c>
      <c r="M123" s="41">
        <v>40152</v>
      </c>
      <c r="N123" s="41">
        <v>40388</v>
      </c>
      <c r="O123" s="41">
        <v>40745</v>
      </c>
      <c r="P123" s="41">
        <v>40939</v>
      </c>
      <c r="Q123" s="41">
        <v>41033</v>
      </c>
      <c r="R123" s="41">
        <v>41221</v>
      </c>
      <c r="S123" s="41">
        <v>41436</v>
      </c>
      <c r="T123" s="41">
        <v>41696</v>
      </c>
      <c r="U123" s="41">
        <v>41907</v>
      </c>
      <c r="V123" s="41">
        <v>42077</v>
      </c>
      <c r="W123" s="41">
        <v>42242</v>
      </c>
      <c r="X123" s="41">
        <v>42383</v>
      </c>
      <c r="Y123" s="41">
        <v>42491</v>
      </c>
      <c r="Z123" s="41">
        <v>42591</v>
      </c>
      <c r="AA123" s="41">
        <v>42703</v>
      </c>
      <c r="AB123" s="41">
        <v>42831</v>
      </c>
      <c r="AC123" s="41">
        <v>42966</v>
      </c>
      <c r="AD123" s="41">
        <v>43100</v>
      </c>
      <c r="AE123" s="41">
        <v>43235</v>
      </c>
      <c r="AF123" s="41">
        <v>43373</v>
      </c>
      <c r="AG123" s="41">
        <v>43526</v>
      </c>
      <c r="AH123" s="41">
        <v>43676</v>
      </c>
      <c r="AI123" s="41">
        <v>43819</v>
      </c>
      <c r="AJ123" s="41">
        <v>43948</v>
      </c>
      <c r="AK123" s="41">
        <v>44080</v>
      </c>
      <c r="AL123" s="41">
        <v>44217</v>
      </c>
      <c r="AM123" s="41">
        <v>44337</v>
      </c>
      <c r="AN123" s="41">
        <v>44438</v>
      </c>
      <c r="AO123" s="41">
        <v>44522</v>
      </c>
      <c r="AP123" s="41">
        <v>44596</v>
      </c>
      <c r="AQ123" s="41">
        <v>44682</v>
      </c>
      <c r="AR123" s="41">
        <v>44744</v>
      </c>
      <c r="AS123" s="41">
        <v>44785</v>
      </c>
    </row>
    <row r="124" spans="1:45">
      <c r="A124" s="38" t="s">
        <v>364</v>
      </c>
      <c r="B124" s="38" t="s">
        <v>365</v>
      </c>
      <c r="C124" s="41">
        <v>37399</v>
      </c>
      <c r="D124" s="41">
        <v>37644</v>
      </c>
      <c r="E124" s="41">
        <v>38014</v>
      </c>
      <c r="F124" s="41">
        <v>38235</v>
      </c>
      <c r="G124" s="41">
        <v>38665</v>
      </c>
      <c r="H124" s="41">
        <v>38773</v>
      </c>
      <c r="I124" s="41">
        <v>39045</v>
      </c>
      <c r="J124" s="41">
        <v>39428</v>
      </c>
      <c r="K124" s="41">
        <v>39834</v>
      </c>
      <c r="L124" s="41">
        <v>40141</v>
      </c>
      <c r="M124" s="41">
        <v>40775</v>
      </c>
      <c r="N124" s="41">
        <v>40939</v>
      </c>
      <c r="O124" s="41">
        <v>41238</v>
      </c>
      <c r="P124" s="41">
        <v>41492</v>
      </c>
      <c r="Q124" s="41">
        <v>41867</v>
      </c>
      <c r="R124" s="41">
        <v>42367</v>
      </c>
      <c r="S124" s="41">
        <v>42468</v>
      </c>
      <c r="T124" s="41">
        <v>42721</v>
      </c>
      <c r="U124" s="41">
        <v>42948</v>
      </c>
      <c r="V124" s="41">
        <v>43144</v>
      </c>
      <c r="W124" s="41">
        <v>43348</v>
      </c>
      <c r="X124" s="41">
        <v>43556</v>
      </c>
      <c r="Y124" s="41">
        <v>43740</v>
      </c>
      <c r="Z124" s="41">
        <v>43926</v>
      </c>
      <c r="AA124" s="41">
        <v>44103</v>
      </c>
      <c r="AB124" s="41">
        <v>44291</v>
      </c>
      <c r="AC124" s="41">
        <v>44489</v>
      </c>
      <c r="AD124" s="41">
        <v>44687</v>
      </c>
      <c r="AE124" s="41">
        <v>44882</v>
      </c>
      <c r="AF124" s="41">
        <v>45076</v>
      </c>
      <c r="AG124" s="41">
        <v>45284</v>
      </c>
      <c r="AH124" s="41">
        <v>45489</v>
      </c>
      <c r="AI124" s="41">
        <v>45697</v>
      </c>
      <c r="AJ124" s="41">
        <v>45904</v>
      </c>
      <c r="AK124" s="41">
        <v>46101</v>
      </c>
      <c r="AL124" s="41">
        <v>46303</v>
      </c>
      <c r="AM124" s="41">
        <v>46497</v>
      </c>
      <c r="AN124" s="41">
        <v>46686</v>
      </c>
      <c r="AO124" s="41">
        <v>46860</v>
      </c>
      <c r="AP124" s="41">
        <v>47025</v>
      </c>
      <c r="AQ124" s="41">
        <v>47201</v>
      </c>
      <c r="AR124" s="41">
        <v>47361</v>
      </c>
      <c r="AS124" s="41">
        <v>47507</v>
      </c>
    </row>
    <row r="125" spans="1:45">
      <c r="A125" s="38" t="s">
        <v>366</v>
      </c>
      <c r="B125" s="38" t="s">
        <v>367</v>
      </c>
      <c r="C125" s="41">
        <v>48179</v>
      </c>
      <c r="D125" s="41">
        <v>48480</v>
      </c>
      <c r="E125" s="41">
        <v>48627</v>
      </c>
      <c r="F125" s="41">
        <v>48762</v>
      </c>
      <c r="G125" s="41">
        <v>48941</v>
      </c>
      <c r="H125" s="41">
        <v>49239</v>
      </c>
      <c r="I125" s="41">
        <v>49568</v>
      </c>
      <c r="J125" s="41">
        <v>49999</v>
      </c>
      <c r="K125" s="41">
        <v>50217</v>
      </c>
      <c r="L125" s="41">
        <v>50632</v>
      </c>
      <c r="M125" s="41">
        <v>51170</v>
      </c>
      <c r="N125" s="41">
        <v>51464</v>
      </c>
      <c r="O125" s="41">
        <v>51678</v>
      </c>
      <c r="P125" s="41">
        <v>52056</v>
      </c>
      <c r="Q125" s="41">
        <v>52516</v>
      </c>
      <c r="R125" s="41">
        <v>52887</v>
      </c>
      <c r="S125" s="41">
        <v>53530</v>
      </c>
      <c r="T125" s="41">
        <v>53956</v>
      </c>
      <c r="U125" s="41">
        <v>54540</v>
      </c>
      <c r="V125" s="41">
        <v>55050</v>
      </c>
      <c r="W125" s="41">
        <v>55504</v>
      </c>
      <c r="X125" s="41">
        <v>56018</v>
      </c>
      <c r="Y125" s="41">
        <v>56506</v>
      </c>
      <c r="Z125" s="41">
        <v>56998</v>
      </c>
      <c r="AA125" s="41">
        <v>57469</v>
      </c>
      <c r="AB125" s="41">
        <v>57926</v>
      </c>
      <c r="AC125" s="41">
        <v>58389</v>
      </c>
      <c r="AD125" s="41">
        <v>58836</v>
      </c>
      <c r="AE125" s="41">
        <v>59293</v>
      </c>
      <c r="AF125" s="41">
        <v>59742</v>
      </c>
      <c r="AG125" s="41">
        <v>60185</v>
      </c>
      <c r="AH125" s="41">
        <v>60612</v>
      </c>
      <c r="AI125" s="41">
        <v>61031</v>
      </c>
      <c r="AJ125" s="41">
        <v>61456</v>
      </c>
      <c r="AK125" s="41">
        <v>61874</v>
      </c>
      <c r="AL125" s="41">
        <v>62282</v>
      </c>
      <c r="AM125" s="41">
        <v>62664</v>
      </c>
      <c r="AN125" s="41">
        <v>63034</v>
      </c>
      <c r="AO125" s="41">
        <v>63405</v>
      </c>
      <c r="AP125" s="41">
        <v>63768</v>
      </c>
      <c r="AQ125" s="41">
        <v>64133</v>
      </c>
      <c r="AR125" s="41">
        <v>64480</v>
      </c>
      <c r="AS125" s="41">
        <v>64800</v>
      </c>
    </row>
    <row r="126" spans="1:45">
      <c r="A126" s="38" t="s">
        <v>368</v>
      </c>
      <c r="B126" s="38" t="s">
        <v>369</v>
      </c>
      <c r="C126" s="41">
        <v>91474</v>
      </c>
      <c r="D126" s="41">
        <v>91726</v>
      </c>
      <c r="E126" s="41">
        <v>91814</v>
      </c>
      <c r="F126" s="41">
        <v>92026</v>
      </c>
      <c r="G126" s="41">
        <v>92406</v>
      </c>
      <c r="H126" s="41">
        <v>92955</v>
      </c>
      <c r="I126" s="41">
        <v>93435</v>
      </c>
      <c r="J126" s="41">
        <v>94166</v>
      </c>
      <c r="K126" s="41">
        <v>95013</v>
      </c>
      <c r="L126" s="41">
        <v>95925</v>
      </c>
      <c r="M126" s="41">
        <v>97133</v>
      </c>
      <c r="N126" s="41">
        <v>97749</v>
      </c>
      <c r="O126" s="41">
        <v>98369</v>
      </c>
      <c r="P126" s="41">
        <v>99600</v>
      </c>
      <c r="Q126" s="41">
        <v>100742</v>
      </c>
      <c r="R126" s="41">
        <v>102083</v>
      </c>
      <c r="S126" s="41">
        <v>102984</v>
      </c>
      <c r="T126" s="41">
        <v>103482</v>
      </c>
      <c r="U126" s="41">
        <v>104354</v>
      </c>
      <c r="V126" s="41">
        <v>105154</v>
      </c>
      <c r="W126" s="41">
        <v>105899</v>
      </c>
      <c r="X126" s="41">
        <v>106709</v>
      </c>
      <c r="Y126" s="41">
        <v>107495</v>
      </c>
      <c r="Z126" s="41">
        <v>108290</v>
      </c>
      <c r="AA126" s="41">
        <v>109066</v>
      </c>
      <c r="AB126" s="41">
        <v>109825</v>
      </c>
      <c r="AC126" s="41">
        <v>110624</v>
      </c>
      <c r="AD126" s="41">
        <v>111436</v>
      </c>
      <c r="AE126" s="41">
        <v>112232</v>
      </c>
      <c r="AF126" s="41">
        <v>113014</v>
      </c>
      <c r="AG126" s="41">
        <v>113797</v>
      </c>
      <c r="AH126" s="41">
        <v>114610</v>
      </c>
      <c r="AI126" s="41">
        <v>115436</v>
      </c>
      <c r="AJ126" s="41">
        <v>116254</v>
      </c>
      <c r="AK126" s="41">
        <v>117045</v>
      </c>
      <c r="AL126" s="41">
        <v>117868</v>
      </c>
      <c r="AM126" s="41">
        <v>118701</v>
      </c>
      <c r="AN126" s="41">
        <v>119535</v>
      </c>
      <c r="AO126" s="41">
        <v>120329</v>
      </c>
      <c r="AP126" s="41">
        <v>121108</v>
      </c>
      <c r="AQ126" s="41">
        <v>121918</v>
      </c>
      <c r="AR126" s="41">
        <v>122705</v>
      </c>
      <c r="AS126" s="41">
        <v>123456</v>
      </c>
    </row>
    <row r="127" spans="1:45">
      <c r="A127" s="38" t="s">
        <v>370</v>
      </c>
      <c r="B127" s="38" t="s">
        <v>371</v>
      </c>
      <c r="C127" s="41">
        <v>73849</v>
      </c>
      <c r="D127" s="41">
        <v>74097</v>
      </c>
      <c r="E127" s="41">
        <v>74321</v>
      </c>
      <c r="F127" s="41">
        <v>74663</v>
      </c>
      <c r="G127" s="41">
        <v>74941</v>
      </c>
      <c r="H127" s="41">
        <v>75650</v>
      </c>
      <c r="I127" s="41">
        <v>76330</v>
      </c>
      <c r="J127" s="41">
        <v>77140</v>
      </c>
      <c r="K127" s="41">
        <v>77368</v>
      </c>
      <c r="L127" s="41">
        <v>77746</v>
      </c>
      <c r="M127" s="41">
        <v>78192</v>
      </c>
      <c r="N127" s="41">
        <v>78866</v>
      </c>
      <c r="O127" s="41">
        <v>79329</v>
      </c>
      <c r="P127" s="41">
        <v>79945</v>
      </c>
      <c r="Q127" s="41">
        <v>80465</v>
      </c>
      <c r="R127" s="41">
        <v>81104</v>
      </c>
      <c r="S127" s="41">
        <v>81873</v>
      </c>
      <c r="T127" s="41">
        <v>82350</v>
      </c>
      <c r="U127" s="41">
        <v>83194</v>
      </c>
      <c r="V127" s="41">
        <v>83915</v>
      </c>
      <c r="W127" s="41">
        <v>84613</v>
      </c>
      <c r="X127" s="41">
        <v>85486</v>
      </c>
      <c r="Y127" s="41">
        <v>86325</v>
      </c>
      <c r="Z127" s="41">
        <v>87168</v>
      </c>
      <c r="AA127" s="41">
        <v>87956</v>
      </c>
      <c r="AB127" s="41">
        <v>88724</v>
      </c>
      <c r="AC127" s="41">
        <v>89495</v>
      </c>
      <c r="AD127" s="41">
        <v>90263</v>
      </c>
      <c r="AE127" s="41">
        <v>91009</v>
      </c>
      <c r="AF127" s="41">
        <v>91720</v>
      </c>
      <c r="AG127" s="41">
        <v>92434</v>
      </c>
      <c r="AH127" s="41">
        <v>93122</v>
      </c>
      <c r="AI127" s="41">
        <v>93815</v>
      </c>
      <c r="AJ127" s="41">
        <v>94469</v>
      </c>
      <c r="AK127" s="41">
        <v>95122</v>
      </c>
      <c r="AL127" s="41">
        <v>95779</v>
      </c>
      <c r="AM127" s="41">
        <v>96408</v>
      </c>
      <c r="AN127" s="41">
        <v>97022</v>
      </c>
      <c r="AO127" s="41">
        <v>97606</v>
      </c>
      <c r="AP127" s="41">
        <v>98171</v>
      </c>
      <c r="AQ127" s="41">
        <v>98759</v>
      </c>
      <c r="AR127" s="41">
        <v>99327</v>
      </c>
      <c r="AS127" s="41">
        <v>99847</v>
      </c>
    </row>
    <row r="128" spans="1:45">
      <c r="A128" s="38" t="s">
        <v>372</v>
      </c>
      <c r="B128" s="38" t="s">
        <v>373</v>
      </c>
      <c r="C128" s="41">
        <v>37638</v>
      </c>
      <c r="D128" s="41">
        <v>37572</v>
      </c>
      <c r="E128" s="41">
        <v>37560</v>
      </c>
      <c r="F128" s="41">
        <v>37242</v>
      </c>
      <c r="G128" s="41">
        <v>37388</v>
      </c>
      <c r="H128" s="41">
        <v>37697</v>
      </c>
      <c r="I128" s="41">
        <v>37938</v>
      </c>
      <c r="J128" s="41">
        <v>38443</v>
      </c>
      <c r="K128" s="41">
        <v>38851</v>
      </c>
      <c r="L128" s="41">
        <v>39168</v>
      </c>
      <c r="M128" s="41">
        <v>39701</v>
      </c>
      <c r="N128" s="41">
        <v>39840</v>
      </c>
      <c r="O128" s="41">
        <v>40155</v>
      </c>
      <c r="P128" s="41">
        <v>40555</v>
      </c>
      <c r="Q128" s="41">
        <v>40778</v>
      </c>
      <c r="R128" s="41">
        <v>40964</v>
      </c>
      <c r="S128" s="41">
        <v>41093</v>
      </c>
      <c r="T128" s="41">
        <v>41186</v>
      </c>
      <c r="U128" s="41">
        <v>41416</v>
      </c>
      <c r="V128" s="41">
        <v>41576</v>
      </c>
      <c r="W128" s="41">
        <v>41732</v>
      </c>
      <c r="X128" s="41">
        <v>41943</v>
      </c>
      <c r="Y128" s="41">
        <v>42164</v>
      </c>
      <c r="Z128" s="41">
        <v>42382</v>
      </c>
      <c r="AA128" s="41">
        <v>42576</v>
      </c>
      <c r="AB128" s="41">
        <v>42771</v>
      </c>
      <c r="AC128" s="41">
        <v>42977</v>
      </c>
      <c r="AD128" s="41">
        <v>43175</v>
      </c>
      <c r="AE128" s="41">
        <v>43394</v>
      </c>
      <c r="AF128" s="41">
        <v>43591</v>
      </c>
      <c r="AG128" s="41">
        <v>43794</v>
      </c>
      <c r="AH128" s="41">
        <v>43999</v>
      </c>
      <c r="AI128" s="41">
        <v>44197</v>
      </c>
      <c r="AJ128" s="41">
        <v>44401</v>
      </c>
      <c r="AK128" s="41">
        <v>44600</v>
      </c>
      <c r="AL128" s="41">
        <v>44798</v>
      </c>
      <c r="AM128" s="41">
        <v>44988</v>
      </c>
      <c r="AN128" s="41">
        <v>45179</v>
      </c>
      <c r="AO128" s="41">
        <v>45363</v>
      </c>
      <c r="AP128" s="41">
        <v>45535</v>
      </c>
      <c r="AQ128" s="41">
        <v>45720</v>
      </c>
      <c r="AR128" s="41">
        <v>45895</v>
      </c>
      <c r="AS128" s="41">
        <v>46066</v>
      </c>
    </row>
    <row r="129" spans="1:45">
      <c r="A129" s="38" t="s">
        <v>374</v>
      </c>
      <c r="B129" s="38" t="s">
        <v>375</v>
      </c>
      <c r="C129" s="41">
        <v>36788</v>
      </c>
      <c r="D129" s="41">
        <v>36941</v>
      </c>
      <c r="E129" s="41">
        <v>37096</v>
      </c>
      <c r="F129" s="41">
        <v>37270</v>
      </c>
      <c r="G129" s="41">
        <v>37527</v>
      </c>
      <c r="H129" s="41">
        <v>37763</v>
      </c>
      <c r="I129" s="41">
        <v>38050</v>
      </c>
      <c r="J129" s="41">
        <v>38321</v>
      </c>
      <c r="K129" s="41">
        <v>38505</v>
      </c>
      <c r="L129" s="41">
        <v>38694</v>
      </c>
      <c r="M129" s="41">
        <v>38829</v>
      </c>
      <c r="N129" s="41">
        <v>39077</v>
      </c>
      <c r="O129" s="41">
        <v>39251</v>
      </c>
      <c r="P129" s="41">
        <v>39574</v>
      </c>
      <c r="Q129" s="41">
        <v>39834</v>
      </c>
      <c r="R129" s="41">
        <v>40165</v>
      </c>
      <c r="S129" s="41">
        <v>40539</v>
      </c>
      <c r="T129" s="41">
        <v>40813</v>
      </c>
      <c r="U129" s="41">
        <v>41203</v>
      </c>
      <c r="V129" s="41">
        <v>41526</v>
      </c>
      <c r="W129" s="41">
        <v>41834</v>
      </c>
      <c r="X129" s="41">
        <v>42144</v>
      </c>
      <c r="Y129" s="41">
        <v>42431</v>
      </c>
      <c r="Z129" s="41">
        <v>42714</v>
      </c>
      <c r="AA129" s="41">
        <v>42959</v>
      </c>
      <c r="AB129" s="41">
        <v>43207</v>
      </c>
      <c r="AC129" s="41">
        <v>43467</v>
      </c>
      <c r="AD129" s="41">
        <v>43709</v>
      </c>
      <c r="AE129" s="41">
        <v>43945</v>
      </c>
      <c r="AF129" s="41">
        <v>44159</v>
      </c>
      <c r="AG129" s="41">
        <v>44386</v>
      </c>
      <c r="AH129" s="41">
        <v>44612</v>
      </c>
      <c r="AI129" s="41">
        <v>44820</v>
      </c>
      <c r="AJ129" s="41">
        <v>45033</v>
      </c>
      <c r="AK129" s="41">
        <v>45238</v>
      </c>
      <c r="AL129" s="41">
        <v>45446</v>
      </c>
      <c r="AM129" s="41">
        <v>45657</v>
      </c>
      <c r="AN129" s="41">
        <v>45856</v>
      </c>
      <c r="AO129" s="41">
        <v>46054</v>
      </c>
      <c r="AP129" s="41">
        <v>46251</v>
      </c>
      <c r="AQ129" s="41">
        <v>46454</v>
      </c>
      <c r="AR129" s="41">
        <v>46645</v>
      </c>
      <c r="AS129" s="41">
        <v>46817</v>
      </c>
    </row>
    <row r="130" spans="1:45">
      <c r="A130" s="38" t="s">
        <v>376</v>
      </c>
      <c r="B130" s="38" t="s">
        <v>377</v>
      </c>
      <c r="C130" s="41">
        <v>97178</v>
      </c>
      <c r="D130" s="41">
        <v>96962</v>
      </c>
      <c r="E130" s="41">
        <v>96588</v>
      </c>
      <c r="F130" s="41">
        <v>96029</v>
      </c>
      <c r="G130" s="41">
        <v>96371</v>
      </c>
      <c r="H130" s="41">
        <v>96687</v>
      </c>
      <c r="I130" s="41">
        <v>96884</v>
      </c>
      <c r="J130" s="41">
        <v>97600</v>
      </c>
      <c r="K130" s="41">
        <v>98483</v>
      </c>
      <c r="L130" s="41">
        <v>99156</v>
      </c>
      <c r="M130" s="41">
        <v>100277</v>
      </c>
      <c r="N130" s="41">
        <v>101634</v>
      </c>
      <c r="O130" s="41">
        <v>102968</v>
      </c>
      <c r="P130" s="41">
        <v>104483</v>
      </c>
      <c r="Q130" s="41">
        <v>105726</v>
      </c>
      <c r="R130" s="41">
        <v>106855</v>
      </c>
      <c r="S130" s="41">
        <v>107646</v>
      </c>
      <c r="T130" s="41">
        <v>108306</v>
      </c>
      <c r="U130" s="41">
        <v>109028</v>
      </c>
      <c r="V130" s="41">
        <v>109631</v>
      </c>
      <c r="W130" s="41">
        <v>110163</v>
      </c>
      <c r="X130" s="41">
        <v>111147</v>
      </c>
      <c r="Y130" s="41">
        <v>112084</v>
      </c>
      <c r="Z130" s="41">
        <v>112939</v>
      </c>
      <c r="AA130" s="41">
        <v>113740</v>
      </c>
      <c r="AB130" s="41">
        <v>114524</v>
      </c>
      <c r="AC130" s="41">
        <v>115267</v>
      </c>
      <c r="AD130" s="41">
        <v>116013</v>
      </c>
      <c r="AE130" s="41">
        <v>116707</v>
      </c>
      <c r="AF130" s="41">
        <v>117388</v>
      </c>
      <c r="AG130" s="41">
        <v>118067</v>
      </c>
      <c r="AH130" s="41">
        <v>118725</v>
      </c>
      <c r="AI130" s="41">
        <v>119383</v>
      </c>
      <c r="AJ130" s="41">
        <v>120002</v>
      </c>
      <c r="AK130" s="41">
        <v>120607</v>
      </c>
      <c r="AL130" s="41">
        <v>121209</v>
      </c>
      <c r="AM130" s="41">
        <v>121800</v>
      </c>
      <c r="AN130" s="41">
        <v>122376</v>
      </c>
      <c r="AO130" s="41">
        <v>122901</v>
      </c>
      <c r="AP130" s="41">
        <v>123419</v>
      </c>
      <c r="AQ130" s="41">
        <v>123940</v>
      </c>
      <c r="AR130" s="41">
        <v>124465</v>
      </c>
      <c r="AS130" s="41">
        <v>124952</v>
      </c>
    </row>
    <row r="131" spans="1:45">
      <c r="A131" s="38" t="s">
        <v>378</v>
      </c>
      <c r="B131" s="38" t="s">
        <v>379</v>
      </c>
      <c r="C131" s="41">
        <v>40894</v>
      </c>
      <c r="D131" s="41">
        <v>41282</v>
      </c>
      <c r="E131" s="41">
        <v>41784</v>
      </c>
      <c r="F131" s="41">
        <v>42315</v>
      </c>
      <c r="G131" s="41">
        <v>42776</v>
      </c>
      <c r="H131" s="41">
        <v>43262</v>
      </c>
      <c r="I131" s="41">
        <v>43646</v>
      </c>
      <c r="J131" s="41">
        <v>44160</v>
      </c>
      <c r="K131" s="41">
        <v>44517</v>
      </c>
      <c r="L131" s="41">
        <v>44844</v>
      </c>
      <c r="M131" s="41">
        <v>45310</v>
      </c>
      <c r="N131" s="41">
        <v>45709</v>
      </c>
      <c r="O131" s="41">
        <v>46060</v>
      </c>
      <c r="P131" s="41">
        <v>46729</v>
      </c>
      <c r="Q131" s="41">
        <v>47384</v>
      </c>
      <c r="R131" s="41">
        <v>48004</v>
      </c>
      <c r="S131" s="41">
        <v>48782</v>
      </c>
      <c r="T131" s="41">
        <v>49401</v>
      </c>
      <c r="U131" s="41">
        <v>50199</v>
      </c>
      <c r="V131" s="41">
        <v>50925</v>
      </c>
      <c r="W131" s="41">
        <v>51634</v>
      </c>
      <c r="X131" s="41">
        <v>52282</v>
      </c>
      <c r="Y131" s="41">
        <v>52931</v>
      </c>
      <c r="Z131" s="41">
        <v>53596</v>
      </c>
      <c r="AA131" s="41">
        <v>54205</v>
      </c>
      <c r="AB131" s="41">
        <v>54793</v>
      </c>
      <c r="AC131" s="41">
        <v>55390</v>
      </c>
      <c r="AD131" s="41">
        <v>55989</v>
      </c>
      <c r="AE131" s="41">
        <v>56573</v>
      </c>
      <c r="AF131" s="41">
        <v>57130</v>
      </c>
      <c r="AG131" s="41">
        <v>57688</v>
      </c>
      <c r="AH131" s="41">
        <v>58246</v>
      </c>
      <c r="AI131" s="41">
        <v>58800</v>
      </c>
      <c r="AJ131" s="41">
        <v>59327</v>
      </c>
      <c r="AK131" s="41">
        <v>59832</v>
      </c>
      <c r="AL131" s="41">
        <v>60355</v>
      </c>
      <c r="AM131" s="41">
        <v>60867</v>
      </c>
      <c r="AN131" s="41">
        <v>61374</v>
      </c>
      <c r="AO131" s="41">
        <v>61865</v>
      </c>
      <c r="AP131" s="41">
        <v>62344</v>
      </c>
      <c r="AQ131" s="41">
        <v>62852</v>
      </c>
      <c r="AR131" s="41">
        <v>63354</v>
      </c>
      <c r="AS131" s="41">
        <v>63833</v>
      </c>
    </row>
    <row r="132" spans="1:45">
      <c r="A132" s="38" t="s">
        <v>380</v>
      </c>
      <c r="B132" s="38" t="s">
        <v>381</v>
      </c>
      <c r="C132" s="41">
        <v>49862</v>
      </c>
      <c r="D132" s="41">
        <v>50123</v>
      </c>
      <c r="E132" s="41">
        <v>50568</v>
      </c>
      <c r="F132" s="41">
        <v>51113</v>
      </c>
      <c r="G132" s="41">
        <v>51673</v>
      </c>
      <c r="H132" s="41">
        <v>52296</v>
      </c>
      <c r="I132" s="41">
        <v>52824</v>
      </c>
      <c r="J132" s="41">
        <v>53243</v>
      </c>
      <c r="K132" s="41">
        <v>53749</v>
      </c>
      <c r="L132" s="41">
        <v>54297</v>
      </c>
      <c r="M132" s="41">
        <v>54880</v>
      </c>
      <c r="N132" s="41">
        <v>55209</v>
      </c>
      <c r="O132" s="41">
        <v>55757</v>
      </c>
      <c r="P132" s="41">
        <v>56359</v>
      </c>
      <c r="Q132" s="41">
        <v>57039</v>
      </c>
      <c r="R132" s="41">
        <v>58025</v>
      </c>
      <c r="S132" s="41">
        <v>58941</v>
      </c>
      <c r="T132" s="41">
        <v>59771</v>
      </c>
      <c r="U132" s="41">
        <v>60675</v>
      </c>
      <c r="V132" s="41">
        <v>61473</v>
      </c>
      <c r="W132" s="41">
        <v>62221</v>
      </c>
      <c r="X132" s="41">
        <v>63094</v>
      </c>
      <c r="Y132" s="41">
        <v>63940</v>
      </c>
      <c r="Z132" s="41">
        <v>64746</v>
      </c>
      <c r="AA132" s="41">
        <v>65507</v>
      </c>
      <c r="AB132" s="41">
        <v>66240</v>
      </c>
      <c r="AC132" s="41">
        <v>66986</v>
      </c>
      <c r="AD132" s="41">
        <v>67697</v>
      </c>
      <c r="AE132" s="41">
        <v>68395</v>
      </c>
      <c r="AF132" s="41">
        <v>69064</v>
      </c>
      <c r="AG132" s="41">
        <v>69725</v>
      </c>
      <c r="AH132" s="41">
        <v>70371</v>
      </c>
      <c r="AI132" s="41">
        <v>70994</v>
      </c>
      <c r="AJ132" s="41">
        <v>71609</v>
      </c>
      <c r="AK132" s="41">
        <v>72200</v>
      </c>
      <c r="AL132" s="41">
        <v>72779</v>
      </c>
      <c r="AM132" s="41">
        <v>73332</v>
      </c>
      <c r="AN132" s="41">
        <v>73879</v>
      </c>
      <c r="AO132" s="41">
        <v>74409</v>
      </c>
      <c r="AP132" s="41">
        <v>74915</v>
      </c>
      <c r="AQ132" s="41">
        <v>75436</v>
      </c>
      <c r="AR132" s="41">
        <v>75949</v>
      </c>
      <c r="AS132" s="41">
        <v>76426</v>
      </c>
    </row>
    <row r="133" spans="1:45">
      <c r="A133" s="38" t="s">
        <v>382</v>
      </c>
      <c r="B133" s="38" t="s">
        <v>383</v>
      </c>
      <c r="C133" s="41">
        <v>85147</v>
      </c>
      <c r="D133" s="41">
        <v>85178</v>
      </c>
      <c r="E133" s="41">
        <v>84669</v>
      </c>
      <c r="F133" s="41">
        <v>85162</v>
      </c>
      <c r="G133" s="41">
        <v>86337</v>
      </c>
      <c r="H133" s="41">
        <v>87320</v>
      </c>
      <c r="I133" s="41">
        <v>88582</v>
      </c>
      <c r="J133" s="41">
        <v>89648</v>
      </c>
      <c r="K133" s="41">
        <v>91340</v>
      </c>
      <c r="L133" s="41">
        <v>92924</v>
      </c>
      <c r="M133" s="41">
        <v>94696</v>
      </c>
      <c r="N133" s="41">
        <v>95812</v>
      </c>
      <c r="O133" s="41">
        <v>96753</v>
      </c>
      <c r="P133" s="41">
        <v>97643</v>
      </c>
      <c r="Q133" s="41">
        <v>98484</v>
      </c>
      <c r="R133" s="41">
        <v>99099</v>
      </c>
      <c r="S133" s="41">
        <v>99303</v>
      </c>
      <c r="T133" s="41">
        <v>99767</v>
      </c>
      <c r="U133" s="41">
        <v>100123</v>
      </c>
      <c r="V133" s="41">
        <v>100448</v>
      </c>
      <c r="W133" s="41">
        <v>100690</v>
      </c>
      <c r="X133" s="41">
        <v>101410</v>
      </c>
      <c r="Y133" s="41">
        <v>102101</v>
      </c>
      <c r="Z133" s="41">
        <v>102727</v>
      </c>
      <c r="AA133" s="41">
        <v>103324</v>
      </c>
      <c r="AB133" s="41">
        <v>103889</v>
      </c>
      <c r="AC133" s="41">
        <v>104434</v>
      </c>
      <c r="AD133" s="41">
        <v>104992</v>
      </c>
      <c r="AE133" s="41">
        <v>105520</v>
      </c>
      <c r="AF133" s="41">
        <v>106024</v>
      </c>
      <c r="AG133" s="41">
        <v>106525</v>
      </c>
      <c r="AH133" s="41">
        <v>107030</v>
      </c>
      <c r="AI133" s="41">
        <v>107527</v>
      </c>
      <c r="AJ133" s="41">
        <v>108002</v>
      </c>
      <c r="AK133" s="41">
        <v>108458</v>
      </c>
      <c r="AL133" s="41">
        <v>108912</v>
      </c>
      <c r="AM133" s="41">
        <v>109364</v>
      </c>
      <c r="AN133" s="41">
        <v>109800</v>
      </c>
      <c r="AO133" s="41">
        <v>110195</v>
      </c>
      <c r="AP133" s="41">
        <v>110578</v>
      </c>
      <c r="AQ133" s="41">
        <v>110966</v>
      </c>
      <c r="AR133" s="41">
        <v>111349</v>
      </c>
      <c r="AS133" s="41">
        <v>111709</v>
      </c>
    </row>
    <row r="134" spans="1:45">
      <c r="A134" s="38" t="s">
        <v>384</v>
      </c>
      <c r="B134" s="38" t="s">
        <v>385</v>
      </c>
      <c r="C134" s="41">
        <v>62604</v>
      </c>
      <c r="D134" s="41">
        <v>63306</v>
      </c>
      <c r="E134" s="41">
        <v>63896</v>
      </c>
      <c r="F134" s="41">
        <v>64965</v>
      </c>
      <c r="G134" s="41">
        <v>65485</v>
      </c>
      <c r="H134" s="41">
        <v>66136</v>
      </c>
      <c r="I134" s="41">
        <v>66631</v>
      </c>
      <c r="J134" s="41">
        <v>67427</v>
      </c>
      <c r="K134" s="41">
        <v>67968</v>
      </c>
      <c r="L134" s="41">
        <v>68559</v>
      </c>
      <c r="M134" s="41">
        <v>69168</v>
      </c>
      <c r="N134" s="41">
        <v>69801</v>
      </c>
      <c r="O134" s="41">
        <v>70399</v>
      </c>
      <c r="P134" s="41">
        <v>71605</v>
      </c>
      <c r="Q134" s="41">
        <v>72366</v>
      </c>
      <c r="R134" s="41">
        <v>72879</v>
      </c>
      <c r="S134" s="41">
        <v>73591</v>
      </c>
      <c r="T134" s="41">
        <v>73915</v>
      </c>
      <c r="U134" s="41">
        <v>74561</v>
      </c>
      <c r="V134" s="41">
        <v>75084</v>
      </c>
      <c r="W134" s="41">
        <v>75581</v>
      </c>
      <c r="X134" s="41">
        <v>76194</v>
      </c>
      <c r="Y134" s="41">
        <v>76750</v>
      </c>
      <c r="Z134" s="41">
        <v>77297</v>
      </c>
      <c r="AA134" s="41">
        <v>77790</v>
      </c>
      <c r="AB134" s="41">
        <v>78259</v>
      </c>
      <c r="AC134" s="41">
        <v>78741</v>
      </c>
      <c r="AD134" s="41">
        <v>79186</v>
      </c>
      <c r="AE134" s="41">
        <v>79635</v>
      </c>
      <c r="AF134" s="41">
        <v>80054</v>
      </c>
      <c r="AG134" s="41">
        <v>80464</v>
      </c>
      <c r="AH134" s="41">
        <v>80884</v>
      </c>
      <c r="AI134" s="41">
        <v>81303</v>
      </c>
      <c r="AJ134" s="41">
        <v>81714</v>
      </c>
      <c r="AK134" s="41">
        <v>82114</v>
      </c>
      <c r="AL134" s="41">
        <v>82521</v>
      </c>
      <c r="AM134" s="41">
        <v>82914</v>
      </c>
      <c r="AN134" s="41">
        <v>83312</v>
      </c>
      <c r="AO134" s="41">
        <v>83692</v>
      </c>
      <c r="AP134" s="41">
        <v>84070</v>
      </c>
      <c r="AQ134" s="41">
        <v>84461</v>
      </c>
      <c r="AR134" s="41">
        <v>84848</v>
      </c>
      <c r="AS134" s="41">
        <v>85217</v>
      </c>
    </row>
    <row r="135" spans="1:45">
      <c r="A135" s="38" t="s">
        <v>386</v>
      </c>
      <c r="B135" s="38" t="s">
        <v>387</v>
      </c>
      <c r="C135" s="41">
        <v>32676</v>
      </c>
      <c r="D135" s="41">
        <v>32754</v>
      </c>
      <c r="E135" s="41">
        <v>32829</v>
      </c>
      <c r="F135" s="41">
        <v>32935</v>
      </c>
      <c r="G135" s="41">
        <v>33124</v>
      </c>
      <c r="H135" s="41">
        <v>33371</v>
      </c>
      <c r="I135" s="41">
        <v>33496</v>
      </c>
      <c r="J135" s="41">
        <v>33535</v>
      </c>
      <c r="K135" s="41">
        <v>33600</v>
      </c>
      <c r="L135" s="41">
        <v>33754</v>
      </c>
      <c r="M135" s="41">
        <v>34059</v>
      </c>
      <c r="N135" s="41">
        <v>34058</v>
      </c>
      <c r="O135" s="41">
        <v>34061</v>
      </c>
      <c r="P135" s="41">
        <v>34221</v>
      </c>
      <c r="Q135" s="41">
        <v>34306</v>
      </c>
      <c r="R135" s="41">
        <v>34550</v>
      </c>
      <c r="S135" s="41">
        <v>34661</v>
      </c>
      <c r="T135" s="41">
        <v>34896</v>
      </c>
      <c r="U135" s="41">
        <v>35141</v>
      </c>
      <c r="V135" s="41">
        <v>35318</v>
      </c>
      <c r="W135" s="41">
        <v>35502</v>
      </c>
      <c r="X135" s="41">
        <v>35611</v>
      </c>
      <c r="Y135" s="41">
        <v>35727</v>
      </c>
      <c r="Z135" s="41">
        <v>35846</v>
      </c>
      <c r="AA135" s="41">
        <v>35950</v>
      </c>
      <c r="AB135" s="41">
        <v>36054</v>
      </c>
      <c r="AC135" s="41">
        <v>36157</v>
      </c>
      <c r="AD135" s="41">
        <v>36261</v>
      </c>
      <c r="AE135" s="41">
        <v>36369</v>
      </c>
      <c r="AF135" s="41">
        <v>36471</v>
      </c>
      <c r="AG135" s="41">
        <v>36574</v>
      </c>
      <c r="AH135" s="41">
        <v>36684</v>
      </c>
      <c r="AI135" s="41">
        <v>36800</v>
      </c>
      <c r="AJ135" s="41">
        <v>36910</v>
      </c>
      <c r="AK135" s="41">
        <v>37019</v>
      </c>
      <c r="AL135" s="41">
        <v>37132</v>
      </c>
      <c r="AM135" s="41">
        <v>37261</v>
      </c>
      <c r="AN135" s="41">
        <v>37391</v>
      </c>
      <c r="AO135" s="41">
        <v>37506</v>
      </c>
      <c r="AP135" s="41">
        <v>37632</v>
      </c>
      <c r="AQ135" s="41">
        <v>37751</v>
      </c>
      <c r="AR135" s="41">
        <v>37875</v>
      </c>
      <c r="AS135" s="41">
        <v>37989</v>
      </c>
    </row>
    <row r="136" spans="1:45">
      <c r="A136" s="38" t="s">
        <v>388</v>
      </c>
      <c r="B136" s="38" t="s">
        <v>389</v>
      </c>
      <c r="C136" s="41">
        <v>49359</v>
      </c>
      <c r="D136" s="41">
        <v>49749</v>
      </c>
      <c r="E136" s="41">
        <v>50341</v>
      </c>
      <c r="F136" s="41">
        <v>51079</v>
      </c>
      <c r="G136" s="41">
        <v>52420</v>
      </c>
      <c r="H136" s="41">
        <v>52870</v>
      </c>
      <c r="I136" s="41">
        <v>53307</v>
      </c>
      <c r="J136" s="41">
        <v>54098</v>
      </c>
      <c r="K136" s="41">
        <v>54888</v>
      </c>
      <c r="L136" s="41">
        <v>55901</v>
      </c>
      <c r="M136" s="41">
        <v>56792</v>
      </c>
      <c r="N136" s="41">
        <v>57405</v>
      </c>
      <c r="O136" s="41">
        <v>57780</v>
      </c>
      <c r="P136" s="41">
        <v>58258</v>
      </c>
      <c r="Q136" s="41">
        <v>58857</v>
      </c>
      <c r="R136" s="41">
        <v>59272</v>
      </c>
      <c r="S136" s="41">
        <v>59431</v>
      </c>
      <c r="T136" s="41">
        <v>59058</v>
      </c>
      <c r="U136" s="41">
        <v>59019</v>
      </c>
      <c r="V136" s="41">
        <v>59001</v>
      </c>
      <c r="W136" s="41">
        <v>58970</v>
      </c>
      <c r="X136" s="41">
        <v>59019</v>
      </c>
      <c r="Y136" s="41">
        <v>59041</v>
      </c>
      <c r="Z136" s="41">
        <v>59087</v>
      </c>
      <c r="AA136" s="41">
        <v>59135</v>
      </c>
      <c r="AB136" s="41">
        <v>59201</v>
      </c>
      <c r="AC136" s="41">
        <v>59295</v>
      </c>
      <c r="AD136" s="41">
        <v>59376</v>
      </c>
      <c r="AE136" s="41">
        <v>59471</v>
      </c>
      <c r="AF136" s="41">
        <v>59576</v>
      </c>
      <c r="AG136" s="41">
        <v>59701</v>
      </c>
      <c r="AH136" s="41">
        <v>59843</v>
      </c>
      <c r="AI136" s="41">
        <v>59991</v>
      </c>
      <c r="AJ136" s="41">
        <v>60133</v>
      </c>
      <c r="AK136" s="41">
        <v>60280</v>
      </c>
      <c r="AL136" s="41">
        <v>60429</v>
      </c>
      <c r="AM136" s="41">
        <v>60573</v>
      </c>
      <c r="AN136" s="41">
        <v>60712</v>
      </c>
      <c r="AO136" s="41">
        <v>60840</v>
      </c>
      <c r="AP136" s="41">
        <v>60965</v>
      </c>
      <c r="AQ136" s="41">
        <v>61095</v>
      </c>
      <c r="AR136" s="41">
        <v>61210</v>
      </c>
      <c r="AS136" s="41">
        <v>61327</v>
      </c>
    </row>
    <row r="137" spans="1:45">
      <c r="A137" s="38" t="s">
        <v>390</v>
      </c>
      <c r="B137" s="38" t="s">
        <v>391</v>
      </c>
      <c r="C137" s="41">
        <v>57308</v>
      </c>
      <c r="D137" s="41">
        <v>57788</v>
      </c>
      <c r="E137" s="41">
        <v>58310</v>
      </c>
      <c r="F137" s="41">
        <v>58829</v>
      </c>
      <c r="G137" s="41">
        <v>59507</v>
      </c>
      <c r="H137" s="41">
        <v>59896</v>
      </c>
      <c r="I137" s="41">
        <v>60321</v>
      </c>
      <c r="J137" s="41">
        <v>60665</v>
      </c>
      <c r="K137" s="41">
        <v>60760</v>
      </c>
      <c r="L137" s="41">
        <v>60904</v>
      </c>
      <c r="M137" s="41">
        <v>60953</v>
      </c>
      <c r="N137" s="41">
        <v>61282</v>
      </c>
      <c r="O137" s="41">
        <v>61482</v>
      </c>
      <c r="P137" s="41">
        <v>62065</v>
      </c>
      <c r="Q137" s="41">
        <v>62480</v>
      </c>
      <c r="R137" s="41">
        <v>62972</v>
      </c>
      <c r="S137" s="41">
        <v>63597</v>
      </c>
      <c r="T137" s="41">
        <v>64185</v>
      </c>
      <c r="U137" s="41">
        <v>64942</v>
      </c>
      <c r="V137" s="41">
        <v>65591</v>
      </c>
      <c r="W137" s="41">
        <v>66225</v>
      </c>
      <c r="X137" s="41">
        <v>66896</v>
      </c>
      <c r="Y137" s="41">
        <v>67552</v>
      </c>
      <c r="Z137" s="41">
        <v>68216</v>
      </c>
      <c r="AA137" s="41">
        <v>68821</v>
      </c>
      <c r="AB137" s="41">
        <v>69438</v>
      </c>
      <c r="AC137" s="41">
        <v>70046</v>
      </c>
      <c r="AD137" s="41">
        <v>70625</v>
      </c>
      <c r="AE137" s="41">
        <v>71197</v>
      </c>
      <c r="AF137" s="41">
        <v>71731</v>
      </c>
      <c r="AG137" s="41">
        <v>72273</v>
      </c>
      <c r="AH137" s="41">
        <v>72775</v>
      </c>
      <c r="AI137" s="41">
        <v>73267</v>
      </c>
      <c r="AJ137" s="41">
        <v>73752</v>
      </c>
      <c r="AK137" s="41">
        <v>74231</v>
      </c>
      <c r="AL137" s="41">
        <v>74701</v>
      </c>
      <c r="AM137" s="41">
        <v>75142</v>
      </c>
      <c r="AN137" s="41">
        <v>75564</v>
      </c>
      <c r="AO137" s="41">
        <v>75979</v>
      </c>
      <c r="AP137" s="41">
        <v>76387</v>
      </c>
      <c r="AQ137" s="41">
        <v>76794</v>
      </c>
      <c r="AR137" s="41">
        <v>77172</v>
      </c>
      <c r="AS137" s="41">
        <v>77522</v>
      </c>
    </row>
    <row r="138" spans="1:45">
      <c r="A138" s="38" t="s">
        <v>392</v>
      </c>
      <c r="B138" s="38" t="s">
        <v>393</v>
      </c>
      <c r="C138" s="38">
        <v>914</v>
      </c>
      <c r="D138" s="38">
        <v>921</v>
      </c>
      <c r="E138" s="38">
        <v>925</v>
      </c>
      <c r="F138" s="38">
        <v>935</v>
      </c>
      <c r="G138" s="38">
        <v>950</v>
      </c>
      <c r="H138" s="38">
        <v>964</v>
      </c>
      <c r="I138" s="38">
        <v>994</v>
      </c>
      <c r="J138" s="41">
        <v>1011</v>
      </c>
      <c r="K138" s="38">
        <v>984</v>
      </c>
      <c r="L138" s="38">
        <v>973</v>
      </c>
      <c r="M138" s="41">
        <v>1007</v>
      </c>
      <c r="N138" s="41">
        <v>1029</v>
      </c>
      <c r="O138" s="41">
        <v>1014</v>
      </c>
      <c r="P138" s="41">
        <v>1025</v>
      </c>
      <c r="Q138" s="41">
        <v>1043</v>
      </c>
      <c r="R138" s="41">
        <v>1058</v>
      </c>
      <c r="S138" s="41">
        <v>1017</v>
      </c>
      <c r="T138" s="41">
        <v>1009</v>
      </c>
      <c r="U138" s="38">
        <v>951</v>
      </c>
      <c r="V138" s="38">
        <v>911</v>
      </c>
      <c r="W138" s="38">
        <v>880</v>
      </c>
      <c r="X138" s="38">
        <v>851</v>
      </c>
      <c r="Y138" s="38">
        <v>822</v>
      </c>
      <c r="Z138" s="38">
        <v>800</v>
      </c>
      <c r="AA138" s="38">
        <v>779</v>
      </c>
      <c r="AB138" s="38">
        <v>762</v>
      </c>
      <c r="AC138" s="38">
        <v>746</v>
      </c>
      <c r="AD138" s="38">
        <v>732</v>
      </c>
      <c r="AE138" s="38">
        <v>717</v>
      </c>
      <c r="AF138" s="38">
        <v>702</v>
      </c>
      <c r="AG138" s="38">
        <v>691</v>
      </c>
      <c r="AH138" s="38">
        <v>679</v>
      </c>
      <c r="AI138" s="38">
        <v>669</v>
      </c>
      <c r="AJ138" s="38">
        <v>659</v>
      </c>
      <c r="AK138" s="38">
        <v>650</v>
      </c>
      <c r="AL138" s="38">
        <v>643</v>
      </c>
      <c r="AM138" s="38">
        <v>636</v>
      </c>
      <c r="AN138" s="38">
        <v>630</v>
      </c>
      <c r="AO138" s="38">
        <v>625</v>
      </c>
      <c r="AP138" s="38">
        <v>620</v>
      </c>
      <c r="AQ138" s="38">
        <v>614</v>
      </c>
      <c r="AR138" s="38">
        <v>611</v>
      </c>
      <c r="AS138" s="38">
        <v>607</v>
      </c>
    </row>
    <row r="139" spans="1:45">
      <c r="A139" s="38" t="s">
        <v>394</v>
      </c>
      <c r="B139" s="38" t="s">
        <v>395</v>
      </c>
      <c r="C139" s="41">
        <v>83102</v>
      </c>
      <c r="D139" s="41">
        <v>83273</v>
      </c>
      <c r="E139" s="41">
        <v>83466</v>
      </c>
      <c r="F139" s="41">
        <v>83189</v>
      </c>
      <c r="G139" s="41">
        <v>84167</v>
      </c>
      <c r="H139" s="41">
        <v>84702</v>
      </c>
      <c r="I139" s="41">
        <v>85810</v>
      </c>
      <c r="J139" s="41">
        <v>87232</v>
      </c>
      <c r="K139" s="41">
        <v>89326</v>
      </c>
      <c r="L139" s="41">
        <v>90759</v>
      </c>
      <c r="M139" s="41">
        <v>92706</v>
      </c>
      <c r="N139" s="41">
        <v>94882</v>
      </c>
      <c r="O139" s="41">
        <v>96586</v>
      </c>
      <c r="P139" s="41">
        <v>98576</v>
      </c>
      <c r="Q139" s="41">
        <v>100609</v>
      </c>
      <c r="R139" s="41">
        <v>102412</v>
      </c>
      <c r="S139" s="41">
        <v>103382</v>
      </c>
      <c r="T139" s="41">
        <v>104600</v>
      </c>
      <c r="U139" s="41">
        <v>105488</v>
      </c>
      <c r="V139" s="41">
        <v>106240</v>
      </c>
      <c r="W139" s="41">
        <v>106885</v>
      </c>
      <c r="X139" s="41">
        <v>107800</v>
      </c>
      <c r="Y139" s="41">
        <v>108614</v>
      </c>
      <c r="Z139" s="41">
        <v>109380</v>
      </c>
      <c r="AA139" s="41">
        <v>110076</v>
      </c>
      <c r="AB139" s="41">
        <v>110779</v>
      </c>
      <c r="AC139" s="41">
        <v>111468</v>
      </c>
      <c r="AD139" s="41">
        <v>112168</v>
      </c>
      <c r="AE139" s="41">
        <v>112864</v>
      </c>
      <c r="AF139" s="41">
        <v>113588</v>
      </c>
      <c r="AG139" s="41">
        <v>114347</v>
      </c>
      <c r="AH139" s="41">
        <v>115139</v>
      </c>
      <c r="AI139" s="41">
        <v>115943</v>
      </c>
      <c r="AJ139" s="41">
        <v>116716</v>
      </c>
      <c r="AK139" s="41">
        <v>117494</v>
      </c>
      <c r="AL139" s="41">
        <v>118287</v>
      </c>
      <c r="AM139" s="41">
        <v>119059</v>
      </c>
      <c r="AN139" s="41">
        <v>119766</v>
      </c>
      <c r="AO139" s="41">
        <v>120399</v>
      </c>
      <c r="AP139" s="41">
        <v>120990</v>
      </c>
      <c r="AQ139" s="41">
        <v>121559</v>
      </c>
      <c r="AR139" s="41">
        <v>122076</v>
      </c>
      <c r="AS139" s="41">
        <v>122512</v>
      </c>
    </row>
    <row r="140" spans="1:45">
      <c r="A140" s="38" t="s">
        <v>396</v>
      </c>
      <c r="B140" s="38" t="s">
        <v>397</v>
      </c>
      <c r="C140" s="41">
        <v>80192</v>
      </c>
      <c r="D140" s="41">
        <v>80628</v>
      </c>
      <c r="E140" s="41">
        <v>80899</v>
      </c>
      <c r="F140" s="41">
        <v>80796</v>
      </c>
      <c r="G140" s="41">
        <v>81721</v>
      </c>
      <c r="H140" s="41">
        <v>80218</v>
      </c>
      <c r="I140" s="41">
        <v>79124</v>
      </c>
      <c r="J140" s="41">
        <v>79053</v>
      </c>
      <c r="K140" s="41">
        <v>78827</v>
      </c>
      <c r="L140" s="41">
        <v>77992</v>
      </c>
      <c r="M140" s="41">
        <v>77306</v>
      </c>
      <c r="N140" s="41">
        <v>76699</v>
      </c>
      <c r="O140" s="41">
        <v>76846</v>
      </c>
      <c r="P140" s="41">
        <v>77106</v>
      </c>
      <c r="Q140" s="41">
        <v>77249</v>
      </c>
      <c r="R140" s="41">
        <v>76594</v>
      </c>
      <c r="S140" s="41">
        <v>75935</v>
      </c>
      <c r="T140" s="41">
        <v>75863</v>
      </c>
      <c r="U140" s="41">
        <v>75764</v>
      </c>
      <c r="V140" s="41">
        <v>75656</v>
      </c>
      <c r="W140" s="41">
        <v>75564</v>
      </c>
      <c r="X140" s="41">
        <v>75713</v>
      </c>
      <c r="Y140" s="41">
        <v>75875</v>
      </c>
      <c r="Z140" s="41">
        <v>76039</v>
      </c>
      <c r="AA140" s="41">
        <v>76190</v>
      </c>
      <c r="AB140" s="41">
        <v>76364</v>
      </c>
      <c r="AC140" s="41">
        <v>76533</v>
      </c>
      <c r="AD140" s="41">
        <v>76740</v>
      </c>
      <c r="AE140" s="41">
        <v>76972</v>
      </c>
      <c r="AF140" s="41">
        <v>77214</v>
      </c>
      <c r="AG140" s="41">
        <v>77496</v>
      </c>
      <c r="AH140" s="41">
        <v>77793</v>
      </c>
      <c r="AI140" s="41">
        <v>78082</v>
      </c>
      <c r="AJ140" s="41">
        <v>78372</v>
      </c>
      <c r="AK140" s="41">
        <v>78655</v>
      </c>
      <c r="AL140" s="41">
        <v>78948</v>
      </c>
      <c r="AM140" s="41">
        <v>79230</v>
      </c>
      <c r="AN140" s="41">
        <v>79489</v>
      </c>
      <c r="AO140" s="41">
        <v>79716</v>
      </c>
      <c r="AP140" s="41">
        <v>79923</v>
      </c>
      <c r="AQ140" s="41">
        <v>80130</v>
      </c>
      <c r="AR140" s="41">
        <v>80323</v>
      </c>
      <c r="AS140" s="41">
        <v>80487</v>
      </c>
    </row>
    <row r="141" spans="1:45">
      <c r="A141" s="38" t="s">
        <v>398</v>
      </c>
      <c r="B141" s="38" t="s">
        <v>399</v>
      </c>
      <c r="C141" s="41">
        <v>34316</v>
      </c>
      <c r="D141" s="41">
        <v>34722</v>
      </c>
      <c r="E141" s="41">
        <v>35339</v>
      </c>
      <c r="F141" s="41">
        <v>35801</v>
      </c>
      <c r="G141" s="41">
        <v>36304</v>
      </c>
      <c r="H141" s="41">
        <v>36913</v>
      </c>
      <c r="I141" s="41">
        <v>37688</v>
      </c>
      <c r="J141" s="41">
        <v>38323</v>
      </c>
      <c r="K141" s="41">
        <v>38784</v>
      </c>
      <c r="L141" s="41">
        <v>39107</v>
      </c>
      <c r="M141" s="41">
        <v>39570</v>
      </c>
      <c r="N141" s="41">
        <v>40023</v>
      </c>
      <c r="O141" s="41">
        <v>40419</v>
      </c>
      <c r="P141" s="41">
        <v>40947</v>
      </c>
      <c r="Q141" s="41">
        <v>41311</v>
      </c>
      <c r="R141" s="41">
        <v>41917</v>
      </c>
      <c r="S141" s="41">
        <v>42548</v>
      </c>
      <c r="T141" s="41">
        <v>42966</v>
      </c>
      <c r="U141" s="41">
        <v>43585</v>
      </c>
      <c r="V141" s="41">
        <v>44144</v>
      </c>
      <c r="W141" s="41">
        <v>44711</v>
      </c>
      <c r="X141" s="41">
        <v>45273</v>
      </c>
      <c r="Y141" s="41">
        <v>45823</v>
      </c>
      <c r="Z141" s="41">
        <v>46368</v>
      </c>
      <c r="AA141" s="41">
        <v>46885</v>
      </c>
      <c r="AB141" s="41">
        <v>47396</v>
      </c>
      <c r="AC141" s="41">
        <v>47910</v>
      </c>
      <c r="AD141" s="41">
        <v>48403</v>
      </c>
      <c r="AE141" s="41">
        <v>48884</v>
      </c>
      <c r="AF141" s="41">
        <v>49351</v>
      </c>
      <c r="AG141" s="41">
        <v>49802</v>
      </c>
      <c r="AH141" s="41">
        <v>50254</v>
      </c>
      <c r="AI141" s="41">
        <v>50698</v>
      </c>
      <c r="AJ141" s="41">
        <v>51131</v>
      </c>
      <c r="AK141" s="41">
        <v>51563</v>
      </c>
      <c r="AL141" s="41">
        <v>51981</v>
      </c>
      <c r="AM141" s="41">
        <v>52396</v>
      </c>
      <c r="AN141" s="41">
        <v>52808</v>
      </c>
      <c r="AO141" s="41">
        <v>53215</v>
      </c>
      <c r="AP141" s="41">
        <v>53613</v>
      </c>
      <c r="AQ141" s="41">
        <v>54021</v>
      </c>
      <c r="AR141" s="41">
        <v>54422</v>
      </c>
      <c r="AS141" s="41">
        <v>54815</v>
      </c>
    </row>
    <row r="142" spans="1:45">
      <c r="A142" s="38" t="s">
        <v>400</v>
      </c>
      <c r="B142" s="38" t="s">
        <v>401</v>
      </c>
      <c r="C142" s="41">
        <v>58109</v>
      </c>
      <c r="D142" s="41">
        <v>58544</v>
      </c>
      <c r="E142" s="41">
        <v>59009</v>
      </c>
      <c r="F142" s="41">
        <v>59438</v>
      </c>
      <c r="G142" s="41">
        <v>59932</v>
      </c>
      <c r="H142" s="41">
        <v>60705</v>
      </c>
      <c r="I142" s="41">
        <v>61185</v>
      </c>
      <c r="J142" s="41">
        <v>61654</v>
      </c>
      <c r="K142" s="41">
        <v>61991</v>
      </c>
      <c r="L142" s="41">
        <v>62303</v>
      </c>
      <c r="M142" s="41">
        <v>62928</v>
      </c>
      <c r="N142" s="41">
        <v>63122</v>
      </c>
      <c r="O142" s="41">
        <v>63347</v>
      </c>
      <c r="P142" s="41">
        <v>63710</v>
      </c>
      <c r="Q142" s="41">
        <v>64102</v>
      </c>
      <c r="R142" s="41">
        <v>64352</v>
      </c>
      <c r="S142" s="41">
        <v>64455</v>
      </c>
      <c r="T142" s="41">
        <v>64461</v>
      </c>
      <c r="U142" s="41">
        <v>64710</v>
      </c>
      <c r="V142" s="41">
        <v>64890</v>
      </c>
      <c r="W142" s="41">
        <v>65007</v>
      </c>
      <c r="X142" s="41">
        <v>65332</v>
      </c>
      <c r="Y142" s="41">
        <v>65653</v>
      </c>
      <c r="Z142" s="41">
        <v>65967</v>
      </c>
      <c r="AA142" s="41">
        <v>66247</v>
      </c>
      <c r="AB142" s="41">
        <v>66522</v>
      </c>
      <c r="AC142" s="41">
        <v>66852</v>
      </c>
      <c r="AD142" s="41">
        <v>67168</v>
      </c>
      <c r="AE142" s="41">
        <v>67468</v>
      </c>
      <c r="AF142" s="41">
        <v>67736</v>
      </c>
      <c r="AG142" s="41">
        <v>68031</v>
      </c>
      <c r="AH142" s="41">
        <v>68327</v>
      </c>
      <c r="AI142" s="41">
        <v>68639</v>
      </c>
      <c r="AJ142" s="41">
        <v>68943</v>
      </c>
      <c r="AK142" s="41">
        <v>69236</v>
      </c>
      <c r="AL142" s="41">
        <v>69539</v>
      </c>
      <c r="AM142" s="41">
        <v>69819</v>
      </c>
      <c r="AN142" s="41">
        <v>70126</v>
      </c>
      <c r="AO142" s="41">
        <v>70418</v>
      </c>
      <c r="AP142" s="41">
        <v>70710</v>
      </c>
      <c r="AQ142" s="41">
        <v>71019</v>
      </c>
      <c r="AR142" s="41">
        <v>71313</v>
      </c>
      <c r="AS142" s="41">
        <v>71603</v>
      </c>
    </row>
    <row r="143" spans="1:45">
      <c r="A143" s="38" t="s">
        <v>402</v>
      </c>
      <c r="B143" s="38" t="s">
        <v>403</v>
      </c>
      <c r="C143" s="41">
        <v>106447</v>
      </c>
      <c r="D143" s="41">
        <v>106522</v>
      </c>
      <c r="E143" s="41">
        <v>107152</v>
      </c>
      <c r="F143" s="41">
        <v>108327</v>
      </c>
      <c r="G143" s="41">
        <v>109424</v>
      </c>
      <c r="H143" s="41">
        <v>109798</v>
      </c>
      <c r="I143" s="41">
        <v>110121</v>
      </c>
      <c r="J143" s="41">
        <v>110666</v>
      </c>
      <c r="K143" s="41">
        <v>110788</v>
      </c>
      <c r="L143" s="41">
        <v>111214</v>
      </c>
      <c r="M143" s="41">
        <v>111425</v>
      </c>
      <c r="N143" s="41">
        <v>111778</v>
      </c>
      <c r="O143" s="41">
        <v>112034</v>
      </c>
      <c r="P143" s="41">
        <v>112242</v>
      </c>
      <c r="Q143" s="41">
        <v>112642</v>
      </c>
      <c r="R143" s="41">
        <v>113242</v>
      </c>
      <c r="S143" s="41">
        <v>113334</v>
      </c>
      <c r="T143" s="41">
        <v>113367</v>
      </c>
      <c r="U143" s="41">
        <v>113499</v>
      </c>
      <c r="V143" s="41">
        <v>113489</v>
      </c>
      <c r="W143" s="41">
        <v>113578</v>
      </c>
      <c r="X143" s="41">
        <v>113644</v>
      </c>
      <c r="Y143" s="41">
        <v>113693</v>
      </c>
      <c r="Z143" s="41">
        <v>113787</v>
      </c>
      <c r="AA143" s="41">
        <v>113818</v>
      </c>
      <c r="AB143" s="41">
        <v>113964</v>
      </c>
      <c r="AC143" s="41">
        <v>114126</v>
      </c>
      <c r="AD143" s="41">
        <v>114317</v>
      </c>
      <c r="AE143" s="41">
        <v>114497</v>
      </c>
      <c r="AF143" s="41">
        <v>114649</v>
      </c>
      <c r="AG143" s="41">
        <v>114879</v>
      </c>
      <c r="AH143" s="41">
        <v>115168</v>
      </c>
      <c r="AI143" s="41">
        <v>115425</v>
      </c>
      <c r="AJ143" s="41">
        <v>115644</v>
      </c>
      <c r="AK143" s="41">
        <v>115840</v>
      </c>
      <c r="AL143" s="41">
        <v>116086</v>
      </c>
      <c r="AM143" s="41">
        <v>116356</v>
      </c>
      <c r="AN143" s="41">
        <v>116557</v>
      </c>
      <c r="AO143" s="41">
        <v>116709</v>
      </c>
      <c r="AP143" s="41">
        <v>116849</v>
      </c>
      <c r="AQ143" s="41">
        <v>117025</v>
      </c>
      <c r="AR143" s="41">
        <v>117208</v>
      </c>
      <c r="AS143" s="41">
        <v>117327</v>
      </c>
    </row>
    <row r="144" spans="1:45">
      <c r="A144" s="38" t="s">
        <v>404</v>
      </c>
      <c r="B144" s="38" t="s">
        <v>405</v>
      </c>
      <c r="C144" s="41">
        <v>61727</v>
      </c>
      <c r="D144" s="41">
        <v>61761</v>
      </c>
      <c r="E144" s="41">
        <v>61638</v>
      </c>
      <c r="F144" s="41">
        <v>61692</v>
      </c>
      <c r="G144" s="41">
        <v>62064</v>
      </c>
      <c r="H144" s="41">
        <v>62232</v>
      </c>
      <c r="I144" s="41">
        <v>61992</v>
      </c>
      <c r="J144" s="41">
        <v>62408</v>
      </c>
      <c r="K144" s="41">
        <v>62709</v>
      </c>
      <c r="L144" s="41">
        <v>62982</v>
      </c>
      <c r="M144" s="41">
        <v>63224</v>
      </c>
      <c r="N144" s="41">
        <v>63927</v>
      </c>
      <c r="O144" s="41">
        <v>64646</v>
      </c>
      <c r="P144" s="41">
        <v>65523</v>
      </c>
      <c r="Q144" s="41">
        <v>66495</v>
      </c>
      <c r="R144" s="41">
        <v>67230</v>
      </c>
      <c r="S144" s="41">
        <v>67514</v>
      </c>
      <c r="T144" s="41">
        <v>67924</v>
      </c>
      <c r="U144" s="41">
        <v>68310</v>
      </c>
      <c r="V144" s="41">
        <v>68666</v>
      </c>
      <c r="W144" s="41">
        <v>69011</v>
      </c>
      <c r="X144" s="41">
        <v>69585</v>
      </c>
      <c r="Y144" s="41">
        <v>70141</v>
      </c>
      <c r="Z144" s="41">
        <v>70673</v>
      </c>
      <c r="AA144" s="41">
        <v>71180</v>
      </c>
      <c r="AB144" s="41">
        <v>71685</v>
      </c>
      <c r="AC144" s="41">
        <v>72177</v>
      </c>
      <c r="AD144" s="41">
        <v>72663</v>
      </c>
      <c r="AE144" s="41">
        <v>73138</v>
      </c>
      <c r="AF144" s="41">
        <v>73581</v>
      </c>
      <c r="AG144" s="41">
        <v>74024</v>
      </c>
      <c r="AH144" s="41">
        <v>74448</v>
      </c>
      <c r="AI144" s="41">
        <v>74861</v>
      </c>
      <c r="AJ144" s="41">
        <v>75262</v>
      </c>
      <c r="AK144" s="41">
        <v>75648</v>
      </c>
      <c r="AL144" s="41">
        <v>76031</v>
      </c>
      <c r="AM144" s="41">
        <v>76399</v>
      </c>
      <c r="AN144" s="41">
        <v>76743</v>
      </c>
      <c r="AO144" s="41">
        <v>77066</v>
      </c>
      <c r="AP144" s="41">
        <v>77380</v>
      </c>
      <c r="AQ144" s="41">
        <v>77710</v>
      </c>
      <c r="AR144" s="41">
        <v>78035</v>
      </c>
      <c r="AS144" s="41">
        <v>78341</v>
      </c>
    </row>
    <row r="145" spans="1:45">
      <c r="A145" s="38" t="s">
        <v>406</v>
      </c>
      <c r="B145" s="38" t="s">
        <v>407</v>
      </c>
      <c r="C145" s="41">
        <v>157770</v>
      </c>
      <c r="D145" s="41">
        <v>158963</v>
      </c>
      <c r="E145" s="41">
        <v>159970</v>
      </c>
      <c r="F145" s="41">
        <v>161331</v>
      </c>
      <c r="G145" s="41">
        <v>162737</v>
      </c>
      <c r="H145" s="41">
        <v>164172</v>
      </c>
      <c r="I145" s="41">
        <v>165711</v>
      </c>
      <c r="J145" s="41">
        <v>167253</v>
      </c>
      <c r="K145" s="41">
        <v>168583</v>
      </c>
      <c r="L145" s="41">
        <v>170182</v>
      </c>
      <c r="M145" s="41">
        <v>172694</v>
      </c>
      <c r="N145" s="41">
        <v>173468</v>
      </c>
      <c r="O145" s="41">
        <v>174503</v>
      </c>
      <c r="P145" s="41">
        <v>175387</v>
      </c>
      <c r="Q145" s="41">
        <v>176549</v>
      </c>
      <c r="R145" s="41">
        <v>177660</v>
      </c>
      <c r="S145" s="41">
        <v>178489</v>
      </c>
      <c r="T145" s="41">
        <v>179424</v>
      </c>
      <c r="U145" s="41">
        <v>180304</v>
      </c>
      <c r="V145" s="41">
        <v>181052</v>
      </c>
      <c r="W145" s="41">
        <v>181786</v>
      </c>
      <c r="X145" s="41">
        <v>182830</v>
      </c>
      <c r="Y145" s="41">
        <v>183803</v>
      </c>
      <c r="Z145" s="41">
        <v>184723</v>
      </c>
      <c r="AA145" s="41">
        <v>185604</v>
      </c>
      <c r="AB145" s="41">
        <v>186506</v>
      </c>
      <c r="AC145" s="41">
        <v>187443</v>
      </c>
      <c r="AD145" s="41">
        <v>188339</v>
      </c>
      <c r="AE145" s="41">
        <v>189179</v>
      </c>
      <c r="AF145" s="41">
        <v>189977</v>
      </c>
      <c r="AG145" s="41">
        <v>190834</v>
      </c>
      <c r="AH145" s="41">
        <v>191657</v>
      </c>
      <c r="AI145" s="41">
        <v>192465</v>
      </c>
      <c r="AJ145" s="41">
        <v>193247</v>
      </c>
      <c r="AK145" s="41">
        <v>193978</v>
      </c>
      <c r="AL145" s="41">
        <v>194737</v>
      </c>
      <c r="AM145" s="41">
        <v>195472</v>
      </c>
      <c r="AN145" s="41">
        <v>196183</v>
      </c>
      <c r="AO145" s="41">
        <v>196858</v>
      </c>
      <c r="AP145" s="41">
        <v>197516</v>
      </c>
      <c r="AQ145" s="41">
        <v>198202</v>
      </c>
      <c r="AR145" s="41">
        <v>198869</v>
      </c>
      <c r="AS145" s="41">
        <v>199477</v>
      </c>
    </row>
    <row r="146" spans="1:45">
      <c r="A146" s="38" t="s">
        <v>408</v>
      </c>
      <c r="B146" s="38" t="s">
        <v>409</v>
      </c>
      <c r="C146" s="41">
        <v>60429</v>
      </c>
      <c r="D146" s="41">
        <v>60449</v>
      </c>
      <c r="E146" s="41">
        <v>60342</v>
      </c>
      <c r="F146" s="41">
        <v>60393</v>
      </c>
      <c r="G146" s="41">
        <v>60514</v>
      </c>
      <c r="H146" s="41">
        <v>60673</v>
      </c>
      <c r="I146" s="41">
        <v>60653</v>
      </c>
      <c r="J146" s="41">
        <v>60689</v>
      </c>
      <c r="K146" s="41">
        <v>60739</v>
      </c>
      <c r="L146" s="41">
        <v>60734</v>
      </c>
      <c r="M146" s="41">
        <v>61060</v>
      </c>
      <c r="N146" s="41">
        <v>61212</v>
      </c>
      <c r="O146" s="41">
        <v>61347</v>
      </c>
      <c r="P146" s="41">
        <v>61628</v>
      </c>
      <c r="Q146" s="41">
        <v>61944</v>
      </c>
      <c r="R146" s="41">
        <v>62265</v>
      </c>
      <c r="S146" s="41">
        <v>62625</v>
      </c>
      <c r="T146" s="41">
        <v>62874</v>
      </c>
      <c r="U146" s="41">
        <v>63268</v>
      </c>
      <c r="V146" s="41">
        <v>63576</v>
      </c>
      <c r="W146" s="41">
        <v>63889</v>
      </c>
      <c r="X146" s="41">
        <v>64199</v>
      </c>
      <c r="Y146" s="41">
        <v>64492</v>
      </c>
      <c r="Z146" s="41">
        <v>64795</v>
      </c>
      <c r="AA146" s="41">
        <v>65086</v>
      </c>
      <c r="AB146" s="41">
        <v>65391</v>
      </c>
      <c r="AC146" s="41">
        <v>65695</v>
      </c>
      <c r="AD146" s="41">
        <v>66006</v>
      </c>
      <c r="AE146" s="41">
        <v>66307</v>
      </c>
      <c r="AF146" s="41">
        <v>66627</v>
      </c>
      <c r="AG146" s="41">
        <v>66976</v>
      </c>
      <c r="AH146" s="41">
        <v>67317</v>
      </c>
      <c r="AI146" s="41">
        <v>67667</v>
      </c>
      <c r="AJ146" s="41">
        <v>68011</v>
      </c>
      <c r="AK146" s="41">
        <v>68393</v>
      </c>
      <c r="AL146" s="41">
        <v>68772</v>
      </c>
      <c r="AM146" s="41">
        <v>69160</v>
      </c>
      <c r="AN146" s="41">
        <v>69520</v>
      </c>
      <c r="AO146" s="41">
        <v>69856</v>
      </c>
      <c r="AP146" s="41">
        <v>70204</v>
      </c>
      <c r="AQ146" s="41">
        <v>70553</v>
      </c>
      <c r="AR146" s="41">
        <v>70895</v>
      </c>
      <c r="AS146" s="41">
        <v>71174</v>
      </c>
    </row>
    <row r="147" spans="1:45">
      <c r="A147" s="38" t="s">
        <v>410</v>
      </c>
      <c r="B147" s="38" t="s">
        <v>411</v>
      </c>
      <c r="C147" s="41">
        <v>120686</v>
      </c>
      <c r="D147" s="41">
        <v>120353</v>
      </c>
      <c r="E147" s="41">
        <v>119282</v>
      </c>
      <c r="F147" s="41">
        <v>119387</v>
      </c>
      <c r="G147" s="41">
        <v>120350</v>
      </c>
      <c r="H147" s="41">
        <v>121248</v>
      </c>
      <c r="I147" s="41">
        <v>122458</v>
      </c>
      <c r="J147" s="41">
        <v>123761</v>
      </c>
      <c r="K147" s="41">
        <v>125525</v>
      </c>
      <c r="L147" s="41">
        <v>126691</v>
      </c>
      <c r="M147" s="41">
        <v>129131</v>
      </c>
      <c r="N147" s="41">
        <v>131148</v>
      </c>
      <c r="O147" s="41">
        <v>132445</v>
      </c>
      <c r="P147" s="41">
        <v>134168</v>
      </c>
      <c r="Q147" s="41">
        <v>135836</v>
      </c>
      <c r="R147" s="41">
        <v>136910</v>
      </c>
      <c r="S147" s="41">
        <v>137069</v>
      </c>
      <c r="T147" s="41">
        <v>137675</v>
      </c>
      <c r="U147" s="41">
        <v>138028</v>
      </c>
      <c r="V147" s="41">
        <v>138345</v>
      </c>
      <c r="W147" s="41">
        <v>138679</v>
      </c>
      <c r="X147" s="41">
        <v>139599</v>
      </c>
      <c r="Y147" s="41">
        <v>140438</v>
      </c>
      <c r="Z147" s="41">
        <v>141151</v>
      </c>
      <c r="AA147" s="41">
        <v>141820</v>
      </c>
      <c r="AB147" s="41">
        <v>142516</v>
      </c>
      <c r="AC147" s="41">
        <v>143148</v>
      </c>
      <c r="AD147" s="41">
        <v>143789</v>
      </c>
      <c r="AE147" s="41">
        <v>144438</v>
      </c>
      <c r="AF147" s="41">
        <v>145127</v>
      </c>
      <c r="AG147" s="41">
        <v>145893</v>
      </c>
      <c r="AH147" s="41">
        <v>146693</v>
      </c>
      <c r="AI147" s="41">
        <v>147551</v>
      </c>
      <c r="AJ147" s="41">
        <v>148430</v>
      </c>
      <c r="AK147" s="41">
        <v>149347</v>
      </c>
      <c r="AL147" s="41">
        <v>150300</v>
      </c>
      <c r="AM147" s="41">
        <v>151260</v>
      </c>
      <c r="AN147" s="41">
        <v>152172</v>
      </c>
      <c r="AO147" s="41">
        <v>153011</v>
      </c>
      <c r="AP147" s="41">
        <v>153816</v>
      </c>
      <c r="AQ147" s="41">
        <v>154591</v>
      </c>
      <c r="AR147" s="41">
        <v>155294</v>
      </c>
      <c r="AS147" s="41">
        <v>155880</v>
      </c>
    </row>
    <row r="148" spans="1:45">
      <c r="A148" s="38" t="s">
        <v>412</v>
      </c>
      <c r="B148" s="38" t="s">
        <v>413</v>
      </c>
      <c r="C148" s="41">
        <v>55413</v>
      </c>
      <c r="D148" s="41">
        <v>55399</v>
      </c>
      <c r="E148" s="41">
        <v>55945</v>
      </c>
      <c r="F148" s="41">
        <v>56396</v>
      </c>
      <c r="G148" s="41">
        <v>57039</v>
      </c>
      <c r="H148" s="41">
        <v>57185</v>
      </c>
      <c r="I148" s="41">
        <v>57039</v>
      </c>
      <c r="J148" s="41">
        <v>57065</v>
      </c>
      <c r="K148" s="41">
        <v>57001</v>
      </c>
      <c r="L148" s="41">
        <v>57286</v>
      </c>
      <c r="M148" s="41">
        <v>57477</v>
      </c>
      <c r="N148" s="41">
        <v>57718</v>
      </c>
      <c r="O148" s="41">
        <v>57872</v>
      </c>
      <c r="P148" s="41">
        <v>58004</v>
      </c>
      <c r="Q148" s="41">
        <v>58329</v>
      </c>
      <c r="R148" s="41">
        <v>58609</v>
      </c>
      <c r="S148" s="41">
        <v>58954</v>
      </c>
      <c r="T148" s="41">
        <v>59590</v>
      </c>
      <c r="U148" s="41">
        <v>59990</v>
      </c>
      <c r="V148" s="41">
        <v>60336</v>
      </c>
      <c r="W148" s="41">
        <v>60623</v>
      </c>
      <c r="X148" s="41">
        <v>60987</v>
      </c>
      <c r="Y148" s="41">
        <v>61307</v>
      </c>
      <c r="Z148" s="41">
        <v>61649</v>
      </c>
      <c r="AA148" s="41">
        <v>61996</v>
      </c>
      <c r="AB148" s="41">
        <v>62343</v>
      </c>
      <c r="AC148" s="41">
        <v>62711</v>
      </c>
      <c r="AD148" s="41">
        <v>63069</v>
      </c>
      <c r="AE148" s="41">
        <v>63406</v>
      </c>
      <c r="AF148" s="41">
        <v>63737</v>
      </c>
      <c r="AG148" s="41">
        <v>64090</v>
      </c>
      <c r="AH148" s="41">
        <v>64432</v>
      </c>
      <c r="AI148" s="41">
        <v>64743</v>
      </c>
      <c r="AJ148" s="41">
        <v>65034</v>
      </c>
      <c r="AK148" s="41">
        <v>65334</v>
      </c>
      <c r="AL148" s="41">
        <v>65637</v>
      </c>
      <c r="AM148" s="41">
        <v>65917</v>
      </c>
      <c r="AN148" s="41">
        <v>66181</v>
      </c>
      <c r="AO148" s="41">
        <v>66440</v>
      </c>
      <c r="AP148" s="41">
        <v>66700</v>
      </c>
      <c r="AQ148" s="41">
        <v>66965</v>
      </c>
      <c r="AR148" s="41">
        <v>67220</v>
      </c>
      <c r="AS148" s="41">
        <v>67444</v>
      </c>
    </row>
    <row r="149" spans="1:45">
      <c r="A149" s="38" t="s">
        <v>414</v>
      </c>
      <c r="B149" s="38" t="s">
        <v>415</v>
      </c>
      <c r="C149" s="41">
        <v>299802</v>
      </c>
      <c r="D149" s="41">
        <v>301067</v>
      </c>
      <c r="E149" s="41">
        <v>302084</v>
      </c>
      <c r="F149" s="41">
        <v>304892</v>
      </c>
      <c r="G149" s="41">
        <v>310652</v>
      </c>
      <c r="H149" s="41">
        <v>312012</v>
      </c>
      <c r="I149" s="41">
        <v>313253</v>
      </c>
      <c r="J149" s="41">
        <v>314869</v>
      </c>
      <c r="K149" s="41">
        <v>315958</v>
      </c>
      <c r="L149" s="41">
        <v>317476</v>
      </c>
      <c r="M149" s="41">
        <v>317881</v>
      </c>
      <c r="N149" s="41">
        <v>319626</v>
      </c>
      <c r="O149" s="41">
        <v>321320</v>
      </c>
      <c r="P149" s="41">
        <v>322605</v>
      </c>
      <c r="Q149" s="41">
        <v>324878</v>
      </c>
      <c r="R149" s="41">
        <v>327670</v>
      </c>
      <c r="S149" s="41">
        <v>329173</v>
      </c>
      <c r="T149" s="41">
        <v>330787</v>
      </c>
      <c r="U149" s="41">
        <v>331898</v>
      </c>
      <c r="V149" s="41">
        <v>332891</v>
      </c>
      <c r="W149" s="41">
        <v>333882</v>
      </c>
      <c r="X149" s="41">
        <v>334804</v>
      </c>
      <c r="Y149" s="41">
        <v>335630</v>
      </c>
      <c r="Z149" s="41">
        <v>336427</v>
      </c>
      <c r="AA149" s="41">
        <v>337209</v>
      </c>
      <c r="AB149" s="41">
        <v>338195</v>
      </c>
      <c r="AC149" s="41">
        <v>339283</v>
      </c>
      <c r="AD149" s="41">
        <v>340388</v>
      </c>
      <c r="AE149" s="41">
        <v>341472</v>
      </c>
      <c r="AF149" s="41">
        <v>342584</v>
      </c>
      <c r="AG149" s="41">
        <v>343822</v>
      </c>
      <c r="AH149" s="41">
        <v>345186</v>
      </c>
      <c r="AI149" s="41">
        <v>346474</v>
      </c>
      <c r="AJ149" s="41">
        <v>347655</v>
      </c>
      <c r="AK149" s="41">
        <v>348845</v>
      </c>
      <c r="AL149" s="41">
        <v>350120</v>
      </c>
      <c r="AM149" s="41">
        <v>351384</v>
      </c>
      <c r="AN149" s="41">
        <v>352499</v>
      </c>
      <c r="AO149" s="41">
        <v>353461</v>
      </c>
      <c r="AP149" s="41">
        <v>354451</v>
      </c>
      <c r="AQ149" s="41">
        <v>355521</v>
      </c>
      <c r="AR149" s="41">
        <v>356565</v>
      </c>
      <c r="AS149" s="41">
        <v>357483</v>
      </c>
    </row>
    <row r="150" spans="1:45">
      <c r="A150" s="38" t="s">
        <v>416</v>
      </c>
      <c r="B150" s="38" t="s">
        <v>417</v>
      </c>
      <c r="C150" s="41">
        <v>111623</v>
      </c>
      <c r="D150" s="41">
        <v>111693</v>
      </c>
      <c r="E150" s="41">
        <v>112026</v>
      </c>
      <c r="F150" s="41">
        <v>112882</v>
      </c>
      <c r="G150" s="41">
        <v>114957</v>
      </c>
      <c r="H150" s="41">
        <v>116080</v>
      </c>
      <c r="I150" s="41">
        <v>117184</v>
      </c>
      <c r="J150" s="41">
        <v>118117</v>
      </c>
      <c r="K150" s="41">
        <v>119169</v>
      </c>
      <c r="L150" s="41">
        <v>120453</v>
      </c>
      <c r="M150" s="41">
        <v>121891</v>
      </c>
      <c r="N150" s="41">
        <v>121733</v>
      </c>
      <c r="O150" s="41">
        <v>121958</v>
      </c>
      <c r="P150" s="41">
        <v>122547</v>
      </c>
      <c r="Q150" s="41">
        <v>123568</v>
      </c>
      <c r="R150" s="41">
        <v>124537</v>
      </c>
      <c r="S150" s="41">
        <v>124911</v>
      </c>
      <c r="T150" s="41">
        <v>124633</v>
      </c>
      <c r="U150" s="41">
        <v>124867</v>
      </c>
      <c r="V150" s="41">
        <v>124953</v>
      </c>
      <c r="W150" s="41">
        <v>124950</v>
      </c>
      <c r="X150" s="41">
        <v>125622</v>
      </c>
      <c r="Y150" s="41">
        <v>126365</v>
      </c>
      <c r="Z150" s="41">
        <v>127107</v>
      </c>
      <c r="AA150" s="41">
        <v>127827</v>
      </c>
      <c r="AB150" s="41">
        <v>128602</v>
      </c>
      <c r="AC150" s="41">
        <v>129366</v>
      </c>
      <c r="AD150" s="41">
        <v>130206</v>
      </c>
      <c r="AE150" s="41">
        <v>131025</v>
      </c>
      <c r="AF150" s="41">
        <v>131813</v>
      </c>
      <c r="AG150" s="41">
        <v>132659</v>
      </c>
      <c r="AH150" s="41">
        <v>133524</v>
      </c>
      <c r="AI150" s="41">
        <v>134349</v>
      </c>
      <c r="AJ150" s="41">
        <v>135105</v>
      </c>
      <c r="AK150" s="41">
        <v>135849</v>
      </c>
      <c r="AL150" s="41">
        <v>136608</v>
      </c>
      <c r="AM150" s="41">
        <v>137328</v>
      </c>
      <c r="AN150" s="41">
        <v>137976</v>
      </c>
      <c r="AO150" s="41">
        <v>138553</v>
      </c>
      <c r="AP150" s="41">
        <v>139120</v>
      </c>
      <c r="AQ150" s="41">
        <v>139711</v>
      </c>
      <c r="AR150" s="41">
        <v>140280</v>
      </c>
      <c r="AS150" s="41">
        <v>140795</v>
      </c>
    </row>
    <row r="151" spans="1:45">
      <c r="A151" s="38" t="s">
        <v>418</v>
      </c>
      <c r="B151" s="38" t="s">
        <v>419</v>
      </c>
      <c r="C151" s="41">
        <v>39597</v>
      </c>
      <c r="D151" s="41">
        <v>39928</v>
      </c>
      <c r="E151" s="41">
        <v>39992</v>
      </c>
      <c r="F151" s="41">
        <v>40258</v>
      </c>
      <c r="G151" s="41">
        <v>40353</v>
      </c>
      <c r="H151" s="41">
        <v>40485</v>
      </c>
      <c r="I151" s="41">
        <v>40794</v>
      </c>
      <c r="J151" s="41">
        <v>41159</v>
      </c>
      <c r="K151" s="41">
        <v>41424</v>
      </c>
      <c r="L151" s="41">
        <v>41758</v>
      </c>
      <c r="M151" s="41">
        <v>42159</v>
      </c>
      <c r="N151" s="41">
        <v>42549</v>
      </c>
      <c r="O151" s="41">
        <v>42892</v>
      </c>
      <c r="P151" s="41">
        <v>43307</v>
      </c>
      <c r="Q151" s="41">
        <v>43533</v>
      </c>
      <c r="R151" s="41">
        <v>43848</v>
      </c>
      <c r="S151" s="41">
        <v>44177</v>
      </c>
      <c r="T151" s="41">
        <v>44433</v>
      </c>
      <c r="U151" s="41">
        <v>44798</v>
      </c>
      <c r="V151" s="41">
        <v>45105</v>
      </c>
      <c r="W151" s="41">
        <v>45415</v>
      </c>
      <c r="X151" s="41">
        <v>45830</v>
      </c>
      <c r="Y151" s="41">
        <v>46216</v>
      </c>
      <c r="Z151" s="41">
        <v>46599</v>
      </c>
      <c r="AA151" s="41">
        <v>46961</v>
      </c>
      <c r="AB151" s="41">
        <v>47342</v>
      </c>
      <c r="AC151" s="41">
        <v>47729</v>
      </c>
      <c r="AD151" s="41">
        <v>48080</v>
      </c>
      <c r="AE151" s="41">
        <v>48429</v>
      </c>
      <c r="AF151" s="41">
        <v>48766</v>
      </c>
      <c r="AG151" s="41">
        <v>49107</v>
      </c>
      <c r="AH151" s="41">
        <v>49430</v>
      </c>
      <c r="AI151" s="41">
        <v>49741</v>
      </c>
      <c r="AJ151" s="41">
        <v>50058</v>
      </c>
      <c r="AK151" s="41">
        <v>50380</v>
      </c>
      <c r="AL151" s="41">
        <v>50685</v>
      </c>
      <c r="AM151" s="41">
        <v>50986</v>
      </c>
      <c r="AN151" s="41">
        <v>51283</v>
      </c>
      <c r="AO151" s="41">
        <v>51571</v>
      </c>
      <c r="AP151" s="41">
        <v>51852</v>
      </c>
      <c r="AQ151" s="41">
        <v>52130</v>
      </c>
      <c r="AR151" s="41">
        <v>52413</v>
      </c>
      <c r="AS151" s="41">
        <v>52679</v>
      </c>
    </row>
    <row r="152" spans="1:45">
      <c r="A152" s="38" t="s">
        <v>420</v>
      </c>
      <c r="B152" s="38" t="s">
        <v>421</v>
      </c>
      <c r="C152" s="41">
        <v>108822</v>
      </c>
      <c r="D152" s="41">
        <v>108477</v>
      </c>
      <c r="E152" s="41">
        <v>107675</v>
      </c>
      <c r="F152" s="41">
        <v>107518</v>
      </c>
      <c r="G152" s="41">
        <v>108224</v>
      </c>
      <c r="H152" s="41">
        <v>109111</v>
      </c>
      <c r="I152" s="41">
        <v>110005</v>
      </c>
      <c r="J152" s="41">
        <v>111727</v>
      </c>
      <c r="K152" s="41">
        <v>113174</v>
      </c>
      <c r="L152" s="41">
        <v>113709</v>
      </c>
      <c r="M152" s="41">
        <v>115360</v>
      </c>
      <c r="N152" s="41">
        <v>117056</v>
      </c>
      <c r="O152" s="41">
        <v>118909</v>
      </c>
      <c r="P152" s="41">
        <v>121217</v>
      </c>
      <c r="Q152" s="41">
        <v>123227</v>
      </c>
      <c r="R152" s="41">
        <v>125150</v>
      </c>
      <c r="S152" s="41">
        <v>126373</v>
      </c>
      <c r="T152" s="41">
        <v>127501</v>
      </c>
      <c r="U152" s="41">
        <v>128840</v>
      </c>
      <c r="V152" s="41">
        <v>130044</v>
      </c>
      <c r="W152" s="41">
        <v>131172</v>
      </c>
      <c r="X152" s="41">
        <v>132584</v>
      </c>
      <c r="Y152" s="41">
        <v>133905</v>
      </c>
      <c r="Z152" s="41">
        <v>135148</v>
      </c>
      <c r="AA152" s="41">
        <v>136319</v>
      </c>
      <c r="AB152" s="41">
        <v>137475</v>
      </c>
      <c r="AC152" s="41">
        <v>138579</v>
      </c>
      <c r="AD152" s="41">
        <v>139665</v>
      </c>
      <c r="AE152" s="41">
        <v>140713</v>
      </c>
      <c r="AF152" s="41">
        <v>141749</v>
      </c>
      <c r="AG152" s="41">
        <v>142806</v>
      </c>
      <c r="AH152" s="41">
        <v>143874</v>
      </c>
      <c r="AI152" s="41">
        <v>144929</v>
      </c>
      <c r="AJ152" s="41">
        <v>145963</v>
      </c>
      <c r="AK152" s="41">
        <v>146976</v>
      </c>
      <c r="AL152" s="41">
        <v>147997</v>
      </c>
      <c r="AM152" s="41">
        <v>149022</v>
      </c>
      <c r="AN152" s="41">
        <v>150007</v>
      </c>
      <c r="AO152" s="41">
        <v>150933</v>
      </c>
      <c r="AP152" s="41">
        <v>151828</v>
      </c>
      <c r="AQ152" s="41">
        <v>152725</v>
      </c>
      <c r="AR152" s="41">
        <v>153592</v>
      </c>
      <c r="AS152" s="41">
        <v>154397</v>
      </c>
    </row>
    <row r="153" spans="1:45">
      <c r="A153" s="38" t="s">
        <v>422</v>
      </c>
      <c r="B153" s="38" t="s">
        <v>423</v>
      </c>
      <c r="C153" s="41">
        <v>37341</v>
      </c>
      <c r="D153" s="41">
        <v>37621</v>
      </c>
      <c r="E153" s="41">
        <v>37962</v>
      </c>
      <c r="F153" s="41">
        <v>38449</v>
      </c>
      <c r="G153" s="41">
        <v>38816</v>
      </c>
      <c r="H153" s="41">
        <v>39323</v>
      </c>
      <c r="I153" s="41">
        <v>39706</v>
      </c>
      <c r="J153" s="41">
        <v>40169</v>
      </c>
      <c r="K153" s="41">
        <v>40480</v>
      </c>
      <c r="L153" s="41">
        <v>40747</v>
      </c>
      <c r="M153" s="41">
        <v>41264</v>
      </c>
      <c r="N153" s="41">
        <v>41488</v>
      </c>
      <c r="O153" s="41">
        <v>41801</v>
      </c>
      <c r="P153" s="41">
        <v>42077</v>
      </c>
      <c r="Q153" s="41">
        <v>42385</v>
      </c>
      <c r="R153" s="41">
        <v>42560</v>
      </c>
      <c r="S153" s="41">
        <v>42791</v>
      </c>
      <c r="T153" s="41">
        <v>42991</v>
      </c>
      <c r="U153" s="41">
        <v>43229</v>
      </c>
      <c r="V153" s="41">
        <v>43433</v>
      </c>
      <c r="W153" s="41">
        <v>43598</v>
      </c>
      <c r="X153" s="41">
        <v>43842</v>
      </c>
      <c r="Y153" s="41">
        <v>44069</v>
      </c>
      <c r="Z153" s="41">
        <v>44284</v>
      </c>
      <c r="AA153" s="41">
        <v>44473</v>
      </c>
      <c r="AB153" s="41">
        <v>44656</v>
      </c>
      <c r="AC153" s="41">
        <v>44832</v>
      </c>
      <c r="AD153" s="41">
        <v>45016</v>
      </c>
      <c r="AE153" s="41">
        <v>45185</v>
      </c>
      <c r="AF153" s="41">
        <v>45340</v>
      </c>
      <c r="AG153" s="41">
        <v>45517</v>
      </c>
      <c r="AH153" s="41">
        <v>45681</v>
      </c>
      <c r="AI153" s="41">
        <v>45857</v>
      </c>
      <c r="AJ153" s="41">
        <v>46038</v>
      </c>
      <c r="AK153" s="41">
        <v>46222</v>
      </c>
      <c r="AL153" s="41">
        <v>46425</v>
      </c>
      <c r="AM153" s="41">
        <v>46628</v>
      </c>
      <c r="AN153" s="41">
        <v>46838</v>
      </c>
      <c r="AO153" s="41">
        <v>47044</v>
      </c>
      <c r="AP153" s="41">
        <v>47253</v>
      </c>
      <c r="AQ153" s="41">
        <v>47478</v>
      </c>
      <c r="AR153" s="41">
        <v>47705</v>
      </c>
      <c r="AS153" s="41">
        <v>47911</v>
      </c>
    </row>
    <row r="154" spans="1:45">
      <c r="A154" s="38" t="s">
        <v>424</v>
      </c>
      <c r="B154" s="38" t="s">
        <v>425</v>
      </c>
      <c r="C154" s="41">
        <v>36309</v>
      </c>
      <c r="D154" s="41">
        <v>36361</v>
      </c>
      <c r="E154" s="41">
        <v>36589</v>
      </c>
      <c r="F154" s="41">
        <v>37006</v>
      </c>
      <c r="G154" s="41">
        <v>37508</v>
      </c>
      <c r="H154" s="41">
        <v>37902</v>
      </c>
      <c r="I154" s="41">
        <v>38181</v>
      </c>
      <c r="J154" s="41">
        <v>38551</v>
      </c>
      <c r="K154" s="41">
        <v>38897</v>
      </c>
      <c r="L154" s="41">
        <v>39460</v>
      </c>
      <c r="M154" s="41">
        <v>39270</v>
      </c>
      <c r="N154" s="41">
        <v>39631</v>
      </c>
      <c r="O154" s="41">
        <v>40146</v>
      </c>
      <c r="P154" s="41">
        <v>40287</v>
      </c>
      <c r="Q154" s="41">
        <v>40538</v>
      </c>
      <c r="R154" s="41">
        <v>40784</v>
      </c>
      <c r="S154" s="41">
        <v>41002</v>
      </c>
      <c r="T154" s="41">
        <v>41230</v>
      </c>
      <c r="U154" s="41">
        <v>41320</v>
      </c>
      <c r="V154" s="41">
        <v>41451</v>
      </c>
      <c r="W154" s="41">
        <v>41496</v>
      </c>
      <c r="X154" s="41">
        <v>41523</v>
      </c>
      <c r="Y154" s="41">
        <v>41602</v>
      </c>
      <c r="Z154" s="41">
        <v>41726</v>
      </c>
      <c r="AA154" s="41">
        <v>41860</v>
      </c>
      <c r="AB154" s="41">
        <v>42026</v>
      </c>
      <c r="AC154" s="41">
        <v>42206</v>
      </c>
      <c r="AD154" s="41">
        <v>42398</v>
      </c>
      <c r="AE154" s="41">
        <v>42577</v>
      </c>
      <c r="AF154" s="41">
        <v>42752</v>
      </c>
      <c r="AG154" s="41">
        <v>42958</v>
      </c>
      <c r="AH154" s="41">
        <v>43170</v>
      </c>
      <c r="AI154" s="41">
        <v>43329</v>
      </c>
      <c r="AJ154" s="41">
        <v>43462</v>
      </c>
      <c r="AK154" s="41">
        <v>43617</v>
      </c>
      <c r="AL154" s="41">
        <v>43788</v>
      </c>
      <c r="AM154" s="41">
        <v>43920</v>
      </c>
      <c r="AN154" s="41">
        <v>44022</v>
      </c>
      <c r="AO154" s="41">
        <v>44103</v>
      </c>
      <c r="AP154" s="41">
        <v>44206</v>
      </c>
      <c r="AQ154" s="41">
        <v>44331</v>
      </c>
      <c r="AR154" s="41">
        <v>44442</v>
      </c>
      <c r="AS154" s="41">
        <v>44543</v>
      </c>
    </row>
    <row r="155" spans="1:45">
      <c r="A155" s="38" t="s">
        <v>426</v>
      </c>
      <c r="B155" s="38" t="s">
        <v>427</v>
      </c>
      <c r="C155" s="41">
        <v>187288</v>
      </c>
      <c r="D155" s="41">
        <v>188203</v>
      </c>
      <c r="E155" s="41">
        <v>189289</v>
      </c>
      <c r="F155" s="41">
        <v>190784</v>
      </c>
      <c r="G155" s="41">
        <v>193153</v>
      </c>
      <c r="H155" s="41">
        <v>194138</v>
      </c>
      <c r="I155" s="41">
        <v>195323</v>
      </c>
      <c r="J155" s="41">
        <v>196710</v>
      </c>
      <c r="K155" s="41">
        <v>198888</v>
      </c>
      <c r="L155" s="41">
        <v>201883</v>
      </c>
      <c r="M155" s="41">
        <v>204819</v>
      </c>
      <c r="N155" s="41">
        <v>206939</v>
      </c>
      <c r="O155" s="41">
        <v>208546</v>
      </c>
      <c r="P155" s="41">
        <v>210330</v>
      </c>
      <c r="Q155" s="41">
        <v>213180</v>
      </c>
      <c r="R155" s="41">
        <v>216266</v>
      </c>
      <c r="S155" s="41">
        <v>217846</v>
      </c>
      <c r="T155" s="41">
        <v>219214</v>
      </c>
      <c r="U155" s="41">
        <v>221116</v>
      </c>
      <c r="V155" s="41">
        <v>222817</v>
      </c>
      <c r="W155" s="41">
        <v>224284</v>
      </c>
      <c r="X155" s="41">
        <v>225428</v>
      </c>
      <c r="Y155" s="41">
        <v>226538</v>
      </c>
      <c r="Z155" s="41">
        <v>227712</v>
      </c>
      <c r="AA155" s="41">
        <v>228868</v>
      </c>
      <c r="AB155" s="41">
        <v>230088</v>
      </c>
      <c r="AC155" s="41">
        <v>231376</v>
      </c>
      <c r="AD155" s="41">
        <v>232681</v>
      </c>
      <c r="AE155" s="41">
        <v>233948</v>
      </c>
      <c r="AF155" s="41">
        <v>235213</v>
      </c>
      <c r="AG155" s="41">
        <v>236580</v>
      </c>
      <c r="AH155" s="41">
        <v>238049</v>
      </c>
      <c r="AI155" s="41">
        <v>239416</v>
      </c>
      <c r="AJ155" s="41">
        <v>240740</v>
      </c>
      <c r="AK155" s="41">
        <v>242035</v>
      </c>
      <c r="AL155" s="41">
        <v>243379</v>
      </c>
      <c r="AM155" s="41">
        <v>244733</v>
      </c>
      <c r="AN155" s="41">
        <v>245942</v>
      </c>
      <c r="AO155" s="41">
        <v>247064</v>
      </c>
      <c r="AP155" s="41">
        <v>248193</v>
      </c>
      <c r="AQ155" s="41">
        <v>249362</v>
      </c>
      <c r="AR155" s="41">
        <v>250503</v>
      </c>
      <c r="AS155" s="41">
        <v>251502</v>
      </c>
    </row>
    <row r="156" spans="1:45">
      <c r="A156" s="38" t="s">
        <v>428</v>
      </c>
      <c r="B156" s="38" t="s">
        <v>429</v>
      </c>
      <c r="C156" s="41">
        <v>71101</v>
      </c>
      <c r="D156" s="41">
        <v>70877</v>
      </c>
      <c r="E156" s="41">
        <v>70346</v>
      </c>
      <c r="F156" s="41">
        <v>69541</v>
      </c>
      <c r="G156" s="41">
        <v>69926</v>
      </c>
      <c r="H156" s="41">
        <v>70256</v>
      </c>
      <c r="I156" s="41">
        <v>70638</v>
      </c>
      <c r="J156" s="41">
        <v>71030</v>
      </c>
      <c r="K156" s="41">
        <v>71959</v>
      </c>
      <c r="L156" s="41">
        <v>73023</v>
      </c>
      <c r="M156" s="41">
        <v>73953</v>
      </c>
      <c r="N156" s="41">
        <v>74418</v>
      </c>
      <c r="O156" s="41">
        <v>75076</v>
      </c>
      <c r="P156" s="41">
        <v>75970</v>
      </c>
      <c r="Q156" s="41">
        <v>77016</v>
      </c>
      <c r="R156" s="41">
        <v>77906</v>
      </c>
      <c r="S156" s="41">
        <v>77667</v>
      </c>
      <c r="T156" s="41">
        <v>77528</v>
      </c>
      <c r="U156" s="41">
        <v>77526</v>
      </c>
      <c r="V156" s="41">
        <v>77427</v>
      </c>
      <c r="W156" s="41">
        <v>77270</v>
      </c>
      <c r="X156" s="41">
        <v>77356</v>
      </c>
      <c r="Y156" s="41">
        <v>77427</v>
      </c>
      <c r="Z156" s="41">
        <v>77472</v>
      </c>
      <c r="AA156" s="41">
        <v>77490</v>
      </c>
      <c r="AB156" s="41">
        <v>77495</v>
      </c>
      <c r="AC156" s="41">
        <v>77520</v>
      </c>
      <c r="AD156" s="41">
        <v>77567</v>
      </c>
      <c r="AE156" s="41">
        <v>77617</v>
      </c>
      <c r="AF156" s="41">
        <v>77663</v>
      </c>
      <c r="AG156" s="41">
        <v>77728</v>
      </c>
      <c r="AH156" s="41">
        <v>77825</v>
      </c>
      <c r="AI156" s="41">
        <v>77938</v>
      </c>
      <c r="AJ156" s="41">
        <v>78057</v>
      </c>
      <c r="AK156" s="41">
        <v>78154</v>
      </c>
      <c r="AL156" s="41">
        <v>78271</v>
      </c>
      <c r="AM156" s="41">
        <v>78408</v>
      </c>
      <c r="AN156" s="41">
        <v>78544</v>
      </c>
      <c r="AO156" s="41">
        <v>78662</v>
      </c>
      <c r="AP156" s="41">
        <v>78767</v>
      </c>
      <c r="AQ156" s="41">
        <v>78885</v>
      </c>
      <c r="AR156" s="41">
        <v>79013</v>
      </c>
      <c r="AS156" s="41">
        <v>79129</v>
      </c>
    </row>
    <row r="157" spans="1:45">
      <c r="A157" s="38" t="s">
        <v>430</v>
      </c>
      <c r="B157" s="38" t="s">
        <v>431</v>
      </c>
      <c r="C157" s="41">
        <v>56166</v>
      </c>
      <c r="D157" s="41">
        <v>56727</v>
      </c>
      <c r="E157" s="41">
        <v>57191</v>
      </c>
      <c r="F157" s="41">
        <v>57705</v>
      </c>
      <c r="G157" s="41">
        <v>58273</v>
      </c>
      <c r="H157" s="41">
        <v>59018</v>
      </c>
      <c r="I157" s="41">
        <v>59941</v>
      </c>
      <c r="J157" s="41">
        <v>60830</v>
      </c>
      <c r="K157" s="41">
        <v>61739</v>
      </c>
      <c r="L157" s="41">
        <v>62729</v>
      </c>
      <c r="M157" s="41">
        <v>63381</v>
      </c>
      <c r="N157" s="41">
        <v>64034</v>
      </c>
      <c r="O157" s="41">
        <v>64893</v>
      </c>
      <c r="P157" s="41">
        <v>65860</v>
      </c>
      <c r="Q157" s="41">
        <v>66933</v>
      </c>
      <c r="R157" s="41">
        <v>67645</v>
      </c>
      <c r="S157" s="41">
        <v>68438</v>
      </c>
      <c r="T157" s="41">
        <v>69335</v>
      </c>
      <c r="U157" s="41">
        <v>70320</v>
      </c>
      <c r="V157" s="41">
        <v>71158</v>
      </c>
      <c r="W157" s="41">
        <v>71947</v>
      </c>
      <c r="X157" s="41">
        <v>72783</v>
      </c>
      <c r="Y157" s="41">
        <v>73579</v>
      </c>
      <c r="Z157" s="41">
        <v>74352</v>
      </c>
      <c r="AA157" s="41">
        <v>75049</v>
      </c>
      <c r="AB157" s="41">
        <v>75737</v>
      </c>
      <c r="AC157" s="41">
        <v>76446</v>
      </c>
      <c r="AD157" s="41">
        <v>77151</v>
      </c>
      <c r="AE157" s="41">
        <v>77837</v>
      </c>
      <c r="AF157" s="41">
        <v>78481</v>
      </c>
      <c r="AG157" s="41">
        <v>79141</v>
      </c>
      <c r="AH157" s="41">
        <v>79790</v>
      </c>
      <c r="AI157" s="41">
        <v>80441</v>
      </c>
      <c r="AJ157" s="41">
        <v>81074</v>
      </c>
      <c r="AK157" s="41">
        <v>81695</v>
      </c>
      <c r="AL157" s="41">
        <v>82316</v>
      </c>
      <c r="AM157" s="41">
        <v>82924</v>
      </c>
      <c r="AN157" s="41">
        <v>83536</v>
      </c>
      <c r="AO157" s="41">
        <v>84130</v>
      </c>
      <c r="AP157" s="41">
        <v>84715</v>
      </c>
      <c r="AQ157" s="41">
        <v>85311</v>
      </c>
      <c r="AR157" s="41">
        <v>85902</v>
      </c>
      <c r="AS157" s="41">
        <v>86463</v>
      </c>
    </row>
    <row r="158" spans="1:45">
      <c r="A158" s="38" t="s">
        <v>432</v>
      </c>
      <c r="B158" s="38" t="s">
        <v>433</v>
      </c>
      <c r="C158" s="41">
        <v>24119</v>
      </c>
      <c r="D158" s="41">
        <v>24310</v>
      </c>
      <c r="E158" s="41">
        <v>24483</v>
      </c>
      <c r="F158" s="41">
        <v>24708</v>
      </c>
      <c r="G158" s="41">
        <v>24897</v>
      </c>
      <c r="H158" s="41">
        <v>25098</v>
      </c>
      <c r="I158" s="41">
        <v>25308</v>
      </c>
      <c r="J158" s="41">
        <v>25488</v>
      </c>
      <c r="K158" s="41">
        <v>25673</v>
      </c>
      <c r="L158" s="41">
        <v>25819</v>
      </c>
      <c r="M158" s="41">
        <v>25872</v>
      </c>
      <c r="N158" s="41">
        <v>26024</v>
      </c>
      <c r="O158" s="41">
        <v>26186</v>
      </c>
      <c r="P158" s="41">
        <v>26434</v>
      </c>
      <c r="Q158" s="41">
        <v>26537</v>
      </c>
      <c r="R158" s="41">
        <v>26815</v>
      </c>
      <c r="S158" s="41">
        <v>27093</v>
      </c>
      <c r="T158" s="41">
        <v>27309</v>
      </c>
      <c r="U158" s="41">
        <v>27589</v>
      </c>
      <c r="V158" s="41">
        <v>27816</v>
      </c>
      <c r="W158" s="41">
        <v>28045</v>
      </c>
      <c r="X158" s="41">
        <v>28325</v>
      </c>
      <c r="Y158" s="41">
        <v>28582</v>
      </c>
      <c r="Z158" s="41">
        <v>28856</v>
      </c>
      <c r="AA158" s="41">
        <v>29108</v>
      </c>
      <c r="AB158" s="41">
        <v>29354</v>
      </c>
      <c r="AC158" s="41">
        <v>29601</v>
      </c>
      <c r="AD158" s="41">
        <v>29838</v>
      </c>
      <c r="AE158" s="41">
        <v>30068</v>
      </c>
      <c r="AF158" s="41">
        <v>30281</v>
      </c>
      <c r="AG158" s="41">
        <v>30495</v>
      </c>
      <c r="AH158" s="41">
        <v>30697</v>
      </c>
      <c r="AI158" s="41">
        <v>30892</v>
      </c>
      <c r="AJ158" s="41">
        <v>31087</v>
      </c>
      <c r="AK158" s="41">
        <v>31278</v>
      </c>
      <c r="AL158" s="41">
        <v>31474</v>
      </c>
      <c r="AM158" s="41">
        <v>31662</v>
      </c>
      <c r="AN158" s="41">
        <v>31855</v>
      </c>
      <c r="AO158" s="41">
        <v>32042</v>
      </c>
      <c r="AP158" s="41">
        <v>32235</v>
      </c>
      <c r="AQ158" s="41">
        <v>32437</v>
      </c>
      <c r="AR158" s="41">
        <v>32639</v>
      </c>
      <c r="AS158" s="41">
        <v>32834</v>
      </c>
    </row>
    <row r="159" spans="1:45">
      <c r="A159" s="38" t="s">
        <v>434</v>
      </c>
      <c r="B159" s="38" t="s">
        <v>435</v>
      </c>
      <c r="C159" s="41">
        <v>30027</v>
      </c>
      <c r="D159" s="41">
        <v>30326</v>
      </c>
      <c r="E159" s="41">
        <v>30500</v>
      </c>
      <c r="F159" s="41">
        <v>30690</v>
      </c>
      <c r="G159" s="41">
        <v>30878</v>
      </c>
      <c r="H159" s="41">
        <v>31055</v>
      </c>
      <c r="I159" s="41">
        <v>31234</v>
      </c>
      <c r="J159" s="41">
        <v>31391</v>
      </c>
      <c r="K159" s="41">
        <v>31462</v>
      </c>
      <c r="L159" s="41">
        <v>31731</v>
      </c>
      <c r="M159" s="41">
        <v>32194</v>
      </c>
      <c r="N159" s="41">
        <v>32438</v>
      </c>
      <c r="O159" s="41">
        <v>32702</v>
      </c>
      <c r="P159" s="41">
        <v>33102</v>
      </c>
      <c r="Q159" s="41">
        <v>33226</v>
      </c>
      <c r="R159" s="41">
        <v>33482</v>
      </c>
      <c r="S159" s="41">
        <v>33828</v>
      </c>
      <c r="T159" s="41">
        <v>34335</v>
      </c>
      <c r="U159" s="41">
        <v>34815</v>
      </c>
      <c r="V159" s="41">
        <v>35230</v>
      </c>
      <c r="W159" s="41">
        <v>35615</v>
      </c>
      <c r="X159" s="41">
        <v>36033</v>
      </c>
      <c r="Y159" s="41">
        <v>36451</v>
      </c>
      <c r="Z159" s="41">
        <v>36857</v>
      </c>
      <c r="AA159" s="41">
        <v>37240</v>
      </c>
      <c r="AB159" s="41">
        <v>37616</v>
      </c>
      <c r="AC159" s="41">
        <v>37987</v>
      </c>
      <c r="AD159" s="41">
        <v>38358</v>
      </c>
      <c r="AE159" s="41">
        <v>38725</v>
      </c>
      <c r="AF159" s="41">
        <v>39077</v>
      </c>
      <c r="AG159" s="41">
        <v>39417</v>
      </c>
      <c r="AH159" s="41">
        <v>39742</v>
      </c>
      <c r="AI159" s="41">
        <v>40073</v>
      </c>
      <c r="AJ159" s="41">
        <v>40394</v>
      </c>
      <c r="AK159" s="41">
        <v>40712</v>
      </c>
      <c r="AL159" s="41">
        <v>41020</v>
      </c>
      <c r="AM159" s="41">
        <v>41313</v>
      </c>
      <c r="AN159" s="41">
        <v>41609</v>
      </c>
      <c r="AO159" s="41">
        <v>41896</v>
      </c>
      <c r="AP159" s="41">
        <v>42182</v>
      </c>
      <c r="AQ159" s="41">
        <v>42470</v>
      </c>
      <c r="AR159" s="41">
        <v>42755</v>
      </c>
      <c r="AS159" s="41">
        <v>43024</v>
      </c>
    </row>
    <row r="160" spans="1:45">
      <c r="A160" s="38" t="s">
        <v>436</v>
      </c>
      <c r="B160" s="38" t="s">
        <v>437</v>
      </c>
      <c r="C160" s="41">
        <v>180204</v>
      </c>
      <c r="D160" s="41">
        <v>181273</v>
      </c>
      <c r="E160" s="41">
        <v>183730</v>
      </c>
      <c r="F160" s="41">
        <v>185833</v>
      </c>
      <c r="G160" s="41">
        <v>189226</v>
      </c>
      <c r="H160" s="41">
        <v>191234</v>
      </c>
      <c r="I160" s="41">
        <v>192871</v>
      </c>
      <c r="J160" s="41">
        <v>194950</v>
      </c>
      <c r="K160" s="41">
        <v>197164</v>
      </c>
      <c r="L160" s="41">
        <v>199877</v>
      </c>
      <c r="M160" s="41">
        <v>202464</v>
      </c>
      <c r="N160" s="41">
        <v>204536</v>
      </c>
      <c r="O160" s="41">
        <v>205819</v>
      </c>
      <c r="P160" s="41">
        <v>207057</v>
      </c>
      <c r="Q160" s="41">
        <v>210340</v>
      </c>
      <c r="R160" s="41">
        <v>213994</v>
      </c>
      <c r="S160" s="41">
        <v>215014</v>
      </c>
      <c r="T160" s="41">
        <v>215595</v>
      </c>
      <c r="U160" s="41">
        <v>216208</v>
      </c>
      <c r="V160" s="41">
        <v>216844</v>
      </c>
      <c r="W160" s="41">
        <v>217381</v>
      </c>
      <c r="X160" s="41">
        <v>218425</v>
      </c>
      <c r="Y160" s="41">
        <v>219468</v>
      </c>
      <c r="Z160" s="41">
        <v>220459</v>
      </c>
      <c r="AA160" s="41">
        <v>221519</v>
      </c>
      <c r="AB160" s="41">
        <v>222666</v>
      </c>
      <c r="AC160" s="41">
        <v>223761</v>
      </c>
      <c r="AD160" s="41">
        <v>224913</v>
      </c>
      <c r="AE160" s="41">
        <v>226035</v>
      </c>
      <c r="AF160" s="41">
        <v>227249</v>
      </c>
      <c r="AG160" s="41">
        <v>228562</v>
      </c>
      <c r="AH160" s="41">
        <v>229941</v>
      </c>
      <c r="AI160" s="41">
        <v>231258</v>
      </c>
      <c r="AJ160" s="41">
        <v>232511</v>
      </c>
      <c r="AK160" s="41">
        <v>233806</v>
      </c>
      <c r="AL160" s="41">
        <v>235161</v>
      </c>
      <c r="AM160" s="41">
        <v>236481</v>
      </c>
      <c r="AN160" s="41">
        <v>237644</v>
      </c>
      <c r="AO160" s="41">
        <v>238708</v>
      </c>
      <c r="AP160" s="41">
        <v>239758</v>
      </c>
      <c r="AQ160" s="41">
        <v>240827</v>
      </c>
      <c r="AR160" s="41">
        <v>241832</v>
      </c>
      <c r="AS160" s="41">
        <v>242703</v>
      </c>
    </row>
    <row r="161" spans="1:45">
      <c r="A161" s="38" t="s">
        <v>438</v>
      </c>
      <c r="B161" s="38" t="s">
        <v>439</v>
      </c>
      <c r="C161" s="41">
        <v>41237</v>
      </c>
      <c r="D161" s="41">
        <v>41399</v>
      </c>
      <c r="E161" s="41">
        <v>41734</v>
      </c>
      <c r="F161" s="41">
        <v>41986</v>
      </c>
      <c r="G161" s="41">
        <v>42364</v>
      </c>
      <c r="H161" s="41">
        <v>42809</v>
      </c>
      <c r="I161" s="41">
        <v>43175</v>
      </c>
      <c r="J161" s="41">
        <v>43688</v>
      </c>
      <c r="K161" s="41">
        <v>43989</v>
      </c>
      <c r="L161" s="41">
        <v>44276</v>
      </c>
      <c r="M161" s="41">
        <v>44662</v>
      </c>
      <c r="N161" s="41">
        <v>44854</v>
      </c>
      <c r="O161" s="41">
        <v>45138</v>
      </c>
      <c r="P161" s="41">
        <v>45474</v>
      </c>
      <c r="Q161" s="41">
        <v>45831</v>
      </c>
      <c r="R161" s="41">
        <v>46281</v>
      </c>
      <c r="S161" s="41">
        <v>46636</v>
      </c>
      <c r="T161" s="41">
        <v>46844</v>
      </c>
      <c r="U161" s="41">
        <v>47265</v>
      </c>
      <c r="V161" s="41">
        <v>47613</v>
      </c>
      <c r="W161" s="41">
        <v>47950</v>
      </c>
      <c r="X161" s="41">
        <v>48336</v>
      </c>
      <c r="Y161" s="41">
        <v>48723</v>
      </c>
      <c r="Z161" s="41">
        <v>49118</v>
      </c>
      <c r="AA161" s="41">
        <v>49478</v>
      </c>
      <c r="AB161" s="41">
        <v>49852</v>
      </c>
      <c r="AC161" s="41">
        <v>50212</v>
      </c>
      <c r="AD161" s="41">
        <v>50580</v>
      </c>
      <c r="AE161" s="41">
        <v>50958</v>
      </c>
      <c r="AF161" s="41">
        <v>51317</v>
      </c>
      <c r="AG161" s="41">
        <v>51692</v>
      </c>
      <c r="AH161" s="41">
        <v>52060</v>
      </c>
      <c r="AI161" s="41">
        <v>52423</v>
      </c>
      <c r="AJ161" s="41">
        <v>52793</v>
      </c>
      <c r="AK161" s="41">
        <v>53155</v>
      </c>
      <c r="AL161" s="41">
        <v>53510</v>
      </c>
      <c r="AM161" s="41">
        <v>53888</v>
      </c>
      <c r="AN161" s="41">
        <v>54233</v>
      </c>
      <c r="AO161" s="41">
        <v>54579</v>
      </c>
      <c r="AP161" s="41">
        <v>54907</v>
      </c>
      <c r="AQ161" s="41">
        <v>55223</v>
      </c>
      <c r="AR161" s="41">
        <v>55554</v>
      </c>
      <c r="AS161" s="41">
        <v>55845</v>
      </c>
    </row>
    <row r="162" spans="1:45">
      <c r="A162" s="38" t="s">
        <v>440</v>
      </c>
      <c r="B162" s="38" t="s">
        <v>441</v>
      </c>
      <c r="C162" s="41">
        <v>98789</v>
      </c>
      <c r="D162" s="41">
        <v>99073</v>
      </c>
      <c r="E162" s="41">
        <v>99506</v>
      </c>
      <c r="F162" s="41">
        <v>99605</v>
      </c>
      <c r="G162" s="41">
        <v>100056</v>
      </c>
      <c r="H162" s="41">
        <v>100620</v>
      </c>
      <c r="I162" s="41">
        <v>101655</v>
      </c>
      <c r="J162" s="41">
        <v>102768</v>
      </c>
      <c r="K162" s="41">
        <v>103648</v>
      </c>
      <c r="L162" s="41">
        <v>104673</v>
      </c>
      <c r="M162" s="41">
        <v>105915</v>
      </c>
      <c r="N162" s="41">
        <v>107205</v>
      </c>
      <c r="O162" s="41">
        <v>108377</v>
      </c>
      <c r="P162" s="41">
        <v>109482</v>
      </c>
      <c r="Q162" s="41">
        <v>110252</v>
      </c>
      <c r="R162" s="41">
        <v>111100</v>
      </c>
      <c r="S162" s="41">
        <v>111555</v>
      </c>
      <c r="T162" s="41">
        <v>111737</v>
      </c>
      <c r="U162" s="41">
        <v>112130</v>
      </c>
      <c r="V162" s="41">
        <v>112443</v>
      </c>
      <c r="W162" s="41">
        <v>112740</v>
      </c>
      <c r="X162" s="41">
        <v>113259</v>
      </c>
      <c r="Y162" s="41">
        <v>113685</v>
      </c>
      <c r="Z162" s="41">
        <v>114121</v>
      </c>
      <c r="AA162" s="41">
        <v>114504</v>
      </c>
      <c r="AB162" s="41">
        <v>114910</v>
      </c>
      <c r="AC162" s="41">
        <v>115367</v>
      </c>
      <c r="AD162" s="41">
        <v>115786</v>
      </c>
      <c r="AE162" s="41">
        <v>116199</v>
      </c>
      <c r="AF162" s="41">
        <v>116592</v>
      </c>
      <c r="AG162" s="41">
        <v>117027</v>
      </c>
      <c r="AH162" s="41">
        <v>117480</v>
      </c>
      <c r="AI162" s="41">
        <v>117930</v>
      </c>
      <c r="AJ162" s="41">
        <v>118377</v>
      </c>
      <c r="AK162" s="41">
        <v>118812</v>
      </c>
      <c r="AL162" s="41">
        <v>119289</v>
      </c>
      <c r="AM162" s="41">
        <v>119779</v>
      </c>
      <c r="AN162" s="41">
        <v>120246</v>
      </c>
      <c r="AO162" s="41">
        <v>120692</v>
      </c>
      <c r="AP162" s="41">
        <v>121137</v>
      </c>
      <c r="AQ162" s="41">
        <v>121607</v>
      </c>
      <c r="AR162" s="41">
        <v>122068</v>
      </c>
      <c r="AS162" s="41">
        <v>122493</v>
      </c>
    </row>
    <row r="163" spans="1:45">
      <c r="A163" s="38" t="s">
        <v>442</v>
      </c>
      <c r="B163" s="38" t="s">
        <v>443</v>
      </c>
      <c r="C163" s="41">
        <v>19525</v>
      </c>
      <c r="D163" s="41">
        <v>19682</v>
      </c>
      <c r="E163" s="41">
        <v>19911</v>
      </c>
      <c r="F163" s="41">
        <v>20063</v>
      </c>
      <c r="G163" s="41">
        <v>20175</v>
      </c>
      <c r="H163" s="41">
        <v>20277</v>
      </c>
      <c r="I163" s="41">
        <v>20482</v>
      </c>
      <c r="J163" s="41">
        <v>20641</v>
      </c>
      <c r="K163" s="41">
        <v>20780</v>
      </c>
      <c r="L163" s="41">
        <v>21133</v>
      </c>
      <c r="M163" s="41">
        <v>21441</v>
      </c>
      <c r="N163" s="41">
        <v>21580</v>
      </c>
      <c r="O163" s="41">
        <v>21720</v>
      </c>
      <c r="P163" s="41">
        <v>21873</v>
      </c>
      <c r="Q163" s="41">
        <v>21975</v>
      </c>
      <c r="R163" s="41">
        <v>22048</v>
      </c>
      <c r="S163" s="41">
        <v>22177</v>
      </c>
      <c r="T163" s="41">
        <v>22318</v>
      </c>
      <c r="U163" s="41">
        <v>22460</v>
      </c>
      <c r="V163" s="41">
        <v>22597</v>
      </c>
      <c r="W163" s="41">
        <v>22721</v>
      </c>
      <c r="X163" s="41">
        <v>22835</v>
      </c>
      <c r="Y163" s="41">
        <v>22965</v>
      </c>
      <c r="Z163" s="41">
        <v>23079</v>
      </c>
      <c r="AA163" s="41">
        <v>23187</v>
      </c>
      <c r="AB163" s="41">
        <v>23300</v>
      </c>
      <c r="AC163" s="41">
        <v>23417</v>
      </c>
      <c r="AD163" s="41">
        <v>23532</v>
      </c>
      <c r="AE163" s="41">
        <v>23641</v>
      </c>
      <c r="AF163" s="41">
        <v>23749</v>
      </c>
      <c r="AG163" s="41">
        <v>23874</v>
      </c>
      <c r="AH163" s="41">
        <v>23991</v>
      </c>
      <c r="AI163" s="41">
        <v>24113</v>
      </c>
      <c r="AJ163" s="41">
        <v>24228</v>
      </c>
      <c r="AK163" s="41">
        <v>24344</v>
      </c>
      <c r="AL163" s="41">
        <v>24466</v>
      </c>
      <c r="AM163" s="41">
        <v>24574</v>
      </c>
      <c r="AN163" s="41">
        <v>24689</v>
      </c>
      <c r="AO163" s="41">
        <v>24800</v>
      </c>
      <c r="AP163" s="41">
        <v>24904</v>
      </c>
      <c r="AQ163" s="41">
        <v>25012</v>
      </c>
      <c r="AR163" s="41">
        <v>25110</v>
      </c>
      <c r="AS163" s="41">
        <v>25202</v>
      </c>
    </row>
    <row r="164" spans="1:45">
      <c r="A164" s="38" t="s">
        <v>444</v>
      </c>
      <c r="B164" s="38" t="s">
        <v>445</v>
      </c>
      <c r="C164" s="41">
        <v>42696</v>
      </c>
      <c r="D164" s="41">
        <v>43043</v>
      </c>
      <c r="E164" s="41">
        <v>43334</v>
      </c>
      <c r="F164" s="41">
        <v>43647</v>
      </c>
      <c r="G164" s="41">
        <v>44010</v>
      </c>
      <c r="H164" s="41">
        <v>44261</v>
      </c>
      <c r="I164" s="41">
        <v>44733</v>
      </c>
      <c r="J164" s="41">
        <v>45171</v>
      </c>
      <c r="K164" s="41">
        <v>45302</v>
      </c>
      <c r="L164" s="41">
        <v>45597</v>
      </c>
      <c r="M164" s="41">
        <v>46042</v>
      </c>
      <c r="N164" s="41">
        <v>46464</v>
      </c>
      <c r="O164" s="41">
        <v>46746</v>
      </c>
      <c r="P164" s="41">
        <v>47325</v>
      </c>
      <c r="Q164" s="41">
        <v>47766</v>
      </c>
      <c r="R164" s="41">
        <v>48281</v>
      </c>
      <c r="S164" s="41">
        <v>48640</v>
      </c>
      <c r="T164" s="41">
        <v>49351</v>
      </c>
      <c r="U164" s="41">
        <v>49938</v>
      </c>
      <c r="V164" s="41">
        <v>50453</v>
      </c>
      <c r="W164" s="41">
        <v>50930</v>
      </c>
      <c r="X164" s="41">
        <v>51480</v>
      </c>
      <c r="Y164" s="41">
        <v>52019</v>
      </c>
      <c r="Z164" s="41">
        <v>52545</v>
      </c>
      <c r="AA164" s="41">
        <v>53033</v>
      </c>
      <c r="AB164" s="41">
        <v>53499</v>
      </c>
      <c r="AC164" s="41">
        <v>53982</v>
      </c>
      <c r="AD164" s="41">
        <v>54467</v>
      </c>
      <c r="AE164" s="41">
        <v>54930</v>
      </c>
      <c r="AF164" s="41">
        <v>55361</v>
      </c>
      <c r="AG164" s="41">
        <v>55786</v>
      </c>
      <c r="AH164" s="41">
        <v>56199</v>
      </c>
      <c r="AI164" s="41">
        <v>56617</v>
      </c>
      <c r="AJ164" s="41">
        <v>57025</v>
      </c>
      <c r="AK164" s="41">
        <v>57415</v>
      </c>
      <c r="AL164" s="41">
        <v>57804</v>
      </c>
      <c r="AM164" s="41">
        <v>58181</v>
      </c>
      <c r="AN164" s="41">
        <v>58565</v>
      </c>
      <c r="AO164" s="41">
        <v>58937</v>
      </c>
      <c r="AP164" s="41">
        <v>59299</v>
      </c>
      <c r="AQ164" s="41">
        <v>59660</v>
      </c>
      <c r="AR164" s="41">
        <v>60018</v>
      </c>
      <c r="AS164" s="41">
        <v>60353</v>
      </c>
    </row>
    <row r="165" spans="1:45">
      <c r="A165" s="38" t="s">
        <v>446</v>
      </c>
      <c r="B165" s="38" t="s">
        <v>447</v>
      </c>
      <c r="C165" s="41">
        <v>79710</v>
      </c>
      <c r="D165" s="41">
        <v>79218</v>
      </c>
      <c r="E165" s="41">
        <v>78356</v>
      </c>
      <c r="F165" s="41">
        <v>77713</v>
      </c>
      <c r="G165" s="41">
        <v>77810</v>
      </c>
      <c r="H165" s="41">
        <v>77984</v>
      </c>
      <c r="I165" s="41">
        <v>77835</v>
      </c>
      <c r="J165" s="41">
        <v>77912</v>
      </c>
      <c r="K165" s="41">
        <v>78431</v>
      </c>
      <c r="L165" s="41">
        <v>78373</v>
      </c>
      <c r="M165" s="41">
        <v>78305</v>
      </c>
      <c r="N165" s="41">
        <v>78651</v>
      </c>
      <c r="O165" s="41">
        <v>79119</v>
      </c>
      <c r="P165" s="41">
        <v>79277</v>
      </c>
      <c r="Q165" s="41">
        <v>79484</v>
      </c>
      <c r="R165" s="41">
        <v>79572</v>
      </c>
      <c r="S165" s="41">
        <v>79198</v>
      </c>
      <c r="T165" s="41">
        <v>79173</v>
      </c>
      <c r="U165" s="41">
        <v>79131</v>
      </c>
      <c r="V165" s="41">
        <v>79123</v>
      </c>
      <c r="W165" s="41">
        <v>79099</v>
      </c>
      <c r="X165" s="41">
        <v>79459</v>
      </c>
      <c r="Y165" s="41">
        <v>79806</v>
      </c>
      <c r="Z165" s="41">
        <v>80123</v>
      </c>
      <c r="AA165" s="41">
        <v>80445</v>
      </c>
      <c r="AB165" s="41">
        <v>80755</v>
      </c>
      <c r="AC165" s="41">
        <v>81072</v>
      </c>
      <c r="AD165" s="41">
        <v>81381</v>
      </c>
      <c r="AE165" s="41">
        <v>81686</v>
      </c>
      <c r="AF165" s="41">
        <v>82009</v>
      </c>
      <c r="AG165" s="41">
        <v>82341</v>
      </c>
      <c r="AH165" s="41">
        <v>82690</v>
      </c>
      <c r="AI165" s="41">
        <v>83038</v>
      </c>
      <c r="AJ165" s="41">
        <v>83380</v>
      </c>
      <c r="AK165" s="41">
        <v>83728</v>
      </c>
      <c r="AL165" s="41">
        <v>84085</v>
      </c>
      <c r="AM165" s="41">
        <v>84447</v>
      </c>
      <c r="AN165" s="41">
        <v>84792</v>
      </c>
      <c r="AO165" s="41">
        <v>85120</v>
      </c>
      <c r="AP165" s="41">
        <v>85451</v>
      </c>
      <c r="AQ165" s="41">
        <v>85795</v>
      </c>
      <c r="AR165" s="41">
        <v>86143</v>
      </c>
      <c r="AS165" s="41">
        <v>86473</v>
      </c>
    </row>
    <row r="166" spans="1:45">
      <c r="A166" s="38" t="s">
        <v>448</v>
      </c>
      <c r="B166" s="38" t="s">
        <v>449</v>
      </c>
      <c r="C166" s="41">
        <v>28752</v>
      </c>
      <c r="D166" s="41">
        <v>29122</v>
      </c>
      <c r="E166" s="41">
        <v>29502</v>
      </c>
      <c r="F166" s="41">
        <v>30027</v>
      </c>
      <c r="G166" s="41">
        <v>30408</v>
      </c>
      <c r="H166" s="41">
        <v>30796</v>
      </c>
      <c r="I166" s="41">
        <v>31389</v>
      </c>
      <c r="J166" s="41">
        <v>31763</v>
      </c>
      <c r="K166" s="41">
        <v>32049</v>
      </c>
      <c r="L166" s="41">
        <v>32284</v>
      </c>
      <c r="M166" s="41">
        <v>32669</v>
      </c>
      <c r="N166" s="41">
        <v>32916</v>
      </c>
      <c r="O166" s="41">
        <v>33069</v>
      </c>
      <c r="P166" s="41">
        <v>33394</v>
      </c>
      <c r="Q166" s="41">
        <v>33561</v>
      </c>
      <c r="R166" s="41">
        <v>33830</v>
      </c>
      <c r="S166" s="41">
        <v>34172</v>
      </c>
      <c r="T166" s="41">
        <v>34558</v>
      </c>
      <c r="U166" s="41">
        <v>35013</v>
      </c>
      <c r="V166" s="41">
        <v>35392</v>
      </c>
      <c r="W166" s="41">
        <v>35770</v>
      </c>
      <c r="X166" s="41">
        <v>36179</v>
      </c>
      <c r="Y166" s="41">
        <v>36590</v>
      </c>
      <c r="Z166" s="41">
        <v>36987</v>
      </c>
      <c r="AA166" s="41">
        <v>37355</v>
      </c>
      <c r="AB166" s="41">
        <v>37726</v>
      </c>
      <c r="AC166" s="41">
        <v>38108</v>
      </c>
      <c r="AD166" s="41">
        <v>38484</v>
      </c>
      <c r="AE166" s="41">
        <v>38846</v>
      </c>
      <c r="AF166" s="41">
        <v>39190</v>
      </c>
      <c r="AG166" s="41">
        <v>39549</v>
      </c>
      <c r="AH166" s="41">
        <v>39898</v>
      </c>
      <c r="AI166" s="41">
        <v>40244</v>
      </c>
      <c r="AJ166" s="41">
        <v>40582</v>
      </c>
      <c r="AK166" s="41">
        <v>40909</v>
      </c>
      <c r="AL166" s="41">
        <v>41232</v>
      </c>
      <c r="AM166" s="41">
        <v>41548</v>
      </c>
      <c r="AN166" s="41">
        <v>41861</v>
      </c>
      <c r="AO166" s="41">
        <v>42167</v>
      </c>
      <c r="AP166" s="41">
        <v>42465</v>
      </c>
      <c r="AQ166" s="41">
        <v>42758</v>
      </c>
      <c r="AR166" s="41">
        <v>43040</v>
      </c>
      <c r="AS166" s="41">
        <v>43307</v>
      </c>
    </row>
    <row r="167" spans="1:45">
      <c r="A167" s="38" t="s">
        <v>450</v>
      </c>
      <c r="B167" s="38" t="s">
        <v>451</v>
      </c>
      <c r="C167" s="41">
        <v>35290</v>
      </c>
      <c r="D167" s="41">
        <v>35712</v>
      </c>
      <c r="E167" s="41">
        <v>36096</v>
      </c>
      <c r="F167" s="41">
        <v>36569</v>
      </c>
      <c r="G167" s="41">
        <v>37177</v>
      </c>
      <c r="H167" s="41">
        <v>37708</v>
      </c>
      <c r="I167" s="41">
        <v>38443</v>
      </c>
      <c r="J167" s="41">
        <v>38923</v>
      </c>
      <c r="K167" s="41">
        <v>39276</v>
      </c>
      <c r="L167" s="41">
        <v>39777</v>
      </c>
      <c r="M167" s="41">
        <v>40301</v>
      </c>
      <c r="N167" s="41">
        <v>40813</v>
      </c>
      <c r="O167" s="41">
        <v>41213</v>
      </c>
      <c r="P167" s="41">
        <v>41886</v>
      </c>
      <c r="Q167" s="41">
        <v>42373</v>
      </c>
      <c r="R167" s="41">
        <v>42804</v>
      </c>
      <c r="S167" s="41">
        <v>43289</v>
      </c>
      <c r="T167" s="41">
        <v>43924</v>
      </c>
      <c r="U167" s="41">
        <v>44499</v>
      </c>
      <c r="V167" s="41">
        <v>44998</v>
      </c>
      <c r="W167" s="41">
        <v>45483</v>
      </c>
      <c r="X167" s="41">
        <v>46029</v>
      </c>
      <c r="Y167" s="41">
        <v>46519</v>
      </c>
      <c r="Z167" s="41">
        <v>47019</v>
      </c>
      <c r="AA167" s="41">
        <v>47471</v>
      </c>
      <c r="AB167" s="41">
        <v>47898</v>
      </c>
      <c r="AC167" s="41">
        <v>48354</v>
      </c>
      <c r="AD167" s="41">
        <v>48767</v>
      </c>
      <c r="AE167" s="41">
        <v>49176</v>
      </c>
      <c r="AF167" s="41">
        <v>49560</v>
      </c>
      <c r="AG167" s="41">
        <v>49938</v>
      </c>
      <c r="AH167" s="41">
        <v>50305</v>
      </c>
      <c r="AI167" s="41">
        <v>50648</v>
      </c>
      <c r="AJ167" s="41">
        <v>50997</v>
      </c>
      <c r="AK167" s="41">
        <v>51338</v>
      </c>
      <c r="AL167" s="41">
        <v>51669</v>
      </c>
      <c r="AM167" s="41">
        <v>51981</v>
      </c>
      <c r="AN167" s="41">
        <v>52284</v>
      </c>
      <c r="AO167" s="41">
        <v>52592</v>
      </c>
      <c r="AP167" s="41">
        <v>52886</v>
      </c>
      <c r="AQ167" s="41">
        <v>53192</v>
      </c>
      <c r="AR167" s="41">
        <v>53472</v>
      </c>
      <c r="AS167" s="41">
        <v>53744</v>
      </c>
    </row>
    <row r="168" spans="1:45">
      <c r="A168" s="38" t="s">
        <v>452</v>
      </c>
      <c r="B168" s="38" t="s">
        <v>453</v>
      </c>
      <c r="C168" s="41">
        <v>51629</v>
      </c>
      <c r="D168" s="41">
        <v>51730</v>
      </c>
      <c r="E168" s="41">
        <v>52127</v>
      </c>
      <c r="F168" s="41">
        <v>52456</v>
      </c>
      <c r="G168" s="41">
        <v>52866</v>
      </c>
      <c r="H168" s="41">
        <v>53493</v>
      </c>
      <c r="I168" s="41">
        <v>54216</v>
      </c>
      <c r="J168" s="41">
        <v>54961</v>
      </c>
      <c r="K168" s="41">
        <v>55662</v>
      </c>
      <c r="L168" s="41">
        <v>56398</v>
      </c>
      <c r="M168" s="41">
        <v>57370</v>
      </c>
      <c r="N168" s="41">
        <v>57789</v>
      </c>
      <c r="O168" s="41">
        <v>58470</v>
      </c>
      <c r="P168" s="41">
        <v>59215</v>
      </c>
      <c r="Q168" s="41">
        <v>59795</v>
      </c>
      <c r="R168" s="41">
        <v>60506</v>
      </c>
      <c r="S168" s="41">
        <v>60788</v>
      </c>
      <c r="T168" s="41">
        <v>61405</v>
      </c>
      <c r="U168" s="41">
        <v>61983</v>
      </c>
      <c r="V168" s="41">
        <v>62452</v>
      </c>
      <c r="W168" s="41">
        <v>62890</v>
      </c>
      <c r="X168" s="41">
        <v>63455</v>
      </c>
      <c r="Y168" s="41">
        <v>64012</v>
      </c>
      <c r="Z168" s="41">
        <v>64568</v>
      </c>
      <c r="AA168" s="41">
        <v>65067</v>
      </c>
      <c r="AB168" s="41">
        <v>65553</v>
      </c>
      <c r="AC168" s="41">
        <v>66043</v>
      </c>
      <c r="AD168" s="41">
        <v>66515</v>
      </c>
      <c r="AE168" s="41">
        <v>66978</v>
      </c>
      <c r="AF168" s="41">
        <v>67405</v>
      </c>
      <c r="AG168" s="41">
        <v>67838</v>
      </c>
      <c r="AH168" s="41">
        <v>68238</v>
      </c>
      <c r="AI168" s="41">
        <v>68637</v>
      </c>
      <c r="AJ168" s="41">
        <v>69027</v>
      </c>
      <c r="AK168" s="41">
        <v>69401</v>
      </c>
      <c r="AL168" s="41">
        <v>69775</v>
      </c>
      <c r="AM168" s="41">
        <v>70109</v>
      </c>
      <c r="AN168" s="41">
        <v>70462</v>
      </c>
      <c r="AO168" s="41">
        <v>70813</v>
      </c>
      <c r="AP168" s="41">
        <v>71165</v>
      </c>
      <c r="AQ168" s="41">
        <v>71532</v>
      </c>
      <c r="AR168" s="41">
        <v>71896</v>
      </c>
      <c r="AS168" s="41">
        <v>72249</v>
      </c>
    </row>
    <row r="169" spans="1:45">
      <c r="A169" s="38" t="s">
        <v>454</v>
      </c>
      <c r="B169" s="38" t="s">
        <v>455</v>
      </c>
      <c r="C169" s="41">
        <v>57410</v>
      </c>
      <c r="D169" s="41">
        <v>57045</v>
      </c>
      <c r="E169" s="41">
        <v>56749</v>
      </c>
      <c r="F169" s="41">
        <v>56561</v>
      </c>
      <c r="G169" s="41">
        <v>56619</v>
      </c>
      <c r="H169" s="41">
        <v>56568</v>
      </c>
      <c r="I169" s="41">
        <v>56556</v>
      </c>
      <c r="J169" s="41">
        <v>56496</v>
      </c>
      <c r="K169" s="41">
        <v>56296</v>
      </c>
      <c r="L169" s="41">
        <v>56344</v>
      </c>
      <c r="M169" s="41">
        <v>56755</v>
      </c>
      <c r="N169" s="41">
        <v>56804</v>
      </c>
      <c r="O169" s="41">
        <v>56805</v>
      </c>
      <c r="P169" s="41">
        <v>56825</v>
      </c>
      <c r="Q169" s="41">
        <v>56799</v>
      </c>
      <c r="R169" s="41">
        <v>57133</v>
      </c>
      <c r="S169" s="41">
        <v>57217</v>
      </c>
      <c r="T169" s="41">
        <v>57162</v>
      </c>
      <c r="U169" s="41">
        <v>57147</v>
      </c>
      <c r="V169" s="41">
        <v>57078</v>
      </c>
      <c r="W169" s="41">
        <v>57009</v>
      </c>
      <c r="X169" s="41">
        <v>57020</v>
      </c>
      <c r="Y169" s="41">
        <v>57032</v>
      </c>
      <c r="Z169" s="41">
        <v>57041</v>
      </c>
      <c r="AA169" s="41">
        <v>57047</v>
      </c>
      <c r="AB169" s="41">
        <v>57088</v>
      </c>
      <c r="AC169" s="41">
        <v>57133</v>
      </c>
      <c r="AD169" s="41">
        <v>57201</v>
      </c>
      <c r="AE169" s="41">
        <v>57260</v>
      </c>
      <c r="AF169" s="41">
        <v>57330</v>
      </c>
      <c r="AG169" s="41">
        <v>57426</v>
      </c>
      <c r="AH169" s="41">
        <v>57520</v>
      </c>
      <c r="AI169" s="41">
        <v>57627</v>
      </c>
      <c r="AJ169" s="41">
        <v>57713</v>
      </c>
      <c r="AK169" s="41">
        <v>57809</v>
      </c>
      <c r="AL169" s="41">
        <v>57901</v>
      </c>
      <c r="AM169" s="41">
        <v>57992</v>
      </c>
      <c r="AN169" s="41">
        <v>58068</v>
      </c>
      <c r="AO169" s="41">
        <v>58113</v>
      </c>
      <c r="AP169" s="41">
        <v>58164</v>
      </c>
      <c r="AQ169" s="41">
        <v>58213</v>
      </c>
      <c r="AR169" s="41">
        <v>58256</v>
      </c>
      <c r="AS169" s="41">
        <v>58270</v>
      </c>
    </row>
    <row r="170" spans="1:45">
      <c r="A170" s="38" t="s">
        <v>456</v>
      </c>
      <c r="B170" s="38" t="s">
        <v>457</v>
      </c>
      <c r="C170" s="41">
        <v>84931</v>
      </c>
      <c r="D170" s="41">
        <v>85820</v>
      </c>
      <c r="E170" s="41">
        <v>86699</v>
      </c>
      <c r="F170" s="41">
        <v>87300</v>
      </c>
      <c r="G170" s="41">
        <v>88802</v>
      </c>
      <c r="H170" s="41">
        <v>90284</v>
      </c>
      <c r="I170" s="41">
        <v>91510</v>
      </c>
      <c r="J170" s="41">
        <v>93124</v>
      </c>
      <c r="K170" s="41">
        <v>94712</v>
      </c>
      <c r="L170" s="41">
        <v>96637</v>
      </c>
      <c r="M170" s="41">
        <v>98086</v>
      </c>
      <c r="N170" s="41">
        <v>99141</v>
      </c>
      <c r="O170" s="41">
        <v>100442</v>
      </c>
      <c r="P170" s="41">
        <v>101972</v>
      </c>
      <c r="Q170" s="41">
        <v>103061</v>
      </c>
      <c r="R170" s="41">
        <v>104201</v>
      </c>
      <c r="S170" s="41">
        <v>104808</v>
      </c>
      <c r="T170" s="41">
        <v>105296</v>
      </c>
      <c r="U170" s="41">
        <v>106074</v>
      </c>
      <c r="V170" s="41">
        <v>106768</v>
      </c>
      <c r="W170" s="41">
        <v>107443</v>
      </c>
      <c r="X170" s="41">
        <v>108334</v>
      </c>
      <c r="Y170" s="41">
        <v>109193</v>
      </c>
      <c r="Z170" s="41">
        <v>110005</v>
      </c>
      <c r="AA170" s="41">
        <v>110773</v>
      </c>
      <c r="AB170" s="41">
        <v>111529</v>
      </c>
      <c r="AC170" s="41">
        <v>112250</v>
      </c>
      <c r="AD170" s="41">
        <v>112960</v>
      </c>
      <c r="AE170" s="41">
        <v>113631</v>
      </c>
      <c r="AF170" s="41">
        <v>114278</v>
      </c>
      <c r="AG170" s="41">
        <v>114912</v>
      </c>
      <c r="AH170" s="41">
        <v>115505</v>
      </c>
      <c r="AI170" s="41">
        <v>116093</v>
      </c>
      <c r="AJ170" s="41">
        <v>116648</v>
      </c>
      <c r="AK170" s="41">
        <v>117175</v>
      </c>
      <c r="AL170" s="41">
        <v>117703</v>
      </c>
      <c r="AM170" s="41">
        <v>118195</v>
      </c>
      <c r="AN170" s="41">
        <v>118677</v>
      </c>
      <c r="AO170" s="41">
        <v>119137</v>
      </c>
      <c r="AP170" s="41">
        <v>119568</v>
      </c>
      <c r="AQ170" s="41">
        <v>120021</v>
      </c>
      <c r="AR170" s="41">
        <v>120471</v>
      </c>
      <c r="AS170" s="41">
        <v>120910</v>
      </c>
    </row>
    <row r="171" spans="1:45">
      <c r="A171" s="38" t="s">
        <v>458</v>
      </c>
      <c r="B171" s="38" t="s">
        <v>459</v>
      </c>
      <c r="C171" s="41">
        <v>33501</v>
      </c>
      <c r="D171" s="41">
        <v>33611</v>
      </c>
      <c r="E171" s="41">
        <v>33836</v>
      </c>
      <c r="F171" s="41">
        <v>33954</v>
      </c>
      <c r="G171" s="41">
        <v>34099</v>
      </c>
      <c r="H171" s="41">
        <v>34342</v>
      </c>
      <c r="I171" s="41">
        <v>34628</v>
      </c>
      <c r="J171" s="41">
        <v>35059</v>
      </c>
      <c r="K171" s="41">
        <v>35330</v>
      </c>
      <c r="L171" s="41">
        <v>35665</v>
      </c>
      <c r="M171" s="41">
        <v>35818</v>
      </c>
      <c r="N171" s="41">
        <v>36098</v>
      </c>
      <c r="O171" s="41">
        <v>36331</v>
      </c>
      <c r="P171" s="41">
        <v>36461</v>
      </c>
      <c r="Q171" s="41">
        <v>36588</v>
      </c>
      <c r="R171" s="41">
        <v>36769</v>
      </c>
      <c r="S171" s="41">
        <v>36869</v>
      </c>
      <c r="T171" s="41">
        <v>36979</v>
      </c>
      <c r="U171" s="41">
        <v>37106</v>
      </c>
      <c r="V171" s="41">
        <v>37207</v>
      </c>
      <c r="W171" s="41">
        <v>37298</v>
      </c>
      <c r="X171" s="41">
        <v>37460</v>
      </c>
      <c r="Y171" s="41">
        <v>37622</v>
      </c>
      <c r="Z171" s="41">
        <v>37761</v>
      </c>
      <c r="AA171" s="41">
        <v>37887</v>
      </c>
      <c r="AB171" s="41">
        <v>38024</v>
      </c>
      <c r="AC171" s="41">
        <v>38172</v>
      </c>
      <c r="AD171" s="41">
        <v>38311</v>
      </c>
      <c r="AE171" s="41">
        <v>38449</v>
      </c>
      <c r="AF171" s="41">
        <v>38584</v>
      </c>
      <c r="AG171" s="41">
        <v>38718</v>
      </c>
      <c r="AH171" s="41">
        <v>38847</v>
      </c>
      <c r="AI171" s="41">
        <v>38976</v>
      </c>
      <c r="AJ171" s="41">
        <v>39113</v>
      </c>
      <c r="AK171" s="41">
        <v>39245</v>
      </c>
      <c r="AL171" s="41">
        <v>39377</v>
      </c>
      <c r="AM171" s="41">
        <v>39512</v>
      </c>
      <c r="AN171" s="41">
        <v>39639</v>
      </c>
      <c r="AO171" s="41">
        <v>39766</v>
      </c>
      <c r="AP171" s="41">
        <v>39891</v>
      </c>
      <c r="AQ171" s="41">
        <v>40026</v>
      </c>
      <c r="AR171" s="41">
        <v>40157</v>
      </c>
      <c r="AS171" s="41">
        <v>40277</v>
      </c>
    </row>
    <row r="172" spans="1:45">
      <c r="A172" s="38" t="s">
        <v>460</v>
      </c>
      <c r="B172" s="38" t="s">
        <v>461</v>
      </c>
      <c r="C172" s="41">
        <v>71856</v>
      </c>
      <c r="D172" s="41">
        <v>72417</v>
      </c>
      <c r="E172" s="41">
        <v>72935</v>
      </c>
      <c r="F172" s="41">
        <v>73359</v>
      </c>
      <c r="G172" s="41">
        <v>73739</v>
      </c>
      <c r="H172" s="41">
        <v>74345</v>
      </c>
      <c r="I172" s="41">
        <v>74875</v>
      </c>
      <c r="J172" s="41">
        <v>75322</v>
      </c>
      <c r="K172" s="41">
        <v>75786</v>
      </c>
      <c r="L172" s="41">
        <v>76283</v>
      </c>
      <c r="M172" s="41">
        <v>76832</v>
      </c>
      <c r="N172" s="41">
        <v>77290</v>
      </c>
      <c r="O172" s="41">
        <v>77655</v>
      </c>
      <c r="P172" s="41">
        <v>78065</v>
      </c>
      <c r="Q172" s="41">
        <v>78288</v>
      </c>
      <c r="R172" s="41">
        <v>78686</v>
      </c>
      <c r="S172" s="41">
        <v>78932</v>
      </c>
      <c r="T172" s="41">
        <v>79171</v>
      </c>
      <c r="U172" s="41">
        <v>79580</v>
      </c>
      <c r="V172" s="41">
        <v>79893</v>
      </c>
      <c r="W172" s="41">
        <v>80189</v>
      </c>
      <c r="X172" s="41">
        <v>80604</v>
      </c>
      <c r="Y172" s="41">
        <v>81010</v>
      </c>
      <c r="Z172" s="41">
        <v>81404</v>
      </c>
      <c r="AA172" s="41">
        <v>81755</v>
      </c>
      <c r="AB172" s="41">
        <v>82101</v>
      </c>
      <c r="AC172" s="41">
        <v>82518</v>
      </c>
      <c r="AD172" s="41">
        <v>82899</v>
      </c>
      <c r="AE172" s="41">
        <v>83269</v>
      </c>
      <c r="AF172" s="41">
        <v>83593</v>
      </c>
      <c r="AG172" s="41">
        <v>83938</v>
      </c>
      <c r="AH172" s="41">
        <v>84266</v>
      </c>
      <c r="AI172" s="41">
        <v>84597</v>
      </c>
      <c r="AJ172" s="41">
        <v>84913</v>
      </c>
      <c r="AK172" s="41">
        <v>85201</v>
      </c>
      <c r="AL172" s="41">
        <v>85499</v>
      </c>
      <c r="AM172" s="41">
        <v>85757</v>
      </c>
      <c r="AN172" s="41">
        <v>86035</v>
      </c>
      <c r="AO172" s="41">
        <v>86313</v>
      </c>
      <c r="AP172" s="41">
        <v>86566</v>
      </c>
      <c r="AQ172" s="41">
        <v>86851</v>
      </c>
      <c r="AR172" s="41">
        <v>87117</v>
      </c>
      <c r="AS172" s="41">
        <v>87373</v>
      </c>
    </row>
    <row r="173" spans="1:45">
      <c r="A173" s="38" t="s">
        <v>462</v>
      </c>
      <c r="B173" s="38" t="s">
        <v>463</v>
      </c>
      <c r="C173" s="41">
        <v>44226</v>
      </c>
      <c r="D173" s="41">
        <v>44544</v>
      </c>
      <c r="E173" s="41">
        <v>45212</v>
      </c>
      <c r="F173" s="41">
        <v>45815</v>
      </c>
      <c r="G173" s="41">
        <v>46240</v>
      </c>
      <c r="H173" s="41">
        <v>46759</v>
      </c>
      <c r="I173" s="41">
        <v>47329</v>
      </c>
      <c r="J173" s="41">
        <v>47727</v>
      </c>
      <c r="K173" s="41">
        <v>48109</v>
      </c>
      <c r="L173" s="41">
        <v>48554</v>
      </c>
      <c r="M173" s="41">
        <v>48656</v>
      </c>
      <c r="N173" s="41">
        <v>49001</v>
      </c>
      <c r="O173" s="41">
        <v>49538</v>
      </c>
      <c r="P173" s="41">
        <v>50080</v>
      </c>
      <c r="Q173" s="41">
        <v>50596</v>
      </c>
      <c r="R173" s="41">
        <v>51158</v>
      </c>
      <c r="S173" s="41">
        <v>51778</v>
      </c>
      <c r="T173" s="41">
        <v>52104</v>
      </c>
      <c r="U173" s="41">
        <v>52673</v>
      </c>
      <c r="V173" s="41">
        <v>53158</v>
      </c>
      <c r="W173" s="41">
        <v>53605</v>
      </c>
      <c r="X173" s="41">
        <v>54117</v>
      </c>
      <c r="Y173" s="41">
        <v>54580</v>
      </c>
      <c r="Z173" s="41">
        <v>55040</v>
      </c>
      <c r="AA173" s="41">
        <v>55470</v>
      </c>
      <c r="AB173" s="41">
        <v>55884</v>
      </c>
      <c r="AC173" s="41">
        <v>56317</v>
      </c>
      <c r="AD173" s="41">
        <v>56724</v>
      </c>
      <c r="AE173" s="41">
        <v>57122</v>
      </c>
      <c r="AF173" s="41">
        <v>57522</v>
      </c>
      <c r="AG173" s="41">
        <v>57906</v>
      </c>
      <c r="AH173" s="41">
        <v>58305</v>
      </c>
      <c r="AI173" s="41">
        <v>58692</v>
      </c>
      <c r="AJ173" s="41">
        <v>59079</v>
      </c>
      <c r="AK173" s="41">
        <v>59471</v>
      </c>
      <c r="AL173" s="41">
        <v>59860</v>
      </c>
      <c r="AM173" s="41">
        <v>60247</v>
      </c>
      <c r="AN173" s="41">
        <v>60627</v>
      </c>
      <c r="AO173" s="41">
        <v>61012</v>
      </c>
      <c r="AP173" s="41">
        <v>61381</v>
      </c>
      <c r="AQ173" s="41">
        <v>61755</v>
      </c>
      <c r="AR173" s="41">
        <v>62115</v>
      </c>
      <c r="AS173" s="41">
        <v>62449</v>
      </c>
    </row>
    <row r="174" spans="1:45">
      <c r="A174" s="38" t="s">
        <v>464</v>
      </c>
      <c r="B174" s="38" t="s">
        <v>465</v>
      </c>
      <c r="C174" s="41">
        <v>113690</v>
      </c>
      <c r="D174" s="41">
        <v>113541</v>
      </c>
      <c r="E174" s="41">
        <v>113320</v>
      </c>
      <c r="F174" s="41">
        <v>112939</v>
      </c>
      <c r="G174" s="41">
        <v>113997</v>
      </c>
      <c r="H174" s="41">
        <v>113789</v>
      </c>
      <c r="I174" s="41">
        <v>114064</v>
      </c>
      <c r="J174" s="41">
        <v>114098</v>
      </c>
      <c r="K174" s="41">
        <v>114693</v>
      </c>
      <c r="L174" s="41">
        <v>115730</v>
      </c>
      <c r="M174" s="41">
        <v>116148</v>
      </c>
      <c r="N174" s="41">
        <v>116783</v>
      </c>
      <c r="O174" s="41">
        <v>118172</v>
      </c>
      <c r="P174" s="41">
        <v>118855</v>
      </c>
      <c r="Q174" s="41">
        <v>119920</v>
      </c>
      <c r="R174" s="41">
        <v>121281</v>
      </c>
      <c r="S174" s="41">
        <v>121890</v>
      </c>
      <c r="T174" s="41">
        <v>123523</v>
      </c>
      <c r="U174" s="41">
        <v>124034</v>
      </c>
      <c r="V174" s="41">
        <v>124453</v>
      </c>
      <c r="W174" s="41">
        <v>124712</v>
      </c>
      <c r="X174" s="41">
        <v>124978</v>
      </c>
      <c r="Y174" s="41">
        <v>125258</v>
      </c>
      <c r="Z174" s="41">
        <v>125572</v>
      </c>
      <c r="AA174" s="41">
        <v>125925</v>
      </c>
      <c r="AB174" s="41">
        <v>126369</v>
      </c>
      <c r="AC174" s="41">
        <v>126822</v>
      </c>
      <c r="AD174" s="41">
        <v>127332</v>
      </c>
      <c r="AE174" s="41">
        <v>127789</v>
      </c>
      <c r="AF174" s="41">
        <v>128269</v>
      </c>
      <c r="AG174" s="41">
        <v>128791</v>
      </c>
      <c r="AH174" s="41">
        <v>129332</v>
      </c>
      <c r="AI174" s="41">
        <v>129828</v>
      </c>
      <c r="AJ174" s="41">
        <v>130249</v>
      </c>
      <c r="AK174" s="41">
        <v>130659</v>
      </c>
      <c r="AL174" s="41">
        <v>131134</v>
      </c>
      <c r="AM174" s="41">
        <v>131533</v>
      </c>
      <c r="AN174" s="41">
        <v>131868</v>
      </c>
      <c r="AO174" s="41">
        <v>132139</v>
      </c>
      <c r="AP174" s="41">
        <v>132412</v>
      </c>
      <c r="AQ174" s="41">
        <v>132732</v>
      </c>
      <c r="AR174" s="41">
        <v>133023</v>
      </c>
      <c r="AS174" s="41">
        <v>133251</v>
      </c>
    </row>
    <row r="175" spans="1:45">
      <c r="A175" s="38" t="s">
        <v>466</v>
      </c>
      <c r="B175" s="38" t="s">
        <v>467</v>
      </c>
      <c r="C175" s="41">
        <v>50395</v>
      </c>
      <c r="D175" s="41">
        <v>50546</v>
      </c>
      <c r="E175" s="41">
        <v>50839</v>
      </c>
      <c r="F175" s="41">
        <v>51038</v>
      </c>
      <c r="G175" s="41">
        <v>51265</v>
      </c>
      <c r="H175" s="41">
        <v>51442</v>
      </c>
      <c r="I175" s="41">
        <v>51683</v>
      </c>
      <c r="J175" s="41">
        <v>51797</v>
      </c>
      <c r="K175" s="41">
        <v>51814</v>
      </c>
      <c r="L175" s="41">
        <v>52062</v>
      </c>
      <c r="M175" s="41">
        <v>52436</v>
      </c>
      <c r="N175" s="41">
        <v>52701</v>
      </c>
      <c r="O175" s="41">
        <v>53099</v>
      </c>
      <c r="P175" s="41">
        <v>53588</v>
      </c>
      <c r="Q175" s="41">
        <v>54041</v>
      </c>
      <c r="R175" s="41">
        <v>54617</v>
      </c>
      <c r="S175" s="41">
        <v>55124</v>
      </c>
      <c r="T175" s="41">
        <v>55466</v>
      </c>
      <c r="U175" s="41">
        <v>55846</v>
      </c>
      <c r="V175" s="41">
        <v>56235</v>
      </c>
      <c r="W175" s="41">
        <v>56591</v>
      </c>
      <c r="X175" s="41">
        <v>56954</v>
      </c>
      <c r="Y175" s="41">
        <v>57277</v>
      </c>
      <c r="Z175" s="41">
        <v>57599</v>
      </c>
      <c r="AA175" s="41">
        <v>57935</v>
      </c>
      <c r="AB175" s="41">
        <v>58230</v>
      </c>
      <c r="AC175" s="41">
        <v>58549</v>
      </c>
      <c r="AD175" s="41">
        <v>58875</v>
      </c>
      <c r="AE175" s="41">
        <v>59169</v>
      </c>
      <c r="AF175" s="41">
        <v>59467</v>
      </c>
      <c r="AG175" s="41">
        <v>59777</v>
      </c>
      <c r="AH175" s="41">
        <v>60076</v>
      </c>
      <c r="AI175" s="41">
        <v>60370</v>
      </c>
      <c r="AJ175" s="41">
        <v>60651</v>
      </c>
      <c r="AK175" s="41">
        <v>60927</v>
      </c>
      <c r="AL175" s="41">
        <v>61227</v>
      </c>
      <c r="AM175" s="41">
        <v>61522</v>
      </c>
      <c r="AN175" s="41">
        <v>61804</v>
      </c>
      <c r="AO175" s="41">
        <v>62074</v>
      </c>
      <c r="AP175" s="41">
        <v>62343</v>
      </c>
      <c r="AQ175" s="41">
        <v>62634</v>
      </c>
      <c r="AR175" s="41">
        <v>62913</v>
      </c>
      <c r="AS175" s="41">
        <v>63163</v>
      </c>
    </row>
    <row r="176" spans="1:45">
      <c r="A176" s="38" t="s">
        <v>468</v>
      </c>
      <c r="B176" s="38" t="s">
        <v>469</v>
      </c>
      <c r="C176" s="41">
        <v>93753</v>
      </c>
      <c r="D176" s="41">
        <v>94571</v>
      </c>
      <c r="E176" s="41">
        <v>93622</v>
      </c>
      <c r="F176" s="41">
        <v>91758</v>
      </c>
      <c r="G176" s="41">
        <v>90475</v>
      </c>
      <c r="H176" s="41">
        <v>90544</v>
      </c>
      <c r="I176" s="41">
        <v>91630</v>
      </c>
      <c r="J176" s="41">
        <v>93647</v>
      </c>
      <c r="K176" s="41">
        <v>96070</v>
      </c>
      <c r="L176" s="41">
        <v>99108</v>
      </c>
      <c r="M176" s="41">
        <v>101994</v>
      </c>
      <c r="N176" s="41">
        <v>103284</v>
      </c>
      <c r="O176" s="41">
        <v>104537</v>
      </c>
      <c r="P176" s="41">
        <v>106455</v>
      </c>
      <c r="Q176" s="41">
        <v>108810</v>
      </c>
      <c r="R176" s="41">
        <v>111049</v>
      </c>
      <c r="S176" s="41">
        <v>111991</v>
      </c>
      <c r="T176" s="41">
        <v>112890</v>
      </c>
      <c r="U176" s="41">
        <v>113761</v>
      </c>
      <c r="V176" s="41">
        <v>114404</v>
      </c>
      <c r="W176" s="41">
        <v>114867</v>
      </c>
      <c r="X176" s="41">
        <v>116569</v>
      </c>
      <c r="Y176" s="41">
        <v>118148</v>
      </c>
      <c r="Z176" s="41">
        <v>119604</v>
      </c>
      <c r="AA176" s="41">
        <v>120931</v>
      </c>
      <c r="AB176" s="41">
        <v>122210</v>
      </c>
      <c r="AC176" s="41">
        <v>123411</v>
      </c>
      <c r="AD176" s="41">
        <v>124601</v>
      </c>
      <c r="AE176" s="41">
        <v>125758</v>
      </c>
      <c r="AF176" s="41">
        <v>126886</v>
      </c>
      <c r="AG176" s="41">
        <v>128001</v>
      </c>
      <c r="AH176" s="41">
        <v>129086</v>
      </c>
      <c r="AI176" s="41">
        <v>130156</v>
      </c>
      <c r="AJ176" s="41">
        <v>131193</v>
      </c>
      <c r="AK176" s="41">
        <v>132193</v>
      </c>
      <c r="AL176" s="41">
        <v>133210</v>
      </c>
      <c r="AM176" s="41">
        <v>134203</v>
      </c>
      <c r="AN176" s="41">
        <v>135170</v>
      </c>
      <c r="AO176" s="41">
        <v>136084</v>
      </c>
      <c r="AP176" s="41">
        <v>136957</v>
      </c>
      <c r="AQ176" s="41">
        <v>137829</v>
      </c>
      <c r="AR176" s="41">
        <v>138655</v>
      </c>
      <c r="AS176" s="41">
        <v>139429</v>
      </c>
    </row>
    <row r="177" spans="1:45">
      <c r="A177" s="38" t="s">
        <v>470</v>
      </c>
      <c r="B177" s="38" t="s">
        <v>471</v>
      </c>
      <c r="C177" s="41">
        <v>36647</v>
      </c>
      <c r="D177" s="41">
        <v>37041</v>
      </c>
      <c r="E177" s="41">
        <v>37476</v>
      </c>
      <c r="F177" s="41">
        <v>37848</v>
      </c>
      <c r="G177" s="41">
        <v>38200</v>
      </c>
      <c r="H177" s="41">
        <v>38536</v>
      </c>
      <c r="I177" s="41">
        <v>38864</v>
      </c>
      <c r="J177" s="41">
        <v>39190</v>
      </c>
      <c r="K177" s="41">
        <v>39372</v>
      </c>
      <c r="L177" s="41">
        <v>39557</v>
      </c>
      <c r="M177" s="41">
        <v>39979</v>
      </c>
      <c r="N177" s="41">
        <v>40068</v>
      </c>
      <c r="O177" s="41">
        <v>40140</v>
      </c>
      <c r="P177" s="41">
        <v>40328</v>
      </c>
      <c r="Q177" s="41">
        <v>40506</v>
      </c>
      <c r="R177" s="41">
        <v>40802</v>
      </c>
      <c r="S177" s="41">
        <v>41186</v>
      </c>
      <c r="T177" s="41">
        <v>41615</v>
      </c>
      <c r="U177" s="41">
        <v>42092</v>
      </c>
      <c r="V177" s="41">
        <v>42497</v>
      </c>
      <c r="W177" s="41">
        <v>42918</v>
      </c>
      <c r="X177" s="41">
        <v>43340</v>
      </c>
      <c r="Y177" s="41">
        <v>43767</v>
      </c>
      <c r="Z177" s="41">
        <v>44204</v>
      </c>
      <c r="AA177" s="41">
        <v>44611</v>
      </c>
      <c r="AB177" s="41">
        <v>45011</v>
      </c>
      <c r="AC177" s="41">
        <v>45423</v>
      </c>
      <c r="AD177" s="41">
        <v>45825</v>
      </c>
      <c r="AE177" s="41">
        <v>46215</v>
      </c>
      <c r="AF177" s="41">
        <v>46584</v>
      </c>
      <c r="AG177" s="41">
        <v>46962</v>
      </c>
      <c r="AH177" s="41">
        <v>47320</v>
      </c>
      <c r="AI177" s="41">
        <v>47680</v>
      </c>
      <c r="AJ177" s="41">
        <v>48034</v>
      </c>
      <c r="AK177" s="41">
        <v>48379</v>
      </c>
      <c r="AL177" s="41">
        <v>48718</v>
      </c>
      <c r="AM177" s="41">
        <v>49053</v>
      </c>
      <c r="AN177" s="41">
        <v>49374</v>
      </c>
      <c r="AO177" s="41">
        <v>49694</v>
      </c>
      <c r="AP177" s="41">
        <v>50011</v>
      </c>
      <c r="AQ177" s="41">
        <v>50334</v>
      </c>
      <c r="AR177" s="41">
        <v>50648</v>
      </c>
      <c r="AS177" s="41">
        <v>50944</v>
      </c>
    </row>
    <row r="178" spans="1:45">
      <c r="A178" s="38" t="s">
        <v>472</v>
      </c>
      <c r="B178" s="38" t="s">
        <v>473</v>
      </c>
      <c r="C178" s="41">
        <v>40517</v>
      </c>
      <c r="D178" s="41">
        <v>40693</v>
      </c>
      <c r="E178" s="41">
        <v>40937</v>
      </c>
      <c r="F178" s="41">
        <v>41263</v>
      </c>
      <c r="G178" s="41">
        <v>41434</v>
      </c>
      <c r="H178" s="41">
        <v>41634</v>
      </c>
      <c r="I178" s="41">
        <v>41884</v>
      </c>
      <c r="J178" s="41">
        <v>42056</v>
      </c>
      <c r="K178" s="41">
        <v>42248</v>
      </c>
      <c r="L178" s="41">
        <v>42573</v>
      </c>
      <c r="M178" s="41">
        <v>43010</v>
      </c>
      <c r="N178" s="41">
        <v>43230</v>
      </c>
      <c r="O178" s="41">
        <v>43337</v>
      </c>
      <c r="P178" s="41">
        <v>43520</v>
      </c>
      <c r="Q178" s="41">
        <v>43710</v>
      </c>
      <c r="R178" s="41">
        <v>44132</v>
      </c>
      <c r="S178" s="41">
        <v>44389</v>
      </c>
      <c r="T178" s="41">
        <v>44681</v>
      </c>
      <c r="U178" s="41">
        <v>45064</v>
      </c>
      <c r="V178" s="41">
        <v>45372</v>
      </c>
      <c r="W178" s="41">
        <v>45682</v>
      </c>
      <c r="X178" s="41">
        <v>45986</v>
      </c>
      <c r="Y178" s="41">
        <v>46274</v>
      </c>
      <c r="Z178" s="41">
        <v>46585</v>
      </c>
      <c r="AA178" s="41">
        <v>46845</v>
      </c>
      <c r="AB178" s="41">
        <v>47109</v>
      </c>
      <c r="AC178" s="41">
        <v>47357</v>
      </c>
      <c r="AD178" s="41">
        <v>47605</v>
      </c>
      <c r="AE178" s="41">
        <v>47852</v>
      </c>
      <c r="AF178" s="41">
        <v>48076</v>
      </c>
      <c r="AG178" s="41">
        <v>48302</v>
      </c>
      <c r="AH178" s="41">
        <v>48516</v>
      </c>
      <c r="AI178" s="41">
        <v>48733</v>
      </c>
      <c r="AJ178" s="41">
        <v>48962</v>
      </c>
      <c r="AK178" s="41">
        <v>49184</v>
      </c>
      <c r="AL178" s="41">
        <v>49407</v>
      </c>
      <c r="AM178" s="41">
        <v>49640</v>
      </c>
      <c r="AN178" s="41">
        <v>49866</v>
      </c>
      <c r="AO178" s="41">
        <v>50096</v>
      </c>
      <c r="AP178" s="41">
        <v>50317</v>
      </c>
      <c r="AQ178" s="41">
        <v>50549</v>
      </c>
      <c r="AR178" s="41">
        <v>50782</v>
      </c>
      <c r="AS178" s="41">
        <v>50992</v>
      </c>
    </row>
    <row r="179" spans="1:45">
      <c r="A179" s="38" t="s">
        <v>474</v>
      </c>
      <c r="B179" s="38" t="s">
        <v>475</v>
      </c>
      <c r="C179" s="41">
        <v>65476</v>
      </c>
      <c r="D179" s="41">
        <v>65801</v>
      </c>
      <c r="E179" s="41">
        <v>66172</v>
      </c>
      <c r="F179" s="41">
        <v>66578</v>
      </c>
      <c r="G179" s="41">
        <v>66919</v>
      </c>
      <c r="H179" s="41">
        <v>67154</v>
      </c>
      <c r="I179" s="41">
        <v>67305</v>
      </c>
      <c r="J179" s="41">
        <v>67663</v>
      </c>
      <c r="K179" s="41">
        <v>67975</v>
      </c>
      <c r="L179" s="41">
        <v>68367</v>
      </c>
      <c r="M179" s="41">
        <v>69313</v>
      </c>
      <c r="N179" s="41">
        <v>69446</v>
      </c>
      <c r="O179" s="41">
        <v>69699</v>
      </c>
      <c r="P179" s="41">
        <v>69949</v>
      </c>
      <c r="Q179" s="41">
        <v>70121</v>
      </c>
      <c r="R179" s="41">
        <v>70253</v>
      </c>
      <c r="S179" s="41">
        <v>70395</v>
      </c>
      <c r="T179" s="41">
        <v>70528</v>
      </c>
      <c r="U179" s="41">
        <v>70773</v>
      </c>
      <c r="V179" s="41">
        <v>70899</v>
      </c>
      <c r="W179" s="41">
        <v>71036</v>
      </c>
      <c r="X179" s="41">
        <v>71198</v>
      </c>
      <c r="Y179" s="41">
        <v>71334</v>
      </c>
      <c r="Z179" s="41">
        <v>71466</v>
      </c>
      <c r="AA179" s="41">
        <v>71587</v>
      </c>
      <c r="AB179" s="41">
        <v>71730</v>
      </c>
      <c r="AC179" s="41">
        <v>71882</v>
      </c>
      <c r="AD179" s="41">
        <v>72025</v>
      </c>
      <c r="AE179" s="41">
        <v>72170</v>
      </c>
      <c r="AF179" s="41">
        <v>72322</v>
      </c>
      <c r="AG179" s="41">
        <v>72484</v>
      </c>
      <c r="AH179" s="41">
        <v>72651</v>
      </c>
      <c r="AI179" s="41">
        <v>72819</v>
      </c>
      <c r="AJ179" s="41">
        <v>72983</v>
      </c>
      <c r="AK179" s="41">
        <v>73153</v>
      </c>
      <c r="AL179" s="41">
        <v>73328</v>
      </c>
      <c r="AM179" s="41">
        <v>73487</v>
      </c>
      <c r="AN179" s="41">
        <v>73651</v>
      </c>
      <c r="AO179" s="41">
        <v>73796</v>
      </c>
      <c r="AP179" s="41">
        <v>73930</v>
      </c>
      <c r="AQ179" s="41">
        <v>74077</v>
      </c>
      <c r="AR179" s="41">
        <v>74207</v>
      </c>
      <c r="AS179" s="41">
        <v>74310</v>
      </c>
    </row>
    <row r="180" spans="1:45">
      <c r="A180" s="38" t="s">
        <v>476</v>
      </c>
      <c r="B180" s="38" t="s">
        <v>477</v>
      </c>
      <c r="C180" s="41">
        <v>48494</v>
      </c>
      <c r="D180" s="41">
        <v>48945</v>
      </c>
      <c r="E180" s="41">
        <v>49405</v>
      </c>
      <c r="F180" s="41">
        <v>49828</v>
      </c>
      <c r="G180" s="41">
        <v>50198</v>
      </c>
      <c r="H180" s="41">
        <v>50694</v>
      </c>
      <c r="I180" s="41">
        <v>51113</v>
      </c>
      <c r="J180" s="41">
        <v>51691</v>
      </c>
      <c r="K180" s="41">
        <v>52114</v>
      </c>
      <c r="L180" s="41">
        <v>52522</v>
      </c>
      <c r="M180" s="41">
        <v>53260</v>
      </c>
      <c r="N180" s="41">
        <v>53643</v>
      </c>
      <c r="O180" s="41">
        <v>54105</v>
      </c>
      <c r="P180" s="41">
        <v>54673</v>
      </c>
      <c r="Q180" s="41">
        <v>55029</v>
      </c>
      <c r="R180" s="41">
        <v>55456</v>
      </c>
      <c r="S180" s="41">
        <v>55849</v>
      </c>
      <c r="T180" s="41">
        <v>55830</v>
      </c>
      <c r="U180" s="41">
        <v>56161</v>
      </c>
      <c r="V180" s="41">
        <v>56430</v>
      </c>
      <c r="W180" s="41">
        <v>56689</v>
      </c>
      <c r="X180" s="41">
        <v>57027</v>
      </c>
      <c r="Y180" s="41">
        <v>57333</v>
      </c>
      <c r="Z180" s="41">
        <v>57669</v>
      </c>
      <c r="AA180" s="41">
        <v>57960</v>
      </c>
      <c r="AB180" s="41">
        <v>58244</v>
      </c>
      <c r="AC180" s="41">
        <v>58537</v>
      </c>
      <c r="AD180" s="41">
        <v>58823</v>
      </c>
      <c r="AE180" s="41">
        <v>59120</v>
      </c>
      <c r="AF180" s="41">
        <v>59389</v>
      </c>
      <c r="AG180" s="41">
        <v>59653</v>
      </c>
      <c r="AH180" s="41">
        <v>59918</v>
      </c>
      <c r="AI180" s="41">
        <v>60186</v>
      </c>
      <c r="AJ180" s="41">
        <v>60451</v>
      </c>
      <c r="AK180" s="41">
        <v>60708</v>
      </c>
      <c r="AL180" s="41">
        <v>60963</v>
      </c>
      <c r="AM180" s="41">
        <v>61216</v>
      </c>
      <c r="AN180" s="41">
        <v>61475</v>
      </c>
      <c r="AO180" s="41">
        <v>61719</v>
      </c>
      <c r="AP180" s="41">
        <v>61963</v>
      </c>
      <c r="AQ180" s="41">
        <v>62215</v>
      </c>
      <c r="AR180" s="41">
        <v>62476</v>
      </c>
      <c r="AS180" s="41">
        <v>62722</v>
      </c>
    </row>
    <row r="181" spans="1:45">
      <c r="A181" s="38" t="s">
        <v>478</v>
      </c>
      <c r="B181" s="38" t="s">
        <v>479</v>
      </c>
      <c r="C181" s="41">
        <v>38783</v>
      </c>
      <c r="D181" s="41">
        <v>39991</v>
      </c>
      <c r="E181" s="41">
        <v>40863</v>
      </c>
      <c r="F181" s="41">
        <v>41525</v>
      </c>
      <c r="G181" s="41">
        <v>41973</v>
      </c>
      <c r="H181" s="41">
        <v>42744</v>
      </c>
      <c r="I181" s="41">
        <v>43460</v>
      </c>
      <c r="J181" s="41">
        <v>44280</v>
      </c>
      <c r="K181" s="41">
        <v>44713</v>
      </c>
      <c r="L181" s="41">
        <v>45235</v>
      </c>
      <c r="M181" s="41">
        <v>46056</v>
      </c>
      <c r="N181" s="41">
        <v>46573</v>
      </c>
      <c r="O181" s="41">
        <v>46875</v>
      </c>
      <c r="P181" s="41">
        <v>47573</v>
      </c>
      <c r="Q181" s="41">
        <v>48143</v>
      </c>
      <c r="R181" s="41">
        <v>48858</v>
      </c>
      <c r="S181" s="41">
        <v>49644</v>
      </c>
      <c r="T181" s="41">
        <v>50010</v>
      </c>
      <c r="U181" s="41">
        <v>50651</v>
      </c>
      <c r="V181" s="41">
        <v>51205</v>
      </c>
      <c r="W181" s="41">
        <v>51677</v>
      </c>
      <c r="X181" s="41">
        <v>52174</v>
      </c>
      <c r="Y181" s="41">
        <v>52639</v>
      </c>
      <c r="Z181" s="41">
        <v>53116</v>
      </c>
      <c r="AA181" s="41">
        <v>53558</v>
      </c>
      <c r="AB181" s="41">
        <v>53953</v>
      </c>
      <c r="AC181" s="41">
        <v>54363</v>
      </c>
      <c r="AD181" s="41">
        <v>54764</v>
      </c>
      <c r="AE181" s="41">
        <v>55157</v>
      </c>
      <c r="AF181" s="41">
        <v>55538</v>
      </c>
      <c r="AG181" s="41">
        <v>55918</v>
      </c>
      <c r="AH181" s="41">
        <v>56292</v>
      </c>
      <c r="AI181" s="41">
        <v>56676</v>
      </c>
      <c r="AJ181" s="41">
        <v>57055</v>
      </c>
      <c r="AK181" s="41">
        <v>57416</v>
      </c>
      <c r="AL181" s="41">
        <v>57791</v>
      </c>
      <c r="AM181" s="41">
        <v>58154</v>
      </c>
      <c r="AN181" s="41">
        <v>58520</v>
      </c>
      <c r="AO181" s="41">
        <v>58874</v>
      </c>
      <c r="AP181" s="41">
        <v>59218</v>
      </c>
      <c r="AQ181" s="41">
        <v>59581</v>
      </c>
      <c r="AR181" s="41">
        <v>59919</v>
      </c>
      <c r="AS181" s="41">
        <v>60226</v>
      </c>
    </row>
    <row r="182" spans="1:45">
      <c r="A182" s="38" t="s">
        <v>480</v>
      </c>
      <c r="B182" s="38" t="s">
        <v>481</v>
      </c>
      <c r="C182" s="41">
        <v>63613</v>
      </c>
      <c r="D182" s="41">
        <v>64178</v>
      </c>
      <c r="E182" s="41">
        <v>65002</v>
      </c>
      <c r="F182" s="41">
        <v>65820</v>
      </c>
      <c r="G182" s="41">
        <v>66547</v>
      </c>
      <c r="H182" s="41">
        <v>67225</v>
      </c>
      <c r="I182" s="41">
        <v>67808</v>
      </c>
      <c r="J182" s="41">
        <v>68559</v>
      </c>
      <c r="K182" s="41">
        <v>69043</v>
      </c>
      <c r="L182" s="41">
        <v>69537</v>
      </c>
      <c r="M182" s="41">
        <v>70362</v>
      </c>
      <c r="N182" s="41">
        <v>70818</v>
      </c>
      <c r="O182" s="41">
        <v>71036</v>
      </c>
      <c r="P182" s="41">
        <v>71395</v>
      </c>
      <c r="Q182" s="41">
        <v>71771</v>
      </c>
      <c r="R182" s="41">
        <v>72283</v>
      </c>
      <c r="S182" s="41">
        <v>72616</v>
      </c>
      <c r="T182" s="41">
        <v>73004</v>
      </c>
      <c r="U182" s="41">
        <v>73412</v>
      </c>
      <c r="V182" s="41">
        <v>73775</v>
      </c>
      <c r="W182" s="41">
        <v>74093</v>
      </c>
      <c r="X182" s="41">
        <v>74526</v>
      </c>
      <c r="Y182" s="41">
        <v>74934</v>
      </c>
      <c r="Z182" s="41">
        <v>75297</v>
      </c>
      <c r="AA182" s="41">
        <v>75665</v>
      </c>
      <c r="AB182" s="41">
        <v>76025</v>
      </c>
      <c r="AC182" s="41">
        <v>76377</v>
      </c>
      <c r="AD182" s="41">
        <v>76731</v>
      </c>
      <c r="AE182" s="41">
        <v>77063</v>
      </c>
      <c r="AF182" s="41">
        <v>77400</v>
      </c>
      <c r="AG182" s="41">
        <v>77734</v>
      </c>
      <c r="AH182" s="41">
        <v>78045</v>
      </c>
      <c r="AI182" s="41">
        <v>78371</v>
      </c>
      <c r="AJ182" s="41">
        <v>78681</v>
      </c>
      <c r="AK182" s="41">
        <v>78980</v>
      </c>
      <c r="AL182" s="41">
        <v>79283</v>
      </c>
      <c r="AM182" s="41">
        <v>79571</v>
      </c>
      <c r="AN182" s="41">
        <v>79845</v>
      </c>
      <c r="AO182" s="41">
        <v>80111</v>
      </c>
      <c r="AP182" s="41">
        <v>80359</v>
      </c>
      <c r="AQ182" s="41">
        <v>80601</v>
      </c>
      <c r="AR182" s="41">
        <v>80836</v>
      </c>
      <c r="AS182" s="41">
        <v>81032</v>
      </c>
    </row>
    <row r="183" spans="1:45">
      <c r="A183" s="38" t="s">
        <v>482</v>
      </c>
      <c r="B183" s="38" t="s">
        <v>483</v>
      </c>
      <c r="C183" s="41">
        <v>43394</v>
      </c>
      <c r="D183" s="41">
        <v>43633</v>
      </c>
      <c r="E183" s="41">
        <v>43883</v>
      </c>
      <c r="F183" s="41">
        <v>44096</v>
      </c>
      <c r="G183" s="41">
        <v>44333</v>
      </c>
      <c r="H183" s="41">
        <v>44569</v>
      </c>
      <c r="I183" s="41">
        <v>44874</v>
      </c>
      <c r="J183" s="41">
        <v>45225</v>
      </c>
      <c r="K183" s="41">
        <v>45153</v>
      </c>
      <c r="L183" s="41">
        <v>45350</v>
      </c>
      <c r="M183" s="41">
        <v>46033</v>
      </c>
      <c r="N183" s="41">
        <v>46243</v>
      </c>
      <c r="O183" s="41">
        <v>46459</v>
      </c>
      <c r="P183" s="41">
        <v>46868</v>
      </c>
      <c r="Q183" s="41">
        <v>47105</v>
      </c>
      <c r="R183" s="41">
        <v>47351</v>
      </c>
      <c r="S183" s="41">
        <v>47704</v>
      </c>
      <c r="T183" s="41">
        <v>48049</v>
      </c>
      <c r="U183" s="41">
        <v>48448</v>
      </c>
      <c r="V183" s="41">
        <v>48810</v>
      </c>
      <c r="W183" s="41">
        <v>49183</v>
      </c>
      <c r="X183" s="41">
        <v>49648</v>
      </c>
      <c r="Y183" s="41">
        <v>50104</v>
      </c>
      <c r="Z183" s="41">
        <v>50536</v>
      </c>
      <c r="AA183" s="41">
        <v>50942</v>
      </c>
      <c r="AB183" s="41">
        <v>51374</v>
      </c>
      <c r="AC183" s="41">
        <v>51836</v>
      </c>
      <c r="AD183" s="41">
        <v>52276</v>
      </c>
      <c r="AE183" s="41">
        <v>52693</v>
      </c>
      <c r="AF183" s="41">
        <v>53100</v>
      </c>
      <c r="AG183" s="41">
        <v>53508</v>
      </c>
      <c r="AH183" s="41">
        <v>53910</v>
      </c>
      <c r="AI183" s="41">
        <v>54289</v>
      </c>
      <c r="AJ183" s="41">
        <v>54665</v>
      </c>
      <c r="AK183" s="41">
        <v>55033</v>
      </c>
      <c r="AL183" s="41">
        <v>55390</v>
      </c>
      <c r="AM183" s="41">
        <v>55734</v>
      </c>
      <c r="AN183" s="41">
        <v>56073</v>
      </c>
      <c r="AO183" s="41">
        <v>56419</v>
      </c>
      <c r="AP183" s="41">
        <v>56768</v>
      </c>
      <c r="AQ183" s="41">
        <v>57111</v>
      </c>
      <c r="AR183" s="41">
        <v>57448</v>
      </c>
      <c r="AS183" s="41">
        <v>57763</v>
      </c>
    </row>
    <row r="184" spans="1:45">
      <c r="A184" s="38" t="s">
        <v>484</v>
      </c>
      <c r="B184" s="38" t="s">
        <v>485</v>
      </c>
      <c r="C184" s="41">
        <v>79778</v>
      </c>
      <c r="D184" s="41">
        <v>80316</v>
      </c>
      <c r="E184" s="41">
        <v>81157</v>
      </c>
      <c r="F184" s="41">
        <v>81993</v>
      </c>
      <c r="G184" s="41">
        <v>82922</v>
      </c>
      <c r="H184" s="41">
        <v>83992</v>
      </c>
      <c r="I184" s="41">
        <v>85099</v>
      </c>
      <c r="J184" s="41">
        <v>85850</v>
      </c>
      <c r="K184" s="41">
        <v>86427</v>
      </c>
      <c r="L184" s="41">
        <v>87071</v>
      </c>
      <c r="M184" s="41">
        <v>88096</v>
      </c>
      <c r="N184" s="41">
        <v>88905</v>
      </c>
      <c r="O184" s="41">
        <v>89716</v>
      </c>
      <c r="P184" s="41">
        <v>90818</v>
      </c>
      <c r="Q184" s="41">
        <v>91736</v>
      </c>
      <c r="R184" s="41">
        <v>92670</v>
      </c>
      <c r="S184" s="41">
        <v>93465</v>
      </c>
      <c r="T184" s="41">
        <v>94055</v>
      </c>
      <c r="U184" s="41">
        <v>95072</v>
      </c>
      <c r="V184" s="41">
        <v>95968</v>
      </c>
      <c r="W184" s="41">
        <v>96844</v>
      </c>
      <c r="X184" s="41">
        <v>97712</v>
      </c>
      <c r="Y184" s="41">
        <v>98543</v>
      </c>
      <c r="Z184" s="41">
        <v>99412</v>
      </c>
      <c r="AA184" s="41">
        <v>100211</v>
      </c>
      <c r="AB184" s="41">
        <v>101033</v>
      </c>
      <c r="AC184" s="41">
        <v>101864</v>
      </c>
      <c r="AD184" s="41">
        <v>102685</v>
      </c>
      <c r="AE184" s="41">
        <v>103473</v>
      </c>
      <c r="AF184" s="41">
        <v>104227</v>
      </c>
      <c r="AG184" s="41">
        <v>104997</v>
      </c>
      <c r="AH184" s="41">
        <v>105727</v>
      </c>
      <c r="AI184" s="41">
        <v>106489</v>
      </c>
      <c r="AJ184" s="41">
        <v>107205</v>
      </c>
      <c r="AK184" s="41">
        <v>107906</v>
      </c>
      <c r="AL184" s="41">
        <v>108635</v>
      </c>
      <c r="AM184" s="41">
        <v>109325</v>
      </c>
      <c r="AN184" s="41">
        <v>110023</v>
      </c>
      <c r="AO184" s="41">
        <v>110719</v>
      </c>
      <c r="AP184" s="41">
        <v>111432</v>
      </c>
      <c r="AQ184" s="41">
        <v>112171</v>
      </c>
      <c r="AR184" s="41">
        <v>112906</v>
      </c>
      <c r="AS184" s="41">
        <v>113600</v>
      </c>
    </row>
    <row r="185" spans="1:45">
      <c r="A185" s="38" t="s">
        <v>486</v>
      </c>
      <c r="B185" s="38" t="s">
        <v>487</v>
      </c>
      <c r="C185" s="41">
        <v>84364</v>
      </c>
      <c r="D185" s="41">
        <v>84891</v>
      </c>
      <c r="E185" s="41">
        <v>85235</v>
      </c>
      <c r="F185" s="41">
        <v>85481</v>
      </c>
      <c r="G185" s="41">
        <v>86172</v>
      </c>
      <c r="H185" s="41">
        <v>86849</v>
      </c>
      <c r="I185" s="41">
        <v>87531</v>
      </c>
      <c r="J185" s="41">
        <v>88296</v>
      </c>
      <c r="K185" s="41">
        <v>88919</v>
      </c>
      <c r="L185" s="41">
        <v>89732</v>
      </c>
      <c r="M185" s="41">
        <v>90887</v>
      </c>
      <c r="N185" s="41">
        <v>91348</v>
      </c>
      <c r="O185" s="41">
        <v>91767</v>
      </c>
      <c r="P185" s="41">
        <v>92341</v>
      </c>
      <c r="Q185" s="41">
        <v>92475</v>
      </c>
      <c r="R185" s="41">
        <v>93020</v>
      </c>
      <c r="S185" s="41">
        <v>93643</v>
      </c>
      <c r="T185" s="41">
        <v>94453</v>
      </c>
      <c r="U185" s="41">
        <v>95262</v>
      </c>
      <c r="V185" s="41">
        <v>95938</v>
      </c>
      <c r="W185" s="41">
        <v>96683</v>
      </c>
      <c r="X185" s="41">
        <v>97423</v>
      </c>
      <c r="Y185" s="41">
        <v>98138</v>
      </c>
      <c r="Z185" s="41">
        <v>98837</v>
      </c>
      <c r="AA185" s="41">
        <v>99494</v>
      </c>
      <c r="AB185" s="41">
        <v>100192</v>
      </c>
      <c r="AC185" s="41">
        <v>100861</v>
      </c>
      <c r="AD185" s="41">
        <v>101549</v>
      </c>
      <c r="AE185" s="41">
        <v>102198</v>
      </c>
      <c r="AF185" s="41">
        <v>102832</v>
      </c>
      <c r="AG185" s="41">
        <v>103482</v>
      </c>
      <c r="AH185" s="41">
        <v>104087</v>
      </c>
      <c r="AI185" s="41">
        <v>104723</v>
      </c>
      <c r="AJ185" s="41">
        <v>105323</v>
      </c>
      <c r="AK185" s="41">
        <v>105887</v>
      </c>
      <c r="AL185" s="41">
        <v>106446</v>
      </c>
      <c r="AM185" s="41">
        <v>106950</v>
      </c>
      <c r="AN185" s="41">
        <v>107471</v>
      </c>
      <c r="AO185" s="41">
        <v>107950</v>
      </c>
      <c r="AP185" s="41">
        <v>108412</v>
      </c>
      <c r="AQ185" s="41">
        <v>108880</v>
      </c>
      <c r="AR185" s="41">
        <v>109327</v>
      </c>
      <c r="AS185" s="41">
        <v>109735</v>
      </c>
    </row>
    <row r="186" spans="1:45">
      <c r="A186" s="38" t="s">
        <v>488</v>
      </c>
      <c r="B186" s="38" t="s">
        <v>489</v>
      </c>
      <c r="C186" s="41">
        <v>24941</v>
      </c>
      <c r="D186" s="41">
        <v>25074</v>
      </c>
      <c r="E186" s="41">
        <v>25134</v>
      </c>
      <c r="F186" s="41">
        <v>25270</v>
      </c>
      <c r="G186" s="41">
        <v>25377</v>
      </c>
      <c r="H186" s="41">
        <v>25455</v>
      </c>
      <c r="I186" s="41">
        <v>25486</v>
      </c>
      <c r="J186" s="41">
        <v>25637</v>
      </c>
      <c r="K186" s="41">
        <v>25744</v>
      </c>
      <c r="L186" s="41">
        <v>25771</v>
      </c>
      <c r="M186" s="41">
        <v>25775</v>
      </c>
      <c r="N186" s="41">
        <v>25913</v>
      </c>
      <c r="O186" s="41">
        <v>25955</v>
      </c>
      <c r="P186" s="41">
        <v>26176</v>
      </c>
      <c r="Q186" s="41">
        <v>26354</v>
      </c>
      <c r="R186" s="41">
        <v>26593</v>
      </c>
      <c r="S186" s="41">
        <v>27005</v>
      </c>
      <c r="T186" s="41">
        <v>27282</v>
      </c>
      <c r="U186" s="41">
        <v>27665</v>
      </c>
      <c r="V186" s="41">
        <v>27996</v>
      </c>
      <c r="W186" s="41">
        <v>28319</v>
      </c>
      <c r="X186" s="41">
        <v>28675</v>
      </c>
      <c r="Y186" s="41">
        <v>29002</v>
      </c>
      <c r="Z186" s="41">
        <v>29322</v>
      </c>
      <c r="AA186" s="41">
        <v>29620</v>
      </c>
      <c r="AB186" s="41">
        <v>29909</v>
      </c>
      <c r="AC186" s="41">
        <v>30216</v>
      </c>
      <c r="AD186" s="41">
        <v>30497</v>
      </c>
      <c r="AE186" s="41">
        <v>30779</v>
      </c>
      <c r="AF186" s="41">
        <v>31043</v>
      </c>
      <c r="AG186" s="41">
        <v>31307</v>
      </c>
      <c r="AH186" s="41">
        <v>31572</v>
      </c>
      <c r="AI186" s="41">
        <v>31832</v>
      </c>
      <c r="AJ186" s="41">
        <v>32084</v>
      </c>
      <c r="AK186" s="41">
        <v>32334</v>
      </c>
      <c r="AL186" s="41">
        <v>32596</v>
      </c>
      <c r="AM186" s="41">
        <v>32854</v>
      </c>
      <c r="AN186" s="41">
        <v>33110</v>
      </c>
      <c r="AO186" s="41">
        <v>33362</v>
      </c>
      <c r="AP186" s="41">
        <v>33608</v>
      </c>
      <c r="AQ186" s="41">
        <v>33871</v>
      </c>
      <c r="AR186" s="41">
        <v>34124</v>
      </c>
      <c r="AS186" s="41">
        <v>34367</v>
      </c>
    </row>
    <row r="187" spans="1:45">
      <c r="A187" s="38" t="s">
        <v>490</v>
      </c>
      <c r="B187" s="38" t="s">
        <v>491</v>
      </c>
      <c r="C187" s="41">
        <v>35262</v>
      </c>
      <c r="D187" s="41">
        <v>35779</v>
      </c>
      <c r="E187" s="41">
        <v>36213</v>
      </c>
      <c r="F187" s="41">
        <v>36592</v>
      </c>
      <c r="G187" s="41">
        <v>36938</v>
      </c>
      <c r="H187" s="41">
        <v>37376</v>
      </c>
      <c r="I187" s="41">
        <v>37792</v>
      </c>
      <c r="J187" s="41">
        <v>38169</v>
      </c>
      <c r="K187" s="41">
        <v>38449</v>
      </c>
      <c r="L187" s="41">
        <v>38691</v>
      </c>
      <c r="M187" s="41">
        <v>39071</v>
      </c>
      <c r="N187" s="41">
        <v>39238</v>
      </c>
      <c r="O187" s="41">
        <v>39557</v>
      </c>
      <c r="P187" s="41">
        <v>40048</v>
      </c>
      <c r="Q187" s="41">
        <v>40714</v>
      </c>
      <c r="R187" s="41">
        <v>41355</v>
      </c>
      <c r="S187" s="41">
        <v>42143</v>
      </c>
      <c r="T187" s="41">
        <v>43008</v>
      </c>
      <c r="U187" s="41">
        <v>43888</v>
      </c>
      <c r="V187" s="41">
        <v>44728</v>
      </c>
      <c r="W187" s="41">
        <v>45529</v>
      </c>
      <c r="X187" s="41">
        <v>46351</v>
      </c>
      <c r="Y187" s="41">
        <v>47154</v>
      </c>
      <c r="Z187" s="41">
        <v>47957</v>
      </c>
      <c r="AA187" s="41">
        <v>48728</v>
      </c>
      <c r="AB187" s="41">
        <v>49479</v>
      </c>
      <c r="AC187" s="41">
        <v>50216</v>
      </c>
      <c r="AD187" s="41">
        <v>50938</v>
      </c>
      <c r="AE187" s="41">
        <v>51649</v>
      </c>
      <c r="AF187" s="41">
        <v>52339</v>
      </c>
      <c r="AG187" s="41">
        <v>53030</v>
      </c>
      <c r="AH187" s="41">
        <v>53705</v>
      </c>
      <c r="AI187" s="41">
        <v>54365</v>
      </c>
      <c r="AJ187" s="41">
        <v>55010</v>
      </c>
      <c r="AK187" s="41">
        <v>55645</v>
      </c>
      <c r="AL187" s="41">
        <v>56294</v>
      </c>
      <c r="AM187" s="41">
        <v>56924</v>
      </c>
      <c r="AN187" s="41">
        <v>57550</v>
      </c>
      <c r="AO187" s="41">
        <v>58157</v>
      </c>
      <c r="AP187" s="41">
        <v>58748</v>
      </c>
      <c r="AQ187" s="41">
        <v>59365</v>
      </c>
      <c r="AR187" s="41">
        <v>59959</v>
      </c>
      <c r="AS187" s="41">
        <v>60531</v>
      </c>
    </row>
    <row r="188" spans="1:45">
      <c r="A188" s="38" t="s">
        <v>492</v>
      </c>
      <c r="B188" s="38" t="s">
        <v>493</v>
      </c>
      <c r="C188" s="41">
        <v>79937</v>
      </c>
      <c r="D188" s="41">
        <v>80139</v>
      </c>
      <c r="E188" s="41">
        <v>80405</v>
      </c>
      <c r="F188" s="41">
        <v>80434</v>
      </c>
      <c r="G188" s="41">
        <v>81633</v>
      </c>
      <c r="H188" s="41">
        <v>83073</v>
      </c>
      <c r="I188" s="41">
        <v>84153</v>
      </c>
      <c r="J188" s="41">
        <v>85250</v>
      </c>
      <c r="K188" s="41">
        <v>86207</v>
      </c>
      <c r="L188" s="41">
        <v>86981</v>
      </c>
      <c r="M188" s="41">
        <v>88100</v>
      </c>
      <c r="N188" s="41">
        <v>88739</v>
      </c>
      <c r="O188" s="41">
        <v>89457</v>
      </c>
      <c r="P188" s="41">
        <v>90630</v>
      </c>
      <c r="Q188" s="41">
        <v>91822</v>
      </c>
      <c r="R188" s="41">
        <v>93030</v>
      </c>
      <c r="S188" s="41">
        <v>93446</v>
      </c>
      <c r="T188" s="41">
        <v>93362</v>
      </c>
      <c r="U188" s="41">
        <v>93766</v>
      </c>
      <c r="V188" s="41">
        <v>94128</v>
      </c>
      <c r="W188" s="41">
        <v>94487</v>
      </c>
      <c r="X188" s="41">
        <v>94908</v>
      </c>
      <c r="Y188" s="41">
        <v>95314</v>
      </c>
      <c r="Z188" s="41">
        <v>95699</v>
      </c>
      <c r="AA188" s="41">
        <v>96065</v>
      </c>
      <c r="AB188" s="41">
        <v>96456</v>
      </c>
      <c r="AC188" s="41">
        <v>96863</v>
      </c>
      <c r="AD188" s="41">
        <v>97281</v>
      </c>
      <c r="AE188" s="41">
        <v>97663</v>
      </c>
      <c r="AF188" s="41">
        <v>98052</v>
      </c>
      <c r="AG188" s="41">
        <v>98452</v>
      </c>
      <c r="AH188" s="41">
        <v>98871</v>
      </c>
      <c r="AI188" s="41">
        <v>99298</v>
      </c>
      <c r="AJ188" s="41">
        <v>99679</v>
      </c>
      <c r="AK188" s="41">
        <v>100055</v>
      </c>
      <c r="AL188" s="41">
        <v>100449</v>
      </c>
      <c r="AM188" s="41">
        <v>100827</v>
      </c>
      <c r="AN188" s="41">
        <v>101198</v>
      </c>
      <c r="AO188" s="41">
        <v>101531</v>
      </c>
      <c r="AP188" s="41">
        <v>101864</v>
      </c>
      <c r="AQ188" s="41">
        <v>102232</v>
      </c>
      <c r="AR188" s="41">
        <v>102600</v>
      </c>
      <c r="AS188" s="41">
        <v>102952</v>
      </c>
    </row>
    <row r="189" spans="1:45">
      <c r="A189" s="38" t="s">
        <v>494</v>
      </c>
      <c r="B189" s="38" t="s">
        <v>495</v>
      </c>
      <c r="C189" s="41">
        <v>130262</v>
      </c>
      <c r="D189" s="41">
        <v>131158</v>
      </c>
      <c r="E189" s="41">
        <v>131986</v>
      </c>
      <c r="F189" s="41">
        <v>132635</v>
      </c>
      <c r="G189" s="41">
        <v>133333</v>
      </c>
      <c r="H189" s="41">
        <v>133911</v>
      </c>
      <c r="I189" s="41">
        <v>134959</v>
      </c>
      <c r="J189" s="41">
        <v>135789</v>
      </c>
      <c r="K189" s="41">
        <v>136381</v>
      </c>
      <c r="L189" s="41">
        <v>137126</v>
      </c>
      <c r="M189" s="41">
        <v>138227</v>
      </c>
      <c r="N189" s="41">
        <v>138689</v>
      </c>
      <c r="O189" s="41">
        <v>139058</v>
      </c>
      <c r="P189" s="41">
        <v>139791</v>
      </c>
      <c r="Q189" s="41">
        <v>140212</v>
      </c>
      <c r="R189" s="41">
        <v>141118</v>
      </c>
      <c r="S189" s="41">
        <v>142267</v>
      </c>
      <c r="T189" s="41">
        <v>143262</v>
      </c>
      <c r="U189" s="41">
        <v>144383</v>
      </c>
      <c r="V189" s="41">
        <v>145352</v>
      </c>
      <c r="W189" s="41">
        <v>146306</v>
      </c>
      <c r="X189" s="41">
        <v>147385</v>
      </c>
      <c r="Y189" s="41">
        <v>148382</v>
      </c>
      <c r="Z189" s="41">
        <v>149358</v>
      </c>
      <c r="AA189" s="41">
        <v>150252</v>
      </c>
      <c r="AB189" s="41">
        <v>151173</v>
      </c>
      <c r="AC189" s="41">
        <v>152089</v>
      </c>
      <c r="AD189" s="41">
        <v>152980</v>
      </c>
      <c r="AE189" s="41">
        <v>153806</v>
      </c>
      <c r="AF189" s="41">
        <v>154592</v>
      </c>
      <c r="AG189" s="41">
        <v>155353</v>
      </c>
      <c r="AH189" s="41">
        <v>156058</v>
      </c>
      <c r="AI189" s="41">
        <v>156772</v>
      </c>
      <c r="AJ189" s="41">
        <v>157444</v>
      </c>
      <c r="AK189" s="41">
        <v>158085</v>
      </c>
      <c r="AL189" s="41">
        <v>158706</v>
      </c>
      <c r="AM189" s="41">
        <v>159262</v>
      </c>
      <c r="AN189" s="41">
        <v>159825</v>
      </c>
      <c r="AO189" s="41">
        <v>160325</v>
      </c>
      <c r="AP189" s="41">
        <v>160797</v>
      </c>
      <c r="AQ189" s="41">
        <v>161289</v>
      </c>
      <c r="AR189" s="41">
        <v>161721</v>
      </c>
      <c r="AS189" s="41">
        <v>162109</v>
      </c>
    </row>
    <row r="190" spans="1:45">
      <c r="A190" s="38" t="s">
        <v>496</v>
      </c>
      <c r="B190" s="38" t="s">
        <v>497</v>
      </c>
      <c r="C190" s="41">
        <v>54474</v>
      </c>
      <c r="D190" s="41">
        <v>54730</v>
      </c>
      <c r="E190" s="41">
        <v>55169</v>
      </c>
      <c r="F190" s="41">
        <v>55573</v>
      </c>
      <c r="G190" s="41">
        <v>56523</v>
      </c>
      <c r="H190" s="41">
        <v>57008</v>
      </c>
      <c r="I190" s="41">
        <v>57121</v>
      </c>
      <c r="J190" s="41">
        <v>57524</v>
      </c>
      <c r="K190" s="41">
        <v>57982</v>
      </c>
      <c r="L190" s="41">
        <v>58861</v>
      </c>
      <c r="M190" s="41">
        <v>59587</v>
      </c>
      <c r="N190" s="41">
        <v>60068</v>
      </c>
      <c r="O190" s="41">
        <v>60506</v>
      </c>
      <c r="P190" s="41">
        <v>61115</v>
      </c>
      <c r="Q190" s="41">
        <v>61733</v>
      </c>
      <c r="R190" s="41">
        <v>62189</v>
      </c>
      <c r="S190" s="41">
        <v>62391</v>
      </c>
      <c r="T190" s="41">
        <v>62616</v>
      </c>
      <c r="U190" s="41">
        <v>63012</v>
      </c>
      <c r="V190" s="41">
        <v>63247</v>
      </c>
      <c r="W190" s="41">
        <v>63469</v>
      </c>
      <c r="X190" s="41">
        <v>63703</v>
      </c>
      <c r="Y190" s="41">
        <v>63950</v>
      </c>
      <c r="Z190" s="41">
        <v>64236</v>
      </c>
      <c r="AA190" s="41">
        <v>64494</v>
      </c>
      <c r="AB190" s="41">
        <v>64778</v>
      </c>
      <c r="AC190" s="41">
        <v>65111</v>
      </c>
      <c r="AD190" s="41">
        <v>65470</v>
      </c>
      <c r="AE190" s="41">
        <v>65797</v>
      </c>
      <c r="AF190" s="41">
        <v>66116</v>
      </c>
      <c r="AG190" s="41">
        <v>66450</v>
      </c>
      <c r="AH190" s="41">
        <v>66819</v>
      </c>
      <c r="AI190" s="41">
        <v>67154</v>
      </c>
      <c r="AJ190" s="41">
        <v>67453</v>
      </c>
      <c r="AK190" s="41">
        <v>67758</v>
      </c>
      <c r="AL190" s="41">
        <v>68088</v>
      </c>
      <c r="AM190" s="41">
        <v>68394</v>
      </c>
      <c r="AN190" s="41">
        <v>68666</v>
      </c>
      <c r="AO190" s="41">
        <v>68906</v>
      </c>
      <c r="AP190" s="41">
        <v>69155</v>
      </c>
      <c r="AQ190" s="41">
        <v>69419</v>
      </c>
      <c r="AR190" s="41">
        <v>69672</v>
      </c>
      <c r="AS190" s="41">
        <v>69902</v>
      </c>
    </row>
    <row r="191" spans="1:45">
      <c r="A191" s="38" t="s">
        <v>498</v>
      </c>
      <c r="B191" s="38" t="s">
        <v>499</v>
      </c>
      <c r="C191" s="41">
        <v>115987</v>
      </c>
      <c r="D191" s="41">
        <v>116723</v>
      </c>
      <c r="E191" s="41">
        <v>117729</v>
      </c>
      <c r="F191" s="41">
        <v>118879</v>
      </c>
      <c r="G191" s="41">
        <v>120854</v>
      </c>
      <c r="H191" s="41">
        <v>121231</v>
      </c>
      <c r="I191" s="41">
        <v>121589</v>
      </c>
      <c r="J191" s="41">
        <v>122206</v>
      </c>
      <c r="K191" s="41">
        <v>123058</v>
      </c>
      <c r="L191" s="41">
        <v>124317</v>
      </c>
      <c r="M191" s="41">
        <v>124216</v>
      </c>
      <c r="N191" s="41">
        <v>124735</v>
      </c>
      <c r="O191" s="41">
        <v>125138</v>
      </c>
      <c r="P191" s="41">
        <v>125980</v>
      </c>
      <c r="Q191" s="41">
        <v>126985</v>
      </c>
      <c r="R191" s="41">
        <v>128542</v>
      </c>
      <c r="S191" s="41">
        <v>129694</v>
      </c>
      <c r="T191" s="41">
        <v>129930</v>
      </c>
      <c r="U191" s="41">
        <v>130042</v>
      </c>
      <c r="V191" s="41">
        <v>130223</v>
      </c>
      <c r="W191" s="41">
        <v>130238</v>
      </c>
      <c r="X191" s="41">
        <v>130598</v>
      </c>
      <c r="Y191" s="41">
        <v>131050</v>
      </c>
      <c r="Z191" s="41">
        <v>131622</v>
      </c>
      <c r="AA191" s="41">
        <v>132237</v>
      </c>
      <c r="AB191" s="41">
        <v>132917</v>
      </c>
      <c r="AC191" s="41">
        <v>133649</v>
      </c>
      <c r="AD191" s="41">
        <v>134457</v>
      </c>
      <c r="AE191" s="41">
        <v>135209</v>
      </c>
      <c r="AF191" s="41">
        <v>135969</v>
      </c>
      <c r="AG191" s="41">
        <v>136785</v>
      </c>
      <c r="AH191" s="41">
        <v>137657</v>
      </c>
      <c r="AI191" s="41">
        <v>138435</v>
      </c>
      <c r="AJ191" s="41">
        <v>139115</v>
      </c>
      <c r="AK191" s="41">
        <v>139805</v>
      </c>
      <c r="AL191" s="41">
        <v>140561</v>
      </c>
      <c r="AM191" s="41">
        <v>141233</v>
      </c>
      <c r="AN191" s="41">
        <v>141799</v>
      </c>
      <c r="AO191" s="41">
        <v>142283</v>
      </c>
      <c r="AP191" s="41">
        <v>142806</v>
      </c>
      <c r="AQ191" s="41">
        <v>143368</v>
      </c>
      <c r="AR191" s="41">
        <v>143897</v>
      </c>
      <c r="AS191" s="41">
        <v>144374</v>
      </c>
    </row>
    <row r="192" spans="1:45">
      <c r="A192" s="38" t="s">
        <v>500</v>
      </c>
      <c r="B192" s="38" t="s">
        <v>501</v>
      </c>
      <c r="C192" s="41">
        <v>48328</v>
      </c>
      <c r="D192" s="41">
        <v>48633</v>
      </c>
      <c r="E192" s="41">
        <v>49137</v>
      </c>
      <c r="F192" s="41">
        <v>49371</v>
      </c>
      <c r="G192" s="41">
        <v>49655</v>
      </c>
      <c r="H192" s="41">
        <v>50053</v>
      </c>
      <c r="I192" s="41">
        <v>50595</v>
      </c>
      <c r="J192" s="41">
        <v>51215</v>
      </c>
      <c r="K192" s="41">
        <v>51586</v>
      </c>
      <c r="L192" s="41">
        <v>51991</v>
      </c>
      <c r="M192" s="41">
        <v>52481</v>
      </c>
      <c r="N192" s="41">
        <v>52803</v>
      </c>
      <c r="O192" s="41">
        <v>53019</v>
      </c>
      <c r="P192" s="41">
        <v>53305</v>
      </c>
      <c r="Q192" s="41">
        <v>53483</v>
      </c>
      <c r="R192" s="41">
        <v>54074</v>
      </c>
      <c r="S192" s="41">
        <v>54571</v>
      </c>
      <c r="T192" s="41">
        <v>54711</v>
      </c>
      <c r="U192" s="41">
        <v>55164</v>
      </c>
      <c r="V192" s="41">
        <v>55563</v>
      </c>
      <c r="W192" s="41">
        <v>55957</v>
      </c>
      <c r="X192" s="41">
        <v>56341</v>
      </c>
      <c r="Y192" s="41">
        <v>56715</v>
      </c>
      <c r="Z192" s="41">
        <v>57120</v>
      </c>
      <c r="AA192" s="41">
        <v>57511</v>
      </c>
      <c r="AB192" s="41">
        <v>57895</v>
      </c>
      <c r="AC192" s="41">
        <v>58284</v>
      </c>
      <c r="AD192" s="41">
        <v>58657</v>
      </c>
      <c r="AE192" s="41">
        <v>59045</v>
      </c>
      <c r="AF192" s="41">
        <v>59434</v>
      </c>
      <c r="AG192" s="41">
        <v>59834</v>
      </c>
      <c r="AH192" s="41">
        <v>60236</v>
      </c>
      <c r="AI192" s="41">
        <v>60631</v>
      </c>
      <c r="AJ192" s="41">
        <v>61026</v>
      </c>
      <c r="AK192" s="41">
        <v>61422</v>
      </c>
      <c r="AL192" s="41">
        <v>61856</v>
      </c>
      <c r="AM192" s="41">
        <v>62281</v>
      </c>
      <c r="AN192" s="41">
        <v>62706</v>
      </c>
      <c r="AO192" s="41">
        <v>63122</v>
      </c>
      <c r="AP192" s="41">
        <v>63541</v>
      </c>
      <c r="AQ192" s="41">
        <v>63994</v>
      </c>
      <c r="AR192" s="41">
        <v>64431</v>
      </c>
      <c r="AS192" s="41">
        <v>64858</v>
      </c>
    </row>
    <row r="193" spans="1:45">
      <c r="A193" s="38" t="s">
        <v>502</v>
      </c>
      <c r="B193" s="38" t="s">
        <v>503</v>
      </c>
      <c r="C193" s="41">
        <v>21824</v>
      </c>
      <c r="D193" s="41">
        <v>21705</v>
      </c>
      <c r="E193" s="41">
        <v>21652</v>
      </c>
      <c r="F193" s="41">
        <v>21601</v>
      </c>
      <c r="G193" s="41">
        <v>21517</v>
      </c>
      <c r="H193" s="41">
        <v>21516</v>
      </c>
      <c r="I193" s="41">
        <v>21481</v>
      </c>
      <c r="J193" s="41">
        <v>21375</v>
      </c>
      <c r="K193" s="41">
        <v>21239</v>
      </c>
      <c r="L193" s="41">
        <v>21147</v>
      </c>
      <c r="M193" s="41">
        <v>21288</v>
      </c>
      <c r="N193" s="41">
        <v>21271</v>
      </c>
      <c r="O193" s="41">
        <v>21270</v>
      </c>
      <c r="P193" s="41">
        <v>21226</v>
      </c>
      <c r="Q193" s="41">
        <v>21080</v>
      </c>
      <c r="R193" s="41">
        <v>21103</v>
      </c>
      <c r="S193" s="41">
        <v>21131</v>
      </c>
      <c r="T193" s="41">
        <v>21120</v>
      </c>
      <c r="U193" s="41">
        <v>21080</v>
      </c>
      <c r="V193" s="41">
        <v>21003</v>
      </c>
      <c r="W193" s="41">
        <v>20941</v>
      </c>
      <c r="X193" s="41">
        <v>20990</v>
      </c>
      <c r="Y193" s="41">
        <v>21049</v>
      </c>
      <c r="Z193" s="41">
        <v>21108</v>
      </c>
      <c r="AA193" s="41">
        <v>21173</v>
      </c>
      <c r="AB193" s="41">
        <v>21238</v>
      </c>
      <c r="AC193" s="41">
        <v>21326</v>
      </c>
      <c r="AD193" s="41">
        <v>21421</v>
      </c>
      <c r="AE193" s="41">
        <v>21519</v>
      </c>
      <c r="AF193" s="41">
        <v>21612</v>
      </c>
      <c r="AG193" s="41">
        <v>21712</v>
      </c>
      <c r="AH193" s="41">
        <v>21810</v>
      </c>
      <c r="AI193" s="41">
        <v>21912</v>
      </c>
      <c r="AJ193" s="41">
        <v>22004</v>
      </c>
      <c r="AK193" s="41">
        <v>22101</v>
      </c>
      <c r="AL193" s="41">
        <v>22208</v>
      </c>
      <c r="AM193" s="41">
        <v>22312</v>
      </c>
      <c r="AN193" s="41">
        <v>22425</v>
      </c>
      <c r="AO193" s="41">
        <v>22530</v>
      </c>
      <c r="AP193" s="41">
        <v>22634</v>
      </c>
      <c r="AQ193" s="41">
        <v>22753</v>
      </c>
      <c r="AR193" s="41">
        <v>22868</v>
      </c>
      <c r="AS193" s="41">
        <v>22976</v>
      </c>
    </row>
    <row r="194" spans="1:45">
      <c r="A194" s="38" t="s">
        <v>504</v>
      </c>
      <c r="B194" s="38" t="s">
        <v>505</v>
      </c>
      <c r="C194" s="41">
        <v>87856</v>
      </c>
      <c r="D194" s="41">
        <v>87679</v>
      </c>
      <c r="E194" s="41">
        <v>87511</v>
      </c>
      <c r="F194" s="41">
        <v>87552</v>
      </c>
      <c r="G194" s="41">
        <v>87529</v>
      </c>
      <c r="H194" s="41">
        <v>87605</v>
      </c>
      <c r="I194" s="41">
        <v>87704</v>
      </c>
      <c r="J194" s="41">
        <v>87926</v>
      </c>
      <c r="K194" s="41">
        <v>88276</v>
      </c>
      <c r="L194" s="41">
        <v>88661</v>
      </c>
      <c r="M194" s="41">
        <v>89281</v>
      </c>
      <c r="N194" s="41">
        <v>89526</v>
      </c>
      <c r="O194" s="41">
        <v>89951</v>
      </c>
      <c r="P194" s="41">
        <v>90358</v>
      </c>
      <c r="Q194" s="41">
        <v>90987</v>
      </c>
      <c r="R194" s="41">
        <v>91735</v>
      </c>
      <c r="S194" s="41">
        <v>92379</v>
      </c>
      <c r="T194" s="41">
        <v>93128</v>
      </c>
      <c r="U194" s="41">
        <v>93890</v>
      </c>
      <c r="V194" s="41">
        <v>94560</v>
      </c>
      <c r="W194" s="41">
        <v>95182</v>
      </c>
      <c r="X194" s="41">
        <v>95979</v>
      </c>
      <c r="Y194" s="41">
        <v>96746</v>
      </c>
      <c r="Z194" s="41">
        <v>97462</v>
      </c>
      <c r="AA194" s="41">
        <v>98140</v>
      </c>
      <c r="AB194" s="41">
        <v>98800</v>
      </c>
      <c r="AC194" s="41">
        <v>99488</v>
      </c>
      <c r="AD194" s="41">
        <v>100170</v>
      </c>
      <c r="AE194" s="41">
        <v>100820</v>
      </c>
      <c r="AF194" s="41">
        <v>101468</v>
      </c>
      <c r="AG194" s="41">
        <v>102116</v>
      </c>
      <c r="AH194" s="41">
        <v>102762</v>
      </c>
      <c r="AI194" s="41">
        <v>103417</v>
      </c>
      <c r="AJ194" s="41">
        <v>104069</v>
      </c>
      <c r="AK194" s="41">
        <v>104722</v>
      </c>
      <c r="AL194" s="41">
        <v>105375</v>
      </c>
      <c r="AM194" s="41">
        <v>106030</v>
      </c>
      <c r="AN194" s="41">
        <v>106679</v>
      </c>
      <c r="AO194" s="41">
        <v>107307</v>
      </c>
      <c r="AP194" s="41">
        <v>107941</v>
      </c>
      <c r="AQ194" s="41">
        <v>108568</v>
      </c>
      <c r="AR194" s="41">
        <v>109184</v>
      </c>
      <c r="AS194" s="41">
        <v>109758</v>
      </c>
    </row>
    <row r="195" spans="1:45">
      <c r="A195" s="38" t="s">
        <v>506</v>
      </c>
      <c r="B195" s="38" t="s">
        <v>507</v>
      </c>
      <c r="C195" s="41">
        <v>51824</v>
      </c>
      <c r="D195" s="41">
        <v>52009</v>
      </c>
      <c r="E195" s="41">
        <v>52994</v>
      </c>
      <c r="F195" s="41">
        <v>53149</v>
      </c>
      <c r="G195" s="41">
        <v>54451</v>
      </c>
      <c r="H195" s="41">
        <v>54082</v>
      </c>
      <c r="I195" s="41">
        <v>53867</v>
      </c>
      <c r="J195" s="41">
        <v>53891</v>
      </c>
      <c r="K195" s="41">
        <v>54362</v>
      </c>
      <c r="L195" s="41">
        <v>55000</v>
      </c>
      <c r="M195" s="41">
        <v>54558</v>
      </c>
      <c r="N195" s="41">
        <v>54771</v>
      </c>
      <c r="O195" s="41">
        <v>54988</v>
      </c>
      <c r="P195" s="41">
        <v>55515</v>
      </c>
      <c r="Q195" s="41">
        <v>55410</v>
      </c>
      <c r="R195" s="41">
        <v>55341</v>
      </c>
      <c r="S195" s="41">
        <v>54816</v>
      </c>
      <c r="T195" s="41">
        <v>54408</v>
      </c>
      <c r="U195" s="41">
        <v>53889</v>
      </c>
      <c r="V195" s="41">
        <v>53510</v>
      </c>
      <c r="W195" s="41">
        <v>53127</v>
      </c>
      <c r="X195" s="41">
        <v>52833</v>
      </c>
      <c r="Y195" s="41">
        <v>52608</v>
      </c>
      <c r="Z195" s="41">
        <v>52440</v>
      </c>
      <c r="AA195" s="41">
        <v>52321</v>
      </c>
      <c r="AB195" s="41">
        <v>52263</v>
      </c>
      <c r="AC195" s="41">
        <v>52244</v>
      </c>
      <c r="AD195" s="41">
        <v>52262</v>
      </c>
      <c r="AE195" s="41">
        <v>52272</v>
      </c>
      <c r="AF195" s="41">
        <v>52310</v>
      </c>
      <c r="AG195" s="41">
        <v>52393</v>
      </c>
      <c r="AH195" s="41">
        <v>52477</v>
      </c>
      <c r="AI195" s="41">
        <v>52525</v>
      </c>
      <c r="AJ195" s="41">
        <v>52552</v>
      </c>
      <c r="AK195" s="41">
        <v>52581</v>
      </c>
      <c r="AL195" s="41">
        <v>52641</v>
      </c>
      <c r="AM195" s="41">
        <v>52675</v>
      </c>
      <c r="AN195" s="41">
        <v>52679</v>
      </c>
      <c r="AO195" s="41">
        <v>52648</v>
      </c>
      <c r="AP195" s="41">
        <v>52637</v>
      </c>
      <c r="AQ195" s="41">
        <v>52643</v>
      </c>
      <c r="AR195" s="41">
        <v>52650</v>
      </c>
      <c r="AS195" s="41">
        <v>52648</v>
      </c>
    </row>
    <row r="196" spans="1:45">
      <c r="A196" s="38" t="s">
        <v>508</v>
      </c>
      <c r="B196" s="38" t="s">
        <v>509</v>
      </c>
      <c r="C196" s="41">
        <v>35708</v>
      </c>
      <c r="D196" s="41">
        <v>35697</v>
      </c>
      <c r="E196" s="41">
        <v>35726</v>
      </c>
      <c r="F196" s="41">
        <v>35781</v>
      </c>
      <c r="G196" s="41">
        <v>35929</v>
      </c>
      <c r="H196" s="41">
        <v>36226</v>
      </c>
      <c r="I196" s="41">
        <v>36359</v>
      </c>
      <c r="J196" s="41">
        <v>36554</v>
      </c>
      <c r="K196" s="41">
        <v>36720</v>
      </c>
      <c r="L196" s="41">
        <v>36837</v>
      </c>
      <c r="M196" s="41">
        <v>37181</v>
      </c>
      <c r="N196" s="41">
        <v>37279</v>
      </c>
      <c r="O196" s="41">
        <v>37480</v>
      </c>
      <c r="P196" s="41">
        <v>37458</v>
      </c>
      <c r="Q196" s="41">
        <v>37622</v>
      </c>
      <c r="R196" s="41">
        <v>37918</v>
      </c>
      <c r="S196" s="41">
        <v>38132</v>
      </c>
      <c r="T196" s="41">
        <v>38425</v>
      </c>
      <c r="U196" s="41">
        <v>38699</v>
      </c>
      <c r="V196" s="41">
        <v>38920</v>
      </c>
      <c r="W196" s="41">
        <v>39161</v>
      </c>
      <c r="X196" s="41">
        <v>39390</v>
      </c>
      <c r="Y196" s="41">
        <v>39584</v>
      </c>
      <c r="Z196" s="41">
        <v>39792</v>
      </c>
      <c r="AA196" s="41">
        <v>39969</v>
      </c>
      <c r="AB196" s="41">
        <v>40157</v>
      </c>
      <c r="AC196" s="41">
        <v>40339</v>
      </c>
      <c r="AD196" s="41">
        <v>40521</v>
      </c>
      <c r="AE196" s="41">
        <v>40695</v>
      </c>
      <c r="AF196" s="41">
        <v>40863</v>
      </c>
      <c r="AG196" s="41">
        <v>41036</v>
      </c>
      <c r="AH196" s="41">
        <v>41198</v>
      </c>
      <c r="AI196" s="41">
        <v>41365</v>
      </c>
      <c r="AJ196" s="41">
        <v>41515</v>
      </c>
      <c r="AK196" s="41">
        <v>41664</v>
      </c>
      <c r="AL196" s="41">
        <v>41816</v>
      </c>
      <c r="AM196" s="41">
        <v>41957</v>
      </c>
      <c r="AN196" s="41">
        <v>42091</v>
      </c>
      <c r="AO196" s="41">
        <v>42214</v>
      </c>
      <c r="AP196" s="41">
        <v>42338</v>
      </c>
      <c r="AQ196" s="41">
        <v>42463</v>
      </c>
      <c r="AR196" s="41">
        <v>42589</v>
      </c>
      <c r="AS196" s="41">
        <v>42697</v>
      </c>
    </row>
    <row r="197" spans="1:45">
      <c r="A197" s="38" t="s">
        <v>510</v>
      </c>
      <c r="B197" s="38" t="s">
        <v>511</v>
      </c>
      <c r="C197" s="41">
        <v>65460</v>
      </c>
      <c r="D197" s="41">
        <v>65946</v>
      </c>
      <c r="E197" s="41">
        <v>66583</v>
      </c>
      <c r="F197" s="41">
        <v>67281</v>
      </c>
      <c r="G197" s="41">
        <v>68550</v>
      </c>
      <c r="H197" s="41">
        <v>69358</v>
      </c>
      <c r="I197" s="41">
        <v>69981</v>
      </c>
      <c r="J197" s="41">
        <v>71143</v>
      </c>
      <c r="K197" s="41">
        <v>71964</v>
      </c>
      <c r="L197" s="41">
        <v>72859</v>
      </c>
      <c r="M197" s="41">
        <v>73661</v>
      </c>
      <c r="N197" s="41">
        <v>74219</v>
      </c>
      <c r="O197" s="41">
        <v>74795</v>
      </c>
      <c r="P197" s="41">
        <v>75275</v>
      </c>
      <c r="Q197" s="41">
        <v>76181</v>
      </c>
      <c r="R197" s="41">
        <v>77173</v>
      </c>
      <c r="S197" s="41">
        <v>77703</v>
      </c>
      <c r="T197" s="41">
        <v>78379</v>
      </c>
      <c r="U197" s="41">
        <v>79197</v>
      </c>
      <c r="V197" s="41">
        <v>79958</v>
      </c>
      <c r="W197" s="41">
        <v>80663</v>
      </c>
      <c r="X197" s="41">
        <v>81612</v>
      </c>
      <c r="Y197" s="41">
        <v>82518</v>
      </c>
      <c r="Z197" s="41">
        <v>83397</v>
      </c>
      <c r="AA197" s="41">
        <v>84233</v>
      </c>
      <c r="AB197" s="41">
        <v>85044</v>
      </c>
      <c r="AC197" s="41">
        <v>85871</v>
      </c>
      <c r="AD197" s="41">
        <v>86676</v>
      </c>
      <c r="AE197" s="41">
        <v>87460</v>
      </c>
      <c r="AF197" s="41">
        <v>88228</v>
      </c>
      <c r="AG197" s="41">
        <v>88986</v>
      </c>
      <c r="AH197" s="41">
        <v>89748</v>
      </c>
      <c r="AI197" s="41">
        <v>90501</v>
      </c>
      <c r="AJ197" s="41">
        <v>91244</v>
      </c>
      <c r="AK197" s="41">
        <v>91951</v>
      </c>
      <c r="AL197" s="41">
        <v>92658</v>
      </c>
      <c r="AM197" s="41">
        <v>93348</v>
      </c>
      <c r="AN197" s="41">
        <v>94039</v>
      </c>
      <c r="AO197" s="41">
        <v>94704</v>
      </c>
      <c r="AP197" s="41">
        <v>95337</v>
      </c>
      <c r="AQ197" s="41">
        <v>95978</v>
      </c>
      <c r="AR197" s="41">
        <v>96602</v>
      </c>
      <c r="AS197" s="41">
        <v>97205</v>
      </c>
    </row>
    <row r="198" spans="1:45">
      <c r="A198" s="38" t="s">
        <v>512</v>
      </c>
      <c r="B198" s="38" t="s">
        <v>513</v>
      </c>
      <c r="C198" s="41">
        <v>101738</v>
      </c>
      <c r="D198" s="41">
        <v>102537</v>
      </c>
      <c r="E198" s="41">
        <v>102966</v>
      </c>
      <c r="F198" s="41">
        <v>103104</v>
      </c>
      <c r="G198" s="41">
        <v>104321</v>
      </c>
      <c r="H198" s="41">
        <v>104825</v>
      </c>
      <c r="I198" s="41">
        <v>105679</v>
      </c>
      <c r="J198" s="41">
        <v>106277</v>
      </c>
      <c r="K198" s="41">
        <v>106535</v>
      </c>
      <c r="L198" s="41">
        <v>106979</v>
      </c>
      <c r="M198" s="41">
        <v>108656</v>
      </c>
      <c r="N198" s="41">
        <v>108648</v>
      </c>
      <c r="O198" s="41">
        <v>108883</v>
      </c>
      <c r="P198" s="41">
        <v>109733</v>
      </c>
      <c r="Q198" s="41">
        <v>110105</v>
      </c>
      <c r="R198" s="41">
        <v>110540</v>
      </c>
      <c r="S198" s="41">
        <v>110950</v>
      </c>
      <c r="T198" s="41">
        <v>110931</v>
      </c>
      <c r="U198" s="41">
        <v>111245</v>
      </c>
      <c r="V198" s="41">
        <v>111477</v>
      </c>
      <c r="W198" s="41">
        <v>111606</v>
      </c>
      <c r="X198" s="41">
        <v>111886</v>
      </c>
      <c r="Y198" s="41">
        <v>112173</v>
      </c>
      <c r="Z198" s="41">
        <v>112524</v>
      </c>
      <c r="AA198" s="41">
        <v>112863</v>
      </c>
      <c r="AB198" s="41">
        <v>113243</v>
      </c>
      <c r="AC198" s="41">
        <v>113688</v>
      </c>
      <c r="AD198" s="41">
        <v>114138</v>
      </c>
      <c r="AE198" s="41">
        <v>114555</v>
      </c>
      <c r="AF198" s="41">
        <v>114976</v>
      </c>
      <c r="AG198" s="41">
        <v>115432</v>
      </c>
      <c r="AH198" s="41">
        <v>115930</v>
      </c>
      <c r="AI198" s="41">
        <v>116339</v>
      </c>
      <c r="AJ198" s="41">
        <v>116744</v>
      </c>
      <c r="AK198" s="41">
        <v>117140</v>
      </c>
      <c r="AL198" s="41">
        <v>117574</v>
      </c>
      <c r="AM198" s="41">
        <v>117974</v>
      </c>
      <c r="AN198" s="41">
        <v>118332</v>
      </c>
      <c r="AO198" s="41">
        <v>118684</v>
      </c>
      <c r="AP198" s="41">
        <v>119034</v>
      </c>
      <c r="AQ198" s="41">
        <v>119417</v>
      </c>
      <c r="AR198" s="41">
        <v>119766</v>
      </c>
      <c r="AS198" s="41">
        <v>120078</v>
      </c>
    </row>
    <row r="199" spans="1:45">
      <c r="A199" s="38" t="s">
        <v>514</v>
      </c>
      <c r="B199" s="38" t="s">
        <v>515</v>
      </c>
      <c r="C199" s="41">
        <v>78839</v>
      </c>
      <c r="D199" s="41">
        <v>79129</v>
      </c>
      <c r="E199" s="41">
        <v>79768</v>
      </c>
      <c r="F199" s="41">
        <v>80574</v>
      </c>
      <c r="G199" s="41">
        <v>81654</v>
      </c>
      <c r="H199" s="41">
        <v>81615</v>
      </c>
      <c r="I199" s="41">
        <v>81208</v>
      </c>
      <c r="J199" s="41">
        <v>81563</v>
      </c>
      <c r="K199" s="41">
        <v>82614</v>
      </c>
      <c r="L199" s="41">
        <v>83729</v>
      </c>
      <c r="M199" s="41">
        <v>85256</v>
      </c>
      <c r="N199" s="41">
        <v>85692</v>
      </c>
      <c r="O199" s="41">
        <v>86080</v>
      </c>
      <c r="P199" s="41">
        <v>86738</v>
      </c>
      <c r="Q199" s="41">
        <v>87640</v>
      </c>
      <c r="R199" s="41">
        <v>88772</v>
      </c>
      <c r="S199" s="41">
        <v>89232</v>
      </c>
      <c r="T199" s="41">
        <v>89547</v>
      </c>
      <c r="U199" s="41">
        <v>89874</v>
      </c>
      <c r="V199" s="41">
        <v>90188</v>
      </c>
      <c r="W199" s="41">
        <v>90410</v>
      </c>
      <c r="X199" s="41">
        <v>90669</v>
      </c>
      <c r="Y199" s="41">
        <v>90931</v>
      </c>
      <c r="Z199" s="41">
        <v>91230</v>
      </c>
      <c r="AA199" s="41">
        <v>91531</v>
      </c>
      <c r="AB199" s="41">
        <v>91877</v>
      </c>
      <c r="AC199" s="41">
        <v>92265</v>
      </c>
      <c r="AD199" s="41">
        <v>92640</v>
      </c>
      <c r="AE199" s="41">
        <v>93008</v>
      </c>
      <c r="AF199" s="41">
        <v>93377</v>
      </c>
      <c r="AG199" s="41">
        <v>93759</v>
      </c>
      <c r="AH199" s="41">
        <v>94144</v>
      </c>
      <c r="AI199" s="41">
        <v>94497</v>
      </c>
      <c r="AJ199" s="41">
        <v>94828</v>
      </c>
      <c r="AK199" s="41">
        <v>95167</v>
      </c>
      <c r="AL199" s="41">
        <v>95516</v>
      </c>
      <c r="AM199" s="41">
        <v>95832</v>
      </c>
      <c r="AN199" s="41">
        <v>96113</v>
      </c>
      <c r="AO199" s="41">
        <v>96367</v>
      </c>
      <c r="AP199" s="41">
        <v>96643</v>
      </c>
      <c r="AQ199" s="41">
        <v>96924</v>
      </c>
      <c r="AR199" s="41">
        <v>97189</v>
      </c>
      <c r="AS199" s="41">
        <v>97425</v>
      </c>
    </row>
    <row r="200" spans="1:45">
      <c r="A200" s="38" t="s">
        <v>516</v>
      </c>
      <c r="B200" s="38" t="s">
        <v>517</v>
      </c>
      <c r="C200" s="41">
        <v>52915</v>
      </c>
      <c r="D200" s="41">
        <v>53258</v>
      </c>
      <c r="E200" s="41">
        <v>53801</v>
      </c>
      <c r="F200" s="41">
        <v>54474</v>
      </c>
      <c r="G200" s="41">
        <v>55220</v>
      </c>
      <c r="H200" s="41">
        <v>55915</v>
      </c>
      <c r="I200" s="41">
        <v>56293</v>
      </c>
      <c r="J200" s="41">
        <v>56735</v>
      </c>
      <c r="K200" s="41">
        <v>56796</v>
      </c>
      <c r="L200" s="41">
        <v>57212</v>
      </c>
      <c r="M200" s="41">
        <v>57182</v>
      </c>
      <c r="N200" s="41">
        <v>57352</v>
      </c>
      <c r="O200" s="41">
        <v>57306</v>
      </c>
      <c r="P200" s="41">
        <v>57256</v>
      </c>
      <c r="Q200" s="41">
        <v>57502</v>
      </c>
      <c r="R200" s="41">
        <v>57720</v>
      </c>
      <c r="S200" s="41">
        <v>57850</v>
      </c>
      <c r="T200" s="41">
        <v>58079</v>
      </c>
      <c r="U200" s="41">
        <v>58222</v>
      </c>
      <c r="V200" s="41">
        <v>58375</v>
      </c>
      <c r="W200" s="41">
        <v>58524</v>
      </c>
      <c r="X200" s="41">
        <v>58646</v>
      </c>
      <c r="Y200" s="41">
        <v>58771</v>
      </c>
      <c r="Z200" s="41">
        <v>58928</v>
      </c>
      <c r="AA200" s="41">
        <v>59079</v>
      </c>
      <c r="AB200" s="41">
        <v>59271</v>
      </c>
      <c r="AC200" s="41">
        <v>59475</v>
      </c>
      <c r="AD200" s="41">
        <v>59668</v>
      </c>
      <c r="AE200" s="41">
        <v>59877</v>
      </c>
      <c r="AF200" s="41">
        <v>60090</v>
      </c>
      <c r="AG200" s="41">
        <v>60337</v>
      </c>
      <c r="AH200" s="41">
        <v>60575</v>
      </c>
      <c r="AI200" s="41">
        <v>60799</v>
      </c>
      <c r="AJ200" s="41">
        <v>61013</v>
      </c>
      <c r="AK200" s="41">
        <v>61232</v>
      </c>
      <c r="AL200" s="41">
        <v>61458</v>
      </c>
      <c r="AM200" s="41">
        <v>61674</v>
      </c>
      <c r="AN200" s="41">
        <v>61863</v>
      </c>
      <c r="AO200" s="41">
        <v>62026</v>
      </c>
      <c r="AP200" s="41">
        <v>62203</v>
      </c>
      <c r="AQ200" s="41">
        <v>62384</v>
      </c>
      <c r="AR200" s="41">
        <v>62561</v>
      </c>
      <c r="AS200" s="41">
        <v>62715</v>
      </c>
    </row>
    <row r="201" spans="1:45">
      <c r="A201" s="38" t="s">
        <v>518</v>
      </c>
      <c r="B201" s="38" t="s">
        <v>519</v>
      </c>
      <c r="C201" s="41">
        <v>58107</v>
      </c>
      <c r="D201" s="41">
        <v>57699</v>
      </c>
      <c r="E201" s="41">
        <v>57632</v>
      </c>
      <c r="F201" s="41">
        <v>57690</v>
      </c>
      <c r="G201" s="41">
        <v>58584</v>
      </c>
      <c r="H201" s="41">
        <v>59190</v>
      </c>
      <c r="I201" s="41">
        <v>59614</v>
      </c>
      <c r="J201" s="41">
        <v>60137</v>
      </c>
      <c r="K201" s="41">
        <v>60708</v>
      </c>
      <c r="L201" s="41">
        <v>61504</v>
      </c>
      <c r="M201" s="41">
        <v>62074</v>
      </c>
      <c r="N201" s="41">
        <v>62577</v>
      </c>
      <c r="O201" s="41">
        <v>63067</v>
      </c>
      <c r="P201" s="41">
        <v>63791</v>
      </c>
      <c r="Q201" s="41">
        <v>64454</v>
      </c>
      <c r="R201" s="41">
        <v>64938</v>
      </c>
      <c r="S201" s="41">
        <v>65003</v>
      </c>
      <c r="T201" s="41">
        <v>64986</v>
      </c>
      <c r="U201" s="41">
        <v>65136</v>
      </c>
      <c r="V201" s="41">
        <v>65307</v>
      </c>
      <c r="W201" s="41">
        <v>65410</v>
      </c>
      <c r="X201" s="41">
        <v>65511</v>
      </c>
      <c r="Y201" s="41">
        <v>65611</v>
      </c>
      <c r="Z201" s="41">
        <v>65728</v>
      </c>
      <c r="AA201" s="41">
        <v>65836</v>
      </c>
      <c r="AB201" s="41">
        <v>65973</v>
      </c>
      <c r="AC201" s="41">
        <v>66125</v>
      </c>
      <c r="AD201" s="41">
        <v>66299</v>
      </c>
      <c r="AE201" s="41">
        <v>66472</v>
      </c>
      <c r="AF201" s="41">
        <v>66650</v>
      </c>
      <c r="AG201" s="41">
        <v>66853</v>
      </c>
      <c r="AH201" s="41">
        <v>67062</v>
      </c>
      <c r="AI201" s="41">
        <v>67282</v>
      </c>
      <c r="AJ201" s="41">
        <v>67478</v>
      </c>
      <c r="AK201" s="41">
        <v>67678</v>
      </c>
      <c r="AL201" s="41">
        <v>67907</v>
      </c>
      <c r="AM201" s="41">
        <v>68123</v>
      </c>
      <c r="AN201" s="41">
        <v>68304</v>
      </c>
      <c r="AO201" s="41">
        <v>68461</v>
      </c>
      <c r="AP201" s="41">
        <v>68621</v>
      </c>
      <c r="AQ201" s="41">
        <v>68800</v>
      </c>
      <c r="AR201" s="41">
        <v>68973</v>
      </c>
      <c r="AS201" s="41">
        <v>69119</v>
      </c>
    </row>
    <row r="202" spans="1:45">
      <c r="A202" s="38" t="s">
        <v>520</v>
      </c>
      <c r="B202" s="38" t="s">
        <v>521</v>
      </c>
      <c r="C202" s="41">
        <v>93327</v>
      </c>
      <c r="D202" s="41">
        <v>93609</v>
      </c>
      <c r="E202" s="41">
        <v>93955</v>
      </c>
      <c r="F202" s="41">
        <v>93661</v>
      </c>
      <c r="G202" s="41">
        <v>93838</v>
      </c>
      <c r="H202" s="41">
        <v>94282</v>
      </c>
      <c r="I202" s="41">
        <v>94728</v>
      </c>
      <c r="J202" s="41">
        <v>95766</v>
      </c>
      <c r="K202" s="41">
        <v>96884</v>
      </c>
      <c r="L202" s="41">
        <v>97843</v>
      </c>
      <c r="M202" s="41">
        <v>99434</v>
      </c>
      <c r="N202" s="41">
        <v>100285</v>
      </c>
      <c r="O202" s="41">
        <v>101526</v>
      </c>
      <c r="P202" s="41">
        <v>103069</v>
      </c>
      <c r="Q202" s="41">
        <v>104423</v>
      </c>
      <c r="R202" s="41">
        <v>105523</v>
      </c>
      <c r="S202" s="41">
        <v>105934</v>
      </c>
      <c r="T202" s="41">
        <v>106750</v>
      </c>
      <c r="U202" s="41">
        <v>107356</v>
      </c>
      <c r="V202" s="41">
        <v>107963</v>
      </c>
      <c r="W202" s="41">
        <v>108518</v>
      </c>
      <c r="X202" s="41">
        <v>109569</v>
      </c>
      <c r="Y202" s="41">
        <v>110615</v>
      </c>
      <c r="Z202" s="41">
        <v>111536</v>
      </c>
      <c r="AA202" s="41">
        <v>112438</v>
      </c>
      <c r="AB202" s="41">
        <v>113325</v>
      </c>
      <c r="AC202" s="41">
        <v>114204</v>
      </c>
      <c r="AD202" s="41">
        <v>115088</v>
      </c>
      <c r="AE202" s="41">
        <v>115901</v>
      </c>
      <c r="AF202" s="41">
        <v>116724</v>
      </c>
      <c r="AG202" s="41">
        <v>117526</v>
      </c>
      <c r="AH202" s="41">
        <v>118323</v>
      </c>
      <c r="AI202" s="41">
        <v>119119</v>
      </c>
      <c r="AJ202" s="41">
        <v>119870</v>
      </c>
      <c r="AK202" s="41">
        <v>120612</v>
      </c>
      <c r="AL202" s="41">
        <v>121341</v>
      </c>
      <c r="AM202" s="41">
        <v>122084</v>
      </c>
      <c r="AN202" s="41">
        <v>122814</v>
      </c>
      <c r="AO202" s="41">
        <v>123501</v>
      </c>
      <c r="AP202" s="41">
        <v>124175</v>
      </c>
      <c r="AQ202" s="41">
        <v>124846</v>
      </c>
      <c r="AR202" s="41">
        <v>125523</v>
      </c>
      <c r="AS202" s="41">
        <v>126167</v>
      </c>
    </row>
    <row r="203" spans="1:45">
      <c r="A203" s="38" t="s">
        <v>522</v>
      </c>
      <c r="B203" s="38" t="s">
        <v>523</v>
      </c>
      <c r="C203" s="41">
        <v>57145</v>
      </c>
      <c r="D203" s="41">
        <v>57247</v>
      </c>
      <c r="E203" s="41">
        <v>57545</v>
      </c>
      <c r="F203" s="41">
        <v>57859</v>
      </c>
      <c r="G203" s="41">
        <v>58033</v>
      </c>
      <c r="H203" s="41">
        <v>58168</v>
      </c>
      <c r="I203" s="41">
        <v>58299</v>
      </c>
      <c r="J203" s="41">
        <v>58452</v>
      </c>
      <c r="K203" s="41">
        <v>58564</v>
      </c>
      <c r="L203" s="41">
        <v>58796</v>
      </c>
      <c r="M203" s="41">
        <v>59264</v>
      </c>
      <c r="N203" s="41">
        <v>59574</v>
      </c>
      <c r="O203" s="41">
        <v>59748</v>
      </c>
      <c r="P203" s="41">
        <v>60156</v>
      </c>
      <c r="Q203" s="41">
        <v>60466</v>
      </c>
      <c r="R203" s="41">
        <v>60828</v>
      </c>
      <c r="S203" s="41">
        <v>61307</v>
      </c>
      <c r="T203" s="41">
        <v>61864</v>
      </c>
      <c r="U203" s="41">
        <v>62443</v>
      </c>
      <c r="V203" s="41">
        <v>62919</v>
      </c>
      <c r="W203" s="41">
        <v>63338</v>
      </c>
      <c r="X203" s="41">
        <v>63668</v>
      </c>
      <c r="Y203" s="41">
        <v>63936</v>
      </c>
      <c r="Z203" s="41">
        <v>64236</v>
      </c>
      <c r="AA203" s="41">
        <v>64487</v>
      </c>
      <c r="AB203" s="41">
        <v>64761</v>
      </c>
      <c r="AC203" s="41">
        <v>65023</v>
      </c>
      <c r="AD203" s="41">
        <v>65275</v>
      </c>
      <c r="AE203" s="41">
        <v>65527</v>
      </c>
      <c r="AF203" s="41">
        <v>65758</v>
      </c>
      <c r="AG203" s="41">
        <v>66009</v>
      </c>
      <c r="AH203" s="41">
        <v>66253</v>
      </c>
      <c r="AI203" s="41">
        <v>66522</v>
      </c>
      <c r="AJ203" s="41">
        <v>66759</v>
      </c>
      <c r="AK203" s="41">
        <v>66981</v>
      </c>
      <c r="AL203" s="41">
        <v>67210</v>
      </c>
      <c r="AM203" s="41">
        <v>67442</v>
      </c>
      <c r="AN203" s="41">
        <v>67659</v>
      </c>
      <c r="AO203" s="41">
        <v>67845</v>
      </c>
      <c r="AP203" s="41">
        <v>68021</v>
      </c>
      <c r="AQ203" s="41">
        <v>68195</v>
      </c>
      <c r="AR203" s="41">
        <v>68377</v>
      </c>
      <c r="AS203" s="41">
        <v>68514</v>
      </c>
    </row>
    <row r="204" spans="1:45">
      <c r="A204" s="38" t="s">
        <v>524</v>
      </c>
      <c r="B204" s="38" t="s">
        <v>525</v>
      </c>
      <c r="C204" s="41">
        <v>31372</v>
      </c>
      <c r="D204" s="41">
        <v>31616</v>
      </c>
      <c r="E204" s="41">
        <v>31874</v>
      </c>
      <c r="F204" s="41">
        <v>32060</v>
      </c>
      <c r="G204" s="41">
        <v>32259</v>
      </c>
      <c r="H204" s="41">
        <v>32739</v>
      </c>
      <c r="I204" s="41">
        <v>33085</v>
      </c>
      <c r="J204" s="41">
        <v>33518</v>
      </c>
      <c r="K204" s="41">
        <v>33808</v>
      </c>
      <c r="L204" s="41">
        <v>34091</v>
      </c>
      <c r="M204" s="41">
        <v>34486</v>
      </c>
      <c r="N204" s="41">
        <v>34546</v>
      </c>
      <c r="O204" s="41">
        <v>34637</v>
      </c>
      <c r="P204" s="41">
        <v>34790</v>
      </c>
      <c r="Q204" s="41">
        <v>34978</v>
      </c>
      <c r="R204" s="41">
        <v>35072</v>
      </c>
      <c r="S204" s="41">
        <v>35180</v>
      </c>
      <c r="T204" s="41">
        <v>35124</v>
      </c>
      <c r="U204" s="41">
        <v>35223</v>
      </c>
      <c r="V204" s="41">
        <v>35288</v>
      </c>
      <c r="W204" s="41">
        <v>35345</v>
      </c>
      <c r="X204" s="41">
        <v>35457</v>
      </c>
      <c r="Y204" s="41">
        <v>35557</v>
      </c>
      <c r="Z204" s="41">
        <v>35677</v>
      </c>
      <c r="AA204" s="41">
        <v>35777</v>
      </c>
      <c r="AB204" s="41">
        <v>35876</v>
      </c>
      <c r="AC204" s="41">
        <v>35977</v>
      </c>
      <c r="AD204" s="41">
        <v>36073</v>
      </c>
      <c r="AE204" s="41">
        <v>36165</v>
      </c>
      <c r="AF204" s="41">
        <v>36247</v>
      </c>
      <c r="AG204" s="41">
        <v>36331</v>
      </c>
      <c r="AH204" s="41">
        <v>36419</v>
      </c>
      <c r="AI204" s="41">
        <v>36498</v>
      </c>
      <c r="AJ204" s="41">
        <v>36576</v>
      </c>
      <c r="AK204" s="41">
        <v>36651</v>
      </c>
      <c r="AL204" s="41">
        <v>36733</v>
      </c>
      <c r="AM204" s="41">
        <v>36810</v>
      </c>
      <c r="AN204" s="41">
        <v>36884</v>
      </c>
      <c r="AO204" s="41">
        <v>36959</v>
      </c>
      <c r="AP204" s="41">
        <v>37037</v>
      </c>
      <c r="AQ204" s="41">
        <v>37126</v>
      </c>
      <c r="AR204" s="41">
        <v>37215</v>
      </c>
      <c r="AS204" s="41">
        <v>37297</v>
      </c>
    </row>
    <row r="205" spans="1:45">
      <c r="A205" s="38" t="s">
        <v>526</v>
      </c>
      <c r="B205" s="38" t="s">
        <v>527</v>
      </c>
      <c r="C205" s="41">
        <v>51396</v>
      </c>
      <c r="D205" s="41">
        <v>51196</v>
      </c>
      <c r="E205" s="41">
        <v>51285</v>
      </c>
      <c r="F205" s="41">
        <v>51357</v>
      </c>
      <c r="G205" s="41">
        <v>51550</v>
      </c>
      <c r="H205" s="41">
        <v>52026</v>
      </c>
      <c r="I205" s="41">
        <v>52688</v>
      </c>
      <c r="J205" s="41">
        <v>53206</v>
      </c>
      <c r="K205" s="41">
        <v>54019</v>
      </c>
      <c r="L205" s="41">
        <v>54696</v>
      </c>
      <c r="M205" s="41">
        <v>55311</v>
      </c>
      <c r="N205" s="41">
        <v>55800</v>
      </c>
      <c r="O205" s="41">
        <v>56292</v>
      </c>
      <c r="P205" s="41">
        <v>57032</v>
      </c>
      <c r="Q205" s="41">
        <v>57403</v>
      </c>
      <c r="R205" s="41">
        <v>57837</v>
      </c>
      <c r="S205" s="41">
        <v>58214</v>
      </c>
      <c r="T205" s="41">
        <v>58598</v>
      </c>
      <c r="U205" s="41">
        <v>59088</v>
      </c>
      <c r="V205" s="41">
        <v>59482</v>
      </c>
      <c r="W205" s="41">
        <v>59848</v>
      </c>
      <c r="X205" s="41">
        <v>60341</v>
      </c>
      <c r="Y205" s="41">
        <v>60800</v>
      </c>
      <c r="Z205" s="41">
        <v>61252</v>
      </c>
      <c r="AA205" s="41">
        <v>61671</v>
      </c>
      <c r="AB205" s="41">
        <v>62073</v>
      </c>
      <c r="AC205" s="41">
        <v>62491</v>
      </c>
      <c r="AD205" s="41">
        <v>62889</v>
      </c>
      <c r="AE205" s="41">
        <v>63273</v>
      </c>
      <c r="AF205" s="41">
        <v>63644</v>
      </c>
      <c r="AG205" s="41">
        <v>64009</v>
      </c>
      <c r="AH205" s="41">
        <v>64382</v>
      </c>
      <c r="AI205" s="41">
        <v>64742</v>
      </c>
      <c r="AJ205" s="41">
        <v>65110</v>
      </c>
      <c r="AK205" s="41">
        <v>65460</v>
      </c>
      <c r="AL205" s="41">
        <v>65809</v>
      </c>
      <c r="AM205" s="41">
        <v>66145</v>
      </c>
      <c r="AN205" s="41">
        <v>66471</v>
      </c>
      <c r="AO205" s="41">
        <v>66783</v>
      </c>
      <c r="AP205" s="41">
        <v>67086</v>
      </c>
      <c r="AQ205" s="41">
        <v>67400</v>
      </c>
      <c r="AR205" s="41">
        <v>67711</v>
      </c>
      <c r="AS205" s="41">
        <v>68005</v>
      </c>
    </row>
    <row r="206" spans="1:45">
      <c r="A206" s="38" t="s">
        <v>528</v>
      </c>
      <c r="B206" s="38" t="s">
        <v>529</v>
      </c>
      <c r="C206" s="41">
        <v>22148</v>
      </c>
      <c r="D206" s="41">
        <v>22483</v>
      </c>
      <c r="E206" s="41">
        <v>22872</v>
      </c>
      <c r="F206" s="41">
        <v>23165</v>
      </c>
      <c r="G206" s="41">
        <v>23376</v>
      </c>
      <c r="H206" s="41">
        <v>23569</v>
      </c>
      <c r="I206" s="41">
        <v>23698</v>
      </c>
      <c r="J206" s="41">
        <v>23863</v>
      </c>
      <c r="K206" s="41">
        <v>23889</v>
      </c>
      <c r="L206" s="41">
        <v>24013</v>
      </c>
      <c r="M206" s="41">
        <v>24116</v>
      </c>
      <c r="N206" s="41">
        <v>24335</v>
      </c>
      <c r="O206" s="41">
        <v>24545</v>
      </c>
      <c r="P206" s="41">
        <v>24789</v>
      </c>
      <c r="Q206" s="41">
        <v>25059</v>
      </c>
      <c r="R206" s="41">
        <v>25325</v>
      </c>
      <c r="S206" s="41">
        <v>25640</v>
      </c>
      <c r="T206" s="41">
        <v>26003</v>
      </c>
      <c r="U206" s="41">
        <v>26353</v>
      </c>
      <c r="V206" s="41">
        <v>26653</v>
      </c>
      <c r="W206" s="41">
        <v>26947</v>
      </c>
      <c r="X206" s="41">
        <v>27243</v>
      </c>
      <c r="Y206" s="41">
        <v>27526</v>
      </c>
      <c r="Z206" s="41">
        <v>27796</v>
      </c>
      <c r="AA206" s="41">
        <v>28041</v>
      </c>
      <c r="AB206" s="41">
        <v>28283</v>
      </c>
      <c r="AC206" s="41">
        <v>28530</v>
      </c>
      <c r="AD206" s="41">
        <v>28758</v>
      </c>
      <c r="AE206" s="41">
        <v>28979</v>
      </c>
      <c r="AF206" s="41">
        <v>29186</v>
      </c>
      <c r="AG206" s="41">
        <v>29392</v>
      </c>
      <c r="AH206" s="41">
        <v>29592</v>
      </c>
      <c r="AI206" s="41">
        <v>29785</v>
      </c>
      <c r="AJ206" s="41">
        <v>29974</v>
      </c>
      <c r="AK206" s="41">
        <v>30164</v>
      </c>
      <c r="AL206" s="41">
        <v>30345</v>
      </c>
      <c r="AM206" s="41">
        <v>30525</v>
      </c>
      <c r="AN206" s="41">
        <v>30705</v>
      </c>
      <c r="AO206" s="41">
        <v>30886</v>
      </c>
      <c r="AP206" s="41">
        <v>31063</v>
      </c>
      <c r="AQ206" s="41">
        <v>31234</v>
      </c>
      <c r="AR206" s="41">
        <v>31405</v>
      </c>
      <c r="AS206" s="41">
        <v>31563</v>
      </c>
    </row>
    <row r="207" spans="1:45">
      <c r="A207" s="38" t="s">
        <v>530</v>
      </c>
      <c r="B207" s="38" t="s">
        <v>531</v>
      </c>
      <c r="C207" s="41">
        <v>76371</v>
      </c>
      <c r="D207" s="41">
        <v>76617</v>
      </c>
      <c r="E207" s="41">
        <v>76878</v>
      </c>
      <c r="F207" s="41">
        <v>77413</v>
      </c>
      <c r="G207" s="41">
        <v>78173</v>
      </c>
      <c r="H207" s="41">
        <v>78400</v>
      </c>
      <c r="I207" s="41">
        <v>78178</v>
      </c>
      <c r="J207" s="41">
        <v>78307</v>
      </c>
      <c r="K207" s="41">
        <v>78706</v>
      </c>
      <c r="L207" s="41">
        <v>79138</v>
      </c>
      <c r="M207" s="41">
        <v>79383</v>
      </c>
      <c r="N207" s="41">
        <v>79856</v>
      </c>
      <c r="O207" s="41">
        <v>80586</v>
      </c>
      <c r="P207" s="41">
        <v>81271</v>
      </c>
      <c r="Q207" s="41">
        <v>81428</v>
      </c>
      <c r="R207" s="41">
        <v>81738</v>
      </c>
      <c r="S207" s="41">
        <v>81941</v>
      </c>
      <c r="T207" s="41">
        <v>82433</v>
      </c>
      <c r="U207" s="41">
        <v>82952</v>
      </c>
      <c r="V207" s="41">
        <v>83396</v>
      </c>
      <c r="W207" s="41">
        <v>83855</v>
      </c>
      <c r="X207" s="41">
        <v>84551</v>
      </c>
      <c r="Y207" s="41">
        <v>85269</v>
      </c>
      <c r="Z207" s="41">
        <v>85938</v>
      </c>
      <c r="AA207" s="41">
        <v>86553</v>
      </c>
      <c r="AB207" s="41">
        <v>87165</v>
      </c>
      <c r="AC207" s="41">
        <v>87771</v>
      </c>
      <c r="AD207" s="41">
        <v>88363</v>
      </c>
      <c r="AE207" s="41">
        <v>88913</v>
      </c>
      <c r="AF207" s="41">
        <v>89434</v>
      </c>
      <c r="AG207" s="41">
        <v>89948</v>
      </c>
      <c r="AH207" s="41">
        <v>90457</v>
      </c>
      <c r="AI207" s="41">
        <v>90944</v>
      </c>
      <c r="AJ207" s="41">
        <v>91405</v>
      </c>
      <c r="AK207" s="41">
        <v>91849</v>
      </c>
      <c r="AL207" s="41">
        <v>92285</v>
      </c>
      <c r="AM207" s="41">
        <v>92712</v>
      </c>
      <c r="AN207" s="41">
        <v>93125</v>
      </c>
      <c r="AO207" s="41">
        <v>93516</v>
      </c>
      <c r="AP207" s="41">
        <v>93896</v>
      </c>
      <c r="AQ207" s="41">
        <v>94295</v>
      </c>
      <c r="AR207" s="41">
        <v>94698</v>
      </c>
      <c r="AS207" s="41">
        <v>95083</v>
      </c>
    </row>
    <row r="208" spans="1:45">
      <c r="A208" s="38" t="s">
        <v>532</v>
      </c>
      <c r="B208" s="38" t="s">
        <v>533</v>
      </c>
      <c r="C208" s="41">
        <v>18028</v>
      </c>
      <c r="D208" s="41">
        <v>18198</v>
      </c>
      <c r="E208" s="41">
        <v>18480</v>
      </c>
      <c r="F208" s="41">
        <v>18659</v>
      </c>
      <c r="G208" s="41">
        <v>19108</v>
      </c>
      <c r="H208" s="41">
        <v>19457</v>
      </c>
      <c r="I208" s="41">
        <v>19781</v>
      </c>
      <c r="J208" s="41">
        <v>20114</v>
      </c>
      <c r="K208" s="41">
        <v>20211</v>
      </c>
      <c r="L208" s="41">
        <v>20511</v>
      </c>
      <c r="M208" s="41">
        <v>20665</v>
      </c>
      <c r="N208" s="41">
        <v>20969</v>
      </c>
      <c r="O208" s="41">
        <v>21250</v>
      </c>
      <c r="P208" s="41">
        <v>21217</v>
      </c>
      <c r="Q208" s="41">
        <v>21246</v>
      </c>
      <c r="R208" s="41">
        <v>22003</v>
      </c>
      <c r="S208" s="41">
        <v>22259</v>
      </c>
      <c r="T208" s="41">
        <v>22364</v>
      </c>
      <c r="U208" s="41">
        <v>22432</v>
      </c>
      <c r="V208" s="41">
        <v>22473</v>
      </c>
      <c r="W208" s="41">
        <v>22525</v>
      </c>
      <c r="X208" s="41">
        <v>22598</v>
      </c>
      <c r="Y208" s="41">
        <v>22654</v>
      </c>
      <c r="Z208" s="41">
        <v>22707</v>
      </c>
      <c r="AA208" s="41">
        <v>22752</v>
      </c>
      <c r="AB208" s="41">
        <v>22811</v>
      </c>
      <c r="AC208" s="41">
        <v>22873</v>
      </c>
      <c r="AD208" s="41">
        <v>22925</v>
      </c>
      <c r="AE208" s="41">
        <v>22971</v>
      </c>
      <c r="AF208" s="41">
        <v>23014</v>
      </c>
      <c r="AG208" s="41">
        <v>23064</v>
      </c>
      <c r="AH208" s="41">
        <v>23106</v>
      </c>
      <c r="AI208" s="41">
        <v>23145</v>
      </c>
      <c r="AJ208" s="41">
        <v>23172</v>
      </c>
      <c r="AK208" s="41">
        <v>23203</v>
      </c>
      <c r="AL208" s="41">
        <v>23230</v>
      </c>
      <c r="AM208" s="41">
        <v>23259</v>
      </c>
      <c r="AN208" s="41">
        <v>23290</v>
      </c>
      <c r="AO208" s="41">
        <v>23320</v>
      </c>
      <c r="AP208" s="41">
        <v>23355</v>
      </c>
      <c r="AQ208" s="41">
        <v>23385</v>
      </c>
      <c r="AR208" s="41">
        <v>23414</v>
      </c>
      <c r="AS208" s="41">
        <v>23435</v>
      </c>
    </row>
    <row r="209" spans="1:45">
      <c r="A209" s="38" t="s">
        <v>534</v>
      </c>
      <c r="B209" s="38" t="s">
        <v>535</v>
      </c>
      <c r="C209" s="41">
        <v>83415</v>
      </c>
      <c r="D209" s="41">
        <v>83640</v>
      </c>
      <c r="E209" s="41">
        <v>84074</v>
      </c>
      <c r="F209" s="41">
        <v>84146</v>
      </c>
      <c r="G209" s="41">
        <v>84178</v>
      </c>
      <c r="H209" s="41">
        <v>84497</v>
      </c>
      <c r="I209" s="41">
        <v>84754</v>
      </c>
      <c r="J209" s="41">
        <v>85387</v>
      </c>
      <c r="K209" s="41">
        <v>85787</v>
      </c>
      <c r="L209" s="41">
        <v>86106</v>
      </c>
      <c r="M209" s="41">
        <v>87050</v>
      </c>
      <c r="N209" s="41">
        <v>87229</v>
      </c>
      <c r="O209" s="41">
        <v>87578</v>
      </c>
      <c r="P209" s="41">
        <v>88066</v>
      </c>
      <c r="Q209" s="41">
        <v>88710</v>
      </c>
      <c r="R209" s="41">
        <v>89533</v>
      </c>
      <c r="S209" s="41">
        <v>90453</v>
      </c>
      <c r="T209" s="41">
        <v>91196</v>
      </c>
      <c r="U209" s="41">
        <v>92093</v>
      </c>
      <c r="V209" s="41">
        <v>92945</v>
      </c>
      <c r="W209" s="41">
        <v>93753</v>
      </c>
      <c r="X209" s="41">
        <v>94580</v>
      </c>
      <c r="Y209" s="41">
        <v>95375</v>
      </c>
      <c r="Z209" s="41">
        <v>96144</v>
      </c>
      <c r="AA209" s="41">
        <v>96897</v>
      </c>
      <c r="AB209" s="41">
        <v>97644</v>
      </c>
      <c r="AC209" s="41">
        <v>98403</v>
      </c>
      <c r="AD209" s="41">
        <v>99154</v>
      </c>
      <c r="AE209" s="41">
        <v>99888</v>
      </c>
      <c r="AF209" s="41">
        <v>100620</v>
      </c>
      <c r="AG209" s="41">
        <v>101365</v>
      </c>
      <c r="AH209" s="41">
        <v>102104</v>
      </c>
      <c r="AI209" s="41">
        <v>102837</v>
      </c>
      <c r="AJ209" s="41">
        <v>103552</v>
      </c>
      <c r="AK209" s="41">
        <v>104262</v>
      </c>
      <c r="AL209" s="41">
        <v>104990</v>
      </c>
      <c r="AM209" s="41">
        <v>105722</v>
      </c>
      <c r="AN209" s="41">
        <v>106427</v>
      </c>
      <c r="AO209" s="41">
        <v>107097</v>
      </c>
      <c r="AP209" s="41">
        <v>107754</v>
      </c>
      <c r="AQ209" s="41">
        <v>108420</v>
      </c>
      <c r="AR209" s="41">
        <v>109077</v>
      </c>
      <c r="AS209" s="41">
        <v>109682</v>
      </c>
    </row>
    <row r="210" spans="1:45">
      <c r="A210" s="38" t="s">
        <v>536</v>
      </c>
      <c r="B210" s="38" t="s">
        <v>537</v>
      </c>
      <c r="C210" s="41">
        <v>31862</v>
      </c>
      <c r="D210" s="41">
        <v>32077</v>
      </c>
      <c r="E210" s="41">
        <v>32139</v>
      </c>
      <c r="F210" s="41">
        <v>32355</v>
      </c>
      <c r="G210" s="41">
        <v>32613</v>
      </c>
      <c r="H210" s="41">
        <v>32818</v>
      </c>
      <c r="I210" s="41">
        <v>33073</v>
      </c>
      <c r="J210" s="41">
        <v>33409</v>
      </c>
      <c r="K210" s="41">
        <v>33495</v>
      </c>
      <c r="L210" s="41">
        <v>33594</v>
      </c>
      <c r="M210" s="41">
        <v>33582</v>
      </c>
      <c r="N210" s="41">
        <v>33779</v>
      </c>
      <c r="O210" s="41">
        <v>33821</v>
      </c>
      <c r="P210" s="41">
        <v>34074</v>
      </c>
      <c r="Q210" s="41">
        <v>34274</v>
      </c>
      <c r="R210" s="41">
        <v>34449</v>
      </c>
      <c r="S210" s="41">
        <v>34666</v>
      </c>
      <c r="T210" s="41">
        <v>34852</v>
      </c>
      <c r="U210" s="41">
        <v>35103</v>
      </c>
      <c r="V210" s="41">
        <v>35298</v>
      </c>
      <c r="W210" s="41">
        <v>35468</v>
      </c>
      <c r="X210" s="41">
        <v>35790</v>
      </c>
      <c r="Y210" s="41">
        <v>36112</v>
      </c>
      <c r="Z210" s="41">
        <v>36426</v>
      </c>
      <c r="AA210" s="41">
        <v>36713</v>
      </c>
      <c r="AB210" s="41">
        <v>36992</v>
      </c>
      <c r="AC210" s="41">
        <v>37306</v>
      </c>
      <c r="AD210" s="41">
        <v>37611</v>
      </c>
      <c r="AE210" s="41">
        <v>37903</v>
      </c>
      <c r="AF210" s="41">
        <v>38170</v>
      </c>
      <c r="AG210" s="41">
        <v>38436</v>
      </c>
      <c r="AH210" s="41">
        <v>38703</v>
      </c>
      <c r="AI210" s="41">
        <v>38975</v>
      </c>
      <c r="AJ210" s="41">
        <v>39233</v>
      </c>
      <c r="AK210" s="41">
        <v>39480</v>
      </c>
      <c r="AL210" s="41">
        <v>39726</v>
      </c>
      <c r="AM210" s="41">
        <v>39981</v>
      </c>
      <c r="AN210" s="41">
        <v>40235</v>
      </c>
      <c r="AO210" s="41">
        <v>40489</v>
      </c>
      <c r="AP210" s="41">
        <v>40737</v>
      </c>
      <c r="AQ210" s="41">
        <v>40998</v>
      </c>
      <c r="AR210" s="41">
        <v>41270</v>
      </c>
      <c r="AS210" s="41">
        <v>41526</v>
      </c>
    </row>
    <row r="211" spans="1:45">
      <c r="A211" s="38" t="s">
        <v>538</v>
      </c>
      <c r="B211" s="38" t="s">
        <v>539</v>
      </c>
      <c r="C211" s="41">
        <v>26890</v>
      </c>
      <c r="D211" s="41">
        <v>26994</v>
      </c>
      <c r="E211" s="41">
        <v>27159</v>
      </c>
      <c r="F211" s="41">
        <v>27278</v>
      </c>
      <c r="G211" s="41">
        <v>27469</v>
      </c>
      <c r="H211" s="41">
        <v>27672</v>
      </c>
      <c r="I211" s="41">
        <v>27934</v>
      </c>
      <c r="J211" s="41">
        <v>28196</v>
      </c>
      <c r="K211" s="41">
        <v>28433</v>
      </c>
      <c r="L211" s="41">
        <v>28655</v>
      </c>
      <c r="M211" s="41">
        <v>28937</v>
      </c>
      <c r="N211" s="41">
        <v>29090</v>
      </c>
      <c r="O211" s="41">
        <v>29266</v>
      </c>
      <c r="P211" s="41">
        <v>29480</v>
      </c>
      <c r="Q211" s="41">
        <v>29673</v>
      </c>
      <c r="R211" s="41">
        <v>29917</v>
      </c>
      <c r="S211" s="41">
        <v>30216</v>
      </c>
      <c r="T211" s="41">
        <v>30489</v>
      </c>
      <c r="U211" s="41">
        <v>30793</v>
      </c>
      <c r="V211" s="41">
        <v>31057</v>
      </c>
      <c r="W211" s="41">
        <v>31313</v>
      </c>
      <c r="X211" s="41">
        <v>31574</v>
      </c>
      <c r="Y211" s="41">
        <v>31843</v>
      </c>
      <c r="Z211" s="41">
        <v>32104</v>
      </c>
      <c r="AA211" s="41">
        <v>32356</v>
      </c>
      <c r="AB211" s="41">
        <v>32590</v>
      </c>
      <c r="AC211" s="41">
        <v>32831</v>
      </c>
      <c r="AD211" s="41">
        <v>33065</v>
      </c>
      <c r="AE211" s="41">
        <v>33289</v>
      </c>
      <c r="AF211" s="41">
        <v>33519</v>
      </c>
      <c r="AG211" s="41">
        <v>33738</v>
      </c>
      <c r="AH211" s="41">
        <v>33951</v>
      </c>
      <c r="AI211" s="41">
        <v>34161</v>
      </c>
      <c r="AJ211" s="41">
        <v>34359</v>
      </c>
      <c r="AK211" s="41">
        <v>34557</v>
      </c>
      <c r="AL211" s="41">
        <v>34754</v>
      </c>
      <c r="AM211" s="41">
        <v>34945</v>
      </c>
      <c r="AN211" s="41">
        <v>35140</v>
      </c>
      <c r="AO211" s="41">
        <v>35322</v>
      </c>
      <c r="AP211" s="41">
        <v>35503</v>
      </c>
      <c r="AQ211" s="41">
        <v>35690</v>
      </c>
      <c r="AR211" s="41">
        <v>35870</v>
      </c>
      <c r="AS211" s="41">
        <v>36047</v>
      </c>
    </row>
    <row r="212" spans="1:45">
      <c r="A212" s="38" t="s">
        <v>540</v>
      </c>
      <c r="B212" s="38" t="s">
        <v>541</v>
      </c>
      <c r="C212" s="41">
        <v>38089</v>
      </c>
      <c r="D212" s="41">
        <v>38441</v>
      </c>
      <c r="E212" s="41">
        <v>38683</v>
      </c>
      <c r="F212" s="41">
        <v>38869</v>
      </c>
      <c r="G212" s="41">
        <v>39090</v>
      </c>
      <c r="H212" s="41">
        <v>39353</v>
      </c>
      <c r="I212" s="41">
        <v>39815</v>
      </c>
      <c r="J212" s="41">
        <v>40212</v>
      </c>
      <c r="K212" s="41">
        <v>40257</v>
      </c>
      <c r="L212" s="41">
        <v>40468</v>
      </c>
      <c r="M212" s="41">
        <v>40884</v>
      </c>
      <c r="N212" s="41">
        <v>41015</v>
      </c>
      <c r="O212" s="41">
        <v>41138</v>
      </c>
      <c r="P212" s="41">
        <v>41725</v>
      </c>
      <c r="Q212" s="41">
        <v>42066</v>
      </c>
      <c r="R212" s="41">
        <v>42497</v>
      </c>
      <c r="S212" s="41">
        <v>43128</v>
      </c>
      <c r="T212" s="41">
        <v>43477</v>
      </c>
      <c r="U212" s="41">
        <v>44006</v>
      </c>
      <c r="V212" s="41">
        <v>44473</v>
      </c>
      <c r="W212" s="41">
        <v>44942</v>
      </c>
      <c r="X212" s="41">
        <v>45512</v>
      </c>
      <c r="Y212" s="41">
        <v>46073</v>
      </c>
      <c r="Z212" s="41">
        <v>46594</v>
      </c>
      <c r="AA212" s="41">
        <v>47097</v>
      </c>
      <c r="AB212" s="41">
        <v>47591</v>
      </c>
      <c r="AC212" s="41">
        <v>48113</v>
      </c>
      <c r="AD212" s="41">
        <v>48608</v>
      </c>
      <c r="AE212" s="41">
        <v>49068</v>
      </c>
      <c r="AF212" s="41">
        <v>49519</v>
      </c>
      <c r="AG212" s="41">
        <v>49964</v>
      </c>
      <c r="AH212" s="41">
        <v>50385</v>
      </c>
      <c r="AI212" s="41">
        <v>50805</v>
      </c>
      <c r="AJ212" s="41">
        <v>51202</v>
      </c>
      <c r="AK212" s="41">
        <v>51586</v>
      </c>
      <c r="AL212" s="41">
        <v>51972</v>
      </c>
      <c r="AM212" s="41">
        <v>52333</v>
      </c>
      <c r="AN212" s="41">
        <v>52704</v>
      </c>
      <c r="AO212" s="41">
        <v>53080</v>
      </c>
      <c r="AP212" s="41">
        <v>53440</v>
      </c>
      <c r="AQ212" s="41">
        <v>53815</v>
      </c>
      <c r="AR212" s="41">
        <v>54185</v>
      </c>
      <c r="AS212" s="41">
        <v>54535</v>
      </c>
    </row>
    <row r="213" spans="1:45">
      <c r="A213" s="38" t="s">
        <v>542</v>
      </c>
      <c r="B213" s="38" t="s">
        <v>543</v>
      </c>
      <c r="C213" s="41">
        <v>101563</v>
      </c>
      <c r="D213" s="41">
        <v>102361</v>
      </c>
      <c r="E213" s="41">
        <v>103065</v>
      </c>
      <c r="F213" s="41">
        <v>103656</v>
      </c>
      <c r="G213" s="41">
        <v>104280</v>
      </c>
      <c r="H213" s="41">
        <v>104856</v>
      </c>
      <c r="I213" s="41">
        <v>105255</v>
      </c>
      <c r="J213" s="41">
        <v>105779</v>
      </c>
      <c r="K213" s="41">
        <v>106331</v>
      </c>
      <c r="L213" s="41">
        <v>106876</v>
      </c>
      <c r="M213" s="41">
        <v>107922</v>
      </c>
      <c r="N213" s="41">
        <v>108261</v>
      </c>
      <c r="O213" s="41">
        <v>108567</v>
      </c>
      <c r="P213" s="41">
        <v>109167</v>
      </c>
      <c r="Q213" s="41">
        <v>109606</v>
      </c>
      <c r="R213" s="41">
        <v>110248</v>
      </c>
      <c r="S213" s="41">
        <v>110799</v>
      </c>
      <c r="T213" s="41">
        <v>111358</v>
      </c>
      <c r="U213" s="41">
        <v>112103</v>
      </c>
      <c r="V213" s="41">
        <v>112739</v>
      </c>
      <c r="W213" s="41">
        <v>113301</v>
      </c>
      <c r="X213" s="41">
        <v>113974</v>
      </c>
      <c r="Y213" s="41">
        <v>114644</v>
      </c>
      <c r="Z213" s="41">
        <v>115291</v>
      </c>
      <c r="AA213" s="41">
        <v>115897</v>
      </c>
      <c r="AB213" s="41">
        <v>116479</v>
      </c>
      <c r="AC213" s="41">
        <v>117084</v>
      </c>
      <c r="AD213" s="41">
        <v>117696</v>
      </c>
      <c r="AE213" s="41">
        <v>118284</v>
      </c>
      <c r="AF213" s="41">
        <v>118855</v>
      </c>
      <c r="AG213" s="41">
        <v>119438</v>
      </c>
      <c r="AH213" s="41">
        <v>120030</v>
      </c>
      <c r="AI213" s="41">
        <v>120652</v>
      </c>
      <c r="AJ213" s="41">
        <v>121251</v>
      </c>
      <c r="AK213" s="41">
        <v>121815</v>
      </c>
      <c r="AL213" s="41">
        <v>122427</v>
      </c>
      <c r="AM213" s="41">
        <v>123034</v>
      </c>
      <c r="AN213" s="41">
        <v>123655</v>
      </c>
      <c r="AO213" s="41">
        <v>124240</v>
      </c>
      <c r="AP213" s="41">
        <v>124817</v>
      </c>
      <c r="AQ213" s="41">
        <v>125412</v>
      </c>
      <c r="AR213" s="41">
        <v>125992</v>
      </c>
      <c r="AS213" s="41">
        <v>126531</v>
      </c>
    </row>
    <row r="214" spans="1:45">
      <c r="A214" s="38" t="s">
        <v>544</v>
      </c>
      <c r="B214" s="38" t="s">
        <v>545</v>
      </c>
      <c r="C214" s="41">
        <v>36227</v>
      </c>
      <c r="D214" s="41">
        <v>36642</v>
      </c>
      <c r="E214" s="41">
        <v>36867</v>
      </c>
      <c r="F214" s="41">
        <v>37221</v>
      </c>
      <c r="G214" s="41">
        <v>37812</v>
      </c>
      <c r="H214" s="41">
        <v>38557</v>
      </c>
      <c r="I214" s="41">
        <v>39272</v>
      </c>
      <c r="J214" s="41">
        <v>40039</v>
      </c>
      <c r="K214" s="41">
        <v>40577</v>
      </c>
      <c r="L214" s="41">
        <v>41180</v>
      </c>
      <c r="M214" s="41">
        <v>41803</v>
      </c>
      <c r="N214" s="41">
        <v>42053</v>
      </c>
      <c r="O214" s="41">
        <v>42408</v>
      </c>
      <c r="P214" s="41">
        <v>42939</v>
      </c>
      <c r="Q214" s="41">
        <v>43488</v>
      </c>
      <c r="R214" s="41">
        <v>43839</v>
      </c>
      <c r="S214" s="41">
        <v>44357</v>
      </c>
      <c r="T214" s="41">
        <v>44632</v>
      </c>
      <c r="U214" s="41">
        <v>45122</v>
      </c>
      <c r="V214" s="41">
        <v>45548</v>
      </c>
      <c r="W214" s="41">
        <v>45948</v>
      </c>
      <c r="X214" s="41">
        <v>46390</v>
      </c>
      <c r="Y214" s="41">
        <v>46831</v>
      </c>
      <c r="Z214" s="41">
        <v>47258</v>
      </c>
      <c r="AA214" s="41">
        <v>47651</v>
      </c>
      <c r="AB214" s="41">
        <v>48023</v>
      </c>
      <c r="AC214" s="41">
        <v>48420</v>
      </c>
      <c r="AD214" s="41">
        <v>48806</v>
      </c>
      <c r="AE214" s="41">
        <v>49187</v>
      </c>
      <c r="AF214" s="41">
        <v>49555</v>
      </c>
      <c r="AG214" s="41">
        <v>49940</v>
      </c>
      <c r="AH214" s="41">
        <v>50327</v>
      </c>
      <c r="AI214" s="41">
        <v>50718</v>
      </c>
      <c r="AJ214" s="41">
        <v>51105</v>
      </c>
      <c r="AK214" s="41">
        <v>51491</v>
      </c>
      <c r="AL214" s="41">
        <v>51904</v>
      </c>
      <c r="AM214" s="41">
        <v>52312</v>
      </c>
      <c r="AN214" s="41">
        <v>52713</v>
      </c>
      <c r="AO214" s="41">
        <v>53117</v>
      </c>
      <c r="AP214" s="41">
        <v>53517</v>
      </c>
      <c r="AQ214" s="41">
        <v>53932</v>
      </c>
      <c r="AR214" s="41">
        <v>54339</v>
      </c>
      <c r="AS214" s="41">
        <v>54729</v>
      </c>
    </row>
    <row r="215" spans="1:45">
      <c r="A215" s="38" t="s">
        <v>546</v>
      </c>
      <c r="B215" s="38" t="s">
        <v>547</v>
      </c>
      <c r="C215" s="41">
        <v>31388</v>
      </c>
      <c r="D215" s="41">
        <v>31466</v>
      </c>
      <c r="E215" s="41">
        <v>31445</v>
      </c>
      <c r="F215" s="41">
        <v>31159</v>
      </c>
      <c r="G215" s="41">
        <v>31280</v>
      </c>
      <c r="H215" s="41">
        <v>31304</v>
      </c>
      <c r="I215" s="41">
        <v>31710</v>
      </c>
      <c r="J215" s="41">
        <v>31869</v>
      </c>
      <c r="K215" s="41">
        <v>32065</v>
      </c>
      <c r="L215" s="41">
        <v>32291</v>
      </c>
      <c r="M215" s="41">
        <v>32516</v>
      </c>
      <c r="N215" s="41">
        <v>32780</v>
      </c>
      <c r="O215" s="41">
        <v>33198</v>
      </c>
      <c r="P215" s="41">
        <v>33487</v>
      </c>
      <c r="Q215" s="41">
        <v>33772</v>
      </c>
      <c r="R215" s="41">
        <v>34167</v>
      </c>
      <c r="S215" s="41">
        <v>34302</v>
      </c>
      <c r="T215" s="41">
        <v>34591</v>
      </c>
      <c r="U215" s="41">
        <v>34732</v>
      </c>
      <c r="V215" s="41">
        <v>34832</v>
      </c>
      <c r="W215" s="41">
        <v>34904</v>
      </c>
      <c r="X215" s="41">
        <v>34999</v>
      </c>
      <c r="Y215" s="41">
        <v>35105</v>
      </c>
      <c r="Z215" s="41">
        <v>35206</v>
      </c>
      <c r="AA215" s="41">
        <v>35296</v>
      </c>
      <c r="AB215" s="41">
        <v>35400</v>
      </c>
      <c r="AC215" s="41">
        <v>35510</v>
      </c>
      <c r="AD215" s="41">
        <v>35634</v>
      </c>
      <c r="AE215" s="41">
        <v>35740</v>
      </c>
      <c r="AF215" s="41">
        <v>35857</v>
      </c>
      <c r="AG215" s="41">
        <v>35979</v>
      </c>
      <c r="AH215" s="41">
        <v>36098</v>
      </c>
      <c r="AI215" s="41">
        <v>36209</v>
      </c>
      <c r="AJ215" s="41">
        <v>36308</v>
      </c>
      <c r="AK215" s="41">
        <v>36410</v>
      </c>
      <c r="AL215" s="41">
        <v>36515</v>
      </c>
      <c r="AM215" s="41">
        <v>36610</v>
      </c>
      <c r="AN215" s="41">
        <v>36703</v>
      </c>
      <c r="AO215" s="41">
        <v>36788</v>
      </c>
      <c r="AP215" s="41">
        <v>36883</v>
      </c>
      <c r="AQ215" s="41">
        <v>36981</v>
      </c>
      <c r="AR215" s="41">
        <v>37084</v>
      </c>
      <c r="AS215" s="41">
        <v>37175</v>
      </c>
    </row>
    <row r="216" spans="1:45">
      <c r="A216" s="38" t="s">
        <v>548</v>
      </c>
      <c r="B216" s="38" t="s">
        <v>549</v>
      </c>
      <c r="C216" s="41">
        <v>43444</v>
      </c>
      <c r="D216" s="41">
        <v>43693</v>
      </c>
      <c r="E216" s="41">
        <v>43884</v>
      </c>
      <c r="F216" s="41">
        <v>44095</v>
      </c>
      <c r="G216" s="41">
        <v>44206</v>
      </c>
      <c r="H216" s="41">
        <v>44657</v>
      </c>
      <c r="I216" s="41">
        <v>44805</v>
      </c>
      <c r="J216" s="41">
        <v>45109</v>
      </c>
      <c r="K216" s="41">
        <v>45419</v>
      </c>
      <c r="L216" s="41">
        <v>45647</v>
      </c>
      <c r="M216" s="41">
        <v>45752</v>
      </c>
      <c r="N216" s="41">
        <v>45928</v>
      </c>
      <c r="O216" s="41">
        <v>46384</v>
      </c>
      <c r="P216" s="41">
        <v>46771</v>
      </c>
      <c r="Q216" s="41">
        <v>47038</v>
      </c>
      <c r="R216" s="41">
        <v>47339</v>
      </c>
      <c r="S216" s="41">
        <v>47799</v>
      </c>
      <c r="T216" s="41">
        <v>48407</v>
      </c>
      <c r="U216" s="41">
        <v>49030</v>
      </c>
      <c r="V216" s="41">
        <v>49567</v>
      </c>
      <c r="W216" s="41">
        <v>50090</v>
      </c>
      <c r="X216" s="41">
        <v>50702</v>
      </c>
      <c r="Y216" s="41">
        <v>51276</v>
      </c>
      <c r="Z216" s="41">
        <v>51854</v>
      </c>
      <c r="AA216" s="41">
        <v>52401</v>
      </c>
      <c r="AB216" s="41">
        <v>52945</v>
      </c>
      <c r="AC216" s="41">
        <v>53489</v>
      </c>
      <c r="AD216" s="41">
        <v>54016</v>
      </c>
      <c r="AE216" s="41">
        <v>54534</v>
      </c>
      <c r="AF216" s="41">
        <v>55035</v>
      </c>
      <c r="AG216" s="41">
        <v>55523</v>
      </c>
      <c r="AH216" s="41">
        <v>55993</v>
      </c>
      <c r="AI216" s="41">
        <v>56463</v>
      </c>
      <c r="AJ216" s="41">
        <v>56919</v>
      </c>
      <c r="AK216" s="41">
        <v>57359</v>
      </c>
      <c r="AL216" s="41">
        <v>57802</v>
      </c>
      <c r="AM216" s="41">
        <v>58218</v>
      </c>
      <c r="AN216" s="41">
        <v>58643</v>
      </c>
      <c r="AO216" s="41">
        <v>59059</v>
      </c>
      <c r="AP216" s="41">
        <v>59467</v>
      </c>
      <c r="AQ216" s="41">
        <v>59884</v>
      </c>
      <c r="AR216" s="41">
        <v>60284</v>
      </c>
      <c r="AS216" s="41">
        <v>60673</v>
      </c>
    </row>
    <row r="217" spans="1:45">
      <c r="A217" s="38" t="s">
        <v>550</v>
      </c>
      <c r="B217" s="38" t="s">
        <v>551</v>
      </c>
      <c r="C217" s="41">
        <v>34930</v>
      </c>
      <c r="D217" s="41">
        <v>34631</v>
      </c>
      <c r="E217" s="41">
        <v>34543</v>
      </c>
      <c r="F217" s="41">
        <v>34416</v>
      </c>
      <c r="G217" s="41">
        <v>34646</v>
      </c>
      <c r="H217" s="41">
        <v>34937</v>
      </c>
      <c r="I217" s="41">
        <v>35141</v>
      </c>
      <c r="J217" s="41">
        <v>35455</v>
      </c>
      <c r="K217" s="41">
        <v>35550</v>
      </c>
      <c r="L217" s="41">
        <v>35810</v>
      </c>
      <c r="M217" s="41">
        <v>36317</v>
      </c>
      <c r="N217" s="41">
        <v>36670</v>
      </c>
      <c r="O217" s="41">
        <v>36868</v>
      </c>
      <c r="P217" s="41">
        <v>37109</v>
      </c>
      <c r="Q217" s="41">
        <v>37245</v>
      </c>
      <c r="R217" s="41">
        <v>37645</v>
      </c>
      <c r="S217" s="41">
        <v>37734</v>
      </c>
      <c r="T217" s="41">
        <v>37636</v>
      </c>
      <c r="U217" s="41">
        <v>37631</v>
      </c>
      <c r="V217" s="41">
        <v>37619</v>
      </c>
      <c r="W217" s="41">
        <v>37566</v>
      </c>
      <c r="X217" s="41">
        <v>37606</v>
      </c>
      <c r="Y217" s="41">
        <v>37633</v>
      </c>
      <c r="Z217" s="41">
        <v>37651</v>
      </c>
      <c r="AA217" s="41">
        <v>37673</v>
      </c>
      <c r="AB217" s="41">
        <v>37680</v>
      </c>
      <c r="AC217" s="41">
        <v>37710</v>
      </c>
      <c r="AD217" s="41">
        <v>37726</v>
      </c>
      <c r="AE217" s="41">
        <v>37736</v>
      </c>
      <c r="AF217" s="41">
        <v>37768</v>
      </c>
      <c r="AG217" s="41">
        <v>37805</v>
      </c>
      <c r="AH217" s="41">
        <v>37845</v>
      </c>
      <c r="AI217" s="41">
        <v>37886</v>
      </c>
      <c r="AJ217" s="41">
        <v>37933</v>
      </c>
      <c r="AK217" s="41">
        <v>37998</v>
      </c>
      <c r="AL217" s="41">
        <v>38061</v>
      </c>
      <c r="AM217" s="41">
        <v>38122</v>
      </c>
      <c r="AN217" s="41">
        <v>38186</v>
      </c>
      <c r="AO217" s="41">
        <v>38248</v>
      </c>
      <c r="AP217" s="41">
        <v>38311</v>
      </c>
      <c r="AQ217" s="41">
        <v>38381</v>
      </c>
      <c r="AR217" s="41">
        <v>38446</v>
      </c>
      <c r="AS217" s="41">
        <v>38506</v>
      </c>
    </row>
    <row r="218" spans="1:45">
      <c r="A218" s="38" t="s">
        <v>552</v>
      </c>
      <c r="B218" s="38" t="s">
        <v>553</v>
      </c>
      <c r="C218" s="41">
        <v>13456</v>
      </c>
      <c r="D218" s="41">
        <v>13727</v>
      </c>
      <c r="E218" s="41">
        <v>13880</v>
      </c>
      <c r="F218" s="41">
        <v>14029</v>
      </c>
      <c r="G218" s="41">
        <v>14334</v>
      </c>
      <c r="H218" s="41">
        <v>14554</v>
      </c>
      <c r="I218" s="41">
        <v>14751</v>
      </c>
      <c r="J218" s="41">
        <v>14958</v>
      </c>
      <c r="K218" s="41">
        <v>14998</v>
      </c>
      <c r="L218" s="41">
        <v>15172</v>
      </c>
      <c r="M218" s="41">
        <v>15070</v>
      </c>
      <c r="N218" s="41">
        <v>14871</v>
      </c>
      <c r="O218" s="41">
        <v>15272</v>
      </c>
      <c r="P218" s="41">
        <v>15599</v>
      </c>
      <c r="Q218" s="41">
        <v>15718</v>
      </c>
      <c r="R218" s="41">
        <v>16095</v>
      </c>
      <c r="S218" s="41">
        <v>16385</v>
      </c>
      <c r="T218" s="41">
        <v>16552</v>
      </c>
      <c r="U218" s="41">
        <v>16805</v>
      </c>
      <c r="V218" s="41">
        <v>17003</v>
      </c>
      <c r="W218" s="41">
        <v>17203</v>
      </c>
      <c r="X218" s="41">
        <v>17416</v>
      </c>
      <c r="Y218" s="41">
        <v>17629</v>
      </c>
      <c r="Z218" s="41">
        <v>17839</v>
      </c>
      <c r="AA218" s="41">
        <v>18023</v>
      </c>
      <c r="AB218" s="41">
        <v>18208</v>
      </c>
      <c r="AC218" s="41">
        <v>18396</v>
      </c>
      <c r="AD218" s="41">
        <v>18573</v>
      </c>
      <c r="AE218" s="41">
        <v>18748</v>
      </c>
      <c r="AF218" s="41">
        <v>18914</v>
      </c>
      <c r="AG218" s="41">
        <v>19073</v>
      </c>
      <c r="AH218" s="41">
        <v>19231</v>
      </c>
      <c r="AI218" s="41">
        <v>19379</v>
      </c>
      <c r="AJ218" s="41">
        <v>19529</v>
      </c>
      <c r="AK218" s="41">
        <v>19672</v>
      </c>
      <c r="AL218" s="41">
        <v>19814</v>
      </c>
      <c r="AM218" s="41">
        <v>19952</v>
      </c>
      <c r="AN218" s="41">
        <v>20093</v>
      </c>
      <c r="AO218" s="41">
        <v>20234</v>
      </c>
      <c r="AP218" s="41">
        <v>20368</v>
      </c>
      <c r="AQ218" s="41">
        <v>20513</v>
      </c>
      <c r="AR218" s="41">
        <v>20651</v>
      </c>
      <c r="AS218" s="41">
        <v>20783</v>
      </c>
    </row>
    <row r="219" spans="1:45">
      <c r="A219" s="38" t="s">
        <v>554</v>
      </c>
      <c r="B219" s="38" t="s">
        <v>555</v>
      </c>
      <c r="C219" s="41">
        <v>21340</v>
      </c>
      <c r="D219" s="41">
        <v>21367</v>
      </c>
      <c r="E219" s="41">
        <v>21573</v>
      </c>
      <c r="F219" s="41">
        <v>21815</v>
      </c>
      <c r="G219" s="41">
        <v>22050</v>
      </c>
      <c r="H219" s="41">
        <v>22100</v>
      </c>
      <c r="I219" s="41">
        <v>22225</v>
      </c>
      <c r="J219" s="41">
        <v>22289</v>
      </c>
      <c r="K219" s="41">
        <v>22406</v>
      </c>
      <c r="L219" s="41">
        <v>22401</v>
      </c>
      <c r="M219" s="41">
        <v>22550</v>
      </c>
      <c r="N219" s="41">
        <v>22742</v>
      </c>
      <c r="O219" s="41">
        <v>22862</v>
      </c>
      <c r="P219" s="41">
        <v>23139</v>
      </c>
      <c r="Q219" s="41">
        <v>23412</v>
      </c>
      <c r="R219" s="41">
        <v>23672</v>
      </c>
      <c r="S219" s="41">
        <v>23995</v>
      </c>
      <c r="T219" s="41">
        <v>24305</v>
      </c>
      <c r="U219" s="41">
        <v>24614</v>
      </c>
      <c r="V219" s="41">
        <v>24891</v>
      </c>
      <c r="W219" s="41">
        <v>25147</v>
      </c>
      <c r="X219" s="41">
        <v>25428</v>
      </c>
      <c r="Y219" s="41">
        <v>25705</v>
      </c>
      <c r="Z219" s="41">
        <v>25969</v>
      </c>
      <c r="AA219" s="41">
        <v>26222</v>
      </c>
      <c r="AB219" s="41">
        <v>26463</v>
      </c>
      <c r="AC219" s="41">
        <v>26699</v>
      </c>
      <c r="AD219" s="41">
        <v>26923</v>
      </c>
      <c r="AE219" s="41">
        <v>27134</v>
      </c>
      <c r="AF219" s="41">
        <v>27342</v>
      </c>
      <c r="AG219" s="41">
        <v>27543</v>
      </c>
      <c r="AH219" s="41">
        <v>27739</v>
      </c>
      <c r="AI219" s="41">
        <v>27920</v>
      </c>
      <c r="AJ219" s="41">
        <v>28098</v>
      </c>
      <c r="AK219" s="41">
        <v>28268</v>
      </c>
      <c r="AL219" s="41">
        <v>28433</v>
      </c>
      <c r="AM219" s="41">
        <v>28597</v>
      </c>
      <c r="AN219" s="41">
        <v>28748</v>
      </c>
      <c r="AO219" s="41">
        <v>28902</v>
      </c>
      <c r="AP219" s="41">
        <v>29047</v>
      </c>
      <c r="AQ219" s="41">
        <v>29201</v>
      </c>
      <c r="AR219" s="41">
        <v>29356</v>
      </c>
      <c r="AS219" s="41">
        <v>29491</v>
      </c>
    </row>
    <row r="220" spans="1:45">
      <c r="A220" s="38" t="s">
        <v>556</v>
      </c>
      <c r="B220" s="38" t="s">
        <v>557</v>
      </c>
      <c r="C220" s="41">
        <v>93851</v>
      </c>
      <c r="D220" s="41">
        <v>93830</v>
      </c>
      <c r="E220" s="41">
        <v>94346</v>
      </c>
      <c r="F220" s="41">
        <v>94741</v>
      </c>
      <c r="G220" s="41">
        <v>95617</v>
      </c>
      <c r="H220" s="41">
        <v>96712</v>
      </c>
      <c r="I220" s="41">
        <v>97601</v>
      </c>
      <c r="J220" s="41">
        <v>98925</v>
      </c>
      <c r="K220" s="41">
        <v>100005</v>
      </c>
      <c r="L220" s="41">
        <v>101256</v>
      </c>
      <c r="M220" s="41">
        <v>102629</v>
      </c>
      <c r="N220" s="41">
        <v>103795</v>
      </c>
      <c r="O220" s="41">
        <v>104891</v>
      </c>
      <c r="P220" s="41">
        <v>106304</v>
      </c>
      <c r="Q220" s="41">
        <v>107976</v>
      </c>
      <c r="R220" s="41">
        <v>109557</v>
      </c>
      <c r="S220" s="41">
        <v>110923</v>
      </c>
      <c r="T220" s="41">
        <v>112275</v>
      </c>
      <c r="U220" s="41">
        <v>113873</v>
      </c>
      <c r="V220" s="41">
        <v>115311</v>
      </c>
      <c r="W220" s="41">
        <v>116713</v>
      </c>
      <c r="X220" s="41">
        <v>117859</v>
      </c>
      <c r="Y220" s="41">
        <v>118924</v>
      </c>
      <c r="Z220" s="41">
        <v>119946</v>
      </c>
      <c r="AA220" s="41">
        <v>120907</v>
      </c>
      <c r="AB220" s="41">
        <v>121855</v>
      </c>
      <c r="AC220" s="41">
        <v>122807</v>
      </c>
      <c r="AD220" s="41">
        <v>123735</v>
      </c>
      <c r="AE220" s="41">
        <v>124657</v>
      </c>
      <c r="AF220" s="41">
        <v>125576</v>
      </c>
      <c r="AG220" s="41">
        <v>126538</v>
      </c>
      <c r="AH220" s="41">
        <v>127515</v>
      </c>
      <c r="AI220" s="41">
        <v>128489</v>
      </c>
      <c r="AJ220" s="41">
        <v>129444</v>
      </c>
      <c r="AK220" s="41">
        <v>130388</v>
      </c>
      <c r="AL220" s="41">
        <v>131381</v>
      </c>
      <c r="AM220" s="41">
        <v>132365</v>
      </c>
      <c r="AN220" s="41">
        <v>133305</v>
      </c>
      <c r="AO220" s="41">
        <v>134185</v>
      </c>
      <c r="AP220" s="41">
        <v>135042</v>
      </c>
      <c r="AQ220" s="41">
        <v>135917</v>
      </c>
      <c r="AR220" s="41">
        <v>136754</v>
      </c>
      <c r="AS220" s="41">
        <v>137506</v>
      </c>
    </row>
    <row r="221" spans="1:45">
      <c r="A221" s="38" t="s">
        <v>558</v>
      </c>
      <c r="B221" s="38" t="s">
        <v>559</v>
      </c>
      <c r="C221" s="41">
        <v>115453</v>
      </c>
      <c r="D221" s="41">
        <v>115393</v>
      </c>
      <c r="E221" s="41">
        <v>115599</v>
      </c>
      <c r="F221" s="41">
        <v>115784</v>
      </c>
      <c r="G221" s="41">
        <v>116133</v>
      </c>
      <c r="H221" s="41">
        <v>116568</v>
      </c>
      <c r="I221" s="41">
        <v>116798</v>
      </c>
      <c r="J221" s="41">
        <v>117710</v>
      </c>
      <c r="K221" s="41">
        <v>118694</v>
      </c>
      <c r="L221" s="41">
        <v>119853</v>
      </c>
      <c r="M221" s="41">
        <v>120874</v>
      </c>
      <c r="N221" s="41">
        <v>121371</v>
      </c>
      <c r="O221" s="41">
        <v>122009</v>
      </c>
      <c r="P221" s="41">
        <v>122789</v>
      </c>
      <c r="Q221" s="41">
        <v>123575</v>
      </c>
      <c r="R221" s="41">
        <v>124761</v>
      </c>
      <c r="S221" s="41">
        <v>125703</v>
      </c>
      <c r="T221" s="41">
        <v>126246</v>
      </c>
      <c r="U221" s="41">
        <v>127137</v>
      </c>
      <c r="V221" s="41">
        <v>127869</v>
      </c>
      <c r="W221" s="41">
        <v>128571</v>
      </c>
      <c r="X221" s="41">
        <v>129512</v>
      </c>
      <c r="Y221" s="41">
        <v>130399</v>
      </c>
      <c r="Z221" s="41">
        <v>131269</v>
      </c>
      <c r="AA221" s="41">
        <v>132109</v>
      </c>
      <c r="AB221" s="41">
        <v>132943</v>
      </c>
      <c r="AC221" s="41">
        <v>133795</v>
      </c>
      <c r="AD221" s="41">
        <v>134634</v>
      </c>
      <c r="AE221" s="41">
        <v>135490</v>
      </c>
      <c r="AF221" s="41">
        <v>136332</v>
      </c>
      <c r="AG221" s="41">
        <v>137195</v>
      </c>
      <c r="AH221" s="41">
        <v>138105</v>
      </c>
      <c r="AI221" s="41">
        <v>139025</v>
      </c>
      <c r="AJ221" s="41">
        <v>139928</v>
      </c>
      <c r="AK221" s="41">
        <v>140825</v>
      </c>
      <c r="AL221" s="41">
        <v>141757</v>
      </c>
      <c r="AM221" s="41">
        <v>142730</v>
      </c>
      <c r="AN221" s="41">
        <v>143684</v>
      </c>
      <c r="AO221" s="41">
        <v>144584</v>
      </c>
      <c r="AP221" s="41">
        <v>145469</v>
      </c>
      <c r="AQ221" s="41">
        <v>146359</v>
      </c>
      <c r="AR221" s="41">
        <v>147253</v>
      </c>
      <c r="AS221" s="41">
        <v>148104</v>
      </c>
    </row>
    <row r="222" spans="1:45">
      <c r="A222" s="38" t="s">
        <v>560</v>
      </c>
      <c r="B222" s="38" t="s">
        <v>561</v>
      </c>
      <c r="C222" s="41">
        <v>46503</v>
      </c>
      <c r="D222" s="41">
        <v>46970</v>
      </c>
      <c r="E222" s="41">
        <v>47385</v>
      </c>
      <c r="F222" s="41">
        <v>47782</v>
      </c>
      <c r="G222" s="41">
        <v>47998</v>
      </c>
      <c r="H222" s="41">
        <v>48160</v>
      </c>
      <c r="I222" s="41">
        <v>48249</v>
      </c>
      <c r="J222" s="41">
        <v>48519</v>
      </c>
      <c r="K222" s="41">
        <v>48608</v>
      </c>
      <c r="L222" s="41">
        <v>48785</v>
      </c>
      <c r="M222" s="41">
        <v>49274</v>
      </c>
      <c r="N222" s="41">
        <v>49379</v>
      </c>
      <c r="O222" s="41">
        <v>49288</v>
      </c>
      <c r="P222" s="41">
        <v>49416</v>
      </c>
      <c r="Q222" s="41">
        <v>49501</v>
      </c>
      <c r="R222" s="41">
        <v>49669</v>
      </c>
      <c r="S222" s="41">
        <v>49933</v>
      </c>
      <c r="T222" s="41">
        <v>50170</v>
      </c>
      <c r="U222" s="41">
        <v>50505</v>
      </c>
      <c r="V222" s="41">
        <v>50775</v>
      </c>
      <c r="W222" s="41">
        <v>51046</v>
      </c>
      <c r="X222" s="41">
        <v>51372</v>
      </c>
      <c r="Y222" s="41">
        <v>51655</v>
      </c>
      <c r="Z222" s="41">
        <v>51960</v>
      </c>
      <c r="AA222" s="41">
        <v>52241</v>
      </c>
      <c r="AB222" s="41">
        <v>52517</v>
      </c>
      <c r="AC222" s="41">
        <v>52815</v>
      </c>
      <c r="AD222" s="41">
        <v>53087</v>
      </c>
      <c r="AE222" s="41">
        <v>53360</v>
      </c>
      <c r="AF222" s="41">
        <v>53620</v>
      </c>
      <c r="AG222" s="41">
        <v>53887</v>
      </c>
      <c r="AH222" s="41">
        <v>54141</v>
      </c>
      <c r="AI222" s="41">
        <v>54396</v>
      </c>
      <c r="AJ222" s="41">
        <v>54635</v>
      </c>
      <c r="AK222" s="41">
        <v>54866</v>
      </c>
      <c r="AL222" s="41">
        <v>55086</v>
      </c>
      <c r="AM222" s="41">
        <v>55295</v>
      </c>
      <c r="AN222" s="41">
        <v>55505</v>
      </c>
      <c r="AO222" s="41">
        <v>55699</v>
      </c>
      <c r="AP222" s="41">
        <v>55886</v>
      </c>
      <c r="AQ222" s="41">
        <v>56081</v>
      </c>
      <c r="AR222" s="41">
        <v>56270</v>
      </c>
      <c r="AS222" s="41">
        <v>56431</v>
      </c>
    </row>
    <row r="223" spans="1:45">
      <c r="A223" s="38" t="s">
        <v>562</v>
      </c>
      <c r="B223" s="38" t="s">
        <v>563</v>
      </c>
      <c r="C223" s="41">
        <v>44193</v>
      </c>
      <c r="D223" s="41">
        <v>44718</v>
      </c>
      <c r="E223" s="41">
        <v>45054</v>
      </c>
      <c r="F223" s="41">
        <v>45581</v>
      </c>
      <c r="G223" s="41">
        <v>46072</v>
      </c>
      <c r="H223" s="41">
        <v>46533</v>
      </c>
      <c r="I223" s="41">
        <v>47168</v>
      </c>
      <c r="J223" s="41">
        <v>47576</v>
      </c>
      <c r="K223" s="41">
        <v>47672</v>
      </c>
      <c r="L223" s="41">
        <v>48019</v>
      </c>
      <c r="M223" s="41">
        <v>48744</v>
      </c>
      <c r="N223" s="41">
        <v>49299</v>
      </c>
      <c r="O223" s="41">
        <v>49854</v>
      </c>
      <c r="P223" s="41">
        <v>50544</v>
      </c>
      <c r="Q223" s="41">
        <v>51166</v>
      </c>
      <c r="R223" s="41">
        <v>51751</v>
      </c>
      <c r="S223" s="41">
        <v>52276</v>
      </c>
      <c r="T223" s="41">
        <v>52722</v>
      </c>
      <c r="U223" s="41">
        <v>53299</v>
      </c>
      <c r="V223" s="41">
        <v>53803</v>
      </c>
      <c r="W223" s="41">
        <v>54282</v>
      </c>
      <c r="X223" s="41">
        <v>54816</v>
      </c>
      <c r="Y223" s="41">
        <v>55343</v>
      </c>
      <c r="Z223" s="41">
        <v>55851</v>
      </c>
      <c r="AA223" s="41">
        <v>56318</v>
      </c>
      <c r="AB223" s="41">
        <v>56766</v>
      </c>
      <c r="AC223" s="41">
        <v>57235</v>
      </c>
      <c r="AD223" s="41">
        <v>57700</v>
      </c>
      <c r="AE223" s="41">
        <v>58145</v>
      </c>
      <c r="AF223" s="41">
        <v>58573</v>
      </c>
      <c r="AG223" s="41">
        <v>58997</v>
      </c>
      <c r="AH223" s="41">
        <v>59415</v>
      </c>
      <c r="AI223" s="41">
        <v>59834</v>
      </c>
      <c r="AJ223" s="41">
        <v>60251</v>
      </c>
      <c r="AK223" s="41">
        <v>60662</v>
      </c>
      <c r="AL223" s="41">
        <v>61070</v>
      </c>
      <c r="AM223" s="41">
        <v>61462</v>
      </c>
      <c r="AN223" s="41">
        <v>61847</v>
      </c>
      <c r="AO223" s="41">
        <v>62219</v>
      </c>
      <c r="AP223" s="41">
        <v>62594</v>
      </c>
      <c r="AQ223" s="41">
        <v>62978</v>
      </c>
      <c r="AR223" s="41">
        <v>63333</v>
      </c>
      <c r="AS223" s="41">
        <v>63669</v>
      </c>
    </row>
    <row r="224" spans="1:45">
      <c r="A224" s="38" t="s">
        <v>564</v>
      </c>
      <c r="B224" s="38" t="s">
        <v>565</v>
      </c>
      <c r="C224" s="41">
        <v>116096</v>
      </c>
      <c r="D224" s="41">
        <v>115845</v>
      </c>
      <c r="E224" s="41">
        <v>115849</v>
      </c>
      <c r="F224" s="41">
        <v>115740</v>
      </c>
      <c r="G224" s="41">
        <v>115462</v>
      </c>
      <c r="H224" s="41">
        <v>115471</v>
      </c>
      <c r="I224" s="41">
        <v>115551</v>
      </c>
      <c r="J224" s="41">
        <v>115845</v>
      </c>
      <c r="K224" s="41">
        <v>116086</v>
      </c>
      <c r="L224" s="41">
        <v>116391</v>
      </c>
      <c r="M224" s="41">
        <v>117753</v>
      </c>
      <c r="N224" s="41">
        <v>118055</v>
      </c>
      <c r="O224" s="41">
        <v>118075</v>
      </c>
      <c r="P224" s="41">
        <v>118584</v>
      </c>
      <c r="Q224" s="41">
        <v>118939</v>
      </c>
      <c r="R224" s="41">
        <v>119473</v>
      </c>
      <c r="S224" s="41">
        <v>119852</v>
      </c>
      <c r="T224" s="41">
        <v>120341</v>
      </c>
      <c r="U224" s="41">
        <v>120920</v>
      </c>
      <c r="V224" s="41">
        <v>121370</v>
      </c>
      <c r="W224" s="41">
        <v>121836</v>
      </c>
      <c r="X224" s="41">
        <v>122386</v>
      </c>
      <c r="Y224" s="41">
        <v>122872</v>
      </c>
      <c r="Z224" s="41">
        <v>123359</v>
      </c>
      <c r="AA224" s="41">
        <v>123804</v>
      </c>
      <c r="AB224" s="41">
        <v>124300</v>
      </c>
      <c r="AC224" s="41">
        <v>124844</v>
      </c>
      <c r="AD224" s="41">
        <v>125358</v>
      </c>
      <c r="AE224" s="41">
        <v>125854</v>
      </c>
      <c r="AF224" s="41">
        <v>126376</v>
      </c>
      <c r="AG224" s="41">
        <v>126945</v>
      </c>
      <c r="AH224" s="41">
        <v>127488</v>
      </c>
      <c r="AI224" s="41">
        <v>128027</v>
      </c>
      <c r="AJ224" s="41">
        <v>128577</v>
      </c>
      <c r="AK224" s="41">
        <v>129132</v>
      </c>
      <c r="AL224" s="41">
        <v>129688</v>
      </c>
      <c r="AM224" s="41">
        <v>130217</v>
      </c>
      <c r="AN224" s="41">
        <v>130732</v>
      </c>
      <c r="AO224" s="41">
        <v>131236</v>
      </c>
      <c r="AP224" s="41">
        <v>131729</v>
      </c>
      <c r="AQ224" s="41">
        <v>132232</v>
      </c>
      <c r="AR224" s="41">
        <v>132704</v>
      </c>
      <c r="AS224" s="41">
        <v>133115</v>
      </c>
    </row>
    <row r="225" spans="1:45">
      <c r="A225" s="38" t="s">
        <v>566</v>
      </c>
      <c r="B225" s="38" t="s">
        <v>567</v>
      </c>
      <c r="C225" s="41">
        <v>30680</v>
      </c>
      <c r="D225" s="41">
        <v>30961</v>
      </c>
      <c r="E225" s="41">
        <v>31110</v>
      </c>
      <c r="F225" s="41">
        <v>31404</v>
      </c>
      <c r="G225" s="41">
        <v>31683</v>
      </c>
      <c r="H225" s="41">
        <v>32133</v>
      </c>
      <c r="I225" s="41">
        <v>32656</v>
      </c>
      <c r="J225" s="41">
        <v>33193</v>
      </c>
      <c r="K225" s="41">
        <v>33515</v>
      </c>
      <c r="L225" s="41">
        <v>33951</v>
      </c>
      <c r="M225" s="41">
        <v>34494</v>
      </c>
      <c r="N225" s="41">
        <v>34851</v>
      </c>
      <c r="O225" s="41">
        <v>35134</v>
      </c>
      <c r="P225" s="41">
        <v>35524</v>
      </c>
      <c r="Q225" s="41">
        <v>35862</v>
      </c>
      <c r="R225" s="41">
        <v>36169</v>
      </c>
      <c r="S225" s="41">
        <v>36580</v>
      </c>
      <c r="T225" s="41">
        <v>37102</v>
      </c>
      <c r="U225" s="41">
        <v>37612</v>
      </c>
      <c r="V225" s="41">
        <v>38051</v>
      </c>
      <c r="W225" s="41">
        <v>38430</v>
      </c>
      <c r="X225" s="41">
        <v>38881</v>
      </c>
      <c r="Y225" s="41">
        <v>39318</v>
      </c>
      <c r="Z225" s="41">
        <v>39759</v>
      </c>
      <c r="AA225" s="41">
        <v>40153</v>
      </c>
      <c r="AB225" s="41">
        <v>40520</v>
      </c>
      <c r="AC225" s="41">
        <v>40901</v>
      </c>
      <c r="AD225" s="41">
        <v>41266</v>
      </c>
      <c r="AE225" s="41">
        <v>41642</v>
      </c>
      <c r="AF225" s="41">
        <v>41980</v>
      </c>
      <c r="AG225" s="41">
        <v>42313</v>
      </c>
      <c r="AH225" s="41">
        <v>42630</v>
      </c>
      <c r="AI225" s="41">
        <v>42940</v>
      </c>
      <c r="AJ225" s="41">
        <v>43253</v>
      </c>
      <c r="AK225" s="41">
        <v>43543</v>
      </c>
      <c r="AL225" s="41">
        <v>43832</v>
      </c>
      <c r="AM225" s="41">
        <v>44109</v>
      </c>
      <c r="AN225" s="41">
        <v>44387</v>
      </c>
      <c r="AO225" s="41">
        <v>44654</v>
      </c>
      <c r="AP225" s="41">
        <v>44911</v>
      </c>
      <c r="AQ225" s="41">
        <v>45169</v>
      </c>
      <c r="AR225" s="41">
        <v>45419</v>
      </c>
      <c r="AS225" s="41">
        <v>45650</v>
      </c>
    </row>
    <row r="226" spans="1:45">
      <c r="A226" s="38" t="s">
        <v>568</v>
      </c>
      <c r="B226" s="38" t="s">
        <v>569</v>
      </c>
      <c r="C226" s="41">
        <v>44130</v>
      </c>
      <c r="D226" s="41">
        <v>44128</v>
      </c>
      <c r="E226" s="41">
        <v>44206</v>
      </c>
      <c r="F226" s="41">
        <v>44532</v>
      </c>
      <c r="G226" s="41">
        <v>44995</v>
      </c>
      <c r="H226" s="41">
        <v>45519</v>
      </c>
      <c r="I226" s="41">
        <v>45753</v>
      </c>
      <c r="J226" s="41">
        <v>45883</v>
      </c>
      <c r="K226" s="41">
        <v>46155</v>
      </c>
      <c r="L226" s="41">
        <v>46483</v>
      </c>
      <c r="M226" s="41">
        <v>47059</v>
      </c>
      <c r="N226" s="41">
        <v>47456</v>
      </c>
      <c r="O226" s="41">
        <v>47663</v>
      </c>
      <c r="P226" s="41">
        <v>48035</v>
      </c>
      <c r="Q226" s="41">
        <v>48236</v>
      </c>
      <c r="R226" s="41">
        <v>48507</v>
      </c>
      <c r="S226" s="41">
        <v>48733</v>
      </c>
      <c r="T226" s="41">
        <v>49087</v>
      </c>
      <c r="U226" s="41">
        <v>49440</v>
      </c>
      <c r="V226" s="41">
        <v>49709</v>
      </c>
      <c r="W226" s="41">
        <v>49991</v>
      </c>
      <c r="X226" s="41">
        <v>50333</v>
      </c>
      <c r="Y226" s="41">
        <v>50689</v>
      </c>
      <c r="Z226" s="41">
        <v>51026</v>
      </c>
      <c r="AA226" s="41">
        <v>51323</v>
      </c>
      <c r="AB226" s="41">
        <v>51636</v>
      </c>
      <c r="AC226" s="41">
        <v>51953</v>
      </c>
      <c r="AD226" s="41">
        <v>52270</v>
      </c>
      <c r="AE226" s="41">
        <v>52566</v>
      </c>
      <c r="AF226" s="41">
        <v>52857</v>
      </c>
      <c r="AG226" s="41">
        <v>53147</v>
      </c>
      <c r="AH226" s="41">
        <v>53431</v>
      </c>
      <c r="AI226" s="41">
        <v>53706</v>
      </c>
      <c r="AJ226" s="41">
        <v>53967</v>
      </c>
      <c r="AK226" s="41">
        <v>54243</v>
      </c>
      <c r="AL226" s="41">
        <v>54502</v>
      </c>
      <c r="AM226" s="41">
        <v>54758</v>
      </c>
      <c r="AN226" s="41">
        <v>55011</v>
      </c>
      <c r="AO226" s="41">
        <v>55266</v>
      </c>
      <c r="AP226" s="41">
        <v>55530</v>
      </c>
      <c r="AQ226" s="41">
        <v>55807</v>
      </c>
      <c r="AR226" s="41">
        <v>56089</v>
      </c>
      <c r="AS226" s="41">
        <v>56365</v>
      </c>
    </row>
    <row r="227" spans="1:45">
      <c r="A227" s="38" t="s">
        <v>570</v>
      </c>
      <c r="B227" s="38" t="s">
        <v>571</v>
      </c>
      <c r="C227" s="41">
        <v>215748</v>
      </c>
      <c r="D227" s="41">
        <v>216034</v>
      </c>
      <c r="E227" s="41">
        <v>216188</v>
      </c>
      <c r="F227" s="41">
        <v>217656</v>
      </c>
      <c r="G227" s="41">
        <v>219974</v>
      </c>
      <c r="H227" s="41">
        <v>220682</v>
      </c>
      <c r="I227" s="41">
        <v>221404</v>
      </c>
      <c r="J227" s="41">
        <v>222917</v>
      </c>
      <c r="K227" s="41">
        <v>224405</v>
      </c>
      <c r="L227" s="41">
        <v>226292</v>
      </c>
      <c r="M227" s="41">
        <v>228630</v>
      </c>
      <c r="N227" s="41">
        <v>230416</v>
      </c>
      <c r="O227" s="41">
        <v>231946</v>
      </c>
      <c r="P227" s="41">
        <v>233464</v>
      </c>
      <c r="Q227" s="41">
        <v>235608</v>
      </c>
      <c r="R227" s="41">
        <v>237562</v>
      </c>
      <c r="S227" s="41">
        <v>239193</v>
      </c>
      <c r="T227" s="41">
        <v>241477</v>
      </c>
      <c r="U227" s="41">
        <v>243055</v>
      </c>
      <c r="V227" s="41">
        <v>244582</v>
      </c>
      <c r="W227" s="41">
        <v>245924</v>
      </c>
      <c r="X227" s="41">
        <v>247343</v>
      </c>
      <c r="Y227" s="41">
        <v>248715</v>
      </c>
      <c r="Z227" s="41">
        <v>250051</v>
      </c>
      <c r="AA227" s="41">
        <v>251396</v>
      </c>
      <c r="AB227" s="41">
        <v>252779</v>
      </c>
      <c r="AC227" s="41">
        <v>254224</v>
      </c>
      <c r="AD227" s="41">
        <v>255708</v>
      </c>
      <c r="AE227" s="41">
        <v>257104</v>
      </c>
      <c r="AF227" s="41">
        <v>258520</v>
      </c>
      <c r="AG227" s="41">
        <v>259955</v>
      </c>
      <c r="AH227" s="41">
        <v>261498</v>
      </c>
      <c r="AI227" s="41">
        <v>262972</v>
      </c>
      <c r="AJ227" s="41">
        <v>264337</v>
      </c>
      <c r="AK227" s="41">
        <v>265723</v>
      </c>
      <c r="AL227" s="41">
        <v>267199</v>
      </c>
      <c r="AM227" s="41">
        <v>268672</v>
      </c>
      <c r="AN227" s="41">
        <v>270039</v>
      </c>
      <c r="AO227" s="41">
        <v>271292</v>
      </c>
      <c r="AP227" s="41">
        <v>272570</v>
      </c>
      <c r="AQ227" s="41">
        <v>273898</v>
      </c>
      <c r="AR227" s="41">
        <v>275194</v>
      </c>
      <c r="AS227" s="41">
        <v>276370</v>
      </c>
    </row>
    <row r="228" spans="1:45">
      <c r="A228" s="38" t="s">
        <v>572</v>
      </c>
      <c r="B228" s="38" t="s">
        <v>573</v>
      </c>
      <c r="C228" s="41">
        <v>116696</v>
      </c>
      <c r="D228" s="41">
        <v>117736</v>
      </c>
      <c r="E228" s="41">
        <v>118797</v>
      </c>
      <c r="F228" s="41">
        <v>120070</v>
      </c>
      <c r="G228" s="41">
        <v>121479</v>
      </c>
      <c r="H228" s="41">
        <v>123036</v>
      </c>
      <c r="I228" s="41">
        <v>124557</v>
      </c>
      <c r="J228" s="41">
        <v>125822</v>
      </c>
      <c r="K228" s="41">
        <v>126689</v>
      </c>
      <c r="L228" s="41">
        <v>127969</v>
      </c>
      <c r="M228" s="41">
        <v>129776</v>
      </c>
      <c r="N228" s="41">
        <v>130758</v>
      </c>
      <c r="O228" s="41">
        <v>131591</v>
      </c>
      <c r="P228" s="41">
        <v>132942</v>
      </c>
      <c r="Q228" s="41">
        <v>134101</v>
      </c>
      <c r="R228" s="41">
        <v>135452</v>
      </c>
      <c r="S228" s="41">
        <v>137305</v>
      </c>
      <c r="T228" s="41">
        <v>138998</v>
      </c>
      <c r="U228" s="41">
        <v>141085</v>
      </c>
      <c r="V228" s="41">
        <v>142954</v>
      </c>
      <c r="W228" s="41">
        <v>144748</v>
      </c>
      <c r="X228" s="41">
        <v>146680</v>
      </c>
      <c r="Y228" s="41">
        <v>148560</v>
      </c>
      <c r="Z228" s="41">
        <v>150419</v>
      </c>
      <c r="AA228" s="41">
        <v>152170</v>
      </c>
      <c r="AB228" s="41">
        <v>153863</v>
      </c>
      <c r="AC228" s="41">
        <v>155557</v>
      </c>
      <c r="AD228" s="41">
        <v>157211</v>
      </c>
      <c r="AE228" s="41">
        <v>158813</v>
      </c>
      <c r="AF228" s="41">
        <v>160361</v>
      </c>
      <c r="AG228" s="41">
        <v>161881</v>
      </c>
      <c r="AH228" s="41">
        <v>163378</v>
      </c>
      <c r="AI228" s="41">
        <v>164866</v>
      </c>
      <c r="AJ228" s="41">
        <v>166306</v>
      </c>
      <c r="AK228" s="41">
        <v>167729</v>
      </c>
      <c r="AL228" s="41">
        <v>169145</v>
      </c>
      <c r="AM228" s="41">
        <v>170519</v>
      </c>
      <c r="AN228" s="41">
        <v>171876</v>
      </c>
      <c r="AO228" s="41">
        <v>173198</v>
      </c>
      <c r="AP228" s="41">
        <v>174476</v>
      </c>
      <c r="AQ228" s="41">
        <v>175791</v>
      </c>
      <c r="AR228" s="41">
        <v>177036</v>
      </c>
      <c r="AS228" s="41">
        <v>178215</v>
      </c>
    </row>
    <row r="229" spans="1:45">
      <c r="A229" s="38" t="s">
        <v>574</v>
      </c>
      <c r="B229" s="38" t="s">
        <v>575</v>
      </c>
      <c r="C229" s="41">
        <v>45328</v>
      </c>
      <c r="D229" s="41">
        <v>45364</v>
      </c>
      <c r="E229" s="41">
        <v>45216</v>
      </c>
      <c r="F229" s="41">
        <v>44974</v>
      </c>
      <c r="G229" s="41">
        <v>45429</v>
      </c>
      <c r="H229" s="41">
        <v>46056</v>
      </c>
      <c r="I229" s="41">
        <v>46740</v>
      </c>
      <c r="J229" s="41">
        <v>47701</v>
      </c>
      <c r="K229" s="41">
        <v>48787</v>
      </c>
      <c r="L229" s="41">
        <v>49647</v>
      </c>
      <c r="M229" s="41">
        <v>50465</v>
      </c>
      <c r="N229" s="41">
        <v>50881</v>
      </c>
      <c r="O229" s="41">
        <v>51342</v>
      </c>
      <c r="P229" s="41">
        <v>52023</v>
      </c>
      <c r="Q229" s="41">
        <v>52703</v>
      </c>
      <c r="R229" s="41">
        <v>53375</v>
      </c>
      <c r="S229" s="41">
        <v>53831</v>
      </c>
      <c r="T229" s="41">
        <v>54035</v>
      </c>
      <c r="U229" s="41">
        <v>54414</v>
      </c>
      <c r="V229" s="41">
        <v>54762</v>
      </c>
      <c r="W229" s="41">
        <v>55089</v>
      </c>
      <c r="X229" s="41">
        <v>55440</v>
      </c>
      <c r="Y229" s="41">
        <v>55760</v>
      </c>
      <c r="Z229" s="41">
        <v>56053</v>
      </c>
      <c r="AA229" s="41">
        <v>56327</v>
      </c>
      <c r="AB229" s="41">
        <v>56595</v>
      </c>
      <c r="AC229" s="41">
        <v>56839</v>
      </c>
      <c r="AD229" s="41">
        <v>57067</v>
      </c>
      <c r="AE229" s="41">
        <v>57290</v>
      </c>
      <c r="AF229" s="41">
        <v>57504</v>
      </c>
      <c r="AG229" s="41">
        <v>57716</v>
      </c>
      <c r="AH229" s="41">
        <v>57926</v>
      </c>
      <c r="AI229" s="41">
        <v>58116</v>
      </c>
      <c r="AJ229" s="41">
        <v>58297</v>
      </c>
      <c r="AK229" s="41">
        <v>58474</v>
      </c>
      <c r="AL229" s="41">
        <v>58650</v>
      </c>
      <c r="AM229" s="41">
        <v>58825</v>
      </c>
      <c r="AN229" s="41">
        <v>58979</v>
      </c>
      <c r="AO229" s="41">
        <v>59122</v>
      </c>
      <c r="AP229" s="41">
        <v>59262</v>
      </c>
      <c r="AQ229" s="41">
        <v>59403</v>
      </c>
      <c r="AR229" s="41">
        <v>59545</v>
      </c>
      <c r="AS229" s="41">
        <v>59672</v>
      </c>
    </row>
    <row r="230" spans="1:45">
      <c r="A230" s="38" t="s">
        <v>576</v>
      </c>
      <c r="B230" s="38" t="s">
        <v>577</v>
      </c>
      <c r="C230" s="41">
        <v>80497</v>
      </c>
      <c r="D230" s="41">
        <v>80874</v>
      </c>
      <c r="E230" s="41">
        <v>81238</v>
      </c>
      <c r="F230" s="41">
        <v>81690</v>
      </c>
      <c r="G230" s="41">
        <v>82170</v>
      </c>
      <c r="H230" s="41">
        <v>82780</v>
      </c>
      <c r="I230" s="41">
        <v>83179</v>
      </c>
      <c r="J230" s="41">
        <v>83974</v>
      </c>
      <c r="K230" s="41">
        <v>84628</v>
      </c>
      <c r="L230" s="41">
        <v>85306</v>
      </c>
      <c r="M230" s="41">
        <v>85846</v>
      </c>
      <c r="N230" s="41">
        <v>86179</v>
      </c>
      <c r="O230" s="41">
        <v>86996</v>
      </c>
      <c r="P230" s="41">
        <v>87534</v>
      </c>
      <c r="Q230" s="41">
        <v>87996</v>
      </c>
      <c r="R230" s="41">
        <v>88671</v>
      </c>
      <c r="S230" s="41">
        <v>89319</v>
      </c>
      <c r="T230" s="41">
        <v>89735</v>
      </c>
      <c r="U230" s="41">
        <v>90453</v>
      </c>
      <c r="V230" s="41">
        <v>91050</v>
      </c>
      <c r="W230" s="41">
        <v>91625</v>
      </c>
      <c r="X230" s="41">
        <v>92183</v>
      </c>
      <c r="Y230" s="41">
        <v>92750</v>
      </c>
      <c r="Z230" s="41">
        <v>93332</v>
      </c>
      <c r="AA230" s="41">
        <v>93863</v>
      </c>
      <c r="AB230" s="41">
        <v>94381</v>
      </c>
      <c r="AC230" s="41">
        <v>94934</v>
      </c>
      <c r="AD230" s="41">
        <v>95494</v>
      </c>
      <c r="AE230" s="41">
        <v>96061</v>
      </c>
      <c r="AF230" s="41">
        <v>96602</v>
      </c>
      <c r="AG230" s="41">
        <v>97167</v>
      </c>
      <c r="AH230" s="41">
        <v>97767</v>
      </c>
      <c r="AI230" s="41">
        <v>98349</v>
      </c>
      <c r="AJ230" s="41">
        <v>98928</v>
      </c>
      <c r="AK230" s="41">
        <v>99490</v>
      </c>
      <c r="AL230" s="41">
        <v>100078</v>
      </c>
      <c r="AM230" s="41">
        <v>100675</v>
      </c>
      <c r="AN230" s="41">
        <v>101270</v>
      </c>
      <c r="AO230" s="41">
        <v>101870</v>
      </c>
      <c r="AP230" s="41">
        <v>102453</v>
      </c>
      <c r="AQ230" s="41">
        <v>103059</v>
      </c>
      <c r="AR230" s="41">
        <v>103666</v>
      </c>
      <c r="AS230" s="41">
        <v>104231</v>
      </c>
    </row>
    <row r="231" spans="1:45">
      <c r="A231" s="38" t="s">
        <v>578</v>
      </c>
      <c r="B231" s="38" t="s">
        <v>579</v>
      </c>
      <c r="C231" s="41">
        <v>59238</v>
      </c>
      <c r="D231" s="41">
        <v>59835</v>
      </c>
      <c r="E231" s="41">
        <v>60294</v>
      </c>
      <c r="F231" s="41">
        <v>60602</v>
      </c>
      <c r="G231" s="41">
        <v>60889</v>
      </c>
      <c r="H231" s="41">
        <v>61125</v>
      </c>
      <c r="I231" s="41">
        <v>61530</v>
      </c>
      <c r="J231" s="41">
        <v>61873</v>
      </c>
      <c r="K231" s="41">
        <v>61975</v>
      </c>
      <c r="L231" s="41">
        <v>62241</v>
      </c>
      <c r="M231" s="41">
        <v>62368</v>
      </c>
      <c r="N231" s="41">
        <v>62940</v>
      </c>
      <c r="O231" s="41">
        <v>63320</v>
      </c>
      <c r="P231" s="41">
        <v>63739</v>
      </c>
      <c r="Q231" s="41">
        <v>64481</v>
      </c>
      <c r="R231" s="41">
        <v>65345</v>
      </c>
      <c r="S231" s="41">
        <v>66326</v>
      </c>
      <c r="T231" s="41">
        <v>67075</v>
      </c>
      <c r="U231" s="41">
        <v>68028</v>
      </c>
      <c r="V231" s="41">
        <v>68832</v>
      </c>
      <c r="W231" s="41">
        <v>69638</v>
      </c>
      <c r="X231" s="41">
        <v>70585</v>
      </c>
      <c r="Y231" s="41">
        <v>71506</v>
      </c>
      <c r="Z231" s="41">
        <v>72416</v>
      </c>
      <c r="AA231" s="41">
        <v>73259</v>
      </c>
      <c r="AB231" s="41">
        <v>74106</v>
      </c>
      <c r="AC231" s="41">
        <v>74978</v>
      </c>
      <c r="AD231" s="41">
        <v>75810</v>
      </c>
      <c r="AE231" s="41">
        <v>76642</v>
      </c>
      <c r="AF231" s="41">
        <v>77426</v>
      </c>
      <c r="AG231" s="41">
        <v>78221</v>
      </c>
      <c r="AH231" s="41">
        <v>79013</v>
      </c>
      <c r="AI231" s="41">
        <v>79768</v>
      </c>
      <c r="AJ231" s="41">
        <v>80525</v>
      </c>
      <c r="AK231" s="41">
        <v>81250</v>
      </c>
      <c r="AL231" s="41">
        <v>81973</v>
      </c>
      <c r="AM231" s="41">
        <v>82664</v>
      </c>
      <c r="AN231" s="41">
        <v>83339</v>
      </c>
      <c r="AO231" s="41">
        <v>83998</v>
      </c>
      <c r="AP231" s="41">
        <v>84639</v>
      </c>
      <c r="AQ231" s="41">
        <v>85275</v>
      </c>
      <c r="AR231" s="41">
        <v>85886</v>
      </c>
      <c r="AS231" s="41">
        <v>86462</v>
      </c>
    </row>
    <row r="232" spans="1:45">
      <c r="A232" s="38" t="s">
        <v>580</v>
      </c>
      <c r="B232" s="38" t="s">
        <v>581</v>
      </c>
      <c r="C232" s="41">
        <v>51993</v>
      </c>
      <c r="D232" s="41">
        <v>52605</v>
      </c>
      <c r="E232" s="41">
        <v>53371</v>
      </c>
      <c r="F232" s="41">
        <v>54030</v>
      </c>
      <c r="G232" s="41">
        <v>54738</v>
      </c>
      <c r="H232" s="41">
        <v>55575</v>
      </c>
      <c r="I232" s="41">
        <v>56372</v>
      </c>
      <c r="J232" s="41">
        <v>57279</v>
      </c>
      <c r="K232" s="41">
        <v>58004</v>
      </c>
      <c r="L232" s="41">
        <v>58942</v>
      </c>
      <c r="M232" s="41">
        <v>60039</v>
      </c>
      <c r="N232" s="41">
        <v>60671</v>
      </c>
      <c r="O232" s="41">
        <v>60889</v>
      </c>
      <c r="P232" s="41">
        <v>61628</v>
      </c>
      <c r="Q232" s="41">
        <v>62388</v>
      </c>
      <c r="R232" s="41">
        <v>62936</v>
      </c>
      <c r="S232" s="41">
        <v>63342</v>
      </c>
      <c r="T232" s="41">
        <v>63750</v>
      </c>
      <c r="U232" s="41">
        <v>64216</v>
      </c>
      <c r="V232" s="41">
        <v>64596</v>
      </c>
      <c r="W232" s="41">
        <v>64952</v>
      </c>
      <c r="X232" s="41">
        <v>65413</v>
      </c>
      <c r="Y232" s="41">
        <v>65845</v>
      </c>
      <c r="Z232" s="41">
        <v>66239</v>
      </c>
      <c r="AA232" s="41">
        <v>66589</v>
      </c>
      <c r="AB232" s="41">
        <v>66929</v>
      </c>
      <c r="AC232" s="41">
        <v>67287</v>
      </c>
      <c r="AD232" s="41">
        <v>67622</v>
      </c>
      <c r="AE232" s="41">
        <v>67928</v>
      </c>
      <c r="AF232" s="41">
        <v>68208</v>
      </c>
      <c r="AG232" s="41">
        <v>68489</v>
      </c>
      <c r="AH232" s="41">
        <v>68764</v>
      </c>
      <c r="AI232" s="41">
        <v>69036</v>
      </c>
      <c r="AJ232" s="41">
        <v>69304</v>
      </c>
      <c r="AK232" s="41">
        <v>69536</v>
      </c>
      <c r="AL232" s="41">
        <v>69776</v>
      </c>
      <c r="AM232" s="41">
        <v>70012</v>
      </c>
      <c r="AN232" s="41">
        <v>70249</v>
      </c>
      <c r="AO232" s="41">
        <v>70477</v>
      </c>
      <c r="AP232" s="41">
        <v>70689</v>
      </c>
      <c r="AQ232" s="41">
        <v>70927</v>
      </c>
      <c r="AR232" s="41">
        <v>71170</v>
      </c>
      <c r="AS232" s="41">
        <v>71407</v>
      </c>
    </row>
    <row r="233" spans="1:45">
      <c r="A233" s="38" t="s">
        <v>582</v>
      </c>
      <c r="B233" s="38" t="s">
        <v>583</v>
      </c>
      <c r="C233" s="41">
        <v>32815</v>
      </c>
      <c r="D233" s="41">
        <v>33563</v>
      </c>
      <c r="E233" s="41">
        <v>34335</v>
      </c>
      <c r="F233" s="41">
        <v>34867</v>
      </c>
      <c r="G233" s="41">
        <v>35491</v>
      </c>
      <c r="H233" s="41">
        <v>36081</v>
      </c>
      <c r="I233" s="41">
        <v>36642</v>
      </c>
      <c r="J233" s="41">
        <v>37268</v>
      </c>
      <c r="K233" s="41">
        <v>37774</v>
      </c>
      <c r="L233" s="41">
        <v>38301</v>
      </c>
      <c r="M233" s="41">
        <v>38939</v>
      </c>
      <c r="N233" s="41">
        <v>39546</v>
      </c>
      <c r="O233" s="41">
        <v>40122</v>
      </c>
      <c r="P233" s="41">
        <v>40772</v>
      </c>
      <c r="Q233" s="41">
        <v>41363</v>
      </c>
      <c r="R233" s="41">
        <v>41870</v>
      </c>
      <c r="S233" s="41">
        <v>42778</v>
      </c>
      <c r="T233" s="41">
        <v>43846</v>
      </c>
      <c r="U233" s="41">
        <v>44822</v>
      </c>
      <c r="V233" s="41">
        <v>45735</v>
      </c>
      <c r="W233" s="41">
        <v>46614</v>
      </c>
      <c r="X233" s="41">
        <v>47471</v>
      </c>
      <c r="Y233" s="41">
        <v>48312</v>
      </c>
      <c r="Z233" s="41">
        <v>49111</v>
      </c>
      <c r="AA233" s="41">
        <v>49859</v>
      </c>
      <c r="AB233" s="41">
        <v>50596</v>
      </c>
      <c r="AC233" s="41">
        <v>51305</v>
      </c>
      <c r="AD233" s="41">
        <v>52005</v>
      </c>
      <c r="AE233" s="41">
        <v>52675</v>
      </c>
      <c r="AF233" s="41">
        <v>53319</v>
      </c>
      <c r="AG233" s="41">
        <v>53950</v>
      </c>
      <c r="AH233" s="41">
        <v>54570</v>
      </c>
      <c r="AI233" s="41">
        <v>55183</v>
      </c>
      <c r="AJ233" s="41">
        <v>55767</v>
      </c>
      <c r="AK233" s="41">
        <v>56344</v>
      </c>
      <c r="AL233" s="41">
        <v>56924</v>
      </c>
      <c r="AM233" s="41">
        <v>57485</v>
      </c>
      <c r="AN233" s="41">
        <v>58044</v>
      </c>
      <c r="AO233" s="41">
        <v>58582</v>
      </c>
      <c r="AP233" s="41">
        <v>59109</v>
      </c>
      <c r="AQ233" s="41">
        <v>59644</v>
      </c>
      <c r="AR233" s="41">
        <v>60171</v>
      </c>
      <c r="AS233" s="41">
        <v>60661</v>
      </c>
    </row>
    <row r="234" spans="1:45">
      <c r="A234" s="38" t="s">
        <v>584</v>
      </c>
      <c r="B234" s="38" t="s">
        <v>585</v>
      </c>
      <c r="C234" s="41">
        <v>98429</v>
      </c>
      <c r="D234" s="41">
        <v>99436</v>
      </c>
      <c r="E234" s="41">
        <v>100250</v>
      </c>
      <c r="F234" s="41">
        <v>101282</v>
      </c>
      <c r="G234" s="41">
        <v>102348</v>
      </c>
      <c r="H234" s="41">
        <v>103228</v>
      </c>
      <c r="I234" s="41">
        <v>104012</v>
      </c>
      <c r="J234" s="41">
        <v>104771</v>
      </c>
      <c r="K234" s="41">
        <v>105672</v>
      </c>
      <c r="L234" s="41">
        <v>106411</v>
      </c>
      <c r="M234" s="41">
        <v>107276</v>
      </c>
      <c r="N234" s="41">
        <v>108675</v>
      </c>
      <c r="O234" s="41">
        <v>109972</v>
      </c>
      <c r="P234" s="41">
        <v>111128</v>
      </c>
      <c r="Q234" s="41">
        <v>112392</v>
      </c>
      <c r="R234" s="41">
        <v>113539</v>
      </c>
      <c r="S234" s="41">
        <v>114785</v>
      </c>
      <c r="T234" s="41">
        <v>116047</v>
      </c>
      <c r="U234" s="41">
        <v>117623</v>
      </c>
      <c r="V234" s="41">
        <v>119024</v>
      </c>
      <c r="W234" s="41">
        <v>120296</v>
      </c>
      <c r="X234" s="41">
        <v>121674</v>
      </c>
      <c r="Y234" s="41">
        <v>123022</v>
      </c>
      <c r="Z234" s="41">
        <v>124388</v>
      </c>
      <c r="AA234" s="41">
        <v>125669</v>
      </c>
      <c r="AB234" s="41">
        <v>126897</v>
      </c>
      <c r="AC234" s="41">
        <v>128166</v>
      </c>
      <c r="AD234" s="41">
        <v>129430</v>
      </c>
      <c r="AE234" s="41">
        <v>130670</v>
      </c>
      <c r="AF234" s="41">
        <v>131887</v>
      </c>
      <c r="AG234" s="41">
        <v>133100</v>
      </c>
      <c r="AH234" s="41">
        <v>134303</v>
      </c>
      <c r="AI234" s="41">
        <v>135538</v>
      </c>
      <c r="AJ234" s="41">
        <v>136751</v>
      </c>
      <c r="AK234" s="41">
        <v>137947</v>
      </c>
      <c r="AL234" s="41">
        <v>139177</v>
      </c>
      <c r="AM234" s="41">
        <v>140399</v>
      </c>
      <c r="AN234" s="41">
        <v>141620</v>
      </c>
      <c r="AO234" s="41">
        <v>142821</v>
      </c>
      <c r="AP234" s="41">
        <v>144013</v>
      </c>
      <c r="AQ234" s="41">
        <v>145242</v>
      </c>
      <c r="AR234" s="41">
        <v>146431</v>
      </c>
      <c r="AS234" s="41">
        <v>147587</v>
      </c>
    </row>
    <row r="235" spans="1:45">
      <c r="A235" s="38" t="s">
        <v>586</v>
      </c>
      <c r="B235" s="38" t="s">
        <v>587</v>
      </c>
      <c r="C235" s="41">
        <v>34705</v>
      </c>
      <c r="D235" s="41">
        <v>34912</v>
      </c>
      <c r="E235" s="41">
        <v>34939</v>
      </c>
      <c r="F235" s="41">
        <v>35075</v>
      </c>
      <c r="G235" s="41">
        <v>35340</v>
      </c>
      <c r="H235" s="41">
        <v>35624</v>
      </c>
      <c r="I235" s="41">
        <v>35878</v>
      </c>
      <c r="J235" s="41">
        <v>36090</v>
      </c>
      <c r="K235" s="41">
        <v>36197</v>
      </c>
      <c r="L235" s="41">
        <v>36446</v>
      </c>
      <c r="M235" s="41">
        <v>36941</v>
      </c>
      <c r="N235" s="41">
        <v>37141</v>
      </c>
      <c r="O235" s="41">
        <v>37355</v>
      </c>
      <c r="P235" s="41">
        <v>37594</v>
      </c>
      <c r="Q235" s="41">
        <v>37819</v>
      </c>
      <c r="R235" s="41">
        <v>37981</v>
      </c>
      <c r="S235" s="41">
        <v>38409</v>
      </c>
      <c r="T235" s="41">
        <v>38803</v>
      </c>
      <c r="U235" s="41">
        <v>39256</v>
      </c>
      <c r="V235" s="41">
        <v>39659</v>
      </c>
      <c r="W235" s="41">
        <v>40076</v>
      </c>
      <c r="X235" s="41">
        <v>40526</v>
      </c>
      <c r="Y235" s="41">
        <v>40950</v>
      </c>
      <c r="Z235" s="41">
        <v>41358</v>
      </c>
      <c r="AA235" s="41">
        <v>41754</v>
      </c>
      <c r="AB235" s="41">
        <v>42152</v>
      </c>
      <c r="AC235" s="41">
        <v>42558</v>
      </c>
      <c r="AD235" s="41">
        <v>42937</v>
      </c>
      <c r="AE235" s="41">
        <v>43286</v>
      </c>
      <c r="AF235" s="41">
        <v>43639</v>
      </c>
      <c r="AG235" s="41">
        <v>43971</v>
      </c>
      <c r="AH235" s="41">
        <v>44293</v>
      </c>
      <c r="AI235" s="41">
        <v>44594</v>
      </c>
      <c r="AJ235" s="41">
        <v>44868</v>
      </c>
      <c r="AK235" s="41">
        <v>45146</v>
      </c>
      <c r="AL235" s="41">
        <v>45408</v>
      </c>
      <c r="AM235" s="41">
        <v>45663</v>
      </c>
      <c r="AN235" s="41">
        <v>45909</v>
      </c>
      <c r="AO235" s="41">
        <v>46155</v>
      </c>
      <c r="AP235" s="41">
        <v>46403</v>
      </c>
      <c r="AQ235" s="41">
        <v>46653</v>
      </c>
      <c r="AR235" s="41">
        <v>46904</v>
      </c>
      <c r="AS235" s="41">
        <v>47135</v>
      </c>
    </row>
    <row r="236" spans="1:45">
      <c r="A236" s="38" t="s">
        <v>588</v>
      </c>
      <c r="B236" s="38" t="s">
        <v>589</v>
      </c>
      <c r="C236" s="41">
        <v>32657</v>
      </c>
      <c r="D236" s="41">
        <v>33119</v>
      </c>
      <c r="E236" s="41">
        <v>33657</v>
      </c>
      <c r="F236" s="41">
        <v>34228</v>
      </c>
      <c r="G236" s="41">
        <v>34549</v>
      </c>
      <c r="H236" s="41">
        <v>35104</v>
      </c>
      <c r="I236" s="41">
        <v>35548</v>
      </c>
      <c r="J236" s="41">
        <v>36049</v>
      </c>
      <c r="K236" s="41">
        <v>36447</v>
      </c>
      <c r="L236" s="41">
        <v>36823</v>
      </c>
      <c r="M236" s="41">
        <v>37274</v>
      </c>
      <c r="N236" s="41">
        <v>37343</v>
      </c>
      <c r="O236" s="41">
        <v>37532</v>
      </c>
      <c r="P236" s="41">
        <v>37911</v>
      </c>
      <c r="Q236" s="41">
        <v>38259</v>
      </c>
      <c r="R236" s="41">
        <v>38708</v>
      </c>
      <c r="S236" s="41">
        <v>39016</v>
      </c>
      <c r="T236" s="41">
        <v>39233</v>
      </c>
      <c r="U236" s="41">
        <v>39607</v>
      </c>
      <c r="V236" s="41">
        <v>39954</v>
      </c>
      <c r="W236" s="41">
        <v>40286</v>
      </c>
      <c r="X236" s="41">
        <v>40704</v>
      </c>
      <c r="Y236" s="41">
        <v>41118</v>
      </c>
      <c r="Z236" s="41">
        <v>41502</v>
      </c>
      <c r="AA236" s="41">
        <v>41872</v>
      </c>
      <c r="AB236" s="41">
        <v>42243</v>
      </c>
      <c r="AC236" s="41">
        <v>42623</v>
      </c>
      <c r="AD236" s="41">
        <v>43004</v>
      </c>
      <c r="AE236" s="41">
        <v>43362</v>
      </c>
      <c r="AF236" s="41">
        <v>43708</v>
      </c>
      <c r="AG236" s="41">
        <v>44064</v>
      </c>
      <c r="AH236" s="41">
        <v>44425</v>
      </c>
      <c r="AI236" s="41">
        <v>44782</v>
      </c>
      <c r="AJ236" s="41">
        <v>45130</v>
      </c>
      <c r="AK236" s="41">
        <v>45477</v>
      </c>
      <c r="AL236" s="41">
        <v>45828</v>
      </c>
      <c r="AM236" s="41">
        <v>46170</v>
      </c>
      <c r="AN236" s="41">
        <v>46511</v>
      </c>
      <c r="AO236" s="41">
        <v>46839</v>
      </c>
      <c r="AP236" s="41">
        <v>47170</v>
      </c>
      <c r="AQ236" s="41">
        <v>47514</v>
      </c>
      <c r="AR236" s="41">
        <v>47850</v>
      </c>
      <c r="AS236" s="41">
        <v>48166</v>
      </c>
    </row>
    <row r="237" spans="1:45">
      <c r="A237" s="38" t="s">
        <v>590</v>
      </c>
      <c r="B237" s="38" t="s">
        <v>591</v>
      </c>
      <c r="C237" s="41">
        <v>51234</v>
      </c>
      <c r="D237" s="41">
        <v>51792</v>
      </c>
      <c r="E237" s="41">
        <v>52397</v>
      </c>
      <c r="F237" s="41">
        <v>53047</v>
      </c>
      <c r="G237" s="41">
        <v>53459</v>
      </c>
      <c r="H237" s="41">
        <v>54088</v>
      </c>
      <c r="I237" s="41">
        <v>54713</v>
      </c>
      <c r="J237" s="41">
        <v>55208</v>
      </c>
      <c r="K237" s="41">
        <v>55808</v>
      </c>
      <c r="L237" s="41">
        <v>56436</v>
      </c>
      <c r="M237" s="41">
        <v>57213</v>
      </c>
      <c r="N237" s="41">
        <v>57829</v>
      </c>
      <c r="O237" s="41">
        <v>58481</v>
      </c>
      <c r="P237" s="41">
        <v>59317</v>
      </c>
      <c r="Q237" s="41">
        <v>59948</v>
      </c>
      <c r="R237" s="41">
        <v>60675</v>
      </c>
      <c r="S237" s="41">
        <v>61234</v>
      </c>
      <c r="T237" s="41">
        <v>61477</v>
      </c>
      <c r="U237" s="41">
        <v>62051</v>
      </c>
      <c r="V237" s="41">
        <v>62550</v>
      </c>
      <c r="W237" s="41">
        <v>63021</v>
      </c>
      <c r="X237" s="41">
        <v>63551</v>
      </c>
      <c r="Y237" s="41">
        <v>64042</v>
      </c>
      <c r="Z237" s="41">
        <v>64522</v>
      </c>
      <c r="AA237" s="41">
        <v>64967</v>
      </c>
      <c r="AB237" s="41">
        <v>65409</v>
      </c>
      <c r="AC237" s="41">
        <v>65886</v>
      </c>
      <c r="AD237" s="41">
        <v>66349</v>
      </c>
      <c r="AE237" s="41">
        <v>66777</v>
      </c>
      <c r="AF237" s="41">
        <v>67197</v>
      </c>
      <c r="AG237" s="41">
        <v>67624</v>
      </c>
      <c r="AH237" s="41">
        <v>68051</v>
      </c>
      <c r="AI237" s="41">
        <v>68477</v>
      </c>
      <c r="AJ237" s="41">
        <v>68894</v>
      </c>
      <c r="AK237" s="41">
        <v>69286</v>
      </c>
      <c r="AL237" s="41">
        <v>69673</v>
      </c>
      <c r="AM237" s="41">
        <v>70054</v>
      </c>
      <c r="AN237" s="41">
        <v>70433</v>
      </c>
      <c r="AO237" s="41">
        <v>70817</v>
      </c>
      <c r="AP237" s="41">
        <v>71173</v>
      </c>
      <c r="AQ237" s="41">
        <v>71537</v>
      </c>
      <c r="AR237" s="41">
        <v>71885</v>
      </c>
      <c r="AS237" s="41">
        <v>72213</v>
      </c>
    </row>
    <row r="238" spans="1:45">
      <c r="A238" s="38" t="s">
        <v>592</v>
      </c>
      <c r="B238" s="38" t="s">
        <v>593</v>
      </c>
      <c r="C238" s="41">
        <v>43941</v>
      </c>
      <c r="D238" s="41">
        <v>44117</v>
      </c>
      <c r="E238" s="41">
        <v>44518</v>
      </c>
      <c r="F238" s="41">
        <v>45007</v>
      </c>
      <c r="G238" s="41">
        <v>45395</v>
      </c>
      <c r="H238" s="41">
        <v>45675</v>
      </c>
      <c r="I238" s="41">
        <v>45928</v>
      </c>
      <c r="J238" s="41">
        <v>46099</v>
      </c>
      <c r="K238" s="41">
        <v>46208</v>
      </c>
      <c r="L238" s="41">
        <v>46244</v>
      </c>
      <c r="M238" s="41">
        <v>46532</v>
      </c>
      <c r="N238" s="41">
        <v>46609</v>
      </c>
      <c r="O238" s="41">
        <v>46774</v>
      </c>
      <c r="P238" s="41">
        <v>46890</v>
      </c>
      <c r="Q238" s="41">
        <v>47043</v>
      </c>
      <c r="R238" s="41">
        <v>47164</v>
      </c>
      <c r="S238" s="41">
        <v>47488</v>
      </c>
      <c r="T238" s="41">
        <v>47680</v>
      </c>
      <c r="U238" s="41">
        <v>48004</v>
      </c>
      <c r="V238" s="41">
        <v>48262</v>
      </c>
      <c r="W238" s="41">
        <v>48503</v>
      </c>
      <c r="X238" s="41">
        <v>48776</v>
      </c>
      <c r="Y238" s="41">
        <v>49037</v>
      </c>
      <c r="Z238" s="41">
        <v>49291</v>
      </c>
      <c r="AA238" s="41">
        <v>49515</v>
      </c>
      <c r="AB238" s="41">
        <v>49723</v>
      </c>
      <c r="AC238" s="41">
        <v>49955</v>
      </c>
      <c r="AD238" s="41">
        <v>50170</v>
      </c>
      <c r="AE238" s="41">
        <v>50370</v>
      </c>
      <c r="AF238" s="41">
        <v>50550</v>
      </c>
      <c r="AG238" s="41">
        <v>50714</v>
      </c>
      <c r="AH238" s="41">
        <v>50875</v>
      </c>
      <c r="AI238" s="41">
        <v>51041</v>
      </c>
      <c r="AJ238" s="41">
        <v>51202</v>
      </c>
      <c r="AK238" s="41">
        <v>51352</v>
      </c>
      <c r="AL238" s="41">
        <v>51507</v>
      </c>
      <c r="AM238" s="41">
        <v>51667</v>
      </c>
      <c r="AN238" s="41">
        <v>51821</v>
      </c>
      <c r="AO238" s="41">
        <v>51983</v>
      </c>
      <c r="AP238" s="41">
        <v>52129</v>
      </c>
      <c r="AQ238" s="41">
        <v>52287</v>
      </c>
      <c r="AR238" s="41">
        <v>52448</v>
      </c>
      <c r="AS238" s="41">
        <v>52576</v>
      </c>
    </row>
    <row r="239" spans="1:45">
      <c r="A239" s="38" t="s">
        <v>594</v>
      </c>
      <c r="B239" s="38" t="s">
        <v>595</v>
      </c>
      <c r="C239" s="41">
        <v>46481</v>
      </c>
      <c r="D239" s="41">
        <v>47199</v>
      </c>
      <c r="E239" s="41">
        <v>47820</v>
      </c>
      <c r="F239" s="41">
        <v>48303</v>
      </c>
      <c r="G239" s="41">
        <v>48797</v>
      </c>
      <c r="H239" s="41">
        <v>49235</v>
      </c>
      <c r="I239" s="41">
        <v>49673</v>
      </c>
      <c r="J239" s="41">
        <v>50343</v>
      </c>
      <c r="K239" s="41">
        <v>51018</v>
      </c>
      <c r="L239" s="41">
        <v>51833</v>
      </c>
      <c r="M239" s="41">
        <v>52825</v>
      </c>
      <c r="N239" s="41">
        <v>53527</v>
      </c>
      <c r="O239" s="41">
        <v>54214</v>
      </c>
      <c r="P239" s="41">
        <v>55005</v>
      </c>
      <c r="Q239" s="41">
        <v>55866</v>
      </c>
      <c r="R239" s="41">
        <v>56718</v>
      </c>
      <c r="S239" s="41">
        <v>57816</v>
      </c>
      <c r="T239" s="41">
        <v>58973</v>
      </c>
      <c r="U239" s="41">
        <v>60172</v>
      </c>
      <c r="V239" s="41">
        <v>61226</v>
      </c>
      <c r="W239" s="41">
        <v>62236</v>
      </c>
      <c r="X239" s="41">
        <v>63287</v>
      </c>
      <c r="Y239" s="41">
        <v>64306</v>
      </c>
      <c r="Z239" s="41">
        <v>65308</v>
      </c>
      <c r="AA239" s="41">
        <v>66244</v>
      </c>
      <c r="AB239" s="41">
        <v>67140</v>
      </c>
      <c r="AC239" s="41">
        <v>68075</v>
      </c>
      <c r="AD239" s="41">
        <v>68963</v>
      </c>
      <c r="AE239" s="41">
        <v>69826</v>
      </c>
      <c r="AF239" s="41">
        <v>70652</v>
      </c>
      <c r="AG239" s="41">
        <v>71455</v>
      </c>
      <c r="AH239" s="41">
        <v>72255</v>
      </c>
      <c r="AI239" s="41">
        <v>73035</v>
      </c>
      <c r="AJ239" s="41">
        <v>73785</v>
      </c>
      <c r="AK239" s="41">
        <v>74512</v>
      </c>
      <c r="AL239" s="41">
        <v>75221</v>
      </c>
      <c r="AM239" s="41">
        <v>75911</v>
      </c>
      <c r="AN239" s="41">
        <v>76585</v>
      </c>
      <c r="AO239" s="41">
        <v>77248</v>
      </c>
      <c r="AP239" s="41">
        <v>77904</v>
      </c>
      <c r="AQ239" s="41">
        <v>78565</v>
      </c>
      <c r="AR239" s="41">
        <v>79213</v>
      </c>
      <c r="AS239" s="41">
        <v>79830</v>
      </c>
    </row>
    <row r="240" spans="1:45">
      <c r="A240" s="38" t="s">
        <v>596</v>
      </c>
      <c r="B240" s="38" t="s">
        <v>597</v>
      </c>
      <c r="C240" s="41">
        <v>31613</v>
      </c>
      <c r="D240" s="41">
        <v>32322</v>
      </c>
      <c r="E240" s="41">
        <v>32717</v>
      </c>
      <c r="F240" s="41">
        <v>33141</v>
      </c>
      <c r="G240" s="41">
        <v>33829</v>
      </c>
      <c r="H240" s="41">
        <v>34138</v>
      </c>
      <c r="I240" s="41">
        <v>34376</v>
      </c>
      <c r="J240" s="41">
        <v>34426</v>
      </c>
      <c r="K240" s="41">
        <v>34509</v>
      </c>
      <c r="L240" s="41">
        <v>34671</v>
      </c>
      <c r="M240" s="41">
        <v>34730</v>
      </c>
      <c r="N240" s="41">
        <v>35118</v>
      </c>
      <c r="O240" s="41">
        <v>35492</v>
      </c>
      <c r="P240" s="41">
        <v>35956</v>
      </c>
      <c r="Q240" s="41">
        <v>36272</v>
      </c>
      <c r="R240" s="41">
        <v>36663</v>
      </c>
      <c r="S240" s="41">
        <v>37185</v>
      </c>
      <c r="T240" s="41">
        <v>37706</v>
      </c>
      <c r="U240" s="41">
        <v>38264</v>
      </c>
      <c r="V240" s="41">
        <v>38745</v>
      </c>
      <c r="W240" s="41">
        <v>39218</v>
      </c>
      <c r="X240" s="41">
        <v>39757</v>
      </c>
      <c r="Y240" s="41">
        <v>40255</v>
      </c>
      <c r="Z240" s="41">
        <v>40743</v>
      </c>
      <c r="AA240" s="41">
        <v>41196</v>
      </c>
      <c r="AB240" s="41">
        <v>41637</v>
      </c>
      <c r="AC240" s="41">
        <v>42096</v>
      </c>
      <c r="AD240" s="41">
        <v>42526</v>
      </c>
      <c r="AE240" s="41">
        <v>42928</v>
      </c>
      <c r="AF240" s="41">
        <v>43310</v>
      </c>
      <c r="AG240" s="41">
        <v>43693</v>
      </c>
      <c r="AH240" s="41">
        <v>44052</v>
      </c>
      <c r="AI240" s="41">
        <v>44408</v>
      </c>
      <c r="AJ240" s="41">
        <v>44751</v>
      </c>
      <c r="AK240" s="41">
        <v>45081</v>
      </c>
      <c r="AL240" s="41">
        <v>45414</v>
      </c>
      <c r="AM240" s="41">
        <v>45732</v>
      </c>
      <c r="AN240" s="41">
        <v>46053</v>
      </c>
      <c r="AO240" s="41">
        <v>46365</v>
      </c>
      <c r="AP240" s="41">
        <v>46665</v>
      </c>
      <c r="AQ240" s="41">
        <v>46977</v>
      </c>
      <c r="AR240" s="41">
        <v>47282</v>
      </c>
      <c r="AS240" s="41">
        <v>47575</v>
      </c>
    </row>
    <row r="241" spans="1:45">
      <c r="A241" s="38" t="s">
        <v>598</v>
      </c>
      <c r="B241" s="38" t="s">
        <v>599</v>
      </c>
      <c r="C241" s="41">
        <v>51781</v>
      </c>
      <c r="D241" s="41">
        <v>51906</v>
      </c>
      <c r="E241" s="41">
        <v>51877</v>
      </c>
      <c r="F241" s="41">
        <v>52019</v>
      </c>
      <c r="G241" s="41">
        <v>52272</v>
      </c>
      <c r="H241" s="41">
        <v>52485</v>
      </c>
      <c r="I241" s="41">
        <v>52817</v>
      </c>
      <c r="J241" s="41">
        <v>53266</v>
      </c>
      <c r="K241" s="41">
        <v>53671</v>
      </c>
      <c r="L241" s="41">
        <v>53902</v>
      </c>
      <c r="M241" s="41">
        <v>54139</v>
      </c>
      <c r="N241" s="41">
        <v>54495</v>
      </c>
      <c r="O241" s="41">
        <v>54726</v>
      </c>
      <c r="P241" s="41">
        <v>55256</v>
      </c>
      <c r="Q241" s="41">
        <v>55468</v>
      </c>
      <c r="R241" s="41">
        <v>55895</v>
      </c>
      <c r="S241" s="41">
        <v>56204</v>
      </c>
      <c r="T241" s="41">
        <v>56576</v>
      </c>
      <c r="U241" s="41">
        <v>57024</v>
      </c>
      <c r="V241" s="41">
        <v>57380</v>
      </c>
      <c r="W241" s="41">
        <v>57710</v>
      </c>
      <c r="X241" s="41">
        <v>58152</v>
      </c>
      <c r="Y241" s="41">
        <v>58578</v>
      </c>
      <c r="Z241" s="41">
        <v>58994</v>
      </c>
      <c r="AA241" s="41">
        <v>59351</v>
      </c>
      <c r="AB241" s="41">
        <v>59694</v>
      </c>
      <c r="AC241" s="41">
        <v>60031</v>
      </c>
      <c r="AD241" s="41">
        <v>60344</v>
      </c>
      <c r="AE241" s="41">
        <v>60647</v>
      </c>
      <c r="AF241" s="41">
        <v>60922</v>
      </c>
      <c r="AG241" s="41">
        <v>61207</v>
      </c>
      <c r="AH241" s="41">
        <v>61469</v>
      </c>
      <c r="AI241" s="41">
        <v>61720</v>
      </c>
      <c r="AJ241" s="41">
        <v>61975</v>
      </c>
      <c r="AK241" s="41">
        <v>62222</v>
      </c>
      <c r="AL241" s="41">
        <v>62484</v>
      </c>
      <c r="AM241" s="41">
        <v>62741</v>
      </c>
      <c r="AN241" s="41">
        <v>62997</v>
      </c>
      <c r="AO241" s="41">
        <v>63256</v>
      </c>
      <c r="AP241" s="41">
        <v>63519</v>
      </c>
      <c r="AQ241" s="41">
        <v>63812</v>
      </c>
      <c r="AR241" s="41">
        <v>64097</v>
      </c>
      <c r="AS241" s="41">
        <v>64365</v>
      </c>
    </row>
    <row r="242" spans="1:45">
      <c r="A242" s="38" t="s">
        <v>600</v>
      </c>
      <c r="B242" s="38" t="s">
        <v>601</v>
      </c>
      <c r="C242" s="41">
        <v>42490</v>
      </c>
      <c r="D242" s="41">
        <v>42808</v>
      </c>
      <c r="E242" s="41">
        <v>43239</v>
      </c>
      <c r="F242" s="41">
        <v>43548</v>
      </c>
      <c r="G242" s="41">
        <v>43831</v>
      </c>
      <c r="H242" s="41">
        <v>44276</v>
      </c>
      <c r="I242" s="41">
        <v>44617</v>
      </c>
      <c r="J242" s="41">
        <v>45043</v>
      </c>
      <c r="K242" s="41">
        <v>45373</v>
      </c>
      <c r="L242" s="41">
        <v>45611</v>
      </c>
      <c r="M242" s="41">
        <v>45933</v>
      </c>
      <c r="N242" s="41">
        <v>46046</v>
      </c>
      <c r="O242" s="41">
        <v>46179</v>
      </c>
      <c r="P242" s="41">
        <v>46449</v>
      </c>
      <c r="Q242" s="41">
        <v>46770</v>
      </c>
      <c r="R242" s="41">
        <v>47033</v>
      </c>
      <c r="S242" s="41">
        <v>47242</v>
      </c>
      <c r="T242" s="41">
        <v>47414</v>
      </c>
      <c r="U242" s="41">
        <v>47661</v>
      </c>
      <c r="V242" s="41">
        <v>47865</v>
      </c>
      <c r="W242" s="41">
        <v>48045</v>
      </c>
      <c r="X242" s="41">
        <v>48271</v>
      </c>
      <c r="Y242" s="41">
        <v>48467</v>
      </c>
      <c r="Z242" s="41">
        <v>48669</v>
      </c>
      <c r="AA242" s="41">
        <v>48837</v>
      </c>
      <c r="AB242" s="41">
        <v>49003</v>
      </c>
      <c r="AC242" s="41">
        <v>49188</v>
      </c>
      <c r="AD242" s="41">
        <v>49350</v>
      </c>
      <c r="AE242" s="41">
        <v>49520</v>
      </c>
      <c r="AF242" s="41">
        <v>49669</v>
      </c>
      <c r="AG242" s="41">
        <v>49836</v>
      </c>
      <c r="AH242" s="41">
        <v>50014</v>
      </c>
      <c r="AI242" s="41">
        <v>50186</v>
      </c>
      <c r="AJ242" s="41">
        <v>50365</v>
      </c>
      <c r="AK242" s="41">
        <v>50530</v>
      </c>
      <c r="AL242" s="41">
        <v>50710</v>
      </c>
      <c r="AM242" s="41">
        <v>50869</v>
      </c>
      <c r="AN242" s="41">
        <v>51031</v>
      </c>
      <c r="AO242" s="41">
        <v>51196</v>
      </c>
      <c r="AP242" s="41">
        <v>51350</v>
      </c>
      <c r="AQ242" s="41">
        <v>51528</v>
      </c>
      <c r="AR242" s="41">
        <v>51691</v>
      </c>
      <c r="AS242" s="41">
        <v>51834</v>
      </c>
    </row>
    <row r="243" spans="1:45">
      <c r="A243" s="38" t="s">
        <v>602</v>
      </c>
      <c r="B243" s="38" t="s">
        <v>603</v>
      </c>
      <c r="C243" s="41">
        <v>63381</v>
      </c>
      <c r="D243" s="41">
        <v>64012</v>
      </c>
      <c r="E243" s="41">
        <v>64771</v>
      </c>
      <c r="F243" s="41">
        <v>65546</v>
      </c>
      <c r="G243" s="41">
        <v>66255</v>
      </c>
      <c r="H243" s="41">
        <v>66912</v>
      </c>
      <c r="I243" s="41">
        <v>67676</v>
      </c>
      <c r="J243" s="41">
        <v>68395</v>
      </c>
      <c r="K243" s="41">
        <v>68728</v>
      </c>
      <c r="L243" s="41">
        <v>68952</v>
      </c>
      <c r="M243" s="41">
        <v>69621</v>
      </c>
      <c r="N243" s="41">
        <v>70166</v>
      </c>
      <c r="O243" s="41">
        <v>70686</v>
      </c>
      <c r="P243" s="41">
        <v>71219</v>
      </c>
      <c r="Q243" s="41">
        <v>71727</v>
      </c>
      <c r="R243" s="41">
        <v>72319</v>
      </c>
      <c r="S243" s="41">
        <v>72807</v>
      </c>
      <c r="T243" s="41">
        <v>73191</v>
      </c>
      <c r="U243" s="41">
        <v>73731</v>
      </c>
      <c r="V243" s="41">
        <v>74216</v>
      </c>
      <c r="W243" s="41">
        <v>74645</v>
      </c>
      <c r="X243" s="41">
        <v>75193</v>
      </c>
      <c r="Y243" s="41">
        <v>75729</v>
      </c>
      <c r="Z243" s="41">
        <v>76225</v>
      </c>
      <c r="AA243" s="41">
        <v>76722</v>
      </c>
      <c r="AB243" s="41">
        <v>77175</v>
      </c>
      <c r="AC243" s="41">
        <v>77680</v>
      </c>
      <c r="AD243" s="41">
        <v>78167</v>
      </c>
      <c r="AE243" s="41">
        <v>78616</v>
      </c>
      <c r="AF243" s="41">
        <v>79055</v>
      </c>
      <c r="AG243" s="41">
        <v>79478</v>
      </c>
      <c r="AH243" s="41">
        <v>79905</v>
      </c>
      <c r="AI243" s="41">
        <v>80336</v>
      </c>
      <c r="AJ243" s="41">
        <v>80735</v>
      </c>
      <c r="AK243" s="41">
        <v>81118</v>
      </c>
      <c r="AL243" s="41">
        <v>81495</v>
      </c>
      <c r="AM243" s="41">
        <v>81871</v>
      </c>
      <c r="AN243" s="41">
        <v>82245</v>
      </c>
      <c r="AO243" s="41">
        <v>82599</v>
      </c>
      <c r="AP243" s="41">
        <v>82933</v>
      </c>
      <c r="AQ243" s="41">
        <v>83279</v>
      </c>
      <c r="AR243" s="41">
        <v>83619</v>
      </c>
      <c r="AS243" s="41">
        <v>83931</v>
      </c>
    </row>
    <row r="244" spans="1:45">
      <c r="A244" s="38" t="s">
        <v>604</v>
      </c>
      <c r="B244" s="38" t="s">
        <v>605</v>
      </c>
      <c r="C244" s="41">
        <v>41868</v>
      </c>
      <c r="D244" s="41">
        <v>42088</v>
      </c>
      <c r="E244" s="41">
        <v>42316</v>
      </c>
      <c r="F244" s="41">
        <v>42552</v>
      </c>
      <c r="G244" s="41">
        <v>42779</v>
      </c>
      <c r="H244" s="41">
        <v>43017</v>
      </c>
      <c r="I244" s="41">
        <v>43266</v>
      </c>
      <c r="J244" s="41">
        <v>43562</v>
      </c>
      <c r="K244" s="41">
        <v>43752</v>
      </c>
      <c r="L244" s="41">
        <v>44080</v>
      </c>
      <c r="M244" s="41">
        <v>44550</v>
      </c>
      <c r="N244" s="41">
        <v>44569</v>
      </c>
      <c r="O244" s="41">
        <v>45138</v>
      </c>
      <c r="P244" s="41">
        <v>45463</v>
      </c>
      <c r="Q244" s="41">
        <v>45729</v>
      </c>
      <c r="R244" s="41">
        <v>46029</v>
      </c>
      <c r="S244" s="41">
        <v>46317</v>
      </c>
      <c r="T244" s="41">
        <v>46450</v>
      </c>
      <c r="U244" s="41">
        <v>46750</v>
      </c>
      <c r="V244" s="41">
        <v>46984</v>
      </c>
      <c r="W244" s="41">
        <v>47182</v>
      </c>
      <c r="X244" s="41">
        <v>47418</v>
      </c>
      <c r="Y244" s="41">
        <v>47660</v>
      </c>
      <c r="Z244" s="41">
        <v>47904</v>
      </c>
      <c r="AA244" s="41">
        <v>48120</v>
      </c>
      <c r="AB244" s="41">
        <v>48302</v>
      </c>
      <c r="AC244" s="41">
        <v>48494</v>
      </c>
      <c r="AD244" s="41">
        <v>48680</v>
      </c>
      <c r="AE244" s="41">
        <v>48858</v>
      </c>
      <c r="AF244" s="41">
        <v>49037</v>
      </c>
      <c r="AG244" s="41">
        <v>49224</v>
      </c>
      <c r="AH244" s="41">
        <v>49419</v>
      </c>
      <c r="AI244" s="41">
        <v>49618</v>
      </c>
      <c r="AJ244" s="41">
        <v>49808</v>
      </c>
      <c r="AK244" s="41">
        <v>50012</v>
      </c>
      <c r="AL244" s="41">
        <v>50248</v>
      </c>
      <c r="AM244" s="41">
        <v>50488</v>
      </c>
      <c r="AN244" s="41">
        <v>50727</v>
      </c>
      <c r="AO244" s="41">
        <v>50958</v>
      </c>
      <c r="AP244" s="41">
        <v>51186</v>
      </c>
      <c r="AQ244" s="41">
        <v>51443</v>
      </c>
      <c r="AR244" s="41">
        <v>51702</v>
      </c>
      <c r="AS244" s="41">
        <v>51939</v>
      </c>
    </row>
    <row r="245" spans="1:45">
      <c r="A245" s="38" t="s">
        <v>606</v>
      </c>
      <c r="B245" s="38" t="s">
        <v>607</v>
      </c>
      <c r="C245" s="41">
        <v>65682</v>
      </c>
      <c r="D245" s="41">
        <v>65766</v>
      </c>
      <c r="E245" s="41">
        <v>65691</v>
      </c>
      <c r="F245" s="41">
        <v>65565</v>
      </c>
      <c r="G245" s="41">
        <v>65558</v>
      </c>
      <c r="H245" s="41">
        <v>65536</v>
      </c>
      <c r="I245" s="41">
        <v>65647</v>
      </c>
      <c r="J245" s="41">
        <v>65826</v>
      </c>
      <c r="K245" s="41">
        <v>66042</v>
      </c>
      <c r="L245" s="41">
        <v>66267</v>
      </c>
      <c r="M245" s="41">
        <v>66844</v>
      </c>
      <c r="N245" s="41">
        <v>67147</v>
      </c>
      <c r="O245" s="41">
        <v>67327</v>
      </c>
      <c r="P245" s="41">
        <v>67615</v>
      </c>
      <c r="Q245" s="41">
        <v>67820</v>
      </c>
      <c r="R245" s="41">
        <v>68267</v>
      </c>
      <c r="S245" s="41">
        <v>68632</v>
      </c>
      <c r="T245" s="41">
        <v>69009</v>
      </c>
      <c r="U245" s="41">
        <v>69441</v>
      </c>
      <c r="V245" s="41">
        <v>69813</v>
      </c>
      <c r="W245" s="41">
        <v>70170</v>
      </c>
      <c r="X245" s="41">
        <v>70472</v>
      </c>
      <c r="Y245" s="41">
        <v>70762</v>
      </c>
      <c r="Z245" s="41">
        <v>71054</v>
      </c>
      <c r="AA245" s="41">
        <v>71335</v>
      </c>
      <c r="AB245" s="41">
        <v>71620</v>
      </c>
      <c r="AC245" s="41">
        <v>71902</v>
      </c>
      <c r="AD245" s="41">
        <v>72211</v>
      </c>
      <c r="AE245" s="41">
        <v>72504</v>
      </c>
      <c r="AF245" s="41">
        <v>72790</v>
      </c>
      <c r="AG245" s="41">
        <v>73084</v>
      </c>
      <c r="AH245" s="41">
        <v>73387</v>
      </c>
      <c r="AI245" s="41">
        <v>73701</v>
      </c>
      <c r="AJ245" s="41">
        <v>74002</v>
      </c>
      <c r="AK245" s="41">
        <v>74288</v>
      </c>
      <c r="AL245" s="41">
        <v>74605</v>
      </c>
      <c r="AM245" s="41">
        <v>74884</v>
      </c>
      <c r="AN245" s="41">
        <v>75165</v>
      </c>
      <c r="AO245" s="41">
        <v>75412</v>
      </c>
      <c r="AP245" s="41">
        <v>75644</v>
      </c>
      <c r="AQ245" s="41">
        <v>75901</v>
      </c>
      <c r="AR245" s="41">
        <v>76120</v>
      </c>
      <c r="AS245" s="41">
        <v>76309</v>
      </c>
    </row>
    <row r="246" spans="1:45">
      <c r="A246" s="38" t="s">
        <v>608</v>
      </c>
      <c r="B246" s="38" t="s">
        <v>609</v>
      </c>
      <c r="C246" s="41">
        <v>91499</v>
      </c>
      <c r="D246" s="41">
        <v>92110</v>
      </c>
      <c r="E246" s="41">
        <v>92669</v>
      </c>
      <c r="F246" s="41">
        <v>93220</v>
      </c>
      <c r="G246" s="41">
        <v>94604</v>
      </c>
      <c r="H246" s="41">
        <v>94566</v>
      </c>
      <c r="I246" s="41">
        <v>94791</v>
      </c>
      <c r="J246" s="41">
        <v>95053</v>
      </c>
      <c r="K246" s="41">
        <v>95407</v>
      </c>
      <c r="L246" s="41">
        <v>96305</v>
      </c>
      <c r="M246" s="41">
        <v>96926</v>
      </c>
      <c r="N246" s="41">
        <v>97219</v>
      </c>
      <c r="O246" s="41">
        <v>97680</v>
      </c>
      <c r="P246" s="41">
        <v>98256</v>
      </c>
      <c r="Q246" s="41">
        <v>99355</v>
      </c>
      <c r="R246" s="41">
        <v>100477</v>
      </c>
      <c r="S246" s="41">
        <v>101074</v>
      </c>
      <c r="T246" s="41">
        <v>101181</v>
      </c>
      <c r="U246" s="41">
        <v>101392</v>
      </c>
      <c r="V246" s="41">
        <v>101661</v>
      </c>
      <c r="W246" s="41">
        <v>101829</v>
      </c>
      <c r="X246" s="41">
        <v>102195</v>
      </c>
      <c r="Y246" s="41">
        <v>102558</v>
      </c>
      <c r="Z246" s="41">
        <v>102931</v>
      </c>
      <c r="AA246" s="41">
        <v>103333</v>
      </c>
      <c r="AB246" s="41">
        <v>103764</v>
      </c>
      <c r="AC246" s="41">
        <v>104266</v>
      </c>
      <c r="AD246" s="41">
        <v>104800</v>
      </c>
      <c r="AE246" s="41">
        <v>105281</v>
      </c>
      <c r="AF246" s="41">
        <v>105765</v>
      </c>
      <c r="AG246" s="41">
        <v>106290</v>
      </c>
      <c r="AH246" s="41">
        <v>106836</v>
      </c>
      <c r="AI246" s="41">
        <v>107334</v>
      </c>
      <c r="AJ246" s="41">
        <v>107776</v>
      </c>
      <c r="AK246" s="41">
        <v>108217</v>
      </c>
      <c r="AL246" s="41">
        <v>108657</v>
      </c>
      <c r="AM246" s="41">
        <v>109069</v>
      </c>
      <c r="AN246" s="41">
        <v>109431</v>
      </c>
      <c r="AO246" s="41">
        <v>109731</v>
      </c>
      <c r="AP246" s="41">
        <v>110046</v>
      </c>
      <c r="AQ246" s="41">
        <v>110366</v>
      </c>
      <c r="AR246" s="41">
        <v>110670</v>
      </c>
      <c r="AS246" s="41">
        <v>110947</v>
      </c>
    </row>
    <row r="247" spans="1:45">
      <c r="A247" s="38" t="s">
        <v>610</v>
      </c>
      <c r="B247" s="38" t="s">
        <v>611</v>
      </c>
      <c r="C247" s="41">
        <v>70376</v>
      </c>
      <c r="D247" s="41">
        <v>70399</v>
      </c>
      <c r="E247" s="41">
        <v>70294</v>
      </c>
      <c r="F247" s="41">
        <v>70140</v>
      </c>
      <c r="G247" s="41">
        <v>70484</v>
      </c>
      <c r="H247" s="41">
        <v>70784</v>
      </c>
      <c r="I247" s="41">
        <v>71159</v>
      </c>
      <c r="J247" s="41">
        <v>72119</v>
      </c>
      <c r="K247" s="41">
        <v>72688</v>
      </c>
      <c r="L247" s="41">
        <v>73478</v>
      </c>
      <c r="M247" s="41">
        <v>74382</v>
      </c>
      <c r="N247" s="41">
        <v>74583</v>
      </c>
      <c r="O247" s="41">
        <v>74902</v>
      </c>
      <c r="P247" s="41">
        <v>75545</v>
      </c>
      <c r="Q247" s="41">
        <v>75960</v>
      </c>
      <c r="R247" s="41">
        <v>76436</v>
      </c>
      <c r="S247" s="41">
        <v>76819</v>
      </c>
      <c r="T247" s="41">
        <v>76942</v>
      </c>
      <c r="U247" s="41">
        <v>77432</v>
      </c>
      <c r="V247" s="41">
        <v>77863</v>
      </c>
      <c r="W247" s="41">
        <v>78247</v>
      </c>
      <c r="X247" s="41">
        <v>78909</v>
      </c>
      <c r="Y247" s="41">
        <v>79558</v>
      </c>
      <c r="Z247" s="41">
        <v>80209</v>
      </c>
      <c r="AA247" s="41">
        <v>80838</v>
      </c>
      <c r="AB247" s="41">
        <v>81439</v>
      </c>
      <c r="AC247" s="41">
        <v>82072</v>
      </c>
      <c r="AD247" s="41">
        <v>82689</v>
      </c>
      <c r="AE247" s="41">
        <v>83299</v>
      </c>
      <c r="AF247" s="41">
        <v>83903</v>
      </c>
      <c r="AG247" s="41">
        <v>84492</v>
      </c>
      <c r="AH247" s="41">
        <v>85076</v>
      </c>
      <c r="AI247" s="41">
        <v>85649</v>
      </c>
      <c r="AJ247" s="41">
        <v>86226</v>
      </c>
      <c r="AK247" s="41">
        <v>86791</v>
      </c>
      <c r="AL247" s="41">
        <v>87361</v>
      </c>
      <c r="AM247" s="41">
        <v>87910</v>
      </c>
      <c r="AN247" s="41">
        <v>88464</v>
      </c>
      <c r="AO247" s="41">
        <v>89014</v>
      </c>
      <c r="AP247" s="41">
        <v>89547</v>
      </c>
      <c r="AQ247" s="41">
        <v>90107</v>
      </c>
      <c r="AR247" s="41">
        <v>90655</v>
      </c>
      <c r="AS247" s="41">
        <v>91194</v>
      </c>
    </row>
    <row r="248" spans="1:45">
      <c r="A248" s="38" t="s">
        <v>612</v>
      </c>
      <c r="B248" s="38" t="s">
        <v>613</v>
      </c>
      <c r="C248" s="41">
        <v>110391</v>
      </c>
      <c r="D248" s="41">
        <v>109871</v>
      </c>
      <c r="E248" s="41">
        <v>109061</v>
      </c>
      <c r="F248" s="41">
        <v>109306</v>
      </c>
      <c r="G248" s="41">
        <v>110790</v>
      </c>
      <c r="H248" s="41">
        <v>112606</v>
      </c>
      <c r="I248" s="41">
        <v>113951</v>
      </c>
      <c r="J248" s="41">
        <v>115451</v>
      </c>
      <c r="K248" s="41">
        <v>116944</v>
      </c>
      <c r="L248" s="41">
        <v>117762</v>
      </c>
      <c r="M248" s="41">
        <v>119160</v>
      </c>
      <c r="N248" s="41">
        <v>120918</v>
      </c>
      <c r="O248" s="41">
        <v>122836</v>
      </c>
      <c r="P248" s="41">
        <v>124587</v>
      </c>
      <c r="Q248" s="41">
        <v>126750</v>
      </c>
      <c r="R248" s="41">
        <v>128381</v>
      </c>
      <c r="S248" s="41">
        <v>129447</v>
      </c>
      <c r="T248" s="41">
        <v>130589</v>
      </c>
      <c r="U248" s="41">
        <v>131864</v>
      </c>
      <c r="V248" s="41">
        <v>133033</v>
      </c>
      <c r="W248" s="41">
        <v>134059</v>
      </c>
      <c r="X248" s="41">
        <v>135520</v>
      </c>
      <c r="Y248" s="41">
        <v>136846</v>
      </c>
      <c r="Z248" s="41">
        <v>138087</v>
      </c>
      <c r="AA248" s="41">
        <v>139276</v>
      </c>
      <c r="AB248" s="41">
        <v>140414</v>
      </c>
      <c r="AC248" s="41">
        <v>141531</v>
      </c>
      <c r="AD248" s="41">
        <v>142616</v>
      </c>
      <c r="AE248" s="41">
        <v>143680</v>
      </c>
      <c r="AF248" s="41">
        <v>144755</v>
      </c>
      <c r="AG248" s="41">
        <v>145859</v>
      </c>
      <c r="AH248" s="41">
        <v>146964</v>
      </c>
      <c r="AI248" s="41">
        <v>148084</v>
      </c>
      <c r="AJ248" s="41">
        <v>149175</v>
      </c>
      <c r="AK248" s="41">
        <v>150268</v>
      </c>
      <c r="AL248" s="41">
        <v>151390</v>
      </c>
      <c r="AM248" s="41">
        <v>152503</v>
      </c>
      <c r="AN248" s="41">
        <v>153571</v>
      </c>
      <c r="AO248" s="41">
        <v>154565</v>
      </c>
      <c r="AP248" s="41">
        <v>155519</v>
      </c>
      <c r="AQ248" s="41">
        <v>156457</v>
      </c>
      <c r="AR248" s="41">
        <v>157327</v>
      </c>
      <c r="AS248" s="41">
        <v>158109</v>
      </c>
    </row>
    <row r="249" spans="1:45">
      <c r="A249" s="38" t="s">
        <v>614</v>
      </c>
      <c r="B249" s="38" t="s">
        <v>615</v>
      </c>
      <c r="C249" s="41">
        <v>38150</v>
      </c>
      <c r="D249" s="41">
        <v>37995</v>
      </c>
      <c r="E249" s="41">
        <v>37867</v>
      </c>
      <c r="F249" s="41">
        <v>37759</v>
      </c>
      <c r="G249" s="41">
        <v>37800</v>
      </c>
      <c r="H249" s="41">
        <v>37980</v>
      </c>
      <c r="I249" s="41">
        <v>38234</v>
      </c>
      <c r="J249" s="41">
        <v>38553</v>
      </c>
      <c r="K249" s="41">
        <v>38830</v>
      </c>
      <c r="L249" s="41">
        <v>39090</v>
      </c>
      <c r="M249" s="41">
        <v>39463</v>
      </c>
      <c r="N249" s="41">
        <v>39768</v>
      </c>
      <c r="O249" s="41">
        <v>39895</v>
      </c>
      <c r="P249" s="41">
        <v>40037</v>
      </c>
      <c r="Q249" s="41">
        <v>40096</v>
      </c>
      <c r="R249" s="41">
        <v>40157</v>
      </c>
      <c r="S249" s="41">
        <v>40199</v>
      </c>
      <c r="T249" s="41">
        <v>40133</v>
      </c>
      <c r="U249" s="41">
        <v>40174</v>
      </c>
      <c r="V249" s="41">
        <v>40194</v>
      </c>
      <c r="W249" s="41">
        <v>40200</v>
      </c>
      <c r="X249" s="41">
        <v>40327</v>
      </c>
      <c r="Y249" s="41">
        <v>40447</v>
      </c>
      <c r="Z249" s="41">
        <v>40555</v>
      </c>
      <c r="AA249" s="41">
        <v>40666</v>
      </c>
      <c r="AB249" s="41">
        <v>40763</v>
      </c>
      <c r="AC249" s="41">
        <v>40874</v>
      </c>
      <c r="AD249" s="41">
        <v>40978</v>
      </c>
      <c r="AE249" s="41">
        <v>41087</v>
      </c>
      <c r="AF249" s="41">
        <v>41198</v>
      </c>
      <c r="AG249" s="41">
        <v>41308</v>
      </c>
      <c r="AH249" s="41">
        <v>41428</v>
      </c>
      <c r="AI249" s="41">
        <v>41556</v>
      </c>
      <c r="AJ249" s="41">
        <v>41677</v>
      </c>
      <c r="AK249" s="41">
        <v>41800</v>
      </c>
      <c r="AL249" s="41">
        <v>41923</v>
      </c>
      <c r="AM249" s="41">
        <v>42046</v>
      </c>
      <c r="AN249" s="41">
        <v>42172</v>
      </c>
      <c r="AO249" s="41">
        <v>42293</v>
      </c>
      <c r="AP249" s="41">
        <v>42405</v>
      </c>
      <c r="AQ249" s="41">
        <v>42529</v>
      </c>
      <c r="AR249" s="41">
        <v>42651</v>
      </c>
      <c r="AS249" s="41">
        <v>42766</v>
      </c>
    </row>
    <row r="250" spans="1:45">
      <c r="A250" s="38" t="s">
        <v>616</v>
      </c>
      <c r="B250" s="38" t="s">
        <v>617</v>
      </c>
      <c r="C250" s="41">
        <v>52302</v>
      </c>
      <c r="D250" s="41">
        <v>52643</v>
      </c>
      <c r="E250" s="41">
        <v>52854</v>
      </c>
      <c r="F250" s="41">
        <v>52740</v>
      </c>
      <c r="G250" s="41">
        <v>52947</v>
      </c>
      <c r="H250" s="41">
        <v>53292</v>
      </c>
      <c r="I250" s="41">
        <v>53607</v>
      </c>
      <c r="J250" s="41">
        <v>54175</v>
      </c>
      <c r="K250" s="41">
        <v>54789</v>
      </c>
      <c r="L250" s="41">
        <v>55308</v>
      </c>
      <c r="M250" s="41">
        <v>55959</v>
      </c>
      <c r="N250" s="41">
        <v>56301</v>
      </c>
      <c r="O250" s="41">
        <v>56704</v>
      </c>
      <c r="P250" s="41">
        <v>57232</v>
      </c>
      <c r="Q250" s="41">
        <v>57491</v>
      </c>
      <c r="R250" s="41">
        <v>57726</v>
      </c>
      <c r="S250" s="41">
        <v>57798</v>
      </c>
      <c r="T250" s="41">
        <v>57910</v>
      </c>
      <c r="U250" s="41">
        <v>58155</v>
      </c>
      <c r="V250" s="41">
        <v>58304</v>
      </c>
      <c r="W250" s="41">
        <v>58472</v>
      </c>
      <c r="X250" s="41">
        <v>58747</v>
      </c>
      <c r="Y250" s="41">
        <v>59001</v>
      </c>
      <c r="Z250" s="41">
        <v>59261</v>
      </c>
      <c r="AA250" s="41">
        <v>59469</v>
      </c>
      <c r="AB250" s="41">
        <v>59685</v>
      </c>
      <c r="AC250" s="41">
        <v>59907</v>
      </c>
      <c r="AD250" s="41">
        <v>60116</v>
      </c>
      <c r="AE250" s="41">
        <v>60321</v>
      </c>
      <c r="AF250" s="41">
        <v>60508</v>
      </c>
      <c r="AG250" s="41">
        <v>60700</v>
      </c>
      <c r="AH250" s="41">
        <v>60880</v>
      </c>
      <c r="AI250" s="41">
        <v>61073</v>
      </c>
      <c r="AJ250" s="41">
        <v>61263</v>
      </c>
      <c r="AK250" s="41">
        <v>61443</v>
      </c>
      <c r="AL250" s="41">
        <v>61630</v>
      </c>
      <c r="AM250" s="41">
        <v>61802</v>
      </c>
      <c r="AN250" s="41">
        <v>61985</v>
      </c>
      <c r="AO250" s="41">
        <v>62152</v>
      </c>
      <c r="AP250" s="41">
        <v>62320</v>
      </c>
      <c r="AQ250" s="41">
        <v>62508</v>
      </c>
      <c r="AR250" s="41">
        <v>62703</v>
      </c>
      <c r="AS250" s="41">
        <v>62885</v>
      </c>
    </row>
    <row r="251" spans="1:45">
      <c r="A251" s="38" t="s">
        <v>618</v>
      </c>
      <c r="B251" s="38" t="s">
        <v>619</v>
      </c>
      <c r="C251" s="41">
        <v>72191</v>
      </c>
      <c r="D251" s="41">
        <v>72369</v>
      </c>
      <c r="E251" s="41">
        <v>72695</v>
      </c>
      <c r="F251" s="41">
        <v>72964</v>
      </c>
      <c r="G251" s="41">
        <v>73157</v>
      </c>
      <c r="H251" s="41">
        <v>73402</v>
      </c>
      <c r="I251" s="41">
        <v>73602</v>
      </c>
      <c r="J251" s="41">
        <v>74010</v>
      </c>
      <c r="K251" s="41">
        <v>74354</v>
      </c>
      <c r="L251" s="41">
        <v>74712</v>
      </c>
      <c r="M251" s="41">
        <v>75452</v>
      </c>
      <c r="N251" s="41">
        <v>76020</v>
      </c>
      <c r="O251" s="41">
        <v>76347</v>
      </c>
      <c r="P251" s="41">
        <v>76881</v>
      </c>
      <c r="Q251" s="41">
        <v>77326</v>
      </c>
      <c r="R251" s="41">
        <v>77931</v>
      </c>
      <c r="S251" s="41">
        <v>78504</v>
      </c>
      <c r="T251" s="41">
        <v>79040</v>
      </c>
      <c r="U251" s="41">
        <v>79645</v>
      </c>
      <c r="V251" s="41">
        <v>80153</v>
      </c>
      <c r="W251" s="41">
        <v>80661</v>
      </c>
      <c r="X251" s="41">
        <v>81147</v>
      </c>
      <c r="Y251" s="41">
        <v>81587</v>
      </c>
      <c r="Z251" s="41">
        <v>82001</v>
      </c>
      <c r="AA251" s="41">
        <v>82366</v>
      </c>
      <c r="AB251" s="41">
        <v>82750</v>
      </c>
      <c r="AC251" s="41">
        <v>83147</v>
      </c>
      <c r="AD251" s="41">
        <v>83526</v>
      </c>
      <c r="AE251" s="41">
        <v>83884</v>
      </c>
      <c r="AF251" s="41">
        <v>84219</v>
      </c>
      <c r="AG251" s="41">
        <v>84577</v>
      </c>
      <c r="AH251" s="41">
        <v>84949</v>
      </c>
      <c r="AI251" s="41">
        <v>85301</v>
      </c>
      <c r="AJ251" s="41">
        <v>85678</v>
      </c>
      <c r="AK251" s="41">
        <v>86032</v>
      </c>
      <c r="AL251" s="41">
        <v>86412</v>
      </c>
      <c r="AM251" s="41">
        <v>86795</v>
      </c>
      <c r="AN251" s="41">
        <v>87161</v>
      </c>
      <c r="AO251" s="41">
        <v>87532</v>
      </c>
      <c r="AP251" s="41">
        <v>87897</v>
      </c>
      <c r="AQ251" s="41">
        <v>88290</v>
      </c>
      <c r="AR251" s="41">
        <v>88670</v>
      </c>
      <c r="AS251" s="41">
        <v>89010</v>
      </c>
    </row>
    <row r="252" spans="1:45">
      <c r="A252" s="38" t="s">
        <v>620</v>
      </c>
      <c r="B252" s="38" t="s">
        <v>621</v>
      </c>
      <c r="C252" s="41">
        <v>49742</v>
      </c>
      <c r="D252" s="41">
        <v>50222</v>
      </c>
      <c r="E252" s="41">
        <v>50894</v>
      </c>
      <c r="F252" s="41">
        <v>51472</v>
      </c>
      <c r="G252" s="41">
        <v>52076</v>
      </c>
      <c r="H252" s="41">
        <v>52751</v>
      </c>
      <c r="I252" s="41">
        <v>53418</v>
      </c>
      <c r="J252" s="41">
        <v>54124</v>
      </c>
      <c r="K252" s="41">
        <v>54623</v>
      </c>
      <c r="L252" s="41">
        <v>55135</v>
      </c>
      <c r="M252" s="41">
        <v>55559</v>
      </c>
      <c r="N252" s="41">
        <v>55975</v>
      </c>
      <c r="O252" s="41">
        <v>56382</v>
      </c>
      <c r="P252" s="41">
        <v>56692</v>
      </c>
      <c r="Q252" s="41">
        <v>57024</v>
      </c>
      <c r="R252" s="41">
        <v>57733</v>
      </c>
      <c r="S252" s="41">
        <v>58489</v>
      </c>
      <c r="T252" s="41">
        <v>59157</v>
      </c>
      <c r="U252" s="41">
        <v>59873</v>
      </c>
      <c r="V252" s="41">
        <v>60508</v>
      </c>
      <c r="W252" s="41">
        <v>61134</v>
      </c>
      <c r="X252" s="41">
        <v>61736</v>
      </c>
      <c r="Y252" s="41">
        <v>62345</v>
      </c>
      <c r="Z252" s="41">
        <v>62909</v>
      </c>
      <c r="AA252" s="41">
        <v>63426</v>
      </c>
      <c r="AB252" s="41">
        <v>63926</v>
      </c>
      <c r="AC252" s="41">
        <v>64439</v>
      </c>
      <c r="AD252" s="41">
        <v>64943</v>
      </c>
      <c r="AE252" s="41">
        <v>65415</v>
      </c>
      <c r="AF252" s="41">
        <v>65857</v>
      </c>
      <c r="AG252" s="41">
        <v>66298</v>
      </c>
      <c r="AH252" s="41">
        <v>66744</v>
      </c>
      <c r="AI252" s="41">
        <v>67182</v>
      </c>
      <c r="AJ252" s="41">
        <v>67610</v>
      </c>
      <c r="AK252" s="41">
        <v>68028</v>
      </c>
      <c r="AL252" s="41">
        <v>68443</v>
      </c>
      <c r="AM252" s="41">
        <v>68872</v>
      </c>
      <c r="AN252" s="41">
        <v>69302</v>
      </c>
      <c r="AO252" s="41">
        <v>69728</v>
      </c>
      <c r="AP252" s="41">
        <v>70150</v>
      </c>
      <c r="AQ252" s="41">
        <v>70573</v>
      </c>
      <c r="AR252" s="41">
        <v>70992</v>
      </c>
      <c r="AS252" s="41">
        <v>71395</v>
      </c>
    </row>
    <row r="253" spans="1:45">
      <c r="A253" s="38" t="s">
        <v>622</v>
      </c>
      <c r="B253" s="38" t="s">
        <v>623</v>
      </c>
      <c r="C253" s="41">
        <v>38640</v>
      </c>
      <c r="D253" s="41">
        <v>39044</v>
      </c>
      <c r="E253" s="41">
        <v>39251</v>
      </c>
      <c r="F253" s="41">
        <v>39494</v>
      </c>
      <c r="G253" s="41">
        <v>39803</v>
      </c>
      <c r="H253" s="41">
        <v>40146</v>
      </c>
      <c r="I253" s="41">
        <v>40507</v>
      </c>
      <c r="J253" s="41">
        <v>40847</v>
      </c>
      <c r="K253" s="41">
        <v>41074</v>
      </c>
      <c r="L253" s="41">
        <v>41280</v>
      </c>
      <c r="M253" s="41">
        <v>41748</v>
      </c>
      <c r="N253" s="41">
        <v>41952</v>
      </c>
      <c r="O253" s="41">
        <v>42154</v>
      </c>
      <c r="P253" s="41">
        <v>42441</v>
      </c>
      <c r="Q253" s="41">
        <v>42628</v>
      </c>
      <c r="R253" s="41">
        <v>42837</v>
      </c>
      <c r="S253" s="41">
        <v>43102</v>
      </c>
      <c r="T253" s="41">
        <v>43222</v>
      </c>
      <c r="U253" s="41">
        <v>43474</v>
      </c>
      <c r="V253" s="41">
        <v>43692</v>
      </c>
      <c r="W253" s="41">
        <v>43888</v>
      </c>
      <c r="X253" s="41">
        <v>44082</v>
      </c>
      <c r="Y253" s="41">
        <v>44267</v>
      </c>
      <c r="Z253" s="41">
        <v>44437</v>
      </c>
      <c r="AA253" s="41">
        <v>44605</v>
      </c>
      <c r="AB253" s="41">
        <v>44744</v>
      </c>
      <c r="AC253" s="41">
        <v>44884</v>
      </c>
      <c r="AD253" s="41">
        <v>45029</v>
      </c>
      <c r="AE253" s="41">
        <v>45147</v>
      </c>
      <c r="AF253" s="41">
        <v>45262</v>
      </c>
      <c r="AG253" s="41">
        <v>45370</v>
      </c>
      <c r="AH253" s="41">
        <v>45468</v>
      </c>
      <c r="AI253" s="41">
        <v>45584</v>
      </c>
      <c r="AJ253" s="41">
        <v>45692</v>
      </c>
      <c r="AK253" s="41">
        <v>45796</v>
      </c>
      <c r="AL253" s="41">
        <v>45919</v>
      </c>
      <c r="AM253" s="41">
        <v>46032</v>
      </c>
      <c r="AN253" s="41">
        <v>46158</v>
      </c>
      <c r="AO253" s="41">
        <v>46287</v>
      </c>
      <c r="AP253" s="41">
        <v>46414</v>
      </c>
      <c r="AQ253" s="41">
        <v>46566</v>
      </c>
      <c r="AR253" s="41">
        <v>46712</v>
      </c>
      <c r="AS253" s="41">
        <v>46846</v>
      </c>
    </row>
    <row r="254" spans="1:45">
      <c r="A254" s="38" t="s">
        <v>624</v>
      </c>
      <c r="B254" s="38" t="s">
        <v>625</v>
      </c>
      <c r="C254" s="41">
        <v>32473</v>
      </c>
      <c r="D254" s="41">
        <v>32669</v>
      </c>
      <c r="E254" s="41">
        <v>32794</v>
      </c>
      <c r="F254" s="41">
        <v>32669</v>
      </c>
      <c r="G254" s="41">
        <v>32842</v>
      </c>
      <c r="H254" s="41">
        <v>32904</v>
      </c>
      <c r="I254" s="41">
        <v>33077</v>
      </c>
      <c r="J254" s="41">
        <v>33474</v>
      </c>
      <c r="K254" s="41">
        <v>33797</v>
      </c>
      <c r="L254" s="41">
        <v>34124</v>
      </c>
      <c r="M254" s="41">
        <v>34741</v>
      </c>
      <c r="N254" s="41">
        <v>35074</v>
      </c>
      <c r="O254" s="41">
        <v>35445</v>
      </c>
      <c r="P254" s="41">
        <v>35708</v>
      </c>
      <c r="Q254" s="41">
        <v>36037</v>
      </c>
      <c r="R254" s="41">
        <v>36331</v>
      </c>
      <c r="S254" s="41">
        <v>36515</v>
      </c>
      <c r="T254" s="41">
        <v>36558</v>
      </c>
      <c r="U254" s="41">
        <v>36695</v>
      </c>
      <c r="V254" s="41">
        <v>36816</v>
      </c>
      <c r="W254" s="41">
        <v>36906</v>
      </c>
      <c r="X254" s="41">
        <v>37027</v>
      </c>
      <c r="Y254" s="41">
        <v>37155</v>
      </c>
      <c r="Z254" s="41">
        <v>37273</v>
      </c>
      <c r="AA254" s="41">
        <v>37393</v>
      </c>
      <c r="AB254" s="41">
        <v>37515</v>
      </c>
      <c r="AC254" s="41">
        <v>37645</v>
      </c>
      <c r="AD254" s="41">
        <v>37777</v>
      </c>
      <c r="AE254" s="41">
        <v>37912</v>
      </c>
      <c r="AF254" s="41">
        <v>38053</v>
      </c>
      <c r="AG254" s="41">
        <v>38198</v>
      </c>
      <c r="AH254" s="41">
        <v>38355</v>
      </c>
      <c r="AI254" s="41">
        <v>38518</v>
      </c>
      <c r="AJ254" s="41">
        <v>38679</v>
      </c>
      <c r="AK254" s="41">
        <v>38840</v>
      </c>
      <c r="AL254" s="41">
        <v>39012</v>
      </c>
      <c r="AM254" s="41">
        <v>39184</v>
      </c>
      <c r="AN254" s="41">
        <v>39357</v>
      </c>
      <c r="AO254" s="41">
        <v>39521</v>
      </c>
      <c r="AP254" s="41">
        <v>39672</v>
      </c>
      <c r="AQ254" s="41">
        <v>39825</v>
      </c>
      <c r="AR254" s="41">
        <v>39976</v>
      </c>
      <c r="AS254" s="41">
        <v>40122</v>
      </c>
    </row>
    <row r="255" spans="1:45">
      <c r="A255" s="38" t="s">
        <v>626</v>
      </c>
      <c r="B255" s="38" t="s">
        <v>627</v>
      </c>
      <c r="C255" s="41">
        <v>119585</v>
      </c>
      <c r="D255" s="41">
        <v>119422</v>
      </c>
      <c r="E255" s="41">
        <v>119480</v>
      </c>
      <c r="F255" s="41">
        <v>119415</v>
      </c>
      <c r="G255" s="41">
        <v>119185</v>
      </c>
      <c r="H255" s="41">
        <v>119176</v>
      </c>
      <c r="I255" s="41">
        <v>119465</v>
      </c>
      <c r="J255" s="41">
        <v>119873</v>
      </c>
      <c r="K255" s="41">
        <v>120317</v>
      </c>
      <c r="L255" s="41">
        <v>120722</v>
      </c>
      <c r="M255" s="41">
        <v>121313</v>
      </c>
      <c r="N255" s="41">
        <v>121684</v>
      </c>
      <c r="O255" s="41">
        <v>122202</v>
      </c>
      <c r="P255" s="41">
        <v>122895</v>
      </c>
      <c r="Q255" s="41">
        <v>123704</v>
      </c>
      <c r="R255" s="41">
        <v>124374</v>
      </c>
      <c r="S255" s="41">
        <v>125052</v>
      </c>
      <c r="T255" s="41">
        <v>125410</v>
      </c>
      <c r="U255" s="41">
        <v>126089</v>
      </c>
      <c r="V255" s="41">
        <v>126662</v>
      </c>
      <c r="W255" s="41">
        <v>127221</v>
      </c>
      <c r="X255" s="41">
        <v>127935</v>
      </c>
      <c r="Y255" s="41">
        <v>128557</v>
      </c>
      <c r="Z255" s="41">
        <v>129186</v>
      </c>
      <c r="AA255" s="41">
        <v>129786</v>
      </c>
      <c r="AB255" s="41">
        <v>130394</v>
      </c>
      <c r="AC255" s="41">
        <v>131048</v>
      </c>
      <c r="AD255" s="41">
        <v>131654</v>
      </c>
      <c r="AE255" s="41">
        <v>132274</v>
      </c>
      <c r="AF255" s="41">
        <v>132893</v>
      </c>
      <c r="AG255" s="41">
        <v>133529</v>
      </c>
      <c r="AH255" s="41">
        <v>134178</v>
      </c>
      <c r="AI255" s="41">
        <v>134819</v>
      </c>
      <c r="AJ255" s="41">
        <v>135453</v>
      </c>
      <c r="AK255" s="41">
        <v>136103</v>
      </c>
      <c r="AL255" s="41">
        <v>136757</v>
      </c>
      <c r="AM255" s="41">
        <v>137389</v>
      </c>
      <c r="AN255" s="41">
        <v>138018</v>
      </c>
      <c r="AO255" s="41">
        <v>138634</v>
      </c>
      <c r="AP255" s="41">
        <v>139247</v>
      </c>
      <c r="AQ255" s="41">
        <v>139891</v>
      </c>
      <c r="AR255" s="41">
        <v>140540</v>
      </c>
      <c r="AS255" s="41">
        <v>141123</v>
      </c>
    </row>
    <row r="256" spans="1:45">
      <c r="A256" s="38" t="s">
        <v>628</v>
      </c>
      <c r="B256" s="38" t="s">
        <v>629</v>
      </c>
      <c r="C256" s="41">
        <v>73878</v>
      </c>
      <c r="D256" s="41">
        <v>74568</v>
      </c>
      <c r="E256" s="41">
        <v>75134</v>
      </c>
      <c r="F256" s="41">
        <v>75348</v>
      </c>
      <c r="G256" s="41">
        <v>75897</v>
      </c>
      <c r="H256" s="41">
        <v>76340</v>
      </c>
      <c r="I256" s="41">
        <v>76740</v>
      </c>
      <c r="J256" s="41">
        <v>77273</v>
      </c>
      <c r="K256" s="41">
        <v>77747</v>
      </c>
      <c r="L256" s="41">
        <v>78338</v>
      </c>
      <c r="M256" s="41">
        <v>78801</v>
      </c>
      <c r="N256" s="41">
        <v>79258</v>
      </c>
      <c r="O256" s="41">
        <v>79774</v>
      </c>
      <c r="P256" s="41">
        <v>80291</v>
      </c>
      <c r="Q256" s="41">
        <v>80642</v>
      </c>
      <c r="R256" s="41">
        <v>81123</v>
      </c>
      <c r="S256" s="41">
        <v>81506</v>
      </c>
      <c r="T256" s="41">
        <v>82137</v>
      </c>
      <c r="U256" s="41">
        <v>82609</v>
      </c>
      <c r="V256" s="41">
        <v>82989</v>
      </c>
      <c r="W256" s="41">
        <v>83315</v>
      </c>
      <c r="X256" s="41">
        <v>83703</v>
      </c>
      <c r="Y256" s="41">
        <v>84043</v>
      </c>
      <c r="Z256" s="41">
        <v>84390</v>
      </c>
      <c r="AA256" s="41">
        <v>84701</v>
      </c>
      <c r="AB256" s="41">
        <v>85013</v>
      </c>
      <c r="AC256" s="41">
        <v>85351</v>
      </c>
      <c r="AD256" s="41">
        <v>85679</v>
      </c>
      <c r="AE256" s="41">
        <v>85986</v>
      </c>
      <c r="AF256" s="41">
        <v>86293</v>
      </c>
      <c r="AG256" s="41">
        <v>86609</v>
      </c>
      <c r="AH256" s="41">
        <v>86923</v>
      </c>
      <c r="AI256" s="41">
        <v>87236</v>
      </c>
      <c r="AJ256" s="41">
        <v>87519</v>
      </c>
      <c r="AK256" s="41">
        <v>87807</v>
      </c>
      <c r="AL256" s="41">
        <v>88086</v>
      </c>
      <c r="AM256" s="41">
        <v>88368</v>
      </c>
      <c r="AN256" s="41">
        <v>88626</v>
      </c>
      <c r="AO256" s="41">
        <v>88837</v>
      </c>
      <c r="AP256" s="41">
        <v>89053</v>
      </c>
      <c r="AQ256" s="41">
        <v>89259</v>
      </c>
      <c r="AR256" s="41">
        <v>89453</v>
      </c>
      <c r="AS256" s="41">
        <v>89588</v>
      </c>
    </row>
    <row r="257" spans="1:45">
      <c r="A257" s="38" t="s">
        <v>630</v>
      </c>
      <c r="B257" s="38" t="s">
        <v>631</v>
      </c>
      <c r="C257" s="41">
        <v>102089</v>
      </c>
      <c r="D257" s="41">
        <v>102140</v>
      </c>
      <c r="E257" s="41">
        <v>102305</v>
      </c>
      <c r="F257" s="41">
        <v>102684</v>
      </c>
      <c r="G257" s="41">
        <v>103085</v>
      </c>
      <c r="H257" s="41">
        <v>103722</v>
      </c>
      <c r="I257" s="41">
        <v>104003</v>
      </c>
      <c r="J257" s="41">
        <v>104535</v>
      </c>
      <c r="K257" s="41">
        <v>104786</v>
      </c>
      <c r="L257" s="41">
        <v>105542</v>
      </c>
      <c r="M257" s="41">
        <v>106620</v>
      </c>
      <c r="N257" s="41">
        <v>106925</v>
      </c>
      <c r="O257" s="41">
        <v>107169</v>
      </c>
      <c r="P257" s="41">
        <v>107572</v>
      </c>
      <c r="Q257" s="41">
        <v>107954</v>
      </c>
      <c r="R257" s="41">
        <v>108759</v>
      </c>
      <c r="S257" s="41">
        <v>109499</v>
      </c>
      <c r="T257" s="41">
        <v>109695</v>
      </c>
      <c r="U257" s="41">
        <v>110242</v>
      </c>
      <c r="V257" s="41">
        <v>110695</v>
      </c>
      <c r="W257" s="41">
        <v>111074</v>
      </c>
      <c r="X257" s="41">
        <v>111537</v>
      </c>
      <c r="Y257" s="41">
        <v>111975</v>
      </c>
      <c r="Z257" s="41">
        <v>112436</v>
      </c>
      <c r="AA257" s="41">
        <v>112864</v>
      </c>
      <c r="AB257" s="41">
        <v>113256</v>
      </c>
      <c r="AC257" s="41">
        <v>113703</v>
      </c>
      <c r="AD257" s="41">
        <v>114178</v>
      </c>
      <c r="AE257" s="41">
        <v>114623</v>
      </c>
      <c r="AF257" s="41">
        <v>115063</v>
      </c>
      <c r="AG257" s="41">
        <v>115517</v>
      </c>
      <c r="AH257" s="41">
        <v>116005</v>
      </c>
      <c r="AI257" s="41">
        <v>116501</v>
      </c>
      <c r="AJ257" s="41">
        <v>116971</v>
      </c>
      <c r="AK257" s="41">
        <v>117427</v>
      </c>
      <c r="AL257" s="41">
        <v>117911</v>
      </c>
      <c r="AM257" s="41">
        <v>118391</v>
      </c>
      <c r="AN257" s="41">
        <v>118852</v>
      </c>
      <c r="AO257" s="41">
        <v>119276</v>
      </c>
      <c r="AP257" s="41">
        <v>119704</v>
      </c>
      <c r="AQ257" s="41">
        <v>120152</v>
      </c>
      <c r="AR257" s="41">
        <v>120582</v>
      </c>
      <c r="AS257" s="41">
        <v>120967</v>
      </c>
    </row>
    <row r="258" spans="1:45">
      <c r="A258" s="38" t="s">
        <v>632</v>
      </c>
      <c r="B258" s="38" t="s">
        <v>633</v>
      </c>
      <c r="C258" s="41">
        <v>46968</v>
      </c>
      <c r="D258" s="41">
        <v>47301</v>
      </c>
      <c r="E258" s="41">
        <v>47714</v>
      </c>
      <c r="F258" s="41">
        <v>48013</v>
      </c>
      <c r="G258" s="41">
        <v>48626</v>
      </c>
      <c r="H258" s="41">
        <v>49490</v>
      </c>
      <c r="I258" s="41">
        <v>50196</v>
      </c>
      <c r="J258" s="41">
        <v>50846</v>
      </c>
      <c r="K258" s="41">
        <v>51065</v>
      </c>
      <c r="L258" s="41">
        <v>51461</v>
      </c>
      <c r="M258" s="41">
        <v>51961</v>
      </c>
      <c r="N258" s="41">
        <v>52243</v>
      </c>
      <c r="O258" s="41">
        <v>52518</v>
      </c>
      <c r="P258" s="41">
        <v>52839</v>
      </c>
      <c r="Q258" s="41">
        <v>53144</v>
      </c>
      <c r="R258" s="41">
        <v>53650</v>
      </c>
      <c r="S258" s="41">
        <v>54384</v>
      </c>
      <c r="T258" s="41">
        <v>55299</v>
      </c>
      <c r="U258" s="41">
        <v>56209</v>
      </c>
      <c r="V258" s="41">
        <v>57054</v>
      </c>
      <c r="W258" s="41">
        <v>57884</v>
      </c>
      <c r="X258" s="41">
        <v>58754</v>
      </c>
      <c r="Y258" s="41">
        <v>59591</v>
      </c>
      <c r="Z258" s="41">
        <v>60428</v>
      </c>
      <c r="AA258" s="41">
        <v>61223</v>
      </c>
      <c r="AB258" s="41">
        <v>61985</v>
      </c>
      <c r="AC258" s="41">
        <v>62756</v>
      </c>
      <c r="AD258" s="41">
        <v>63485</v>
      </c>
      <c r="AE258" s="41">
        <v>64213</v>
      </c>
      <c r="AF258" s="41">
        <v>64912</v>
      </c>
      <c r="AG258" s="41">
        <v>65602</v>
      </c>
      <c r="AH258" s="41">
        <v>66288</v>
      </c>
      <c r="AI258" s="41">
        <v>66949</v>
      </c>
      <c r="AJ258" s="41">
        <v>67599</v>
      </c>
      <c r="AK258" s="41">
        <v>68228</v>
      </c>
      <c r="AL258" s="41">
        <v>68861</v>
      </c>
      <c r="AM258" s="41">
        <v>69487</v>
      </c>
      <c r="AN258" s="41">
        <v>70111</v>
      </c>
      <c r="AO258" s="41">
        <v>70730</v>
      </c>
      <c r="AP258" s="41">
        <v>71341</v>
      </c>
      <c r="AQ258" s="41">
        <v>71978</v>
      </c>
      <c r="AR258" s="41">
        <v>72596</v>
      </c>
      <c r="AS258" s="41">
        <v>73183</v>
      </c>
    </row>
    <row r="259" spans="1:45">
      <c r="A259" s="38" t="s">
        <v>634</v>
      </c>
      <c r="B259" s="38" t="s">
        <v>635</v>
      </c>
      <c r="C259" s="41">
        <v>44447</v>
      </c>
      <c r="D259" s="41">
        <v>44621</v>
      </c>
      <c r="E259" s="41">
        <v>44890</v>
      </c>
      <c r="F259" s="41">
        <v>45223</v>
      </c>
      <c r="G259" s="41">
        <v>45569</v>
      </c>
      <c r="H259" s="41">
        <v>45773</v>
      </c>
      <c r="I259" s="41">
        <v>46078</v>
      </c>
      <c r="J259" s="41">
        <v>46251</v>
      </c>
      <c r="K259" s="41">
        <v>46566</v>
      </c>
      <c r="L259" s="41">
        <v>46942</v>
      </c>
      <c r="M259" s="41">
        <v>47740</v>
      </c>
      <c r="N259" s="41">
        <v>48018</v>
      </c>
      <c r="O259" s="41">
        <v>48371</v>
      </c>
      <c r="P259" s="41">
        <v>48885</v>
      </c>
      <c r="Q259" s="41">
        <v>49475</v>
      </c>
      <c r="R259" s="41">
        <v>49789</v>
      </c>
      <c r="S259" s="41">
        <v>50136</v>
      </c>
      <c r="T259" s="41">
        <v>50564</v>
      </c>
      <c r="U259" s="41">
        <v>51041</v>
      </c>
      <c r="V259" s="41">
        <v>51476</v>
      </c>
      <c r="W259" s="41">
        <v>51874</v>
      </c>
      <c r="X259" s="41">
        <v>52390</v>
      </c>
      <c r="Y259" s="41">
        <v>52892</v>
      </c>
      <c r="Z259" s="41">
        <v>53391</v>
      </c>
      <c r="AA259" s="41">
        <v>53863</v>
      </c>
      <c r="AB259" s="41">
        <v>54323</v>
      </c>
      <c r="AC259" s="41">
        <v>54787</v>
      </c>
      <c r="AD259" s="41">
        <v>55241</v>
      </c>
      <c r="AE259" s="41">
        <v>55693</v>
      </c>
      <c r="AF259" s="41">
        <v>56132</v>
      </c>
      <c r="AG259" s="41">
        <v>56570</v>
      </c>
      <c r="AH259" s="41">
        <v>56988</v>
      </c>
      <c r="AI259" s="41">
        <v>57399</v>
      </c>
      <c r="AJ259" s="41">
        <v>57803</v>
      </c>
      <c r="AK259" s="41">
        <v>58197</v>
      </c>
      <c r="AL259" s="41">
        <v>58588</v>
      </c>
      <c r="AM259" s="41">
        <v>58972</v>
      </c>
      <c r="AN259" s="41">
        <v>59347</v>
      </c>
      <c r="AO259" s="41">
        <v>59713</v>
      </c>
      <c r="AP259" s="41">
        <v>60084</v>
      </c>
      <c r="AQ259" s="41">
        <v>60466</v>
      </c>
      <c r="AR259" s="41">
        <v>60862</v>
      </c>
      <c r="AS259" s="41">
        <v>61230</v>
      </c>
    </row>
    <row r="260" spans="1:45">
      <c r="A260" s="38" t="s">
        <v>636</v>
      </c>
      <c r="B260" s="38" t="s">
        <v>637</v>
      </c>
      <c r="C260" s="41">
        <v>116916</v>
      </c>
      <c r="D260" s="41">
        <v>116938</v>
      </c>
      <c r="E260" s="41">
        <v>116875</v>
      </c>
      <c r="F260" s="41">
        <v>116987</v>
      </c>
      <c r="G260" s="41">
        <v>117261</v>
      </c>
      <c r="H260" s="41">
        <v>117403</v>
      </c>
      <c r="I260" s="41">
        <v>117482</v>
      </c>
      <c r="J260" s="41">
        <v>117454</v>
      </c>
      <c r="K260" s="41">
        <v>117609</v>
      </c>
      <c r="L260" s="41">
        <v>117949</v>
      </c>
      <c r="M260" s="41">
        <v>119162</v>
      </c>
      <c r="N260" s="41">
        <v>119419</v>
      </c>
      <c r="O260" s="41">
        <v>119804</v>
      </c>
      <c r="P260" s="41">
        <v>120289</v>
      </c>
      <c r="Q260" s="41">
        <v>120481</v>
      </c>
      <c r="R260" s="41">
        <v>121033</v>
      </c>
      <c r="S260" s="41">
        <v>121329</v>
      </c>
      <c r="T260" s="41">
        <v>121698</v>
      </c>
      <c r="U260" s="41">
        <v>122007</v>
      </c>
      <c r="V260" s="41">
        <v>122217</v>
      </c>
      <c r="W260" s="41">
        <v>122433</v>
      </c>
      <c r="X260" s="41">
        <v>122659</v>
      </c>
      <c r="Y260" s="41">
        <v>122864</v>
      </c>
      <c r="Z260" s="41">
        <v>123041</v>
      </c>
      <c r="AA260" s="41">
        <v>123196</v>
      </c>
      <c r="AB260" s="41">
        <v>123395</v>
      </c>
      <c r="AC260" s="41">
        <v>123633</v>
      </c>
      <c r="AD260" s="41">
        <v>123851</v>
      </c>
      <c r="AE260" s="41">
        <v>124044</v>
      </c>
      <c r="AF260" s="41">
        <v>124204</v>
      </c>
      <c r="AG260" s="41">
        <v>124410</v>
      </c>
      <c r="AH260" s="41">
        <v>124665</v>
      </c>
      <c r="AI260" s="41">
        <v>124872</v>
      </c>
      <c r="AJ260" s="41">
        <v>125059</v>
      </c>
      <c r="AK260" s="41">
        <v>125214</v>
      </c>
      <c r="AL260" s="41">
        <v>125383</v>
      </c>
      <c r="AM260" s="41">
        <v>125578</v>
      </c>
      <c r="AN260" s="41">
        <v>125721</v>
      </c>
      <c r="AO260" s="41">
        <v>125828</v>
      </c>
      <c r="AP260" s="41">
        <v>125924</v>
      </c>
      <c r="AQ260" s="41">
        <v>126037</v>
      </c>
      <c r="AR260" s="41">
        <v>126152</v>
      </c>
      <c r="AS260" s="41">
        <v>126199</v>
      </c>
    </row>
    <row r="261" spans="1:45">
      <c r="A261" s="38" t="s">
        <v>638</v>
      </c>
      <c r="B261" s="38" t="s">
        <v>639</v>
      </c>
      <c r="C261" s="41">
        <v>31513</v>
      </c>
      <c r="D261" s="41">
        <v>31406</v>
      </c>
      <c r="E261" s="41">
        <v>31533</v>
      </c>
      <c r="F261" s="41">
        <v>31638</v>
      </c>
      <c r="G261" s="41">
        <v>31939</v>
      </c>
      <c r="H261" s="41">
        <v>32313</v>
      </c>
      <c r="I261" s="41">
        <v>32637</v>
      </c>
      <c r="J261" s="41">
        <v>32687</v>
      </c>
      <c r="K261" s="41">
        <v>32980</v>
      </c>
      <c r="L261" s="41">
        <v>33311</v>
      </c>
      <c r="M261" s="41">
        <v>33510</v>
      </c>
      <c r="N261" s="41">
        <v>33640</v>
      </c>
      <c r="O261" s="41">
        <v>33876</v>
      </c>
      <c r="P261" s="41">
        <v>34110</v>
      </c>
      <c r="Q261" s="41">
        <v>34368</v>
      </c>
      <c r="R261" s="41">
        <v>34491</v>
      </c>
      <c r="S261" s="41">
        <v>34560</v>
      </c>
      <c r="T261" s="41">
        <v>34648</v>
      </c>
      <c r="U261" s="41">
        <v>34714</v>
      </c>
      <c r="V261" s="41">
        <v>34736</v>
      </c>
      <c r="W261" s="41">
        <v>34732</v>
      </c>
      <c r="X261" s="41">
        <v>34841</v>
      </c>
      <c r="Y261" s="41">
        <v>34945</v>
      </c>
      <c r="Z261" s="41">
        <v>35014</v>
      </c>
      <c r="AA261" s="41">
        <v>35079</v>
      </c>
      <c r="AB261" s="41">
        <v>35126</v>
      </c>
      <c r="AC261" s="41">
        <v>35193</v>
      </c>
      <c r="AD261" s="41">
        <v>35255</v>
      </c>
      <c r="AE261" s="41">
        <v>35305</v>
      </c>
      <c r="AF261" s="41">
        <v>35360</v>
      </c>
      <c r="AG261" s="41">
        <v>35419</v>
      </c>
      <c r="AH261" s="41">
        <v>35481</v>
      </c>
      <c r="AI261" s="41">
        <v>35543</v>
      </c>
      <c r="AJ261" s="41">
        <v>35605</v>
      </c>
      <c r="AK261" s="41">
        <v>35670</v>
      </c>
      <c r="AL261" s="41">
        <v>35744</v>
      </c>
      <c r="AM261" s="41">
        <v>35805</v>
      </c>
      <c r="AN261" s="41">
        <v>35873</v>
      </c>
      <c r="AO261" s="41">
        <v>35938</v>
      </c>
      <c r="AP261" s="41">
        <v>36012</v>
      </c>
      <c r="AQ261" s="41">
        <v>36094</v>
      </c>
      <c r="AR261" s="41">
        <v>36172</v>
      </c>
      <c r="AS261" s="41">
        <v>36244</v>
      </c>
    </row>
    <row r="262" spans="1:45">
      <c r="A262" s="38" t="s">
        <v>640</v>
      </c>
      <c r="B262" s="38" t="s">
        <v>641</v>
      </c>
      <c r="C262" s="41">
        <v>76673</v>
      </c>
      <c r="D262" s="41">
        <v>76455</v>
      </c>
      <c r="E262" s="41">
        <v>76223</v>
      </c>
      <c r="F262" s="41">
        <v>75862</v>
      </c>
      <c r="G262" s="41">
        <v>75961</v>
      </c>
      <c r="H262" s="41">
        <v>75891</v>
      </c>
      <c r="I262" s="41">
        <v>75924</v>
      </c>
      <c r="J262" s="41">
        <v>76260</v>
      </c>
      <c r="K262" s="41">
        <v>76916</v>
      </c>
      <c r="L262" s="41">
        <v>77185</v>
      </c>
      <c r="M262" s="41">
        <v>77987</v>
      </c>
      <c r="N262" s="41">
        <v>78690</v>
      </c>
      <c r="O262" s="41">
        <v>79361</v>
      </c>
      <c r="P262" s="41">
        <v>79990</v>
      </c>
      <c r="Q262" s="41">
        <v>80411</v>
      </c>
      <c r="R262" s="41">
        <v>80986</v>
      </c>
      <c r="S262" s="41">
        <v>81462</v>
      </c>
      <c r="T262" s="41">
        <v>81798</v>
      </c>
      <c r="U262" s="41">
        <v>82264</v>
      </c>
      <c r="V262" s="41">
        <v>82661</v>
      </c>
      <c r="W262" s="41">
        <v>83033</v>
      </c>
      <c r="X262" s="41">
        <v>83694</v>
      </c>
      <c r="Y262" s="41">
        <v>84296</v>
      </c>
      <c r="Z262" s="41">
        <v>84874</v>
      </c>
      <c r="AA262" s="41">
        <v>85409</v>
      </c>
      <c r="AB262" s="41">
        <v>85938</v>
      </c>
      <c r="AC262" s="41">
        <v>86473</v>
      </c>
      <c r="AD262" s="41">
        <v>86966</v>
      </c>
      <c r="AE262" s="41">
        <v>87465</v>
      </c>
      <c r="AF262" s="41">
        <v>87935</v>
      </c>
      <c r="AG262" s="41">
        <v>88410</v>
      </c>
      <c r="AH262" s="41">
        <v>88869</v>
      </c>
      <c r="AI262" s="41">
        <v>89308</v>
      </c>
      <c r="AJ262" s="41">
        <v>89745</v>
      </c>
      <c r="AK262" s="41">
        <v>90169</v>
      </c>
      <c r="AL262" s="41">
        <v>90594</v>
      </c>
      <c r="AM262" s="41">
        <v>91003</v>
      </c>
      <c r="AN262" s="41">
        <v>91398</v>
      </c>
      <c r="AO262" s="41">
        <v>91774</v>
      </c>
      <c r="AP262" s="41">
        <v>92162</v>
      </c>
      <c r="AQ262" s="41">
        <v>92556</v>
      </c>
      <c r="AR262" s="41">
        <v>92954</v>
      </c>
      <c r="AS262" s="41">
        <v>93331</v>
      </c>
    </row>
    <row r="263" spans="1:45">
      <c r="A263" s="38" t="s">
        <v>642</v>
      </c>
      <c r="B263" s="38" t="s">
        <v>643</v>
      </c>
      <c r="C263" s="41">
        <v>49011</v>
      </c>
      <c r="D263" s="41">
        <v>49524</v>
      </c>
      <c r="E263" s="41">
        <v>50131</v>
      </c>
      <c r="F263" s="41">
        <v>50482</v>
      </c>
      <c r="G263" s="41">
        <v>50911</v>
      </c>
      <c r="H263" s="41">
        <v>51499</v>
      </c>
      <c r="I263" s="41">
        <v>52342</v>
      </c>
      <c r="J263" s="41">
        <v>53148</v>
      </c>
      <c r="K263" s="41">
        <v>53799</v>
      </c>
      <c r="L263" s="41">
        <v>54704</v>
      </c>
      <c r="M263" s="41">
        <v>55500</v>
      </c>
      <c r="N263" s="41">
        <v>56197</v>
      </c>
      <c r="O263" s="41">
        <v>56779</v>
      </c>
      <c r="P263" s="41">
        <v>57572</v>
      </c>
      <c r="Q263" s="41">
        <v>58320</v>
      </c>
      <c r="R263" s="41">
        <v>59323</v>
      </c>
      <c r="S263" s="41">
        <v>60073</v>
      </c>
      <c r="T263" s="41">
        <v>60907</v>
      </c>
      <c r="U263" s="41">
        <v>61789</v>
      </c>
      <c r="V263" s="41">
        <v>62601</v>
      </c>
      <c r="W263" s="41">
        <v>63356</v>
      </c>
      <c r="X263" s="41">
        <v>64136</v>
      </c>
      <c r="Y263" s="41">
        <v>64884</v>
      </c>
      <c r="Z263" s="41">
        <v>65617</v>
      </c>
      <c r="AA263" s="41">
        <v>66314</v>
      </c>
      <c r="AB263" s="41">
        <v>66994</v>
      </c>
      <c r="AC263" s="41">
        <v>67684</v>
      </c>
      <c r="AD263" s="41">
        <v>68339</v>
      </c>
      <c r="AE263" s="41">
        <v>68978</v>
      </c>
      <c r="AF263" s="41">
        <v>69599</v>
      </c>
      <c r="AG263" s="41">
        <v>70223</v>
      </c>
      <c r="AH263" s="41">
        <v>70832</v>
      </c>
      <c r="AI263" s="41">
        <v>71432</v>
      </c>
      <c r="AJ263" s="41">
        <v>72027</v>
      </c>
      <c r="AK263" s="41">
        <v>72611</v>
      </c>
      <c r="AL263" s="41">
        <v>73201</v>
      </c>
      <c r="AM263" s="41">
        <v>73791</v>
      </c>
      <c r="AN263" s="41">
        <v>74369</v>
      </c>
      <c r="AO263" s="41">
        <v>74929</v>
      </c>
      <c r="AP263" s="41">
        <v>75482</v>
      </c>
      <c r="AQ263" s="41">
        <v>76035</v>
      </c>
      <c r="AR263" s="41">
        <v>76583</v>
      </c>
      <c r="AS263" s="41">
        <v>77107</v>
      </c>
    </row>
    <row r="264" spans="1:45">
      <c r="A264" s="38" t="s">
        <v>644</v>
      </c>
      <c r="B264" s="38" t="s">
        <v>645</v>
      </c>
      <c r="C264" s="41">
        <v>74448</v>
      </c>
      <c r="D264" s="41">
        <v>75358</v>
      </c>
      <c r="E264" s="41">
        <v>76320</v>
      </c>
      <c r="F264" s="41">
        <v>77236</v>
      </c>
      <c r="G264" s="41">
        <v>78655</v>
      </c>
      <c r="H264" s="41">
        <v>79786</v>
      </c>
      <c r="I264" s="41">
        <v>81693</v>
      </c>
      <c r="J264" s="41">
        <v>83638</v>
      </c>
      <c r="K264" s="41">
        <v>84974</v>
      </c>
      <c r="L264" s="41">
        <v>86186</v>
      </c>
      <c r="M264" s="41">
        <v>87783</v>
      </c>
      <c r="N264" s="41">
        <v>88716</v>
      </c>
      <c r="O264" s="41">
        <v>89667</v>
      </c>
      <c r="P264" s="41">
        <v>90539</v>
      </c>
      <c r="Q264" s="41">
        <v>91294</v>
      </c>
      <c r="R264" s="41">
        <v>91878</v>
      </c>
      <c r="S264" s="41">
        <v>92677</v>
      </c>
      <c r="T264" s="41">
        <v>93535</v>
      </c>
      <c r="U264" s="41">
        <v>94456</v>
      </c>
      <c r="V264" s="41">
        <v>95299</v>
      </c>
      <c r="W264" s="41">
        <v>96061</v>
      </c>
      <c r="X264" s="41">
        <v>96933</v>
      </c>
      <c r="Y264" s="41">
        <v>97798</v>
      </c>
      <c r="Z264" s="41">
        <v>98623</v>
      </c>
      <c r="AA264" s="41">
        <v>99403</v>
      </c>
      <c r="AB264" s="41">
        <v>100164</v>
      </c>
      <c r="AC264" s="41">
        <v>100939</v>
      </c>
      <c r="AD264" s="41">
        <v>101726</v>
      </c>
      <c r="AE264" s="41">
        <v>102491</v>
      </c>
      <c r="AF264" s="41">
        <v>103243</v>
      </c>
      <c r="AG264" s="41">
        <v>103997</v>
      </c>
      <c r="AH264" s="41">
        <v>104757</v>
      </c>
      <c r="AI264" s="41">
        <v>105533</v>
      </c>
      <c r="AJ264" s="41">
        <v>106264</v>
      </c>
      <c r="AK264" s="41">
        <v>106980</v>
      </c>
      <c r="AL264" s="41">
        <v>107690</v>
      </c>
      <c r="AM264" s="41">
        <v>108398</v>
      </c>
      <c r="AN264" s="41">
        <v>109078</v>
      </c>
      <c r="AO264" s="41">
        <v>109719</v>
      </c>
      <c r="AP264" s="41">
        <v>110339</v>
      </c>
      <c r="AQ264" s="41">
        <v>110967</v>
      </c>
      <c r="AR264" s="41">
        <v>111577</v>
      </c>
      <c r="AS264" s="41">
        <v>112148</v>
      </c>
    </row>
    <row r="265" spans="1:45">
      <c r="A265" s="38" t="s">
        <v>646</v>
      </c>
      <c r="B265" s="38" t="s">
        <v>647</v>
      </c>
      <c r="C265" s="41">
        <v>89203</v>
      </c>
      <c r="D265" s="41">
        <v>89423</v>
      </c>
      <c r="E265" s="41">
        <v>89775</v>
      </c>
      <c r="F265" s="41">
        <v>90103</v>
      </c>
      <c r="G265" s="41">
        <v>90316</v>
      </c>
      <c r="H265" s="41">
        <v>90853</v>
      </c>
      <c r="I265" s="41">
        <v>91268</v>
      </c>
      <c r="J265" s="41">
        <v>92021</v>
      </c>
      <c r="K265" s="41">
        <v>92656</v>
      </c>
      <c r="L265" s="41">
        <v>93430</v>
      </c>
      <c r="M265" s="41">
        <v>94434</v>
      </c>
      <c r="N265" s="41">
        <v>94908</v>
      </c>
      <c r="O265" s="41">
        <v>95158</v>
      </c>
      <c r="P265" s="41">
        <v>95436</v>
      </c>
      <c r="Q265" s="41">
        <v>95866</v>
      </c>
      <c r="R265" s="41">
        <v>96710</v>
      </c>
      <c r="S265" s="41">
        <v>97257</v>
      </c>
      <c r="T265" s="41">
        <v>97728</v>
      </c>
      <c r="U265" s="41">
        <v>98402</v>
      </c>
      <c r="V265" s="41">
        <v>98958</v>
      </c>
      <c r="W265" s="41">
        <v>99506</v>
      </c>
      <c r="X265" s="41">
        <v>100077</v>
      </c>
      <c r="Y265" s="41">
        <v>100571</v>
      </c>
      <c r="Z265" s="41">
        <v>101088</v>
      </c>
      <c r="AA265" s="41">
        <v>101543</v>
      </c>
      <c r="AB265" s="41">
        <v>102023</v>
      </c>
      <c r="AC265" s="41">
        <v>102516</v>
      </c>
      <c r="AD265" s="41">
        <v>102998</v>
      </c>
      <c r="AE265" s="41">
        <v>103487</v>
      </c>
      <c r="AF265" s="41">
        <v>103965</v>
      </c>
      <c r="AG265" s="41">
        <v>104498</v>
      </c>
      <c r="AH265" s="41">
        <v>105015</v>
      </c>
      <c r="AI265" s="41">
        <v>105550</v>
      </c>
      <c r="AJ265" s="41">
        <v>106076</v>
      </c>
      <c r="AK265" s="41">
        <v>106600</v>
      </c>
      <c r="AL265" s="41">
        <v>107171</v>
      </c>
      <c r="AM265" s="41">
        <v>107725</v>
      </c>
      <c r="AN265" s="41">
        <v>108267</v>
      </c>
      <c r="AO265" s="41">
        <v>108784</v>
      </c>
      <c r="AP265" s="41">
        <v>109294</v>
      </c>
      <c r="AQ265" s="41">
        <v>109837</v>
      </c>
      <c r="AR265" s="41">
        <v>110363</v>
      </c>
      <c r="AS265" s="41">
        <v>110838</v>
      </c>
    </row>
    <row r="266" spans="1:45">
      <c r="A266" s="38" t="s">
        <v>648</v>
      </c>
      <c r="B266" s="38" t="s">
        <v>649</v>
      </c>
      <c r="C266" s="41">
        <v>29185</v>
      </c>
      <c r="D266" s="41">
        <v>29305</v>
      </c>
      <c r="E266" s="41">
        <v>29458</v>
      </c>
      <c r="F266" s="41">
        <v>29619</v>
      </c>
      <c r="G266" s="41">
        <v>29885</v>
      </c>
      <c r="H266" s="41">
        <v>30120</v>
      </c>
      <c r="I266" s="41">
        <v>30378</v>
      </c>
      <c r="J266" s="41">
        <v>30697</v>
      </c>
      <c r="K266" s="41">
        <v>30937</v>
      </c>
      <c r="L266" s="41">
        <v>31163</v>
      </c>
      <c r="M266" s="41">
        <v>31459</v>
      </c>
      <c r="N266" s="41">
        <v>31651</v>
      </c>
      <c r="O266" s="41">
        <v>31798</v>
      </c>
      <c r="P266" s="41">
        <v>31896</v>
      </c>
      <c r="Q266" s="41">
        <v>32053</v>
      </c>
      <c r="R266" s="41">
        <v>32158</v>
      </c>
      <c r="S266" s="41">
        <v>32077</v>
      </c>
      <c r="T266" s="41">
        <v>32234</v>
      </c>
      <c r="U266" s="41">
        <v>32314</v>
      </c>
      <c r="V266" s="41">
        <v>32375</v>
      </c>
      <c r="W266" s="41">
        <v>32419</v>
      </c>
      <c r="X266" s="41">
        <v>32497</v>
      </c>
      <c r="Y266" s="41">
        <v>32588</v>
      </c>
      <c r="Z266" s="41">
        <v>32685</v>
      </c>
      <c r="AA266" s="41">
        <v>32759</v>
      </c>
      <c r="AB266" s="41">
        <v>32820</v>
      </c>
      <c r="AC266" s="41">
        <v>32891</v>
      </c>
      <c r="AD266" s="41">
        <v>32967</v>
      </c>
      <c r="AE266" s="41">
        <v>33041</v>
      </c>
      <c r="AF266" s="41">
        <v>33099</v>
      </c>
      <c r="AG266" s="41">
        <v>33142</v>
      </c>
      <c r="AH266" s="41">
        <v>33186</v>
      </c>
      <c r="AI266" s="41">
        <v>33242</v>
      </c>
      <c r="AJ266" s="41">
        <v>33292</v>
      </c>
      <c r="AK266" s="41">
        <v>33337</v>
      </c>
      <c r="AL266" s="41">
        <v>33392</v>
      </c>
      <c r="AM266" s="41">
        <v>33447</v>
      </c>
      <c r="AN266" s="41">
        <v>33514</v>
      </c>
      <c r="AO266" s="41">
        <v>33580</v>
      </c>
      <c r="AP266" s="41">
        <v>33649</v>
      </c>
      <c r="AQ266" s="41">
        <v>33727</v>
      </c>
      <c r="AR266" s="41">
        <v>33798</v>
      </c>
      <c r="AS266" s="41">
        <v>33866</v>
      </c>
    </row>
    <row r="267" spans="1:45">
      <c r="A267" s="38" t="s">
        <v>650</v>
      </c>
      <c r="B267" s="38" t="s">
        <v>651</v>
      </c>
      <c r="C267" s="41">
        <v>31520</v>
      </c>
      <c r="D267" s="41">
        <v>31365</v>
      </c>
      <c r="E267" s="41">
        <v>31332</v>
      </c>
      <c r="F267" s="41">
        <v>31356</v>
      </c>
      <c r="G267" s="41">
        <v>31536</v>
      </c>
      <c r="H267" s="41">
        <v>31742</v>
      </c>
      <c r="I267" s="41">
        <v>32101</v>
      </c>
      <c r="J267" s="41">
        <v>32351</v>
      </c>
      <c r="K267" s="41">
        <v>32617</v>
      </c>
      <c r="L267" s="41">
        <v>32992</v>
      </c>
      <c r="M267" s="41">
        <v>33335</v>
      </c>
      <c r="N267" s="41">
        <v>33598</v>
      </c>
      <c r="O267" s="41">
        <v>34034</v>
      </c>
      <c r="P267" s="41">
        <v>34398</v>
      </c>
      <c r="Q267" s="41">
        <v>34681</v>
      </c>
      <c r="R267" s="41">
        <v>34944</v>
      </c>
      <c r="S267" s="41">
        <v>35234</v>
      </c>
      <c r="T267" s="41">
        <v>35329</v>
      </c>
      <c r="U267" s="41">
        <v>35570</v>
      </c>
      <c r="V267" s="41">
        <v>35776</v>
      </c>
      <c r="W267" s="41">
        <v>35942</v>
      </c>
      <c r="X267" s="41">
        <v>36169</v>
      </c>
      <c r="Y267" s="41">
        <v>36392</v>
      </c>
      <c r="Z267" s="41">
        <v>36611</v>
      </c>
      <c r="AA267" s="41">
        <v>36811</v>
      </c>
      <c r="AB267" s="41">
        <v>36999</v>
      </c>
      <c r="AC267" s="41">
        <v>37195</v>
      </c>
      <c r="AD267" s="41">
        <v>37389</v>
      </c>
      <c r="AE267" s="41">
        <v>37582</v>
      </c>
      <c r="AF267" s="41">
        <v>37768</v>
      </c>
      <c r="AG267" s="41">
        <v>37966</v>
      </c>
      <c r="AH267" s="41">
        <v>38164</v>
      </c>
      <c r="AI267" s="41">
        <v>38357</v>
      </c>
      <c r="AJ267" s="41">
        <v>38554</v>
      </c>
      <c r="AK267" s="41">
        <v>38736</v>
      </c>
      <c r="AL267" s="41">
        <v>38931</v>
      </c>
      <c r="AM267" s="41">
        <v>39117</v>
      </c>
      <c r="AN267" s="41">
        <v>39297</v>
      </c>
      <c r="AO267" s="41">
        <v>39474</v>
      </c>
      <c r="AP267" s="41">
        <v>39638</v>
      </c>
      <c r="AQ267" s="41">
        <v>39820</v>
      </c>
      <c r="AR267" s="41">
        <v>39999</v>
      </c>
      <c r="AS267" s="41">
        <v>40167</v>
      </c>
    </row>
    <row r="268" spans="1:45">
      <c r="A268" s="38" t="s">
        <v>652</v>
      </c>
      <c r="B268" s="38" t="s">
        <v>653</v>
      </c>
      <c r="C268" s="41">
        <v>51282</v>
      </c>
      <c r="D268" s="41">
        <v>51645</v>
      </c>
      <c r="E268" s="41">
        <v>51972</v>
      </c>
      <c r="F268" s="41">
        <v>52311</v>
      </c>
      <c r="G268" s="41">
        <v>52604</v>
      </c>
      <c r="H268" s="41">
        <v>52806</v>
      </c>
      <c r="I268" s="41">
        <v>53089</v>
      </c>
      <c r="J268" s="41">
        <v>53345</v>
      </c>
      <c r="K268" s="41">
        <v>53510</v>
      </c>
      <c r="L268" s="41">
        <v>53510</v>
      </c>
      <c r="M268" s="41">
        <v>53941</v>
      </c>
      <c r="N268" s="41">
        <v>54395</v>
      </c>
      <c r="O268" s="41">
        <v>54821</v>
      </c>
      <c r="P268" s="41">
        <v>55378</v>
      </c>
      <c r="Q268" s="41">
        <v>55982</v>
      </c>
      <c r="R268" s="41">
        <v>56510</v>
      </c>
      <c r="S268" s="41">
        <v>57348</v>
      </c>
      <c r="T268" s="41">
        <v>58135</v>
      </c>
      <c r="U268" s="41">
        <v>59006</v>
      </c>
      <c r="V268" s="41">
        <v>59790</v>
      </c>
      <c r="W268" s="41">
        <v>60562</v>
      </c>
      <c r="X268" s="41">
        <v>61436</v>
      </c>
      <c r="Y268" s="41">
        <v>62312</v>
      </c>
      <c r="Z268" s="41">
        <v>63148</v>
      </c>
      <c r="AA268" s="41">
        <v>63938</v>
      </c>
      <c r="AB268" s="41">
        <v>64718</v>
      </c>
      <c r="AC268" s="41">
        <v>65501</v>
      </c>
      <c r="AD268" s="41">
        <v>66276</v>
      </c>
      <c r="AE268" s="41">
        <v>67003</v>
      </c>
      <c r="AF268" s="41">
        <v>67710</v>
      </c>
      <c r="AG268" s="41">
        <v>68409</v>
      </c>
      <c r="AH268" s="41">
        <v>69098</v>
      </c>
      <c r="AI268" s="41">
        <v>69777</v>
      </c>
      <c r="AJ268" s="41">
        <v>70428</v>
      </c>
      <c r="AK268" s="41">
        <v>71056</v>
      </c>
      <c r="AL268" s="41">
        <v>71672</v>
      </c>
      <c r="AM268" s="41">
        <v>72261</v>
      </c>
      <c r="AN268" s="41">
        <v>72845</v>
      </c>
      <c r="AO268" s="41">
        <v>73419</v>
      </c>
      <c r="AP268" s="41">
        <v>73979</v>
      </c>
      <c r="AQ268" s="41">
        <v>74553</v>
      </c>
      <c r="AR268" s="41">
        <v>75110</v>
      </c>
      <c r="AS268" s="41">
        <v>75636</v>
      </c>
    </row>
    <row r="269" spans="1:45">
      <c r="A269" s="38" t="s">
        <v>654</v>
      </c>
      <c r="B269" s="38" t="s">
        <v>655</v>
      </c>
      <c r="C269" s="41">
        <v>63266</v>
      </c>
      <c r="D269" s="41">
        <v>63553</v>
      </c>
      <c r="E269" s="41">
        <v>63759</v>
      </c>
      <c r="F269" s="41">
        <v>64009</v>
      </c>
      <c r="G269" s="41">
        <v>64380</v>
      </c>
      <c r="H269" s="41">
        <v>64799</v>
      </c>
      <c r="I269" s="41">
        <v>64907</v>
      </c>
      <c r="J269" s="41">
        <v>65257</v>
      </c>
      <c r="K269" s="41">
        <v>65541</v>
      </c>
      <c r="L269" s="41">
        <v>65855</v>
      </c>
      <c r="M269" s="41">
        <v>66270</v>
      </c>
      <c r="N269" s="41">
        <v>66580</v>
      </c>
      <c r="O269" s="41">
        <v>66929</v>
      </c>
      <c r="P269" s="41">
        <v>67436</v>
      </c>
      <c r="Q269" s="41">
        <v>68178</v>
      </c>
      <c r="R269" s="41">
        <v>69001</v>
      </c>
      <c r="S269" s="41">
        <v>69872</v>
      </c>
      <c r="T269" s="41">
        <v>70539</v>
      </c>
      <c r="U269" s="41">
        <v>71399</v>
      </c>
      <c r="V269" s="41">
        <v>72170</v>
      </c>
      <c r="W269" s="41">
        <v>72881</v>
      </c>
      <c r="X269" s="41">
        <v>73822</v>
      </c>
      <c r="Y269" s="41">
        <v>74677</v>
      </c>
      <c r="Z269" s="41">
        <v>75560</v>
      </c>
      <c r="AA269" s="41">
        <v>76393</v>
      </c>
      <c r="AB269" s="41">
        <v>77207</v>
      </c>
      <c r="AC269" s="41">
        <v>78024</v>
      </c>
      <c r="AD269" s="41">
        <v>78800</v>
      </c>
      <c r="AE269" s="41">
        <v>79591</v>
      </c>
      <c r="AF269" s="41">
        <v>80359</v>
      </c>
      <c r="AG269" s="41">
        <v>81112</v>
      </c>
      <c r="AH269" s="41">
        <v>81848</v>
      </c>
      <c r="AI269" s="41">
        <v>82572</v>
      </c>
      <c r="AJ269" s="41">
        <v>83300</v>
      </c>
      <c r="AK269" s="41">
        <v>84006</v>
      </c>
      <c r="AL269" s="41">
        <v>84708</v>
      </c>
      <c r="AM269" s="41">
        <v>85387</v>
      </c>
      <c r="AN269" s="41">
        <v>86063</v>
      </c>
      <c r="AO269" s="41">
        <v>86714</v>
      </c>
      <c r="AP269" s="41">
        <v>87357</v>
      </c>
      <c r="AQ269" s="41">
        <v>88006</v>
      </c>
      <c r="AR269" s="41">
        <v>88632</v>
      </c>
      <c r="AS269" s="41">
        <v>89225</v>
      </c>
    </row>
    <row r="270" spans="1:45">
      <c r="A270" s="38" t="s">
        <v>656</v>
      </c>
      <c r="B270" s="38" t="s">
        <v>657</v>
      </c>
      <c r="C270" s="41">
        <v>61436</v>
      </c>
      <c r="D270" s="41">
        <v>61805</v>
      </c>
      <c r="E270" s="41">
        <v>62077</v>
      </c>
      <c r="F270" s="41">
        <v>62313</v>
      </c>
      <c r="G270" s="41">
        <v>62383</v>
      </c>
      <c r="H270" s="41">
        <v>62454</v>
      </c>
      <c r="I270" s="41">
        <v>62549</v>
      </c>
      <c r="J270" s="41">
        <v>62590</v>
      </c>
      <c r="K270" s="41">
        <v>62193</v>
      </c>
      <c r="L270" s="41">
        <v>61967</v>
      </c>
      <c r="M270" s="41">
        <v>61994</v>
      </c>
      <c r="N270" s="41">
        <v>62227</v>
      </c>
      <c r="O270" s="41">
        <v>62530</v>
      </c>
      <c r="P270" s="41">
        <v>63145</v>
      </c>
      <c r="Q270" s="41">
        <v>63867</v>
      </c>
      <c r="R270" s="41">
        <v>64643</v>
      </c>
      <c r="S270" s="41">
        <v>65357</v>
      </c>
      <c r="T270" s="41">
        <v>65857</v>
      </c>
      <c r="U270" s="41">
        <v>66657</v>
      </c>
      <c r="V270" s="41">
        <v>67342</v>
      </c>
      <c r="W270" s="41">
        <v>68002</v>
      </c>
      <c r="X270" s="41">
        <v>68746</v>
      </c>
      <c r="Y270" s="41">
        <v>69478</v>
      </c>
      <c r="Z270" s="41">
        <v>70214</v>
      </c>
      <c r="AA270" s="41">
        <v>70896</v>
      </c>
      <c r="AB270" s="41">
        <v>71594</v>
      </c>
      <c r="AC270" s="41">
        <v>72333</v>
      </c>
      <c r="AD270" s="41">
        <v>73062</v>
      </c>
      <c r="AE270" s="41">
        <v>73776</v>
      </c>
      <c r="AF270" s="41">
        <v>74464</v>
      </c>
      <c r="AG270" s="41">
        <v>75161</v>
      </c>
      <c r="AH270" s="41">
        <v>75867</v>
      </c>
      <c r="AI270" s="41">
        <v>76549</v>
      </c>
      <c r="AJ270" s="41">
        <v>77248</v>
      </c>
      <c r="AK270" s="41">
        <v>77924</v>
      </c>
      <c r="AL270" s="41">
        <v>78599</v>
      </c>
      <c r="AM270" s="41">
        <v>79279</v>
      </c>
      <c r="AN270" s="41">
        <v>79950</v>
      </c>
      <c r="AO270" s="41">
        <v>80621</v>
      </c>
      <c r="AP270" s="41">
        <v>81274</v>
      </c>
      <c r="AQ270" s="41">
        <v>81934</v>
      </c>
      <c r="AR270" s="41">
        <v>82589</v>
      </c>
      <c r="AS270" s="41">
        <v>83210</v>
      </c>
    </row>
    <row r="271" spans="1:45">
      <c r="A271" s="38" t="s">
        <v>658</v>
      </c>
      <c r="B271" s="38" t="s">
        <v>659</v>
      </c>
      <c r="C271" s="41">
        <v>43907</v>
      </c>
      <c r="D271" s="41">
        <v>44252</v>
      </c>
      <c r="E271" s="41">
        <v>44713</v>
      </c>
      <c r="F271" s="41">
        <v>45000</v>
      </c>
      <c r="G271" s="41">
        <v>45402</v>
      </c>
      <c r="H271" s="41">
        <v>45837</v>
      </c>
      <c r="I271" s="41">
        <v>46274</v>
      </c>
      <c r="J271" s="41">
        <v>46626</v>
      </c>
      <c r="K271" s="41">
        <v>46793</v>
      </c>
      <c r="L271" s="41">
        <v>47203</v>
      </c>
      <c r="M271" s="41">
        <v>47605</v>
      </c>
      <c r="N271" s="41">
        <v>47989</v>
      </c>
      <c r="O271" s="41">
        <v>48619</v>
      </c>
      <c r="P271" s="41">
        <v>49089</v>
      </c>
      <c r="Q271" s="41">
        <v>49690</v>
      </c>
      <c r="R271" s="41">
        <v>50271</v>
      </c>
      <c r="S271" s="41">
        <v>50861</v>
      </c>
      <c r="T271" s="41">
        <v>51376</v>
      </c>
      <c r="U271" s="41">
        <v>51931</v>
      </c>
      <c r="V271" s="41">
        <v>52432</v>
      </c>
      <c r="W271" s="41">
        <v>52886</v>
      </c>
      <c r="X271" s="41">
        <v>53427</v>
      </c>
      <c r="Y271" s="41">
        <v>53925</v>
      </c>
      <c r="Z271" s="41">
        <v>54393</v>
      </c>
      <c r="AA271" s="41">
        <v>54853</v>
      </c>
      <c r="AB271" s="41">
        <v>55292</v>
      </c>
      <c r="AC271" s="41">
        <v>55748</v>
      </c>
      <c r="AD271" s="41">
        <v>56160</v>
      </c>
      <c r="AE271" s="41">
        <v>56556</v>
      </c>
      <c r="AF271" s="41">
        <v>56938</v>
      </c>
      <c r="AG271" s="41">
        <v>57306</v>
      </c>
      <c r="AH271" s="41">
        <v>57662</v>
      </c>
      <c r="AI271" s="41">
        <v>58013</v>
      </c>
      <c r="AJ271" s="41">
        <v>58344</v>
      </c>
      <c r="AK271" s="41">
        <v>58671</v>
      </c>
      <c r="AL271" s="41">
        <v>58997</v>
      </c>
      <c r="AM271" s="41">
        <v>59307</v>
      </c>
      <c r="AN271" s="41">
        <v>59623</v>
      </c>
      <c r="AO271" s="41">
        <v>59931</v>
      </c>
      <c r="AP271" s="41">
        <v>60232</v>
      </c>
      <c r="AQ271" s="41">
        <v>60545</v>
      </c>
      <c r="AR271" s="41">
        <v>60849</v>
      </c>
      <c r="AS271" s="41">
        <v>61141</v>
      </c>
    </row>
    <row r="272" spans="1:45">
      <c r="A272" s="38" t="s">
        <v>660</v>
      </c>
      <c r="B272" s="38" t="s">
        <v>661</v>
      </c>
      <c r="C272" s="41">
        <v>32236</v>
      </c>
      <c r="D272" s="41">
        <v>32484</v>
      </c>
      <c r="E272" s="41">
        <v>32765</v>
      </c>
      <c r="F272" s="41">
        <v>32917</v>
      </c>
      <c r="G272" s="41">
        <v>33072</v>
      </c>
      <c r="H272" s="41">
        <v>33391</v>
      </c>
      <c r="I272" s="41">
        <v>33660</v>
      </c>
      <c r="J272" s="41">
        <v>33895</v>
      </c>
      <c r="K272" s="41">
        <v>34218</v>
      </c>
      <c r="L272" s="41">
        <v>34617</v>
      </c>
      <c r="M272" s="41">
        <v>35117</v>
      </c>
      <c r="N272" s="41">
        <v>35515</v>
      </c>
      <c r="O272" s="41">
        <v>35999</v>
      </c>
      <c r="P272" s="41">
        <v>36603</v>
      </c>
      <c r="Q272" s="41">
        <v>37032</v>
      </c>
      <c r="R272" s="41">
        <v>37675</v>
      </c>
      <c r="S272" s="41">
        <v>38333</v>
      </c>
      <c r="T272" s="41">
        <v>39161</v>
      </c>
      <c r="U272" s="41">
        <v>39920</v>
      </c>
      <c r="V272" s="41">
        <v>40612</v>
      </c>
      <c r="W272" s="41">
        <v>41277</v>
      </c>
      <c r="X272" s="41">
        <v>42001</v>
      </c>
      <c r="Y272" s="41">
        <v>42699</v>
      </c>
      <c r="Z272" s="41">
        <v>43370</v>
      </c>
      <c r="AA272" s="41">
        <v>44009</v>
      </c>
      <c r="AB272" s="41">
        <v>44627</v>
      </c>
      <c r="AC272" s="41">
        <v>45242</v>
      </c>
      <c r="AD272" s="41">
        <v>45830</v>
      </c>
      <c r="AE272" s="41">
        <v>46395</v>
      </c>
      <c r="AF272" s="41">
        <v>46946</v>
      </c>
      <c r="AG272" s="41">
        <v>47485</v>
      </c>
      <c r="AH272" s="41">
        <v>48015</v>
      </c>
      <c r="AI272" s="41">
        <v>48539</v>
      </c>
      <c r="AJ272" s="41">
        <v>49054</v>
      </c>
      <c r="AK272" s="41">
        <v>49555</v>
      </c>
      <c r="AL272" s="41">
        <v>50051</v>
      </c>
      <c r="AM272" s="41">
        <v>50525</v>
      </c>
      <c r="AN272" s="41">
        <v>50991</v>
      </c>
      <c r="AO272" s="41">
        <v>51449</v>
      </c>
      <c r="AP272" s="41">
        <v>51888</v>
      </c>
      <c r="AQ272" s="41">
        <v>52330</v>
      </c>
      <c r="AR272" s="41">
        <v>52763</v>
      </c>
      <c r="AS272" s="41">
        <v>53172</v>
      </c>
    </row>
    <row r="273" spans="1:45">
      <c r="A273" s="38" t="s">
        <v>662</v>
      </c>
      <c r="B273" s="38" t="s">
        <v>663</v>
      </c>
      <c r="C273" s="41">
        <v>54944</v>
      </c>
      <c r="D273" s="41">
        <v>55385</v>
      </c>
      <c r="E273" s="41">
        <v>55619</v>
      </c>
      <c r="F273" s="41">
        <v>56032</v>
      </c>
      <c r="G273" s="41">
        <v>56354</v>
      </c>
      <c r="H273" s="41">
        <v>56616</v>
      </c>
      <c r="I273" s="41">
        <v>57051</v>
      </c>
      <c r="J273" s="41">
        <v>57549</v>
      </c>
      <c r="K273" s="41">
        <v>57730</v>
      </c>
      <c r="L273" s="41">
        <v>58231</v>
      </c>
      <c r="M273" s="41">
        <v>59231</v>
      </c>
      <c r="N273" s="41">
        <v>59849</v>
      </c>
      <c r="O273" s="41">
        <v>60353</v>
      </c>
      <c r="P273" s="41">
        <v>61191</v>
      </c>
      <c r="Q273" s="41">
        <v>61932</v>
      </c>
      <c r="R273" s="41">
        <v>62560</v>
      </c>
      <c r="S273" s="41">
        <v>63024</v>
      </c>
      <c r="T273" s="41">
        <v>63394</v>
      </c>
      <c r="U273" s="41">
        <v>63967</v>
      </c>
      <c r="V273" s="41">
        <v>64460</v>
      </c>
      <c r="W273" s="41">
        <v>64967</v>
      </c>
      <c r="X273" s="41">
        <v>65537</v>
      </c>
      <c r="Y273" s="41">
        <v>66112</v>
      </c>
      <c r="Z273" s="41">
        <v>66670</v>
      </c>
      <c r="AA273" s="41">
        <v>67198</v>
      </c>
      <c r="AB273" s="41">
        <v>67722</v>
      </c>
      <c r="AC273" s="41">
        <v>68297</v>
      </c>
      <c r="AD273" s="41">
        <v>68847</v>
      </c>
      <c r="AE273" s="41">
        <v>69381</v>
      </c>
      <c r="AF273" s="41">
        <v>69896</v>
      </c>
      <c r="AG273" s="41">
        <v>70414</v>
      </c>
      <c r="AH273" s="41">
        <v>70950</v>
      </c>
      <c r="AI273" s="41">
        <v>71467</v>
      </c>
      <c r="AJ273" s="41">
        <v>71959</v>
      </c>
      <c r="AK273" s="41">
        <v>72443</v>
      </c>
      <c r="AL273" s="41">
        <v>72923</v>
      </c>
      <c r="AM273" s="41">
        <v>73402</v>
      </c>
      <c r="AN273" s="41">
        <v>73863</v>
      </c>
      <c r="AO273" s="41">
        <v>74309</v>
      </c>
      <c r="AP273" s="41">
        <v>74743</v>
      </c>
      <c r="AQ273" s="41">
        <v>75191</v>
      </c>
      <c r="AR273" s="41">
        <v>75625</v>
      </c>
      <c r="AS273" s="41">
        <v>76045</v>
      </c>
    </row>
    <row r="274" spans="1:45">
      <c r="A274" s="38" t="s">
        <v>664</v>
      </c>
      <c r="B274" s="38" t="s">
        <v>665</v>
      </c>
      <c r="C274" s="41">
        <v>33291</v>
      </c>
      <c r="D274" s="41">
        <v>33431</v>
      </c>
      <c r="E274" s="41">
        <v>33642</v>
      </c>
      <c r="F274" s="41">
        <v>33657</v>
      </c>
      <c r="G274" s="41">
        <v>33786</v>
      </c>
      <c r="H274" s="41">
        <v>33907</v>
      </c>
      <c r="I274" s="41">
        <v>34166</v>
      </c>
      <c r="J274" s="41">
        <v>34474</v>
      </c>
      <c r="K274" s="41">
        <v>34843</v>
      </c>
      <c r="L274" s="41">
        <v>35090</v>
      </c>
      <c r="M274" s="41">
        <v>35242</v>
      </c>
      <c r="N274" s="41">
        <v>35579</v>
      </c>
      <c r="O274" s="41">
        <v>35899</v>
      </c>
      <c r="P274" s="41">
        <v>36287</v>
      </c>
      <c r="Q274" s="41">
        <v>36789</v>
      </c>
      <c r="R274" s="41">
        <v>37152</v>
      </c>
      <c r="S274" s="41">
        <v>37271</v>
      </c>
      <c r="T274" s="41">
        <v>37456</v>
      </c>
      <c r="U274" s="41">
        <v>37622</v>
      </c>
      <c r="V274" s="41">
        <v>37745</v>
      </c>
      <c r="W274" s="41">
        <v>37880</v>
      </c>
      <c r="X274" s="41">
        <v>38048</v>
      </c>
      <c r="Y274" s="41">
        <v>38199</v>
      </c>
      <c r="Z274" s="41">
        <v>38349</v>
      </c>
      <c r="AA274" s="41">
        <v>38481</v>
      </c>
      <c r="AB274" s="41">
        <v>38611</v>
      </c>
      <c r="AC274" s="41">
        <v>38765</v>
      </c>
      <c r="AD274" s="41">
        <v>38904</v>
      </c>
      <c r="AE274" s="41">
        <v>39040</v>
      </c>
      <c r="AF274" s="41">
        <v>39161</v>
      </c>
      <c r="AG274" s="41">
        <v>39298</v>
      </c>
      <c r="AH274" s="41">
        <v>39430</v>
      </c>
      <c r="AI274" s="41">
        <v>39560</v>
      </c>
      <c r="AJ274" s="41">
        <v>39698</v>
      </c>
      <c r="AK274" s="41">
        <v>39824</v>
      </c>
      <c r="AL274" s="41">
        <v>39952</v>
      </c>
      <c r="AM274" s="41">
        <v>40077</v>
      </c>
      <c r="AN274" s="41">
        <v>40201</v>
      </c>
      <c r="AO274" s="41">
        <v>40317</v>
      </c>
      <c r="AP274" s="41">
        <v>40418</v>
      </c>
      <c r="AQ274" s="41">
        <v>40534</v>
      </c>
      <c r="AR274" s="41">
        <v>40641</v>
      </c>
      <c r="AS274" s="41">
        <v>40746</v>
      </c>
    </row>
    <row r="275" spans="1:45">
      <c r="A275" s="38" t="s">
        <v>666</v>
      </c>
      <c r="B275" s="38" t="s">
        <v>667</v>
      </c>
      <c r="C275" s="41">
        <v>58026</v>
      </c>
      <c r="D275" s="41">
        <v>58499</v>
      </c>
      <c r="E275" s="41">
        <v>58875</v>
      </c>
      <c r="F275" s="41">
        <v>59107</v>
      </c>
      <c r="G275" s="41">
        <v>59450</v>
      </c>
      <c r="H275" s="41">
        <v>59935</v>
      </c>
      <c r="I275" s="41">
        <v>60280</v>
      </c>
      <c r="J275" s="41">
        <v>60699</v>
      </c>
      <c r="K275" s="41">
        <v>61073</v>
      </c>
      <c r="L275" s="41">
        <v>61590</v>
      </c>
      <c r="M275" s="41">
        <v>62106</v>
      </c>
      <c r="N275" s="41">
        <v>62512</v>
      </c>
      <c r="O275" s="41">
        <v>63008</v>
      </c>
      <c r="P275" s="41">
        <v>63699</v>
      </c>
      <c r="Q275" s="41">
        <v>64333</v>
      </c>
      <c r="R275" s="41">
        <v>65053</v>
      </c>
      <c r="S275" s="41">
        <v>65602</v>
      </c>
      <c r="T275" s="41">
        <v>66148</v>
      </c>
      <c r="U275" s="41">
        <v>66843</v>
      </c>
      <c r="V275" s="41">
        <v>67471</v>
      </c>
      <c r="W275" s="41">
        <v>68100</v>
      </c>
      <c r="X275" s="41">
        <v>68887</v>
      </c>
      <c r="Y275" s="41">
        <v>69640</v>
      </c>
      <c r="Z275" s="41">
        <v>70378</v>
      </c>
      <c r="AA275" s="41">
        <v>71090</v>
      </c>
      <c r="AB275" s="41">
        <v>71794</v>
      </c>
      <c r="AC275" s="41">
        <v>72503</v>
      </c>
      <c r="AD275" s="41">
        <v>73195</v>
      </c>
      <c r="AE275" s="41">
        <v>73857</v>
      </c>
      <c r="AF275" s="41">
        <v>74506</v>
      </c>
      <c r="AG275" s="41">
        <v>75164</v>
      </c>
      <c r="AH275" s="41">
        <v>75822</v>
      </c>
      <c r="AI275" s="41">
        <v>76478</v>
      </c>
      <c r="AJ275" s="41">
        <v>77107</v>
      </c>
      <c r="AK275" s="41">
        <v>77727</v>
      </c>
      <c r="AL275" s="41">
        <v>78365</v>
      </c>
      <c r="AM275" s="41">
        <v>78998</v>
      </c>
      <c r="AN275" s="41">
        <v>79608</v>
      </c>
      <c r="AO275" s="41">
        <v>80191</v>
      </c>
      <c r="AP275" s="41">
        <v>80760</v>
      </c>
      <c r="AQ275" s="41">
        <v>81351</v>
      </c>
      <c r="AR275" s="41">
        <v>81933</v>
      </c>
      <c r="AS275" s="41">
        <v>82484</v>
      </c>
    </row>
    <row r="276" spans="1:45">
      <c r="A276" s="38" t="s">
        <v>668</v>
      </c>
      <c r="B276" s="38" t="s">
        <v>669</v>
      </c>
      <c r="C276" s="41">
        <v>42528</v>
      </c>
      <c r="D276" s="41">
        <v>42918</v>
      </c>
      <c r="E276" s="41">
        <v>43276</v>
      </c>
      <c r="F276" s="41">
        <v>43668</v>
      </c>
      <c r="G276" s="41">
        <v>44233</v>
      </c>
      <c r="H276" s="41">
        <v>45029</v>
      </c>
      <c r="I276" s="41">
        <v>45792</v>
      </c>
      <c r="J276" s="41">
        <v>46356</v>
      </c>
      <c r="K276" s="41">
        <v>46930</v>
      </c>
      <c r="L276" s="41">
        <v>47529</v>
      </c>
      <c r="M276" s="41">
        <v>48068</v>
      </c>
      <c r="N276" s="41">
        <v>48558</v>
      </c>
      <c r="O276" s="41">
        <v>49000</v>
      </c>
      <c r="P276" s="41">
        <v>49617</v>
      </c>
      <c r="Q276" s="41">
        <v>50172</v>
      </c>
      <c r="R276" s="41">
        <v>50827</v>
      </c>
      <c r="S276" s="41">
        <v>51484</v>
      </c>
      <c r="T276" s="41">
        <v>52178</v>
      </c>
      <c r="U276" s="41">
        <v>52921</v>
      </c>
      <c r="V276" s="41">
        <v>53538</v>
      </c>
      <c r="W276" s="41">
        <v>54137</v>
      </c>
      <c r="X276" s="41">
        <v>54805</v>
      </c>
      <c r="Y276" s="41">
        <v>55445</v>
      </c>
      <c r="Z276" s="41">
        <v>56076</v>
      </c>
      <c r="AA276" s="41">
        <v>56627</v>
      </c>
      <c r="AB276" s="41">
        <v>57183</v>
      </c>
      <c r="AC276" s="41">
        <v>57758</v>
      </c>
      <c r="AD276" s="41">
        <v>58307</v>
      </c>
      <c r="AE276" s="41">
        <v>58837</v>
      </c>
      <c r="AF276" s="41">
        <v>59328</v>
      </c>
      <c r="AG276" s="41">
        <v>59816</v>
      </c>
      <c r="AH276" s="41">
        <v>60311</v>
      </c>
      <c r="AI276" s="41">
        <v>60791</v>
      </c>
      <c r="AJ276" s="41">
        <v>61263</v>
      </c>
      <c r="AK276" s="41">
        <v>61728</v>
      </c>
      <c r="AL276" s="41">
        <v>62183</v>
      </c>
      <c r="AM276" s="41">
        <v>62648</v>
      </c>
      <c r="AN276" s="41">
        <v>63106</v>
      </c>
      <c r="AO276" s="41">
        <v>63547</v>
      </c>
      <c r="AP276" s="41">
        <v>63989</v>
      </c>
      <c r="AQ276" s="41">
        <v>64431</v>
      </c>
      <c r="AR276" s="41">
        <v>64877</v>
      </c>
      <c r="AS276" s="41">
        <v>65306</v>
      </c>
    </row>
    <row r="277" spans="1:45">
      <c r="A277" s="38" t="s">
        <v>670</v>
      </c>
      <c r="B277" s="38" t="s">
        <v>671</v>
      </c>
      <c r="C277" s="41">
        <v>57188</v>
      </c>
      <c r="D277" s="41">
        <v>57547</v>
      </c>
      <c r="E277" s="41">
        <v>57913</v>
      </c>
      <c r="F277" s="41">
        <v>58238</v>
      </c>
      <c r="G277" s="41">
        <v>58414</v>
      </c>
      <c r="H277" s="41">
        <v>58412</v>
      </c>
      <c r="I277" s="41">
        <v>58585</v>
      </c>
      <c r="J277" s="41">
        <v>58619</v>
      </c>
      <c r="K277" s="41">
        <v>58482</v>
      </c>
      <c r="L277" s="41">
        <v>58410</v>
      </c>
      <c r="M277" s="41">
        <v>58851</v>
      </c>
      <c r="N277" s="41">
        <v>59040</v>
      </c>
      <c r="O277" s="41">
        <v>59349</v>
      </c>
      <c r="P277" s="41">
        <v>59849</v>
      </c>
      <c r="Q277" s="41">
        <v>60141</v>
      </c>
      <c r="R277" s="41">
        <v>60524</v>
      </c>
      <c r="S277" s="41">
        <v>61058</v>
      </c>
      <c r="T277" s="41">
        <v>61496</v>
      </c>
      <c r="U277" s="41">
        <v>62088</v>
      </c>
      <c r="V277" s="41">
        <v>62624</v>
      </c>
      <c r="W277" s="41">
        <v>63127</v>
      </c>
      <c r="X277" s="41">
        <v>63708</v>
      </c>
      <c r="Y277" s="41">
        <v>64295</v>
      </c>
      <c r="Z277" s="41">
        <v>64857</v>
      </c>
      <c r="AA277" s="41">
        <v>65401</v>
      </c>
      <c r="AB277" s="41">
        <v>65957</v>
      </c>
      <c r="AC277" s="41">
        <v>66527</v>
      </c>
      <c r="AD277" s="41">
        <v>67097</v>
      </c>
      <c r="AE277" s="41">
        <v>67619</v>
      </c>
      <c r="AF277" s="41">
        <v>68146</v>
      </c>
      <c r="AG277" s="41">
        <v>68679</v>
      </c>
      <c r="AH277" s="41">
        <v>69192</v>
      </c>
      <c r="AI277" s="41">
        <v>69701</v>
      </c>
      <c r="AJ277" s="41">
        <v>70177</v>
      </c>
      <c r="AK277" s="41">
        <v>70674</v>
      </c>
      <c r="AL277" s="41">
        <v>71163</v>
      </c>
      <c r="AM277" s="41">
        <v>71629</v>
      </c>
      <c r="AN277" s="41">
        <v>72083</v>
      </c>
      <c r="AO277" s="41">
        <v>72531</v>
      </c>
      <c r="AP277" s="41">
        <v>72986</v>
      </c>
      <c r="AQ277" s="41">
        <v>73436</v>
      </c>
      <c r="AR277" s="41">
        <v>73867</v>
      </c>
      <c r="AS277" s="41">
        <v>74263</v>
      </c>
    </row>
    <row r="278" spans="1:45">
      <c r="A278" s="38" t="s">
        <v>672</v>
      </c>
      <c r="B278" s="38" t="s">
        <v>673</v>
      </c>
      <c r="C278" s="41">
        <v>24874</v>
      </c>
      <c r="D278" s="41">
        <v>25277</v>
      </c>
      <c r="E278" s="41">
        <v>25730</v>
      </c>
      <c r="F278" s="41">
        <v>26182</v>
      </c>
      <c r="G278" s="41">
        <v>26483</v>
      </c>
      <c r="H278" s="41">
        <v>26828</v>
      </c>
      <c r="I278" s="41">
        <v>27077</v>
      </c>
      <c r="J278" s="41">
        <v>27327</v>
      </c>
      <c r="K278" s="41">
        <v>27405</v>
      </c>
      <c r="L278" s="41">
        <v>27550</v>
      </c>
      <c r="M278" s="41">
        <v>27969</v>
      </c>
      <c r="N278" s="41">
        <v>28275</v>
      </c>
      <c r="O278" s="41">
        <v>28453</v>
      </c>
      <c r="P278" s="41">
        <v>28765</v>
      </c>
      <c r="Q278" s="41">
        <v>29125</v>
      </c>
      <c r="R278" s="41">
        <v>29521</v>
      </c>
      <c r="S278" s="41">
        <v>29956</v>
      </c>
      <c r="T278" s="41">
        <v>30200</v>
      </c>
      <c r="U278" s="41">
        <v>30574</v>
      </c>
      <c r="V278" s="41">
        <v>30931</v>
      </c>
      <c r="W278" s="41">
        <v>31257</v>
      </c>
      <c r="X278" s="41">
        <v>31616</v>
      </c>
      <c r="Y278" s="41">
        <v>31963</v>
      </c>
      <c r="Z278" s="41">
        <v>32299</v>
      </c>
      <c r="AA278" s="41">
        <v>32630</v>
      </c>
      <c r="AB278" s="41">
        <v>32952</v>
      </c>
      <c r="AC278" s="41">
        <v>33272</v>
      </c>
      <c r="AD278" s="41">
        <v>33579</v>
      </c>
      <c r="AE278" s="41">
        <v>33884</v>
      </c>
      <c r="AF278" s="41">
        <v>34175</v>
      </c>
      <c r="AG278" s="41">
        <v>34454</v>
      </c>
      <c r="AH278" s="41">
        <v>34724</v>
      </c>
      <c r="AI278" s="41">
        <v>34989</v>
      </c>
      <c r="AJ278" s="41">
        <v>35255</v>
      </c>
      <c r="AK278" s="41">
        <v>35500</v>
      </c>
      <c r="AL278" s="41">
        <v>35743</v>
      </c>
      <c r="AM278" s="41">
        <v>35980</v>
      </c>
      <c r="AN278" s="41">
        <v>36212</v>
      </c>
      <c r="AO278" s="41">
        <v>36449</v>
      </c>
      <c r="AP278" s="41">
        <v>36672</v>
      </c>
      <c r="AQ278" s="41">
        <v>36899</v>
      </c>
      <c r="AR278" s="41">
        <v>37123</v>
      </c>
      <c r="AS278" s="41">
        <v>37330</v>
      </c>
    </row>
    <row r="279" spans="1:45">
      <c r="A279" s="38" t="s">
        <v>674</v>
      </c>
      <c r="B279" s="38" t="s">
        <v>675</v>
      </c>
      <c r="C279" s="41">
        <v>80225</v>
      </c>
      <c r="D279" s="41">
        <v>82383</v>
      </c>
      <c r="E279" s="41">
        <v>82564</v>
      </c>
      <c r="F279" s="41">
        <v>83159</v>
      </c>
      <c r="G279" s="41">
        <v>84008</v>
      </c>
      <c r="H279" s="41">
        <v>85837</v>
      </c>
      <c r="I279" s="41">
        <v>88510</v>
      </c>
      <c r="J279" s="41">
        <v>91263</v>
      </c>
      <c r="K279" s="41">
        <v>94701</v>
      </c>
      <c r="L279" s="41">
        <v>97687</v>
      </c>
      <c r="M279" s="41">
        <v>100762</v>
      </c>
      <c r="N279" s="41">
        <v>103942</v>
      </c>
      <c r="O279" s="41">
        <v>108279</v>
      </c>
      <c r="P279" s="41">
        <v>113157</v>
      </c>
      <c r="Q279" s="41">
        <v>117293</v>
      </c>
      <c r="R279" s="41">
        <v>120621</v>
      </c>
      <c r="S279" s="41">
        <v>123760</v>
      </c>
      <c r="T279" s="41">
        <v>127785</v>
      </c>
      <c r="U279" s="41">
        <v>130920</v>
      </c>
      <c r="V279" s="41">
        <v>133819</v>
      </c>
      <c r="W279" s="41">
        <v>136555</v>
      </c>
      <c r="X279" s="41">
        <v>139594</v>
      </c>
      <c r="Y279" s="41">
        <v>142380</v>
      </c>
      <c r="Z279" s="41">
        <v>144934</v>
      </c>
      <c r="AA279" s="41">
        <v>147324</v>
      </c>
      <c r="AB279" s="41">
        <v>149703</v>
      </c>
      <c r="AC279" s="41">
        <v>151994</v>
      </c>
      <c r="AD279" s="41">
        <v>154222</v>
      </c>
      <c r="AE279" s="41">
        <v>156384</v>
      </c>
      <c r="AF279" s="41">
        <v>158507</v>
      </c>
      <c r="AG279" s="41">
        <v>160623</v>
      </c>
      <c r="AH279" s="41">
        <v>162752</v>
      </c>
      <c r="AI279" s="41">
        <v>164816</v>
      </c>
      <c r="AJ279" s="41">
        <v>166777</v>
      </c>
      <c r="AK279" s="41">
        <v>168697</v>
      </c>
      <c r="AL279" s="41">
        <v>170607</v>
      </c>
      <c r="AM279" s="41">
        <v>172472</v>
      </c>
      <c r="AN279" s="41">
        <v>174234</v>
      </c>
      <c r="AO279" s="41">
        <v>175864</v>
      </c>
      <c r="AP279" s="41">
        <v>177428</v>
      </c>
      <c r="AQ279" s="41">
        <v>178945</v>
      </c>
      <c r="AR279" s="41">
        <v>180372</v>
      </c>
      <c r="AS279" s="41">
        <v>181693</v>
      </c>
    </row>
    <row r="280" spans="1:45">
      <c r="A280" s="38" t="s">
        <v>676</v>
      </c>
      <c r="B280" s="38" t="s">
        <v>677</v>
      </c>
      <c r="C280" s="41">
        <v>88555</v>
      </c>
      <c r="D280" s="41">
        <v>88843</v>
      </c>
      <c r="E280" s="41">
        <v>89374</v>
      </c>
      <c r="F280" s="41">
        <v>89704</v>
      </c>
      <c r="G280" s="41">
        <v>90023</v>
      </c>
      <c r="H280" s="41">
        <v>90622</v>
      </c>
      <c r="I280" s="41">
        <v>91127</v>
      </c>
      <c r="J280" s="41">
        <v>91633</v>
      </c>
      <c r="K280" s="41">
        <v>92341</v>
      </c>
      <c r="L280" s="41">
        <v>93089</v>
      </c>
      <c r="M280" s="41">
        <v>94044</v>
      </c>
      <c r="N280" s="41">
        <v>94492</v>
      </c>
      <c r="O280" s="41">
        <v>95106</v>
      </c>
      <c r="P280" s="41">
        <v>95844</v>
      </c>
      <c r="Q280" s="41">
        <v>96093</v>
      </c>
      <c r="R280" s="41">
        <v>96389</v>
      </c>
      <c r="S280" s="41">
        <v>96700</v>
      </c>
      <c r="T280" s="41">
        <v>96973</v>
      </c>
      <c r="U280" s="41">
        <v>97540</v>
      </c>
      <c r="V280" s="41">
        <v>97959</v>
      </c>
      <c r="W280" s="41">
        <v>98394</v>
      </c>
      <c r="X280" s="41">
        <v>99010</v>
      </c>
      <c r="Y280" s="41">
        <v>99625</v>
      </c>
      <c r="Z280" s="41">
        <v>100237</v>
      </c>
      <c r="AA280" s="41">
        <v>100818</v>
      </c>
      <c r="AB280" s="41">
        <v>101394</v>
      </c>
      <c r="AC280" s="41">
        <v>101984</v>
      </c>
      <c r="AD280" s="41">
        <v>102566</v>
      </c>
      <c r="AE280" s="41">
        <v>103134</v>
      </c>
      <c r="AF280" s="41">
        <v>103704</v>
      </c>
      <c r="AG280" s="41">
        <v>104273</v>
      </c>
      <c r="AH280" s="41">
        <v>104843</v>
      </c>
      <c r="AI280" s="41">
        <v>105419</v>
      </c>
      <c r="AJ280" s="41">
        <v>105990</v>
      </c>
      <c r="AK280" s="41">
        <v>106557</v>
      </c>
      <c r="AL280" s="41">
        <v>107135</v>
      </c>
      <c r="AM280" s="41">
        <v>107696</v>
      </c>
      <c r="AN280" s="41">
        <v>108266</v>
      </c>
      <c r="AO280" s="41">
        <v>108826</v>
      </c>
      <c r="AP280" s="41">
        <v>109366</v>
      </c>
      <c r="AQ280" s="41">
        <v>109929</v>
      </c>
      <c r="AR280" s="41">
        <v>110498</v>
      </c>
      <c r="AS280" s="41">
        <v>111039</v>
      </c>
    </row>
    <row r="281" spans="1:45">
      <c r="A281" s="38" t="s">
        <v>678</v>
      </c>
      <c r="B281" s="38" t="s">
        <v>679</v>
      </c>
      <c r="C281" s="41">
        <v>42396</v>
      </c>
      <c r="D281" s="41">
        <v>42364</v>
      </c>
      <c r="E281" s="41">
        <v>42390</v>
      </c>
      <c r="F281" s="41">
        <v>42570</v>
      </c>
      <c r="G281" s="41">
        <v>42922</v>
      </c>
      <c r="H281" s="41">
        <v>43316</v>
      </c>
      <c r="I281" s="41">
        <v>44037</v>
      </c>
      <c r="J281" s="41">
        <v>44935</v>
      </c>
      <c r="K281" s="41">
        <v>45588</v>
      </c>
      <c r="L281" s="41">
        <v>46157</v>
      </c>
      <c r="M281" s="41">
        <v>46945</v>
      </c>
      <c r="N281" s="41">
        <v>47359</v>
      </c>
      <c r="O281" s="41">
        <v>47637</v>
      </c>
      <c r="P281" s="41">
        <v>47925</v>
      </c>
      <c r="Q281" s="41">
        <v>48216</v>
      </c>
      <c r="R281" s="41">
        <v>48582</v>
      </c>
      <c r="S281" s="41">
        <v>49029</v>
      </c>
      <c r="T281" s="41">
        <v>49122</v>
      </c>
      <c r="U281" s="41">
        <v>49522</v>
      </c>
      <c r="V281" s="41">
        <v>49872</v>
      </c>
      <c r="W281" s="41">
        <v>50170</v>
      </c>
      <c r="X281" s="41">
        <v>50549</v>
      </c>
      <c r="Y281" s="41">
        <v>50927</v>
      </c>
      <c r="Z281" s="41">
        <v>51306</v>
      </c>
      <c r="AA281" s="41">
        <v>51657</v>
      </c>
      <c r="AB281" s="41">
        <v>51999</v>
      </c>
      <c r="AC281" s="41">
        <v>52337</v>
      </c>
      <c r="AD281" s="41">
        <v>52686</v>
      </c>
      <c r="AE281" s="41">
        <v>53028</v>
      </c>
      <c r="AF281" s="41">
        <v>53346</v>
      </c>
      <c r="AG281" s="41">
        <v>53665</v>
      </c>
      <c r="AH281" s="41">
        <v>53960</v>
      </c>
      <c r="AI281" s="41">
        <v>54272</v>
      </c>
      <c r="AJ281" s="41">
        <v>54581</v>
      </c>
      <c r="AK281" s="41">
        <v>54876</v>
      </c>
      <c r="AL281" s="41">
        <v>55177</v>
      </c>
      <c r="AM281" s="41">
        <v>55462</v>
      </c>
      <c r="AN281" s="41">
        <v>55755</v>
      </c>
      <c r="AO281" s="41">
        <v>56040</v>
      </c>
      <c r="AP281" s="41">
        <v>56314</v>
      </c>
      <c r="AQ281" s="41">
        <v>56594</v>
      </c>
      <c r="AR281" s="41">
        <v>56885</v>
      </c>
      <c r="AS281" s="41">
        <v>57161</v>
      </c>
    </row>
    <row r="282" spans="1:45">
      <c r="A282" s="38" t="s">
        <v>680</v>
      </c>
      <c r="B282" s="38" t="s">
        <v>681</v>
      </c>
      <c r="C282" s="41">
        <v>27359</v>
      </c>
      <c r="D282" s="41">
        <v>27606</v>
      </c>
      <c r="E282" s="41">
        <v>27904</v>
      </c>
      <c r="F282" s="41">
        <v>28145</v>
      </c>
      <c r="G282" s="41">
        <v>28520</v>
      </c>
      <c r="H282" s="41">
        <v>28966</v>
      </c>
      <c r="I282" s="41">
        <v>29306</v>
      </c>
      <c r="J282" s="41">
        <v>29751</v>
      </c>
      <c r="K282" s="41">
        <v>30227</v>
      </c>
      <c r="L282" s="41">
        <v>30883</v>
      </c>
      <c r="M282" s="41">
        <v>31444</v>
      </c>
      <c r="N282" s="41">
        <v>32008</v>
      </c>
      <c r="O282" s="41">
        <v>32551</v>
      </c>
      <c r="P282" s="41">
        <v>33023</v>
      </c>
      <c r="Q282" s="41">
        <v>33562</v>
      </c>
      <c r="R282" s="41">
        <v>33979</v>
      </c>
      <c r="S282" s="41">
        <v>34548</v>
      </c>
      <c r="T282" s="41">
        <v>35189</v>
      </c>
      <c r="U282" s="41">
        <v>35773</v>
      </c>
      <c r="V282" s="41">
        <v>36297</v>
      </c>
      <c r="W282" s="41">
        <v>36778</v>
      </c>
      <c r="X282" s="41">
        <v>37317</v>
      </c>
      <c r="Y282" s="41">
        <v>37863</v>
      </c>
      <c r="Z282" s="41">
        <v>38380</v>
      </c>
      <c r="AA282" s="41">
        <v>38860</v>
      </c>
      <c r="AB282" s="41">
        <v>39322</v>
      </c>
      <c r="AC282" s="41">
        <v>39788</v>
      </c>
      <c r="AD282" s="41">
        <v>40242</v>
      </c>
      <c r="AE282" s="41">
        <v>40678</v>
      </c>
      <c r="AF282" s="41">
        <v>41084</v>
      </c>
      <c r="AG282" s="41">
        <v>41494</v>
      </c>
      <c r="AH282" s="41">
        <v>41888</v>
      </c>
      <c r="AI282" s="41">
        <v>42281</v>
      </c>
      <c r="AJ282" s="41">
        <v>42655</v>
      </c>
      <c r="AK282" s="41">
        <v>43014</v>
      </c>
      <c r="AL282" s="41">
        <v>43378</v>
      </c>
      <c r="AM282" s="41">
        <v>43721</v>
      </c>
      <c r="AN282" s="41">
        <v>44065</v>
      </c>
      <c r="AO282" s="41">
        <v>44397</v>
      </c>
      <c r="AP282" s="41">
        <v>44718</v>
      </c>
      <c r="AQ282" s="41">
        <v>45047</v>
      </c>
      <c r="AR282" s="41">
        <v>45367</v>
      </c>
      <c r="AS282" s="41">
        <v>45676</v>
      </c>
    </row>
    <row r="283" spans="1:45">
      <c r="A283" s="38" t="s">
        <v>682</v>
      </c>
      <c r="B283" s="38" t="s">
        <v>683</v>
      </c>
      <c r="C283" s="41">
        <v>45529</v>
      </c>
      <c r="D283" s="41">
        <v>45644</v>
      </c>
      <c r="E283" s="41">
        <v>45964</v>
      </c>
      <c r="F283" s="41">
        <v>46256</v>
      </c>
      <c r="G283" s="41">
        <v>46782</v>
      </c>
      <c r="H283" s="41">
        <v>47272</v>
      </c>
      <c r="I283" s="41">
        <v>47724</v>
      </c>
      <c r="J283" s="41">
        <v>48214</v>
      </c>
      <c r="K283" s="41">
        <v>48635</v>
      </c>
      <c r="L283" s="41">
        <v>49055</v>
      </c>
      <c r="M283" s="41">
        <v>49557</v>
      </c>
      <c r="N283" s="41">
        <v>50053</v>
      </c>
      <c r="O283" s="41">
        <v>50469</v>
      </c>
      <c r="P283" s="41">
        <v>51076</v>
      </c>
      <c r="Q283" s="41">
        <v>51944</v>
      </c>
      <c r="R283" s="41">
        <v>52829</v>
      </c>
      <c r="S283" s="41">
        <v>53901</v>
      </c>
      <c r="T283" s="41">
        <v>54953</v>
      </c>
      <c r="U283" s="41">
        <v>55971</v>
      </c>
      <c r="V283" s="41">
        <v>56937</v>
      </c>
      <c r="W283" s="41">
        <v>57835</v>
      </c>
      <c r="X283" s="41">
        <v>58720</v>
      </c>
      <c r="Y283" s="41">
        <v>59556</v>
      </c>
      <c r="Z283" s="41">
        <v>60353</v>
      </c>
      <c r="AA283" s="41">
        <v>61096</v>
      </c>
      <c r="AB283" s="41">
        <v>61795</v>
      </c>
      <c r="AC283" s="41">
        <v>62502</v>
      </c>
      <c r="AD283" s="41">
        <v>63183</v>
      </c>
      <c r="AE283" s="41">
        <v>63834</v>
      </c>
      <c r="AF283" s="41">
        <v>64449</v>
      </c>
      <c r="AG283" s="41">
        <v>65057</v>
      </c>
      <c r="AH283" s="41">
        <v>65638</v>
      </c>
      <c r="AI283" s="41">
        <v>66204</v>
      </c>
      <c r="AJ283" s="41">
        <v>66764</v>
      </c>
      <c r="AK283" s="41">
        <v>67301</v>
      </c>
      <c r="AL283" s="41">
        <v>67843</v>
      </c>
      <c r="AM283" s="41">
        <v>68357</v>
      </c>
      <c r="AN283" s="41">
        <v>68874</v>
      </c>
      <c r="AO283" s="41">
        <v>69373</v>
      </c>
      <c r="AP283" s="41">
        <v>69858</v>
      </c>
      <c r="AQ283" s="41">
        <v>70354</v>
      </c>
      <c r="AR283" s="41">
        <v>70825</v>
      </c>
      <c r="AS283" s="41">
        <v>71277</v>
      </c>
    </row>
    <row r="284" spans="1:45">
      <c r="A284" s="38" t="s">
        <v>684</v>
      </c>
      <c r="B284" s="38" t="s">
        <v>685</v>
      </c>
      <c r="C284" s="41">
        <v>131293</v>
      </c>
      <c r="D284" s="41">
        <v>132067</v>
      </c>
      <c r="E284" s="41">
        <v>132881</v>
      </c>
      <c r="F284" s="41">
        <v>133507</v>
      </c>
      <c r="G284" s="41">
        <v>134260</v>
      </c>
      <c r="H284" s="41">
        <v>135279</v>
      </c>
      <c r="I284" s="41">
        <v>136140</v>
      </c>
      <c r="J284" s="41">
        <v>137084</v>
      </c>
      <c r="K284" s="41">
        <v>137836</v>
      </c>
      <c r="L284" s="41">
        <v>138636</v>
      </c>
      <c r="M284" s="41">
        <v>139685</v>
      </c>
      <c r="N284" s="41">
        <v>140531</v>
      </c>
      <c r="O284" s="41">
        <v>141437</v>
      </c>
      <c r="P284" s="41">
        <v>142449</v>
      </c>
      <c r="Q284" s="41">
        <v>143599</v>
      </c>
      <c r="R284" s="41">
        <v>145043</v>
      </c>
      <c r="S284" s="41">
        <v>146689</v>
      </c>
      <c r="T284" s="41">
        <v>148438</v>
      </c>
      <c r="U284" s="41">
        <v>150332</v>
      </c>
      <c r="V284" s="41">
        <v>152063</v>
      </c>
      <c r="W284" s="41">
        <v>153712</v>
      </c>
      <c r="X284" s="41">
        <v>155443</v>
      </c>
      <c r="Y284" s="41">
        <v>157080</v>
      </c>
      <c r="Z284" s="41">
        <v>158682</v>
      </c>
      <c r="AA284" s="41">
        <v>160220</v>
      </c>
      <c r="AB284" s="41">
        <v>161730</v>
      </c>
      <c r="AC284" s="41">
        <v>163235</v>
      </c>
      <c r="AD284" s="41">
        <v>164714</v>
      </c>
      <c r="AE284" s="41">
        <v>166173</v>
      </c>
      <c r="AF284" s="41">
        <v>167591</v>
      </c>
      <c r="AG284" s="41">
        <v>169021</v>
      </c>
      <c r="AH284" s="41">
        <v>170455</v>
      </c>
      <c r="AI284" s="41">
        <v>171892</v>
      </c>
      <c r="AJ284" s="41">
        <v>173314</v>
      </c>
      <c r="AK284" s="41">
        <v>174701</v>
      </c>
      <c r="AL284" s="41">
        <v>176148</v>
      </c>
      <c r="AM284" s="41">
        <v>177596</v>
      </c>
      <c r="AN284" s="41">
        <v>179006</v>
      </c>
      <c r="AO284" s="41">
        <v>180361</v>
      </c>
      <c r="AP284" s="41">
        <v>181675</v>
      </c>
      <c r="AQ284" s="41">
        <v>183021</v>
      </c>
      <c r="AR284" s="41">
        <v>184330</v>
      </c>
      <c r="AS284" s="41">
        <v>185541</v>
      </c>
    </row>
    <row r="285" spans="1:45">
      <c r="A285" s="38" t="s">
        <v>686</v>
      </c>
      <c r="B285" s="38" t="s">
        <v>687</v>
      </c>
      <c r="C285" s="41">
        <v>100510</v>
      </c>
      <c r="D285" s="41">
        <v>100885</v>
      </c>
      <c r="E285" s="41">
        <v>101253</v>
      </c>
      <c r="F285" s="41">
        <v>101634</v>
      </c>
      <c r="G285" s="41">
        <v>102246</v>
      </c>
      <c r="H285" s="41">
        <v>102657</v>
      </c>
      <c r="I285" s="41">
        <v>103178</v>
      </c>
      <c r="J285" s="41">
        <v>103958</v>
      </c>
      <c r="K285" s="41">
        <v>104638</v>
      </c>
      <c r="L285" s="41">
        <v>105533</v>
      </c>
      <c r="M285" s="41">
        <v>107226</v>
      </c>
      <c r="N285" s="41">
        <v>107813</v>
      </c>
      <c r="O285" s="41">
        <v>108249</v>
      </c>
      <c r="P285" s="41">
        <v>108976</v>
      </c>
      <c r="Q285" s="41">
        <v>109678</v>
      </c>
      <c r="R285" s="41">
        <v>110537</v>
      </c>
      <c r="S285" s="41">
        <v>111281</v>
      </c>
      <c r="T285" s="41">
        <v>111874</v>
      </c>
      <c r="U285" s="41">
        <v>112676</v>
      </c>
      <c r="V285" s="41">
        <v>113340</v>
      </c>
      <c r="W285" s="41">
        <v>113951</v>
      </c>
      <c r="X285" s="41">
        <v>114713</v>
      </c>
      <c r="Y285" s="41">
        <v>115477</v>
      </c>
      <c r="Z285" s="41">
        <v>116243</v>
      </c>
      <c r="AA285" s="41">
        <v>116971</v>
      </c>
      <c r="AB285" s="41">
        <v>117693</v>
      </c>
      <c r="AC285" s="41">
        <v>118439</v>
      </c>
      <c r="AD285" s="41">
        <v>119230</v>
      </c>
      <c r="AE285" s="41">
        <v>120012</v>
      </c>
      <c r="AF285" s="41">
        <v>120785</v>
      </c>
      <c r="AG285" s="41">
        <v>121604</v>
      </c>
      <c r="AH285" s="41">
        <v>122447</v>
      </c>
      <c r="AI285" s="41">
        <v>123309</v>
      </c>
      <c r="AJ285" s="41">
        <v>124165</v>
      </c>
      <c r="AK285" s="41">
        <v>124984</v>
      </c>
      <c r="AL285" s="41">
        <v>125857</v>
      </c>
      <c r="AM285" s="41">
        <v>126745</v>
      </c>
      <c r="AN285" s="41">
        <v>127629</v>
      </c>
      <c r="AO285" s="41">
        <v>128460</v>
      </c>
      <c r="AP285" s="41">
        <v>129269</v>
      </c>
      <c r="AQ285" s="41">
        <v>130111</v>
      </c>
      <c r="AR285" s="41">
        <v>130940</v>
      </c>
      <c r="AS285" s="41">
        <v>131723</v>
      </c>
    </row>
    <row r="286" spans="1:45">
      <c r="A286" s="38" t="s">
        <v>688</v>
      </c>
      <c r="B286" s="38" t="s">
        <v>689</v>
      </c>
      <c r="C286" s="41">
        <v>90796</v>
      </c>
      <c r="D286" s="41">
        <v>90810</v>
      </c>
      <c r="E286" s="41">
        <v>90162</v>
      </c>
      <c r="F286" s="41">
        <v>89469</v>
      </c>
      <c r="G286" s="41">
        <v>89387</v>
      </c>
      <c r="H286" s="41">
        <v>89892</v>
      </c>
      <c r="I286" s="41">
        <v>90641</v>
      </c>
      <c r="J286" s="41">
        <v>92083</v>
      </c>
      <c r="K286" s="41">
        <v>93635</v>
      </c>
      <c r="L286" s="41">
        <v>95234</v>
      </c>
      <c r="M286" s="41">
        <v>96849</v>
      </c>
      <c r="N286" s="41">
        <v>97425</v>
      </c>
      <c r="O286" s="41">
        <v>98440</v>
      </c>
      <c r="P286" s="41">
        <v>99113</v>
      </c>
      <c r="Q286" s="41">
        <v>99964</v>
      </c>
      <c r="R286" s="41">
        <v>100987</v>
      </c>
      <c r="S286" s="41">
        <v>101058</v>
      </c>
      <c r="T286" s="41">
        <v>101522</v>
      </c>
      <c r="U286" s="41">
        <v>102035</v>
      </c>
      <c r="V286" s="41">
        <v>102459</v>
      </c>
      <c r="W286" s="41">
        <v>102828</v>
      </c>
      <c r="X286" s="41">
        <v>103799</v>
      </c>
      <c r="Y286" s="41">
        <v>104778</v>
      </c>
      <c r="Z286" s="41">
        <v>105620</v>
      </c>
      <c r="AA286" s="41">
        <v>106414</v>
      </c>
      <c r="AB286" s="41">
        <v>107191</v>
      </c>
      <c r="AC286" s="41">
        <v>107919</v>
      </c>
      <c r="AD286" s="41">
        <v>108663</v>
      </c>
      <c r="AE286" s="41">
        <v>109363</v>
      </c>
      <c r="AF286" s="41">
        <v>110039</v>
      </c>
      <c r="AG286" s="41">
        <v>110716</v>
      </c>
      <c r="AH286" s="41">
        <v>111375</v>
      </c>
      <c r="AI286" s="41">
        <v>112025</v>
      </c>
      <c r="AJ286" s="41">
        <v>112649</v>
      </c>
      <c r="AK286" s="41">
        <v>113253</v>
      </c>
      <c r="AL286" s="41">
        <v>113861</v>
      </c>
      <c r="AM286" s="41">
        <v>114467</v>
      </c>
      <c r="AN286" s="41">
        <v>115062</v>
      </c>
      <c r="AO286" s="41">
        <v>115627</v>
      </c>
      <c r="AP286" s="41">
        <v>116179</v>
      </c>
      <c r="AQ286" s="41">
        <v>116738</v>
      </c>
      <c r="AR286" s="41">
        <v>117291</v>
      </c>
      <c r="AS286" s="41">
        <v>117814</v>
      </c>
    </row>
    <row r="287" spans="1:45">
      <c r="A287" s="38" t="s">
        <v>690</v>
      </c>
      <c r="B287" s="38" t="s">
        <v>691</v>
      </c>
      <c r="C287" s="41">
        <v>121136</v>
      </c>
      <c r="D287" s="41">
        <v>121827</v>
      </c>
      <c r="E287" s="41">
        <v>121746</v>
      </c>
      <c r="F287" s="41">
        <v>121660</v>
      </c>
      <c r="G287" s="41">
        <v>123117</v>
      </c>
      <c r="H287" s="41">
        <v>124358</v>
      </c>
      <c r="I287" s="41">
        <v>125122</v>
      </c>
      <c r="J287" s="41">
        <v>125639</v>
      </c>
      <c r="K287" s="41">
        <v>127263</v>
      </c>
      <c r="L287" s="41">
        <v>128197</v>
      </c>
      <c r="M287" s="41">
        <v>129356</v>
      </c>
      <c r="N287" s="41">
        <v>129874</v>
      </c>
      <c r="O287" s="41">
        <v>131116</v>
      </c>
      <c r="P287" s="41">
        <v>131980</v>
      </c>
      <c r="Q287" s="41">
        <v>132773</v>
      </c>
      <c r="R287" s="41">
        <v>133233</v>
      </c>
      <c r="S287" s="41">
        <v>133465</v>
      </c>
      <c r="T287" s="41">
        <v>134284</v>
      </c>
      <c r="U287" s="41">
        <v>134808</v>
      </c>
      <c r="V287" s="41">
        <v>135288</v>
      </c>
      <c r="W287" s="41">
        <v>135730</v>
      </c>
      <c r="X287" s="41">
        <v>136782</v>
      </c>
      <c r="Y287" s="41">
        <v>137720</v>
      </c>
      <c r="Z287" s="41">
        <v>138552</v>
      </c>
      <c r="AA287" s="41">
        <v>139345</v>
      </c>
      <c r="AB287" s="41">
        <v>140140</v>
      </c>
      <c r="AC287" s="41">
        <v>140924</v>
      </c>
      <c r="AD287" s="41">
        <v>141657</v>
      </c>
      <c r="AE287" s="41">
        <v>142397</v>
      </c>
      <c r="AF287" s="41">
        <v>143157</v>
      </c>
      <c r="AG287" s="41">
        <v>143975</v>
      </c>
      <c r="AH287" s="41">
        <v>144816</v>
      </c>
      <c r="AI287" s="41">
        <v>145682</v>
      </c>
      <c r="AJ287" s="41">
        <v>146556</v>
      </c>
      <c r="AK287" s="41">
        <v>147450</v>
      </c>
      <c r="AL287" s="41">
        <v>148401</v>
      </c>
      <c r="AM287" s="41">
        <v>149334</v>
      </c>
      <c r="AN287" s="41">
        <v>150242</v>
      </c>
      <c r="AO287" s="41">
        <v>151077</v>
      </c>
      <c r="AP287" s="41">
        <v>151887</v>
      </c>
      <c r="AQ287" s="41">
        <v>152692</v>
      </c>
      <c r="AR287" s="41">
        <v>153441</v>
      </c>
      <c r="AS287" s="41">
        <v>154097</v>
      </c>
    </row>
    <row r="288" spans="1:45">
      <c r="A288" s="38" t="s">
        <v>692</v>
      </c>
      <c r="B288" s="38" t="s">
        <v>693</v>
      </c>
      <c r="C288" s="41">
        <v>77427</v>
      </c>
      <c r="D288" s="41">
        <v>77966</v>
      </c>
      <c r="E288" s="41">
        <v>78399</v>
      </c>
      <c r="F288" s="41">
        <v>78612</v>
      </c>
      <c r="G288" s="41">
        <v>79321</v>
      </c>
      <c r="H288" s="41">
        <v>80187</v>
      </c>
      <c r="I288" s="41">
        <v>81175</v>
      </c>
      <c r="J288" s="41">
        <v>82132</v>
      </c>
      <c r="K288" s="41">
        <v>83176</v>
      </c>
      <c r="L288" s="41">
        <v>84000</v>
      </c>
      <c r="M288" s="41">
        <v>84870</v>
      </c>
      <c r="N288" s="41">
        <v>85582</v>
      </c>
      <c r="O288" s="41">
        <v>86498</v>
      </c>
      <c r="P288" s="41">
        <v>87474</v>
      </c>
      <c r="Q288" s="41">
        <v>88264</v>
      </c>
      <c r="R288" s="41">
        <v>89073</v>
      </c>
      <c r="S288" s="41">
        <v>89769</v>
      </c>
      <c r="T288" s="41">
        <v>90098</v>
      </c>
      <c r="U288" s="41">
        <v>90754</v>
      </c>
      <c r="V288" s="41">
        <v>91296</v>
      </c>
      <c r="W288" s="41">
        <v>91829</v>
      </c>
      <c r="X288" s="41">
        <v>92353</v>
      </c>
      <c r="Y288" s="41">
        <v>92800</v>
      </c>
      <c r="Z288" s="41">
        <v>93226</v>
      </c>
      <c r="AA288" s="41">
        <v>93614</v>
      </c>
      <c r="AB288" s="41">
        <v>93988</v>
      </c>
      <c r="AC288" s="41">
        <v>94394</v>
      </c>
      <c r="AD288" s="41">
        <v>94763</v>
      </c>
      <c r="AE288" s="41">
        <v>95129</v>
      </c>
      <c r="AF288" s="41">
        <v>95479</v>
      </c>
      <c r="AG288" s="41">
        <v>95843</v>
      </c>
      <c r="AH288" s="41">
        <v>96213</v>
      </c>
      <c r="AI288" s="41">
        <v>96591</v>
      </c>
      <c r="AJ288" s="41">
        <v>96976</v>
      </c>
      <c r="AK288" s="41">
        <v>97341</v>
      </c>
      <c r="AL288" s="41">
        <v>97726</v>
      </c>
      <c r="AM288" s="41">
        <v>98108</v>
      </c>
      <c r="AN288" s="41">
        <v>98483</v>
      </c>
      <c r="AO288" s="41">
        <v>98856</v>
      </c>
      <c r="AP288" s="41">
        <v>99208</v>
      </c>
      <c r="AQ288" s="41">
        <v>99571</v>
      </c>
      <c r="AR288" s="41">
        <v>99929</v>
      </c>
      <c r="AS288" s="41">
        <v>100248</v>
      </c>
    </row>
    <row r="289" spans="1:45">
      <c r="A289" s="38" t="s">
        <v>694</v>
      </c>
      <c r="B289" s="38" t="s">
        <v>695</v>
      </c>
      <c r="C289" s="41">
        <v>52962</v>
      </c>
      <c r="D289" s="41">
        <v>53668</v>
      </c>
      <c r="E289" s="41">
        <v>54485</v>
      </c>
      <c r="F289" s="41">
        <v>55204</v>
      </c>
      <c r="G289" s="41">
        <v>56014</v>
      </c>
      <c r="H289" s="41">
        <v>56568</v>
      </c>
      <c r="I289" s="41">
        <v>57008</v>
      </c>
      <c r="J289" s="41">
        <v>57440</v>
      </c>
      <c r="K289" s="41">
        <v>57898</v>
      </c>
      <c r="L289" s="41">
        <v>58214</v>
      </c>
      <c r="M289" s="41">
        <v>58432</v>
      </c>
      <c r="N289" s="41">
        <v>58693</v>
      </c>
      <c r="O289" s="41">
        <v>58592</v>
      </c>
      <c r="P289" s="41">
        <v>58744</v>
      </c>
      <c r="Q289" s="41">
        <v>58898</v>
      </c>
      <c r="R289" s="41">
        <v>59215</v>
      </c>
      <c r="S289" s="41">
        <v>59738</v>
      </c>
      <c r="T289" s="41">
        <v>60323</v>
      </c>
      <c r="U289" s="41">
        <v>60887</v>
      </c>
      <c r="V289" s="41">
        <v>61427</v>
      </c>
      <c r="W289" s="41">
        <v>61863</v>
      </c>
      <c r="X289" s="41">
        <v>62353</v>
      </c>
      <c r="Y289" s="41">
        <v>62825</v>
      </c>
      <c r="Z289" s="41">
        <v>63341</v>
      </c>
      <c r="AA289" s="41">
        <v>63863</v>
      </c>
      <c r="AB289" s="41">
        <v>64346</v>
      </c>
      <c r="AC289" s="41">
        <v>64850</v>
      </c>
      <c r="AD289" s="41">
        <v>65332</v>
      </c>
      <c r="AE289" s="41">
        <v>65822</v>
      </c>
      <c r="AF289" s="41">
        <v>66306</v>
      </c>
      <c r="AG289" s="41">
        <v>66796</v>
      </c>
      <c r="AH289" s="41">
        <v>67304</v>
      </c>
      <c r="AI289" s="41">
        <v>67772</v>
      </c>
      <c r="AJ289" s="41">
        <v>68235</v>
      </c>
      <c r="AK289" s="41">
        <v>68693</v>
      </c>
      <c r="AL289" s="41">
        <v>69161</v>
      </c>
      <c r="AM289" s="41">
        <v>69626</v>
      </c>
      <c r="AN289" s="41">
        <v>70076</v>
      </c>
      <c r="AO289" s="41">
        <v>70507</v>
      </c>
      <c r="AP289" s="41">
        <v>70938</v>
      </c>
      <c r="AQ289" s="41">
        <v>71393</v>
      </c>
      <c r="AR289" s="41">
        <v>71846</v>
      </c>
      <c r="AS289" s="41">
        <v>72279</v>
      </c>
    </row>
    <row r="290" spans="1:45">
      <c r="A290" s="38" t="s">
        <v>696</v>
      </c>
      <c r="B290" s="38" t="s">
        <v>697</v>
      </c>
      <c r="C290" s="41">
        <v>32374</v>
      </c>
      <c r="D290" s="41">
        <v>32261</v>
      </c>
      <c r="E290" s="41">
        <v>32374</v>
      </c>
      <c r="F290" s="41">
        <v>32479</v>
      </c>
      <c r="G290" s="41">
        <v>32925</v>
      </c>
      <c r="H290" s="41">
        <v>32972</v>
      </c>
      <c r="I290" s="41">
        <v>33302</v>
      </c>
      <c r="J290" s="41">
        <v>33922</v>
      </c>
      <c r="K290" s="41">
        <v>34669</v>
      </c>
      <c r="L290" s="41">
        <v>35458</v>
      </c>
      <c r="M290" s="41">
        <v>36470</v>
      </c>
      <c r="N290" s="41">
        <v>37077</v>
      </c>
      <c r="O290" s="41">
        <v>37767</v>
      </c>
      <c r="P290" s="41">
        <v>38433</v>
      </c>
      <c r="Q290" s="41">
        <v>38831</v>
      </c>
      <c r="R290" s="41">
        <v>39038</v>
      </c>
      <c r="S290" s="41">
        <v>39142</v>
      </c>
      <c r="T290" s="41">
        <v>39268</v>
      </c>
      <c r="U290" s="41">
        <v>39403</v>
      </c>
      <c r="V290" s="41">
        <v>39526</v>
      </c>
      <c r="W290" s="41">
        <v>39642</v>
      </c>
      <c r="X290" s="41">
        <v>39771</v>
      </c>
      <c r="Y290" s="41">
        <v>39905</v>
      </c>
      <c r="Z290" s="41">
        <v>40013</v>
      </c>
      <c r="AA290" s="41">
        <v>40103</v>
      </c>
      <c r="AB290" s="41">
        <v>40194</v>
      </c>
      <c r="AC290" s="41">
        <v>40301</v>
      </c>
      <c r="AD290" s="41">
        <v>40408</v>
      </c>
      <c r="AE290" s="41">
        <v>40523</v>
      </c>
      <c r="AF290" s="41">
        <v>40627</v>
      </c>
      <c r="AG290" s="41">
        <v>40734</v>
      </c>
      <c r="AH290" s="41">
        <v>40850</v>
      </c>
      <c r="AI290" s="41">
        <v>40963</v>
      </c>
      <c r="AJ290" s="41">
        <v>41084</v>
      </c>
      <c r="AK290" s="41">
        <v>41187</v>
      </c>
      <c r="AL290" s="41">
        <v>41300</v>
      </c>
      <c r="AM290" s="41">
        <v>41410</v>
      </c>
      <c r="AN290" s="41">
        <v>41530</v>
      </c>
      <c r="AO290" s="41">
        <v>41637</v>
      </c>
      <c r="AP290" s="41">
        <v>41741</v>
      </c>
      <c r="AQ290" s="41">
        <v>41851</v>
      </c>
      <c r="AR290" s="41">
        <v>41958</v>
      </c>
      <c r="AS290" s="41">
        <v>42062</v>
      </c>
    </row>
    <row r="291" spans="1:45">
      <c r="A291" s="38" t="s">
        <v>698</v>
      </c>
      <c r="B291" s="38" t="s">
        <v>699</v>
      </c>
      <c r="C291" s="41">
        <v>46968</v>
      </c>
      <c r="D291" s="41">
        <v>46795</v>
      </c>
      <c r="E291" s="41">
        <v>46913</v>
      </c>
      <c r="F291" s="41">
        <v>46953</v>
      </c>
      <c r="G291" s="41">
        <v>46928</v>
      </c>
      <c r="H291" s="41">
        <v>47237</v>
      </c>
      <c r="I291" s="41">
        <v>47537</v>
      </c>
      <c r="J291" s="41">
        <v>47985</v>
      </c>
      <c r="K291" s="41">
        <v>48401</v>
      </c>
      <c r="L291" s="41">
        <v>48762</v>
      </c>
      <c r="M291" s="41">
        <v>49221</v>
      </c>
      <c r="N291" s="41">
        <v>49283</v>
      </c>
      <c r="O291" s="41">
        <v>49513</v>
      </c>
      <c r="P291" s="41">
        <v>49767</v>
      </c>
      <c r="Q291" s="41">
        <v>49906</v>
      </c>
      <c r="R291" s="41">
        <v>50140</v>
      </c>
      <c r="S291" s="41">
        <v>50270</v>
      </c>
      <c r="T291" s="41">
        <v>50481</v>
      </c>
      <c r="U291" s="41">
        <v>50714</v>
      </c>
      <c r="V291" s="41">
        <v>50854</v>
      </c>
      <c r="W291" s="41">
        <v>51013</v>
      </c>
      <c r="X291" s="41">
        <v>51243</v>
      </c>
      <c r="Y291" s="41">
        <v>51491</v>
      </c>
      <c r="Z291" s="41">
        <v>51720</v>
      </c>
      <c r="AA291" s="41">
        <v>51904</v>
      </c>
      <c r="AB291" s="41">
        <v>52101</v>
      </c>
      <c r="AC291" s="41">
        <v>52294</v>
      </c>
      <c r="AD291" s="41">
        <v>52485</v>
      </c>
      <c r="AE291" s="41">
        <v>52667</v>
      </c>
      <c r="AF291" s="41">
        <v>52834</v>
      </c>
      <c r="AG291" s="41">
        <v>53003</v>
      </c>
      <c r="AH291" s="41">
        <v>53164</v>
      </c>
      <c r="AI291" s="41">
        <v>53311</v>
      </c>
      <c r="AJ291" s="41">
        <v>53444</v>
      </c>
      <c r="AK291" s="41">
        <v>53578</v>
      </c>
      <c r="AL291" s="41">
        <v>53713</v>
      </c>
      <c r="AM291" s="41">
        <v>53837</v>
      </c>
      <c r="AN291" s="41">
        <v>53972</v>
      </c>
      <c r="AO291" s="41">
        <v>54097</v>
      </c>
      <c r="AP291" s="41">
        <v>54231</v>
      </c>
      <c r="AQ291" s="41">
        <v>54384</v>
      </c>
      <c r="AR291" s="41">
        <v>54543</v>
      </c>
      <c r="AS291" s="41">
        <v>54700</v>
      </c>
    </row>
    <row r="292" spans="1:45">
      <c r="A292" s="38" t="s">
        <v>700</v>
      </c>
      <c r="B292" s="38" t="s">
        <v>701</v>
      </c>
      <c r="C292" s="41">
        <v>58075</v>
      </c>
      <c r="D292" s="41">
        <v>58501</v>
      </c>
      <c r="E292" s="41">
        <v>59038</v>
      </c>
      <c r="F292" s="41">
        <v>59504</v>
      </c>
      <c r="G292" s="41">
        <v>59902</v>
      </c>
      <c r="H292" s="41">
        <v>60355</v>
      </c>
      <c r="I292" s="41">
        <v>60928</v>
      </c>
      <c r="J292" s="41">
        <v>61322</v>
      </c>
      <c r="K292" s="41">
        <v>61432</v>
      </c>
      <c r="L292" s="41">
        <v>62033</v>
      </c>
      <c r="M292" s="41">
        <v>62751</v>
      </c>
      <c r="N292" s="41">
        <v>63634</v>
      </c>
      <c r="O292" s="41">
        <v>64482</v>
      </c>
      <c r="P292" s="41">
        <v>65487</v>
      </c>
      <c r="Q292" s="41">
        <v>66294</v>
      </c>
      <c r="R292" s="41">
        <v>66933</v>
      </c>
      <c r="S292" s="41">
        <v>67536</v>
      </c>
      <c r="T292" s="41">
        <v>68110</v>
      </c>
      <c r="U292" s="41">
        <v>68808</v>
      </c>
      <c r="V292" s="41">
        <v>69407</v>
      </c>
      <c r="W292" s="41">
        <v>69971</v>
      </c>
      <c r="X292" s="41">
        <v>70652</v>
      </c>
      <c r="Y292" s="41">
        <v>71316</v>
      </c>
      <c r="Z292" s="41">
        <v>71958</v>
      </c>
      <c r="AA292" s="41">
        <v>72547</v>
      </c>
      <c r="AB292" s="41">
        <v>73138</v>
      </c>
      <c r="AC292" s="41">
        <v>73749</v>
      </c>
      <c r="AD292" s="41">
        <v>74344</v>
      </c>
      <c r="AE292" s="41">
        <v>74907</v>
      </c>
      <c r="AF292" s="41">
        <v>75426</v>
      </c>
      <c r="AG292" s="41">
        <v>75953</v>
      </c>
      <c r="AH292" s="41">
        <v>76457</v>
      </c>
      <c r="AI292" s="41">
        <v>76971</v>
      </c>
      <c r="AJ292" s="41">
        <v>77468</v>
      </c>
      <c r="AK292" s="41">
        <v>77950</v>
      </c>
      <c r="AL292" s="41">
        <v>78426</v>
      </c>
      <c r="AM292" s="41">
        <v>78881</v>
      </c>
      <c r="AN292" s="41">
        <v>79332</v>
      </c>
      <c r="AO292" s="41">
        <v>79783</v>
      </c>
      <c r="AP292" s="41">
        <v>80223</v>
      </c>
      <c r="AQ292" s="41">
        <v>80675</v>
      </c>
      <c r="AR292" s="41">
        <v>81122</v>
      </c>
      <c r="AS292" s="41">
        <v>81543</v>
      </c>
    </row>
    <row r="293" spans="1:45">
      <c r="A293" s="38" t="s">
        <v>702</v>
      </c>
      <c r="B293" s="38" t="s">
        <v>703</v>
      </c>
      <c r="C293" s="41">
        <v>29849</v>
      </c>
      <c r="D293" s="41">
        <v>30184</v>
      </c>
      <c r="E293" s="41">
        <v>30259</v>
      </c>
      <c r="F293" s="41">
        <v>30348</v>
      </c>
      <c r="G293" s="41">
        <v>30773</v>
      </c>
      <c r="H293" s="41">
        <v>31044</v>
      </c>
      <c r="I293" s="41">
        <v>31221</v>
      </c>
      <c r="J293" s="41">
        <v>31365</v>
      </c>
      <c r="K293" s="41">
        <v>31461</v>
      </c>
      <c r="L293" s="41">
        <v>31605</v>
      </c>
      <c r="M293" s="41">
        <v>31901</v>
      </c>
      <c r="N293" s="41">
        <v>32092</v>
      </c>
      <c r="O293" s="41">
        <v>32151</v>
      </c>
      <c r="P293" s="41">
        <v>32366</v>
      </c>
      <c r="Q293" s="41">
        <v>32757</v>
      </c>
      <c r="R293" s="41">
        <v>33195</v>
      </c>
      <c r="S293" s="41">
        <v>33488</v>
      </c>
      <c r="T293" s="41">
        <v>33769</v>
      </c>
      <c r="U293" s="41">
        <v>34145</v>
      </c>
      <c r="V293" s="41">
        <v>34486</v>
      </c>
      <c r="W293" s="41">
        <v>34817</v>
      </c>
      <c r="X293" s="41">
        <v>35142</v>
      </c>
      <c r="Y293" s="41">
        <v>35469</v>
      </c>
      <c r="Z293" s="41">
        <v>35784</v>
      </c>
      <c r="AA293" s="41">
        <v>36076</v>
      </c>
      <c r="AB293" s="41">
        <v>36375</v>
      </c>
      <c r="AC293" s="41">
        <v>36667</v>
      </c>
      <c r="AD293" s="41">
        <v>36960</v>
      </c>
      <c r="AE293" s="41">
        <v>37238</v>
      </c>
      <c r="AF293" s="41">
        <v>37506</v>
      </c>
      <c r="AG293" s="41">
        <v>37772</v>
      </c>
      <c r="AH293" s="41">
        <v>38036</v>
      </c>
      <c r="AI293" s="41">
        <v>38295</v>
      </c>
      <c r="AJ293" s="41">
        <v>38547</v>
      </c>
      <c r="AK293" s="41">
        <v>38793</v>
      </c>
      <c r="AL293" s="41">
        <v>39045</v>
      </c>
      <c r="AM293" s="41">
        <v>39296</v>
      </c>
      <c r="AN293" s="41">
        <v>39540</v>
      </c>
      <c r="AO293" s="41">
        <v>39772</v>
      </c>
      <c r="AP293" s="41">
        <v>39996</v>
      </c>
      <c r="AQ293" s="41">
        <v>40224</v>
      </c>
      <c r="AR293" s="41">
        <v>40451</v>
      </c>
      <c r="AS293" s="41">
        <v>40665</v>
      </c>
    </row>
    <row r="294" spans="1:45">
      <c r="A294" s="38" t="s">
        <v>704</v>
      </c>
      <c r="B294" s="38" t="s">
        <v>705</v>
      </c>
      <c r="C294" s="41">
        <v>39576</v>
      </c>
      <c r="D294" s="41">
        <v>39646</v>
      </c>
      <c r="E294" s="41">
        <v>39896</v>
      </c>
      <c r="F294" s="41">
        <v>40377</v>
      </c>
      <c r="G294" s="41">
        <v>41058</v>
      </c>
      <c r="H294" s="41">
        <v>41608</v>
      </c>
      <c r="I294" s="41">
        <v>42148</v>
      </c>
      <c r="J294" s="41">
        <v>42539</v>
      </c>
      <c r="K294" s="41">
        <v>42923</v>
      </c>
      <c r="L294" s="41">
        <v>43179</v>
      </c>
      <c r="M294" s="41">
        <v>43558</v>
      </c>
      <c r="N294" s="41">
        <v>43756</v>
      </c>
      <c r="O294" s="41">
        <v>44489</v>
      </c>
      <c r="P294" s="41">
        <v>45265</v>
      </c>
      <c r="Q294" s="41">
        <v>45997</v>
      </c>
      <c r="R294" s="41">
        <v>46991</v>
      </c>
      <c r="S294" s="41">
        <v>47361</v>
      </c>
      <c r="T294" s="41">
        <v>47668</v>
      </c>
      <c r="U294" s="41">
        <v>48007</v>
      </c>
      <c r="V294" s="41">
        <v>48304</v>
      </c>
      <c r="W294" s="41">
        <v>48581</v>
      </c>
      <c r="X294" s="41">
        <v>48904</v>
      </c>
      <c r="Y294" s="41">
        <v>49211</v>
      </c>
      <c r="Z294" s="41">
        <v>49521</v>
      </c>
      <c r="AA294" s="41">
        <v>49800</v>
      </c>
      <c r="AB294" s="41">
        <v>50106</v>
      </c>
      <c r="AC294" s="41">
        <v>50429</v>
      </c>
      <c r="AD294" s="41">
        <v>50756</v>
      </c>
      <c r="AE294" s="41">
        <v>51073</v>
      </c>
      <c r="AF294" s="41">
        <v>51377</v>
      </c>
      <c r="AG294" s="41">
        <v>51686</v>
      </c>
      <c r="AH294" s="41">
        <v>52010</v>
      </c>
      <c r="AI294" s="41">
        <v>52316</v>
      </c>
      <c r="AJ294" s="41">
        <v>52610</v>
      </c>
      <c r="AK294" s="41">
        <v>52897</v>
      </c>
      <c r="AL294" s="41">
        <v>53178</v>
      </c>
      <c r="AM294" s="41">
        <v>53455</v>
      </c>
      <c r="AN294" s="41">
        <v>53717</v>
      </c>
      <c r="AO294" s="41">
        <v>53955</v>
      </c>
      <c r="AP294" s="41">
        <v>54193</v>
      </c>
      <c r="AQ294" s="41">
        <v>54437</v>
      </c>
      <c r="AR294" s="41">
        <v>54667</v>
      </c>
      <c r="AS294" s="41">
        <v>54887</v>
      </c>
    </row>
    <row r="295" spans="1:45">
      <c r="A295" s="38" t="s">
        <v>706</v>
      </c>
      <c r="B295" s="38" t="s">
        <v>707</v>
      </c>
      <c r="C295" s="41">
        <v>56913</v>
      </c>
      <c r="D295" s="41">
        <v>56921</v>
      </c>
      <c r="E295" s="41">
        <v>57176</v>
      </c>
      <c r="F295" s="41">
        <v>57610</v>
      </c>
      <c r="G295" s="41">
        <v>58240</v>
      </c>
      <c r="H295" s="41">
        <v>58997</v>
      </c>
      <c r="I295" s="41">
        <v>59794</v>
      </c>
      <c r="J295" s="41">
        <v>60670</v>
      </c>
      <c r="K295" s="41">
        <v>61227</v>
      </c>
      <c r="L295" s="41">
        <v>61781</v>
      </c>
      <c r="M295" s="41">
        <v>62102</v>
      </c>
      <c r="N295" s="41">
        <v>62539</v>
      </c>
      <c r="O295" s="41">
        <v>63130</v>
      </c>
      <c r="P295" s="41">
        <v>63626</v>
      </c>
      <c r="Q295" s="41">
        <v>64035</v>
      </c>
      <c r="R295" s="41">
        <v>64586</v>
      </c>
      <c r="S295" s="41">
        <v>64863</v>
      </c>
      <c r="T295" s="41">
        <v>65076</v>
      </c>
      <c r="U295" s="41">
        <v>65392</v>
      </c>
      <c r="V295" s="41">
        <v>65638</v>
      </c>
      <c r="W295" s="41">
        <v>65878</v>
      </c>
      <c r="X295" s="41">
        <v>66177</v>
      </c>
      <c r="Y295" s="41">
        <v>66459</v>
      </c>
      <c r="Z295" s="41">
        <v>66699</v>
      </c>
      <c r="AA295" s="41">
        <v>66907</v>
      </c>
      <c r="AB295" s="41">
        <v>67114</v>
      </c>
      <c r="AC295" s="41">
        <v>67344</v>
      </c>
      <c r="AD295" s="41">
        <v>67558</v>
      </c>
      <c r="AE295" s="41">
        <v>67745</v>
      </c>
      <c r="AF295" s="41">
        <v>67927</v>
      </c>
      <c r="AG295" s="41">
        <v>68109</v>
      </c>
      <c r="AH295" s="41">
        <v>68290</v>
      </c>
      <c r="AI295" s="41">
        <v>68473</v>
      </c>
      <c r="AJ295" s="41">
        <v>68629</v>
      </c>
      <c r="AK295" s="41">
        <v>68793</v>
      </c>
      <c r="AL295" s="41">
        <v>68954</v>
      </c>
      <c r="AM295" s="41">
        <v>69112</v>
      </c>
      <c r="AN295" s="41">
        <v>69280</v>
      </c>
      <c r="AO295" s="41">
        <v>69428</v>
      </c>
      <c r="AP295" s="41">
        <v>69569</v>
      </c>
      <c r="AQ295" s="41">
        <v>69729</v>
      </c>
      <c r="AR295" s="41">
        <v>69879</v>
      </c>
      <c r="AS295" s="41">
        <v>70026</v>
      </c>
    </row>
    <row r="296" spans="1:45">
      <c r="A296" s="38" t="s">
        <v>708</v>
      </c>
      <c r="B296" s="38" t="s">
        <v>709</v>
      </c>
      <c r="C296" s="41">
        <v>20152</v>
      </c>
      <c r="D296" s="41">
        <v>20731</v>
      </c>
      <c r="E296" s="41">
        <v>20519</v>
      </c>
      <c r="F296" s="41">
        <v>20779</v>
      </c>
      <c r="G296" s="41">
        <v>20966</v>
      </c>
      <c r="H296" s="41">
        <v>21146</v>
      </c>
      <c r="I296" s="41">
        <v>21554</v>
      </c>
      <c r="J296" s="41">
        <v>21929</v>
      </c>
      <c r="K296" s="41">
        <v>22152</v>
      </c>
      <c r="L296" s="41">
        <v>22407</v>
      </c>
      <c r="M296" s="41">
        <v>22711</v>
      </c>
      <c r="N296" s="41">
        <v>22903</v>
      </c>
      <c r="O296" s="41">
        <v>23023</v>
      </c>
      <c r="P296" s="41">
        <v>23240</v>
      </c>
      <c r="Q296" s="41">
        <v>23356</v>
      </c>
      <c r="R296" s="41">
        <v>23530</v>
      </c>
      <c r="S296" s="41">
        <v>23878</v>
      </c>
      <c r="T296" s="41">
        <v>24052</v>
      </c>
      <c r="U296" s="41">
        <v>24330</v>
      </c>
      <c r="V296" s="41">
        <v>24543</v>
      </c>
      <c r="W296" s="41">
        <v>24758</v>
      </c>
      <c r="X296" s="41">
        <v>24998</v>
      </c>
      <c r="Y296" s="41">
        <v>25228</v>
      </c>
      <c r="Z296" s="41">
        <v>25467</v>
      </c>
      <c r="AA296" s="41">
        <v>25677</v>
      </c>
      <c r="AB296" s="41">
        <v>25897</v>
      </c>
      <c r="AC296" s="41">
        <v>26120</v>
      </c>
      <c r="AD296" s="41">
        <v>26336</v>
      </c>
      <c r="AE296" s="41">
        <v>26540</v>
      </c>
      <c r="AF296" s="41">
        <v>26734</v>
      </c>
      <c r="AG296" s="41">
        <v>26934</v>
      </c>
      <c r="AH296" s="41">
        <v>27118</v>
      </c>
      <c r="AI296" s="41">
        <v>27300</v>
      </c>
      <c r="AJ296" s="41">
        <v>27484</v>
      </c>
      <c r="AK296" s="41">
        <v>27662</v>
      </c>
      <c r="AL296" s="41">
        <v>27842</v>
      </c>
      <c r="AM296" s="41">
        <v>28008</v>
      </c>
      <c r="AN296" s="41">
        <v>28169</v>
      </c>
      <c r="AO296" s="41">
        <v>28335</v>
      </c>
      <c r="AP296" s="41">
        <v>28491</v>
      </c>
      <c r="AQ296" s="41">
        <v>28650</v>
      </c>
      <c r="AR296" s="41">
        <v>28803</v>
      </c>
      <c r="AS296" s="41">
        <v>28945</v>
      </c>
    </row>
    <row r="297" spans="1:45">
      <c r="A297" s="38" t="s">
        <v>710</v>
      </c>
      <c r="B297" s="38" t="s">
        <v>711</v>
      </c>
      <c r="C297" s="41">
        <v>43360</v>
      </c>
      <c r="D297" s="41">
        <v>43596</v>
      </c>
      <c r="E297" s="41">
        <v>43843</v>
      </c>
      <c r="F297" s="41">
        <v>44079</v>
      </c>
      <c r="G297" s="41">
        <v>44264</v>
      </c>
      <c r="H297" s="41">
        <v>44558</v>
      </c>
      <c r="I297" s="41">
        <v>44782</v>
      </c>
      <c r="J297" s="41">
        <v>44839</v>
      </c>
      <c r="K297" s="41">
        <v>44907</v>
      </c>
      <c r="L297" s="41">
        <v>45033</v>
      </c>
      <c r="M297" s="41">
        <v>45324</v>
      </c>
      <c r="N297" s="41">
        <v>45410</v>
      </c>
      <c r="O297" s="41">
        <v>45478</v>
      </c>
      <c r="P297" s="41">
        <v>45667</v>
      </c>
      <c r="Q297" s="41">
        <v>45930</v>
      </c>
      <c r="R297" s="41">
        <v>46221</v>
      </c>
      <c r="S297" s="41">
        <v>46462</v>
      </c>
      <c r="T297" s="41">
        <v>46530</v>
      </c>
      <c r="U297" s="41">
        <v>46632</v>
      </c>
      <c r="V297" s="41">
        <v>46716</v>
      </c>
      <c r="W297" s="41">
        <v>46775</v>
      </c>
      <c r="X297" s="41">
        <v>46920</v>
      </c>
      <c r="Y297" s="41">
        <v>47026</v>
      </c>
      <c r="Z297" s="41">
        <v>47125</v>
      </c>
      <c r="AA297" s="41">
        <v>47219</v>
      </c>
      <c r="AB297" s="41">
        <v>47313</v>
      </c>
      <c r="AC297" s="41">
        <v>47429</v>
      </c>
      <c r="AD297" s="41">
        <v>47533</v>
      </c>
      <c r="AE297" s="41">
        <v>47606</v>
      </c>
      <c r="AF297" s="41">
        <v>47690</v>
      </c>
      <c r="AG297" s="41">
        <v>47788</v>
      </c>
      <c r="AH297" s="41">
        <v>47886</v>
      </c>
      <c r="AI297" s="41">
        <v>47980</v>
      </c>
      <c r="AJ297" s="41">
        <v>48059</v>
      </c>
      <c r="AK297" s="41">
        <v>48160</v>
      </c>
      <c r="AL297" s="41">
        <v>48270</v>
      </c>
      <c r="AM297" s="41">
        <v>48367</v>
      </c>
      <c r="AN297" s="41">
        <v>48462</v>
      </c>
      <c r="AO297" s="41">
        <v>48557</v>
      </c>
      <c r="AP297" s="41">
        <v>48664</v>
      </c>
      <c r="AQ297" s="41">
        <v>48793</v>
      </c>
      <c r="AR297" s="41">
        <v>48916</v>
      </c>
      <c r="AS297" s="41">
        <v>49022</v>
      </c>
    </row>
    <row r="298" spans="1:45">
      <c r="A298" s="38" t="s">
        <v>712</v>
      </c>
      <c r="B298" s="38" t="s">
        <v>713</v>
      </c>
      <c r="C298" s="41">
        <v>32736</v>
      </c>
      <c r="D298" s="41">
        <v>33532</v>
      </c>
      <c r="E298" s="41">
        <v>34194</v>
      </c>
      <c r="F298" s="41">
        <v>34822</v>
      </c>
      <c r="G298" s="41">
        <v>35314</v>
      </c>
      <c r="H298" s="41">
        <v>35927</v>
      </c>
      <c r="I298" s="41">
        <v>36713</v>
      </c>
      <c r="J298" s="41">
        <v>37310</v>
      </c>
      <c r="K298" s="41">
        <v>37565</v>
      </c>
      <c r="L298" s="41">
        <v>38046</v>
      </c>
      <c r="M298" s="41">
        <v>38309</v>
      </c>
      <c r="N298" s="41">
        <v>38702</v>
      </c>
      <c r="O298" s="41">
        <v>39164</v>
      </c>
      <c r="P298" s="41">
        <v>39662</v>
      </c>
      <c r="Q298" s="41">
        <v>40220</v>
      </c>
      <c r="R298" s="41">
        <v>40730</v>
      </c>
      <c r="S298" s="41">
        <v>41126</v>
      </c>
      <c r="T298" s="41">
        <v>41497</v>
      </c>
      <c r="U298" s="41">
        <v>41919</v>
      </c>
      <c r="V298" s="41">
        <v>42278</v>
      </c>
      <c r="W298" s="41">
        <v>42609</v>
      </c>
      <c r="X298" s="41">
        <v>42927</v>
      </c>
      <c r="Y298" s="41">
        <v>43250</v>
      </c>
      <c r="Z298" s="41">
        <v>43569</v>
      </c>
      <c r="AA298" s="41">
        <v>43854</v>
      </c>
      <c r="AB298" s="41">
        <v>44119</v>
      </c>
      <c r="AC298" s="41">
        <v>44391</v>
      </c>
      <c r="AD298" s="41">
        <v>44677</v>
      </c>
      <c r="AE298" s="41">
        <v>44946</v>
      </c>
      <c r="AF298" s="41">
        <v>45202</v>
      </c>
      <c r="AG298" s="41">
        <v>45459</v>
      </c>
      <c r="AH298" s="41">
        <v>45717</v>
      </c>
      <c r="AI298" s="41">
        <v>45980</v>
      </c>
      <c r="AJ298" s="41">
        <v>46228</v>
      </c>
      <c r="AK298" s="41">
        <v>46460</v>
      </c>
      <c r="AL298" s="41">
        <v>46701</v>
      </c>
      <c r="AM298" s="41">
        <v>46926</v>
      </c>
      <c r="AN298" s="41">
        <v>47139</v>
      </c>
      <c r="AO298" s="41">
        <v>47347</v>
      </c>
      <c r="AP298" s="41">
        <v>47541</v>
      </c>
      <c r="AQ298" s="41">
        <v>47749</v>
      </c>
      <c r="AR298" s="41">
        <v>47946</v>
      </c>
      <c r="AS298" s="41">
        <v>48118</v>
      </c>
    </row>
    <row r="299" spans="1:45">
      <c r="A299" s="38" t="s">
        <v>714</v>
      </c>
      <c r="B299" s="38" t="s">
        <v>715</v>
      </c>
      <c r="C299" s="41">
        <v>38153</v>
      </c>
      <c r="D299" s="41">
        <v>38480</v>
      </c>
      <c r="E299" s="41">
        <v>39019</v>
      </c>
      <c r="F299" s="41">
        <v>39432</v>
      </c>
      <c r="G299" s="41">
        <v>39893</v>
      </c>
      <c r="H299" s="41">
        <v>40606</v>
      </c>
      <c r="I299" s="41">
        <v>41394</v>
      </c>
      <c r="J299" s="41">
        <v>41908</v>
      </c>
      <c r="K299" s="41">
        <v>42418</v>
      </c>
      <c r="L299" s="41">
        <v>42929</v>
      </c>
      <c r="M299" s="41">
        <v>43321</v>
      </c>
      <c r="N299" s="41">
        <v>44290</v>
      </c>
      <c r="O299" s="41">
        <v>44656</v>
      </c>
      <c r="P299" s="41">
        <v>44838</v>
      </c>
      <c r="Q299" s="41">
        <v>45178</v>
      </c>
      <c r="R299" s="41">
        <v>45410</v>
      </c>
      <c r="S299" s="41">
        <v>45850</v>
      </c>
      <c r="T299" s="41">
        <v>46223</v>
      </c>
      <c r="U299" s="41">
        <v>46679</v>
      </c>
      <c r="V299" s="41">
        <v>47097</v>
      </c>
      <c r="W299" s="41">
        <v>47475</v>
      </c>
      <c r="X299" s="41">
        <v>47848</v>
      </c>
      <c r="Y299" s="41">
        <v>48227</v>
      </c>
      <c r="Z299" s="41">
        <v>48579</v>
      </c>
      <c r="AA299" s="41">
        <v>48921</v>
      </c>
      <c r="AB299" s="41">
        <v>49239</v>
      </c>
      <c r="AC299" s="41">
        <v>49566</v>
      </c>
      <c r="AD299" s="41">
        <v>49883</v>
      </c>
      <c r="AE299" s="41">
        <v>50183</v>
      </c>
      <c r="AF299" s="41">
        <v>50482</v>
      </c>
      <c r="AG299" s="41">
        <v>50775</v>
      </c>
      <c r="AH299" s="41">
        <v>51057</v>
      </c>
      <c r="AI299" s="41">
        <v>51346</v>
      </c>
      <c r="AJ299" s="41">
        <v>51626</v>
      </c>
      <c r="AK299" s="41">
        <v>51903</v>
      </c>
      <c r="AL299" s="41">
        <v>52181</v>
      </c>
      <c r="AM299" s="41">
        <v>52452</v>
      </c>
      <c r="AN299" s="41">
        <v>52722</v>
      </c>
      <c r="AO299" s="41">
        <v>52990</v>
      </c>
      <c r="AP299" s="41">
        <v>53247</v>
      </c>
      <c r="AQ299" s="41">
        <v>53519</v>
      </c>
      <c r="AR299" s="41">
        <v>53790</v>
      </c>
      <c r="AS299" s="41">
        <v>54044</v>
      </c>
    </row>
    <row r="300" spans="1:45">
      <c r="A300" s="38" t="s">
        <v>716</v>
      </c>
      <c r="B300" s="38" t="s">
        <v>717</v>
      </c>
      <c r="C300" s="41">
        <v>63488</v>
      </c>
      <c r="D300" s="41">
        <v>64135</v>
      </c>
      <c r="E300" s="41">
        <v>65114</v>
      </c>
      <c r="F300" s="41">
        <v>65594</v>
      </c>
      <c r="G300" s="41">
        <v>66493</v>
      </c>
      <c r="H300" s="41">
        <v>66912</v>
      </c>
      <c r="I300" s="41">
        <v>67447</v>
      </c>
      <c r="J300" s="41">
        <v>67984</v>
      </c>
      <c r="K300" s="41">
        <v>68665</v>
      </c>
      <c r="L300" s="41">
        <v>69650</v>
      </c>
      <c r="M300" s="41">
        <v>70940</v>
      </c>
      <c r="N300" s="41">
        <v>70887</v>
      </c>
      <c r="O300" s="41">
        <v>71045</v>
      </c>
      <c r="P300" s="41">
        <v>72348</v>
      </c>
      <c r="Q300" s="41">
        <v>72978</v>
      </c>
      <c r="R300" s="41">
        <v>73347</v>
      </c>
      <c r="S300" s="41">
        <v>74153</v>
      </c>
      <c r="T300" s="41">
        <v>74082</v>
      </c>
      <c r="U300" s="41">
        <v>74452</v>
      </c>
      <c r="V300" s="41">
        <v>74724</v>
      </c>
      <c r="W300" s="41">
        <v>74992</v>
      </c>
      <c r="X300" s="41">
        <v>75383</v>
      </c>
      <c r="Y300" s="41">
        <v>75750</v>
      </c>
      <c r="Z300" s="41">
        <v>76117</v>
      </c>
      <c r="AA300" s="41">
        <v>76429</v>
      </c>
      <c r="AB300" s="41">
        <v>76741</v>
      </c>
      <c r="AC300" s="41">
        <v>77091</v>
      </c>
      <c r="AD300" s="41">
        <v>77422</v>
      </c>
      <c r="AE300" s="41">
        <v>77736</v>
      </c>
      <c r="AF300" s="41">
        <v>78045</v>
      </c>
      <c r="AG300" s="41">
        <v>78370</v>
      </c>
      <c r="AH300" s="41">
        <v>78704</v>
      </c>
      <c r="AI300" s="41">
        <v>79057</v>
      </c>
      <c r="AJ300" s="41">
        <v>79390</v>
      </c>
      <c r="AK300" s="41">
        <v>79712</v>
      </c>
      <c r="AL300" s="41">
        <v>80063</v>
      </c>
      <c r="AM300" s="41">
        <v>80387</v>
      </c>
      <c r="AN300" s="41">
        <v>80732</v>
      </c>
      <c r="AO300" s="41">
        <v>81077</v>
      </c>
      <c r="AP300" s="41">
        <v>81404</v>
      </c>
      <c r="AQ300" s="41">
        <v>81764</v>
      </c>
      <c r="AR300" s="41">
        <v>82092</v>
      </c>
      <c r="AS300" s="41">
        <v>82414</v>
      </c>
    </row>
    <row r="301" spans="1:45">
      <c r="A301" s="38" t="s">
        <v>718</v>
      </c>
      <c r="B301" s="38" t="s">
        <v>719</v>
      </c>
      <c r="C301" s="41">
        <v>101942</v>
      </c>
      <c r="D301" s="41">
        <v>103401</v>
      </c>
      <c r="E301" s="41">
        <v>104227</v>
      </c>
      <c r="F301" s="41">
        <v>105506</v>
      </c>
      <c r="G301" s="41">
        <v>109234</v>
      </c>
      <c r="H301" s="41">
        <v>109189</v>
      </c>
      <c r="I301" s="41">
        <v>107898</v>
      </c>
      <c r="J301" s="41">
        <v>106712</v>
      </c>
      <c r="K301" s="41">
        <v>105724</v>
      </c>
      <c r="L301" s="41">
        <v>104777</v>
      </c>
      <c r="M301" s="41">
        <v>104931</v>
      </c>
      <c r="N301" s="41">
        <v>106000</v>
      </c>
      <c r="O301" s="41">
        <v>107200</v>
      </c>
      <c r="P301" s="41">
        <v>109151</v>
      </c>
      <c r="Q301" s="41">
        <v>112094</v>
      </c>
      <c r="R301" s="41">
        <v>113468</v>
      </c>
      <c r="S301" s="41">
        <v>114609</v>
      </c>
      <c r="T301" s="41">
        <v>118440</v>
      </c>
      <c r="U301" s="41">
        <v>120271</v>
      </c>
      <c r="V301" s="41">
        <v>121823</v>
      </c>
      <c r="W301" s="41">
        <v>123167</v>
      </c>
      <c r="X301" s="41">
        <v>124964</v>
      </c>
      <c r="Y301" s="41">
        <v>126571</v>
      </c>
      <c r="Z301" s="41">
        <v>128027</v>
      </c>
      <c r="AA301" s="41">
        <v>129338</v>
      </c>
      <c r="AB301" s="41">
        <v>130632</v>
      </c>
      <c r="AC301" s="41">
        <v>131901</v>
      </c>
      <c r="AD301" s="41">
        <v>133149</v>
      </c>
      <c r="AE301" s="41">
        <v>134367</v>
      </c>
      <c r="AF301" s="41">
        <v>135572</v>
      </c>
      <c r="AG301" s="41">
        <v>136775</v>
      </c>
      <c r="AH301" s="41">
        <v>137970</v>
      </c>
      <c r="AI301" s="41">
        <v>139128</v>
      </c>
      <c r="AJ301" s="41">
        <v>140251</v>
      </c>
      <c r="AK301" s="41">
        <v>141347</v>
      </c>
      <c r="AL301" s="41">
        <v>142435</v>
      </c>
      <c r="AM301" s="41">
        <v>143482</v>
      </c>
      <c r="AN301" s="41">
        <v>144479</v>
      </c>
      <c r="AO301" s="41">
        <v>145416</v>
      </c>
      <c r="AP301" s="41">
        <v>146313</v>
      </c>
      <c r="AQ301" s="41">
        <v>147179</v>
      </c>
      <c r="AR301" s="41">
        <v>147994</v>
      </c>
      <c r="AS301" s="41">
        <v>148763</v>
      </c>
    </row>
    <row r="302" spans="1:45">
      <c r="A302" s="38" t="s">
        <v>720</v>
      </c>
      <c r="B302" s="38" t="s">
        <v>721</v>
      </c>
      <c r="C302" s="41">
        <v>124151</v>
      </c>
      <c r="D302" s="41">
        <v>125106</v>
      </c>
      <c r="E302" s="41">
        <v>126143</v>
      </c>
      <c r="F302" s="41">
        <v>127081</v>
      </c>
      <c r="G302" s="41">
        <v>128049</v>
      </c>
      <c r="H302" s="41">
        <v>129291</v>
      </c>
      <c r="I302" s="41">
        <v>130250</v>
      </c>
      <c r="J302" s="41">
        <v>131556</v>
      </c>
      <c r="K302" s="41">
        <v>133009</v>
      </c>
      <c r="L302" s="41">
        <v>134361</v>
      </c>
      <c r="M302" s="41">
        <v>135853</v>
      </c>
      <c r="N302" s="41">
        <v>136697</v>
      </c>
      <c r="O302" s="41">
        <v>137631</v>
      </c>
      <c r="P302" s="41">
        <v>138661</v>
      </c>
      <c r="Q302" s="41">
        <v>139578</v>
      </c>
      <c r="R302" s="41">
        <v>140618</v>
      </c>
      <c r="S302" s="41">
        <v>141625</v>
      </c>
      <c r="T302" s="41">
        <v>142650</v>
      </c>
      <c r="U302" s="41">
        <v>143846</v>
      </c>
      <c r="V302" s="41">
        <v>144872</v>
      </c>
      <c r="W302" s="41">
        <v>145821</v>
      </c>
      <c r="X302" s="41">
        <v>146737</v>
      </c>
      <c r="Y302" s="41">
        <v>147565</v>
      </c>
      <c r="Z302" s="41">
        <v>148345</v>
      </c>
      <c r="AA302" s="41">
        <v>149044</v>
      </c>
      <c r="AB302" s="41">
        <v>149730</v>
      </c>
      <c r="AC302" s="41">
        <v>150432</v>
      </c>
      <c r="AD302" s="41">
        <v>151125</v>
      </c>
      <c r="AE302" s="41">
        <v>151784</v>
      </c>
      <c r="AF302" s="41">
        <v>152411</v>
      </c>
      <c r="AG302" s="41">
        <v>153065</v>
      </c>
      <c r="AH302" s="41">
        <v>153729</v>
      </c>
      <c r="AI302" s="41">
        <v>154398</v>
      </c>
      <c r="AJ302" s="41">
        <v>155083</v>
      </c>
      <c r="AK302" s="41">
        <v>155755</v>
      </c>
      <c r="AL302" s="41">
        <v>156466</v>
      </c>
      <c r="AM302" s="41">
        <v>157189</v>
      </c>
      <c r="AN302" s="41">
        <v>157898</v>
      </c>
      <c r="AO302" s="41">
        <v>158585</v>
      </c>
      <c r="AP302" s="41">
        <v>159261</v>
      </c>
      <c r="AQ302" s="41">
        <v>159974</v>
      </c>
      <c r="AR302" s="41">
        <v>160664</v>
      </c>
      <c r="AS302" s="41">
        <v>161275</v>
      </c>
    </row>
    <row r="303" spans="1:45">
      <c r="A303" s="38" t="s">
        <v>722</v>
      </c>
      <c r="B303" s="38" t="s">
        <v>723</v>
      </c>
      <c r="C303" s="41">
        <v>175553</v>
      </c>
      <c r="D303" s="41">
        <v>177605</v>
      </c>
      <c r="E303" s="41">
        <v>179594</v>
      </c>
      <c r="F303" s="41">
        <v>180878</v>
      </c>
      <c r="G303" s="41">
        <v>182280</v>
      </c>
      <c r="H303" s="41">
        <v>184383</v>
      </c>
      <c r="I303" s="41">
        <v>186823</v>
      </c>
      <c r="J303" s="41">
        <v>189289</v>
      </c>
      <c r="K303" s="41">
        <v>190737</v>
      </c>
      <c r="L303" s="41">
        <v>192482</v>
      </c>
      <c r="M303" s="41">
        <v>194556</v>
      </c>
      <c r="N303" s="41">
        <v>196323</v>
      </c>
      <c r="O303" s="41">
        <v>198185</v>
      </c>
      <c r="P303" s="41">
        <v>200736</v>
      </c>
      <c r="Q303" s="41">
        <v>203057</v>
      </c>
      <c r="R303" s="41">
        <v>205014</v>
      </c>
      <c r="S303" s="41">
        <v>207414</v>
      </c>
      <c r="T303" s="41">
        <v>208948</v>
      </c>
      <c r="U303" s="41">
        <v>211666</v>
      </c>
      <c r="V303" s="41">
        <v>214401</v>
      </c>
      <c r="W303" s="41">
        <v>215956</v>
      </c>
      <c r="X303" s="41">
        <v>217745</v>
      </c>
      <c r="Y303" s="41">
        <v>219465</v>
      </c>
      <c r="Z303" s="41">
        <v>221168</v>
      </c>
      <c r="AA303" s="41">
        <v>222704</v>
      </c>
      <c r="AB303" s="41">
        <v>224196</v>
      </c>
      <c r="AC303" s="41">
        <v>225754</v>
      </c>
      <c r="AD303" s="41">
        <v>227302</v>
      </c>
      <c r="AE303" s="41">
        <v>228795</v>
      </c>
      <c r="AF303" s="41">
        <v>230216</v>
      </c>
      <c r="AG303" s="41">
        <v>231616</v>
      </c>
      <c r="AH303" s="41">
        <v>232997</v>
      </c>
      <c r="AI303" s="41">
        <v>234382</v>
      </c>
      <c r="AJ303" s="41">
        <v>235739</v>
      </c>
      <c r="AK303" s="41">
        <v>237036</v>
      </c>
      <c r="AL303" s="41">
        <v>238353</v>
      </c>
      <c r="AM303" s="41">
        <v>239612</v>
      </c>
      <c r="AN303" s="41">
        <v>240853</v>
      </c>
      <c r="AO303" s="41">
        <v>242072</v>
      </c>
      <c r="AP303" s="41">
        <v>243254</v>
      </c>
      <c r="AQ303" s="41">
        <v>244473</v>
      </c>
      <c r="AR303" s="41">
        <v>245667</v>
      </c>
      <c r="AS303" s="41">
        <v>246769</v>
      </c>
    </row>
    <row r="304" spans="1:45">
      <c r="A304" s="38" t="s">
        <v>724</v>
      </c>
      <c r="B304" s="38" t="s">
        <v>725</v>
      </c>
      <c r="C304" s="41">
        <v>42804</v>
      </c>
      <c r="D304" s="41">
        <v>43114</v>
      </c>
      <c r="E304" s="41">
        <v>43401</v>
      </c>
      <c r="F304" s="41">
        <v>43596</v>
      </c>
      <c r="G304" s="41">
        <v>43987</v>
      </c>
      <c r="H304" s="41">
        <v>44166</v>
      </c>
      <c r="I304" s="41">
        <v>44610</v>
      </c>
      <c r="J304" s="41">
        <v>45170</v>
      </c>
      <c r="K304" s="41">
        <v>45620</v>
      </c>
      <c r="L304" s="41">
        <v>46218</v>
      </c>
      <c r="M304" s="41">
        <v>46805</v>
      </c>
      <c r="N304" s="41">
        <v>47241</v>
      </c>
      <c r="O304" s="41">
        <v>47683</v>
      </c>
      <c r="P304" s="41">
        <v>48150</v>
      </c>
      <c r="Q304" s="41">
        <v>48659</v>
      </c>
      <c r="R304" s="41">
        <v>49153</v>
      </c>
      <c r="S304" s="41">
        <v>49416</v>
      </c>
      <c r="T304" s="41">
        <v>49755</v>
      </c>
      <c r="U304" s="41">
        <v>50117</v>
      </c>
      <c r="V304" s="41">
        <v>50493</v>
      </c>
      <c r="W304" s="41">
        <v>50851</v>
      </c>
      <c r="X304" s="41">
        <v>51243</v>
      </c>
      <c r="Y304" s="41">
        <v>51641</v>
      </c>
      <c r="Z304" s="41">
        <v>52048</v>
      </c>
      <c r="AA304" s="41">
        <v>52440</v>
      </c>
      <c r="AB304" s="41">
        <v>52820</v>
      </c>
      <c r="AC304" s="41">
        <v>53205</v>
      </c>
      <c r="AD304" s="41">
        <v>53574</v>
      </c>
      <c r="AE304" s="41">
        <v>53930</v>
      </c>
      <c r="AF304" s="41">
        <v>54272</v>
      </c>
      <c r="AG304" s="41">
        <v>54621</v>
      </c>
      <c r="AH304" s="41">
        <v>54959</v>
      </c>
      <c r="AI304" s="41">
        <v>55278</v>
      </c>
      <c r="AJ304" s="41">
        <v>55573</v>
      </c>
      <c r="AK304" s="41">
        <v>55860</v>
      </c>
      <c r="AL304" s="41">
        <v>56151</v>
      </c>
      <c r="AM304" s="41">
        <v>56412</v>
      </c>
      <c r="AN304" s="41">
        <v>56669</v>
      </c>
      <c r="AO304" s="41">
        <v>56915</v>
      </c>
      <c r="AP304" s="41">
        <v>57164</v>
      </c>
      <c r="AQ304" s="41">
        <v>57428</v>
      </c>
      <c r="AR304" s="41">
        <v>57684</v>
      </c>
      <c r="AS304" s="41">
        <v>57930</v>
      </c>
    </row>
    <row r="305" spans="1:45">
      <c r="A305" s="38" t="s">
        <v>726</v>
      </c>
      <c r="B305" s="38" t="s">
        <v>727</v>
      </c>
      <c r="C305" s="41">
        <v>53799</v>
      </c>
      <c r="D305" s="41">
        <v>53739</v>
      </c>
      <c r="E305" s="41">
        <v>53934</v>
      </c>
      <c r="F305" s="41">
        <v>54135</v>
      </c>
      <c r="G305" s="41">
        <v>54675</v>
      </c>
      <c r="H305" s="41">
        <v>55290</v>
      </c>
      <c r="I305" s="41">
        <v>55911</v>
      </c>
      <c r="J305" s="41">
        <v>56637</v>
      </c>
      <c r="K305" s="41">
        <v>57148</v>
      </c>
      <c r="L305" s="41">
        <v>57819</v>
      </c>
      <c r="M305" s="41">
        <v>58242</v>
      </c>
      <c r="N305" s="41">
        <v>58556</v>
      </c>
      <c r="O305" s="41">
        <v>58861</v>
      </c>
      <c r="P305" s="41">
        <v>59416</v>
      </c>
      <c r="Q305" s="41">
        <v>59757</v>
      </c>
      <c r="R305" s="41">
        <v>60264</v>
      </c>
      <c r="S305" s="41">
        <v>60561</v>
      </c>
      <c r="T305" s="41">
        <v>60933</v>
      </c>
      <c r="U305" s="41">
        <v>61327</v>
      </c>
      <c r="V305" s="41">
        <v>61631</v>
      </c>
      <c r="W305" s="41">
        <v>61915</v>
      </c>
      <c r="X305" s="41">
        <v>62285</v>
      </c>
      <c r="Y305" s="41">
        <v>62630</v>
      </c>
      <c r="Z305" s="41">
        <v>62954</v>
      </c>
      <c r="AA305" s="41">
        <v>63221</v>
      </c>
      <c r="AB305" s="41">
        <v>63482</v>
      </c>
      <c r="AC305" s="41">
        <v>63758</v>
      </c>
      <c r="AD305" s="41">
        <v>64029</v>
      </c>
      <c r="AE305" s="41">
        <v>64290</v>
      </c>
      <c r="AF305" s="41">
        <v>64516</v>
      </c>
      <c r="AG305" s="41">
        <v>64755</v>
      </c>
      <c r="AH305" s="41">
        <v>65003</v>
      </c>
      <c r="AI305" s="41">
        <v>65243</v>
      </c>
      <c r="AJ305" s="41">
        <v>65471</v>
      </c>
      <c r="AK305" s="41">
        <v>65691</v>
      </c>
      <c r="AL305" s="41">
        <v>65913</v>
      </c>
      <c r="AM305" s="41">
        <v>66132</v>
      </c>
      <c r="AN305" s="41">
        <v>66357</v>
      </c>
      <c r="AO305" s="41">
        <v>66572</v>
      </c>
      <c r="AP305" s="41">
        <v>66784</v>
      </c>
      <c r="AQ305" s="41">
        <v>67013</v>
      </c>
      <c r="AR305" s="41">
        <v>67232</v>
      </c>
      <c r="AS305" s="41">
        <v>67449</v>
      </c>
    </row>
    <row r="306" spans="1:45">
      <c r="A306" s="38" t="s">
        <v>728</v>
      </c>
      <c r="B306" s="38" t="s">
        <v>729</v>
      </c>
      <c r="C306" s="41">
        <v>133785</v>
      </c>
      <c r="D306" s="41">
        <v>134163</v>
      </c>
      <c r="E306" s="41">
        <v>134595</v>
      </c>
      <c r="F306" s="41">
        <v>134884</v>
      </c>
      <c r="G306" s="41">
        <v>135159</v>
      </c>
      <c r="H306" s="41">
        <v>135711</v>
      </c>
      <c r="I306" s="41">
        <v>136101</v>
      </c>
      <c r="J306" s="41">
        <v>136804</v>
      </c>
      <c r="K306" s="41">
        <v>137516</v>
      </c>
      <c r="L306" s="41">
        <v>138591</v>
      </c>
      <c r="M306" s="41">
        <v>140042</v>
      </c>
      <c r="N306" s="41">
        <v>140464</v>
      </c>
      <c r="O306" s="41">
        <v>140801</v>
      </c>
      <c r="P306" s="41">
        <v>141349</v>
      </c>
      <c r="Q306" s="41">
        <v>141741</v>
      </c>
      <c r="R306" s="41">
        <v>142190</v>
      </c>
      <c r="S306" s="41">
        <v>142800</v>
      </c>
      <c r="T306" s="41">
        <v>143281</v>
      </c>
      <c r="U306" s="41">
        <v>143971</v>
      </c>
      <c r="V306" s="41">
        <v>144596</v>
      </c>
      <c r="W306" s="41">
        <v>145170</v>
      </c>
      <c r="X306" s="41">
        <v>145860</v>
      </c>
      <c r="Y306" s="41">
        <v>146528</v>
      </c>
      <c r="Z306" s="41">
        <v>147147</v>
      </c>
      <c r="AA306" s="41">
        <v>147723</v>
      </c>
      <c r="AB306" s="41">
        <v>148307</v>
      </c>
      <c r="AC306" s="41">
        <v>148942</v>
      </c>
      <c r="AD306" s="41">
        <v>149556</v>
      </c>
      <c r="AE306" s="41">
        <v>150130</v>
      </c>
      <c r="AF306" s="41">
        <v>150670</v>
      </c>
      <c r="AG306" s="41">
        <v>151238</v>
      </c>
      <c r="AH306" s="41">
        <v>151830</v>
      </c>
      <c r="AI306" s="41">
        <v>152395</v>
      </c>
      <c r="AJ306" s="41">
        <v>152953</v>
      </c>
      <c r="AK306" s="41">
        <v>153480</v>
      </c>
      <c r="AL306" s="41">
        <v>154015</v>
      </c>
      <c r="AM306" s="41">
        <v>154567</v>
      </c>
      <c r="AN306" s="41">
        <v>155089</v>
      </c>
      <c r="AO306" s="41">
        <v>155598</v>
      </c>
      <c r="AP306" s="41">
        <v>156089</v>
      </c>
      <c r="AQ306" s="41">
        <v>156586</v>
      </c>
      <c r="AR306" s="41">
        <v>157088</v>
      </c>
      <c r="AS306" s="41">
        <v>157525</v>
      </c>
    </row>
    <row r="307" spans="1:45">
      <c r="A307" s="38" t="s">
        <v>730</v>
      </c>
      <c r="B307" s="38" t="s">
        <v>731</v>
      </c>
      <c r="C307" s="41">
        <v>36651</v>
      </c>
      <c r="D307" s="41">
        <v>36274</v>
      </c>
      <c r="E307" s="41">
        <v>36291</v>
      </c>
      <c r="F307" s="41">
        <v>36241</v>
      </c>
      <c r="G307" s="41">
        <v>36634</v>
      </c>
      <c r="H307" s="41">
        <v>37272</v>
      </c>
      <c r="I307" s="41">
        <v>37699</v>
      </c>
      <c r="J307" s="41">
        <v>38062</v>
      </c>
      <c r="K307" s="41">
        <v>38416</v>
      </c>
      <c r="L307" s="41">
        <v>38902</v>
      </c>
      <c r="M307" s="41">
        <v>39300</v>
      </c>
      <c r="N307" s="41">
        <v>39317</v>
      </c>
      <c r="O307" s="41">
        <v>39504</v>
      </c>
      <c r="P307" s="41">
        <v>39540</v>
      </c>
      <c r="Q307" s="41">
        <v>39549</v>
      </c>
      <c r="R307" s="41">
        <v>39677</v>
      </c>
      <c r="S307" s="41">
        <v>39508</v>
      </c>
      <c r="T307" s="41">
        <v>39460</v>
      </c>
      <c r="U307" s="41">
        <v>39442</v>
      </c>
      <c r="V307" s="41">
        <v>39387</v>
      </c>
      <c r="W307" s="41">
        <v>39333</v>
      </c>
      <c r="X307" s="41">
        <v>39421</v>
      </c>
      <c r="Y307" s="41">
        <v>39515</v>
      </c>
      <c r="Z307" s="41">
        <v>39593</v>
      </c>
      <c r="AA307" s="41">
        <v>39662</v>
      </c>
      <c r="AB307" s="41">
        <v>39733</v>
      </c>
      <c r="AC307" s="41">
        <v>39815</v>
      </c>
      <c r="AD307" s="41">
        <v>39900</v>
      </c>
      <c r="AE307" s="41">
        <v>39970</v>
      </c>
      <c r="AF307" s="41">
        <v>40040</v>
      </c>
      <c r="AG307" s="41">
        <v>40107</v>
      </c>
      <c r="AH307" s="41">
        <v>40170</v>
      </c>
      <c r="AI307" s="41">
        <v>40247</v>
      </c>
      <c r="AJ307" s="41">
        <v>40307</v>
      </c>
      <c r="AK307" s="41">
        <v>40378</v>
      </c>
      <c r="AL307" s="41">
        <v>40450</v>
      </c>
      <c r="AM307" s="41">
        <v>40522</v>
      </c>
      <c r="AN307" s="41">
        <v>40594</v>
      </c>
      <c r="AO307" s="41">
        <v>40650</v>
      </c>
      <c r="AP307" s="41">
        <v>40715</v>
      </c>
      <c r="AQ307" s="41">
        <v>40789</v>
      </c>
      <c r="AR307" s="41">
        <v>40863</v>
      </c>
      <c r="AS307" s="41">
        <v>40936</v>
      </c>
    </row>
    <row r="308" spans="1:45">
      <c r="A308" s="38" t="s">
        <v>732</v>
      </c>
      <c r="B308" s="38" t="s">
        <v>733</v>
      </c>
      <c r="C308" s="41">
        <v>56922</v>
      </c>
      <c r="D308" s="41">
        <v>56699</v>
      </c>
      <c r="E308" s="41">
        <v>56714</v>
      </c>
      <c r="F308" s="41">
        <v>56927</v>
      </c>
      <c r="G308" s="41">
        <v>57349</v>
      </c>
      <c r="H308" s="41">
        <v>57757</v>
      </c>
      <c r="I308" s="41">
        <v>58245</v>
      </c>
      <c r="J308" s="41">
        <v>58724</v>
      </c>
      <c r="K308" s="41">
        <v>59165</v>
      </c>
      <c r="L308" s="41">
        <v>59599</v>
      </c>
      <c r="M308" s="41">
        <v>60292</v>
      </c>
      <c r="N308" s="41">
        <v>60850</v>
      </c>
      <c r="O308" s="41">
        <v>61365</v>
      </c>
      <c r="P308" s="41">
        <v>61974</v>
      </c>
      <c r="Q308" s="41">
        <v>62613</v>
      </c>
      <c r="R308" s="41">
        <v>63138</v>
      </c>
      <c r="S308" s="41">
        <v>63801</v>
      </c>
      <c r="T308" s="41">
        <v>64988</v>
      </c>
      <c r="U308" s="41">
        <v>65873</v>
      </c>
      <c r="V308" s="41">
        <v>66654</v>
      </c>
      <c r="W308" s="41">
        <v>67379</v>
      </c>
      <c r="X308" s="41">
        <v>68199</v>
      </c>
      <c r="Y308" s="41">
        <v>68974</v>
      </c>
      <c r="Z308" s="41">
        <v>69696</v>
      </c>
      <c r="AA308" s="41">
        <v>70372</v>
      </c>
      <c r="AB308" s="41">
        <v>71005</v>
      </c>
      <c r="AC308" s="41">
        <v>71644</v>
      </c>
      <c r="AD308" s="41">
        <v>72254</v>
      </c>
      <c r="AE308" s="41">
        <v>72818</v>
      </c>
      <c r="AF308" s="41">
        <v>73372</v>
      </c>
      <c r="AG308" s="41">
        <v>73900</v>
      </c>
      <c r="AH308" s="41">
        <v>74400</v>
      </c>
      <c r="AI308" s="41">
        <v>74890</v>
      </c>
      <c r="AJ308" s="41">
        <v>75345</v>
      </c>
      <c r="AK308" s="41">
        <v>75792</v>
      </c>
      <c r="AL308" s="41">
        <v>76224</v>
      </c>
      <c r="AM308" s="41">
        <v>76630</v>
      </c>
      <c r="AN308" s="41">
        <v>77030</v>
      </c>
      <c r="AO308" s="41">
        <v>77426</v>
      </c>
      <c r="AP308" s="41">
        <v>77816</v>
      </c>
      <c r="AQ308" s="41">
        <v>78217</v>
      </c>
      <c r="AR308" s="41">
        <v>78612</v>
      </c>
      <c r="AS308" s="41">
        <v>78991</v>
      </c>
    </row>
    <row r="309" spans="1:45">
      <c r="A309" s="38" t="s">
        <v>734</v>
      </c>
      <c r="B309" s="38" t="s">
        <v>735</v>
      </c>
      <c r="C309" s="41">
        <v>97164</v>
      </c>
      <c r="D309" s="41">
        <v>97596</v>
      </c>
      <c r="E309" s="41">
        <v>97858</v>
      </c>
      <c r="F309" s="41">
        <v>98062</v>
      </c>
      <c r="G309" s="41">
        <v>98466</v>
      </c>
      <c r="H309" s="41">
        <v>98977</v>
      </c>
      <c r="I309" s="41">
        <v>99206</v>
      </c>
      <c r="J309" s="41">
        <v>99700</v>
      </c>
      <c r="K309" s="41">
        <v>100088</v>
      </c>
      <c r="L309" s="41">
        <v>100636</v>
      </c>
      <c r="M309" s="41">
        <v>101457</v>
      </c>
      <c r="N309" s="41">
        <v>102000</v>
      </c>
      <c r="O309" s="41">
        <v>102210</v>
      </c>
      <c r="P309" s="41">
        <v>102668</v>
      </c>
      <c r="Q309" s="41">
        <v>103267</v>
      </c>
      <c r="R309" s="41">
        <v>104273</v>
      </c>
      <c r="S309" s="41">
        <v>104896</v>
      </c>
      <c r="T309" s="41">
        <v>105611</v>
      </c>
      <c r="U309" s="41">
        <v>106401</v>
      </c>
      <c r="V309" s="41">
        <v>107055</v>
      </c>
      <c r="W309" s="41">
        <v>107664</v>
      </c>
      <c r="X309" s="41">
        <v>108361</v>
      </c>
      <c r="Y309" s="41">
        <v>109063</v>
      </c>
      <c r="Z309" s="41">
        <v>109787</v>
      </c>
      <c r="AA309" s="41">
        <v>110459</v>
      </c>
      <c r="AB309" s="41">
        <v>111127</v>
      </c>
      <c r="AC309" s="41">
        <v>111819</v>
      </c>
      <c r="AD309" s="41">
        <v>112557</v>
      </c>
      <c r="AE309" s="41">
        <v>113290</v>
      </c>
      <c r="AF309" s="41">
        <v>114030</v>
      </c>
      <c r="AG309" s="41">
        <v>114801</v>
      </c>
      <c r="AH309" s="41">
        <v>115585</v>
      </c>
      <c r="AI309" s="41">
        <v>116376</v>
      </c>
      <c r="AJ309" s="41">
        <v>117159</v>
      </c>
      <c r="AK309" s="41">
        <v>117919</v>
      </c>
      <c r="AL309" s="41">
        <v>118698</v>
      </c>
      <c r="AM309" s="41">
        <v>119485</v>
      </c>
      <c r="AN309" s="41">
        <v>120256</v>
      </c>
      <c r="AO309" s="41">
        <v>120986</v>
      </c>
      <c r="AP309" s="41">
        <v>121710</v>
      </c>
      <c r="AQ309" s="41">
        <v>122444</v>
      </c>
      <c r="AR309" s="41">
        <v>123162</v>
      </c>
      <c r="AS309" s="41">
        <v>123852</v>
      </c>
    </row>
    <row r="310" spans="1:45">
      <c r="A310" s="38" t="s">
        <v>736</v>
      </c>
      <c r="B310" s="38" t="s">
        <v>737</v>
      </c>
      <c r="C310" s="41">
        <v>38651</v>
      </c>
      <c r="D310" s="41">
        <v>38781</v>
      </c>
      <c r="E310" s="41">
        <v>39111</v>
      </c>
      <c r="F310" s="41">
        <v>39210</v>
      </c>
      <c r="G310" s="41">
        <v>39537</v>
      </c>
      <c r="H310" s="41">
        <v>39870</v>
      </c>
      <c r="I310" s="41">
        <v>40103</v>
      </c>
      <c r="J310" s="41">
        <v>40578</v>
      </c>
      <c r="K310" s="41">
        <v>40972</v>
      </c>
      <c r="L310" s="41">
        <v>41311</v>
      </c>
      <c r="M310" s="41">
        <v>41729</v>
      </c>
      <c r="N310" s="41">
        <v>42108</v>
      </c>
      <c r="O310" s="41">
        <v>42410</v>
      </c>
      <c r="P310" s="41">
        <v>42710</v>
      </c>
      <c r="Q310" s="41">
        <v>42922</v>
      </c>
      <c r="R310" s="41">
        <v>43380</v>
      </c>
      <c r="S310" s="41">
        <v>43691</v>
      </c>
      <c r="T310" s="41">
        <v>43701</v>
      </c>
      <c r="U310" s="41">
        <v>43900</v>
      </c>
      <c r="V310" s="41">
        <v>44095</v>
      </c>
      <c r="W310" s="41">
        <v>44260</v>
      </c>
      <c r="X310" s="41">
        <v>44423</v>
      </c>
      <c r="Y310" s="41">
        <v>44586</v>
      </c>
      <c r="Z310" s="41">
        <v>44759</v>
      </c>
      <c r="AA310" s="41">
        <v>44936</v>
      </c>
      <c r="AB310" s="41">
        <v>45109</v>
      </c>
      <c r="AC310" s="41">
        <v>45291</v>
      </c>
      <c r="AD310" s="41">
        <v>45488</v>
      </c>
      <c r="AE310" s="41">
        <v>45684</v>
      </c>
      <c r="AF310" s="41">
        <v>45870</v>
      </c>
      <c r="AG310" s="41">
        <v>46076</v>
      </c>
      <c r="AH310" s="41">
        <v>46286</v>
      </c>
      <c r="AI310" s="41">
        <v>46512</v>
      </c>
      <c r="AJ310" s="41">
        <v>46715</v>
      </c>
      <c r="AK310" s="41">
        <v>46911</v>
      </c>
      <c r="AL310" s="41">
        <v>47121</v>
      </c>
      <c r="AM310" s="41">
        <v>47336</v>
      </c>
      <c r="AN310" s="41">
        <v>47546</v>
      </c>
      <c r="AO310" s="41">
        <v>47744</v>
      </c>
      <c r="AP310" s="41">
        <v>47936</v>
      </c>
      <c r="AQ310" s="41">
        <v>48137</v>
      </c>
      <c r="AR310" s="41">
        <v>48348</v>
      </c>
      <c r="AS310" s="41">
        <v>48531</v>
      </c>
    </row>
    <row r="311" spans="1:45">
      <c r="A311" s="38" t="s">
        <v>738</v>
      </c>
      <c r="B311" s="38" t="s">
        <v>739</v>
      </c>
      <c r="C311" s="41">
        <v>43867</v>
      </c>
      <c r="D311" s="41">
        <v>43996</v>
      </c>
      <c r="E311" s="41">
        <v>44136</v>
      </c>
      <c r="F311" s="41">
        <v>44292</v>
      </c>
      <c r="G311" s="41">
        <v>44516</v>
      </c>
      <c r="H311" s="41">
        <v>44735</v>
      </c>
      <c r="I311" s="41">
        <v>45078</v>
      </c>
      <c r="J311" s="41">
        <v>45362</v>
      </c>
      <c r="K311" s="41">
        <v>45571</v>
      </c>
      <c r="L311" s="41">
        <v>46041</v>
      </c>
      <c r="M311" s="41">
        <v>46909</v>
      </c>
      <c r="N311" s="41">
        <v>47299</v>
      </c>
      <c r="O311" s="41">
        <v>47589</v>
      </c>
      <c r="P311" s="41">
        <v>48111</v>
      </c>
      <c r="Q311" s="41">
        <v>48610</v>
      </c>
      <c r="R311" s="41">
        <v>49103</v>
      </c>
      <c r="S311" s="41">
        <v>49373</v>
      </c>
      <c r="T311" s="41">
        <v>49581</v>
      </c>
      <c r="U311" s="41">
        <v>49945</v>
      </c>
      <c r="V311" s="41">
        <v>50276</v>
      </c>
      <c r="W311" s="41">
        <v>50619</v>
      </c>
      <c r="X311" s="41">
        <v>51026</v>
      </c>
      <c r="Y311" s="41">
        <v>51433</v>
      </c>
      <c r="Z311" s="41">
        <v>51825</v>
      </c>
      <c r="AA311" s="41">
        <v>52197</v>
      </c>
      <c r="AB311" s="41">
        <v>52586</v>
      </c>
      <c r="AC311" s="41">
        <v>52973</v>
      </c>
      <c r="AD311" s="41">
        <v>53362</v>
      </c>
      <c r="AE311" s="41">
        <v>53741</v>
      </c>
      <c r="AF311" s="41">
        <v>54105</v>
      </c>
      <c r="AG311" s="41">
        <v>54486</v>
      </c>
      <c r="AH311" s="41">
        <v>54847</v>
      </c>
      <c r="AI311" s="41">
        <v>55206</v>
      </c>
      <c r="AJ311" s="41">
        <v>55559</v>
      </c>
      <c r="AK311" s="41">
        <v>55915</v>
      </c>
      <c r="AL311" s="41">
        <v>56269</v>
      </c>
      <c r="AM311" s="41">
        <v>56600</v>
      </c>
      <c r="AN311" s="41">
        <v>56937</v>
      </c>
      <c r="AO311" s="41">
        <v>57271</v>
      </c>
      <c r="AP311" s="41">
        <v>57601</v>
      </c>
      <c r="AQ311" s="41">
        <v>57946</v>
      </c>
      <c r="AR311" s="41">
        <v>58286</v>
      </c>
      <c r="AS311" s="41">
        <v>58612</v>
      </c>
    </row>
    <row r="312" spans="1:45">
      <c r="A312" s="38" t="s">
        <v>740</v>
      </c>
      <c r="B312" s="38" t="s">
        <v>741</v>
      </c>
      <c r="C312" s="41">
        <v>46587</v>
      </c>
      <c r="D312" s="41">
        <v>46872</v>
      </c>
      <c r="E312" s="41">
        <v>47219</v>
      </c>
      <c r="F312" s="41">
        <v>47474</v>
      </c>
      <c r="G312" s="41">
        <v>47745</v>
      </c>
      <c r="H312" s="41">
        <v>48067</v>
      </c>
      <c r="I312" s="41">
        <v>48401</v>
      </c>
      <c r="J312" s="41">
        <v>48501</v>
      </c>
      <c r="K312" s="41">
        <v>48722</v>
      </c>
      <c r="L312" s="41">
        <v>49091</v>
      </c>
      <c r="M312" s="41">
        <v>49464</v>
      </c>
      <c r="N312" s="41">
        <v>49859</v>
      </c>
      <c r="O312" s="41">
        <v>50268</v>
      </c>
      <c r="P312" s="41">
        <v>50756</v>
      </c>
      <c r="Q312" s="41">
        <v>51469</v>
      </c>
      <c r="R312" s="41">
        <v>52127</v>
      </c>
      <c r="S312" s="41">
        <v>53044</v>
      </c>
      <c r="T312" s="41">
        <v>53856</v>
      </c>
      <c r="U312" s="41">
        <v>54782</v>
      </c>
      <c r="V312" s="41">
        <v>55660</v>
      </c>
      <c r="W312" s="41">
        <v>56490</v>
      </c>
      <c r="X312" s="41">
        <v>57388</v>
      </c>
      <c r="Y312" s="41">
        <v>58260</v>
      </c>
      <c r="Z312" s="41">
        <v>59116</v>
      </c>
      <c r="AA312" s="41">
        <v>59939</v>
      </c>
      <c r="AB312" s="41">
        <v>60733</v>
      </c>
      <c r="AC312" s="41">
        <v>61520</v>
      </c>
      <c r="AD312" s="41">
        <v>62299</v>
      </c>
      <c r="AE312" s="41">
        <v>63050</v>
      </c>
      <c r="AF312" s="41">
        <v>63771</v>
      </c>
      <c r="AG312" s="41">
        <v>64478</v>
      </c>
      <c r="AH312" s="41">
        <v>65176</v>
      </c>
      <c r="AI312" s="41">
        <v>65887</v>
      </c>
      <c r="AJ312" s="41">
        <v>66558</v>
      </c>
      <c r="AK312" s="41">
        <v>67202</v>
      </c>
      <c r="AL312" s="41">
        <v>67847</v>
      </c>
      <c r="AM312" s="41">
        <v>68498</v>
      </c>
      <c r="AN312" s="41">
        <v>69148</v>
      </c>
      <c r="AO312" s="41">
        <v>69763</v>
      </c>
      <c r="AP312" s="41">
        <v>70360</v>
      </c>
      <c r="AQ312" s="41">
        <v>70956</v>
      </c>
      <c r="AR312" s="41">
        <v>71559</v>
      </c>
      <c r="AS312" s="41">
        <v>72130</v>
      </c>
    </row>
    <row r="313" spans="1:45">
      <c r="A313" s="38" t="s">
        <v>742</v>
      </c>
      <c r="B313" s="38" t="s">
        <v>743</v>
      </c>
      <c r="C313" s="41">
        <v>45171</v>
      </c>
      <c r="D313" s="41">
        <v>45694</v>
      </c>
      <c r="E313" s="41">
        <v>46150</v>
      </c>
      <c r="F313" s="41">
        <v>46483</v>
      </c>
      <c r="G313" s="41">
        <v>46630</v>
      </c>
      <c r="H313" s="41">
        <v>46735</v>
      </c>
      <c r="I313" s="41">
        <v>46923</v>
      </c>
      <c r="J313" s="41">
        <v>46940</v>
      </c>
      <c r="K313" s="41">
        <v>46916</v>
      </c>
      <c r="L313" s="41">
        <v>46981</v>
      </c>
      <c r="M313" s="41">
        <v>47269</v>
      </c>
      <c r="N313" s="41">
        <v>47347</v>
      </c>
      <c r="O313" s="41">
        <v>47536</v>
      </c>
      <c r="P313" s="41">
        <v>47775</v>
      </c>
      <c r="Q313" s="41">
        <v>48221</v>
      </c>
      <c r="R313" s="41">
        <v>48438</v>
      </c>
      <c r="S313" s="41">
        <v>48816</v>
      </c>
      <c r="T313" s="41">
        <v>49235</v>
      </c>
      <c r="U313" s="41">
        <v>49680</v>
      </c>
      <c r="V313" s="41">
        <v>50050</v>
      </c>
      <c r="W313" s="41">
        <v>50392</v>
      </c>
      <c r="X313" s="41">
        <v>50837</v>
      </c>
      <c r="Y313" s="41">
        <v>51254</v>
      </c>
      <c r="Z313" s="41">
        <v>51665</v>
      </c>
      <c r="AA313" s="41">
        <v>52039</v>
      </c>
      <c r="AB313" s="41">
        <v>52398</v>
      </c>
      <c r="AC313" s="41">
        <v>52784</v>
      </c>
      <c r="AD313" s="41">
        <v>53160</v>
      </c>
      <c r="AE313" s="41">
        <v>53513</v>
      </c>
      <c r="AF313" s="41">
        <v>53861</v>
      </c>
      <c r="AG313" s="41">
        <v>54193</v>
      </c>
      <c r="AH313" s="41">
        <v>54527</v>
      </c>
      <c r="AI313" s="41">
        <v>54875</v>
      </c>
      <c r="AJ313" s="41">
        <v>55211</v>
      </c>
      <c r="AK313" s="41">
        <v>55558</v>
      </c>
      <c r="AL313" s="41">
        <v>55889</v>
      </c>
      <c r="AM313" s="41">
        <v>56217</v>
      </c>
      <c r="AN313" s="41">
        <v>56533</v>
      </c>
      <c r="AO313" s="41">
        <v>56833</v>
      </c>
      <c r="AP313" s="41">
        <v>57137</v>
      </c>
      <c r="AQ313" s="41">
        <v>57430</v>
      </c>
      <c r="AR313" s="41">
        <v>57717</v>
      </c>
      <c r="AS313" s="41">
        <v>57969</v>
      </c>
    </row>
    <row r="314" spans="1:45">
      <c r="A314" s="38" t="s">
        <v>744</v>
      </c>
      <c r="B314" s="38" t="s">
        <v>745</v>
      </c>
      <c r="C314" s="41">
        <v>40099</v>
      </c>
      <c r="D314" s="41">
        <v>40282</v>
      </c>
      <c r="E314" s="41">
        <v>40684</v>
      </c>
      <c r="F314" s="41">
        <v>40962</v>
      </c>
      <c r="G314" s="41">
        <v>41314</v>
      </c>
      <c r="H314" s="41">
        <v>41612</v>
      </c>
      <c r="I314" s="41">
        <v>41869</v>
      </c>
      <c r="J314" s="41">
        <v>42111</v>
      </c>
      <c r="K314" s="41">
        <v>42216</v>
      </c>
      <c r="L314" s="41">
        <v>42362</v>
      </c>
      <c r="M314" s="41">
        <v>42907</v>
      </c>
      <c r="N314" s="41">
        <v>43060</v>
      </c>
      <c r="O314" s="41">
        <v>43299</v>
      </c>
      <c r="P314" s="41">
        <v>43657</v>
      </c>
      <c r="Q314" s="41">
        <v>44022</v>
      </c>
      <c r="R314" s="41">
        <v>44319</v>
      </c>
      <c r="S314" s="41">
        <v>44784</v>
      </c>
      <c r="T314" s="41">
        <v>45055</v>
      </c>
      <c r="U314" s="41">
        <v>45502</v>
      </c>
      <c r="V314" s="41">
        <v>45865</v>
      </c>
      <c r="W314" s="41">
        <v>46217</v>
      </c>
      <c r="X314" s="41">
        <v>46578</v>
      </c>
      <c r="Y314" s="41">
        <v>46913</v>
      </c>
      <c r="Z314" s="41">
        <v>47255</v>
      </c>
      <c r="AA314" s="41">
        <v>47550</v>
      </c>
      <c r="AB314" s="41">
        <v>47833</v>
      </c>
      <c r="AC314" s="41">
        <v>48139</v>
      </c>
      <c r="AD314" s="41">
        <v>48423</v>
      </c>
      <c r="AE314" s="41">
        <v>48708</v>
      </c>
      <c r="AF314" s="41">
        <v>48962</v>
      </c>
      <c r="AG314" s="41">
        <v>49220</v>
      </c>
      <c r="AH314" s="41">
        <v>49485</v>
      </c>
      <c r="AI314" s="41">
        <v>49747</v>
      </c>
      <c r="AJ314" s="41">
        <v>50010</v>
      </c>
      <c r="AK314" s="41">
        <v>50255</v>
      </c>
      <c r="AL314" s="41">
        <v>50513</v>
      </c>
      <c r="AM314" s="41">
        <v>50788</v>
      </c>
      <c r="AN314" s="41">
        <v>51055</v>
      </c>
      <c r="AO314" s="41">
        <v>51328</v>
      </c>
      <c r="AP314" s="41">
        <v>51597</v>
      </c>
      <c r="AQ314" s="41">
        <v>51885</v>
      </c>
      <c r="AR314" s="41">
        <v>52173</v>
      </c>
      <c r="AS314" s="41">
        <v>52452</v>
      </c>
    </row>
    <row r="315" spans="1:45">
      <c r="A315" s="38" t="s">
        <v>746</v>
      </c>
      <c r="B315" s="38" t="s">
        <v>747</v>
      </c>
      <c r="C315" s="41">
        <v>76424</v>
      </c>
      <c r="D315" s="41">
        <v>76730</v>
      </c>
      <c r="E315" s="41">
        <v>77480</v>
      </c>
      <c r="F315" s="41">
        <v>78456</v>
      </c>
      <c r="G315" s="41">
        <v>79258</v>
      </c>
      <c r="H315" s="41">
        <v>79586</v>
      </c>
      <c r="I315" s="41">
        <v>79986</v>
      </c>
      <c r="J315" s="41">
        <v>80525</v>
      </c>
      <c r="K315" s="41">
        <v>81030</v>
      </c>
      <c r="L315" s="41">
        <v>81909</v>
      </c>
      <c r="M315" s="41">
        <v>83093</v>
      </c>
      <c r="N315" s="41">
        <v>83528</v>
      </c>
      <c r="O315" s="41">
        <v>84275</v>
      </c>
      <c r="P315" s="41">
        <v>84805</v>
      </c>
      <c r="Q315" s="41">
        <v>85631</v>
      </c>
      <c r="R315" s="41">
        <v>86058</v>
      </c>
      <c r="S315" s="41">
        <v>86356</v>
      </c>
      <c r="T315" s="41">
        <v>86939</v>
      </c>
      <c r="U315" s="41">
        <v>87243</v>
      </c>
      <c r="V315" s="41">
        <v>87466</v>
      </c>
      <c r="W315" s="41">
        <v>87576</v>
      </c>
      <c r="X315" s="41">
        <v>87787</v>
      </c>
      <c r="Y315" s="41">
        <v>88052</v>
      </c>
      <c r="Z315" s="41">
        <v>88352</v>
      </c>
      <c r="AA315" s="41">
        <v>88629</v>
      </c>
      <c r="AB315" s="41">
        <v>88916</v>
      </c>
      <c r="AC315" s="41">
        <v>89239</v>
      </c>
      <c r="AD315" s="41">
        <v>89575</v>
      </c>
      <c r="AE315" s="41">
        <v>89862</v>
      </c>
      <c r="AF315" s="41">
        <v>90142</v>
      </c>
      <c r="AG315" s="41">
        <v>90464</v>
      </c>
      <c r="AH315" s="41">
        <v>90775</v>
      </c>
      <c r="AI315" s="41">
        <v>91043</v>
      </c>
      <c r="AJ315" s="41">
        <v>91294</v>
      </c>
      <c r="AK315" s="41">
        <v>91550</v>
      </c>
      <c r="AL315" s="41">
        <v>91828</v>
      </c>
      <c r="AM315" s="41">
        <v>92074</v>
      </c>
      <c r="AN315" s="41">
        <v>92304</v>
      </c>
      <c r="AO315" s="41">
        <v>92514</v>
      </c>
      <c r="AP315" s="41">
        <v>92748</v>
      </c>
      <c r="AQ315" s="41">
        <v>93007</v>
      </c>
      <c r="AR315" s="41">
        <v>93258</v>
      </c>
      <c r="AS315" s="41">
        <v>93470</v>
      </c>
    </row>
    <row r="316" spans="1:45">
      <c r="A316" s="2" t="s">
        <v>748</v>
      </c>
      <c r="B316" s="2" t="s">
        <v>749</v>
      </c>
      <c r="C316" s="20">
        <f>C198+C235+C296</f>
        <v>156595</v>
      </c>
      <c r="D316" s="20">
        <f t="shared" ref="D316:AS316" si="0">D198+D235+D296</f>
        <v>158180</v>
      </c>
      <c r="E316" s="20">
        <f t="shared" si="0"/>
        <v>158424</v>
      </c>
      <c r="F316" s="20">
        <f t="shared" si="0"/>
        <v>158958</v>
      </c>
      <c r="G316" s="20">
        <f t="shared" si="0"/>
        <v>160627</v>
      </c>
      <c r="H316" s="20">
        <f t="shared" si="0"/>
        <v>161595</v>
      </c>
      <c r="I316" s="20">
        <f t="shared" si="0"/>
        <v>163111</v>
      </c>
      <c r="J316" s="20">
        <f t="shared" si="0"/>
        <v>164296</v>
      </c>
      <c r="K316" s="20">
        <f t="shared" si="0"/>
        <v>164884</v>
      </c>
      <c r="L316" s="20">
        <f t="shared" si="0"/>
        <v>165832</v>
      </c>
      <c r="M316" s="20">
        <f t="shared" si="0"/>
        <v>168308</v>
      </c>
      <c r="N316" s="20">
        <f t="shared" si="0"/>
        <v>168692</v>
      </c>
      <c r="O316" s="20">
        <f t="shared" si="0"/>
        <v>169261</v>
      </c>
      <c r="P316" s="20">
        <f t="shared" si="0"/>
        <v>170567</v>
      </c>
      <c r="Q316" s="20">
        <f t="shared" si="0"/>
        <v>171280</v>
      </c>
      <c r="R316" s="20">
        <f t="shared" si="0"/>
        <v>172051</v>
      </c>
      <c r="S316" s="20">
        <f t="shared" si="0"/>
        <v>173237</v>
      </c>
      <c r="T316" s="20">
        <f t="shared" si="0"/>
        <v>173786</v>
      </c>
      <c r="U316" s="20">
        <f t="shared" si="0"/>
        <v>174831</v>
      </c>
      <c r="V316" s="20">
        <f t="shared" si="0"/>
        <v>175679</v>
      </c>
      <c r="W316" s="20">
        <f t="shared" si="0"/>
        <v>176440</v>
      </c>
      <c r="X316" s="20">
        <f t="shared" si="0"/>
        <v>177410</v>
      </c>
      <c r="Y316" s="20">
        <f t="shared" si="0"/>
        <v>178351</v>
      </c>
      <c r="Z316" s="20">
        <f t="shared" si="0"/>
        <v>179349</v>
      </c>
      <c r="AA316" s="20">
        <f t="shared" si="0"/>
        <v>180294</v>
      </c>
      <c r="AB316" s="20">
        <f t="shared" si="0"/>
        <v>181292</v>
      </c>
      <c r="AC316" s="20">
        <f t="shared" si="0"/>
        <v>182366</v>
      </c>
      <c r="AD316" s="20">
        <f t="shared" si="0"/>
        <v>183411</v>
      </c>
      <c r="AE316" s="20">
        <f t="shared" si="0"/>
        <v>184381</v>
      </c>
      <c r="AF316" s="20">
        <f t="shared" si="0"/>
        <v>185349</v>
      </c>
      <c r="AG316" s="20">
        <f t="shared" si="0"/>
        <v>186337</v>
      </c>
      <c r="AH316" s="20">
        <f t="shared" si="0"/>
        <v>187341</v>
      </c>
      <c r="AI316" s="20">
        <f t="shared" si="0"/>
        <v>188233</v>
      </c>
      <c r="AJ316" s="20">
        <f t="shared" si="0"/>
        <v>189096</v>
      </c>
      <c r="AK316" s="20">
        <f t="shared" si="0"/>
        <v>189948</v>
      </c>
      <c r="AL316" s="20">
        <f t="shared" si="0"/>
        <v>190824</v>
      </c>
      <c r="AM316" s="20">
        <f t="shared" si="0"/>
        <v>191645</v>
      </c>
      <c r="AN316" s="20">
        <f t="shared" si="0"/>
        <v>192410</v>
      </c>
      <c r="AO316" s="20">
        <f t="shared" si="0"/>
        <v>193174</v>
      </c>
      <c r="AP316" s="20">
        <f t="shared" si="0"/>
        <v>193928</v>
      </c>
      <c r="AQ316" s="20">
        <f t="shared" si="0"/>
        <v>194720</v>
      </c>
      <c r="AR316" s="20">
        <f t="shared" si="0"/>
        <v>195473</v>
      </c>
      <c r="AS316" s="20">
        <f t="shared" si="0"/>
        <v>196158</v>
      </c>
    </row>
    <row r="317" spans="1:45">
      <c r="A317" s="2" t="s">
        <v>750</v>
      </c>
      <c r="B317" s="2" t="s">
        <v>751</v>
      </c>
      <c r="C317" s="20">
        <f>SUM(C177,C278)</f>
        <v>61521</v>
      </c>
      <c r="D317" s="20">
        <f t="shared" ref="D317:AS317" si="1">SUM(D177,D278)</f>
        <v>62318</v>
      </c>
      <c r="E317" s="20">
        <f t="shared" si="1"/>
        <v>63206</v>
      </c>
      <c r="F317" s="20">
        <f t="shared" si="1"/>
        <v>64030</v>
      </c>
      <c r="G317" s="20">
        <f t="shared" si="1"/>
        <v>64683</v>
      </c>
      <c r="H317" s="20">
        <f t="shared" si="1"/>
        <v>65364</v>
      </c>
      <c r="I317" s="20">
        <f t="shared" si="1"/>
        <v>65941</v>
      </c>
      <c r="J317" s="20">
        <f t="shared" si="1"/>
        <v>66517</v>
      </c>
      <c r="K317" s="20">
        <f t="shared" si="1"/>
        <v>66777</v>
      </c>
      <c r="L317" s="20">
        <f t="shared" si="1"/>
        <v>67107</v>
      </c>
      <c r="M317" s="20">
        <f t="shared" si="1"/>
        <v>67948</v>
      </c>
      <c r="N317" s="20">
        <f t="shared" si="1"/>
        <v>68343</v>
      </c>
      <c r="O317" s="20">
        <f t="shared" si="1"/>
        <v>68593</v>
      </c>
      <c r="P317" s="20">
        <f t="shared" si="1"/>
        <v>69093</v>
      </c>
      <c r="Q317" s="20">
        <f t="shared" si="1"/>
        <v>69631</v>
      </c>
      <c r="R317" s="20">
        <f t="shared" si="1"/>
        <v>70323</v>
      </c>
      <c r="S317" s="20">
        <f t="shared" si="1"/>
        <v>71142</v>
      </c>
      <c r="T317" s="20">
        <f t="shared" si="1"/>
        <v>71815</v>
      </c>
      <c r="U317" s="20">
        <f t="shared" si="1"/>
        <v>72666</v>
      </c>
      <c r="V317" s="20">
        <f t="shared" si="1"/>
        <v>73428</v>
      </c>
      <c r="W317" s="20">
        <f t="shared" si="1"/>
        <v>74175</v>
      </c>
      <c r="X317" s="20">
        <f t="shared" si="1"/>
        <v>74956</v>
      </c>
      <c r="Y317" s="20">
        <f t="shared" si="1"/>
        <v>75730</v>
      </c>
      <c r="Z317" s="20">
        <f t="shared" si="1"/>
        <v>76503</v>
      </c>
      <c r="AA317" s="20">
        <f t="shared" si="1"/>
        <v>77241</v>
      </c>
      <c r="AB317" s="20">
        <f t="shared" si="1"/>
        <v>77963</v>
      </c>
      <c r="AC317" s="20">
        <f t="shared" si="1"/>
        <v>78695</v>
      </c>
      <c r="AD317" s="20">
        <f t="shared" si="1"/>
        <v>79404</v>
      </c>
      <c r="AE317" s="20">
        <f t="shared" si="1"/>
        <v>80099</v>
      </c>
      <c r="AF317" s="20">
        <f t="shared" si="1"/>
        <v>80759</v>
      </c>
      <c r="AG317" s="20">
        <f t="shared" si="1"/>
        <v>81416</v>
      </c>
      <c r="AH317" s="20">
        <f t="shared" si="1"/>
        <v>82044</v>
      </c>
      <c r="AI317" s="20">
        <f t="shared" si="1"/>
        <v>82669</v>
      </c>
      <c r="AJ317" s="20">
        <f t="shared" si="1"/>
        <v>83289</v>
      </c>
      <c r="AK317" s="20">
        <f t="shared" si="1"/>
        <v>83879</v>
      </c>
      <c r="AL317" s="20">
        <f t="shared" si="1"/>
        <v>84461</v>
      </c>
      <c r="AM317" s="20">
        <f t="shared" si="1"/>
        <v>85033</v>
      </c>
      <c r="AN317" s="20">
        <f t="shared" si="1"/>
        <v>85586</v>
      </c>
      <c r="AO317" s="20">
        <f t="shared" si="1"/>
        <v>86143</v>
      </c>
      <c r="AP317" s="20">
        <f t="shared" si="1"/>
        <v>86683</v>
      </c>
      <c r="AQ317" s="20">
        <f t="shared" si="1"/>
        <v>87233</v>
      </c>
      <c r="AR317" s="20">
        <f t="shared" si="1"/>
        <v>87771</v>
      </c>
      <c r="AS317" s="20">
        <f t="shared" si="1"/>
        <v>88274</v>
      </c>
    </row>
    <row r="318" spans="1:45">
      <c r="A318" s="2" t="s">
        <v>752</v>
      </c>
      <c r="B318" s="2" t="s">
        <v>753</v>
      </c>
      <c r="C318" s="20">
        <f>SUM(C35,C190,C239)</f>
        <v>150828</v>
      </c>
      <c r="D318" s="20">
        <f t="shared" ref="D318:AS318" si="2">SUM(D35,D190,D239)</f>
        <v>152128</v>
      </c>
      <c r="E318" s="20">
        <f t="shared" si="2"/>
        <v>153609</v>
      </c>
      <c r="F318" s="20">
        <f t="shared" si="2"/>
        <v>154831</v>
      </c>
      <c r="G318" s="20">
        <f t="shared" si="2"/>
        <v>156641</v>
      </c>
      <c r="H318" s="20">
        <f t="shared" si="2"/>
        <v>157929</v>
      </c>
      <c r="I318" s="20">
        <f t="shared" si="2"/>
        <v>158817</v>
      </c>
      <c r="J318" s="20">
        <f t="shared" si="2"/>
        <v>160093</v>
      </c>
      <c r="K318" s="20">
        <f t="shared" si="2"/>
        <v>161463</v>
      </c>
      <c r="L318" s="20">
        <f t="shared" si="2"/>
        <v>163457</v>
      </c>
      <c r="M318" s="20">
        <f t="shared" si="2"/>
        <v>165755</v>
      </c>
      <c r="N318" s="20">
        <f t="shared" si="2"/>
        <v>167234</v>
      </c>
      <c r="O318" s="20">
        <f t="shared" si="2"/>
        <v>168501</v>
      </c>
      <c r="P318" s="20">
        <f t="shared" si="2"/>
        <v>170240</v>
      </c>
      <c r="Q318" s="20">
        <f t="shared" si="2"/>
        <v>172010</v>
      </c>
      <c r="R318" s="20">
        <f t="shared" si="2"/>
        <v>173588</v>
      </c>
      <c r="S318" s="20">
        <f t="shared" si="2"/>
        <v>175432</v>
      </c>
      <c r="T318" s="20">
        <f t="shared" si="2"/>
        <v>177265</v>
      </c>
      <c r="U318" s="20">
        <f t="shared" si="2"/>
        <v>179459</v>
      </c>
      <c r="V318" s="20">
        <f t="shared" si="2"/>
        <v>181269</v>
      </c>
      <c r="W318" s="20">
        <f t="shared" si="2"/>
        <v>182971</v>
      </c>
      <c r="X318" s="20">
        <f t="shared" si="2"/>
        <v>184836</v>
      </c>
      <c r="Y318" s="20">
        <f t="shared" si="2"/>
        <v>186667</v>
      </c>
      <c r="Z318" s="20">
        <f t="shared" si="2"/>
        <v>188510</v>
      </c>
      <c r="AA318" s="20">
        <f t="shared" si="2"/>
        <v>190236</v>
      </c>
      <c r="AB318" s="20">
        <f t="shared" si="2"/>
        <v>191915</v>
      </c>
      <c r="AC318" s="20">
        <f t="shared" si="2"/>
        <v>193726</v>
      </c>
      <c r="AD318" s="20">
        <f t="shared" si="2"/>
        <v>195468</v>
      </c>
      <c r="AE318" s="20">
        <f t="shared" si="2"/>
        <v>197142</v>
      </c>
      <c r="AF318" s="20">
        <f t="shared" si="2"/>
        <v>198750</v>
      </c>
      <c r="AG318" s="20">
        <f t="shared" si="2"/>
        <v>200344</v>
      </c>
      <c r="AH318" s="20">
        <f t="shared" si="2"/>
        <v>201970</v>
      </c>
      <c r="AI318" s="20">
        <f t="shared" si="2"/>
        <v>203525</v>
      </c>
      <c r="AJ318" s="20">
        <f t="shared" si="2"/>
        <v>204996</v>
      </c>
      <c r="AK318" s="20">
        <f t="shared" si="2"/>
        <v>206441</v>
      </c>
      <c r="AL318" s="20">
        <f t="shared" si="2"/>
        <v>207902</v>
      </c>
      <c r="AM318" s="20">
        <f t="shared" si="2"/>
        <v>209294</v>
      </c>
      <c r="AN318" s="20">
        <f t="shared" si="2"/>
        <v>210642</v>
      </c>
      <c r="AO318" s="20">
        <f t="shared" si="2"/>
        <v>211950</v>
      </c>
      <c r="AP318" s="20">
        <f t="shared" si="2"/>
        <v>213255</v>
      </c>
      <c r="AQ318" s="20">
        <f t="shared" si="2"/>
        <v>214603</v>
      </c>
      <c r="AR318" s="20">
        <f t="shared" si="2"/>
        <v>215926</v>
      </c>
      <c r="AS318" s="20">
        <f t="shared" si="2"/>
        <v>217173</v>
      </c>
    </row>
    <row r="319" spans="1:45">
      <c r="A319" s="2" t="s">
        <v>754</v>
      </c>
      <c r="B319" s="2" t="s">
        <v>755</v>
      </c>
      <c r="C319" s="20">
        <f>SUM(C154,C181,C298)</f>
        <v>107828</v>
      </c>
      <c r="D319" s="20">
        <f t="shared" ref="D319:AS319" si="3">SUM(D154,D181,D298)</f>
        <v>109884</v>
      </c>
      <c r="E319" s="20">
        <f t="shared" si="3"/>
        <v>111646</v>
      </c>
      <c r="F319" s="20">
        <f t="shared" si="3"/>
        <v>113353</v>
      </c>
      <c r="G319" s="20">
        <f t="shared" si="3"/>
        <v>114795</v>
      </c>
      <c r="H319" s="20">
        <f t="shared" si="3"/>
        <v>116573</v>
      </c>
      <c r="I319" s="20">
        <f t="shared" si="3"/>
        <v>118354</v>
      </c>
      <c r="J319" s="20">
        <f t="shared" si="3"/>
        <v>120141</v>
      </c>
      <c r="K319" s="20">
        <f t="shared" si="3"/>
        <v>121175</v>
      </c>
      <c r="L319" s="20">
        <f t="shared" si="3"/>
        <v>122741</v>
      </c>
      <c r="M319" s="20">
        <f t="shared" si="3"/>
        <v>123635</v>
      </c>
      <c r="N319" s="20">
        <f t="shared" si="3"/>
        <v>124906</v>
      </c>
      <c r="O319" s="20">
        <f t="shared" si="3"/>
        <v>126185</v>
      </c>
      <c r="P319" s="20">
        <f t="shared" si="3"/>
        <v>127522</v>
      </c>
      <c r="Q319" s="20">
        <f t="shared" si="3"/>
        <v>128901</v>
      </c>
      <c r="R319" s="20">
        <f t="shared" si="3"/>
        <v>130372</v>
      </c>
      <c r="S319" s="20">
        <f t="shared" si="3"/>
        <v>131772</v>
      </c>
      <c r="T319" s="20">
        <f t="shared" si="3"/>
        <v>132737</v>
      </c>
      <c r="U319" s="20">
        <f t="shared" si="3"/>
        <v>133890</v>
      </c>
      <c r="V319" s="20">
        <f t="shared" si="3"/>
        <v>134934</v>
      </c>
      <c r="W319" s="20">
        <f t="shared" si="3"/>
        <v>135782</v>
      </c>
      <c r="X319" s="20">
        <f t="shared" si="3"/>
        <v>136624</v>
      </c>
      <c r="Y319" s="20">
        <f t="shared" si="3"/>
        <v>137491</v>
      </c>
      <c r="Z319" s="20">
        <f t="shared" si="3"/>
        <v>138411</v>
      </c>
      <c r="AA319" s="20">
        <f t="shared" si="3"/>
        <v>139272</v>
      </c>
      <c r="AB319" s="20">
        <f t="shared" si="3"/>
        <v>140098</v>
      </c>
      <c r="AC319" s="20">
        <f t="shared" si="3"/>
        <v>140960</v>
      </c>
      <c r="AD319" s="20">
        <f t="shared" si="3"/>
        <v>141839</v>
      </c>
      <c r="AE319" s="20">
        <f t="shared" si="3"/>
        <v>142680</v>
      </c>
      <c r="AF319" s="20">
        <f t="shared" si="3"/>
        <v>143492</v>
      </c>
      <c r="AG319" s="20">
        <f t="shared" si="3"/>
        <v>144335</v>
      </c>
      <c r="AH319" s="20">
        <f t="shared" si="3"/>
        <v>145179</v>
      </c>
      <c r="AI319" s="20">
        <f t="shared" si="3"/>
        <v>145985</v>
      </c>
      <c r="AJ319" s="20">
        <f t="shared" si="3"/>
        <v>146745</v>
      </c>
      <c r="AK319" s="20">
        <f t="shared" si="3"/>
        <v>147493</v>
      </c>
      <c r="AL319" s="20">
        <f t="shared" si="3"/>
        <v>148280</v>
      </c>
      <c r="AM319" s="20">
        <f t="shared" si="3"/>
        <v>149000</v>
      </c>
      <c r="AN319" s="20">
        <f t="shared" si="3"/>
        <v>149681</v>
      </c>
      <c r="AO319" s="20">
        <f t="shared" si="3"/>
        <v>150324</v>
      </c>
      <c r="AP319" s="20">
        <f t="shared" si="3"/>
        <v>150965</v>
      </c>
      <c r="AQ319" s="20">
        <f t="shared" si="3"/>
        <v>151661</v>
      </c>
      <c r="AR319" s="20">
        <f t="shared" si="3"/>
        <v>152307</v>
      </c>
      <c r="AS319" s="20">
        <f t="shared" si="3"/>
        <v>152887</v>
      </c>
    </row>
    <row r="320" spans="1:45">
      <c r="A320" s="38"/>
      <c r="B320" s="38"/>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row>
    <row r="322" spans="1:43">
      <c r="A322" s="1" t="s">
        <v>4656</v>
      </c>
    </row>
    <row r="324" spans="1:43">
      <c r="A324" s="2"/>
      <c r="B324" s="2"/>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row>
    <row r="325" spans="1:43">
      <c r="A325" s="2"/>
      <c r="B325" s="2"/>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row>
    <row r="326" spans="1:43">
      <c r="A326" s="2"/>
      <c r="B326" s="2"/>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row>
    <row r="327" spans="1:43">
      <c r="A327" s="2"/>
      <c r="B327" s="2"/>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row>
    <row r="333" spans="1:43">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row>
    <row r="334" spans="1:43">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row>
    <row r="335" spans="1:43">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row>
  </sheetData>
  <sheetProtection algorithmName="SHA-512" hashValue="bfn0ugW9tKVdq9NP7UUa3aFTCRCeizV20R3GAQWje9haT0xdPhuvl6ykWBM5zVf/7YWuqIQseue8P2OfkNs0wA==" saltValue="AvMAVLQ6+Zyjf/6uL3u8wg==" spinCount="100000" sheet="1" objects="1" scenario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249977111117893"/>
  </sheetPr>
  <dimension ref="A1:AR330"/>
  <sheetViews>
    <sheetView workbookViewId="0">
      <selection activeCell="C10" sqref="C10"/>
    </sheetView>
  </sheetViews>
  <sheetFormatPr defaultColWidth="9" defaultRowHeight="14"/>
  <cols>
    <col min="1" max="1" width="16" style="1" customWidth="1"/>
    <col min="2" max="2" width="38.453125" style="1" customWidth="1"/>
    <col min="3" max="43" width="9" style="1"/>
    <col min="44" max="44" width="9" style="21"/>
    <col min="45" max="16384" width="9" style="1"/>
  </cols>
  <sheetData>
    <row r="1" spans="1:43">
      <c r="A1" s="38"/>
      <c r="B1" s="38"/>
      <c r="C1" s="38">
        <v>2001</v>
      </c>
      <c r="D1" s="38">
        <v>2002</v>
      </c>
      <c r="E1" s="38">
        <v>2003</v>
      </c>
      <c r="F1" s="38">
        <v>2004</v>
      </c>
      <c r="G1" s="38">
        <v>2005</v>
      </c>
      <c r="H1" s="38">
        <v>2006</v>
      </c>
      <c r="I1" s="38">
        <v>2007</v>
      </c>
      <c r="J1" s="38">
        <v>2008</v>
      </c>
      <c r="K1" s="38">
        <v>2009</v>
      </c>
      <c r="L1" s="38">
        <v>2010</v>
      </c>
      <c r="M1" s="38">
        <v>2011</v>
      </c>
      <c r="N1" s="38">
        <v>2012</v>
      </c>
      <c r="O1" s="38">
        <v>2013</v>
      </c>
      <c r="P1" s="38">
        <v>2014</v>
      </c>
      <c r="Q1" s="38">
        <v>2015</v>
      </c>
      <c r="R1" s="38">
        <v>2016</v>
      </c>
      <c r="S1" s="38">
        <v>2017</v>
      </c>
      <c r="T1" s="38">
        <v>2018</v>
      </c>
      <c r="U1" s="38">
        <v>2019</v>
      </c>
      <c r="V1" s="38">
        <v>2020</v>
      </c>
      <c r="W1" s="38">
        <v>2021</v>
      </c>
      <c r="X1" s="38">
        <v>2022</v>
      </c>
      <c r="Y1" s="38">
        <v>2023</v>
      </c>
      <c r="Z1" s="38">
        <v>2024</v>
      </c>
      <c r="AA1" s="38">
        <v>2025</v>
      </c>
      <c r="AB1" s="38">
        <v>2026</v>
      </c>
      <c r="AC1" s="38">
        <v>2027</v>
      </c>
      <c r="AD1" s="38">
        <v>2028</v>
      </c>
      <c r="AE1" s="38">
        <v>2029</v>
      </c>
      <c r="AF1" s="38">
        <v>2030</v>
      </c>
      <c r="AG1" s="38">
        <v>2031</v>
      </c>
      <c r="AH1" s="38">
        <v>2032</v>
      </c>
      <c r="AI1" s="38">
        <v>2033</v>
      </c>
      <c r="AJ1" s="38">
        <v>2034</v>
      </c>
      <c r="AK1" s="38">
        <v>2035</v>
      </c>
      <c r="AL1" s="38">
        <v>2036</v>
      </c>
      <c r="AM1" s="38">
        <v>2037</v>
      </c>
      <c r="AN1" s="38">
        <v>2038</v>
      </c>
      <c r="AO1" s="38">
        <v>2039</v>
      </c>
      <c r="AP1" s="38">
        <v>2040</v>
      </c>
      <c r="AQ1" s="38">
        <v>2041</v>
      </c>
    </row>
    <row r="2" spans="1:43">
      <c r="A2" s="38" t="s">
        <v>111</v>
      </c>
      <c r="B2" s="38" t="s">
        <v>112</v>
      </c>
      <c r="C2" s="41">
        <v>25836</v>
      </c>
      <c r="D2" s="41">
        <v>25974</v>
      </c>
      <c r="E2" s="41">
        <v>25939</v>
      </c>
      <c r="F2" s="41">
        <v>25982</v>
      </c>
      <c r="G2" s="41">
        <v>25994</v>
      </c>
      <c r="H2" s="41">
        <v>26236</v>
      </c>
      <c r="I2" s="41">
        <v>26362</v>
      </c>
      <c r="J2" s="41">
        <v>26499</v>
      </c>
      <c r="K2" s="41">
        <v>26670</v>
      </c>
      <c r="L2" s="41">
        <v>26725</v>
      </c>
      <c r="M2" s="41">
        <v>26940</v>
      </c>
      <c r="N2" s="41">
        <v>27153</v>
      </c>
      <c r="O2" s="41">
        <v>27385</v>
      </c>
      <c r="P2" s="41">
        <v>27630</v>
      </c>
      <c r="Q2" s="41">
        <v>27732</v>
      </c>
      <c r="R2" s="41">
        <v>27773</v>
      </c>
      <c r="S2" s="41">
        <v>27963</v>
      </c>
      <c r="T2" s="41">
        <v>28185</v>
      </c>
      <c r="U2" s="41">
        <v>28404</v>
      </c>
      <c r="V2" s="41">
        <v>28629</v>
      </c>
      <c r="W2" s="41">
        <v>28841</v>
      </c>
      <c r="X2" s="41">
        <v>29104</v>
      </c>
      <c r="Y2" s="41">
        <v>29372</v>
      </c>
      <c r="Z2" s="41">
        <v>29620</v>
      </c>
      <c r="AA2" s="41">
        <v>29870</v>
      </c>
      <c r="AB2" s="41">
        <v>30123</v>
      </c>
      <c r="AC2" s="41">
        <v>30388</v>
      </c>
      <c r="AD2" s="41">
        <v>30645</v>
      </c>
      <c r="AE2" s="41">
        <v>30901</v>
      </c>
      <c r="AF2" s="41">
        <v>31149</v>
      </c>
      <c r="AG2" s="41">
        <v>31398</v>
      </c>
      <c r="AH2" s="41">
        <v>31641</v>
      </c>
      <c r="AI2" s="41">
        <v>31886</v>
      </c>
      <c r="AJ2" s="41">
        <v>32119</v>
      </c>
      <c r="AK2" s="41">
        <v>32368</v>
      </c>
      <c r="AL2" s="41">
        <v>32607</v>
      </c>
      <c r="AM2" s="41">
        <v>32847</v>
      </c>
      <c r="AN2" s="41">
        <v>33084</v>
      </c>
      <c r="AO2" s="41">
        <v>33324</v>
      </c>
      <c r="AP2" s="41">
        <v>33560</v>
      </c>
      <c r="AQ2" s="41">
        <v>33796</v>
      </c>
    </row>
    <row r="3" spans="1:43">
      <c r="A3" s="38" t="s">
        <v>114</v>
      </c>
      <c r="B3" s="38" t="s">
        <v>115</v>
      </c>
      <c r="C3" s="41">
        <v>39524</v>
      </c>
      <c r="D3" s="41">
        <v>39795</v>
      </c>
      <c r="E3" s="41">
        <v>40213</v>
      </c>
      <c r="F3" s="41">
        <v>40566</v>
      </c>
      <c r="G3" s="41">
        <v>40772</v>
      </c>
      <c r="H3" s="41">
        <v>41061</v>
      </c>
      <c r="I3" s="41">
        <v>41376</v>
      </c>
      <c r="J3" s="41">
        <v>41611</v>
      </c>
      <c r="K3" s="41">
        <v>41838</v>
      </c>
      <c r="L3" s="41">
        <v>41959</v>
      </c>
      <c r="M3" s="41">
        <v>42231</v>
      </c>
      <c r="N3" s="41">
        <v>42302</v>
      </c>
      <c r="O3" s="41">
        <v>42374</v>
      </c>
      <c r="P3" s="41">
        <v>42616</v>
      </c>
      <c r="Q3" s="41">
        <v>42825</v>
      </c>
      <c r="R3" s="41">
        <v>43082</v>
      </c>
      <c r="S3" s="41">
        <v>43233</v>
      </c>
      <c r="T3" s="41">
        <v>43384</v>
      </c>
      <c r="U3" s="41">
        <v>43541</v>
      </c>
      <c r="V3" s="41">
        <v>43659</v>
      </c>
      <c r="W3" s="41">
        <v>43747</v>
      </c>
      <c r="X3" s="41">
        <v>43871</v>
      </c>
      <c r="Y3" s="41">
        <v>43970</v>
      </c>
      <c r="Z3" s="41">
        <v>44052</v>
      </c>
      <c r="AA3" s="41">
        <v>44113</v>
      </c>
      <c r="AB3" s="41">
        <v>44164</v>
      </c>
      <c r="AC3" s="41">
        <v>44237</v>
      </c>
      <c r="AD3" s="41">
        <v>44305</v>
      </c>
      <c r="AE3" s="41">
        <v>44350</v>
      </c>
      <c r="AF3" s="41">
        <v>44393</v>
      </c>
      <c r="AG3" s="41">
        <v>44432</v>
      </c>
      <c r="AH3" s="41">
        <v>44456</v>
      </c>
      <c r="AI3" s="41">
        <v>44503</v>
      </c>
      <c r="AJ3" s="41">
        <v>44531</v>
      </c>
      <c r="AK3" s="41">
        <v>44565</v>
      </c>
      <c r="AL3" s="41">
        <v>44606</v>
      </c>
      <c r="AM3" s="41">
        <v>44642</v>
      </c>
      <c r="AN3" s="41">
        <v>44670</v>
      </c>
      <c r="AO3" s="41">
        <v>44706</v>
      </c>
      <c r="AP3" s="41">
        <v>44717</v>
      </c>
      <c r="AQ3" s="41">
        <v>44743</v>
      </c>
    </row>
    <row r="4" spans="1:43">
      <c r="A4" s="38" t="s">
        <v>117</v>
      </c>
      <c r="B4" s="38" t="s">
        <v>118</v>
      </c>
      <c r="C4" s="41">
        <v>48893</v>
      </c>
      <c r="D4" s="41">
        <v>49231</v>
      </c>
      <c r="E4" s="41">
        <v>49545</v>
      </c>
      <c r="F4" s="41">
        <v>49841</v>
      </c>
      <c r="G4" s="41">
        <v>50226</v>
      </c>
      <c r="H4" s="41">
        <v>50692</v>
      </c>
      <c r="I4" s="41">
        <v>50980</v>
      </c>
      <c r="J4" s="41">
        <v>51390</v>
      </c>
      <c r="K4" s="41">
        <v>51653</v>
      </c>
      <c r="L4" s="41">
        <v>52008</v>
      </c>
      <c r="M4" s="41">
        <v>52510</v>
      </c>
      <c r="N4" s="41">
        <v>52762</v>
      </c>
      <c r="O4" s="41">
        <v>53193</v>
      </c>
      <c r="P4" s="41">
        <v>53543</v>
      </c>
      <c r="Q4" s="41">
        <v>53797</v>
      </c>
      <c r="R4" s="41">
        <v>54227</v>
      </c>
      <c r="S4" s="41">
        <v>54608</v>
      </c>
      <c r="T4" s="41">
        <v>54979</v>
      </c>
      <c r="U4" s="41">
        <v>55347</v>
      </c>
      <c r="V4" s="41">
        <v>55694</v>
      </c>
      <c r="W4" s="41">
        <v>56025</v>
      </c>
      <c r="X4" s="41">
        <v>56415</v>
      </c>
      <c r="Y4" s="41">
        <v>56776</v>
      </c>
      <c r="Z4" s="41">
        <v>57123</v>
      </c>
      <c r="AA4" s="41">
        <v>57444</v>
      </c>
      <c r="AB4" s="41">
        <v>57767</v>
      </c>
      <c r="AC4" s="41">
        <v>58091</v>
      </c>
      <c r="AD4" s="41">
        <v>58388</v>
      </c>
      <c r="AE4" s="41">
        <v>58677</v>
      </c>
      <c r="AF4" s="41">
        <v>58964</v>
      </c>
      <c r="AG4" s="41">
        <v>59239</v>
      </c>
      <c r="AH4" s="41">
        <v>59486</v>
      </c>
      <c r="AI4" s="41">
        <v>59758</v>
      </c>
      <c r="AJ4" s="41">
        <v>60010</v>
      </c>
      <c r="AK4" s="41">
        <v>60268</v>
      </c>
      <c r="AL4" s="41">
        <v>60514</v>
      </c>
      <c r="AM4" s="41">
        <v>60761</v>
      </c>
      <c r="AN4" s="41">
        <v>61013</v>
      </c>
      <c r="AO4" s="41">
        <v>61268</v>
      </c>
      <c r="AP4" s="41">
        <v>61504</v>
      </c>
      <c r="AQ4" s="41">
        <v>61748</v>
      </c>
    </row>
    <row r="5" spans="1:43">
      <c r="A5" s="38" t="s">
        <v>120</v>
      </c>
      <c r="B5" s="38" t="s">
        <v>121</v>
      </c>
      <c r="C5" s="41">
        <v>62543</v>
      </c>
      <c r="D5" s="41">
        <v>63095</v>
      </c>
      <c r="E5" s="41">
        <v>63553</v>
      </c>
      <c r="F5" s="41">
        <v>64270</v>
      </c>
      <c r="G5" s="41">
        <v>64580</v>
      </c>
      <c r="H5" s="41">
        <v>64934</v>
      </c>
      <c r="I5" s="41">
        <v>65354</v>
      </c>
      <c r="J5" s="41">
        <v>65847</v>
      </c>
      <c r="K5" s="41">
        <v>65976</v>
      </c>
      <c r="L5" s="41">
        <v>66273</v>
      </c>
      <c r="M5" s="41">
        <v>66691</v>
      </c>
      <c r="N5" s="41">
        <v>67288</v>
      </c>
      <c r="O5" s="41">
        <v>67860</v>
      </c>
      <c r="P5" s="41">
        <v>68646</v>
      </c>
      <c r="Q5" s="41">
        <v>69145</v>
      </c>
      <c r="R5" s="41">
        <v>69812</v>
      </c>
      <c r="S5" s="41">
        <v>70494</v>
      </c>
      <c r="T5" s="41">
        <v>71240</v>
      </c>
      <c r="U5" s="41">
        <v>71954</v>
      </c>
      <c r="V5" s="41">
        <v>72662</v>
      </c>
      <c r="W5" s="41">
        <v>73328</v>
      </c>
      <c r="X5" s="41">
        <v>74163</v>
      </c>
      <c r="Y5" s="41">
        <v>75017</v>
      </c>
      <c r="Z5" s="41">
        <v>75850</v>
      </c>
      <c r="AA5" s="41">
        <v>76667</v>
      </c>
      <c r="AB5" s="41">
        <v>77498</v>
      </c>
      <c r="AC5" s="41">
        <v>78364</v>
      </c>
      <c r="AD5" s="41">
        <v>79198</v>
      </c>
      <c r="AE5" s="41">
        <v>80035</v>
      </c>
      <c r="AF5" s="41">
        <v>80820</v>
      </c>
      <c r="AG5" s="41">
        <v>81634</v>
      </c>
      <c r="AH5" s="41">
        <v>82448</v>
      </c>
      <c r="AI5" s="41">
        <v>83225</v>
      </c>
      <c r="AJ5" s="41">
        <v>83997</v>
      </c>
      <c r="AK5" s="41">
        <v>84772</v>
      </c>
      <c r="AL5" s="41">
        <v>85526</v>
      </c>
      <c r="AM5" s="41">
        <v>86262</v>
      </c>
      <c r="AN5" s="41">
        <v>86987</v>
      </c>
      <c r="AO5" s="41">
        <v>87712</v>
      </c>
      <c r="AP5" s="41">
        <v>88423</v>
      </c>
      <c r="AQ5" s="41">
        <v>89140</v>
      </c>
    </row>
    <row r="6" spans="1:43">
      <c r="A6" s="38" t="s">
        <v>122</v>
      </c>
      <c r="B6" s="38" t="s">
        <v>123</v>
      </c>
      <c r="C6" s="41">
        <v>46312</v>
      </c>
      <c r="D6" s="41">
        <v>46787</v>
      </c>
      <c r="E6" s="41">
        <v>47101</v>
      </c>
      <c r="F6" s="41">
        <v>47615</v>
      </c>
      <c r="G6" s="41">
        <v>48102</v>
      </c>
      <c r="H6" s="41">
        <v>48480</v>
      </c>
      <c r="I6" s="41">
        <v>48742</v>
      </c>
      <c r="J6" s="41">
        <v>49178</v>
      </c>
      <c r="K6" s="41">
        <v>49571</v>
      </c>
      <c r="L6" s="41">
        <v>49948</v>
      </c>
      <c r="M6" s="41">
        <v>50655</v>
      </c>
      <c r="N6" s="41">
        <v>50965</v>
      </c>
      <c r="O6" s="41">
        <v>51673</v>
      </c>
      <c r="P6" s="41">
        <v>52242</v>
      </c>
      <c r="Q6" s="41">
        <v>52824</v>
      </c>
      <c r="R6" s="41">
        <v>53387</v>
      </c>
      <c r="S6" s="41">
        <v>53949</v>
      </c>
      <c r="T6" s="41">
        <v>54516</v>
      </c>
      <c r="U6" s="41">
        <v>55060</v>
      </c>
      <c r="V6" s="41">
        <v>55574</v>
      </c>
      <c r="W6" s="41">
        <v>56064</v>
      </c>
      <c r="X6" s="41">
        <v>56542</v>
      </c>
      <c r="Y6" s="41">
        <v>57002</v>
      </c>
      <c r="Z6" s="41">
        <v>57428</v>
      </c>
      <c r="AA6" s="41">
        <v>57838</v>
      </c>
      <c r="AB6" s="41">
        <v>58234</v>
      </c>
      <c r="AC6" s="41">
        <v>58632</v>
      </c>
      <c r="AD6" s="41">
        <v>59012</v>
      </c>
      <c r="AE6" s="41">
        <v>59397</v>
      </c>
      <c r="AF6" s="41">
        <v>59780</v>
      </c>
      <c r="AG6" s="41">
        <v>60167</v>
      </c>
      <c r="AH6" s="41">
        <v>60553</v>
      </c>
      <c r="AI6" s="41">
        <v>60944</v>
      </c>
      <c r="AJ6" s="41">
        <v>61328</v>
      </c>
      <c r="AK6" s="41">
        <v>61720</v>
      </c>
      <c r="AL6" s="41">
        <v>62101</v>
      </c>
      <c r="AM6" s="41">
        <v>62491</v>
      </c>
      <c r="AN6" s="41">
        <v>62876</v>
      </c>
      <c r="AO6" s="41">
        <v>63252</v>
      </c>
      <c r="AP6" s="41">
        <v>63624</v>
      </c>
      <c r="AQ6" s="41">
        <v>63977</v>
      </c>
    </row>
    <row r="7" spans="1:43">
      <c r="A7" s="38" t="s">
        <v>124</v>
      </c>
      <c r="B7" s="38" t="s">
        <v>125</v>
      </c>
      <c r="C7" s="41">
        <v>41302</v>
      </c>
      <c r="D7" s="41">
        <v>41762</v>
      </c>
      <c r="E7" s="41">
        <v>42261</v>
      </c>
      <c r="F7" s="41">
        <v>42836</v>
      </c>
      <c r="G7" s="41">
        <v>43659</v>
      </c>
      <c r="H7" s="41">
        <v>44438</v>
      </c>
      <c r="I7" s="41">
        <v>45157</v>
      </c>
      <c r="J7" s="41">
        <v>45724</v>
      </c>
      <c r="K7" s="41">
        <v>46246</v>
      </c>
      <c r="L7" s="41">
        <v>46814</v>
      </c>
      <c r="M7" s="41">
        <v>47721</v>
      </c>
      <c r="N7" s="41">
        <v>48539</v>
      </c>
      <c r="O7" s="41">
        <v>49222</v>
      </c>
      <c r="P7" s="41">
        <v>49974</v>
      </c>
      <c r="Q7" s="41">
        <v>50491</v>
      </c>
      <c r="R7" s="41">
        <v>51353</v>
      </c>
      <c r="S7" s="41">
        <v>52129</v>
      </c>
      <c r="T7" s="41">
        <v>52874</v>
      </c>
      <c r="U7" s="41">
        <v>53578</v>
      </c>
      <c r="V7" s="41">
        <v>54273</v>
      </c>
      <c r="W7" s="41">
        <v>54934</v>
      </c>
      <c r="X7" s="41">
        <v>55644</v>
      </c>
      <c r="Y7" s="41">
        <v>56320</v>
      </c>
      <c r="Z7" s="41">
        <v>56968</v>
      </c>
      <c r="AA7" s="41">
        <v>57592</v>
      </c>
      <c r="AB7" s="41">
        <v>58189</v>
      </c>
      <c r="AC7" s="41">
        <v>58841</v>
      </c>
      <c r="AD7" s="41">
        <v>59449</v>
      </c>
      <c r="AE7" s="41">
        <v>60038</v>
      </c>
      <c r="AF7" s="41">
        <v>60595</v>
      </c>
      <c r="AG7" s="41">
        <v>61171</v>
      </c>
      <c r="AH7" s="41">
        <v>61747</v>
      </c>
      <c r="AI7" s="41">
        <v>62296</v>
      </c>
      <c r="AJ7" s="41">
        <v>62850</v>
      </c>
      <c r="AK7" s="41">
        <v>63394</v>
      </c>
      <c r="AL7" s="41">
        <v>63945</v>
      </c>
      <c r="AM7" s="41">
        <v>64492</v>
      </c>
      <c r="AN7" s="41">
        <v>65013</v>
      </c>
      <c r="AO7" s="41">
        <v>65549</v>
      </c>
      <c r="AP7" s="41">
        <v>66064</v>
      </c>
      <c r="AQ7" s="41">
        <v>66585</v>
      </c>
    </row>
    <row r="8" spans="1:43">
      <c r="A8" s="38" t="s">
        <v>126</v>
      </c>
      <c r="B8" s="38" t="s">
        <v>127</v>
      </c>
      <c r="C8" s="41">
        <v>34736</v>
      </c>
      <c r="D8" s="41">
        <v>34966</v>
      </c>
      <c r="E8" s="41">
        <v>35358</v>
      </c>
      <c r="F8" s="41">
        <v>35587</v>
      </c>
      <c r="G8" s="41">
        <v>35840</v>
      </c>
      <c r="H8" s="41">
        <v>36216</v>
      </c>
      <c r="I8" s="41">
        <v>36458</v>
      </c>
      <c r="J8" s="41">
        <v>36738</v>
      </c>
      <c r="K8" s="41">
        <v>36908</v>
      </c>
      <c r="L8" s="41">
        <v>37179</v>
      </c>
      <c r="M8" s="41">
        <v>37476</v>
      </c>
      <c r="N8" s="41">
        <v>37739</v>
      </c>
      <c r="O8" s="41">
        <v>38107</v>
      </c>
      <c r="P8" s="41">
        <v>38544</v>
      </c>
      <c r="Q8" s="41">
        <v>38877</v>
      </c>
      <c r="R8" s="41">
        <v>39153</v>
      </c>
      <c r="S8" s="41">
        <v>39477</v>
      </c>
      <c r="T8" s="41">
        <v>39792</v>
      </c>
      <c r="U8" s="41">
        <v>40124</v>
      </c>
      <c r="V8" s="41">
        <v>40435</v>
      </c>
      <c r="W8" s="41">
        <v>40737</v>
      </c>
      <c r="X8" s="41">
        <v>41095</v>
      </c>
      <c r="Y8" s="41">
        <v>41438</v>
      </c>
      <c r="Z8" s="41">
        <v>41769</v>
      </c>
      <c r="AA8" s="41">
        <v>42093</v>
      </c>
      <c r="AB8" s="41">
        <v>42401</v>
      </c>
      <c r="AC8" s="41">
        <v>42726</v>
      </c>
      <c r="AD8" s="41">
        <v>43035</v>
      </c>
      <c r="AE8" s="41">
        <v>43323</v>
      </c>
      <c r="AF8" s="41">
        <v>43610</v>
      </c>
      <c r="AG8" s="41">
        <v>43905</v>
      </c>
      <c r="AH8" s="41">
        <v>44187</v>
      </c>
      <c r="AI8" s="41">
        <v>44459</v>
      </c>
      <c r="AJ8" s="41">
        <v>44729</v>
      </c>
      <c r="AK8" s="41">
        <v>44993</v>
      </c>
      <c r="AL8" s="41">
        <v>45270</v>
      </c>
      <c r="AM8" s="41">
        <v>45535</v>
      </c>
      <c r="AN8" s="41">
        <v>45795</v>
      </c>
      <c r="AO8" s="41">
        <v>46063</v>
      </c>
      <c r="AP8" s="41">
        <v>46320</v>
      </c>
      <c r="AQ8" s="41">
        <v>46598</v>
      </c>
    </row>
    <row r="9" spans="1:43">
      <c r="A9" s="38" t="s">
        <v>129</v>
      </c>
      <c r="B9" s="38" t="s">
        <v>130</v>
      </c>
      <c r="C9" s="41">
        <v>67398</v>
      </c>
      <c r="D9" s="41">
        <v>67383</v>
      </c>
      <c r="E9" s="41">
        <v>66912</v>
      </c>
      <c r="F9" s="41">
        <v>66177</v>
      </c>
      <c r="G9" s="41">
        <v>65893</v>
      </c>
      <c r="H9" s="41">
        <v>65647</v>
      </c>
      <c r="I9" s="41">
        <v>65458</v>
      </c>
      <c r="J9" s="41">
        <v>65967</v>
      </c>
      <c r="K9" s="41">
        <v>67078</v>
      </c>
      <c r="L9" s="41">
        <v>68431</v>
      </c>
      <c r="M9" s="41">
        <v>69419</v>
      </c>
      <c r="N9" s="41">
        <v>70186</v>
      </c>
      <c r="O9" s="41">
        <v>71279</v>
      </c>
      <c r="P9" s="41">
        <v>72494</v>
      </c>
      <c r="Q9" s="41">
        <v>73899</v>
      </c>
      <c r="R9" s="41">
        <v>75423</v>
      </c>
      <c r="S9" s="41">
        <v>76658</v>
      </c>
      <c r="T9" s="41">
        <v>77931</v>
      </c>
      <c r="U9" s="41">
        <v>79123</v>
      </c>
      <c r="V9" s="41">
        <v>80312</v>
      </c>
      <c r="W9" s="41">
        <v>81433</v>
      </c>
      <c r="X9" s="41">
        <v>82702</v>
      </c>
      <c r="Y9" s="41">
        <v>83967</v>
      </c>
      <c r="Z9" s="41">
        <v>85175</v>
      </c>
      <c r="AA9" s="41">
        <v>86395</v>
      </c>
      <c r="AB9" s="41">
        <v>87586</v>
      </c>
      <c r="AC9" s="41">
        <v>88768</v>
      </c>
      <c r="AD9" s="41">
        <v>89951</v>
      </c>
      <c r="AE9" s="41">
        <v>91076</v>
      </c>
      <c r="AF9" s="41">
        <v>92199</v>
      </c>
      <c r="AG9" s="41">
        <v>93307</v>
      </c>
      <c r="AH9" s="41">
        <v>94428</v>
      </c>
      <c r="AI9" s="41">
        <v>95525</v>
      </c>
      <c r="AJ9" s="41">
        <v>96566</v>
      </c>
      <c r="AK9" s="41">
        <v>97597</v>
      </c>
      <c r="AL9" s="41">
        <v>98627</v>
      </c>
      <c r="AM9" s="41">
        <v>99642</v>
      </c>
      <c r="AN9" s="41">
        <v>100643</v>
      </c>
      <c r="AO9" s="41">
        <v>101592</v>
      </c>
      <c r="AP9" s="41">
        <v>102519</v>
      </c>
      <c r="AQ9" s="41">
        <v>103448</v>
      </c>
    </row>
    <row r="10" spans="1:43">
      <c r="A10" s="38" t="s">
        <v>132</v>
      </c>
      <c r="B10" s="38" t="s">
        <v>133</v>
      </c>
      <c r="C10" s="41">
        <v>128268</v>
      </c>
      <c r="D10" s="41">
        <v>127943</v>
      </c>
      <c r="E10" s="41">
        <v>127545</v>
      </c>
      <c r="F10" s="41">
        <v>127449</v>
      </c>
      <c r="G10" s="41">
        <v>128121</v>
      </c>
      <c r="H10" s="41">
        <v>128408</v>
      </c>
      <c r="I10" s="41">
        <v>129039</v>
      </c>
      <c r="J10" s="41">
        <v>130087</v>
      </c>
      <c r="K10" s="41">
        <v>132059</v>
      </c>
      <c r="L10" s="41">
        <v>133529</v>
      </c>
      <c r="M10" s="41">
        <v>135501</v>
      </c>
      <c r="N10" s="41">
        <v>137293</v>
      </c>
      <c r="O10" s="41">
        <v>138971</v>
      </c>
      <c r="P10" s="41">
        <v>140914</v>
      </c>
      <c r="Q10" s="41">
        <v>142863</v>
      </c>
      <c r="R10" s="41">
        <v>144861</v>
      </c>
      <c r="S10" s="41">
        <v>146656</v>
      </c>
      <c r="T10" s="41">
        <v>148460</v>
      </c>
      <c r="U10" s="41">
        <v>150207</v>
      </c>
      <c r="V10" s="41">
        <v>151906</v>
      </c>
      <c r="W10" s="41">
        <v>153468</v>
      </c>
      <c r="X10" s="41">
        <v>155622</v>
      </c>
      <c r="Y10" s="41">
        <v>157708</v>
      </c>
      <c r="Z10" s="41">
        <v>159754</v>
      </c>
      <c r="AA10" s="41">
        <v>161790</v>
      </c>
      <c r="AB10" s="41">
        <v>163774</v>
      </c>
      <c r="AC10" s="41">
        <v>165715</v>
      </c>
      <c r="AD10" s="41">
        <v>167623</v>
      </c>
      <c r="AE10" s="41">
        <v>169471</v>
      </c>
      <c r="AF10" s="41">
        <v>171315</v>
      </c>
      <c r="AG10" s="41">
        <v>173115</v>
      </c>
      <c r="AH10" s="41">
        <v>174870</v>
      </c>
      <c r="AI10" s="41">
        <v>176595</v>
      </c>
      <c r="AJ10" s="41">
        <v>178282</v>
      </c>
      <c r="AK10" s="41">
        <v>179926</v>
      </c>
      <c r="AL10" s="41">
        <v>181583</v>
      </c>
      <c r="AM10" s="41">
        <v>183194</v>
      </c>
      <c r="AN10" s="41">
        <v>184781</v>
      </c>
      <c r="AO10" s="41">
        <v>186317</v>
      </c>
      <c r="AP10" s="41">
        <v>187812</v>
      </c>
      <c r="AQ10" s="41">
        <v>189313</v>
      </c>
    </row>
    <row r="11" spans="1:43">
      <c r="A11" s="38" t="s">
        <v>134</v>
      </c>
      <c r="B11" s="38" t="s">
        <v>135</v>
      </c>
      <c r="C11" s="41">
        <v>91460</v>
      </c>
      <c r="D11" s="41">
        <v>92105</v>
      </c>
      <c r="E11" s="41">
        <v>92824</v>
      </c>
      <c r="F11" s="41">
        <v>93543</v>
      </c>
      <c r="G11" s="41">
        <v>94408</v>
      </c>
      <c r="H11" s="41">
        <v>95385</v>
      </c>
      <c r="I11" s="41">
        <v>96168</v>
      </c>
      <c r="J11" s="41">
        <v>97149</v>
      </c>
      <c r="K11" s="41">
        <v>97976</v>
      </c>
      <c r="L11" s="41">
        <v>98753</v>
      </c>
      <c r="M11" s="41">
        <v>100354</v>
      </c>
      <c r="N11" s="41">
        <v>101318</v>
      </c>
      <c r="O11" s="41">
        <v>102417</v>
      </c>
      <c r="P11" s="41">
        <v>103599</v>
      </c>
      <c r="Q11" s="41">
        <v>104653</v>
      </c>
      <c r="R11" s="41">
        <v>105760</v>
      </c>
      <c r="S11" s="41">
        <v>106837</v>
      </c>
      <c r="T11" s="41">
        <v>107954</v>
      </c>
      <c r="U11" s="41">
        <v>108992</v>
      </c>
      <c r="V11" s="41">
        <v>109965</v>
      </c>
      <c r="W11" s="41">
        <v>110928</v>
      </c>
      <c r="X11" s="41">
        <v>111836</v>
      </c>
      <c r="Y11" s="41">
        <v>112742</v>
      </c>
      <c r="Z11" s="41">
        <v>113619</v>
      </c>
      <c r="AA11" s="41">
        <v>114449</v>
      </c>
      <c r="AB11" s="41">
        <v>115285</v>
      </c>
      <c r="AC11" s="41">
        <v>116130</v>
      </c>
      <c r="AD11" s="41">
        <v>116976</v>
      </c>
      <c r="AE11" s="41">
        <v>117812</v>
      </c>
      <c r="AF11" s="41">
        <v>118621</v>
      </c>
      <c r="AG11" s="41">
        <v>119443</v>
      </c>
      <c r="AH11" s="41">
        <v>120300</v>
      </c>
      <c r="AI11" s="41">
        <v>121136</v>
      </c>
      <c r="AJ11" s="41">
        <v>121938</v>
      </c>
      <c r="AK11" s="41">
        <v>122738</v>
      </c>
      <c r="AL11" s="41">
        <v>123549</v>
      </c>
      <c r="AM11" s="41">
        <v>124373</v>
      </c>
      <c r="AN11" s="41">
        <v>125182</v>
      </c>
      <c r="AO11" s="41">
        <v>125945</v>
      </c>
      <c r="AP11" s="41">
        <v>126676</v>
      </c>
      <c r="AQ11" s="41">
        <v>127429</v>
      </c>
    </row>
    <row r="12" spans="1:43">
      <c r="A12" s="38" t="s">
        <v>137</v>
      </c>
      <c r="B12" s="38" t="s">
        <v>138</v>
      </c>
      <c r="C12" s="41">
        <v>30272</v>
      </c>
      <c r="D12" s="41">
        <v>30235</v>
      </c>
      <c r="E12" s="41">
        <v>30279</v>
      </c>
      <c r="F12" s="41">
        <v>30416</v>
      </c>
      <c r="G12" s="41">
        <v>30507</v>
      </c>
      <c r="H12" s="41">
        <v>30602</v>
      </c>
      <c r="I12" s="41">
        <v>30640</v>
      </c>
      <c r="J12" s="41">
        <v>30725</v>
      </c>
      <c r="K12" s="41">
        <v>30871</v>
      </c>
      <c r="L12" s="41">
        <v>30984</v>
      </c>
      <c r="M12" s="41">
        <v>31015</v>
      </c>
      <c r="N12" s="41">
        <v>30974</v>
      </c>
      <c r="O12" s="41">
        <v>30859</v>
      </c>
      <c r="P12" s="41">
        <v>30962</v>
      </c>
      <c r="Q12" s="41">
        <v>31032</v>
      </c>
      <c r="R12" s="41">
        <v>31090</v>
      </c>
      <c r="S12" s="41">
        <v>31089</v>
      </c>
      <c r="T12" s="41">
        <v>31087</v>
      </c>
      <c r="U12" s="41">
        <v>31083</v>
      </c>
      <c r="V12" s="41">
        <v>31044</v>
      </c>
      <c r="W12" s="41">
        <v>31016</v>
      </c>
      <c r="X12" s="41">
        <v>30918</v>
      </c>
      <c r="Y12" s="41">
        <v>30808</v>
      </c>
      <c r="Z12" s="41">
        <v>30710</v>
      </c>
      <c r="AA12" s="41">
        <v>30583</v>
      </c>
      <c r="AB12" s="41">
        <v>30469</v>
      </c>
      <c r="AC12" s="41">
        <v>30364</v>
      </c>
      <c r="AD12" s="41">
        <v>30241</v>
      </c>
      <c r="AE12" s="41">
        <v>30137</v>
      </c>
      <c r="AF12" s="41">
        <v>30016</v>
      </c>
      <c r="AG12" s="41">
        <v>29906</v>
      </c>
      <c r="AH12" s="41">
        <v>29813</v>
      </c>
      <c r="AI12" s="41">
        <v>29708</v>
      </c>
      <c r="AJ12" s="41">
        <v>29629</v>
      </c>
      <c r="AK12" s="41">
        <v>29538</v>
      </c>
      <c r="AL12" s="41">
        <v>29448</v>
      </c>
      <c r="AM12" s="41">
        <v>29369</v>
      </c>
      <c r="AN12" s="41">
        <v>29288</v>
      </c>
      <c r="AO12" s="41">
        <v>29213</v>
      </c>
      <c r="AP12" s="41">
        <v>29136</v>
      </c>
      <c r="AQ12" s="41">
        <v>29055</v>
      </c>
    </row>
    <row r="13" spans="1:43">
      <c r="A13" s="38" t="s">
        <v>139</v>
      </c>
      <c r="B13" s="38" t="s">
        <v>140</v>
      </c>
      <c r="C13" s="41">
        <v>68701</v>
      </c>
      <c r="D13" s="41">
        <v>69060</v>
      </c>
      <c r="E13" s="41">
        <v>69126</v>
      </c>
      <c r="F13" s="41">
        <v>69426</v>
      </c>
      <c r="G13" s="41">
        <v>69921</v>
      </c>
      <c r="H13" s="41">
        <v>70361</v>
      </c>
      <c r="I13" s="41">
        <v>70730</v>
      </c>
      <c r="J13" s="41">
        <v>71310</v>
      </c>
      <c r="K13" s="41">
        <v>71735</v>
      </c>
      <c r="L13" s="41">
        <v>72100</v>
      </c>
      <c r="M13" s="41">
        <v>72522</v>
      </c>
      <c r="N13" s="41">
        <v>73037</v>
      </c>
      <c r="O13" s="41">
        <v>73688</v>
      </c>
      <c r="P13" s="41">
        <v>74567</v>
      </c>
      <c r="Q13" s="41">
        <v>75072</v>
      </c>
      <c r="R13" s="41">
        <v>75646</v>
      </c>
      <c r="S13" s="41">
        <v>76261</v>
      </c>
      <c r="T13" s="41">
        <v>76914</v>
      </c>
      <c r="U13" s="41">
        <v>77572</v>
      </c>
      <c r="V13" s="41">
        <v>78217</v>
      </c>
      <c r="W13" s="41">
        <v>78827</v>
      </c>
      <c r="X13" s="41">
        <v>79599</v>
      </c>
      <c r="Y13" s="41">
        <v>80334</v>
      </c>
      <c r="Z13" s="41">
        <v>81092</v>
      </c>
      <c r="AA13" s="41">
        <v>81810</v>
      </c>
      <c r="AB13" s="41">
        <v>82532</v>
      </c>
      <c r="AC13" s="41">
        <v>83272</v>
      </c>
      <c r="AD13" s="41">
        <v>83988</v>
      </c>
      <c r="AE13" s="41">
        <v>84727</v>
      </c>
      <c r="AF13" s="41">
        <v>85429</v>
      </c>
      <c r="AG13" s="41">
        <v>86151</v>
      </c>
      <c r="AH13" s="41">
        <v>86876</v>
      </c>
      <c r="AI13" s="41">
        <v>87609</v>
      </c>
      <c r="AJ13" s="41">
        <v>88353</v>
      </c>
      <c r="AK13" s="41">
        <v>89078</v>
      </c>
      <c r="AL13" s="41">
        <v>89823</v>
      </c>
      <c r="AM13" s="41">
        <v>90566</v>
      </c>
      <c r="AN13" s="41">
        <v>91320</v>
      </c>
      <c r="AO13" s="41">
        <v>92057</v>
      </c>
      <c r="AP13" s="41">
        <v>92784</v>
      </c>
      <c r="AQ13" s="41">
        <v>93534</v>
      </c>
    </row>
    <row r="14" spans="1:43">
      <c r="A14" s="38" t="s">
        <v>141</v>
      </c>
      <c r="B14" s="38" t="s">
        <v>142</v>
      </c>
      <c r="C14" s="41">
        <v>61328</v>
      </c>
      <c r="D14" s="41">
        <v>61788</v>
      </c>
      <c r="E14" s="41">
        <v>62331</v>
      </c>
      <c r="F14" s="41">
        <v>62871</v>
      </c>
      <c r="G14" s="41">
        <v>63724</v>
      </c>
      <c r="H14" s="41">
        <v>64485</v>
      </c>
      <c r="I14" s="41">
        <v>65244</v>
      </c>
      <c r="J14" s="41">
        <v>66171</v>
      </c>
      <c r="K14" s="41">
        <v>67127</v>
      </c>
      <c r="L14" s="41">
        <v>68096</v>
      </c>
      <c r="M14" s="41">
        <v>69150</v>
      </c>
      <c r="N14" s="41">
        <v>70129</v>
      </c>
      <c r="O14" s="41">
        <v>70863</v>
      </c>
      <c r="P14" s="41">
        <v>71589</v>
      </c>
      <c r="Q14" s="41">
        <v>72128</v>
      </c>
      <c r="R14" s="41">
        <v>72615</v>
      </c>
      <c r="S14" s="41">
        <v>73261</v>
      </c>
      <c r="T14" s="41">
        <v>73917</v>
      </c>
      <c r="U14" s="41">
        <v>74567</v>
      </c>
      <c r="V14" s="41">
        <v>75145</v>
      </c>
      <c r="W14" s="41">
        <v>75718</v>
      </c>
      <c r="X14" s="41">
        <v>76299</v>
      </c>
      <c r="Y14" s="41">
        <v>76848</v>
      </c>
      <c r="Z14" s="41">
        <v>77400</v>
      </c>
      <c r="AA14" s="41">
        <v>77886</v>
      </c>
      <c r="AB14" s="41">
        <v>78378</v>
      </c>
      <c r="AC14" s="41">
        <v>78891</v>
      </c>
      <c r="AD14" s="41">
        <v>79372</v>
      </c>
      <c r="AE14" s="41">
        <v>79825</v>
      </c>
      <c r="AF14" s="41">
        <v>80266</v>
      </c>
      <c r="AG14" s="41">
        <v>80714</v>
      </c>
      <c r="AH14" s="41">
        <v>81179</v>
      </c>
      <c r="AI14" s="41">
        <v>81632</v>
      </c>
      <c r="AJ14" s="41">
        <v>82069</v>
      </c>
      <c r="AK14" s="41">
        <v>82500</v>
      </c>
      <c r="AL14" s="41">
        <v>82931</v>
      </c>
      <c r="AM14" s="41">
        <v>83364</v>
      </c>
      <c r="AN14" s="41">
        <v>83792</v>
      </c>
      <c r="AO14" s="41">
        <v>84220</v>
      </c>
      <c r="AP14" s="41">
        <v>84619</v>
      </c>
      <c r="AQ14" s="41">
        <v>85034</v>
      </c>
    </row>
    <row r="15" spans="1:43">
      <c r="A15" s="38" t="s">
        <v>143</v>
      </c>
      <c r="B15" s="38" t="s">
        <v>144</v>
      </c>
      <c r="C15" s="41">
        <v>44418</v>
      </c>
      <c r="D15" s="41">
        <v>44700</v>
      </c>
      <c r="E15" s="41">
        <v>45126</v>
      </c>
      <c r="F15" s="41">
        <v>45534</v>
      </c>
      <c r="G15" s="41">
        <v>45821</v>
      </c>
      <c r="H15" s="41">
        <v>46181</v>
      </c>
      <c r="I15" s="41">
        <v>46447</v>
      </c>
      <c r="J15" s="41">
        <v>46830</v>
      </c>
      <c r="K15" s="41">
        <v>47067</v>
      </c>
      <c r="L15" s="41">
        <v>47397</v>
      </c>
      <c r="M15" s="41">
        <v>47529</v>
      </c>
      <c r="N15" s="41">
        <v>47737</v>
      </c>
      <c r="O15" s="41">
        <v>47987</v>
      </c>
      <c r="P15" s="41">
        <v>48299</v>
      </c>
      <c r="Q15" s="41">
        <v>48637</v>
      </c>
      <c r="R15" s="41">
        <v>48961</v>
      </c>
      <c r="S15" s="41">
        <v>49247</v>
      </c>
      <c r="T15" s="41">
        <v>49534</v>
      </c>
      <c r="U15" s="41">
        <v>49829</v>
      </c>
      <c r="V15" s="41">
        <v>50116</v>
      </c>
      <c r="W15" s="41">
        <v>50361</v>
      </c>
      <c r="X15" s="41">
        <v>50641</v>
      </c>
      <c r="Y15" s="41">
        <v>50922</v>
      </c>
      <c r="Z15" s="41">
        <v>51201</v>
      </c>
      <c r="AA15" s="41">
        <v>51471</v>
      </c>
      <c r="AB15" s="41">
        <v>51697</v>
      </c>
      <c r="AC15" s="41">
        <v>51944</v>
      </c>
      <c r="AD15" s="41">
        <v>52186</v>
      </c>
      <c r="AE15" s="41">
        <v>52419</v>
      </c>
      <c r="AF15" s="41">
        <v>52643</v>
      </c>
      <c r="AG15" s="41">
        <v>52863</v>
      </c>
      <c r="AH15" s="41">
        <v>53072</v>
      </c>
      <c r="AI15" s="41">
        <v>53283</v>
      </c>
      <c r="AJ15" s="41">
        <v>53499</v>
      </c>
      <c r="AK15" s="41">
        <v>53702</v>
      </c>
      <c r="AL15" s="41">
        <v>53903</v>
      </c>
      <c r="AM15" s="41">
        <v>54090</v>
      </c>
      <c r="AN15" s="41">
        <v>54272</v>
      </c>
      <c r="AO15" s="41">
        <v>54455</v>
      </c>
      <c r="AP15" s="41">
        <v>54629</v>
      </c>
      <c r="AQ15" s="41">
        <v>54804</v>
      </c>
    </row>
    <row r="16" spans="1:43">
      <c r="A16" s="38" t="s">
        <v>145</v>
      </c>
      <c r="B16" s="38" t="s">
        <v>146</v>
      </c>
      <c r="C16" s="41">
        <v>70641</v>
      </c>
      <c r="D16" s="41">
        <v>70865</v>
      </c>
      <c r="E16" s="41">
        <v>71081</v>
      </c>
      <c r="F16" s="41">
        <v>71215</v>
      </c>
      <c r="G16" s="41">
        <v>71464</v>
      </c>
      <c r="H16" s="41">
        <v>71490</v>
      </c>
      <c r="I16" s="41">
        <v>72045</v>
      </c>
      <c r="J16" s="41">
        <v>72477</v>
      </c>
      <c r="K16" s="41">
        <v>72534</v>
      </c>
      <c r="L16" s="41">
        <v>72634</v>
      </c>
      <c r="M16" s="41">
        <v>73094</v>
      </c>
      <c r="N16" s="41">
        <v>73395</v>
      </c>
      <c r="O16" s="41">
        <v>74018</v>
      </c>
      <c r="P16" s="41">
        <v>74641</v>
      </c>
      <c r="Q16" s="41">
        <v>75523</v>
      </c>
      <c r="R16" s="41">
        <v>76113</v>
      </c>
      <c r="S16" s="41">
        <v>76615</v>
      </c>
      <c r="T16" s="41">
        <v>77143</v>
      </c>
      <c r="U16" s="41">
        <v>77641</v>
      </c>
      <c r="V16" s="41">
        <v>78047</v>
      </c>
      <c r="W16" s="41">
        <v>78426</v>
      </c>
      <c r="X16" s="41">
        <v>78887</v>
      </c>
      <c r="Y16" s="41">
        <v>79396</v>
      </c>
      <c r="Z16" s="41">
        <v>79920</v>
      </c>
      <c r="AA16" s="41">
        <v>80441</v>
      </c>
      <c r="AB16" s="41">
        <v>80993</v>
      </c>
      <c r="AC16" s="41">
        <v>81591</v>
      </c>
      <c r="AD16" s="41">
        <v>82176</v>
      </c>
      <c r="AE16" s="41">
        <v>82748</v>
      </c>
      <c r="AF16" s="41">
        <v>83285</v>
      </c>
      <c r="AG16" s="41">
        <v>83846</v>
      </c>
      <c r="AH16" s="41">
        <v>84419</v>
      </c>
      <c r="AI16" s="41">
        <v>84949</v>
      </c>
      <c r="AJ16" s="41">
        <v>85439</v>
      </c>
      <c r="AK16" s="41">
        <v>85899</v>
      </c>
      <c r="AL16" s="41">
        <v>86385</v>
      </c>
      <c r="AM16" s="41">
        <v>86855</v>
      </c>
      <c r="AN16" s="41">
        <v>87331</v>
      </c>
      <c r="AO16" s="41">
        <v>87795</v>
      </c>
      <c r="AP16" s="41">
        <v>88240</v>
      </c>
      <c r="AQ16" s="41">
        <v>88717</v>
      </c>
    </row>
    <row r="17" spans="1:43">
      <c r="A17" s="38" t="s">
        <v>148</v>
      </c>
      <c r="B17" s="38" t="s">
        <v>149</v>
      </c>
      <c r="C17" s="41">
        <v>59182</v>
      </c>
      <c r="D17" s="41">
        <v>59910</v>
      </c>
      <c r="E17" s="41">
        <v>60454</v>
      </c>
      <c r="F17" s="41">
        <v>60770</v>
      </c>
      <c r="G17" s="41">
        <v>61100</v>
      </c>
      <c r="H17" s="41">
        <v>61405</v>
      </c>
      <c r="I17" s="41">
        <v>61698</v>
      </c>
      <c r="J17" s="41">
        <v>62181</v>
      </c>
      <c r="K17" s="41">
        <v>62507</v>
      </c>
      <c r="L17" s="41">
        <v>62951</v>
      </c>
      <c r="M17" s="41">
        <v>63617</v>
      </c>
      <c r="N17" s="41">
        <v>64353</v>
      </c>
      <c r="O17" s="41">
        <v>65306</v>
      </c>
      <c r="P17" s="41">
        <v>66389</v>
      </c>
      <c r="Q17" s="41">
        <v>67507</v>
      </c>
      <c r="R17" s="41">
        <v>68554</v>
      </c>
      <c r="S17" s="41">
        <v>69514</v>
      </c>
      <c r="T17" s="41">
        <v>70478</v>
      </c>
      <c r="U17" s="41">
        <v>71412</v>
      </c>
      <c r="V17" s="41">
        <v>72314</v>
      </c>
      <c r="W17" s="41">
        <v>73185</v>
      </c>
      <c r="X17" s="41">
        <v>74108</v>
      </c>
      <c r="Y17" s="41">
        <v>75004</v>
      </c>
      <c r="Z17" s="41">
        <v>75897</v>
      </c>
      <c r="AA17" s="41">
        <v>76772</v>
      </c>
      <c r="AB17" s="41">
        <v>77636</v>
      </c>
      <c r="AC17" s="41">
        <v>78500</v>
      </c>
      <c r="AD17" s="41">
        <v>79364</v>
      </c>
      <c r="AE17" s="41">
        <v>80229</v>
      </c>
      <c r="AF17" s="41">
        <v>81064</v>
      </c>
      <c r="AG17" s="41">
        <v>81891</v>
      </c>
      <c r="AH17" s="41">
        <v>82719</v>
      </c>
      <c r="AI17" s="41">
        <v>83529</v>
      </c>
      <c r="AJ17" s="41">
        <v>84337</v>
      </c>
      <c r="AK17" s="41">
        <v>85121</v>
      </c>
      <c r="AL17" s="41">
        <v>85907</v>
      </c>
      <c r="AM17" s="41">
        <v>86674</v>
      </c>
      <c r="AN17" s="41">
        <v>87438</v>
      </c>
      <c r="AO17" s="41">
        <v>88184</v>
      </c>
      <c r="AP17" s="41">
        <v>88894</v>
      </c>
      <c r="AQ17" s="41">
        <v>89622</v>
      </c>
    </row>
    <row r="18" spans="1:43">
      <c r="A18" s="38" t="s">
        <v>150</v>
      </c>
      <c r="B18" s="38" t="s">
        <v>151</v>
      </c>
      <c r="C18" s="41">
        <v>89008</v>
      </c>
      <c r="D18" s="41">
        <v>88956</v>
      </c>
      <c r="E18" s="41">
        <v>89146</v>
      </c>
      <c r="F18" s="41">
        <v>89269</v>
      </c>
      <c r="G18" s="41">
        <v>89587</v>
      </c>
      <c r="H18" s="41">
        <v>89757</v>
      </c>
      <c r="I18" s="41">
        <v>89929</v>
      </c>
      <c r="J18" s="41">
        <v>90461</v>
      </c>
      <c r="K18" s="41">
        <v>90985</v>
      </c>
      <c r="L18" s="41">
        <v>91754</v>
      </c>
      <c r="M18" s="41">
        <v>92548</v>
      </c>
      <c r="N18" s="41">
        <v>92897</v>
      </c>
      <c r="O18" s="41">
        <v>93770</v>
      </c>
      <c r="P18" s="41">
        <v>94940</v>
      </c>
      <c r="Q18" s="41">
        <v>95875</v>
      </c>
      <c r="R18" s="41">
        <v>96850</v>
      </c>
      <c r="S18" s="41">
        <v>97760</v>
      </c>
      <c r="T18" s="41">
        <v>98702</v>
      </c>
      <c r="U18" s="41">
        <v>99671</v>
      </c>
      <c r="V18" s="41">
        <v>100599</v>
      </c>
      <c r="W18" s="41">
        <v>101524</v>
      </c>
      <c r="X18" s="41">
        <v>102610</v>
      </c>
      <c r="Y18" s="41">
        <v>103685</v>
      </c>
      <c r="Z18" s="41">
        <v>104770</v>
      </c>
      <c r="AA18" s="41">
        <v>105821</v>
      </c>
      <c r="AB18" s="41">
        <v>106892</v>
      </c>
      <c r="AC18" s="41">
        <v>107984</v>
      </c>
      <c r="AD18" s="41">
        <v>109078</v>
      </c>
      <c r="AE18" s="41">
        <v>110159</v>
      </c>
      <c r="AF18" s="41">
        <v>111225</v>
      </c>
      <c r="AG18" s="41">
        <v>112321</v>
      </c>
      <c r="AH18" s="41">
        <v>113411</v>
      </c>
      <c r="AI18" s="41">
        <v>114520</v>
      </c>
      <c r="AJ18" s="41">
        <v>115632</v>
      </c>
      <c r="AK18" s="41">
        <v>116735</v>
      </c>
      <c r="AL18" s="41">
        <v>117868</v>
      </c>
      <c r="AM18" s="41">
        <v>119001</v>
      </c>
      <c r="AN18" s="41">
        <v>120122</v>
      </c>
      <c r="AO18" s="41">
        <v>121229</v>
      </c>
      <c r="AP18" s="41">
        <v>122335</v>
      </c>
      <c r="AQ18" s="41">
        <v>123428</v>
      </c>
    </row>
    <row r="19" spans="1:43">
      <c r="A19" s="38" t="s">
        <v>152</v>
      </c>
      <c r="B19" s="38" t="s">
        <v>153</v>
      </c>
      <c r="C19" s="41">
        <v>392033</v>
      </c>
      <c r="D19" s="41">
        <v>392338</v>
      </c>
      <c r="E19" s="41">
        <v>392130</v>
      </c>
      <c r="F19" s="41">
        <v>391820</v>
      </c>
      <c r="G19" s="41">
        <v>394638</v>
      </c>
      <c r="H19" s="41">
        <v>395128</v>
      </c>
      <c r="I19" s="41">
        <v>396683</v>
      </c>
      <c r="J19" s="41">
        <v>398957</v>
      </c>
      <c r="K19" s="41">
        <v>401375</v>
      </c>
      <c r="L19" s="41">
        <v>404007</v>
      </c>
      <c r="M19" s="41">
        <v>407766</v>
      </c>
      <c r="N19" s="41">
        <v>409932</v>
      </c>
      <c r="O19" s="41">
        <v>411100</v>
      </c>
      <c r="P19" s="41">
        <v>413179</v>
      </c>
      <c r="Q19" s="41">
        <v>415593</v>
      </c>
      <c r="R19" s="41">
        <v>419522</v>
      </c>
      <c r="S19" s="41">
        <v>421915</v>
      </c>
      <c r="T19" s="41">
        <v>424306</v>
      </c>
      <c r="U19" s="41">
        <v>426570</v>
      </c>
      <c r="V19" s="41">
        <v>428785</v>
      </c>
      <c r="W19" s="41">
        <v>430906</v>
      </c>
      <c r="X19" s="41">
        <v>434165</v>
      </c>
      <c r="Y19" s="41">
        <v>437381</v>
      </c>
      <c r="Z19" s="41">
        <v>440629</v>
      </c>
      <c r="AA19" s="41">
        <v>443879</v>
      </c>
      <c r="AB19" s="41">
        <v>447175</v>
      </c>
      <c r="AC19" s="41">
        <v>450459</v>
      </c>
      <c r="AD19" s="41">
        <v>453841</v>
      </c>
      <c r="AE19" s="41">
        <v>457220</v>
      </c>
      <c r="AF19" s="41">
        <v>460533</v>
      </c>
      <c r="AG19" s="41">
        <v>463952</v>
      </c>
      <c r="AH19" s="41">
        <v>467534</v>
      </c>
      <c r="AI19" s="41">
        <v>471083</v>
      </c>
      <c r="AJ19" s="41">
        <v>474540</v>
      </c>
      <c r="AK19" s="41">
        <v>477886</v>
      </c>
      <c r="AL19" s="41">
        <v>481319</v>
      </c>
      <c r="AM19" s="41">
        <v>484791</v>
      </c>
      <c r="AN19" s="41">
        <v>488252</v>
      </c>
      <c r="AO19" s="41">
        <v>491614</v>
      </c>
      <c r="AP19" s="41">
        <v>494856</v>
      </c>
      <c r="AQ19" s="41">
        <v>498136</v>
      </c>
    </row>
    <row r="20" spans="1:43">
      <c r="A20" s="38" t="s">
        <v>155</v>
      </c>
      <c r="B20" s="38" t="s">
        <v>156</v>
      </c>
      <c r="C20" s="41">
        <v>35706</v>
      </c>
      <c r="D20" s="41">
        <v>36200</v>
      </c>
      <c r="E20" s="41">
        <v>36552</v>
      </c>
      <c r="F20" s="41">
        <v>36770</v>
      </c>
      <c r="G20" s="41">
        <v>36910</v>
      </c>
      <c r="H20" s="41">
        <v>37260</v>
      </c>
      <c r="I20" s="41">
        <v>37540</v>
      </c>
      <c r="J20" s="41">
        <v>37835</v>
      </c>
      <c r="K20" s="41">
        <v>38047</v>
      </c>
      <c r="L20" s="41">
        <v>38277</v>
      </c>
      <c r="M20" s="41">
        <v>38626</v>
      </c>
      <c r="N20" s="41">
        <v>38991</v>
      </c>
      <c r="O20" s="41">
        <v>39260</v>
      </c>
      <c r="P20" s="41">
        <v>39642</v>
      </c>
      <c r="Q20" s="41">
        <v>40067</v>
      </c>
      <c r="R20" s="41">
        <v>40622</v>
      </c>
      <c r="S20" s="41">
        <v>41025</v>
      </c>
      <c r="T20" s="41">
        <v>41441</v>
      </c>
      <c r="U20" s="41">
        <v>41840</v>
      </c>
      <c r="V20" s="41">
        <v>42235</v>
      </c>
      <c r="W20" s="41">
        <v>42605</v>
      </c>
      <c r="X20" s="41">
        <v>42965</v>
      </c>
      <c r="Y20" s="41">
        <v>43319</v>
      </c>
      <c r="Z20" s="41">
        <v>43664</v>
      </c>
      <c r="AA20" s="41">
        <v>43983</v>
      </c>
      <c r="AB20" s="41">
        <v>44305</v>
      </c>
      <c r="AC20" s="41">
        <v>44631</v>
      </c>
      <c r="AD20" s="41">
        <v>44959</v>
      </c>
      <c r="AE20" s="41">
        <v>45279</v>
      </c>
      <c r="AF20" s="41">
        <v>45586</v>
      </c>
      <c r="AG20" s="41">
        <v>45896</v>
      </c>
      <c r="AH20" s="41">
        <v>46207</v>
      </c>
      <c r="AI20" s="41">
        <v>46527</v>
      </c>
      <c r="AJ20" s="41">
        <v>46825</v>
      </c>
      <c r="AK20" s="41">
        <v>47121</v>
      </c>
      <c r="AL20" s="41">
        <v>47425</v>
      </c>
      <c r="AM20" s="41">
        <v>47723</v>
      </c>
      <c r="AN20" s="41">
        <v>48032</v>
      </c>
      <c r="AO20" s="41">
        <v>48331</v>
      </c>
      <c r="AP20" s="41">
        <v>48622</v>
      </c>
      <c r="AQ20" s="41">
        <v>48921</v>
      </c>
    </row>
    <row r="21" spans="1:43">
      <c r="A21" s="38" t="s">
        <v>157</v>
      </c>
      <c r="B21" s="38" t="s">
        <v>158</v>
      </c>
      <c r="C21" s="41">
        <v>53509</v>
      </c>
      <c r="D21" s="41">
        <v>53804</v>
      </c>
      <c r="E21" s="41">
        <v>54117</v>
      </c>
      <c r="F21" s="41">
        <v>54545</v>
      </c>
      <c r="G21" s="41">
        <v>54779</v>
      </c>
      <c r="H21" s="41">
        <v>55027</v>
      </c>
      <c r="I21" s="41">
        <v>55256</v>
      </c>
      <c r="J21" s="41">
        <v>55656</v>
      </c>
      <c r="K21" s="41">
        <v>56095</v>
      </c>
      <c r="L21" s="41">
        <v>56407</v>
      </c>
      <c r="M21" s="41">
        <v>56940</v>
      </c>
      <c r="N21" s="41">
        <v>56992</v>
      </c>
      <c r="O21" s="41">
        <v>56882</v>
      </c>
      <c r="P21" s="41">
        <v>56820</v>
      </c>
      <c r="Q21" s="41">
        <v>56899</v>
      </c>
      <c r="R21" s="41">
        <v>57073</v>
      </c>
      <c r="S21" s="41">
        <v>57140</v>
      </c>
      <c r="T21" s="41">
        <v>57186</v>
      </c>
      <c r="U21" s="41">
        <v>57222</v>
      </c>
      <c r="V21" s="41">
        <v>57243</v>
      </c>
      <c r="W21" s="41">
        <v>57242</v>
      </c>
      <c r="X21" s="41">
        <v>57421</v>
      </c>
      <c r="Y21" s="41">
        <v>57553</v>
      </c>
      <c r="Z21" s="41">
        <v>57674</v>
      </c>
      <c r="AA21" s="41">
        <v>57794</v>
      </c>
      <c r="AB21" s="41">
        <v>57899</v>
      </c>
      <c r="AC21" s="41">
        <v>58034</v>
      </c>
      <c r="AD21" s="41">
        <v>58152</v>
      </c>
      <c r="AE21" s="41">
        <v>58253</v>
      </c>
      <c r="AF21" s="41">
        <v>58362</v>
      </c>
      <c r="AG21" s="41">
        <v>58463</v>
      </c>
      <c r="AH21" s="41">
        <v>58573</v>
      </c>
      <c r="AI21" s="41">
        <v>58671</v>
      </c>
      <c r="AJ21" s="41">
        <v>58757</v>
      </c>
      <c r="AK21" s="41">
        <v>58851</v>
      </c>
      <c r="AL21" s="41">
        <v>58952</v>
      </c>
      <c r="AM21" s="41">
        <v>59034</v>
      </c>
      <c r="AN21" s="41">
        <v>59125</v>
      </c>
      <c r="AO21" s="41">
        <v>59192</v>
      </c>
      <c r="AP21" s="41">
        <v>59262</v>
      </c>
      <c r="AQ21" s="41">
        <v>59338</v>
      </c>
    </row>
    <row r="22" spans="1:43">
      <c r="A22" s="38" t="s">
        <v>159</v>
      </c>
      <c r="B22" s="38" t="s">
        <v>160</v>
      </c>
      <c r="C22" s="41">
        <v>63395</v>
      </c>
      <c r="D22" s="41">
        <v>63438</v>
      </c>
      <c r="E22" s="41">
        <v>63726</v>
      </c>
      <c r="F22" s="41">
        <v>63860</v>
      </c>
      <c r="G22" s="41">
        <v>64070</v>
      </c>
      <c r="H22" s="41">
        <v>64162</v>
      </c>
      <c r="I22" s="41">
        <v>64065</v>
      </c>
      <c r="J22" s="41">
        <v>63821</v>
      </c>
      <c r="K22" s="41">
        <v>63799</v>
      </c>
      <c r="L22" s="41">
        <v>63905</v>
      </c>
      <c r="M22" s="41">
        <v>64029</v>
      </c>
      <c r="N22" s="41">
        <v>63961</v>
      </c>
      <c r="O22" s="41">
        <v>63700</v>
      </c>
      <c r="P22" s="41">
        <v>63535</v>
      </c>
      <c r="Q22" s="41">
        <v>63205</v>
      </c>
      <c r="R22" s="41">
        <v>63230</v>
      </c>
      <c r="S22" s="41">
        <v>63117</v>
      </c>
      <c r="T22" s="41">
        <v>63021</v>
      </c>
      <c r="U22" s="41">
        <v>62943</v>
      </c>
      <c r="V22" s="41">
        <v>62852</v>
      </c>
      <c r="W22" s="41">
        <v>62785</v>
      </c>
      <c r="X22" s="41">
        <v>62719</v>
      </c>
      <c r="Y22" s="41">
        <v>62650</v>
      </c>
      <c r="Z22" s="41">
        <v>62579</v>
      </c>
      <c r="AA22" s="41">
        <v>62535</v>
      </c>
      <c r="AB22" s="41">
        <v>62486</v>
      </c>
      <c r="AC22" s="41">
        <v>62473</v>
      </c>
      <c r="AD22" s="41">
        <v>62477</v>
      </c>
      <c r="AE22" s="41">
        <v>62490</v>
      </c>
      <c r="AF22" s="41">
        <v>62513</v>
      </c>
      <c r="AG22" s="41">
        <v>62538</v>
      </c>
      <c r="AH22" s="41">
        <v>62596</v>
      </c>
      <c r="AI22" s="41">
        <v>62662</v>
      </c>
      <c r="AJ22" s="41">
        <v>62739</v>
      </c>
      <c r="AK22" s="41">
        <v>62837</v>
      </c>
      <c r="AL22" s="41">
        <v>62939</v>
      </c>
      <c r="AM22" s="41">
        <v>63039</v>
      </c>
      <c r="AN22" s="41">
        <v>63146</v>
      </c>
      <c r="AO22" s="41">
        <v>63255</v>
      </c>
      <c r="AP22" s="41">
        <v>63357</v>
      </c>
      <c r="AQ22" s="41">
        <v>63459</v>
      </c>
    </row>
    <row r="23" spans="1:43">
      <c r="A23" s="38" t="s">
        <v>161</v>
      </c>
      <c r="B23" s="38" t="s">
        <v>162</v>
      </c>
      <c r="C23" s="41">
        <v>30098</v>
      </c>
      <c r="D23" s="41">
        <v>30369</v>
      </c>
      <c r="E23" s="41">
        <v>30758</v>
      </c>
      <c r="F23" s="41">
        <v>30960</v>
      </c>
      <c r="G23" s="41">
        <v>31109</v>
      </c>
      <c r="H23" s="41">
        <v>31324</v>
      </c>
      <c r="I23" s="41">
        <v>31537</v>
      </c>
      <c r="J23" s="41">
        <v>31742</v>
      </c>
      <c r="K23" s="41">
        <v>31880</v>
      </c>
      <c r="L23" s="41">
        <v>32190</v>
      </c>
      <c r="M23" s="41">
        <v>32691</v>
      </c>
      <c r="N23" s="41">
        <v>32930</v>
      </c>
      <c r="O23" s="41">
        <v>33070</v>
      </c>
      <c r="P23" s="41">
        <v>33383</v>
      </c>
      <c r="Q23" s="41">
        <v>33776</v>
      </c>
      <c r="R23" s="41">
        <v>34058</v>
      </c>
      <c r="S23" s="41">
        <v>34319</v>
      </c>
      <c r="T23" s="41">
        <v>34579</v>
      </c>
      <c r="U23" s="41">
        <v>34856</v>
      </c>
      <c r="V23" s="41">
        <v>35125</v>
      </c>
      <c r="W23" s="41">
        <v>35372</v>
      </c>
      <c r="X23" s="41">
        <v>35610</v>
      </c>
      <c r="Y23" s="41">
        <v>35833</v>
      </c>
      <c r="Z23" s="41">
        <v>36067</v>
      </c>
      <c r="AA23" s="41">
        <v>36288</v>
      </c>
      <c r="AB23" s="41">
        <v>36507</v>
      </c>
      <c r="AC23" s="41">
        <v>36710</v>
      </c>
      <c r="AD23" s="41">
        <v>36921</v>
      </c>
      <c r="AE23" s="41">
        <v>37115</v>
      </c>
      <c r="AF23" s="41">
        <v>37302</v>
      </c>
      <c r="AG23" s="41">
        <v>37489</v>
      </c>
      <c r="AH23" s="41">
        <v>37672</v>
      </c>
      <c r="AI23" s="41">
        <v>37851</v>
      </c>
      <c r="AJ23" s="41">
        <v>38033</v>
      </c>
      <c r="AK23" s="41">
        <v>38209</v>
      </c>
      <c r="AL23" s="41">
        <v>38403</v>
      </c>
      <c r="AM23" s="41">
        <v>38588</v>
      </c>
      <c r="AN23" s="41">
        <v>38779</v>
      </c>
      <c r="AO23" s="41">
        <v>38975</v>
      </c>
      <c r="AP23" s="41">
        <v>39147</v>
      </c>
      <c r="AQ23" s="41">
        <v>39327</v>
      </c>
    </row>
    <row r="24" spans="1:43">
      <c r="A24" s="38" t="s">
        <v>163</v>
      </c>
      <c r="B24" s="38" t="s">
        <v>164</v>
      </c>
      <c r="C24" s="41">
        <v>107343</v>
      </c>
      <c r="D24" s="41">
        <v>107998</v>
      </c>
      <c r="E24" s="41">
        <v>108745</v>
      </c>
      <c r="F24" s="41">
        <v>109180</v>
      </c>
      <c r="G24" s="41">
        <v>109628</v>
      </c>
      <c r="H24" s="41">
        <v>110435</v>
      </c>
      <c r="I24" s="41">
        <v>111026</v>
      </c>
      <c r="J24" s="41">
        <v>111964</v>
      </c>
      <c r="K24" s="41">
        <v>113093</v>
      </c>
      <c r="L24" s="41">
        <v>114128</v>
      </c>
      <c r="M24" s="41">
        <v>115719</v>
      </c>
      <c r="N24" s="41">
        <v>116293</v>
      </c>
      <c r="O24" s="41">
        <v>116850</v>
      </c>
      <c r="P24" s="41">
        <v>117349</v>
      </c>
      <c r="Q24" s="41">
        <v>117821</v>
      </c>
      <c r="R24" s="41">
        <v>118493</v>
      </c>
      <c r="S24" s="41">
        <v>119083</v>
      </c>
      <c r="T24" s="41">
        <v>119730</v>
      </c>
      <c r="U24" s="41">
        <v>120343</v>
      </c>
      <c r="V24" s="41">
        <v>120873</v>
      </c>
      <c r="W24" s="41">
        <v>121350</v>
      </c>
      <c r="X24" s="41">
        <v>121858</v>
      </c>
      <c r="Y24" s="41">
        <v>122340</v>
      </c>
      <c r="Z24" s="41">
        <v>122818</v>
      </c>
      <c r="AA24" s="41">
        <v>123235</v>
      </c>
      <c r="AB24" s="41">
        <v>123660</v>
      </c>
      <c r="AC24" s="41">
        <v>124141</v>
      </c>
      <c r="AD24" s="41">
        <v>124614</v>
      </c>
      <c r="AE24" s="41">
        <v>125072</v>
      </c>
      <c r="AF24" s="41">
        <v>125517</v>
      </c>
      <c r="AG24" s="41">
        <v>125970</v>
      </c>
      <c r="AH24" s="41">
        <v>126468</v>
      </c>
      <c r="AI24" s="41">
        <v>126925</v>
      </c>
      <c r="AJ24" s="41">
        <v>127400</v>
      </c>
      <c r="AK24" s="41">
        <v>127871</v>
      </c>
      <c r="AL24" s="41">
        <v>128359</v>
      </c>
      <c r="AM24" s="41">
        <v>128838</v>
      </c>
      <c r="AN24" s="41">
        <v>129285</v>
      </c>
      <c r="AO24" s="41">
        <v>129762</v>
      </c>
      <c r="AP24" s="41">
        <v>130205</v>
      </c>
      <c r="AQ24" s="41">
        <v>130674</v>
      </c>
    </row>
    <row r="25" spans="1:43">
      <c r="A25" s="38" t="s">
        <v>165</v>
      </c>
      <c r="B25" s="38" t="s">
        <v>166</v>
      </c>
      <c r="C25" s="41">
        <v>23849</v>
      </c>
      <c r="D25" s="41">
        <v>24162</v>
      </c>
      <c r="E25" s="41">
        <v>24393</v>
      </c>
      <c r="F25" s="41">
        <v>24813</v>
      </c>
      <c r="G25" s="41">
        <v>24960</v>
      </c>
      <c r="H25" s="41">
        <v>25367</v>
      </c>
      <c r="I25" s="41">
        <v>25754</v>
      </c>
      <c r="J25" s="41">
        <v>26173</v>
      </c>
      <c r="K25" s="41">
        <v>26589</v>
      </c>
      <c r="L25" s="41">
        <v>26957</v>
      </c>
      <c r="M25" s="41">
        <v>27144</v>
      </c>
      <c r="N25" s="41">
        <v>27201</v>
      </c>
      <c r="O25" s="41">
        <v>27416</v>
      </c>
      <c r="P25" s="41">
        <v>27649</v>
      </c>
      <c r="Q25" s="41">
        <v>27774</v>
      </c>
      <c r="R25" s="41">
        <v>28040</v>
      </c>
      <c r="S25" s="41">
        <v>28177</v>
      </c>
      <c r="T25" s="41">
        <v>28318</v>
      </c>
      <c r="U25" s="41">
        <v>28451</v>
      </c>
      <c r="V25" s="41">
        <v>28565</v>
      </c>
      <c r="W25" s="41">
        <v>28680</v>
      </c>
      <c r="X25" s="41">
        <v>28847</v>
      </c>
      <c r="Y25" s="41">
        <v>29005</v>
      </c>
      <c r="Z25" s="41">
        <v>29169</v>
      </c>
      <c r="AA25" s="41">
        <v>29328</v>
      </c>
      <c r="AB25" s="41">
        <v>29483</v>
      </c>
      <c r="AC25" s="41">
        <v>29646</v>
      </c>
      <c r="AD25" s="41">
        <v>29811</v>
      </c>
      <c r="AE25" s="41">
        <v>29968</v>
      </c>
      <c r="AF25" s="41">
        <v>30117</v>
      </c>
      <c r="AG25" s="41">
        <v>30261</v>
      </c>
      <c r="AH25" s="41">
        <v>30418</v>
      </c>
      <c r="AI25" s="41">
        <v>30573</v>
      </c>
      <c r="AJ25" s="41">
        <v>30728</v>
      </c>
      <c r="AK25" s="41">
        <v>30877</v>
      </c>
      <c r="AL25" s="41">
        <v>31025</v>
      </c>
      <c r="AM25" s="41">
        <v>31158</v>
      </c>
      <c r="AN25" s="41">
        <v>31303</v>
      </c>
      <c r="AO25" s="41">
        <v>31441</v>
      </c>
      <c r="AP25" s="41">
        <v>31564</v>
      </c>
      <c r="AQ25" s="41">
        <v>31696</v>
      </c>
    </row>
    <row r="26" spans="1:43">
      <c r="A26" s="38" t="s">
        <v>167</v>
      </c>
      <c r="B26" s="38" t="s">
        <v>168</v>
      </c>
      <c r="C26" s="41">
        <v>150916</v>
      </c>
      <c r="D26" s="41">
        <v>151840</v>
      </c>
      <c r="E26" s="41">
        <v>151979</v>
      </c>
      <c r="F26" s="41">
        <v>152188</v>
      </c>
      <c r="G26" s="41">
        <v>153654</v>
      </c>
      <c r="H26" s="41">
        <v>154705</v>
      </c>
      <c r="I26" s="41">
        <v>157105</v>
      </c>
      <c r="J26" s="41">
        <v>158888</v>
      </c>
      <c r="K26" s="41">
        <v>160515</v>
      </c>
      <c r="L26" s="41">
        <v>163264</v>
      </c>
      <c r="M26" s="41">
        <v>167041</v>
      </c>
      <c r="N26" s="41">
        <v>168435</v>
      </c>
      <c r="O26" s="41">
        <v>169615</v>
      </c>
      <c r="P26" s="41">
        <v>170962</v>
      </c>
      <c r="Q26" s="41">
        <v>171802</v>
      </c>
      <c r="R26" s="41">
        <v>172842</v>
      </c>
      <c r="S26" s="41">
        <v>173998</v>
      </c>
      <c r="T26" s="41">
        <v>175123</v>
      </c>
      <c r="U26" s="41">
        <v>176175</v>
      </c>
      <c r="V26" s="41">
        <v>177203</v>
      </c>
      <c r="W26" s="41">
        <v>178200</v>
      </c>
      <c r="X26" s="41">
        <v>179441</v>
      </c>
      <c r="Y26" s="41">
        <v>180652</v>
      </c>
      <c r="Z26" s="41">
        <v>181934</v>
      </c>
      <c r="AA26" s="41">
        <v>183215</v>
      </c>
      <c r="AB26" s="41">
        <v>184520</v>
      </c>
      <c r="AC26" s="41">
        <v>185947</v>
      </c>
      <c r="AD26" s="41">
        <v>187345</v>
      </c>
      <c r="AE26" s="41">
        <v>188657</v>
      </c>
      <c r="AF26" s="41">
        <v>189941</v>
      </c>
      <c r="AG26" s="41">
        <v>191243</v>
      </c>
      <c r="AH26" s="41">
        <v>192548</v>
      </c>
      <c r="AI26" s="41">
        <v>193761</v>
      </c>
      <c r="AJ26" s="41">
        <v>194959</v>
      </c>
      <c r="AK26" s="41">
        <v>196082</v>
      </c>
      <c r="AL26" s="41">
        <v>197217</v>
      </c>
      <c r="AM26" s="41">
        <v>198348</v>
      </c>
      <c r="AN26" s="41">
        <v>199461</v>
      </c>
      <c r="AO26" s="41">
        <v>200550</v>
      </c>
      <c r="AP26" s="41">
        <v>201597</v>
      </c>
      <c r="AQ26" s="41">
        <v>202689</v>
      </c>
    </row>
    <row r="27" spans="1:43">
      <c r="A27" s="38" t="s">
        <v>169</v>
      </c>
      <c r="B27" s="38" t="s">
        <v>170</v>
      </c>
      <c r="C27" s="41">
        <v>42935</v>
      </c>
      <c r="D27" s="41">
        <v>43061</v>
      </c>
      <c r="E27" s="41">
        <v>43146</v>
      </c>
      <c r="F27" s="41">
        <v>43035</v>
      </c>
      <c r="G27" s="41">
        <v>43294</v>
      </c>
      <c r="H27" s="41">
        <v>43673</v>
      </c>
      <c r="I27" s="41">
        <v>44037</v>
      </c>
      <c r="J27" s="41">
        <v>44498</v>
      </c>
      <c r="K27" s="41">
        <v>44734</v>
      </c>
      <c r="L27" s="41">
        <v>45123</v>
      </c>
      <c r="M27" s="41">
        <v>45703</v>
      </c>
      <c r="N27" s="41">
        <v>46336</v>
      </c>
      <c r="O27" s="41">
        <v>46935</v>
      </c>
      <c r="P27" s="41">
        <v>47577</v>
      </c>
      <c r="Q27" s="41">
        <v>48019</v>
      </c>
      <c r="R27" s="41">
        <v>48377</v>
      </c>
      <c r="S27" s="41">
        <v>48814</v>
      </c>
      <c r="T27" s="41">
        <v>49252</v>
      </c>
      <c r="U27" s="41">
        <v>49665</v>
      </c>
      <c r="V27" s="41">
        <v>50065</v>
      </c>
      <c r="W27" s="41">
        <v>50458</v>
      </c>
      <c r="X27" s="41">
        <v>50869</v>
      </c>
      <c r="Y27" s="41">
        <v>51265</v>
      </c>
      <c r="Z27" s="41">
        <v>51652</v>
      </c>
      <c r="AA27" s="41">
        <v>52023</v>
      </c>
      <c r="AB27" s="41">
        <v>52394</v>
      </c>
      <c r="AC27" s="41">
        <v>52759</v>
      </c>
      <c r="AD27" s="41">
        <v>53104</v>
      </c>
      <c r="AE27" s="41">
        <v>53449</v>
      </c>
      <c r="AF27" s="41">
        <v>53775</v>
      </c>
      <c r="AG27" s="41">
        <v>54117</v>
      </c>
      <c r="AH27" s="41">
        <v>54443</v>
      </c>
      <c r="AI27" s="41">
        <v>54767</v>
      </c>
      <c r="AJ27" s="41">
        <v>55077</v>
      </c>
      <c r="AK27" s="41">
        <v>55386</v>
      </c>
      <c r="AL27" s="41">
        <v>55685</v>
      </c>
      <c r="AM27" s="41">
        <v>55992</v>
      </c>
      <c r="AN27" s="41">
        <v>56278</v>
      </c>
      <c r="AO27" s="41">
        <v>56558</v>
      </c>
      <c r="AP27" s="41">
        <v>56837</v>
      </c>
      <c r="AQ27" s="41">
        <v>57117</v>
      </c>
    </row>
    <row r="28" spans="1:43">
      <c r="A28" s="38" t="s">
        <v>171</v>
      </c>
      <c r="B28" s="38" t="s">
        <v>172</v>
      </c>
      <c r="C28" s="41">
        <v>180733</v>
      </c>
      <c r="D28" s="41">
        <v>181963</v>
      </c>
      <c r="E28" s="41">
        <v>183010</v>
      </c>
      <c r="F28" s="41">
        <v>184760</v>
      </c>
      <c r="G28" s="41">
        <v>186935</v>
      </c>
      <c r="H28" s="41">
        <v>188130</v>
      </c>
      <c r="I28" s="41">
        <v>189754</v>
      </c>
      <c r="J28" s="41">
        <v>191497</v>
      </c>
      <c r="K28" s="41">
        <v>193087</v>
      </c>
      <c r="L28" s="41">
        <v>194939</v>
      </c>
      <c r="M28" s="41">
        <v>197776</v>
      </c>
      <c r="N28" s="41">
        <v>198256</v>
      </c>
      <c r="O28" s="41">
        <v>198647</v>
      </c>
      <c r="P28" s="41">
        <v>199288</v>
      </c>
      <c r="Q28" s="41">
        <v>200062</v>
      </c>
      <c r="R28" s="41">
        <v>200923</v>
      </c>
      <c r="S28" s="41">
        <v>201444</v>
      </c>
      <c r="T28" s="41">
        <v>202047</v>
      </c>
      <c r="U28" s="41">
        <v>202681</v>
      </c>
      <c r="V28" s="41">
        <v>203243</v>
      </c>
      <c r="W28" s="41">
        <v>203701</v>
      </c>
      <c r="X28" s="41">
        <v>204553</v>
      </c>
      <c r="Y28" s="41">
        <v>205410</v>
      </c>
      <c r="Z28" s="41">
        <v>206273</v>
      </c>
      <c r="AA28" s="41">
        <v>207082</v>
      </c>
      <c r="AB28" s="41">
        <v>207923</v>
      </c>
      <c r="AC28" s="41">
        <v>208826</v>
      </c>
      <c r="AD28" s="41">
        <v>209763</v>
      </c>
      <c r="AE28" s="41">
        <v>210655</v>
      </c>
      <c r="AF28" s="41">
        <v>211518</v>
      </c>
      <c r="AG28" s="41">
        <v>212385</v>
      </c>
      <c r="AH28" s="41">
        <v>213263</v>
      </c>
      <c r="AI28" s="41">
        <v>214145</v>
      </c>
      <c r="AJ28" s="41">
        <v>214967</v>
      </c>
      <c r="AK28" s="41">
        <v>215759</v>
      </c>
      <c r="AL28" s="41">
        <v>216532</v>
      </c>
      <c r="AM28" s="41">
        <v>217230</v>
      </c>
      <c r="AN28" s="41">
        <v>217948</v>
      </c>
      <c r="AO28" s="41">
        <v>218613</v>
      </c>
      <c r="AP28" s="41">
        <v>219265</v>
      </c>
      <c r="AQ28" s="41">
        <v>219928</v>
      </c>
    </row>
    <row r="29" spans="1:43">
      <c r="A29" s="38" t="s">
        <v>173</v>
      </c>
      <c r="B29" s="38" t="s">
        <v>174</v>
      </c>
      <c r="C29" s="41">
        <v>54046</v>
      </c>
      <c r="D29" s="41">
        <v>54913</v>
      </c>
      <c r="E29" s="41">
        <v>55560</v>
      </c>
      <c r="F29" s="41">
        <v>56327</v>
      </c>
      <c r="G29" s="41">
        <v>57054</v>
      </c>
      <c r="H29" s="41">
        <v>57806</v>
      </c>
      <c r="I29" s="41">
        <v>58406</v>
      </c>
      <c r="J29" s="41">
        <v>59095</v>
      </c>
      <c r="K29" s="41">
        <v>59562</v>
      </c>
      <c r="L29" s="41">
        <v>60244</v>
      </c>
      <c r="M29" s="41">
        <v>60916</v>
      </c>
      <c r="N29" s="41">
        <v>61472</v>
      </c>
      <c r="O29" s="41">
        <v>61949</v>
      </c>
      <c r="P29" s="41">
        <v>62483</v>
      </c>
      <c r="Q29" s="41">
        <v>62926</v>
      </c>
      <c r="R29" s="41">
        <v>63352</v>
      </c>
      <c r="S29" s="41">
        <v>63891</v>
      </c>
      <c r="T29" s="41">
        <v>64402</v>
      </c>
      <c r="U29" s="41">
        <v>64907</v>
      </c>
      <c r="V29" s="41">
        <v>65378</v>
      </c>
      <c r="W29" s="41">
        <v>65868</v>
      </c>
      <c r="X29" s="41">
        <v>66412</v>
      </c>
      <c r="Y29" s="41">
        <v>66936</v>
      </c>
      <c r="Z29" s="41">
        <v>67477</v>
      </c>
      <c r="AA29" s="41">
        <v>67970</v>
      </c>
      <c r="AB29" s="41">
        <v>68471</v>
      </c>
      <c r="AC29" s="41">
        <v>68984</v>
      </c>
      <c r="AD29" s="41">
        <v>69472</v>
      </c>
      <c r="AE29" s="41">
        <v>69949</v>
      </c>
      <c r="AF29" s="41">
        <v>70414</v>
      </c>
      <c r="AG29" s="41">
        <v>70894</v>
      </c>
      <c r="AH29" s="41">
        <v>71358</v>
      </c>
      <c r="AI29" s="41">
        <v>71825</v>
      </c>
      <c r="AJ29" s="41">
        <v>72276</v>
      </c>
      <c r="AK29" s="41">
        <v>72718</v>
      </c>
      <c r="AL29" s="41">
        <v>73188</v>
      </c>
      <c r="AM29" s="41">
        <v>73628</v>
      </c>
      <c r="AN29" s="41">
        <v>74064</v>
      </c>
      <c r="AO29" s="41">
        <v>74491</v>
      </c>
      <c r="AP29" s="41">
        <v>74921</v>
      </c>
      <c r="AQ29" s="41">
        <v>75363</v>
      </c>
    </row>
    <row r="30" spans="1:43">
      <c r="A30" s="38" t="s">
        <v>175</v>
      </c>
      <c r="B30" s="38" t="s">
        <v>176</v>
      </c>
      <c r="C30" s="41">
        <v>50494</v>
      </c>
      <c r="D30" s="41">
        <v>50799</v>
      </c>
      <c r="E30" s="41">
        <v>51294</v>
      </c>
      <c r="F30" s="41">
        <v>51623</v>
      </c>
      <c r="G30" s="41">
        <v>52207</v>
      </c>
      <c r="H30" s="41">
        <v>52699</v>
      </c>
      <c r="I30" s="41">
        <v>53171</v>
      </c>
      <c r="J30" s="41">
        <v>53701</v>
      </c>
      <c r="K30" s="41">
        <v>53922</v>
      </c>
      <c r="L30" s="41">
        <v>54092</v>
      </c>
      <c r="M30" s="41">
        <v>54522</v>
      </c>
      <c r="N30" s="41">
        <v>54962</v>
      </c>
      <c r="O30" s="41">
        <v>55473</v>
      </c>
      <c r="P30" s="41">
        <v>56078</v>
      </c>
      <c r="Q30" s="41">
        <v>56797</v>
      </c>
      <c r="R30" s="41">
        <v>57466</v>
      </c>
      <c r="S30" s="41">
        <v>58039</v>
      </c>
      <c r="T30" s="41">
        <v>58639</v>
      </c>
      <c r="U30" s="41">
        <v>59194</v>
      </c>
      <c r="V30" s="41">
        <v>59740</v>
      </c>
      <c r="W30" s="41">
        <v>60258</v>
      </c>
      <c r="X30" s="41">
        <v>60884</v>
      </c>
      <c r="Y30" s="41">
        <v>61503</v>
      </c>
      <c r="Z30" s="41">
        <v>62110</v>
      </c>
      <c r="AA30" s="41">
        <v>62685</v>
      </c>
      <c r="AB30" s="41">
        <v>63261</v>
      </c>
      <c r="AC30" s="41">
        <v>63856</v>
      </c>
      <c r="AD30" s="41">
        <v>64427</v>
      </c>
      <c r="AE30" s="41">
        <v>64984</v>
      </c>
      <c r="AF30" s="41">
        <v>65506</v>
      </c>
      <c r="AG30" s="41">
        <v>66037</v>
      </c>
      <c r="AH30" s="41">
        <v>66562</v>
      </c>
      <c r="AI30" s="41">
        <v>67081</v>
      </c>
      <c r="AJ30" s="41">
        <v>67587</v>
      </c>
      <c r="AK30" s="41">
        <v>68081</v>
      </c>
      <c r="AL30" s="41">
        <v>68590</v>
      </c>
      <c r="AM30" s="41">
        <v>69071</v>
      </c>
      <c r="AN30" s="41">
        <v>69546</v>
      </c>
      <c r="AO30" s="41">
        <v>70025</v>
      </c>
      <c r="AP30" s="41">
        <v>70503</v>
      </c>
      <c r="AQ30" s="41">
        <v>70979</v>
      </c>
    </row>
    <row r="31" spans="1:43">
      <c r="A31" s="38" t="s">
        <v>177</v>
      </c>
      <c r="B31" s="38" t="s">
        <v>178</v>
      </c>
      <c r="C31" s="41">
        <v>102076</v>
      </c>
      <c r="D31" s="41">
        <v>101619</v>
      </c>
      <c r="E31" s="41">
        <v>100435</v>
      </c>
      <c r="F31" s="41">
        <v>99769</v>
      </c>
      <c r="G31" s="41">
        <v>100010</v>
      </c>
      <c r="H31" s="41">
        <v>101019</v>
      </c>
      <c r="I31" s="41">
        <v>102387</v>
      </c>
      <c r="J31" s="41">
        <v>104263</v>
      </c>
      <c r="K31" s="41">
        <v>106259</v>
      </c>
      <c r="L31" s="41">
        <v>108013</v>
      </c>
      <c r="M31" s="41">
        <v>110100</v>
      </c>
      <c r="N31" s="41">
        <v>110882</v>
      </c>
      <c r="O31" s="41">
        <v>111838</v>
      </c>
      <c r="P31" s="41">
        <v>112839</v>
      </c>
      <c r="Q31" s="41">
        <v>113785</v>
      </c>
      <c r="R31" s="41">
        <v>114539</v>
      </c>
      <c r="S31" s="41">
        <v>115162</v>
      </c>
      <c r="T31" s="41">
        <v>115747</v>
      </c>
      <c r="U31" s="41">
        <v>116284</v>
      </c>
      <c r="V31" s="41">
        <v>116769</v>
      </c>
      <c r="W31" s="41">
        <v>117185</v>
      </c>
      <c r="X31" s="41">
        <v>118196</v>
      </c>
      <c r="Y31" s="41">
        <v>119130</v>
      </c>
      <c r="Z31" s="41">
        <v>120047</v>
      </c>
      <c r="AA31" s="41">
        <v>120958</v>
      </c>
      <c r="AB31" s="41">
        <v>121886</v>
      </c>
      <c r="AC31" s="41">
        <v>122758</v>
      </c>
      <c r="AD31" s="41">
        <v>123652</v>
      </c>
      <c r="AE31" s="41">
        <v>124517</v>
      </c>
      <c r="AF31" s="41">
        <v>125395</v>
      </c>
      <c r="AG31" s="41">
        <v>126269</v>
      </c>
      <c r="AH31" s="41">
        <v>127136</v>
      </c>
      <c r="AI31" s="41">
        <v>128000</v>
      </c>
      <c r="AJ31" s="41">
        <v>128843</v>
      </c>
      <c r="AK31" s="41">
        <v>129681</v>
      </c>
      <c r="AL31" s="41">
        <v>130527</v>
      </c>
      <c r="AM31" s="41">
        <v>131349</v>
      </c>
      <c r="AN31" s="41">
        <v>132154</v>
      </c>
      <c r="AO31" s="41">
        <v>132932</v>
      </c>
      <c r="AP31" s="41">
        <v>133672</v>
      </c>
      <c r="AQ31" s="41">
        <v>134396</v>
      </c>
    </row>
    <row r="32" spans="1:43">
      <c r="A32" s="38" t="s">
        <v>179</v>
      </c>
      <c r="B32" s="38" t="s">
        <v>180</v>
      </c>
      <c r="C32" s="41">
        <v>28588</v>
      </c>
      <c r="D32" s="41">
        <v>28620</v>
      </c>
      <c r="E32" s="41">
        <v>28793</v>
      </c>
      <c r="F32" s="41">
        <v>28966</v>
      </c>
      <c r="G32" s="41">
        <v>29174</v>
      </c>
      <c r="H32" s="41">
        <v>29315</v>
      </c>
      <c r="I32" s="41">
        <v>29330</v>
      </c>
      <c r="J32" s="41">
        <v>29549</v>
      </c>
      <c r="K32" s="41">
        <v>29855</v>
      </c>
      <c r="L32" s="41">
        <v>30161</v>
      </c>
      <c r="M32" s="41">
        <v>30661</v>
      </c>
      <c r="N32" s="41">
        <v>30800</v>
      </c>
      <c r="O32" s="41">
        <v>31047</v>
      </c>
      <c r="P32" s="41">
        <v>31410</v>
      </c>
      <c r="Q32" s="41">
        <v>31584</v>
      </c>
      <c r="R32" s="41">
        <v>31677</v>
      </c>
      <c r="S32" s="41">
        <v>31893</v>
      </c>
      <c r="T32" s="41">
        <v>32117</v>
      </c>
      <c r="U32" s="41">
        <v>32336</v>
      </c>
      <c r="V32" s="41">
        <v>32547</v>
      </c>
      <c r="W32" s="41">
        <v>32740</v>
      </c>
      <c r="X32" s="41">
        <v>32992</v>
      </c>
      <c r="Y32" s="41">
        <v>33246</v>
      </c>
      <c r="Z32" s="41">
        <v>33510</v>
      </c>
      <c r="AA32" s="41">
        <v>33774</v>
      </c>
      <c r="AB32" s="41">
        <v>34033</v>
      </c>
      <c r="AC32" s="41">
        <v>34300</v>
      </c>
      <c r="AD32" s="41">
        <v>34567</v>
      </c>
      <c r="AE32" s="41">
        <v>34839</v>
      </c>
      <c r="AF32" s="41">
        <v>35107</v>
      </c>
      <c r="AG32" s="41">
        <v>35383</v>
      </c>
      <c r="AH32" s="41">
        <v>35663</v>
      </c>
      <c r="AI32" s="41">
        <v>35945</v>
      </c>
      <c r="AJ32" s="41">
        <v>36231</v>
      </c>
      <c r="AK32" s="41">
        <v>36516</v>
      </c>
      <c r="AL32" s="41">
        <v>36802</v>
      </c>
      <c r="AM32" s="41">
        <v>37101</v>
      </c>
      <c r="AN32" s="41">
        <v>37396</v>
      </c>
      <c r="AO32" s="41">
        <v>37695</v>
      </c>
      <c r="AP32" s="41">
        <v>37993</v>
      </c>
      <c r="AQ32" s="41">
        <v>38292</v>
      </c>
    </row>
    <row r="33" spans="1:43">
      <c r="A33" s="38" t="s">
        <v>181</v>
      </c>
      <c r="B33" s="38" t="s">
        <v>182</v>
      </c>
      <c r="C33" s="41">
        <v>114402</v>
      </c>
      <c r="D33" s="41">
        <v>113885</v>
      </c>
      <c r="E33" s="41">
        <v>113318</v>
      </c>
      <c r="F33" s="41">
        <v>112688</v>
      </c>
      <c r="G33" s="41">
        <v>113417</v>
      </c>
      <c r="H33" s="41">
        <v>113906</v>
      </c>
      <c r="I33" s="41">
        <v>114467</v>
      </c>
      <c r="J33" s="41">
        <v>115642</v>
      </c>
      <c r="K33" s="41">
        <v>116884</v>
      </c>
      <c r="L33" s="41">
        <v>118367</v>
      </c>
      <c r="M33" s="41">
        <v>120408</v>
      </c>
      <c r="N33" s="41">
        <v>121262</v>
      </c>
      <c r="O33" s="41">
        <v>121945</v>
      </c>
      <c r="P33" s="41">
        <v>122953</v>
      </c>
      <c r="Q33" s="41">
        <v>124126</v>
      </c>
      <c r="R33" s="41">
        <v>125128</v>
      </c>
      <c r="S33" s="41">
        <v>126023</v>
      </c>
      <c r="T33" s="41">
        <v>126838</v>
      </c>
      <c r="U33" s="41">
        <v>127583</v>
      </c>
      <c r="V33" s="41">
        <v>128265</v>
      </c>
      <c r="W33" s="41">
        <v>128971</v>
      </c>
      <c r="X33" s="41">
        <v>129890</v>
      </c>
      <c r="Y33" s="41">
        <v>130757</v>
      </c>
      <c r="Z33" s="41">
        <v>131670</v>
      </c>
      <c r="AA33" s="41">
        <v>132559</v>
      </c>
      <c r="AB33" s="41">
        <v>133528</v>
      </c>
      <c r="AC33" s="41">
        <v>134470</v>
      </c>
      <c r="AD33" s="41">
        <v>135431</v>
      </c>
      <c r="AE33" s="41">
        <v>136360</v>
      </c>
      <c r="AF33" s="41">
        <v>137289</v>
      </c>
      <c r="AG33" s="41">
        <v>138246</v>
      </c>
      <c r="AH33" s="41">
        <v>139216</v>
      </c>
      <c r="AI33" s="41">
        <v>140141</v>
      </c>
      <c r="AJ33" s="41">
        <v>141038</v>
      </c>
      <c r="AK33" s="41">
        <v>141949</v>
      </c>
      <c r="AL33" s="41">
        <v>142855</v>
      </c>
      <c r="AM33" s="41">
        <v>143749</v>
      </c>
      <c r="AN33" s="41">
        <v>144622</v>
      </c>
      <c r="AO33" s="41">
        <v>145469</v>
      </c>
      <c r="AP33" s="41">
        <v>146309</v>
      </c>
      <c r="AQ33" s="41">
        <v>147154</v>
      </c>
    </row>
    <row r="34" spans="1:43">
      <c r="A34" s="38" t="s">
        <v>183</v>
      </c>
      <c r="B34" s="38" t="s">
        <v>184</v>
      </c>
      <c r="C34" s="41">
        <v>165122</v>
      </c>
      <c r="D34" s="41">
        <v>165438</v>
      </c>
      <c r="E34" s="41">
        <v>166126</v>
      </c>
      <c r="F34" s="41">
        <v>167596</v>
      </c>
      <c r="G34" s="41">
        <v>171540</v>
      </c>
      <c r="H34" s="41">
        <v>173036</v>
      </c>
      <c r="I34" s="41">
        <v>174624</v>
      </c>
      <c r="J34" s="41">
        <v>175568</v>
      </c>
      <c r="K34" s="41">
        <v>176974</v>
      </c>
      <c r="L34" s="41">
        <v>178465</v>
      </c>
      <c r="M34" s="41">
        <v>180938</v>
      </c>
      <c r="N34" s="41">
        <v>182253</v>
      </c>
      <c r="O34" s="41">
        <v>184111</v>
      </c>
      <c r="P34" s="41">
        <v>185914</v>
      </c>
      <c r="Q34" s="41">
        <v>188208</v>
      </c>
      <c r="R34" s="41">
        <v>190110</v>
      </c>
      <c r="S34" s="41">
        <v>191756</v>
      </c>
      <c r="T34" s="41">
        <v>193502</v>
      </c>
      <c r="U34" s="41">
        <v>195197</v>
      </c>
      <c r="V34" s="41">
        <v>196895</v>
      </c>
      <c r="W34" s="41">
        <v>198423</v>
      </c>
      <c r="X34" s="41">
        <v>199960</v>
      </c>
      <c r="Y34" s="41">
        <v>201545</v>
      </c>
      <c r="Z34" s="41">
        <v>203158</v>
      </c>
      <c r="AA34" s="41">
        <v>204735</v>
      </c>
      <c r="AB34" s="41">
        <v>206302</v>
      </c>
      <c r="AC34" s="41">
        <v>207875</v>
      </c>
      <c r="AD34" s="41">
        <v>209523</v>
      </c>
      <c r="AE34" s="41">
        <v>211134</v>
      </c>
      <c r="AF34" s="41">
        <v>212741</v>
      </c>
      <c r="AG34" s="41">
        <v>214368</v>
      </c>
      <c r="AH34" s="41">
        <v>216075</v>
      </c>
      <c r="AI34" s="41">
        <v>217773</v>
      </c>
      <c r="AJ34" s="41">
        <v>219421</v>
      </c>
      <c r="AK34" s="41">
        <v>221087</v>
      </c>
      <c r="AL34" s="41">
        <v>222776</v>
      </c>
      <c r="AM34" s="41">
        <v>224488</v>
      </c>
      <c r="AN34" s="41">
        <v>226186</v>
      </c>
      <c r="AO34" s="41">
        <v>227815</v>
      </c>
      <c r="AP34" s="41">
        <v>229416</v>
      </c>
      <c r="AQ34" s="41">
        <v>231033</v>
      </c>
    </row>
    <row r="35" spans="1:43">
      <c r="A35" s="38" t="s">
        <v>185</v>
      </c>
      <c r="B35" s="38" t="s">
        <v>186</v>
      </c>
      <c r="C35" s="41">
        <v>49875</v>
      </c>
      <c r="D35" s="41">
        <v>50200</v>
      </c>
      <c r="E35" s="41">
        <v>50621</v>
      </c>
      <c r="F35" s="41">
        <v>50958</v>
      </c>
      <c r="G35" s="41">
        <v>51318</v>
      </c>
      <c r="H35" s="41">
        <v>51687</v>
      </c>
      <c r="I35" s="41">
        <v>52019</v>
      </c>
      <c r="J35" s="41">
        <v>52228</v>
      </c>
      <c r="K35" s="41">
        <v>52464</v>
      </c>
      <c r="L35" s="41">
        <v>52763</v>
      </c>
      <c r="M35" s="41">
        <v>53345</v>
      </c>
      <c r="N35" s="41">
        <v>53643</v>
      </c>
      <c r="O35" s="41">
        <v>53784</v>
      </c>
      <c r="P35" s="41">
        <v>54123</v>
      </c>
      <c r="Q35" s="41">
        <v>54412</v>
      </c>
      <c r="R35" s="41">
        <v>54683</v>
      </c>
      <c r="S35" s="41">
        <v>54987</v>
      </c>
      <c r="T35" s="41">
        <v>55275</v>
      </c>
      <c r="U35" s="41">
        <v>55575</v>
      </c>
      <c r="V35" s="41">
        <v>55860</v>
      </c>
      <c r="W35" s="41">
        <v>56113</v>
      </c>
      <c r="X35" s="41">
        <v>56476</v>
      </c>
      <c r="Y35" s="41">
        <v>56832</v>
      </c>
      <c r="Z35" s="41">
        <v>57192</v>
      </c>
      <c r="AA35" s="41">
        <v>57539</v>
      </c>
      <c r="AB35" s="41">
        <v>57880</v>
      </c>
      <c r="AC35" s="41">
        <v>58251</v>
      </c>
      <c r="AD35" s="41">
        <v>58597</v>
      </c>
      <c r="AE35" s="41">
        <v>58925</v>
      </c>
      <c r="AF35" s="41">
        <v>59257</v>
      </c>
      <c r="AG35" s="41">
        <v>59580</v>
      </c>
      <c r="AH35" s="41">
        <v>59906</v>
      </c>
      <c r="AI35" s="41">
        <v>60215</v>
      </c>
      <c r="AJ35" s="41">
        <v>60515</v>
      </c>
      <c r="AK35" s="41">
        <v>60811</v>
      </c>
      <c r="AL35" s="41">
        <v>61113</v>
      </c>
      <c r="AM35" s="41">
        <v>61395</v>
      </c>
      <c r="AN35" s="41">
        <v>61682</v>
      </c>
      <c r="AO35" s="41">
        <v>61967</v>
      </c>
      <c r="AP35" s="41">
        <v>62260</v>
      </c>
      <c r="AQ35" s="41">
        <v>62561</v>
      </c>
    </row>
    <row r="36" spans="1:43">
      <c r="A36" s="38" t="s">
        <v>187</v>
      </c>
      <c r="B36" s="38" t="s">
        <v>188</v>
      </c>
      <c r="C36" s="41">
        <v>125012</v>
      </c>
      <c r="D36" s="41">
        <v>125259</v>
      </c>
      <c r="E36" s="41">
        <v>125455</v>
      </c>
      <c r="F36" s="41">
        <v>125439</v>
      </c>
      <c r="G36" s="41">
        <v>126179</v>
      </c>
      <c r="H36" s="41">
        <v>126634</v>
      </c>
      <c r="I36" s="41">
        <v>126948</v>
      </c>
      <c r="J36" s="41">
        <v>127780</v>
      </c>
      <c r="K36" s="41">
        <v>128518</v>
      </c>
      <c r="L36" s="41">
        <v>129244</v>
      </c>
      <c r="M36" s="41">
        <v>130507</v>
      </c>
      <c r="N36" s="41">
        <v>131687</v>
      </c>
      <c r="O36" s="41">
        <v>133351</v>
      </c>
      <c r="P36" s="41">
        <v>134733</v>
      </c>
      <c r="Q36" s="41">
        <v>135935</v>
      </c>
      <c r="R36" s="41">
        <v>137026</v>
      </c>
      <c r="S36" s="41">
        <v>138487</v>
      </c>
      <c r="T36" s="41">
        <v>139984</v>
      </c>
      <c r="U36" s="41">
        <v>141478</v>
      </c>
      <c r="V36" s="41">
        <v>142933</v>
      </c>
      <c r="W36" s="41">
        <v>144383</v>
      </c>
      <c r="X36" s="41">
        <v>145982</v>
      </c>
      <c r="Y36" s="41">
        <v>147548</v>
      </c>
      <c r="Z36" s="41">
        <v>149102</v>
      </c>
      <c r="AA36" s="41">
        <v>150606</v>
      </c>
      <c r="AB36" s="41">
        <v>152123</v>
      </c>
      <c r="AC36" s="41">
        <v>153666</v>
      </c>
      <c r="AD36" s="41">
        <v>155161</v>
      </c>
      <c r="AE36" s="41">
        <v>156619</v>
      </c>
      <c r="AF36" s="41">
        <v>158049</v>
      </c>
      <c r="AG36" s="41">
        <v>159490</v>
      </c>
      <c r="AH36" s="41">
        <v>160910</v>
      </c>
      <c r="AI36" s="41">
        <v>162309</v>
      </c>
      <c r="AJ36" s="41">
        <v>163685</v>
      </c>
      <c r="AK36" s="41">
        <v>165060</v>
      </c>
      <c r="AL36" s="41">
        <v>166434</v>
      </c>
      <c r="AM36" s="41">
        <v>167795</v>
      </c>
      <c r="AN36" s="41">
        <v>169146</v>
      </c>
      <c r="AO36" s="41">
        <v>170492</v>
      </c>
      <c r="AP36" s="41">
        <v>171840</v>
      </c>
      <c r="AQ36" s="41">
        <v>173199</v>
      </c>
    </row>
    <row r="37" spans="1:43">
      <c r="A37" s="38" t="s">
        <v>189</v>
      </c>
      <c r="B37" s="38" t="s">
        <v>190</v>
      </c>
      <c r="C37" s="41">
        <v>35035</v>
      </c>
      <c r="D37" s="41">
        <v>35529</v>
      </c>
      <c r="E37" s="41">
        <v>35972</v>
      </c>
      <c r="F37" s="41">
        <v>36296</v>
      </c>
      <c r="G37" s="41">
        <v>36609</v>
      </c>
      <c r="H37" s="41">
        <v>36962</v>
      </c>
      <c r="I37" s="41">
        <v>37418</v>
      </c>
      <c r="J37" s="41">
        <v>37713</v>
      </c>
      <c r="K37" s="41">
        <v>37927</v>
      </c>
      <c r="L37" s="41">
        <v>38158</v>
      </c>
      <c r="M37" s="41">
        <v>38247</v>
      </c>
      <c r="N37" s="41">
        <v>38545</v>
      </c>
      <c r="O37" s="41">
        <v>38737</v>
      </c>
      <c r="P37" s="41">
        <v>39078</v>
      </c>
      <c r="Q37" s="41">
        <v>39276</v>
      </c>
      <c r="R37" s="41">
        <v>39750</v>
      </c>
      <c r="S37" s="41">
        <v>40064</v>
      </c>
      <c r="T37" s="41">
        <v>40376</v>
      </c>
      <c r="U37" s="41">
        <v>40689</v>
      </c>
      <c r="V37" s="41">
        <v>40994</v>
      </c>
      <c r="W37" s="41">
        <v>41285</v>
      </c>
      <c r="X37" s="41">
        <v>41592</v>
      </c>
      <c r="Y37" s="41">
        <v>41887</v>
      </c>
      <c r="Z37" s="41">
        <v>42197</v>
      </c>
      <c r="AA37" s="41">
        <v>42491</v>
      </c>
      <c r="AB37" s="41">
        <v>42774</v>
      </c>
      <c r="AC37" s="41">
        <v>43067</v>
      </c>
      <c r="AD37" s="41">
        <v>43348</v>
      </c>
      <c r="AE37" s="41">
        <v>43628</v>
      </c>
      <c r="AF37" s="41">
        <v>43917</v>
      </c>
      <c r="AG37" s="41">
        <v>44197</v>
      </c>
      <c r="AH37" s="41">
        <v>44475</v>
      </c>
      <c r="AI37" s="41">
        <v>44745</v>
      </c>
      <c r="AJ37" s="41">
        <v>45013</v>
      </c>
      <c r="AK37" s="41">
        <v>45287</v>
      </c>
      <c r="AL37" s="41">
        <v>45559</v>
      </c>
      <c r="AM37" s="41">
        <v>45834</v>
      </c>
      <c r="AN37" s="41">
        <v>46096</v>
      </c>
      <c r="AO37" s="41">
        <v>46350</v>
      </c>
      <c r="AP37" s="41">
        <v>46613</v>
      </c>
      <c r="AQ37" s="41">
        <v>46881</v>
      </c>
    </row>
    <row r="38" spans="1:43">
      <c r="A38" s="38" t="s">
        <v>191</v>
      </c>
      <c r="B38" s="38" t="s">
        <v>192</v>
      </c>
      <c r="C38" s="41">
        <v>34768</v>
      </c>
      <c r="D38" s="41">
        <v>34973</v>
      </c>
      <c r="E38" s="41">
        <v>35027</v>
      </c>
      <c r="F38" s="41">
        <v>35061</v>
      </c>
      <c r="G38" s="41">
        <v>35457</v>
      </c>
      <c r="H38" s="41">
        <v>35773</v>
      </c>
      <c r="I38" s="41">
        <v>36168</v>
      </c>
      <c r="J38" s="41">
        <v>36480</v>
      </c>
      <c r="K38" s="41">
        <v>36846</v>
      </c>
      <c r="L38" s="41">
        <v>37214</v>
      </c>
      <c r="M38" s="41">
        <v>37556</v>
      </c>
      <c r="N38" s="41">
        <v>37963</v>
      </c>
      <c r="O38" s="41">
        <v>38223</v>
      </c>
      <c r="P38" s="41">
        <v>38620</v>
      </c>
      <c r="Q38" s="41">
        <v>38851</v>
      </c>
      <c r="R38" s="41">
        <v>39077</v>
      </c>
      <c r="S38" s="41">
        <v>39381</v>
      </c>
      <c r="T38" s="41">
        <v>39676</v>
      </c>
      <c r="U38" s="41">
        <v>39982</v>
      </c>
      <c r="V38" s="41">
        <v>40280</v>
      </c>
      <c r="W38" s="41">
        <v>40537</v>
      </c>
      <c r="X38" s="41">
        <v>40852</v>
      </c>
      <c r="Y38" s="41">
        <v>41147</v>
      </c>
      <c r="Z38" s="41">
        <v>41436</v>
      </c>
      <c r="AA38" s="41">
        <v>41730</v>
      </c>
      <c r="AB38" s="41">
        <v>42011</v>
      </c>
      <c r="AC38" s="41">
        <v>42315</v>
      </c>
      <c r="AD38" s="41">
        <v>42604</v>
      </c>
      <c r="AE38" s="41">
        <v>42889</v>
      </c>
      <c r="AF38" s="41">
        <v>43182</v>
      </c>
      <c r="AG38" s="41">
        <v>43480</v>
      </c>
      <c r="AH38" s="41">
        <v>43799</v>
      </c>
      <c r="AI38" s="41">
        <v>44107</v>
      </c>
      <c r="AJ38" s="41">
        <v>44419</v>
      </c>
      <c r="AK38" s="41">
        <v>44735</v>
      </c>
      <c r="AL38" s="41">
        <v>45053</v>
      </c>
      <c r="AM38" s="41">
        <v>45392</v>
      </c>
      <c r="AN38" s="41">
        <v>45732</v>
      </c>
      <c r="AO38" s="41">
        <v>46056</v>
      </c>
      <c r="AP38" s="41">
        <v>46386</v>
      </c>
      <c r="AQ38" s="41">
        <v>46720</v>
      </c>
    </row>
    <row r="39" spans="1:43">
      <c r="A39" s="38" t="s">
        <v>193</v>
      </c>
      <c r="B39" s="38" t="s">
        <v>194</v>
      </c>
      <c r="C39" s="41">
        <v>45104</v>
      </c>
      <c r="D39" s="41">
        <v>45321</v>
      </c>
      <c r="E39" s="41">
        <v>45435</v>
      </c>
      <c r="F39" s="41">
        <v>45567</v>
      </c>
      <c r="G39" s="41">
        <v>45814</v>
      </c>
      <c r="H39" s="41">
        <v>45984</v>
      </c>
      <c r="I39" s="41">
        <v>46042</v>
      </c>
      <c r="J39" s="41">
        <v>46343</v>
      </c>
      <c r="K39" s="41">
        <v>46511</v>
      </c>
      <c r="L39" s="41">
        <v>46483</v>
      </c>
      <c r="M39" s="41">
        <v>46760</v>
      </c>
      <c r="N39" s="41">
        <v>47032</v>
      </c>
      <c r="O39" s="41">
        <v>47282</v>
      </c>
      <c r="P39" s="41">
        <v>47445</v>
      </c>
      <c r="Q39" s="41">
        <v>47571</v>
      </c>
      <c r="R39" s="41">
        <v>47800</v>
      </c>
      <c r="S39" s="41">
        <v>48029</v>
      </c>
      <c r="T39" s="41">
        <v>48257</v>
      </c>
      <c r="U39" s="41">
        <v>48499</v>
      </c>
      <c r="V39" s="41">
        <v>48714</v>
      </c>
      <c r="W39" s="41">
        <v>48915</v>
      </c>
      <c r="X39" s="41">
        <v>49185</v>
      </c>
      <c r="Y39" s="41">
        <v>49439</v>
      </c>
      <c r="Z39" s="41">
        <v>49706</v>
      </c>
      <c r="AA39" s="41">
        <v>49944</v>
      </c>
      <c r="AB39" s="41">
        <v>50181</v>
      </c>
      <c r="AC39" s="41">
        <v>50437</v>
      </c>
      <c r="AD39" s="41">
        <v>50693</v>
      </c>
      <c r="AE39" s="41">
        <v>50931</v>
      </c>
      <c r="AF39" s="41">
        <v>51172</v>
      </c>
      <c r="AG39" s="41">
        <v>51411</v>
      </c>
      <c r="AH39" s="41">
        <v>51667</v>
      </c>
      <c r="AI39" s="41">
        <v>51921</v>
      </c>
      <c r="AJ39" s="41">
        <v>52161</v>
      </c>
      <c r="AK39" s="41">
        <v>52409</v>
      </c>
      <c r="AL39" s="41">
        <v>52662</v>
      </c>
      <c r="AM39" s="41">
        <v>52924</v>
      </c>
      <c r="AN39" s="41">
        <v>53174</v>
      </c>
      <c r="AO39" s="41">
        <v>53414</v>
      </c>
      <c r="AP39" s="41">
        <v>53642</v>
      </c>
      <c r="AQ39" s="41">
        <v>53892</v>
      </c>
    </row>
    <row r="40" spans="1:43">
      <c r="A40" s="38" t="s">
        <v>195</v>
      </c>
      <c r="B40" s="38" t="s">
        <v>196</v>
      </c>
      <c r="C40" s="41">
        <v>186915</v>
      </c>
      <c r="D40" s="41">
        <v>186785</v>
      </c>
      <c r="E40" s="41">
        <v>187609</v>
      </c>
      <c r="F40" s="41">
        <v>188471</v>
      </c>
      <c r="G40" s="41">
        <v>190059</v>
      </c>
      <c r="H40" s="41">
        <v>191738</v>
      </c>
      <c r="I40" s="41">
        <v>193161</v>
      </c>
      <c r="J40" s="41">
        <v>194649</v>
      </c>
      <c r="K40" s="41">
        <v>196177</v>
      </c>
      <c r="L40" s="41">
        <v>198129</v>
      </c>
      <c r="M40" s="41">
        <v>200343</v>
      </c>
      <c r="N40" s="41">
        <v>202004</v>
      </c>
      <c r="O40" s="41">
        <v>203758</v>
      </c>
      <c r="P40" s="41">
        <v>205869</v>
      </c>
      <c r="Q40" s="41">
        <v>208204</v>
      </c>
      <c r="R40" s="41">
        <v>210634</v>
      </c>
      <c r="S40" s="41">
        <v>212518</v>
      </c>
      <c r="T40" s="41">
        <v>214448</v>
      </c>
      <c r="U40" s="41">
        <v>216366</v>
      </c>
      <c r="V40" s="41">
        <v>218231</v>
      </c>
      <c r="W40" s="41">
        <v>220021</v>
      </c>
      <c r="X40" s="41">
        <v>221999</v>
      </c>
      <c r="Y40" s="41">
        <v>223944</v>
      </c>
      <c r="Z40" s="41">
        <v>225866</v>
      </c>
      <c r="AA40" s="41">
        <v>227725</v>
      </c>
      <c r="AB40" s="41">
        <v>229536</v>
      </c>
      <c r="AC40" s="41">
        <v>231363</v>
      </c>
      <c r="AD40" s="41">
        <v>233147</v>
      </c>
      <c r="AE40" s="41">
        <v>234908</v>
      </c>
      <c r="AF40" s="41">
        <v>236611</v>
      </c>
      <c r="AG40" s="41">
        <v>238305</v>
      </c>
      <c r="AH40" s="41">
        <v>239953</v>
      </c>
      <c r="AI40" s="41">
        <v>241589</v>
      </c>
      <c r="AJ40" s="41">
        <v>243181</v>
      </c>
      <c r="AK40" s="41">
        <v>244774</v>
      </c>
      <c r="AL40" s="41">
        <v>246343</v>
      </c>
      <c r="AM40" s="41">
        <v>247863</v>
      </c>
      <c r="AN40" s="41">
        <v>249368</v>
      </c>
      <c r="AO40" s="41">
        <v>250817</v>
      </c>
      <c r="AP40" s="41">
        <v>252265</v>
      </c>
      <c r="AQ40" s="41">
        <v>253733</v>
      </c>
    </row>
    <row r="41" spans="1:43">
      <c r="A41" s="38" t="s">
        <v>197</v>
      </c>
      <c r="B41" s="38" t="s">
        <v>198</v>
      </c>
      <c r="C41" s="41">
        <v>36447</v>
      </c>
      <c r="D41" s="41">
        <v>36322</v>
      </c>
      <c r="E41" s="41">
        <v>36302</v>
      </c>
      <c r="F41" s="41">
        <v>36378</v>
      </c>
      <c r="G41" s="41">
        <v>36443</v>
      </c>
      <c r="H41" s="41">
        <v>36583</v>
      </c>
      <c r="I41" s="41">
        <v>36585</v>
      </c>
      <c r="J41" s="41">
        <v>36735</v>
      </c>
      <c r="K41" s="41">
        <v>36749</v>
      </c>
      <c r="L41" s="41">
        <v>36832</v>
      </c>
      <c r="M41" s="41">
        <v>37229</v>
      </c>
      <c r="N41" s="41">
        <v>37251</v>
      </c>
      <c r="O41" s="41">
        <v>37188</v>
      </c>
      <c r="P41" s="41">
        <v>37358</v>
      </c>
      <c r="Q41" s="41">
        <v>37396</v>
      </c>
      <c r="R41" s="41">
        <v>37492</v>
      </c>
      <c r="S41" s="41">
        <v>37552</v>
      </c>
      <c r="T41" s="41">
        <v>37627</v>
      </c>
      <c r="U41" s="41">
        <v>37679</v>
      </c>
      <c r="V41" s="41">
        <v>37731</v>
      </c>
      <c r="W41" s="41">
        <v>37800</v>
      </c>
      <c r="X41" s="41">
        <v>37871</v>
      </c>
      <c r="Y41" s="41">
        <v>37936</v>
      </c>
      <c r="Z41" s="41">
        <v>37992</v>
      </c>
      <c r="AA41" s="41">
        <v>38045</v>
      </c>
      <c r="AB41" s="41">
        <v>38106</v>
      </c>
      <c r="AC41" s="41">
        <v>38164</v>
      </c>
      <c r="AD41" s="41">
        <v>38238</v>
      </c>
      <c r="AE41" s="41">
        <v>38289</v>
      </c>
      <c r="AF41" s="41">
        <v>38344</v>
      </c>
      <c r="AG41" s="41">
        <v>38395</v>
      </c>
      <c r="AH41" s="41">
        <v>38435</v>
      </c>
      <c r="AI41" s="41">
        <v>38491</v>
      </c>
      <c r="AJ41" s="41">
        <v>38516</v>
      </c>
      <c r="AK41" s="41">
        <v>38549</v>
      </c>
      <c r="AL41" s="41">
        <v>38586</v>
      </c>
      <c r="AM41" s="41">
        <v>38605</v>
      </c>
      <c r="AN41" s="41">
        <v>38637</v>
      </c>
      <c r="AO41" s="41">
        <v>38657</v>
      </c>
      <c r="AP41" s="41">
        <v>38687</v>
      </c>
      <c r="AQ41" s="41">
        <v>38713</v>
      </c>
    </row>
    <row r="42" spans="1:43">
      <c r="A42" s="38" t="s">
        <v>199</v>
      </c>
      <c r="B42" s="38" t="s">
        <v>200</v>
      </c>
      <c r="C42" s="41">
        <v>73743</v>
      </c>
      <c r="D42" s="41">
        <v>74151</v>
      </c>
      <c r="E42" s="41">
        <v>74529</v>
      </c>
      <c r="F42" s="41">
        <v>74596</v>
      </c>
      <c r="G42" s="41">
        <v>74772</v>
      </c>
      <c r="H42" s="41">
        <v>75295</v>
      </c>
      <c r="I42" s="41">
        <v>75645</v>
      </c>
      <c r="J42" s="41">
        <v>75945</v>
      </c>
      <c r="K42" s="41">
        <v>76396</v>
      </c>
      <c r="L42" s="41">
        <v>76962</v>
      </c>
      <c r="M42" s="41">
        <v>77795</v>
      </c>
      <c r="N42" s="41">
        <v>78289</v>
      </c>
      <c r="O42" s="41">
        <v>78477</v>
      </c>
      <c r="P42" s="41">
        <v>78958</v>
      </c>
      <c r="Q42" s="41">
        <v>79327</v>
      </c>
      <c r="R42" s="41">
        <v>79661</v>
      </c>
      <c r="S42" s="41">
        <v>80093</v>
      </c>
      <c r="T42" s="41">
        <v>80496</v>
      </c>
      <c r="U42" s="41">
        <v>80902</v>
      </c>
      <c r="V42" s="41">
        <v>81273</v>
      </c>
      <c r="W42" s="41">
        <v>81608</v>
      </c>
      <c r="X42" s="41">
        <v>81962</v>
      </c>
      <c r="Y42" s="41">
        <v>82289</v>
      </c>
      <c r="Z42" s="41">
        <v>82599</v>
      </c>
      <c r="AA42" s="41">
        <v>82877</v>
      </c>
      <c r="AB42" s="41">
        <v>83157</v>
      </c>
      <c r="AC42" s="41">
        <v>83453</v>
      </c>
      <c r="AD42" s="41">
        <v>83756</v>
      </c>
      <c r="AE42" s="41">
        <v>84050</v>
      </c>
      <c r="AF42" s="41">
        <v>84337</v>
      </c>
      <c r="AG42" s="41">
        <v>84643</v>
      </c>
      <c r="AH42" s="41">
        <v>84945</v>
      </c>
      <c r="AI42" s="41">
        <v>85271</v>
      </c>
      <c r="AJ42" s="41">
        <v>85598</v>
      </c>
      <c r="AK42" s="41">
        <v>85921</v>
      </c>
      <c r="AL42" s="41">
        <v>86268</v>
      </c>
      <c r="AM42" s="41">
        <v>86587</v>
      </c>
      <c r="AN42" s="41">
        <v>86922</v>
      </c>
      <c r="AO42" s="41">
        <v>87253</v>
      </c>
      <c r="AP42" s="41">
        <v>87563</v>
      </c>
      <c r="AQ42" s="41">
        <v>87890</v>
      </c>
    </row>
    <row r="43" spans="1:43">
      <c r="A43" s="38" t="s">
        <v>201</v>
      </c>
      <c r="B43" s="38" t="s">
        <v>202</v>
      </c>
      <c r="C43" s="41">
        <v>80268</v>
      </c>
      <c r="D43" s="41">
        <v>80845</v>
      </c>
      <c r="E43" s="41">
        <v>81427</v>
      </c>
      <c r="F43" s="41">
        <v>82099</v>
      </c>
      <c r="G43" s="41">
        <v>82911</v>
      </c>
      <c r="H43" s="41">
        <v>83916</v>
      </c>
      <c r="I43" s="41">
        <v>84728</v>
      </c>
      <c r="J43" s="41">
        <v>85761</v>
      </c>
      <c r="K43" s="41">
        <v>86460</v>
      </c>
      <c r="L43" s="41">
        <v>87209</v>
      </c>
      <c r="M43" s="41">
        <v>88162</v>
      </c>
      <c r="N43" s="41">
        <v>88876</v>
      </c>
      <c r="O43" s="41">
        <v>89609</v>
      </c>
      <c r="P43" s="41">
        <v>90305</v>
      </c>
      <c r="Q43" s="41">
        <v>90863</v>
      </c>
      <c r="R43" s="41">
        <v>91534</v>
      </c>
      <c r="S43" s="41">
        <v>92217</v>
      </c>
      <c r="T43" s="41">
        <v>92908</v>
      </c>
      <c r="U43" s="41">
        <v>93543</v>
      </c>
      <c r="V43" s="41">
        <v>94179</v>
      </c>
      <c r="W43" s="41">
        <v>94752</v>
      </c>
      <c r="X43" s="41">
        <v>95307</v>
      </c>
      <c r="Y43" s="41">
        <v>95822</v>
      </c>
      <c r="Z43" s="41">
        <v>96320</v>
      </c>
      <c r="AA43" s="41">
        <v>96808</v>
      </c>
      <c r="AB43" s="41">
        <v>97273</v>
      </c>
      <c r="AC43" s="41">
        <v>97759</v>
      </c>
      <c r="AD43" s="41">
        <v>98229</v>
      </c>
      <c r="AE43" s="41">
        <v>98674</v>
      </c>
      <c r="AF43" s="41">
        <v>99122</v>
      </c>
      <c r="AG43" s="41">
        <v>99550</v>
      </c>
      <c r="AH43" s="41">
        <v>99988</v>
      </c>
      <c r="AI43" s="41">
        <v>100418</v>
      </c>
      <c r="AJ43" s="41">
        <v>100825</v>
      </c>
      <c r="AK43" s="41">
        <v>101240</v>
      </c>
      <c r="AL43" s="41">
        <v>101633</v>
      </c>
      <c r="AM43" s="41">
        <v>102018</v>
      </c>
      <c r="AN43" s="41">
        <v>102404</v>
      </c>
      <c r="AO43" s="41">
        <v>102765</v>
      </c>
      <c r="AP43" s="41">
        <v>103131</v>
      </c>
      <c r="AQ43" s="41">
        <v>103484</v>
      </c>
    </row>
    <row r="44" spans="1:43">
      <c r="A44" s="38" t="s">
        <v>203</v>
      </c>
      <c r="B44" s="38" t="s">
        <v>204</v>
      </c>
      <c r="C44" s="41">
        <v>42788</v>
      </c>
      <c r="D44" s="41">
        <v>42273</v>
      </c>
      <c r="E44" s="41">
        <v>42679</v>
      </c>
      <c r="F44" s="41">
        <v>42689</v>
      </c>
      <c r="G44" s="41">
        <v>44632</v>
      </c>
      <c r="H44" s="41">
        <v>44478</v>
      </c>
      <c r="I44" s="41">
        <v>44038</v>
      </c>
      <c r="J44" s="41">
        <v>44365</v>
      </c>
      <c r="K44" s="41">
        <v>44689</v>
      </c>
      <c r="L44" s="41">
        <v>45878</v>
      </c>
      <c r="M44" s="41">
        <v>46113</v>
      </c>
      <c r="N44" s="41">
        <v>45744</v>
      </c>
      <c r="O44" s="41">
        <v>45565</v>
      </c>
      <c r="P44" s="41">
        <v>45611</v>
      </c>
      <c r="Q44" s="41">
        <v>45638</v>
      </c>
      <c r="R44" s="41">
        <v>45181</v>
      </c>
      <c r="S44" s="41">
        <v>44789</v>
      </c>
      <c r="T44" s="41">
        <v>44569</v>
      </c>
      <c r="U44" s="41">
        <v>44355</v>
      </c>
      <c r="V44" s="41">
        <v>44130</v>
      </c>
      <c r="W44" s="41">
        <v>43896</v>
      </c>
      <c r="X44" s="41">
        <v>43869</v>
      </c>
      <c r="Y44" s="41">
        <v>43888</v>
      </c>
      <c r="Z44" s="41">
        <v>43967</v>
      </c>
      <c r="AA44" s="41">
        <v>44061</v>
      </c>
      <c r="AB44" s="41">
        <v>44187</v>
      </c>
      <c r="AC44" s="41">
        <v>44344</v>
      </c>
      <c r="AD44" s="41">
        <v>44521</v>
      </c>
      <c r="AE44" s="41">
        <v>44700</v>
      </c>
      <c r="AF44" s="41">
        <v>44859</v>
      </c>
      <c r="AG44" s="41">
        <v>45046</v>
      </c>
      <c r="AH44" s="41">
        <v>45247</v>
      </c>
      <c r="AI44" s="41">
        <v>45413</v>
      </c>
      <c r="AJ44" s="41">
        <v>45557</v>
      </c>
      <c r="AK44" s="41">
        <v>45715</v>
      </c>
      <c r="AL44" s="41">
        <v>45873</v>
      </c>
      <c r="AM44" s="41">
        <v>46027</v>
      </c>
      <c r="AN44" s="41">
        <v>46178</v>
      </c>
      <c r="AO44" s="41">
        <v>46316</v>
      </c>
      <c r="AP44" s="41">
        <v>46451</v>
      </c>
      <c r="AQ44" s="41">
        <v>46602</v>
      </c>
    </row>
    <row r="45" spans="1:43">
      <c r="A45" s="38" t="s">
        <v>205</v>
      </c>
      <c r="B45" s="38" t="s">
        <v>206</v>
      </c>
      <c r="C45" s="41">
        <v>92850</v>
      </c>
      <c r="D45" s="41">
        <v>93355</v>
      </c>
      <c r="E45" s="41">
        <v>93020</v>
      </c>
      <c r="F45" s="41">
        <v>93590</v>
      </c>
      <c r="G45" s="41">
        <v>94638</v>
      </c>
      <c r="H45" s="41">
        <v>94104</v>
      </c>
      <c r="I45" s="41">
        <v>93748</v>
      </c>
      <c r="J45" s="41">
        <v>92941</v>
      </c>
      <c r="K45" s="41">
        <v>93764</v>
      </c>
      <c r="L45" s="41">
        <v>93785</v>
      </c>
      <c r="M45" s="41">
        <v>96496</v>
      </c>
      <c r="N45" s="41">
        <v>97586</v>
      </c>
      <c r="O45" s="41">
        <v>99508</v>
      </c>
      <c r="P45" s="41">
        <v>101265</v>
      </c>
      <c r="Q45" s="41">
        <v>103976</v>
      </c>
      <c r="R45" s="41">
        <v>105884</v>
      </c>
      <c r="S45" s="41">
        <v>107208</v>
      </c>
      <c r="T45" s="41">
        <v>108495</v>
      </c>
      <c r="U45" s="41">
        <v>109656</v>
      </c>
      <c r="V45" s="41">
        <v>110683</v>
      </c>
      <c r="W45" s="41">
        <v>111505</v>
      </c>
      <c r="X45" s="41">
        <v>112972</v>
      </c>
      <c r="Y45" s="41">
        <v>114381</v>
      </c>
      <c r="Z45" s="41">
        <v>115789</v>
      </c>
      <c r="AA45" s="41">
        <v>117154</v>
      </c>
      <c r="AB45" s="41">
        <v>118495</v>
      </c>
      <c r="AC45" s="41">
        <v>119816</v>
      </c>
      <c r="AD45" s="41">
        <v>121144</v>
      </c>
      <c r="AE45" s="41">
        <v>122444</v>
      </c>
      <c r="AF45" s="41">
        <v>123720</v>
      </c>
      <c r="AG45" s="41">
        <v>124988</v>
      </c>
      <c r="AH45" s="41">
        <v>126244</v>
      </c>
      <c r="AI45" s="41">
        <v>127461</v>
      </c>
      <c r="AJ45" s="41">
        <v>128640</v>
      </c>
      <c r="AK45" s="41">
        <v>129791</v>
      </c>
      <c r="AL45" s="41">
        <v>130945</v>
      </c>
      <c r="AM45" s="41">
        <v>132066</v>
      </c>
      <c r="AN45" s="41">
        <v>133154</v>
      </c>
      <c r="AO45" s="41">
        <v>134199</v>
      </c>
      <c r="AP45" s="41">
        <v>135211</v>
      </c>
      <c r="AQ45" s="41">
        <v>136199</v>
      </c>
    </row>
    <row r="46" spans="1:43">
      <c r="A46" s="38" t="s">
        <v>207</v>
      </c>
      <c r="B46" s="38" t="s">
        <v>208</v>
      </c>
      <c r="C46" s="41">
        <v>36804</v>
      </c>
      <c r="D46" s="41">
        <v>37247</v>
      </c>
      <c r="E46" s="41">
        <v>37717</v>
      </c>
      <c r="F46" s="41">
        <v>38056</v>
      </c>
      <c r="G46" s="41">
        <v>38408</v>
      </c>
      <c r="H46" s="41">
        <v>38580</v>
      </c>
      <c r="I46" s="41">
        <v>38858</v>
      </c>
      <c r="J46" s="41">
        <v>39237</v>
      </c>
      <c r="K46" s="41">
        <v>39603</v>
      </c>
      <c r="L46" s="41">
        <v>39946</v>
      </c>
      <c r="M46" s="41">
        <v>40530</v>
      </c>
      <c r="N46" s="41">
        <v>40888</v>
      </c>
      <c r="O46" s="41">
        <v>41132</v>
      </c>
      <c r="P46" s="41">
        <v>41479</v>
      </c>
      <c r="Q46" s="41">
        <v>41679</v>
      </c>
      <c r="R46" s="41">
        <v>41967</v>
      </c>
      <c r="S46" s="41">
        <v>42235</v>
      </c>
      <c r="T46" s="41">
        <v>42465</v>
      </c>
      <c r="U46" s="41">
        <v>42696</v>
      </c>
      <c r="V46" s="41">
        <v>42895</v>
      </c>
      <c r="W46" s="41">
        <v>43086</v>
      </c>
      <c r="X46" s="41">
        <v>43294</v>
      </c>
      <c r="Y46" s="41">
        <v>43476</v>
      </c>
      <c r="Z46" s="41">
        <v>43661</v>
      </c>
      <c r="AA46" s="41">
        <v>43813</v>
      </c>
      <c r="AB46" s="41">
        <v>43971</v>
      </c>
      <c r="AC46" s="41">
        <v>44142</v>
      </c>
      <c r="AD46" s="41">
        <v>44279</v>
      </c>
      <c r="AE46" s="41">
        <v>44437</v>
      </c>
      <c r="AF46" s="41">
        <v>44553</v>
      </c>
      <c r="AG46" s="41">
        <v>44698</v>
      </c>
      <c r="AH46" s="41">
        <v>44836</v>
      </c>
      <c r="AI46" s="41">
        <v>44976</v>
      </c>
      <c r="AJ46" s="41">
        <v>45124</v>
      </c>
      <c r="AK46" s="41">
        <v>45246</v>
      </c>
      <c r="AL46" s="41">
        <v>45388</v>
      </c>
      <c r="AM46" s="41">
        <v>45518</v>
      </c>
      <c r="AN46" s="41">
        <v>45662</v>
      </c>
      <c r="AO46" s="41">
        <v>45798</v>
      </c>
      <c r="AP46" s="41">
        <v>45920</v>
      </c>
      <c r="AQ46" s="41">
        <v>46047</v>
      </c>
    </row>
    <row r="47" spans="1:43">
      <c r="A47" s="38" t="s">
        <v>209</v>
      </c>
      <c r="B47" s="38" t="s">
        <v>210</v>
      </c>
      <c r="C47" s="41">
        <v>55279</v>
      </c>
      <c r="D47" s="41">
        <v>55643</v>
      </c>
      <c r="E47" s="41">
        <v>56439</v>
      </c>
      <c r="F47" s="41">
        <v>57029</v>
      </c>
      <c r="G47" s="41">
        <v>57591</v>
      </c>
      <c r="H47" s="41">
        <v>58072</v>
      </c>
      <c r="I47" s="41">
        <v>58809</v>
      </c>
      <c r="J47" s="41">
        <v>59244</v>
      </c>
      <c r="K47" s="41">
        <v>59370</v>
      </c>
      <c r="L47" s="41">
        <v>60000</v>
      </c>
      <c r="M47" s="41">
        <v>60450</v>
      </c>
      <c r="N47" s="41">
        <v>61175</v>
      </c>
      <c r="O47" s="41">
        <v>61900</v>
      </c>
      <c r="P47" s="41">
        <v>62827</v>
      </c>
      <c r="Q47" s="41">
        <v>63780</v>
      </c>
      <c r="R47" s="41">
        <v>64957</v>
      </c>
      <c r="S47" s="41">
        <v>65669</v>
      </c>
      <c r="T47" s="41">
        <v>66401</v>
      </c>
      <c r="U47" s="41">
        <v>67148</v>
      </c>
      <c r="V47" s="41">
        <v>67786</v>
      </c>
      <c r="W47" s="41">
        <v>68395</v>
      </c>
      <c r="X47" s="41">
        <v>69118</v>
      </c>
      <c r="Y47" s="41">
        <v>69850</v>
      </c>
      <c r="Z47" s="41">
        <v>70624</v>
      </c>
      <c r="AA47" s="41">
        <v>71398</v>
      </c>
      <c r="AB47" s="41">
        <v>72211</v>
      </c>
      <c r="AC47" s="41">
        <v>73052</v>
      </c>
      <c r="AD47" s="41">
        <v>73875</v>
      </c>
      <c r="AE47" s="41">
        <v>74663</v>
      </c>
      <c r="AF47" s="41">
        <v>75448</v>
      </c>
      <c r="AG47" s="41">
        <v>76251</v>
      </c>
      <c r="AH47" s="41">
        <v>77040</v>
      </c>
      <c r="AI47" s="41">
        <v>77781</v>
      </c>
      <c r="AJ47" s="41">
        <v>78493</v>
      </c>
      <c r="AK47" s="41">
        <v>79201</v>
      </c>
      <c r="AL47" s="41">
        <v>79913</v>
      </c>
      <c r="AM47" s="41">
        <v>80589</v>
      </c>
      <c r="AN47" s="41">
        <v>81268</v>
      </c>
      <c r="AO47" s="41">
        <v>81948</v>
      </c>
      <c r="AP47" s="41">
        <v>82602</v>
      </c>
      <c r="AQ47" s="41">
        <v>83259</v>
      </c>
    </row>
    <row r="48" spans="1:43">
      <c r="A48" s="38" t="s">
        <v>211</v>
      </c>
      <c r="B48" s="38" t="s">
        <v>212</v>
      </c>
      <c r="C48" s="41">
        <v>43641</v>
      </c>
      <c r="D48" s="41">
        <v>44124</v>
      </c>
      <c r="E48" s="41">
        <v>44627</v>
      </c>
      <c r="F48" s="41">
        <v>45382</v>
      </c>
      <c r="G48" s="41">
        <v>45884</v>
      </c>
      <c r="H48" s="41">
        <v>46447</v>
      </c>
      <c r="I48" s="41">
        <v>46902</v>
      </c>
      <c r="J48" s="41">
        <v>47185</v>
      </c>
      <c r="K48" s="41">
        <v>47355</v>
      </c>
      <c r="L48" s="41">
        <v>47549</v>
      </c>
      <c r="M48" s="41">
        <v>48010</v>
      </c>
      <c r="N48" s="41">
        <v>48232</v>
      </c>
      <c r="O48" s="41">
        <v>48415</v>
      </c>
      <c r="P48" s="41">
        <v>48567</v>
      </c>
      <c r="Q48" s="41">
        <v>48671</v>
      </c>
      <c r="R48" s="41">
        <v>48890</v>
      </c>
      <c r="S48" s="41">
        <v>49030</v>
      </c>
      <c r="T48" s="41">
        <v>49176</v>
      </c>
      <c r="U48" s="41">
        <v>49313</v>
      </c>
      <c r="V48" s="41">
        <v>49403</v>
      </c>
      <c r="W48" s="41">
        <v>49498</v>
      </c>
      <c r="X48" s="41">
        <v>49585</v>
      </c>
      <c r="Y48" s="41">
        <v>49684</v>
      </c>
      <c r="Z48" s="41">
        <v>49778</v>
      </c>
      <c r="AA48" s="41">
        <v>49850</v>
      </c>
      <c r="AB48" s="41">
        <v>49926</v>
      </c>
      <c r="AC48" s="41">
        <v>50006</v>
      </c>
      <c r="AD48" s="41">
        <v>50112</v>
      </c>
      <c r="AE48" s="41">
        <v>50198</v>
      </c>
      <c r="AF48" s="41">
        <v>50269</v>
      </c>
      <c r="AG48" s="41">
        <v>50344</v>
      </c>
      <c r="AH48" s="41">
        <v>50407</v>
      </c>
      <c r="AI48" s="41">
        <v>50487</v>
      </c>
      <c r="AJ48" s="41">
        <v>50561</v>
      </c>
      <c r="AK48" s="41">
        <v>50613</v>
      </c>
      <c r="AL48" s="41">
        <v>50669</v>
      </c>
      <c r="AM48" s="41">
        <v>50706</v>
      </c>
      <c r="AN48" s="41">
        <v>50749</v>
      </c>
      <c r="AO48" s="41">
        <v>50794</v>
      </c>
      <c r="AP48" s="41">
        <v>50800</v>
      </c>
      <c r="AQ48" s="41">
        <v>50831</v>
      </c>
    </row>
    <row r="49" spans="1:43">
      <c r="A49" s="38" t="s">
        <v>213</v>
      </c>
      <c r="B49" s="38" t="s">
        <v>214</v>
      </c>
      <c r="C49" s="41">
        <v>35215</v>
      </c>
      <c r="D49" s="41">
        <v>35358</v>
      </c>
      <c r="E49" s="41">
        <v>35518</v>
      </c>
      <c r="F49" s="41">
        <v>35521</v>
      </c>
      <c r="G49" s="41">
        <v>35687</v>
      </c>
      <c r="H49" s="41">
        <v>35812</v>
      </c>
      <c r="I49" s="41">
        <v>36010</v>
      </c>
      <c r="J49" s="41">
        <v>36147</v>
      </c>
      <c r="K49" s="41">
        <v>36247</v>
      </c>
      <c r="L49" s="41">
        <v>36311</v>
      </c>
      <c r="M49" s="41">
        <v>36495</v>
      </c>
      <c r="N49" s="41">
        <v>36614</v>
      </c>
      <c r="O49" s="41">
        <v>36747</v>
      </c>
      <c r="P49" s="41">
        <v>36796</v>
      </c>
      <c r="Q49" s="41">
        <v>36893</v>
      </c>
      <c r="R49" s="41">
        <v>37065</v>
      </c>
      <c r="S49" s="41">
        <v>37214</v>
      </c>
      <c r="T49" s="41">
        <v>37375</v>
      </c>
      <c r="U49" s="41">
        <v>37545</v>
      </c>
      <c r="V49" s="41">
        <v>37701</v>
      </c>
      <c r="W49" s="41">
        <v>37854</v>
      </c>
      <c r="X49" s="41">
        <v>38118</v>
      </c>
      <c r="Y49" s="41">
        <v>38380</v>
      </c>
      <c r="Z49" s="41">
        <v>38638</v>
      </c>
      <c r="AA49" s="41">
        <v>38881</v>
      </c>
      <c r="AB49" s="41">
        <v>39126</v>
      </c>
      <c r="AC49" s="41">
        <v>39400</v>
      </c>
      <c r="AD49" s="41">
        <v>39658</v>
      </c>
      <c r="AE49" s="41">
        <v>39905</v>
      </c>
      <c r="AF49" s="41">
        <v>40149</v>
      </c>
      <c r="AG49" s="41">
        <v>40406</v>
      </c>
      <c r="AH49" s="41">
        <v>40651</v>
      </c>
      <c r="AI49" s="41">
        <v>40910</v>
      </c>
      <c r="AJ49" s="41">
        <v>41170</v>
      </c>
      <c r="AK49" s="41">
        <v>41406</v>
      </c>
      <c r="AL49" s="41">
        <v>41690</v>
      </c>
      <c r="AM49" s="41">
        <v>41940</v>
      </c>
      <c r="AN49" s="41">
        <v>42224</v>
      </c>
      <c r="AO49" s="41">
        <v>42502</v>
      </c>
      <c r="AP49" s="41">
        <v>42770</v>
      </c>
      <c r="AQ49" s="41">
        <v>43069</v>
      </c>
    </row>
    <row r="50" spans="1:43">
      <c r="A50" s="38" t="s">
        <v>215</v>
      </c>
      <c r="B50" s="38" t="s">
        <v>216</v>
      </c>
      <c r="C50" s="41">
        <v>93658</v>
      </c>
      <c r="D50" s="41">
        <v>94726</v>
      </c>
      <c r="E50" s="41">
        <v>95755</v>
      </c>
      <c r="F50" s="41">
        <v>96635</v>
      </c>
      <c r="G50" s="41">
        <v>97576</v>
      </c>
      <c r="H50" s="41">
        <v>98626</v>
      </c>
      <c r="I50" s="41">
        <v>99820</v>
      </c>
      <c r="J50" s="41">
        <v>100956</v>
      </c>
      <c r="K50" s="41">
        <v>101732</v>
      </c>
      <c r="L50" s="41">
        <v>102725</v>
      </c>
      <c r="M50" s="41">
        <v>104409</v>
      </c>
      <c r="N50" s="41">
        <v>106047</v>
      </c>
      <c r="O50" s="41">
        <v>107730</v>
      </c>
      <c r="P50" s="41">
        <v>109471</v>
      </c>
      <c r="Q50" s="41">
        <v>111359</v>
      </c>
      <c r="R50" s="41">
        <v>113150</v>
      </c>
      <c r="S50" s="41">
        <v>114868</v>
      </c>
      <c r="T50" s="41">
        <v>116568</v>
      </c>
      <c r="U50" s="41">
        <v>118222</v>
      </c>
      <c r="V50" s="41">
        <v>119842</v>
      </c>
      <c r="W50" s="41">
        <v>121417</v>
      </c>
      <c r="X50" s="41">
        <v>123098</v>
      </c>
      <c r="Y50" s="41">
        <v>124742</v>
      </c>
      <c r="Z50" s="41">
        <v>126352</v>
      </c>
      <c r="AA50" s="41">
        <v>127888</v>
      </c>
      <c r="AB50" s="41">
        <v>129401</v>
      </c>
      <c r="AC50" s="41">
        <v>130948</v>
      </c>
      <c r="AD50" s="41">
        <v>132454</v>
      </c>
      <c r="AE50" s="41">
        <v>133908</v>
      </c>
      <c r="AF50" s="41">
        <v>135330</v>
      </c>
      <c r="AG50" s="41">
        <v>136746</v>
      </c>
      <c r="AH50" s="41">
        <v>138149</v>
      </c>
      <c r="AI50" s="41">
        <v>139535</v>
      </c>
      <c r="AJ50" s="41">
        <v>140877</v>
      </c>
      <c r="AK50" s="41">
        <v>142200</v>
      </c>
      <c r="AL50" s="41">
        <v>143529</v>
      </c>
      <c r="AM50" s="41">
        <v>144803</v>
      </c>
      <c r="AN50" s="41">
        <v>146087</v>
      </c>
      <c r="AO50" s="41">
        <v>147337</v>
      </c>
      <c r="AP50" s="41">
        <v>148556</v>
      </c>
      <c r="AQ50" s="41">
        <v>149797</v>
      </c>
    </row>
    <row r="51" spans="1:43">
      <c r="A51" s="38" t="s">
        <v>217</v>
      </c>
      <c r="B51" s="38" t="s">
        <v>218</v>
      </c>
      <c r="C51" s="41">
        <v>60031</v>
      </c>
      <c r="D51" s="41">
        <v>60223</v>
      </c>
      <c r="E51" s="41">
        <v>60486</v>
      </c>
      <c r="F51" s="41">
        <v>61074</v>
      </c>
      <c r="G51" s="41">
        <v>61733</v>
      </c>
      <c r="H51" s="41">
        <v>62396</v>
      </c>
      <c r="I51" s="41">
        <v>63013</v>
      </c>
      <c r="J51" s="41">
        <v>63821</v>
      </c>
      <c r="K51" s="41">
        <v>64573</v>
      </c>
      <c r="L51" s="41">
        <v>65378</v>
      </c>
      <c r="M51" s="41">
        <v>66321</v>
      </c>
      <c r="N51" s="41">
        <v>67114</v>
      </c>
      <c r="O51" s="41">
        <v>67901</v>
      </c>
      <c r="P51" s="41">
        <v>68823</v>
      </c>
      <c r="Q51" s="41">
        <v>69849</v>
      </c>
      <c r="R51" s="41">
        <v>70639</v>
      </c>
      <c r="S51" s="41">
        <v>71331</v>
      </c>
      <c r="T51" s="41">
        <v>72125</v>
      </c>
      <c r="U51" s="41">
        <v>72901</v>
      </c>
      <c r="V51" s="41">
        <v>73643</v>
      </c>
      <c r="W51" s="41">
        <v>74323</v>
      </c>
      <c r="X51" s="41">
        <v>75062</v>
      </c>
      <c r="Y51" s="41">
        <v>75836</v>
      </c>
      <c r="Z51" s="41">
        <v>76623</v>
      </c>
      <c r="AA51" s="41">
        <v>77378</v>
      </c>
      <c r="AB51" s="41">
        <v>78155</v>
      </c>
      <c r="AC51" s="41">
        <v>78953</v>
      </c>
      <c r="AD51" s="41">
        <v>79751</v>
      </c>
      <c r="AE51" s="41">
        <v>80514</v>
      </c>
      <c r="AF51" s="41">
        <v>81249</v>
      </c>
      <c r="AG51" s="41">
        <v>82010</v>
      </c>
      <c r="AH51" s="41">
        <v>82755</v>
      </c>
      <c r="AI51" s="41">
        <v>83467</v>
      </c>
      <c r="AJ51" s="41">
        <v>84115</v>
      </c>
      <c r="AK51" s="41">
        <v>84769</v>
      </c>
      <c r="AL51" s="41">
        <v>85418</v>
      </c>
      <c r="AM51" s="41">
        <v>86048</v>
      </c>
      <c r="AN51" s="41">
        <v>86676</v>
      </c>
      <c r="AO51" s="41">
        <v>87297</v>
      </c>
      <c r="AP51" s="41">
        <v>87918</v>
      </c>
      <c r="AQ51" s="41">
        <v>88529</v>
      </c>
    </row>
    <row r="52" spans="1:43">
      <c r="A52" s="38" t="s">
        <v>219</v>
      </c>
      <c r="B52" s="38" t="s">
        <v>220</v>
      </c>
      <c r="C52" s="41">
        <v>64187</v>
      </c>
      <c r="D52" s="41">
        <v>64607</v>
      </c>
      <c r="E52" s="41">
        <v>65088</v>
      </c>
      <c r="F52" s="41">
        <v>65744</v>
      </c>
      <c r="G52" s="41">
        <v>66382</v>
      </c>
      <c r="H52" s="41">
        <v>66707</v>
      </c>
      <c r="I52" s="41">
        <v>67106</v>
      </c>
      <c r="J52" s="41">
        <v>67608</v>
      </c>
      <c r="K52" s="41">
        <v>68217</v>
      </c>
      <c r="L52" s="41">
        <v>68878</v>
      </c>
      <c r="M52" s="41">
        <v>69420</v>
      </c>
      <c r="N52" s="41">
        <v>69934</v>
      </c>
      <c r="O52" s="41">
        <v>70453</v>
      </c>
      <c r="P52" s="41">
        <v>70946</v>
      </c>
      <c r="Q52" s="41">
        <v>71412</v>
      </c>
      <c r="R52" s="41">
        <v>72031</v>
      </c>
      <c r="S52" s="41">
        <v>72584</v>
      </c>
      <c r="T52" s="41">
        <v>73084</v>
      </c>
      <c r="U52" s="41">
        <v>73609</v>
      </c>
      <c r="V52" s="41">
        <v>74083</v>
      </c>
      <c r="W52" s="41">
        <v>74575</v>
      </c>
      <c r="X52" s="41">
        <v>75189</v>
      </c>
      <c r="Y52" s="41">
        <v>75763</v>
      </c>
      <c r="Z52" s="41">
        <v>76342</v>
      </c>
      <c r="AA52" s="41">
        <v>76896</v>
      </c>
      <c r="AB52" s="41">
        <v>77476</v>
      </c>
      <c r="AC52" s="41">
        <v>78072</v>
      </c>
      <c r="AD52" s="41">
        <v>78637</v>
      </c>
      <c r="AE52" s="41">
        <v>79183</v>
      </c>
      <c r="AF52" s="41">
        <v>79712</v>
      </c>
      <c r="AG52" s="41">
        <v>80249</v>
      </c>
      <c r="AH52" s="41">
        <v>80791</v>
      </c>
      <c r="AI52" s="41">
        <v>81311</v>
      </c>
      <c r="AJ52" s="41">
        <v>81833</v>
      </c>
      <c r="AK52" s="41">
        <v>82343</v>
      </c>
      <c r="AL52" s="41">
        <v>82873</v>
      </c>
      <c r="AM52" s="41">
        <v>83376</v>
      </c>
      <c r="AN52" s="41">
        <v>83895</v>
      </c>
      <c r="AO52" s="41">
        <v>84398</v>
      </c>
      <c r="AP52" s="41">
        <v>84897</v>
      </c>
      <c r="AQ52" s="41">
        <v>85435</v>
      </c>
    </row>
    <row r="53" spans="1:43">
      <c r="A53" s="38" t="s">
        <v>221</v>
      </c>
      <c r="B53" s="38" t="s">
        <v>222</v>
      </c>
      <c r="C53" s="41">
        <v>47772</v>
      </c>
      <c r="D53" s="41">
        <v>47668</v>
      </c>
      <c r="E53" s="41">
        <v>47386</v>
      </c>
      <c r="F53" s="41">
        <v>47557</v>
      </c>
      <c r="G53" s="41">
        <v>48084</v>
      </c>
      <c r="H53" s="41">
        <v>48377</v>
      </c>
      <c r="I53" s="41">
        <v>48735</v>
      </c>
      <c r="J53" s="41">
        <v>48974</v>
      </c>
      <c r="K53" s="41">
        <v>49496</v>
      </c>
      <c r="L53" s="41">
        <v>49951</v>
      </c>
      <c r="M53" s="41">
        <v>50535</v>
      </c>
      <c r="N53" s="41">
        <v>50745</v>
      </c>
      <c r="O53" s="41">
        <v>50784</v>
      </c>
      <c r="P53" s="41">
        <v>51029</v>
      </c>
      <c r="Q53" s="41">
        <v>51178</v>
      </c>
      <c r="R53" s="41">
        <v>51418</v>
      </c>
      <c r="S53" s="41">
        <v>51555</v>
      </c>
      <c r="T53" s="41">
        <v>51715</v>
      </c>
      <c r="U53" s="41">
        <v>51922</v>
      </c>
      <c r="V53" s="41">
        <v>52104</v>
      </c>
      <c r="W53" s="41">
        <v>52277</v>
      </c>
      <c r="X53" s="41">
        <v>52510</v>
      </c>
      <c r="Y53" s="41">
        <v>52766</v>
      </c>
      <c r="Z53" s="41">
        <v>53043</v>
      </c>
      <c r="AA53" s="41">
        <v>53282</v>
      </c>
      <c r="AB53" s="41">
        <v>53536</v>
      </c>
      <c r="AC53" s="41">
        <v>53819</v>
      </c>
      <c r="AD53" s="41">
        <v>54103</v>
      </c>
      <c r="AE53" s="41">
        <v>54392</v>
      </c>
      <c r="AF53" s="41">
        <v>54676</v>
      </c>
      <c r="AG53" s="41">
        <v>54980</v>
      </c>
      <c r="AH53" s="41">
        <v>55287</v>
      </c>
      <c r="AI53" s="41">
        <v>55590</v>
      </c>
      <c r="AJ53" s="41">
        <v>55898</v>
      </c>
      <c r="AK53" s="41">
        <v>56191</v>
      </c>
      <c r="AL53" s="41">
        <v>56486</v>
      </c>
      <c r="AM53" s="41">
        <v>56775</v>
      </c>
      <c r="AN53" s="41">
        <v>57068</v>
      </c>
      <c r="AO53" s="41">
        <v>57352</v>
      </c>
      <c r="AP53" s="41">
        <v>57625</v>
      </c>
      <c r="AQ53" s="41">
        <v>57897</v>
      </c>
    </row>
    <row r="54" spans="1:43">
      <c r="A54" s="38" t="s">
        <v>223</v>
      </c>
      <c r="B54" s="38" t="s">
        <v>224</v>
      </c>
      <c r="C54" s="41">
        <v>52802</v>
      </c>
      <c r="D54" s="41">
        <v>53046</v>
      </c>
      <c r="E54" s="41">
        <v>53623</v>
      </c>
      <c r="F54" s="41">
        <v>53987</v>
      </c>
      <c r="G54" s="41">
        <v>54306</v>
      </c>
      <c r="H54" s="41">
        <v>54795</v>
      </c>
      <c r="I54" s="41">
        <v>55097</v>
      </c>
      <c r="J54" s="41">
        <v>55632</v>
      </c>
      <c r="K54" s="41">
        <v>56068</v>
      </c>
      <c r="L54" s="41">
        <v>56433</v>
      </c>
      <c r="M54" s="41">
        <v>56536</v>
      </c>
      <c r="N54" s="41">
        <v>57024</v>
      </c>
      <c r="O54" s="41">
        <v>57488</v>
      </c>
      <c r="P54" s="41">
        <v>57837</v>
      </c>
      <c r="Q54" s="41">
        <v>58398</v>
      </c>
      <c r="R54" s="41">
        <v>58827</v>
      </c>
      <c r="S54" s="41">
        <v>59292</v>
      </c>
      <c r="T54" s="41">
        <v>59697</v>
      </c>
      <c r="U54" s="41">
        <v>60073</v>
      </c>
      <c r="V54" s="41">
        <v>60443</v>
      </c>
      <c r="W54" s="41">
        <v>60775</v>
      </c>
      <c r="X54" s="41">
        <v>61224</v>
      </c>
      <c r="Y54" s="41">
        <v>61658</v>
      </c>
      <c r="Z54" s="41">
        <v>62074</v>
      </c>
      <c r="AA54" s="41">
        <v>62483</v>
      </c>
      <c r="AB54" s="41">
        <v>62866</v>
      </c>
      <c r="AC54" s="41">
        <v>63255</v>
      </c>
      <c r="AD54" s="41">
        <v>63636</v>
      </c>
      <c r="AE54" s="41">
        <v>64002</v>
      </c>
      <c r="AF54" s="41">
        <v>64370</v>
      </c>
      <c r="AG54" s="41">
        <v>64734</v>
      </c>
      <c r="AH54" s="41">
        <v>65083</v>
      </c>
      <c r="AI54" s="41">
        <v>65440</v>
      </c>
      <c r="AJ54" s="41">
        <v>65784</v>
      </c>
      <c r="AK54" s="41">
        <v>66137</v>
      </c>
      <c r="AL54" s="41">
        <v>66499</v>
      </c>
      <c r="AM54" s="41">
        <v>66833</v>
      </c>
      <c r="AN54" s="41">
        <v>67176</v>
      </c>
      <c r="AO54" s="41">
        <v>67495</v>
      </c>
      <c r="AP54" s="41">
        <v>67827</v>
      </c>
      <c r="AQ54" s="41">
        <v>68157</v>
      </c>
    </row>
    <row r="55" spans="1:43">
      <c r="A55" s="38" t="s">
        <v>225</v>
      </c>
      <c r="B55" s="38" t="s">
        <v>226</v>
      </c>
      <c r="C55" s="41">
        <v>146272</v>
      </c>
      <c r="D55" s="41">
        <v>147332</v>
      </c>
      <c r="E55" s="41">
        <v>148563</v>
      </c>
      <c r="F55" s="41">
        <v>149762</v>
      </c>
      <c r="G55" s="41">
        <v>151156</v>
      </c>
      <c r="H55" s="41">
        <v>152375</v>
      </c>
      <c r="I55" s="41">
        <v>153840</v>
      </c>
      <c r="J55" s="41">
        <v>155219</v>
      </c>
      <c r="K55" s="41">
        <v>156209</v>
      </c>
      <c r="L55" s="41">
        <v>157216</v>
      </c>
      <c r="M55" s="41">
        <v>159177</v>
      </c>
      <c r="N55" s="41">
        <v>160313</v>
      </c>
      <c r="O55" s="41">
        <v>161074</v>
      </c>
      <c r="P55" s="41">
        <v>162275</v>
      </c>
      <c r="Q55" s="41">
        <v>163122</v>
      </c>
      <c r="R55" s="41">
        <v>164161</v>
      </c>
      <c r="S55" s="41">
        <v>165147</v>
      </c>
      <c r="T55" s="41">
        <v>166153</v>
      </c>
      <c r="U55" s="41">
        <v>167096</v>
      </c>
      <c r="V55" s="41">
        <v>168017</v>
      </c>
      <c r="W55" s="41">
        <v>168840</v>
      </c>
      <c r="X55" s="41">
        <v>169743</v>
      </c>
      <c r="Y55" s="41">
        <v>170608</v>
      </c>
      <c r="Z55" s="41">
        <v>171407</v>
      </c>
      <c r="AA55" s="41">
        <v>172171</v>
      </c>
      <c r="AB55" s="41">
        <v>172881</v>
      </c>
      <c r="AC55" s="41">
        <v>173654</v>
      </c>
      <c r="AD55" s="41">
        <v>174406</v>
      </c>
      <c r="AE55" s="41">
        <v>175072</v>
      </c>
      <c r="AF55" s="41">
        <v>175713</v>
      </c>
      <c r="AG55" s="41">
        <v>176391</v>
      </c>
      <c r="AH55" s="41">
        <v>177039</v>
      </c>
      <c r="AI55" s="41">
        <v>177671</v>
      </c>
      <c r="AJ55" s="41">
        <v>178262</v>
      </c>
      <c r="AK55" s="41">
        <v>178851</v>
      </c>
      <c r="AL55" s="41">
        <v>179482</v>
      </c>
      <c r="AM55" s="41">
        <v>180065</v>
      </c>
      <c r="AN55" s="41">
        <v>180658</v>
      </c>
      <c r="AO55" s="41">
        <v>181233</v>
      </c>
      <c r="AP55" s="41">
        <v>181772</v>
      </c>
      <c r="AQ55" s="41">
        <v>182390</v>
      </c>
    </row>
    <row r="56" spans="1:43">
      <c r="A56" s="38" t="s">
        <v>227</v>
      </c>
      <c r="B56" s="38" t="s">
        <v>228</v>
      </c>
      <c r="C56" s="41">
        <v>131989</v>
      </c>
      <c r="D56" s="41">
        <v>132873</v>
      </c>
      <c r="E56" s="41">
        <v>134022</v>
      </c>
      <c r="F56" s="41">
        <v>134844</v>
      </c>
      <c r="G56" s="41">
        <v>135954</v>
      </c>
      <c r="H56" s="41">
        <v>136866</v>
      </c>
      <c r="I56" s="41">
        <v>137699</v>
      </c>
      <c r="J56" s="41">
        <v>138272</v>
      </c>
      <c r="K56" s="41">
        <v>138894</v>
      </c>
      <c r="L56" s="41">
        <v>139705</v>
      </c>
      <c r="M56" s="41">
        <v>140905</v>
      </c>
      <c r="N56" s="41">
        <v>141499</v>
      </c>
      <c r="O56" s="41">
        <v>142173</v>
      </c>
      <c r="P56" s="41">
        <v>142878</v>
      </c>
      <c r="Q56" s="41">
        <v>143846</v>
      </c>
      <c r="R56" s="41">
        <v>144922</v>
      </c>
      <c r="S56" s="41">
        <v>145696</v>
      </c>
      <c r="T56" s="41">
        <v>146545</v>
      </c>
      <c r="U56" s="41">
        <v>147312</v>
      </c>
      <c r="V56" s="41">
        <v>148065</v>
      </c>
      <c r="W56" s="41">
        <v>148753</v>
      </c>
      <c r="X56" s="41">
        <v>149400</v>
      </c>
      <c r="Y56" s="41">
        <v>150055</v>
      </c>
      <c r="Z56" s="41">
        <v>150674</v>
      </c>
      <c r="AA56" s="41">
        <v>151247</v>
      </c>
      <c r="AB56" s="41">
        <v>151807</v>
      </c>
      <c r="AC56" s="41">
        <v>152394</v>
      </c>
      <c r="AD56" s="41">
        <v>152980</v>
      </c>
      <c r="AE56" s="41">
        <v>153494</v>
      </c>
      <c r="AF56" s="41">
        <v>153993</v>
      </c>
      <c r="AG56" s="41">
        <v>154529</v>
      </c>
      <c r="AH56" s="41">
        <v>155091</v>
      </c>
      <c r="AI56" s="41">
        <v>155633</v>
      </c>
      <c r="AJ56" s="41">
        <v>156131</v>
      </c>
      <c r="AK56" s="41">
        <v>156593</v>
      </c>
      <c r="AL56" s="41">
        <v>157105</v>
      </c>
      <c r="AM56" s="41">
        <v>157595</v>
      </c>
      <c r="AN56" s="41">
        <v>158067</v>
      </c>
      <c r="AO56" s="41">
        <v>158523</v>
      </c>
      <c r="AP56" s="41">
        <v>158948</v>
      </c>
      <c r="AQ56" s="41">
        <v>159413</v>
      </c>
    </row>
    <row r="57" spans="1:43">
      <c r="A57" s="38" t="s">
        <v>229</v>
      </c>
      <c r="B57" s="38" t="s">
        <v>230</v>
      </c>
      <c r="C57" s="41">
        <v>43136</v>
      </c>
      <c r="D57" s="41">
        <v>43444</v>
      </c>
      <c r="E57" s="41">
        <v>43762</v>
      </c>
      <c r="F57" s="41">
        <v>44160</v>
      </c>
      <c r="G57" s="41">
        <v>44599</v>
      </c>
      <c r="H57" s="41">
        <v>44914</v>
      </c>
      <c r="I57" s="41">
        <v>45180</v>
      </c>
      <c r="J57" s="41">
        <v>45524</v>
      </c>
      <c r="K57" s="41">
        <v>45823</v>
      </c>
      <c r="L57" s="41">
        <v>46052</v>
      </c>
      <c r="M57" s="41">
        <v>46502</v>
      </c>
      <c r="N57" s="41">
        <v>46649</v>
      </c>
      <c r="O57" s="41">
        <v>46890</v>
      </c>
      <c r="P57" s="41">
        <v>47184</v>
      </c>
      <c r="Q57" s="41">
        <v>47331</v>
      </c>
      <c r="R57" s="41">
        <v>47560</v>
      </c>
      <c r="S57" s="41">
        <v>47777</v>
      </c>
      <c r="T57" s="41">
        <v>47980</v>
      </c>
      <c r="U57" s="41">
        <v>48207</v>
      </c>
      <c r="V57" s="41">
        <v>48404</v>
      </c>
      <c r="W57" s="41">
        <v>48596</v>
      </c>
      <c r="X57" s="41">
        <v>48774</v>
      </c>
      <c r="Y57" s="41">
        <v>48960</v>
      </c>
      <c r="Z57" s="41">
        <v>49142</v>
      </c>
      <c r="AA57" s="41">
        <v>49309</v>
      </c>
      <c r="AB57" s="41">
        <v>49467</v>
      </c>
      <c r="AC57" s="41">
        <v>49642</v>
      </c>
      <c r="AD57" s="41">
        <v>49819</v>
      </c>
      <c r="AE57" s="41">
        <v>49983</v>
      </c>
      <c r="AF57" s="41">
        <v>50133</v>
      </c>
      <c r="AG57" s="41">
        <v>50284</v>
      </c>
      <c r="AH57" s="41">
        <v>50436</v>
      </c>
      <c r="AI57" s="41">
        <v>50592</v>
      </c>
      <c r="AJ57" s="41">
        <v>50745</v>
      </c>
      <c r="AK57" s="41">
        <v>50886</v>
      </c>
      <c r="AL57" s="41">
        <v>51032</v>
      </c>
      <c r="AM57" s="41">
        <v>51190</v>
      </c>
      <c r="AN57" s="41">
        <v>51342</v>
      </c>
      <c r="AO57" s="41">
        <v>51478</v>
      </c>
      <c r="AP57" s="41">
        <v>51625</v>
      </c>
      <c r="AQ57" s="41">
        <v>51760</v>
      </c>
    </row>
    <row r="58" spans="1:43">
      <c r="A58" s="38" t="s">
        <v>231</v>
      </c>
      <c r="B58" s="38" t="s">
        <v>232</v>
      </c>
      <c r="C58" s="41">
        <v>45647</v>
      </c>
      <c r="D58" s="41">
        <v>45948</v>
      </c>
      <c r="E58" s="41">
        <v>46315</v>
      </c>
      <c r="F58" s="41">
        <v>46636</v>
      </c>
      <c r="G58" s="41">
        <v>47035</v>
      </c>
      <c r="H58" s="41">
        <v>47537</v>
      </c>
      <c r="I58" s="41">
        <v>47942</v>
      </c>
      <c r="J58" s="41">
        <v>48541</v>
      </c>
      <c r="K58" s="41">
        <v>48858</v>
      </c>
      <c r="L58" s="41">
        <v>49358</v>
      </c>
      <c r="M58" s="41">
        <v>49847</v>
      </c>
      <c r="N58" s="41">
        <v>50314</v>
      </c>
      <c r="O58" s="41">
        <v>50660</v>
      </c>
      <c r="P58" s="41">
        <v>50998</v>
      </c>
      <c r="Q58" s="41">
        <v>51613</v>
      </c>
      <c r="R58" s="41">
        <v>52230</v>
      </c>
      <c r="S58" s="41">
        <v>52691</v>
      </c>
      <c r="T58" s="41">
        <v>53153</v>
      </c>
      <c r="U58" s="41">
        <v>53597</v>
      </c>
      <c r="V58" s="41">
        <v>54039</v>
      </c>
      <c r="W58" s="41">
        <v>54460</v>
      </c>
      <c r="X58" s="41">
        <v>54953</v>
      </c>
      <c r="Y58" s="41">
        <v>55442</v>
      </c>
      <c r="Z58" s="41">
        <v>55931</v>
      </c>
      <c r="AA58" s="41">
        <v>56408</v>
      </c>
      <c r="AB58" s="41">
        <v>56896</v>
      </c>
      <c r="AC58" s="41">
        <v>57385</v>
      </c>
      <c r="AD58" s="41">
        <v>57893</v>
      </c>
      <c r="AE58" s="41">
        <v>58370</v>
      </c>
      <c r="AF58" s="41">
        <v>58839</v>
      </c>
      <c r="AG58" s="41">
        <v>59306</v>
      </c>
      <c r="AH58" s="41">
        <v>59751</v>
      </c>
      <c r="AI58" s="41">
        <v>60201</v>
      </c>
      <c r="AJ58" s="41">
        <v>60654</v>
      </c>
      <c r="AK58" s="41">
        <v>61087</v>
      </c>
      <c r="AL58" s="41">
        <v>61525</v>
      </c>
      <c r="AM58" s="41">
        <v>61958</v>
      </c>
      <c r="AN58" s="41">
        <v>62380</v>
      </c>
      <c r="AO58" s="41">
        <v>62795</v>
      </c>
      <c r="AP58" s="41">
        <v>63199</v>
      </c>
      <c r="AQ58" s="41">
        <v>63593</v>
      </c>
    </row>
    <row r="59" spans="1:43">
      <c r="A59" s="38" t="s">
        <v>233</v>
      </c>
      <c r="B59" s="38" t="s">
        <v>234</v>
      </c>
      <c r="C59" s="41">
        <v>40862</v>
      </c>
      <c r="D59" s="41">
        <v>41325</v>
      </c>
      <c r="E59" s="41">
        <v>41865</v>
      </c>
      <c r="F59" s="41">
        <v>42260</v>
      </c>
      <c r="G59" s="41">
        <v>42599</v>
      </c>
      <c r="H59" s="41">
        <v>42971</v>
      </c>
      <c r="I59" s="41">
        <v>43371</v>
      </c>
      <c r="J59" s="41">
        <v>43801</v>
      </c>
      <c r="K59" s="41">
        <v>44109</v>
      </c>
      <c r="L59" s="41">
        <v>44637</v>
      </c>
      <c r="M59" s="41">
        <v>44946</v>
      </c>
      <c r="N59" s="41">
        <v>45576</v>
      </c>
      <c r="O59" s="41">
        <v>46271</v>
      </c>
      <c r="P59" s="41">
        <v>46819</v>
      </c>
      <c r="Q59" s="41">
        <v>47529</v>
      </c>
      <c r="R59" s="41">
        <v>48188</v>
      </c>
      <c r="S59" s="41">
        <v>48876</v>
      </c>
      <c r="T59" s="41">
        <v>49527</v>
      </c>
      <c r="U59" s="41">
        <v>50136</v>
      </c>
      <c r="V59" s="41">
        <v>50746</v>
      </c>
      <c r="W59" s="41">
        <v>51333</v>
      </c>
      <c r="X59" s="41">
        <v>51902</v>
      </c>
      <c r="Y59" s="41">
        <v>52429</v>
      </c>
      <c r="Z59" s="41">
        <v>52943</v>
      </c>
      <c r="AA59" s="41">
        <v>53422</v>
      </c>
      <c r="AB59" s="41">
        <v>53886</v>
      </c>
      <c r="AC59" s="41">
        <v>54347</v>
      </c>
      <c r="AD59" s="41">
        <v>54777</v>
      </c>
      <c r="AE59" s="41">
        <v>55195</v>
      </c>
      <c r="AF59" s="41">
        <v>55591</v>
      </c>
      <c r="AG59" s="41">
        <v>55985</v>
      </c>
      <c r="AH59" s="41">
        <v>56361</v>
      </c>
      <c r="AI59" s="41">
        <v>56715</v>
      </c>
      <c r="AJ59" s="41">
        <v>57081</v>
      </c>
      <c r="AK59" s="41">
        <v>57429</v>
      </c>
      <c r="AL59" s="41">
        <v>57779</v>
      </c>
      <c r="AM59" s="41">
        <v>58118</v>
      </c>
      <c r="AN59" s="41">
        <v>58445</v>
      </c>
      <c r="AO59" s="41">
        <v>58766</v>
      </c>
      <c r="AP59" s="41">
        <v>59067</v>
      </c>
      <c r="AQ59" s="41">
        <v>59383</v>
      </c>
    </row>
    <row r="60" spans="1:43">
      <c r="A60" s="38" t="s">
        <v>235</v>
      </c>
      <c r="B60" s="38" t="s">
        <v>236</v>
      </c>
      <c r="C60" s="41">
        <v>4070</v>
      </c>
      <c r="D60" s="41">
        <v>4080</v>
      </c>
      <c r="E60" s="41">
        <v>3990</v>
      </c>
      <c r="F60" s="41">
        <v>3996</v>
      </c>
      <c r="G60" s="41">
        <v>4013</v>
      </c>
      <c r="H60" s="41">
        <v>4074</v>
      </c>
      <c r="I60" s="41">
        <v>4233</v>
      </c>
      <c r="J60" s="41">
        <v>4155</v>
      </c>
      <c r="K60" s="41">
        <v>4152</v>
      </c>
      <c r="L60" s="41">
        <v>4037</v>
      </c>
      <c r="M60" s="41">
        <v>4093</v>
      </c>
      <c r="N60" s="41">
        <v>3698</v>
      </c>
      <c r="O60" s="41">
        <v>3438</v>
      </c>
      <c r="P60" s="41">
        <v>3439</v>
      </c>
      <c r="Q60" s="41">
        <v>3621</v>
      </c>
      <c r="R60" s="41">
        <v>3844</v>
      </c>
      <c r="S60" s="41">
        <v>3659</v>
      </c>
      <c r="T60" s="41">
        <v>3536</v>
      </c>
      <c r="U60" s="41">
        <v>3441</v>
      </c>
      <c r="V60" s="41">
        <v>3387</v>
      </c>
      <c r="W60" s="41">
        <v>3346</v>
      </c>
      <c r="X60" s="41">
        <v>3333</v>
      </c>
      <c r="Y60" s="41">
        <v>3324</v>
      </c>
      <c r="Z60" s="41">
        <v>3323</v>
      </c>
      <c r="AA60" s="41">
        <v>3328</v>
      </c>
      <c r="AB60" s="41">
        <v>3343</v>
      </c>
      <c r="AC60" s="41">
        <v>3352</v>
      </c>
      <c r="AD60" s="41">
        <v>3359</v>
      </c>
      <c r="AE60" s="41">
        <v>3375</v>
      </c>
      <c r="AF60" s="41">
        <v>3391</v>
      </c>
      <c r="AG60" s="41">
        <v>3410</v>
      </c>
      <c r="AH60" s="41">
        <v>3432</v>
      </c>
      <c r="AI60" s="41">
        <v>3448</v>
      </c>
      <c r="AJ60" s="41">
        <v>3470</v>
      </c>
      <c r="AK60" s="41">
        <v>3490</v>
      </c>
      <c r="AL60" s="41">
        <v>3511</v>
      </c>
      <c r="AM60" s="41">
        <v>3534</v>
      </c>
      <c r="AN60" s="41">
        <v>3559</v>
      </c>
      <c r="AO60" s="41">
        <v>3580</v>
      </c>
      <c r="AP60" s="41">
        <v>3595</v>
      </c>
      <c r="AQ60" s="41">
        <v>3619</v>
      </c>
    </row>
    <row r="61" spans="1:43">
      <c r="A61" s="38" t="s">
        <v>237</v>
      </c>
      <c r="B61" s="38" t="s">
        <v>238</v>
      </c>
      <c r="C61" s="41">
        <v>63228</v>
      </c>
      <c r="D61" s="41">
        <v>63631</v>
      </c>
      <c r="E61" s="41">
        <v>64228</v>
      </c>
      <c r="F61" s="41">
        <v>64828</v>
      </c>
      <c r="G61" s="41">
        <v>66276</v>
      </c>
      <c r="H61" s="41">
        <v>67109</v>
      </c>
      <c r="I61" s="41">
        <v>67842</v>
      </c>
      <c r="J61" s="41">
        <v>68970</v>
      </c>
      <c r="K61" s="41">
        <v>69656</v>
      </c>
      <c r="L61" s="41">
        <v>70693</v>
      </c>
      <c r="M61" s="41">
        <v>71302</v>
      </c>
      <c r="N61" s="41">
        <v>72332</v>
      </c>
      <c r="O61" s="41">
        <v>73223</v>
      </c>
      <c r="P61" s="41">
        <v>74602</v>
      </c>
      <c r="Q61" s="41">
        <v>76143</v>
      </c>
      <c r="R61" s="41">
        <v>77325</v>
      </c>
      <c r="S61" s="41">
        <v>78395</v>
      </c>
      <c r="T61" s="41">
        <v>79470</v>
      </c>
      <c r="U61" s="41">
        <v>80489</v>
      </c>
      <c r="V61" s="41">
        <v>81451</v>
      </c>
      <c r="W61" s="41">
        <v>82399</v>
      </c>
      <c r="X61" s="41">
        <v>83355</v>
      </c>
      <c r="Y61" s="41">
        <v>84281</v>
      </c>
      <c r="Z61" s="41">
        <v>85194</v>
      </c>
      <c r="AA61" s="41">
        <v>86074</v>
      </c>
      <c r="AB61" s="41">
        <v>86967</v>
      </c>
      <c r="AC61" s="41">
        <v>87880</v>
      </c>
      <c r="AD61" s="41">
        <v>88784</v>
      </c>
      <c r="AE61" s="41">
        <v>89661</v>
      </c>
      <c r="AF61" s="41">
        <v>90516</v>
      </c>
      <c r="AG61" s="41">
        <v>91372</v>
      </c>
      <c r="AH61" s="41">
        <v>92231</v>
      </c>
      <c r="AI61" s="41">
        <v>93067</v>
      </c>
      <c r="AJ61" s="41">
        <v>93870</v>
      </c>
      <c r="AK61" s="41">
        <v>94663</v>
      </c>
      <c r="AL61" s="41">
        <v>95461</v>
      </c>
      <c r="AM61" s="41">
        <v>96203</v>
      </c>
      <c r="AN61" s="41">
        <v>96969</v>
      </c>
      <c r="AO61" s="41">
        <v>97732</v>
      </c>
      <c r="AP61" s="41">
        <v>98477</v>
      </c>
      <c r="AQ61" s="41">
        <v>99228</v>
      </c>
    </row>
    <row r="62" spans="1:43">
      <c r="A62" s="38" t="s">
        <v>239</v>
      </c>
      <c r="B62" s="38" t="s">
        <v>240</v>
      </c>
      <c r="C62" s="41">
        <v>29264</v>
      </c>
      <c r="D62" s="41">
        <v>29302</v>
      </c>
      <c r="E62" s="41">
        <v>29430</v>
      </c>
      <c r="F62" s="41">
        <v>29623</v>
      </c>
      <c r="G62" s="41">
        <v>29822</v>
      </c>
      <c r="H62" s="41">
        <v>30027</v>
      </c>
      <c r="I62" s="41">
        <v>30222</v>
      </c>
      <c r="J62" s="41">
        <v>30317</v>
      </c>
      <c r="K62" s="41">
        <v>30341</v>
      </c>
      <c r="L62" s="41">
        <v>30419</v>
      </c>
      <c r="M62" s="41">
        <v>30453</v>
      </c>
      <c r="N62" s="41">
        <v>30363</v>
      </c>
      <c r="O62" s="41">
        <v>30274</v>
      </c>
      <c r="P62" s="41">
        <v>30220</v>
      </c>
      <c r="Q62" s="41">
        <v>30163</v>
      </c>
      <c r="R62" s="41">
        <v>30012</v>
      </c>
      <c r="S62" s="41">
        <v>29926</v>
      </c>
      <c r="T62" s="41">
        <v>29860</v>
      </c>
      <c r="U62" s="41">
        <v>29758</v>
      </c>
      <c r="V62" s="41">
        <v>29655</v>
      </c>
      <c r="W62" s="41">
        <v>29560</v>
      </c>
      <c r="X62" s="41">
        <v>29499</v>
      </c>
      <c r="Y62" s="41">
        <v>29434</v>
      </c>
      <c r="Z62" s="41">
        <v>29355</v>
      </c>
      <c r="AA62" s="41">
        <v>29262</v>
      </c>
      <c r="AB62" s="41">
        <v>29186</v>
      </c>
      <c r="AC62" s="41">
        <v>29109</v>
      </c>
      <c r="AD62" s="41">
        <v>29034</v>
      </c>
      <c r="AE62" s="41">
        <v>28939</v>
      </c>
      <c r="AF62" s="41">
        <v>28839</v>
      </c>
      <c r="AG62" s="41">
        <v>28778</v>
      </c>
      <c r="AH62" s="41">
        <v>28697</v>
      </c>
      <c r="AI62" s="41">
        <v>28622</v>
      </c>
      <c r="AJ62" s="41">
        <v>28529</v>
      </c>
      <c r="AK62" s="41">
        <v>28453</v>
      </c>
      <c r="AL62" s="41">
        <v>28397</v>
      </c>
      <c r="AM62" s="41">
        <v>28335</v>
      </c>
      <c r="AN62" s="41">
        <v>28270</v>
      </c>
      <c r="AO62" s="41">
        <v>28203</v>
      </c>
      <c r="AP62" s="41">
        <v>28131</v>
      </c>
      <c r="AQ62" s="41">
        <v>28059</v>
      </c>
    </row>
    <row r="63" spans="1:43">
      <c r="A63" s="38" t="s">
        <v>241</v>
      </c>
      <c r="B63" s="38" t="s">
        <v>242</v>
      </c>
      <c r="C63" s="41">
        <v>22012</v>
      </c>
      <c r="D63" s="41">
        <v>22011</v>
      </c>
      <c r="E63" s="41">
        <v>22045</v>
      </c>
      <c r="F63" s="41">
        <v>22086</v>
      </c>
      <c r="G63" s="41">
        <v>22372</v>
      </c>
      <c r="H63" s="41">
        <v>22730</v>
      </c>
      <c r="I63" s="41">
        <v>23228</v>
      </c>
      <c r="J63" s="41">
        <v>23653</v>
      </c>
      <c r="K63" s="41">
        <v>24072</v>
      </c>
      <c r="L63" s="41">
        <v>24475</v>
      </c>
      <c r="M63" s="41">
        <v>25118</v>
      </c>
      <c r="N63" s="41">
        <v>25617</v>
      </c>
      <c r="O63" s="41">
        <v>26041</v>
      </c>
      <c r="P63" s="41">
        <v>26500</v>
      </c>
      <c r="Q63" s="41">
        <v>26985</v>
      </c>
      <c r="R63" s="41">
        <v>27495</v>
      </c>
      <c r="S63" s="41">
        <v>27944</v>
      </c>
      <c r="T63" s="41">
        <v>28384</v>
      </c>
      <c r="U63" s="41">
        <v>28805</v>
      </c>
      <c r="V63" s="41">
        <v>29228</v>
      </c>
      <c r="W63" s="41">
        <v>29628</v>
      </c>
      <c r="X63" s="41">
        <v>30093</v>
      </c>
      <c r="Y63" s="41">
        <v>30546</v>
      </c>
      <c r="Z63" s="41">
        <v>30997</v>
      </c>
      <c r="AA63" s="41">
        <v>31431</v>
      </c>
      <c r="AB63" s="41">
        <v>31864</v>
      </c>
      <c r="AC63" s="41">
        <v>32302</v>
      </c>
      <c r="AD63" s="41">
        <v>32720</v>
      </c>
      <c r="AE63" s="41">
        <v>33147</v>
      </c>
      <c r="AF63" s="41">
        <v>33569</v>
      </c>
      <c r="AG63" s="41">
        <v>33984</v>
      </c>
      <c r="AH63" s="41">
        <v>34401</v>
      </c>
      <c r="AI63" s="41">
        <v>34823</v>
      </c>
      <c r="AJ63" s="41">
        <v>35233</v>
      </c>
      <c r="AK63" s="41">
        <v>35645</v>
      </c>
      <c r="AL63" s="41">
        <v>36047</v>
      </c>
      <c r="AM63" s="41">
        <v>36444</v>
      </c>
      <c r="AN63" s="41">
        <v>36834</v>
      </c>
      <c r="AO63" s="41">
        <v>37222</v>
      </c>
      <c r="AP63" s="41">
        <v>37591</v>
      </c>
      <c r="AQ63" s="41">
        <v>37962</v>
      </c>
    </row>
    <row r="64" spans="1:43">
      <c r="A64" s="38" t="s">
        <v>243</v>
      </c>
      <c r="B64" s="38" t="s">
        <v>244</v>
      </c>
      <c r="C64" s="41">
        <v>213893</v>
      </c>
      <c r="D64" s="41">
        <v>216337</v>
      </c>
      <c r="E64" s="41">
        <v>218186</v>
      </c>
      <c r="F64" s="41">
        <v>219840</v>
      </c>
      <c r="G64" s="41">
        <v>221466</v>
      </c>
      <c r="H64" s="41">
        <v>222900</v>
      </c>
      <c r="I64" s="41">
        <v>224543</v>
      </c>
      <c r="J64" s="41">
        <v>225978</v>
      </c>
      <c r="K64" s="41">
        <v>226550</v>
      </c>
      <c r="L64" s="41">
        <v>227827</v>
      </c>
      <c r="M64" s="41">
        <v>230095</v>
      </c>
      <c r="N64" s="41">
        <v>231806</v>
      </c>
      <c r="O64" s="41">
        <v>233258</v>
      </c>
      <c r="P64" s="41">
        <v>235000</v>
      </c>
      <c r="Q64" s="41">
        <v>236769</v>
      </c>
      <c r="R64" s="41">
        <v>239035</v>
      </c>
      <c r="S64" s="41">
        <v>240869</v>
      </c>
      <c r="T64" s="41">
        <v>242718</v>
      </c>
      <c r="U64" s="41">
        <v>244515</v>
      </c>
      <c r="V64" s="41">
        <v>246285</v>
      </c>
      <c r="W64" s="41">
        <v>247993</v>
      </c>
      <c r="X64" s="41">
        <v>250073</v>
      </c>
      <c r="Y64" s="41">
        <v>252106</v>
      </c>
      <c r="Z64" s="41">
        <v>254141</v>
      </c>
      <c r="AA64" s="41">
        <v>256085</v>
      </c>
      <c r="AB64" s="41">
        <v>258034</v>
      </c>
      <c r="AC64" s="41">
        <v>260043</v>
      </c>
      <c r="AD64" s="41">
        <v>261960</v>
      </c>
      <c r="AE64" s="41">
        <v>263818</v>
      </c>
      <c r="AF64" s="41">
        <v>265579</v>
      </c>
      <c r="AG64" s="41">
        <v>267356</v>
      </c>
      <c r="AH64" s="41">
        <v>269084</v>
      </c>
      <c r="AI64" s="41">
        <v>270738</v>
      </c>
      <c r="AJ64" s="41">
        <v>272319</v>
      </c>
      <c r="AK64" s="41">
        <v>273806</v>
      </c>
      <c r="AL64" s="41">
        <v>275332</v>
      </c>
      <c r="AM64" s="41">
        <v>276800</v>
      </c>
      <c r="AN64" s="41">
        <v>278231</v>
      </c>
      <c r="AO64" s="41">
        <v>279633</v>
      </c>
      <c r="AP64" s="41">
        <v>280979</v>
      </c>
      <c r="AQ64" s="41">
        <v>282401</v>
      </c>
    </row>
    <row r="65" spans="1:43">
      <c r="A65" s="38" t="s">
        <v>245</v>
      </c>
      <c r="B65" s="38" t="s">
        <v>246</v>
      </c>
      <c r="C65" s="41">
        <v>34280</v>
      </c>
      <c r="D65" s="41">
        <v>34361</v>
      </c>
      <c r="E65" s="41">
        <v>34707</v>
      </c>
      <c r="F65" s="41">
        <v>34999</v>
      </c>
      <c r="G65" s="41">
        <v>35241</v>
      </c>
      <c r="H65" s="41">
        <v>35499</v>
      </c>
      <c r="I65" s="41">
        <v>35787</v>
      </c>
      <c r="J65" s="41">
        <v>35862</v>
      </c>
      <c r="K65" s="41">
        <v>35884</v>
      </c>
      <c r="L65" s="41">
        <v>35925</v>
      </c>
      <c r="M65" s="41">
        <v>36229</v>
      </c>
      <c r="N65" s="41">
        <v>36508</v>
      </c>
      <c r="O65" s="41">
        <v>36778</v>
      </c>
      <c r="P65" s="41">
        <v>37032</v>
      </c>
      <c r="Q65" s="41">
        <v>37439</v>
      </c>
      <c r="R65" s="41">
        <v>37739</v>
      </c>
      <c r="S65" s="41">
        <v>38021</v>
      </c>
      <c r="T65" s="41">
        <v>38303</v>
      </c>
      <c r="U65" s="41">
        <v>38590</v>
      </c>
      <c r="V65" s="41">
        <v>38888</v>
      </c>
      <c r="W65" s="41">
        <v>39110</v>
      </c>
      <c r="X65" s="41">
        <v>39418</v>
      </c>
      <c r="Y65" s="41">
        <v>39743</v>
      </c>
      <c r="Z65" s="41">
        <v>40055</v>
      </c>
      <c r="AA65" s="41">
        <v>40351</v>
      </c>
      <c r="AB65" s="41">
        <v>40632</v>
      </c>
      <c r="AC65" s="41">
        <v>40942</v>
      </c>
      <c r="AD65" s="41">
        <v>41238</v>
      </c>
      <c r="AE65" s="41">
        <v>41521</v>
      </c>
      <c r="AF65" s="41">
        <v>41790</v>
      </c>
      <c r="AG65" s="41">
        <v>42046</v>
      </c>
      <c r="AH65" s="41">
        <v>42299</v>
      </c>
      <c r="AI65" s="41">
        <v>42531</v>
      </c>
      <c r="AJ65" s="41">
        <v>42761</v>
      </c>
      <c r="AK65" s="41">
        <v>42985</v>
      </c>
      <c r="AL65" s="41">
        <v>43212</v>
      </c>
      <c r="AM65" s="41">
        <v>43423</v>
      </c>
      <c r="AN65" s="41">
        <v>43627</v>
      </c>
      <c r="AO65" s="41">
        <v>43840</v>
      </c>
      <c r="AP65" s="41">
        <v>44048</v>
      </c>
      <c r="AQ65" s="41">
        <v>44262</v>
      </c>
    </row>
    <row r="66" spans="1:43">
      <c r="A66" s="38" t="s">
        <v>247</v>
      </c>
      <c r="B66" s="38" t="s">
        <v>248</v>
      </c>
      <c r="C66" s="41">
        <v>122424</v>
      </c>
      <c r="D66" s="41">
        <v>122298</v>
      </c>
      <c r="E66" s="41">
        <v>122340</v>
      </c>
      <c r="F66" s="41">
        <v>121670</v>
      </c>
      <c r="G66" s="41">
        <v>122125</v>
      </c>
      <c r="H66" s="41">
        <v>122713</v>
      </c>
      <c r="I66" s="41">
        <v>123033</v>
      </c>
      <c r="J66" s="41">
        <v>124170</v>
      </c>
      <c r="K66" s="41">
        <v>124844</v>
      </c>
      <c r="L66" s="41">
        <v>125989</v>
      </c>
      <c r="M66" s="41">
        <v>127556</v>
      </c>
      <c r="N66" s="41">
        <v>129298</v>
      </c>
      <c r="O66" s="41">
        <v>131470</v>
      </c>
      <c r="P66" s="41">
        <v>133697</v>
      </c>
      <c r="Q66" s="41">
        <v>136950</v>
      </c>
      <c r="R66" s="41">
        <v>140118</v>
      </c>
      <c r="S66" s="41">
        <v>142354</v>
      </c>
      <c r="T66" s="41">
        <v>144685</v>
      </c>
      <c r="U66" s="41">
        <v>146971</v>
      </c>
      <c r="V66" s="41">
        <v>149131</v>
      </c>
      <c r="W66" s="41">
        <v>151088</v>
      </c>
      <c r="X66" s="41">
        <v>153043</v>
      </c>
      <c r="Y66" s="41">
        <v>155006</v>
      </c>
      <c r="Z66" s="41">
        <v>157010</v>
      </c>
      <c r="AA66" s="41">
        <v>158970</v>
      </c>
      <c r="AB66" s="41">
        <v>160931</v>
      </c>
      <c r="AC66" s="41">
        <v>162853</v>
      </c>
      <c r="AD66" s="41">
        <v>164817</v>
      </c>
      <c r="AE66" s="41">
        <v>166752</v>
      </c>
      <c r="AF66" s="41">
        <v>168680</v>
      </c>
      <c r="AG66" s="41">
        <v>170619</v>
      </c>
      <c r="AH66" s="41">
        <v>172544</v>
      </c>
      <c r="AI66" s="41">
        <v>174431</v>
      </c>
      <c r="AJ66" s="41">
        <v>176263</v>
      </c>
      <c r="AK66" s="41">
        <v>178097</v>
      </c>
      <c r="AL66" s="41">
        <v>179956</v>
      </c>
      <c r="AM66" s="41">
        <v>181798</v>
      </c>
      <c r="AN66" s="41">
        <v>183638</v>
      </c>
      <c r="AO66" s="41">
        <v>185414</v>
      </c>
      <c r="AP66" s="41">
        <v>187167</v>
      </c>
      <c r="AQ66" s="41">
        <v>188913</v>
      </c>
    </row>
    <row r="67" spans="1:43">
      <c r="A67" s="38" t="s">
        <v>249</v>
      </c>
      <c r="B67" s="38" t="s">
        <v>250</v>
      </c>
      <c r="C67" s="41">
        <v>22582</v>
      </c>
      <c r="D67" s="41">
        <v>22757</v>
      </c>
      <c r="E67" s="41">
        <v>22936</v>
      </c>
      <c r="F67" s="41">
        <v>23176</v>
      </c>
      <c r="G67" s="41">
        <v>23454</v>
      </c>
      <c r="H67" s="41">
        <v>23671</v>
      </c>
      <c r="I67" s="41">
        <v>23939</v>
      </c>
      <c r="J67" s="41">
        <v>24159</v>
      </c>
      <c r="K67" s="41">
        <v>24224</v>
      </c>
      <c r="L67" s="41">
        <v>24351</v>
      </c>
      <c r="M67" s="41">
        <v>24561</v>
      </c>
      <c r="N67" s="41">
        <v>24671</v>
      </c>
      <c r="O67" s="41">
        <v>24797</v>
      </c>
      <c r="P67" s="41">
        <v>24974</v>
      </c>
      <c r="Q67" s="41">
        <v>25108</v>
      </c>
      <c r="R67" s="41">
        <v>25448</v>
      </c>
      <c r="S67" s="41">
        <v>25624</v>
      </c>
      <c r="T67" s="41">
        <v>25785</v>
      </c>
      <c r="U67" s="41">
        <v>25949</v>
      </c>
      <c r="V67" s="41">
        <v>26095</v>
      </c>
      <c r="W67" s="41">
        <v>26244</v>
      </c>
      <c r="X67" s="41">
        <v>26395</v>
      </c>
      <c r="Y67" s="41">
        <v>26539</v>
      </c>
      <c r="Z67" s="41">
        <v>26686</v>
      </c>
      <c r="AA67" s="41">
        <v>26808</v>
      </c>
      <c r="AB67" s="41">
        <v>26938</v>
      </c>
      <c r="AC67" s="41">
        <v>27062</v>
      </c>
      <c r="AD67" s="41">
        <v>27180</v>
      </c>
      <c r="AE67" s="41">
        <v>27292</v>
      </c>
      <c r="AF67" s="41">
        <v>27393</v>
      </c>
      <c r="AG67" s="41">
        <v>27508</v>
      </c>
      <c r="AH67" s="41">
        <v>27601</v>
      </c>
      <c r="AI67" s="41">
        <v>27697</v>
      </c>
      <c r="AJ67" s="41">
        <v>27782</v>
      </c>
      <c r="AK67" s="41">
        <v>27870</v>
      </c>
      <c r="AL67" s="41">
        <v>27959</v>
      </c>
      <c r="AM67" s="41">
        <v>28033</v>
      </c>
      <c r="AN67" s="41">
        <v>28112</v>
      </c>
      <c r="AO67" s="41">
        <v>28174</v>
      </c>
      <c r="AP67" s="41">
        <v>28258</v>
      </c>
      <c r="AQ67" s="41">
        <v>28330</v>
      </c>
    </row>
    <row r="68" spans="1:43">
      <c r="A68" s="38" t="s">
        <v>251</v>
      </c>
      <c r="B68" s="38" t="s">
        <v>252</v>
      </c>
      <c r="C68" s="41">
        <v>40504</v>
      </c>
      <c r="D68" s="41">
        <v>40038</v>
      </c>
      <c r="E68" s="41">
        <v>39839</v>
      </c>
      <c r="F68" s="41">
        <v>39793</v>
      </c>
      <c r="G68" s="41">
        <v>40078</v>
      </c>
      <c r="H68" s="41">
        <v>40428</v>
      </c>
      <c r="I68" s="41">
        <v>40691</v>
      </c>
      <c r="J68" s="41">
        <v>41103</v>
      </c>
      <c r="K68" s="41">
        <v>41463</v>
      </c>
      <c r="L68" s="41">
        <v>41937</v>
      </c>
      <c r="M68" s="41">
        <v>42507</v>
      </c>
      <c r="N68" s="41">
        <v>43071</v>
      </c>
      <c r="O68" s="41">
        <v>43306</v>
      </c>
      <c r="P68" s="41">
        <v>43678</v>
      </c>
      <c r="Q68" s="41">
        <v>44024</v>
      </c>
      <c r="R68" s="41">
        <v>44271</v>
      </c>
      <c r="S68" s="41">
        <v>44565</v>
      </c>
      <c r="T68" s="41">
        <v>44864</v>
      </c>
      <c r="U68" s="41">
        <v>45169</v>
      </c>
      <c r="V68" s="41">
        <v>45449</v>
      </c>
      <c r="W68" s="41">
        <v>45727</v>
      </c>
      <c r="X68" s="41">
        <v>46052</v>
      </c>
      <c r="Y68" s="41">
        <v>46380</v>
      </c>
      <c r="Z68" s="41">
        <v>46719</v>
      </c>
      <c r="AA68" s="41">
        <v>47026</v>
      </c>
      <c r="AB68" s="41">
        <v>47373</v>
      </c>
      <c r="AC68" s="41">
        <v>47705</v>
      </c>
      <c r="AD68" s="41">
        <v>48043</v>
      </c>
      <c r="AE68" s="41">
        <v>48377</v>
      </c>
      <c r="AF68" s="41">
        <v>48703</v>
      </c>
      <c r="AG68" s="41">
        <v>49033</v>
      </c>
      <c r="AH68" s="41">
        <v>49372</v>
      </c>
      <c r="AI68" s="41">
        <v>49697</v>
      </c>
      <c r="AJ68" s="41">
        <v>50026</v>
      </c>
      <c r="AK68" s="41">
        <v>50345</v>
      </c>
      <c r="AL68" s="41">
        <v>50657</v>
      </c>
      <c r="AM68" s="41">
        <v>50969</v>
      </c>
      <c r="AN68" s="41">
        <v>51283</v>
      </c>
      <c r="AO68" s="41">
        <v>51582</v>
      </c>
      <c r="AP68" s="41">
        <v>51867</v>
      </c>
      <c r="AQ68" s="41">
        <v>52159</v>
      </c>
    </row>
    <row r="69" spans="1:43">
      <c r="A69" s="38" t="s">
        <v>253</v>
      </c>
      <c r="B69" s="38" t="s">
        <v>254</v>
      </c>
      <c r="C69" s="41">
        <v>140255</v>
      </c>
      <c r="D69" s="41">
        <v>139784</v>
      </c>
      <c r="E69" s="41">
        <v>139213</v>
      </c>
      <c r="F69" s="41">
        <v>138798</v>
      </c>
      <c r="G69" s="41">
        <v>138901</v>
      </c>
      <c r="H69" s="41">
        <v>138797</v>
      </c>
      <c r="I69" s="41">
        <v>139222</v>
      </c>
      <c r="J69" s="41">
        <v>140562</v>
      </c>
      <c r="K69" s="41">
        <v>141466</v>
      </c>
      <c r="L69" s="41">
        <v>142697</v>
      </c>
      <c r="M69" s="41">
        <v>144480</v>
      </c>
      <c r="N69" s="41">
        <v>145890</v>
      </c>
      <c r="O69" s="41">
        <v>147424</v>
      </c>
      <c r="P69" s="41">
        <v>148741</v>
      </c>
      <c r="Q69" s="41">
        <v>149819</v>
      </c>
      <c r="R69" s="41">
        <v>151034</v>
      </c>
      <c r="S69" s="41">
        <v>152365</v>
      </c>
      <c r="T69" s="41">
        <v>153629</v>
      </c>
      <c r="U69" s="41">
        <v>154849</v>
      </c>
      <c r="V69" s="41">
        <v>156006</v>
      </c>
      <c r="W69" s="41">
        <v>157194</v>
      </c>
      <c r="X69" s="41">
        <v>158830</v>
      </c>
      <c r="Y69" s="41">
        <v>160356</v>
      </c>
      <c r="Z69" s="41">
        <v>161864</v>
      </c>
      <c r="AA69" s="41">
        <v>163346</v>
      </c>
      <c r="AB69" s="41">
        <v>164835</v>
      </c>
      <c r="AC69" s="41">
        <v>166315</v>
      </c>
      <c r="AD69" s="41">
        <v>167745</v>
      </c>
      <c r="AE69" s="41">
        <v>169162</v>
      </c>
      <c r="AF69" s="41">
        <v>170568</v>
      </c>
      <c r="AG69" s="41">
        <v>171986</v>
      </c>
      <c r="AH69" s="41">
        <v>173411</v>
      </c>
      <c r="AI69" s="41">
        <v>174823</v>
      </c>
      <c r="AJ69" s="41">
        <v>176223</v>
      </c>
      <c r="AK69" s="41">
        <v>177611</v>
      </c>
      <c r="AL69" s="41">
        <v>179014</v>
      </c>
      <c r="AM69" s="41">
        <v>180339</v>
      </c>
      <c r="AN69" s="41">
        <v>181675</v>
      </c>
      <c r="AO69" s="41">
        <v>182976</v>
      </c>
      <c r="AP69" s="41">
        <v>184242</v>
      </c>
      <c r="AQ69" s="41">
        <v>185516</v>
      </c>
    </row>
    <row r="70" spans="1:43">
      <c r="A70" s="38" t="s">
        <v>255</v>
      </c>
      <c r="B70" s="38" t="s">
        <v>256</v>
      </c>
      <c r="C70" s="41">
        <v>55569</v>
      </c>
      <c r="D70" s="41">
        <v>55830</v>
      </c>
      <c r="E70" s="41">
        <v>56127</v>
      </c>
      <c r="F70" s="41">
        <v>56283</v>
      </c>
      <c r="G70" s="41">
        <v>56564</v>
      </c>
      <c r="H70" s="41">
        <v>56911</v>
      </c>
      <c r="I70" s="41">
        <v>57168</v>
      </c>
      <c r="J70" s="41">
        <v>57760</v>
      </c>
      <c r="K70" s="41">
        <v>58323</v>
      </c>
      <c r="L70" s="41">
        <v>59006</v>
      </c>
      <c r="M70" s="41">
        <v>59788</v>
      </c>
      <c r="N70" s="41">
        <v>60370</v>
      </c>
      <c r="O70" s="41">
        <v>61008</v>
      </c>
      <c r="P70" s="41">
        <v>61752</v>
      </c>
      <c r="Q70" s="41">
        <v>62456</v>
      </c>
      <c r="R70" s="41">
        <v>63101</v>
      </c>
      <c r="S70" s="41">
        <v>63768</v>
      </c>
      <c r="T70" s="41">
        <v>64420</v>
      </c>
      <c r="U70" s="41">
        <v>65081</v>
      </c>
      <c r="V70" s="41">
        <v>65715</v>
      </c>
      <c r="W70" s="41">
        <v>66324</v>
      </c>
      <c r="X70" s="41">
        <v>66932</v>
      </c>
      <c r="Y70" s="41">
        <v>67521</v>
      </c>
      <c r="Z70" s="41">
        <v>68110</v>
      </c>
      <c r="AA70" s="41">
        <v>68672</v>
      </c>
      <c r="AB70" s="41">
        <v>69251</v>
      </c>
      <c r="AC70" s="41">
        <v>69811</v>
      </c>
      <c r="AD70" s="41">
        <v>70373</v>
      </c>
      <c r="AE70" s="41">
        <v>70920</v>
      </c>
      <c r="AF70" s="41">
        <v>71469</v>
      </c>
      <c r="AG70" s="41">
        <v>72017</v>
      </c>
      <c r="AH70" s="41">
        <v>72567</v>
      </c>
      <c r="AI70" s="41">
        <v>73100</v>
      </c>
      <c r="AJ70" s="41">
        <v>73634</v>
      </c>
      <c r="AK70" s="41">
        <v>74159</v>
      </c>
      <c r="AL70" s="41">
        <v>74688</v>
      </c>
      <c r="AM70" s="41">
        <v>75199</v>
      </c>
      <c r="AN70" s="41">
        <v>75713</v>
      </c>
      <c r="AO70" s="41">
        <v>76222</v>
      </c>
      <c r="AP70" s="41">
        <v>76716</v>
      </c>
      <c r="AQ70" s="41">
        <v>77224</v>
      </c>
    </row>
    <row r="71" spans="1:43">
      <c r="A71" s="38" t="s">
        <v>257</v>
      </c>
      <c r="B71" s="38" t="s">
        <v>258</v>
      </c>
      <c r="C71" s="41">
        <v>42004</v>
      </c>
      <c r="D71" s="41">
        <v>42263</v>
      </c>
      <c r="E71" s="41">
        <v>42504</v>
      </c>
      <c r="F71" s="41">
        <v>42792</v>
      </c>
      <c r="G71" s="41">
        <v>43232</v>
      </c>
      <c r="H71" s="41">
        <v>43774</v>
      </c>
      <c r="I71" s="41">
        <v>44340</v>
      </c>
      <c r="J71" s="41">
        <v>44904</v>
      </c>
      <c r="K71" s="41">
        <v>45277</v>
      </c>
      <c r="L71" s="41">
        <v>45684</v>
      </c>
      <c r="M71" s="41">
        <v>46332</v>
      </c>
      <c r="N71" s="41">
        <v>46460</v>
      </c>
      <c r="O71" s="41">
        <v>46633</v>
      </c>
      <c r="P71" s="41">
        <v>46832</v>
      </c>
      <c r="Q71" s="41">
        <v>47075</v>
      </c>
      <c r="R71" s="41">
        <v>47395</v>
      </c>
      <c r="S71" s="41">
        <v>47577</v>
      </c>
      <c r="T71" s="41">
        <v>47733</v>
      </c>
      <c r="U71" s="41">
        <v>47905</v>
      </c>
      <c r="V71" s="41">
        <v>48060</v>
      </c>
      <c r="W71" s="41">
        <v>48180</v>
      </c>
      <c r="X71" s="41">
        <v>48306</v>
      </c>
      <c r="Y71" s="41">
        <v>48392</v>
      </c>
      <c r="Z71" s="41">
        <v>48505</v>
      </c>
      <c r="AA71" s="41">
        <v>48582</v>
      </c>
      <c r="AB71" s="41">
        <v>48674</v>
      </c>
      <c r="AC71" s="41">
        <v>48771</v>
      </c>
      <c r="AD71" s="41">
        <v>48861</v>
      </c>
      <c r="AE71" s="41">
        <v>48959</v>
      </c>
      <c r="AF71" s="41">
        <v>49048</v>
      </c>
      <c r="AG71" s="41">
        <v>49143</v>
      </c>
      <c r="AH71" s="41">
        <v>49246</v>
      </c>
      <c r="AI71" s="41">
        <v>49350</v>
      </c>
      <c r="AJ71" s="41">
        <v>49438</v>
      </c>
      <c r="AK71" s="41">
        <v>49531</v>
      </c>
      <c r="AL71" s="41">
        <v>49624</v>
      </c>
      <c r="AM71" s="41">
        <v>49721</v>
      </c>
      <c r="AN71" s="41">
        <v>49804</v>
      </c>
      <c r="AO71" s="41">
        <v>49873</v>
      </c>
      <c r="AP71" s="41">
        <v>49946</v>
      </c>
      <c r="AQ71" s="41">
        <v>50022</v>
      </c>
    </row>
    <row r="72" spans="1:43">
      <c r="A72" s="38" t="s">
        <v>260</v>
      </c>
      <c r="B72" s="38" t="s">
        <v>261</v>
      </c>
      <c r="C72" s="41">
        <v>34912</v>
      </c>
      <c r="D72" s="41">
        <v>35089</v>
      </c>
      <c r="E72" s="41">
        <v>35245</v>
      </c>
      <c r="F72" s="41">
        <v>35664</v>
      </c>
      <c r="G72" s="41">
        <v>36352</v>
      </c>
      <c r="H72" s="41">
        <v>36867</v>
      </c>
      <c r="I72" s="41">
        <v>37325</v>
      </c>
      <c r="J72" s="41">
        <v>37972</v>
      </c>
      <c r="K72" s="41">
        <v>38515</v>
      </c>
      <c r="L72" s="41">
        <v>39068</v>
      </c>
      <c r="M72" s="41">
        <v>39825</v>
      </c>
      <c r="N72" s="41">
        <v>40326</v>
      </c>
      <c r="O72" s="41">
        <v>40964</v>
      </c>
      <c r="P72" s="41">
        <v>41577</v>
      </c>
      <c r="Q72" s="41">
        <v>42276</v>
      </c>
      <c r="R72" s="41">
        <v>42943</v>
      </c>
      <c r="S72" s="41">
        <v>43530</v>
      </c>
      <c r="T72" s="41">
        <v>44142</v>
      </c>
      <c r="U72" s="41">
        <v>44746</v>
      </c>
      <c r="V72" s="41">
        <v>45341</v>
      </c>
      <c r="W72" s="41">
        <v>45910</v>
      </c>
      <c r="X72" s="41">
        <v>46493</v>
      </c>
      <c r="Y72" s="41">
        <v>47074</v>
      </c>
      <c r="Z72" s="41">
        <v>47651</v>
      </c>
      <c r="AA72" s="41">
        <v>48212</v>
      </c>
      <c r="AB72" s="41">
        <v>48772</v>
      </c>
      <c r="AC72" s="41">
        <v>49320</v>
      </c>
      <c r="AD72" s="41">
        <v>49875</v>
      </c>
      <c r="AE72" s="41">
        <v>50401</v>
      </c>
      <c r="AF72" s="41">
        <v>50949</v>
      </c>
      <c r="AG72" s="41">
        <v>51493</v>
      </c>
      <c r="AH72" s="41">
        <v>52035</v>
      </c>
      <c r="AI72" s="41">
        <v>52569</v>
      </c>
      <c r="AJ72" s="41">
        <v>53107</v>
      </c>
      <c r="AK72" s="41">
        <v>53641</v>
      </c>
      <c r="AL72" s="41">
        <v>54195</v>
      </c>
      <c r="AM72" s="41">
        <v>54732</v>
      </c>
      <c r="AN72" s="41">
        <v>55273</v>
      </c>
      <c r="AO72" s="41">
        <v>55800</v>
      </c>
      <c r="AP72" s="41">
        <v>56324</v>
      </c>
      <c r="AQ72" s="41">
        <v>56849</v>
      </c>
    </row>
    <row r="73" spans="1:43">
      <c r="A73" s="38" t="s">
        <v>262</v>
      </c>
      <c r="B73" s="38" t="s">
        <v>263</v>
      </c>
      <c r="C73" s="41">
        <v>28617</v>
      </c>
      <c r="D73" s="41">
        <v>29204</v>
      </c>
      <c r="E73" s="41">
        <v>29704</v>
      </c>
      <c r="F73" s="41">
        <v>30009</v>
      </c>
      <c r="G73" s="41">
        <v>30320</v>
      </c>
      <c r="H73" s="41">
        <v>30721</v>
      </c>
      <c r="I73" s="41">
        <v>30959</v>
      </c>
      <c r="J73" s="41">
        <v>31165</v>
      </c>
      <c r="K73" s="41">
        <v>31495</v>
      </c>
      <c r="L73" s="41">
        <v>31718</v>
      </c>
      <c r="M73" s="41">
        <v>31631</v>
      </c>
      <c r="N73" s="41">
        <v>31806</v>
      </c>
      <c r="O73" s="41">
        <v>31954</v>
      </c>
      <c r="P73" s="41">
        <v>32288</v>
      </c>
      <c r="Q73" s="41">
        <v>32695</v>
      </c>
      <c r="R73" s="41">
        <v>33257</v>
      </c>
      <c r="S73" s="41">
        <v>33569</v>
      </c>
      <c r="T73" s="41">
        <v>33901</v>
      </c>
      <c r="U73" s="41">
        <v>34234</v>
      </c>
      <c r="V73" s="41">
        <v>34552</v>
      </c>
      <c r="W73" s="41">
        <v>34867</v>
      </c>
      <c r="X73" s="41">
        <v>35190</v>
      </c>
      <c r="Y73" s="41">
        <v>35512</v>
      </c>
      <c r="Z73" s="41">
        <v>35823</v>
      </c>
      <c r="AA73" s="41">
        <v>36126</v>
      </c>
      <c r="AB73" s="41">
        <v>36419</v>
      </c>
      <c r="AC73" s="41">
        <v>36701</v>
      </c>
      <c r="AD73" s="41">
        <v>36977</v>
      </c>
      <c r="AE73" s="41">
        <v>37243</v>
      </c>
      <c r="AF73" s="41">
        <v>37501</v>
      </c>
      <c r="AG73" s="41">
        <v>37754</v>
      </c>
      <c r="AH73" s="41">
        <v>37989</v>
      </c>
      <c r="AI73" s="41">
        <v>38217</v>
      </c>
      <c r="AJ73" s="41">
        <v>38453</v>
      </c>
      <c r="AK73" s="41">
        <v>38682</v>
      </c>
      <c r="AL73" s="41">
        <v>38916</v>
      </c>
      <c r="AM73" s="41">
        <v>39130</v>
      </c>
      <c r="AN73" s="41">
        <v>39338</v>
      </c>
      <c r="AO73" s="41">
        <v>39555</v>
      </c>
      <c r="AP73" s="41">
        <v>39762</v>
      </c>
      <c r="AQ73" s="41">
        <v>39977</v>
      </c>
    </row>
    <row r="74" spans="1:43">
      <c r="A74" s="38" t="s">
        <v>264</v>
      </c>
      <c r="B74" s="38" t="s">
        <v>265</v>
      </c>
      <c r="C74" s="41">
        <v>95424</v>
      </c>
      <c r="D74" s="41">
        <v>95914</v>
      </c>
      <c r="E74" s="41">
        <v>96318</v>
      </c>
      <c r="F74" s="41">
        <v>96713</v>
      </c>
      <c r="G74" s="41">
        <v>97530</v>
      </c>
      <c r="H74" s="41">
        <v>98124</v>
      </c>
      <c r="I74" s="41">
        <v>98553</v>
      </c>
      <c r="J74" s="41">
        <v>99029</v>
      </c>
      <c r="K74" s="41">
        <v>99576</v>
      </c>
      <c r="L74" s="41">
        <v>100394</v>
      </c>
      <c r="M74" s="41">
        <v>101410</v>
      </c>
      <c r="N74" s="41">
        <v>101751</v>
      </c>
      <c r="O74" s="41">
        <v>102116</v>
      </c>
      <c r="P74" s="41">
        <v>102509</v>
      </c>
      <c r="Q74" s="41">
        <v>102989</v>
      </c>
      <c r="R74" s="41">
        <v>103839</v>
      </c>
      <c r="S74" s="41">
        <v>104324</v>
      </c>
      <c r="T74" s="41">
        <v>104824</v>
      </c>
      <c r="U74" s="41">
        <v>105285</v>
      </c>
      <c r="V74" s="41">
        <v>105731</v>
      </c>
      <c r="W74" s="41">
        <v>106140</v>
      </c>
      <c r="X74" s="41">
        <v>106679</v>
      </c>
      <c r="Y74" s="41">
        <v>107224</v>
      </c>
      <c r="Z74" s="41">
        <v>107800</v>
      </c>
      <c r="AA74" s="41">
        <v>108356</v>
      </c>
      <c r="AB74" s="41">
        <v>108936</v>
      </c>
      <c r="AC74" s="41">
        <v>109556</v>
      </c>
      <c r="AD74" s="41">
        <v>110195</v>
      </c>
      <c r="AE74" s="41">
        <v>110826</v>
      </c>
      <c r="AF74" s="41">
        <v>111442</v>
      </c>
      <c r="AG74" s="41">
        <v>112067</v>
      </c>
      <c r="AH74" s="41">
        <v>112736</v>
      </c>
      <c r="AI74" s="41">
        <v>113391</v>
      </c>
      <c r="AJ74" s="41">
        <v>114030</v>
      </c>
      <c r="AK74" s="41">
        <v>114647</v>
      </c>
      <c r="AL74" s="41">
        <v>115277</v>
      </c>
      <c r="AM74" s="41">
        <v>115903</v>
      </c>
      <c r="AN74" s="41">
        <v>116526</v>
      </c>
      <c r="AO74" s="41">
        <v>117138</v>
      </c>
      <c r="AP74" s="41">
        <v>117734</v>
      </c>
      <c r="AQ74" s="41">
        <v>118324</v>
      </c>
    </row>
    <row r="75" spans="1:43">
      <c r="A75" s="38" t="s">
        <v>266</v>
      </c>
      <c r="B75" s="38" t="s">
        <v>267</v>
      </c>
      <c r="C75" s="41">
        <v>28964</v>
      </c>
      <c r="D75" s="41">
        <v>29092</v>
      </c>
      <c r="E75" s="41">
        <v>29209</v>
      </c>
      <c r="F75" s="41">
        <v>29351</v>
      </c>
      <c r="G75" s="41">
        <v>29429</v>
      </c>
      <c r="H75" s="41">
        <v>29549</v>
      </c>
      <c r="I75" s="41">
        <v>29728</v>
      </c>
      <c r="J75" s="41">
        <v>30073</v>
      </c>
      <c r="K75" s="41">
        <v>30274</v>
      </c>
      <c r="L75" s="41">
        <v>30512</v>
      </c>
      <c r="M75" s="41">
        <v>30721</v>
      </c>
      <c r="N75" s="41">
        <v>30926</v>
      </c>
      <c r="O75" s="41">
        <v>31009</v>
      </c>
      <c r="P75" s="41">
        <v>31130</v>
      </c>
      <c r="Q75" s="41">
        <v>31294</v>
      </c>
      <c r="R75" s="41">
        <v>31493</v>
      </c>
      <c r="S75" s="41">
        <v>31662</v>
      </c>
      <c r="T75" s="41">
        <v>31839</v>
      </c>
      <c r="U75" s="41">
        <v>32005</v>
      </c>
      <c r="V75" s="41">
        <v>32165</v>
      </c>
      <c r="W75" s="41">
        <v>32330</v>
      </c>
      <c r="X75" s="41">
        <v>32513</v>
      </c>
      <c r="Y75" s="41">
        <v>32689</v>
      </c>
      <c r="Z75" s="41">
        <v>32848</v>
      </c>
      <c r="AA75" s="41">
        <v>32979</v>
      </c>
      <c r="AB75" s="41">
        <v>33129</v>
      </c>
      <c r="AC75" s="41">
        <v>33265</v>
      </c>
      <c r="AD75" s="41">
        <v>33397</v>
      </c>
      <c r="AE75" s="41">
        <v>33512</v>
      </c>
      <c r="AF75" s="41">
        <v>33620</v>
      </c>
      <c r="AG75" s="41">
        <v>33736</v>
      </c>
      <c r="AH75" s="41">
        <v>33829</v>
      </c>
      <c r="AI75" s="41">
        <v>33930</v>
      </c>
      <c r="AJ75" s="41">
        <v>34016</v>
      </c>
      <c r="AK75" s="41">
        <v>34103</v>
      </c>
      <c r="AL75" s="41">
        <v>34202</v>
      </c>
      <c r="AM75" s="41">
        <v>34273</v>
      </c>
      <c r="AN75" s="41">
        <v>34367</v>
      </c>
      <c r="AO75" s="41">
        <v>34451</v>
      </c>
      <c r="AP75" s="41">
        <v>34536</v>
      </c>
      <c r="AQ75" s="41">
        <v>34616</v>
      </c>
    </row>
    <row r="76" spans="1:43">
      <c r="A76" s="38" t="s">
        <v>268</v>
      </c>
      <c r="B76" s="38" t="s">
        <v>269</v>
      </c>
      <c r="C76" s="41">
        <v>117831</v>
      </c>
      <c r="D76" s="41">
        <v>118657</v>
      </c>
      <c r="E76" s="41">
        <v>119405</v>
      </c>
      <c r="F76" s="41">
        <v>119760</v>
      </c>
      <c r="G76" s="41">
        <v>120450</v>
      </c>
      <c r="H76" s="41">
        <v>121467</v>
      </c>
      <c r="I76" s="41">
        <v>122452</v>
      </c>
      <c r="J76" s="41">
        <v>123513</v>
      </c>
      <c r="K76" s="41">
        <v>124398</v>
      </c>
      <c r="L76" s="41">
        <v>125246</v>
      </c>
      <c r="M76" s="41">
        <v>125777</v>
      </c>
      <c r="N76" s="41">
        <v>126102</v>
      </c>
      <c r="O76" s="41">
        <v>126541</v>
      </c>
      <c r="P76" s="41">
        <v>127051</v>
      </c>
      <c r="Q76" s="41">
        <v>127747</v>
      </c>
      <c r="R76" s="41">
        <v>128724</v>
      </c>
      <c r="S76" s="41">
        <v>129256</v>
      </c>
      <c r="T76" s="41">
        <v>129815</v>
      </c>
      <c r="U76" s="41">
        <v>130364</v>
      </c>
      <c r="V76" s="41">
        <v>130872</v>
      </c>
      <c r="W76" s="41">
        <v>131345</v>
      </c>
      <c r="X76" s="41">
        <v>131918</v>
      </c>
      <c r="Y76" s="41">
        <v>132466</v>
      </c>
      <c r="Z76" s="41">
        <v>132997</v>
      </c>
      <c r="AA76" s="41">
        <v>133519</v>
      </c>
      <c r="AB76" s="41">
        <v>134034</v>
      </c>
      <c r="AC76" s="41">
        <v>134575</v>
      </c>
      <c r="AD76" s="41">
        <v>135137</v>
      </c>
      <c r="AE76" s="41">
        <v>135678</v>
      </c>
      <c r="AF76" s="41">
        <v>136189</v>
      </c>
      <c r="AG76" s="41">
        <v>136712</v>
      </c>
      <c r="AH76" s="41">
        <v>137227</v>
      </c>
      <c r="AI76" s="41">
        <v>137776</v>
      </c>
      <c r="AJ76" s="41">
        <v>138295</v>
      </c>
      <c r="AK76" s="41">
        <v>138796</v>
      </c>
      <c r="AL76" s="41">
        <v>139289</v>
      </c>
      <c r="AM76" s="41">
        <v>139759</v>
      </c>
      <c r="AN76" s="41">
        <v>140239</v>
      </c>
      <c r="AO76" s="41">
        <v>140689</v>
      </c>
      <c r="AP76" s="41">
        <v>141111</v>
      </c>
      <c r="AQ76" s="41">
        <v>141539</v>
      </c>
    </row>
    <row r="77" spans="1:43">
      <c r="A77" s="38" t="s">
        <v>270</v>
      </c>
      <c r="B77" s="38" t="s">
        <v>271</v>
      </c>
      <c r="C77" s="41">
        <v>147001</v>
      </c>
      <c r="D77" s="41">
        <v>148882</v>
      </c>
      <c r="E77" s="41">
        <v>150259</v>
      </c>
      <c r="F77" s="41">
        <v>151230</v>
      </c>
      <c r="G77" s="41">
        <v>152470</v>
      </c>
      <c r="H77" s="41">
        <v>153809</v>
      </c>
      <c r="I77" s="41">
        <v>155414</v>
      </c>
      <c r="J77" s="41">
        <v>156133</v>
      </c>
      <c r="K77" s="41">
        <v>156331</v>
      </c>
      <c r="L77" s="41">
        <v>156982</v>
      </c>
      <c r="M77" s="41">
        <v>158805</v>
      </c>
      <c r="N77" s="41">
        <v>159639</v>
      </c>
      <c r="O77" s="41">
        <v>160409</v>
      </c>
      <c r="P77" s="41">
        <v>161409</v>
      </c>
      <c r="Q77" s="41">
        <v>162765</v>
      </c>
      <c r="R77" s="41">
        <v>163956</v>
      </c>
      <c r="S77" s="41">
        <v>164937</v>
      </c>
      <c r="T77" s="41">
        <v>165941</v>
      </c>
      <c r="U77" s="41">
        <v>166890</v>
      </c>
      <c r="V77" s="41">
        <v>167864</v>
      </c>
      <c r="W77" s="41">
        <v>168801</v>
      </c>
      <c r="X77" s="41">
        <v>170056</v>
      </c>
      <c r="Y77" s="41">
        <v>171282</v>
      </c>
      <c r="Z77" s="41">
        <v>172467</v>
      </c>
      <c r="AA77" s="41">
        <v>173655</v>
      </c>
      <c r="AB77" s="41">
        <v>174814</v>
      </c>
      <c r="AC77" s="41">
        <v>176077</v>
      </c>
      <c r="AD77" s="41">
        <v>177309</v>
      </c>
      <c r="AE77" s="41">
        <v>178422</v>
      </c>
      <c r="AF77" s="41">
        <v>179551</v>
      </c>
      <c r="AG77" s="41">
        <v>180627</v>
      </c>
      <c r="AH77" s="41">
        <v>181734</v>
      </c>
      <c r="AI77" s="41">
        <v>182775</v>
      </c>
      <c r="AJ77" s="41">
        <v>183782</v>
      </c>
      <c r="AK77" s="41">
        <v>184724</v>
      </c>
      <c r="AL77" s="41">
        <v>185652</v>
      </c>
      <c r="AM77" s="41">
        <v>186550</v>
      </c>
      <c r="AN77" s="41">
        <v>187431</v>
      </c>
      <c r="AO77" s="41">
        <v>188295</v>
      </c>
      <c r="AP77" s="41">
        <v>189099</v>
      </c>
      <c r="AQ77" s="41">
        <v>189964</v>
      </c>
    </row>
    <row r="78" spans="1:43">
      <c r="A78" s="38" t="s">
        <v>272</v>
      </c>
      <c r="B78" s="38" t="s">
        <v>273</v>
      </c>
      <c r="C78" s="41">
        <v>44112</v>
      </c>
      <c r="D78" s="41">
        <v>44282</v>
      </c>
      <c r="E78" s="41">
        <v>44690</v>
      </c>
      <c r="F78" s="41">
        <v>45158</v>
      </c>
      <c r="G78" s="41">
        <v>45493</v>
      </c>
      <c r="H78" s="41">
        <v>45871</v>
      </c>
      <c r="I78" s="41">
        <v>46375</v>
      </c>
      <c r="J78" s="41">
        <v>46826</v>
      </c>
      <c r="K78" s="41">
        <v>47020</v>
      </c>
      <c r="L78" s="41">
        <v>47546</v>
      </c>
      <c r="M78" s="41">
        <v>48135</v>
      </c>
      <c r="N78" s="41">
        <v>48246</v>
      </c>
      <c r="O78" s="41">
        <v>48588</v>
      </c>
      <c r="P78" s="41">
        <v>49026</v>
      </c>
      <c r="Q78" s="41">
        <v>49235</v>
      </c>
      <c r="R78" s="41">
        <v>49879</v>
      </c>
      <c r="S78" s="41">
        <v>50243</v>
      </c>
      <c r="T78" s="41">
        <v>50624</v>
      </c>
      <c r="U78" s="41">
        <v>51002</v>
      </c>
      <c r="V78" s="41">
        <v>51351</v>
      </c>
      <c r="W78" s="41">
        <v>51707</v>
      </c>
      <c r="X78" s="41">
        <v>52166</v>
      </c>
      <c r="Y78" s="41">
        <v>52628</v>
      </c>
      <c r="Z78" s="41">
        <v>53098</v>
      </c>
      <c r="AA78" s="41">
        <v>53529</v>
      </c>
      <c r="AB78" s="41">
        <v>53972</v>
      </c>
      <c r="AC78" s="41">
        <v>54441</v>
      </c>
      <c r="AD78" s="41">
        <v>54894</v>
      </c>
      <c r="AE78" s="41">
        <v>55347</v>
      </c>
      <c r="AF78" s="41">
        <v>55771</v>
      </c>
      <c r="AG78" s="41">
        <v>56193</v>
      </c>
      <c r="AH78" s="41">
        <v>56628</v>
      </c>
      <c r="AI78" s="41">
        <v>57043</v>
      </c>
      <c r="AJ78" s="41">
        <v>57457</v>
      </c>
      <c r="AK78" s="41">
        <v>57861</v>
      </c>
      <c r="AL78" s="41">
        <v>58265</v>
      </c>
      <c r="AM78" s="41">
        <v>58659</v>
      </c>
      <c r="AN78" s="41">
        <v>59036</v>
      </c>
      <c r="AO78" s="41">
        <v>59410</v>
      </c>
      <c r="AP78" s="41">
        <v>59774</v>
      </c>
      <c r="AQ78" s="41">
        <v>60150</v>
      </c>
    </row>
    <row r="79" spans="1:43">
      <c r="A79" s="38" t="s">
        <v>274</v>
      </c>
      <c r="B79" s="38" t="s">
        <v>275</v>
      </c>
      <c r="C79" s="41">
        <v>124147</v>
      </c>
      <c r="D79" s="41">
        <v>124521</v>
      </c>
      <c r="E79" s="41">
        <v>124557</v>
      </c>
      <c r="F79" s="41">
        <v>124904</v>
      </c>
      <c r="G79" s="41">
        <v>125413</v>
      </c>
      <c r="H79" s="41">
        <v>125887</v>
      </c>
      <c r="I79" s="41">
        <v>126290</v>
      </c>
      <c r="J79" s="41">
        <v>127058</v>
      </c>
      <c r="K79" s="41">
        <v>127615</v>
      </c>
      <c r="L79" s="41">
        <v>128146</v>
      </c>
      <c r="M79" s="41">
        <v>129410</v>
      </c>
      <c r="N79" s="41">
        <v>129905</v>
      </c>
      <c r="O79" s="41">
        <v>130256</v>
      </c>
      <c r="P79" s="41">
        <v>130932</v>
      </c>
      <c r="Q79" s="41">
        <v>131326</v>
      </c>
      <c r="R79" s="41">
        <v>132106</v>
      </c>
      <c r="S79" s="41">
        <v>132661</v>
      </c>
      <c r="T79" s="41">
        <v>133189</v>
      </c>
      <c r="U79" s="41">
        <v>133743</v>
      </c>
      <c r="V79" s="41">
        <v>134219</v>
      </c>
      <c r="W79" s="41">
        <v>134682</v>
      </c>
      <c r="X79" s="41">
        <v>135204</v>
      </c>
      <c r="Y79" s="41">
        <v>135661</v>
      </c>
      <c r="Z79" s="41">
        <v>136136</v>
      </c>
      <c r="AA79" s="41">
        <v>136543</v>
      </c>
      <c r="AB79" s="41">
        <v>136966</v>
      </c>
      <c r="AC79" s="41">
        <v>137399</v>
      </c>
      <c r="AD79" s="41">
        <v>137819</v>
      </c>
      <c r="AE79" s="41">
        <v>138234</v>
      </c>
      <c r="AF79" s="41">
        <v>138647</v>
      </c>
      <c r="AG79" s="41">
        <v>139116</v>
      </c>
      <c r="AH79" s="41">
        <v>139595</v>
      </c>
      <c r="AI79" s="41">
        <v>140078</v>
      </c>
      <c r="AJ79" s="41">
        <v>140575</v>
      </c>
      <c r="AK79" s="41">
        <v>141054</v>
      </c>
      <c r="AL79" s="41">
        <v>141588</v>
      </c>
      <c r="AM79" s="41">
        <v>142142</v>
      </c>
      <c r="AN79" s="41">
        <v>142719</v>
      </c>
      <c r="AO79" s="41">
        <v>143303</v>
      </c>
      <c r="AP79" s="41">
        <v>143876</v>
      </c>
      <c r="AQ79" s="41">
        <v>144465</v>
      </c>
    </row>
    <row r="80" spans="1:43">
      <c r="A80" s="38" t="s">
        <v>276</v>
      </c>
      <c r="B80" s="38" t="s">
        <v>277</v>
      </c>
      <c r="C80" s="41">
        <v>206128</v>
      </c>
      <c r="D80" s="41">
        <v>206980</v>
      </c>
      <c r="E80" s="41">
        <v>208027</v>
      </c>
      <c r="F80" s="41">
        <v>209298</v>
      </c>
      <c r="G80" s="41">
        <v>211028</v>
      </c>
      <c r="H80" s="41">
        <v>212846</v>
      </c>
      <c r="I80" s="41">
        <v>215023</v>
      </c>
      <c r="J80" s="41">
        <v>216965</v>
      </c>
      <c r="K80" s="41">
        <v>218581</v>
      </c>
      <c r="L80" s="41">
        <v>220593</v>
      </c>
      <c r="M80" s="41">
        <v>222736</v>
      </c>
      <c r="N80" s="41">
        <v>223796</v>
      </c>
      <c r="O80" s="41">
        <v>224948</v>
      </c>
      <c r="P80" s="41">
        <v>226192</v>
      </c>
      <c r="Q80" s="41">
        <v>227516</v>
      </c>
      <c r="R80" s="41">
        <v>229249</v>
      </c>
      <c r="S80" s="41">
        <v>230580</v>
      </c>
      <c r="T80" s="41">
        <v>231872</v>
      </c>
      <c r="U80" s="41">
        <v>233090</v>
      </c>
      <c r="V80" s="41">
        <v>234283</v>
      </c>
      <c r="W80" s="41">
        <v>235378</v>
      </c>
      <c r="X80" s="41">
        <v>236357</v>
      </c>
      <c r="Y80" s="41">
        <v>237291</v>
      </c>
      <c r="Z80" s="41">
        <v>238189</v>
      </c>
      <c r="AA80" s="41">
        <v>239077</v>
      </c>
      <c r="AB80" s="41">
        <v>240006</v>
      </c>
      <c r="AC80" s="41">
        <v>240961</v>
      </c>
      <c r="AD80" s="41">
        <v>241912</v>
      </c>
      <c r="AE80" s="41">
        <v>242771</v>
      </c>
      <c r="AF80" s="41">
        <v>243637</v>
      </c>
      <c r="AG80" s="41">
        <v>244546</v>
      </c>
      <c r="AH80" s="41">
        <v>245431</v>
      </c>
      <c r="AI80" s="41">
        <v>246314</v>
      </c>
      <c r="AJ80" s="41">
        <v>247124</v>
      </c>
      <c r="AK80" s="41">
        <v>247897</v>
      </c>
      <c r="AL80" s="41">
        <v>248701</v>
      </c>
      <c r="AM80" s="41">
        <v>249428</v>
      </c>
      <c r="AN80" s="41">
        <v>250168</v>
      </c>
      <c r="AO80" s="41">
        <v>250857</v>
      </c>
      <c r="AP80" s="41">
        <v>251459</v>
      </c>
      <c r="AQ80" s="41">
        <v>252103</v>
      </c>
    </row>
    <row r="81" spans="1:43">
      <c r="A81" s="38" t="s">
        <v>278</v>
      </c>
      <c r="B81" s="38" t="s">
        <v>279</v>
      </c>
      <c r="C81" s="41">
        <v>120237</v>
      </c>
      <c r="D81" s="41">
        <v>120403</v>
      </c>
      <c r="E81" s="41">
        <v>119266</v>
      </c>
      <c r="F81" s="41">
        <v>118954</v>
      </c>
      <c r="G81" s="41">
        <v>119159</v>
      </c>
      <c r="H81" s="41">
        <v>119276</v>
      </c>
      <c r="I81" s="41">
        <v>119527</v>
      </c>
      <c r="J81" s="41">
        <v>120485</v>
      </c>
      <c r="K81" s="41">
        <v>122082</v>
      </c>
      <c r="L81" s="41">
        <v>122880</v>
      </c>
      <c r="M81" s="41">
        <v>123640</v>
      </c>
      <c r="N81" s="41">
        <v>123781</v>
      </c>
      <c r="O81" s="41">
        <v>124207</v>
      </c>
      <c r="P81" s="41">
        <v>124453</v>
      </c>
      <c r="Q81" s="41">
        <v>124687</v>
      </c>
      <c r="R81" s="41">
        <v>124934</v>
      </c>
      <c r="S81" s="41">
        <v>125056</v>
      </c>
      <c r="T81" s="41">
        <v>125207</v>
      </c>
      <c r="U81" s="41">
        <v>125389</v>
      </c>
      <c r="V81" s="41">
        <v>125538</v>
      </c>
      <c r="W81" s="41">
        <v>125708</v>
      </c>
      <c r="X81" s="41">
        <v>126488</v>
      </c>
      <c r="Y81" s="41">
        <v>127239</v>
      </c>
      <c r="Z81" s="41">
        <v>127996</v>
      </c>
      <c r="AA81" s="41">
        <v>128715</v>
      </c>
      <c r="AB81" s="41">
        <v>129465</v>
      </c>
      <c r="AC81" s="41">
        <v>130169</v>
      </c>
      <c r="AD81" s="41">
        <v>130882</v>
      </c>
      <c r="AE81" s="41">
        <v>131586</v>
      </c>
      <c r="AF81" s="41">
        <v>132266</v>
      </c>
      <c r="AG81" s="41">
        <v>132974</v>
      </c>
      <c r="AH81" s="41">
        <v>133660</v>
      </c>
      <c r="AI81" s="41">
        <v>134359</v>
      </c>
      <c r="AJ81" s="41">
        <v>135029</v>
      </c>
      <c r="AK81" s="41">
        <v>135694</v>
      </c>
      <c r="AL81" s="41">
        <v>136358</v>
      </c>
      <c r="AM81" s="41">
        <v>137008</v>
      </c>
      <c r="AN81" s="41">
        <v>137649</v>
      </c>
      <c r="AO81" s="41">
        <v>138254</v>
      </c>
      <c r="AP81" s="41">
        <v>138849</v>
      </c>
      <c r="AQ81" s="41">
        <v>139437</v>
      </c>
    </row>
    <row r="82" spans="1:43">
      <c r="A82" s="38" t="s">
        <v>280</v>
      </c>
      <c r="B82" s="38" t="s">
        <v>281</v>
      </c>
      <c r="C82" s="41">
        <v>29639</v>
      </c>
      <c r="D82" s="41">
        <v>30083</v>
      </c>
      <c r="E82" s="41">
        <v>31097</v>
      </c>
      <c r="F82" s="41">
        <v>30865</v>
      </c>
      <c r="G82" s="41">
        <v>31356</v>
      </c>
      <c r="H82" s="41">
        <v>31866</v>
      </c>
      <c r="I82" s="41">
        <v>32507</v>
      </c>
      <c r="J82" s="41">
        <v>32988</v>
      </c>
      <c r="K82" s="41">
        <v>33588</v>
      </c>
      <c r="L82" s="41">
        <v>33993</v>
      </c>
      <c r="M82" s="41">
        <v>34558</v>
      </c>
      <c r="N82" s="41">
        <v>35047</v>
      </c>
      <c r="O82" s="41">
        <v>35439</v>
      </c>
      <c r="P82" s="41">
        <v>35937</v>
      </c>
      <c r="Q82" s="41">
        <v>36236</v>
      </c>
      <c r="R82" s="41">
        <v>36511</v>
      </c>
      <c r="S82" s="41">
        <v>36878</v>
      </c>
      <c r="T82" s="41">
        <v>37260</v>
      </c>
      <c r="U82" s="41">
        <v>37620</v>
      </c>
      <c r="V82" s="41">
        <v>37965</v>
      </c>
      <c r="W82" s="41">
        <v>38276</v>
      </c>
      <c r="X82" s="41">
        <v>38618</v>
      </c>
      <c r="Y82" s="41">
        <v>38943</v>
      </c>
      <c r="Z82" s="41">
        <v>39259</v>
      </c>
      <c r="AA82" s="41">
        <v>39566</v>
      </c>
      <c r="AB82" s="41">
        <v>39844</v>
      </c>
      <c r="AC82" s="41">
        <v>40145</v>
      </c>
      <c r="AD82" s="41">
        <v>40437</v>
      </c>
      <c r="AE82" s="41">
        <v>40730</v>
      </c>
      <c r="AF82" s="41">
        <v>41007</v>
      </c>
      <c r="AG82" s="41">
        <v>41272</v>
      </c>
      <c r="AH82" s="41">
        <v>41546</v>
      </c>
      <c r="AI82" s="41">
        <v>41816</v>
      </c>
      <c r="AJ82" s="41">
        <v>42061</v>
      </c>
      <c r="AK82" s="41">
        <v>42314</v>
      </c>
      <c r="AL82" s="41">
        <v>42554</v>
      </c>
      <c r="AM82" s="41">
        <v>42791</v>
      </c>
      <c r="AN82" s="41">
        <v>43030</v>
      </c>
      <c r="AO82" s="41">
        <v>43261</v>
      </c>
      <c r="AP82" s="41">
        <v>43484</v>
      </c>
      <c r="AQ82" s="41">
        <v>43719</v>
      </c>
    </row>
    <row r="83" spans="1:43">
      <c r="A83" s="38" t="s">
        <v>282</v>
      </c>
      <c r="B83" s="38" t="s">
        <v>283</v>
      </c>
      <c r="C83" s="41">
        <v>54869</v>
      </c>
      <c r="D83" s="41">
        <v>55292</v>
      </c>
      <c r="E83" s="41">
        <v>55602</v>
      </c>
      <c r="F83" s="41">
        <v>56171</v>
      </c>
      <c r="G83" s="41">
        <v>56741</v>
      </c>
      <c r="H83" s="41">
        <v>57176</v>
      </c>
      <c r="I83" s="41">
        <v>57784</v>
      </c>
      <c r="J83" s="41">
        <v>58144</v>
      </c>
      <c r="K83" s="41">
        <v>58261</v>
      </c>
      <c r="L83" s="41">
        <v>58506</v>
      </c>
      <c r="M83" s="41">
        <v>59306</v>
      </c>
      <c r="N83" s="41">
        <v>59739</v>
      </c>
      <c r="O83" s="41">
        <v>60031</v>
      </c>
      <c r="P83" s="41">
        <v>60662</v>
      </c>
      <c r="Q83" s="41">
        <v>61346</v>
      </c>
      <c r="R83" s="41">
        <v>62165</v>
      </c>
      <c r="S83" s="41">
        <v>62784</v>
      </c>
      <c r="T83" s="41">
        <v>63439</v>
      </c>
      <c r="U83" s="41">
        <v>64054</v>
      </c>
      <c r="V83" s="41">
        <v>64683</v>
      </c>
      <c r="W83" s="41">
        <v>65284</v>
      </c>
      <c r="X83" s="41">
        <v>66028</v>
      </c>
      <c r="Y83" s="41">
        <v>66773</v>
      </c>
      <c r="Z83" s="41">
        <v>67499</v>
      </c>
      <c r="AA83" s="41">
        <v>68209</v>
      </c>
      <c r="AB83" s="41">
        <v>68932</v>
      </c>
      <c r="AC83" s="41">
        <v>69689</v>
      </c>
      <c r="AD83" s="41">
        <v>70413</v>
      </c>
      <c r="AE83" s="41">
        <v>71123</v>
      </c>
      <c r="AF83" s="41">
        <v>71808</v>
      </c>
      <c r="AG83" s="41">
        <v>72489</v>
      </c>
      <c r="AH83" s="41">
        <v>73169</v>
      </c>
      <c r="AI83" s="41">
        <v>73834</v>
      </c>
      <c r="AJ83" s="41">
        <v>74471</v>
      </c>
      <c r="AK83" s="41">
        <v>75066</v>
      </c>
      <c r="AL83" s="41">
        <v>75679</v>
      </c>
      <c r="AM83" s="41">
        <v>76272</v>
      </c>
      <c r="AN83" s="41">
        <v>76851</v>
      </c>
      <c r="AO83" s="41">
        <v>77429</v>
      </c>
      <c r="AP83" s="41">
        <v>77973</v>
      </c>
      <c r="AQ83" s="41">
        <v>78543</v>
      </c>
    </row>
    <row r="84" spans="1:43">
      <c r="A84" s="38" t="s">
        <v>284</v>
      </c>
      <c r="B84" s="38" t="s">
        <v>285</v>
      </c>
      <c r="C84" s="41">
        <v>43421</v>
      </c>
      <c r="D84" s="41">
        <v>43539</v>
      </c>
      <c r="E84" s="41">
        <v>43641</v>
      </c>
      <c r="F84" s="41">
        <v>43814</v>
      </c>
      <c r="G84" s="41">
        <v>44113</v>
      </c>
      <c r="H84" s="41">
        <v>44537</v>
      </c>
      <c r="I84" s="41">
        <v>45017</v>
      </c>
      <c r="J84" s="41">
        <v>45490</v>
      </c>
      <c r="K84" s="41">
        <v>46038</v>
      </c>
      <c r="L84" s="41">
        <v>46607</v>
      </c>
      <c r="M84" s="41">
        <v>47267</v>
      </c>
      <c r="N84" s="41">
        <v>47586</v>
      </c>
      <c r="O84" s="41">
        <v>47959</v>
      </c>
      <c r="P84" s="41">
        <v>48259</v>
      </c>
      <c r="Q84" s="41">
        <v>48649</v>
      </c>
      <c r="R84" s="41">
        <v>48872</v>
      </c>
      <c r="S84" s="41">
        <v>49225</v>
      </c>
      <c r="T84" s="41">
        <v>49578</v>
      </c>
      <c r="U84" s="41">
        <v>49929</v>
      </c>
      <c r="V84" s="41">
        <v>50266</v>
      </c>
      <c r="W84" s="41">
        <v>50576</v>
      </c>
      <c r="X84" s="41">
        <v>50979</v>
      </c>
      <c r="Y84" s="41">
        <v>51353</v>
      </c>
      <c r="Z84" s="41">
        <v>51719</v>
      </c>
      <c r="AA84" s="41">
        <v>52073</v>
      </c>
      <c r="AB84" s="41">
        <v>52419</v>
      </c>
      <c r="AC84" s="41">
        <v>52779</v>
      </c>
      <c r="AD84" s="41">
        <v>53117</v>
      </c>
      <c r="AE84" s="41">
        <v>53439</v>
      </c>
      <c r="AF84" s="41">
        <v>53761</v>
      </c>
      <c r="AG84" s="41">
        <v>54087</v>
      </c>
      <c r="AH84" s="41">
        <v>54388</v>
      </c>
      <c r="AI84" s="41">
        <v>54692</v>
      </c>
      <c r="AJ84" s="41">
        <v>54979</v>
      </c>
      <c r="AK84" s="41">
        <v>55260</v>
      </c>
      <c r="AL84" s="41">
        <v>55542</v>
      </c>
      <c r="AM84" s="41">
        <v>55800</v>
      </c>
      <c r="AN84" s="41">
        <v>56065</v>
      </c>
      <c r="AO84" s="41">
        <v>56326</v>
      </c>
      <c r="AP84" s="41">
        <v>56573</v>
      </c>
      <c r="AQ84" s="41">
        <v>56839</v>
      </c>
    </row>
    <row r="85" spans="1:43">
      <c r="A85" s="38" t="s">
        <v>286</v>
      </c>
      <c r="B85" s="38" t="s">
        <v>287</v>
      </c>
      <c r="C85" s="41">
        <v>51766</v>
      </c>
      <c r="D85" s="41">
        <v>52140</v>
      </c>
      <c r="E85" s="41">
        <v>52364</v>
      </c>
      <c r="F85" s="41">
        <v>52575</v>
      </c>
      <c r="G85" s="41">
        <v>53004</v>
      </c>
      <c r="H85" s="41">
        <v>53489</v>
      </c>
      <c r="I85" s="41">
        <v>54058</v>
      </c>
      <c r="J85" s="41">
        <v>54723</v>
      </c>
      <c r="K85" s="41">
        <v>55351</v>
      </c>
      <c r="L85" s="41">
        <v>55766</v>
      </c>
      <c r="M85" s="41">
        <v>56465</v>
      </c>
      <c r="N85" s="41">
        <v>57131</v>
      </c>
      <c r="O85" s="41">
        <v>57839</v>
      </c>
      <c r="P85" s="41">
        <v>58777</v>
      </c>
      <c r="Q85" s="41">
        <v>59509</v>
      </c>
      <c r="R85" s="41">
        <v>60315</v>
      </c>
      <c r="S85" s="41">
        <v>61089</v>
      </c>
      <c r="T85" s="41">
        <v>61836</v>
      </c>
      <c r="U85" s="41">
        <v>62614</v>
      </c>
      <c r="V85" s="41">
        <v>63326</v>
      </c>
      <c r="W85" s="41">
        <v>64010</v>
      </c>
      <c r="X85" s="41">
        <v>64731</v>
      </c>
      <c r="Y85" s="41">
        <v>65421</v>
      </c>
      <c r="Z85" s="41">
        <v>66116</v>
      </c>
      <c r="AA85" s="41">
        <v>66763</v>
      </c>
      <c r="AB85" s="41">
        <v>67400</v>
      </c>
      <c r="AC85" s="41">
        <v>68052</v>
      </c>
      <c r="AD85" s="41">
        <v>68689</v>
      </c>
      <c r="AE85" s="41">
        <v>69318</v>
      </c>
      <c r="AF85" s="41">
        <v>69930</v>
      </c>
      <c r="AG85" s="41">
        <v>70550</v>
      </c>
      <c r="AH85" s="41">
        <v>71164</v>
      </c>
      <c r="AI85" s="41">
        <v>71760</v>
      </c>
      <c r="AJ85" s="41">
        <v>72351</v>
      </c>
      <c r="AK85" s="41">
        <v>72944</v>
      </c>
      <c r="AL85" s="41">
        <v>73541</v>
      </c>
      <c r="AM85" s="41">
        <v>74116</v>
      </c>
      <c r="AN85" s="41">
        <v>74683</v>
      </c>
      <c r="AO85" s="41">
        <v>75249</v>
      </c>
      <c r="AP85" s="41">
        <v>75788</v>
      </c>
      <c r="AQ85" s="41">
        <v>76347</v>
      </c>
    </row>
    <row r="86" spans="1:43">
      <c r="A86" s="38" t="s">
        <v>288</v>
      </c>
      <c r="B86" s="38" t="s">
        <v>289</v>
      </c>
      <c r="C86" s="41">
        <v>55391</v>
      </c>
      <c r="D86" s="41">
        <v>56444</v>
      </c>
      <c r="E86" s="41">
        <v>57324</v>
      </c>
      <c r="F86" s="41">
        <v>58334</v>
      </c>
      <c r="G86" s="41">
        <v>58873</v>
      </c>
      <c r="H86" s="41">
        <v>59320</v>
      </c>
      <c r="I86" s="41">
        <v>59988</v>
      </c>
      <c r="J86" s="41">
        <v>60482</v>
      </c>
      <c r="K86" s="41">
        <v>60517</v>
      </c>
      <c r="L86" s="41">
        <v>60678</v>
      </c>
      <c r="M86" s="41">
        <v>60857</v>
      </c>
      <c r="N86" s="41">
        <v>61022</v>
      </c>
      <c r="O86" s="41">
        <v>61220</v>
      </c>
      <c r="P86" s="41">
        <v>61894</v>
      </c>
      <c r="Q86" s="41">
        <v>62298</v>
      </c>
      <c r="R86" s="41">
        <v>62736</v>
      </c>
      <c r="S86" s="41">
        <v>63112</v>
      </c>
      <c r="T86" s="41">
        <v>63503</v>
      </c>
      <c r="U86" s="41">
        <v>63884</v>
      </c>
      <c r="V86" s="41">
        <v>64244</v>
      </c>
      <c r="W86" s="41">
        <v>64568</v>
      </c>
      <c r="X86" s="41">
        <v>64909</v>
      </c>
      <c r="Y86" s="41">
        <v>65249</v>
      </c>
      <c r="Z86" s="41">
        <v>65568</v>
      </c>
      <c r="AA86" s="41">
        <v>65871</v>
      </c>
      <c r="AB86" s="41">
        <v>66204</v>
      </c>
      <c r="AC86" s="41">
        <v>66519</v>
      </c>
      <c r="AD86" s="41">
        <v>66866</v>
      </c>
      <c r="AE86" s="41">
        <v>67181</v>
      </c>
      <c r="AF86" s="41">
        <v>67500</v>
      </c>
      <c r="AG86" s="41">
        <v>67832</v>
      </c>
      <c r="AH86" s="41">
        <v>68125</v>
      </c>
      <c r="AI86" s="41">
        <v>68447</v>
      </c>
      <c r="AJ86" s="41">
        <v>68734</v>
      </c>
      <c r="AK86" s="41">
        <v>69034</v>
      </c>
      <c r="AL86" s="41">
        <v>69329</v>
      </c>
      <c r="AM86" s="41">
        <v>69611</v>
      </c>
      <c r="AN86" s="41">
        <v>69893</v>
      </c>
      <c r="AO86" s="41">
        <v>70167</v>
      </c>
      <c r="AP86" s="41">
        <v>70431</v>
      </c>
      <c r="AQ86" s="41">
        <v>70697</v>
      </c>
    </row>
    <row r="87" spans="1:43">
      <c r="A87" s="38" t="s">
        <v>290</v>
      </c>
      <c r="B87" s="38" t="s">
        <v>291</v>
      </c>
      <c r="C87" s="41">
        <v>31114</v>
      </c>
      <c r="D87" s="41">
        <v>31676</v>
      </c>
      <c r="E87" s="41">
        <v>32351</v>
      </c>
      <c r="F87" s="41">
        <v>32786</v>
      </c>
      <c r="G87" s="41">
        <v>33202</v>
      </c>
      <c r="H87" s="41">
        <v>33798</v>
      </c>
      <c r="I87" s="41">
        <v>34321</v>
      </c>
      <c r="J87" s="41">
        <v>34695</v>
      </c>
      <c r="K87" s="41">
        <v>34892</v>
      </c>
      <c r="L87" s="41">
        <v>35213</v>
      </c>
      <c r="M87" s="41">
        <v>35539</v>
      </c>
      <c r="N87" s="41">
        <v>35824</v>
      </c>
      <c r="O87" s="41">
        <v>36242</v>
      </c>
      <c r="P87" s="41">
        <v>36700</v>
      </c>
      <c r="Q87" s="41">
        <v>37186</v>
      </c>
      <c r="R87" s="41">
        <v>37786</v>
      </c>
      <c r="S87" s="41">
        <v>38237</v>
      </c>
      <c r="T87" s="41">
        <v>38692</v>
      </c>
      <c r="U87" s="41">
        <v>39105</v>
      </c>
      <c r="V87" s="41">
        <v>39533</v>
      </c>
      <c r="W87" s="41">
        <v>39944</v>
      </c>
      <c r="X87" s="41">
        <v>40404</v>
      </c>
      <c r="Y87" s="41">
        <v>40833</v>
      </c>
      <c r="Z87" s="41">
        <v>41263</v>
      </c>
      <c r="AA87" s="41">
        <v>41674</v>
      </c>
      <c r="AB87" s="41">
        <v>42074</v>
      </c>
      <c r="AC87" s="41">
        <v>42490</v>
      </c>
      <c r="AD87" s="41">
        <v>42882</v>
      </c>
      <c r="AE87" s="41">
        <v>43264</v>
      </c>
      <c r="AF87" s="41">
        <v>43638</v>
      </c>
      <c r="AG87" s="41">
        <v>44008</v>
      </c>
      <c r="AH87" s="41">
        <v>44369</v>
      </c>
      <c r="AI87" s="41">
        <v>44715</v>
      </c>
      <c r="AJ87" s="41">
        <v>45052</v>
      </c>
      <c r="AK87" s="41">
        <v>45378</v>
      </c>
      <c r="AL87" s="41">
        <v>45716</v>
      </c>
      <c r="AM87" s="41">
        <v>46038</v>
      </c>
      <c r="AN87" s="41">
        <v>46351</v>
      </c>
      <c r="AO87" s="41">
        <v>46650</v>
      </c>
      <c r="AP87" s="41">
        <v>46949</v>
      </c>
      <c r="AQ87" s="41">
        <v>47257</v>
      </c>
    </row>
    <row r="88" spans="1:43">
      <c r="A88" s="38" t="s">
        <v>292</v>
      </c>
      <c r="B88" s="38" t="s">
        <v>293</v>
      </c>
      <c r="C88" s="41">
        <v>130742</v>
      </c>
      <c r="D88" s="41">
        <v>132837</v>
      </c>
      <c r="E88" s="41">
        <v>134544</v>
      </c>
      <c r="F88" s="41">
        <v>136332</v>
      </c>
      <c r="G88" s="41">
        <v>137711</v>
      </c>
      <c r="H88" s="41">
        <v>138676</v>
      </c>
      <c r="I88" s="41">
        <v>139963</v>
      </c>
      <c r="J88" s="41">
        <v>141046</v>
      </c>
      <c r="K88" s="41">
        <v>141525</v>
      </c>
      <c r="L88" s="41">
        <v>142035</v>
      </c>
      <c r="M88" s="41">
        <v>143075</v>
      </c>
      <c r="N88" s="41">
        <v>143648</v>
      </c>
      <c r="O88" s="41">
        <v>143991</v>
      </c>
      <c r="P88" s="41">
        <v>144796</v>
      </c>
      <c r="Q88" s="41">
        <v>145054</v>
      </c>
      <c r="R88" s="41">
        <v>145631</v>
      </c>
      <c r="S88" s="41">
        <v>146275</v>
      </c>
      <c r="T88" s="41">
        <v>146876</v>
      </c>
      <c r="U88" s="41">
        <v>147491</v>
      </c>
      <c r="V88" s="41">
        <v>147990</v>
      </c>
      <c r="W88" s="41">
        <v>148429</v>
      </c>
      <c r="X88" s="41">
        <v>149173</v>
      </c>
      <c r="Y88" s="41">
        <v>149839</v>
      </c>
      <c r="Z88" s="41">
        <v>150506</v>
      </c>
      <c r="AA88" s="41">
        <v>151093</v>
      </c>
      <c r="AB88" s="41">
        <v>151691</v>
      </c>
      <c r="AC88" s="41">
        <v>152334</v>
      </c>
      <c r="AD88" s="41">
        <v>152945</v>
      </c>
      <c r="AE88" s="41">
        <v>153487</v>
      </c>
      <c r="AF88" s="41">
        <v>154002</v>
      </c>
      <c r="AG88" s="41">
        <v>154535</v>
      </c>
      <c r="AH88" s="41">
        <v>155054</v>
      </c>
      <c r="AI88" s="41">
        <v>155549</v>
      </c>
      <c r="AJ88" s="41">
        <v>155980</v>
      </c>
      <c r="AK88" s="41">
        <v>156403</v>
      </c>
      <c r="AL88" s="41">
        <v>156810</v>
      </c>
      <c r="AM88" s="41">
        <v>157166</v>
      </c>
      <c r="AN88" s="41">
        <v>157537</v>
      </c>
      <c r="AO88" s="41">
        <v>157887</v>
      </c>
      <c r="AP88" s="41">
        <v>158203</v>
      </c>
      <c r="AQ88" s="41">
        <v>158548</v>
      </c>
    </row>
    <row r="89" spans="1:43">
      <c r="A89" s="38" t="s">
        <v>294</v>
      </c>
      <c r="B89" s="38" t="s">
        <v>295</v>
      </c>
      <c r="C89" s="41">
        <v>42425</v>
      </c>
      <c r="D89" s="41">
        <v>42664</v>
      </c>
      <c r="E89" s="41">
        <v>43604</v>
      </c>
      <c r="F89" s="41">
        <v>43949</v>
      </c>
      <c r="G89" s="41">
        <v>44353</v>
      </c>
      <c r="H89" s="41">
        <v>44788</v>
      </c>
      <c r="I89" s="41">
        <v>45335</v>
      </c>
      <c r="J89" s="41">
        <v>46072</v>
      </c>
      <c r="K89" s="41">
        <v>46460</v>
      </c>
      <c r="L89" s="41">
        <v>46996</v>
      </c>
      <c r="M89" s="41">
        <v>47092</v>
      </c>
      <c r="N89" s="41">
        <v>47476</v>
      </c>
      <c r="O89" s="41">
        <v>47766</v>
      </c>
      <c r="P89" s="41">
        <v>48167</v>
      </c>
      <c r="Q89" s="41">
        <v>48507</v>
      </c>
      <c r="R89" s="41">
        <v>48848</v>
      </c>
      <c r="S89" s="41">
        <v>49197</v>
      </c>
      <c r="T89" s="41">
        <v>49517</v>
      </c>
      <c r="U89" s="41">
        <v>49820</v>
      </c>
      <c r="V89" s="41">
        <v>50133</v>
      </c>
      <c r="W89" s="41">
        <v>50412</v>
      </c>
      <c r="X89" s="41">
        <v>50730</v>
      </c>
      <c r="Y89" s="41">
        <v>51019</v>
      </c>
      <c r="Z89" s="41">
        <v>51305</v>
      </c>
      <c r="AA89" s="41">
        <v>51598</v>
      </c>
      <c r="AB89" s="41">
        <v>51861</v>
      </c>
      <c r="AC89" s="41">
        <v>52141</v>
      </c>
      <c r="AD89" s="41">
        <v>52421</v>
      </c>
      <c r="AE89" s="41">
        <v>52702</v>
      </c>
      <c r="AF89" s="41">
        <v>52965</v>
      </c>
      <c r="AG89" s="41">
        <v>53233</v>
      </c>
      <c r="AH89" s="41">
        <v>53499</v>
      </c>
      <c r="AI89" s="41">
        <v>53765</v>
      </c>
      <c r="AJ89" s="41">
        <v>54031</v>
      </c>
      <c r="AK89" s="41">
        <v>54295</v>
      </c>
      <c r="AL89" s="41">
        <v>54561</v>
      </c>
      <c r="AM89" s="41">
        <v>54825</v>
      </c>
      <c r="AN89" s="41">
        <v>55081</v>
      </c>
      <c r="AO89" s="41">
        <v>55334</v>
      </c>
      <c r="AP89" s="41">
        <v>55575</v>
      </c>
      <c r="AQ89" s="41">
        <v>55824</v>
      </c>
    </row>
    <row r="90" spans="1:43">
      <c r="A90" s="38" t="s">
        <v>296</v>
      </c>
      <c r="B90" s="38" t="s">
        <v>297</v>
      </c>
      <c r="C90" s="41">
        <v>97142</v>
      </c>
      <c r="D90" s="41">
        <v>97973</v>
      </c>
      <c r="E90" s="41">
        <v>98959</v>
      </c>
      <c r="F90" s="41">
        <v>100111</v>
      </c>
      <c r="G90" s="41">
        <v>101259</v>
      </c>
      <c r="H90" s="41">
        <v>102076</v>
      </c>
      <c r="I90" s="41">
        <v>103141</v>
      </c>
      <c r="J90" s="41">
        <v>103720</v>
      </c>
      <c r="K90" s="41">
        <v>103929</v>
      </c>
      <c r="L90" s="41">
        <v>104189</v>
      </c>
      <c r="M90" s="41">
        <v>104343</v>
      </c>
      <c r="N90" s="41">
        <v>104771</v>
      </c>
      <c r="O90" s="41">
        <v>105367</v>
      </c>
      <c r="P90" s="41">
        <v>106036</v>
      </c>
      <c r="Q90" s="41">
        <v>106614</v>
      </c>
      <c r="R90" s="41">
        <v>107454</v>
      </c>
      <c r="S90" s="41">
        <v>108142</v>
      </c>
      <c r="T90" s="41">
        <v>108802</v>
      </c>
      <c r="U90" s="41">
        <v>109481</v>
      </c>
      <c r="V90" s="41">
        <v>110132</v>
      </c>
      <c r="W90" s="41">
        <v>110737</v>
      </c>
      <c r="X90" s="41">
        <v>111589</v>
      </c>
      <c r="Y90" s="41">
        <v>112405</v>
      </c>
      <c r="Z90" s="41">
        <v>113214</v>
      </c>
      <c r="AA90" s="41">
        <v>113987</v>
      </c>
      <c r="AB90" s="41">
        <v>114764</v>
      </c>
      <c r="AC90" s="41">
        <v>115620</v>
      </c>
      <c r="AD90" s="41">
        <v>116439</v>
      </c>
      <c r="AE90" s="41">
        <v>117206</v>
      </c>
      <c r="AF90" s="41">
        <v>117942</v>
      </c>
      <c r="AG90" s="41">
        <v>118712</v>
      </c>
      <c r="AH90" s="41">
        <v>119457</v>
      </c>
      <c r="AI90" s="41">
        <v>120188</v>
      </c>
      <c r="AJ90" s="41">
        <v>120909</v>
      </c>
      <c r="AK90" s="41">
        <v>121609</v>
      </c>
      <c r="AL90" s="41">
        <v>122299</v>
      </c>
      <c r="AM90" s="41">
        <v>122983</v>
      </c>
      <c r="AN90" s="41">
        <v>123643</v>
      </c>
      <c r="AO90" s="41">
        <v>124303</v>
      </c>
      <c r="AP90" s="41">
        <v>124949</v>
      </c>
      <c r="AQ90" s="41">
        <v>125605</v>
      </c>
    </row>
    <row r="91" spans="1:43">
      <c r="A91" s="38" t="s">
        <v>298</v>
      </c>
      <c r="B91" s="38" t="s">
        <v>299</v>
      </c>
      <c r="C91" s="41">
        <v>40745</v>
      </c>
      <c r="D91" s="41">
        <v>41053</v>
      </c>
      <c r="E91" s="41">
        <v>41540</v>
      </c>
      <c r="F91" s="41">
        <v>42156</v>
      </c>
      <c r="G91" s="41">
        <v>42756</v>
      </c>
      <c r="H91" s="41">
        <v>43186</v>
      </c>
      <c r="I91" s="41">
        <v>43555</v>
      </c>
      <c r="J91" s="41">
        <v>43911</v>
      </c>
      <c r="K91" s="41">
        <v>43848</v>
      </c>
      <c r="L91" s="41">
        <v>43977</v>
      </c>
      <c r="M91" s="41">
        <v>44780</v>
      </c>
      <c r="N91" s="41">
        <v>45062</v>
      </c>
      <c r="O91" s="41">
        <v>45242</v>
      </c>
      <c r="P91" s="41">
        <v>45691</v>
      </c>
      <c r="Q91" s="41">
        <v>46074</v>
      </c>
      <c r="R91" s="41">
        <v>46559</v>
      </c>
      <c r="S91" s="41">
        <v>46936</v>
      </c>
      <c r="T91" s="41">
        <v>47352</v>
      </c>
      <c r="U91" s="41">
        <v>47760</v>
      </c>
      <c r="V91" s="41">
        <v>48171</v>
      </c>
      <c r="W91" s="41">
        <v>48572</v>
      </c>
      <c r="X91" s="41">
        <v>49076</v>
      </c>
      <c r="Y91" s="41">
        <v>49567</v>
      </c>
      <c r="Z91" s="41">
        <v>50081</v>
      </c>
      <c r="AA91" s="41">
        <v>50580</v>
      </c>
      <c r="AB91" s="41">
        <v>51100</v>
      </c>
      <c r="AC91" s="41">
        <v>51629</v>
      </c>
      <c r="AD91" s="41">
        <v>52156</v>
      </c>
      <c r="AE91" s="41">
        <v>52679</v>
      </c>
      <c r="AF91" s="41">
        <v>53187</v>
      </c>
      <c r="AG91" s="41">
        <v>53706</v>
      </c>
      <c r="AH91" s="41">
        <v>54216</v>
      </c>
      <c r="AI91" s="41">
        <v>54721</v>
      </c>
      <c r="AJ91" s="41">
        <v>55231</v>
      </c>
      <c r="AK91" s="41">
        <v>55721</v>
      </c>
      <c r="AL91" s="41">
        <v>56206</v>
      </c>
      <c r="AM91" s="41">
        <v>56671</v>
      </c>
      <c r="AN91" s="41">
        <v>57139</v>
      </c>
      <c r="AO91" s="41">
        <v>57599</v>
      </c>
      <c r="AP91" s="41">
        <v>58051</v>
      </c>
      <c r="AQ91" s="41">
        <v>58499</v>
      </c>
    </row>
    <row r="92" spans="1:43">
      <c r="A92" s="38" t="s">
        <v>300</v>
      </c>
      <c r="B92" s="38" t="s">
        <v>301</v>
      </c>
      <c r="C92" s="41">
        <v>46729</v>
      </c>
      <c r="D92" s="41">
        <v>47012</v>
      </c>
      <c r="E92" s="41">
        <v>47255</v>
      </c>
      <c r="F92" s="41">
        <v>47618</v>
      </c>
      <c r="G92" s="41">
        <v>48227</v>
      </c>
      <c r="H92" s="41">
        <v>48936</v>
      </c>
      <c r="I92" s="41">
        <v>49441</v>
      </c>
      <c r="J92" s="41">
        <v>49879</v>
      </c>
      <c r="K92" s="41">
        <v>50461</v>
      </c>
      <c r="L92" s="41">
        <v>51243</v>
      </c>
      <c r="M92" s="41">
        <v>52117</v>
      </c>
      <c r="N92" s="41">
        <v>52576</v>
      </c>
      <c r="O92" s="41">
        <v>52998</v>
      </c>
      <c r="P92" s="41">
        <v>53509</v>
      </c>
      <c r="Q92" s="41">
        <v>53779</v>
      </c>
      <c r="R92" s="41">
        <v>54228</v>
      </c>
      <c r="S92" s="41">
        <v>54639</v>
      </c>
      <c r="T92" s="41">
        <v>55055</v>
      </c>
      <c r="U92" s="41">
        <v>55469</v>
      </c>
      <c r="V92" s="41">
        <v>55863</v>
      </c>
      <c r="W92" s="41">
        <v>56228</v>
      </c>
      <c r="X92" s="41">
        <v>56652</v>
      </c>
      <c r="Y92" s="41">
        <v>57065</v>
      </c>
      <c r="Z92" s="41">
        <v>57473</v>
      </c>
      <c r="AA92" s="41">
        <v>57841</v>
      </c>
      <c r="AB92" s="41">
        <v>58211</v>
      </c>
      <c r="AC92" s="41">
        <v>58604</v>
      </c>
      <c r="AD92" s="41">
        <v>58980</v>
      </c>
      <c r="AE92" s="41">
        <v>59361</v>
      </c>
      <c r="AF92" s="41">
        <v>59718</v>
      </c>
      <c r="AG92" s="41">
        <v>60077</v>
      </c>
      <c r="AH92" s="41">
        <v>60432</v>
      </c>
      <c r="AI92" s="41">
        <v>60775</v>
      </c>
      <c r="AJ92" s="41">
        <v>61125</v>
      </c>
      <c r="AK92" s="41">
        <v>61469</v>
      </c>
      <c r="AL92" s="41">
        <v>61812</v>
      </c>
      <c r="AM92" s="41">
        <v>62131</v>
      </c>
      <c r="AN92" s="41">
        <v>62458</v>
      </c>
      <c r="AO92" s="41">
        <v>62774</v>
      </c>
      <c r="AP92" s="41">
        <v>63097</v>
      </c>
      <c r="AQ92" s="41">
        <v>63416</v>
      </c>
    </row>
    <row r="93" spans="1:43">
      <c r="A93" s="38" t="s">
        <v>302</v>
      </c>
      <c r="B93" s="38" t="s">
        <v>303</v>
      </c>
      <c r="C93" s="41">
        <v>21059</v>
      </c>
      <c r="D93" s="41">
        <v>21313</v>
      </c>
      <c r="E93" s="41">
        <v>21637</v>
      </c>
      <c r="F93" s="41">
        <v>21985</v>
      </c>
      <c r="G93" s="41">
        <v>22191</v>
      </c>
      <c r="H93" s="41">
        <v>22358</v>
      </c>
      <c r="I93" s="41">
        <v>22534</v>
      </c>
      <c r="J93" s="41">
        <v>22694</v>
      </c>
      <c r="K93" s="41">
        <v>22883</v>
      </c>
      <c r="L93" s="41">
        <v>22968</v>
      </c>
      <c r="M93" s="41">
        <v>22991</v>
      </c>
      <c r="N93" s="41">
        <v>23139</v>
      </c>
      <c r="O93" s="41">
        <v>23184</v>
      </c>
      <c r="P93" s="41">
        <v>23296</v>
      </c>
      <c r="Q93" s="41">
        <v>23425</v>
      </c>
      <c r="R93" s="41">
        <v>23572</v>
      </c>
      <c r="S93" s="41">
        <v>23664</v>
      </c>
      <c r="T93" s="41">
        <v>23755</v>
      </c>
      <c r="U93" s="41">
        <v>23833</v>
      </c>
      <c r="V93" s="41">
        <v>23913</v>
      </c>
      <c r="W93" s="41">
        <v>23976</v>
      </c>
      <c r="X93" s="41">
        <v>24062</v>
      </c>
      <c r="Y93" s="41">
        <v>24131</v>
      </c>
      <c r="Z93" s="41">
        <v>24209</v>
      </c>
      <c r="AA93" s="41">
        <v>24271</v>
      </c>
      <c r="AB93" s="41">
        <v>24322</v>
      </c>
      <c r="AC93" s="41">
        <v>24391</v>
      </c>
      <c r="AD93" s="41">
        <v>24443</v>
      </c>
      <c r="AE93" s="41">
        <v>24482</v>
      </c>
      <c r="AF93" s="41">
        <v>24538</v>
      </c>
      <c r="AG93" s="41">
        <v>24580</v>
      </c>
      <c r="AH93" s="41">
        <v>24614</v>
      </c>
      <c r="AI93" s="41">
        <v>24655</v>
      </c>
      <c r="AJ93" s="41">
        <v>24682</v>
      </c>
      <c r="AK93" s="41">
        <v>24709</v>
      </c>
      <c r="AL93" s="41">
        <v>24730</v>
      </c>
      <c r="AM93" s="41">
        <v>24751</v>
      </c>
      <c r="AN93" s="41">
        <v>24770</v>
      </c>
      <c r="AO93" s="41">
        <v>24788</v>
      </c>
      <c r="AP93" s="41">
        <v>24807</v>
      </c>
      <c r="AQ93" s="41">
        <v>24818</v>
      </c>
    </row>
    <row r="94" spans="1:43">
      <c r="A94" s="38" t="s">
        <v>304</v>
      </c>
      <c r="B94" s="38" t="s">
        <v>305</v>
      </c>
      <c r="C94" s="41">
        <v>50711</v>
      </c>
      <c r="D94" s="41">
        <v>50964</v>
      </c>
      <c r="E94" s="41">
        <v>51283</v>
      </c>
      <c r="F94" s="41">
        <v>51398</v>
      </c>
      <c r="G94" s="41">
        <v>51885</v>
      </c>
      <c r="H94" s="41">
        <v>52328</v>
      </c>
      <c r="I94" s="41">
        <v>52491</v>
      </c>
      <c r="J94" s="41">
        <v>52484</v>
      </c>
      <c r="K94" s="41">
        <v>52419</v>
      </c>
      <c r="L94" s="41">
        <v>52670</v>
      </c>
      <c r="M94" s="41">
        <v>52824</v>
      </c>
      <c r="N94" s="41">
        <v>52997</v>
      </c>
      <c r="O94" s="41">
        <v>53357</v>
      </c>
      <c r="P94" s="41">
        <v>53726</v>
      </c>
      <c r="Q94" s="41">
        <v>53875</v>
      </c>
      <c r="R94" s="41">
        <v>54068</v>
      </c>
      <c r="S94" s="41">
        <v>54369</v>
      </c>
      <c r="T94" s="41">
        <v>54679</v>
      </c>
      <c r="U94" s="41">
        <v>54995</v>
      </c>
      <c r="V94" s="41">
        <v>55294</v>
      </c>
      <c r="W94" s="41">
        <v>55595</v>
      </c>
      <c r="X94" s="41">
        <v>56014</v>
      </c>
      <c r="Y94" s="41">
        <v>56418</v>
      </c>
      <c r="Z94" s="41">
        <v>56804</v>
      </c>
      <c r="AA94" s="41">
        <v>57168</v>
      </c>
      <c r="AB94" s="41">
        <v>57539</v>
      </c>
      <c r="AC94" s="41">
        <v>57907</v>
      </c>
      <c r="AD94" s="41">
        <v>58272</v>
      </c>
      <c r="AE94" s="41">
        <v>58610</v>
      </c>
      <c r="AF94" s="41">
        <v>58936</v>
      </c>
      <c r="AG94" s="41">
        <v>59269</v>
      </c>
      <c r="AH94" s="41">
        <v>59602</v>
      </c>
      <c r="AI94" s="41">
        <v>59922</v>
      </c>
      <c r="AJ94" s="41">
        <v>60228</v>
      </c>
      <c r="AK94" s="41">
        <v>60536</v>
      </c>
      <c r="AL94" s="41">
        <v>60831</v>
      </c>
      <c r="AM94" s="41">
        <v>61128</v>
      </c>
      <c r="AN94" s="41">
        <v>61425</v>
      </c>
      <c r="AO94" s="41">
        <v>61707</v>
      </c>
      <c r="AP94" s="41">
        <v>61997</v>
      </c>
      <c r="AQ94" s="41">
        <v>62306</v>
      </c>
    </row>
    <row r="95" spans="1:43">
      <c r="A95" s="38" t="s">
        <v>306</v>
      </c>
      <c r="B95" s="38" t="s">
        <v>307</v>
      </c>
      <c r="C95" s="41">
        <v>111300</v>
      </c>
      <c r="D95" s="41">
        <v>112257</v>
      </c>
      <c r="E95" s="41">
        <v>112138</v>
      </c>
      <c r="F95" s="41">
        <v>111714</v>
      </c>
      <c r="G95" s="41">
        <v>112144</v>
      </c>
      <c r="H95" s="41">
        <v>112390</v>
      </c>
      <c r="I95" s="41">
        <v>113093</v>
      </c>
      <c r="J95" s="41">
        <v>114562</v>
      </c>
      <c r="K95" s="41">
        <v>115713</v>
      </c>
      <c r="L95" s="41">
        <v>117240</v>
      </c>
      <c r="M95" s="41">
        <v>119573</v>
      </c>
      <c r="N95" s="41">
        <v>120849</v>
      </c>
      <c r="O95" s="41">
        <v>122209</v>
      </c>
      <c r="P95" s="41">
        <v>123820</v>
      </c>
      <c r="Q95" s="41">
        <v>125380</v>
      </c>
      <c r="R95" s="41">
        <v>126763</v>
      </c>
      <c r="S95" s="41">
        <v>128299</v>
      </c>
      <c r="T95" s="41">
        <v>129752</v>
      </c>
      <c r="U95" s="41">
        <v>131167</v>
      </c>
      <c r="V95" s="41">
        <v>132546</v>
      </c>
      <c r="W95" s="41">
        <v>133844</v>
      </c>
      <c r="X95" s="41">
        <v>135371</v>
      </c>
      <c r="Y95" s="41">
        <v>136774</v>
      </c>
      <c r="Z95" s="41">
        <v>138188</v>
      </c>
      <c r="AA95" s="41">
        <v>139589</v>
      </c>
      <c r="AB95" s="41">
        <v>140976</v>
      </c>
      <c r="AC95" s="41">
        <v>142360</v>
      </c>
      <c r="AD95" s="41">
        <v>143705</v>
      </c>
      <c r="AE95" s="41">
        <v>145056</v>
      </c>
      <c r="AF95" s="41">
        <v>146399</v>
      </c>
      <c r="AG95" s="41">
        <v>147756</v>
      </c>
      <c r="AH95" s="41">
        <v>149098</v>
      </c>
      <c r="AI95" s="41">
        <v>150431</v>
      </c>
      <c r="AJ95" s="41">
        <v>151760</v>
      </c>
      <c r="AK95" s="41">
        <v>153084</v>
      </c>
      <c r="AL95" s="41">
        <v>154421</v>
      </c>
      <c r="AM95" s="41">
        <v>155721</v>
      </c>
      <c r="AN95" s="41">
        <v>157017</v>
      </c>
      <c r="AO95" s="41">
        <v>158275</v>
      </c>
      <c r="AP95" s="41">
        <v>159515</v>
      </c>
      <c r="AQ95" s="41">
        <v>160744</v>
      </c>
    </row>
    <row r="96" spans="1:43">
      <c r="A96" s="38" t="s">
        <v>308</v>
      </c>
      <c r="B96" s="38" t="s">
        <v>309</v>
      </c>
      <c r="C96" s="41">
        <v>50305</v>
      </c>
      <c r="D96" s="41">
        <v>50511</v>
      </c>
      <c r="E96" s="41">
        <v>50444</v>
      </c>
      <c r="F96" s="41">
        <v>50505</v>
      </c>
      <c r="G96" s="41">
        <v>50547</v>
      </c>
      <c r="H96" s="41">
        <v>50871</v>
      </c>
      <c r="I96" s="41">
        <v>51007</v>
      </c>
      <c r="J96" s="41">
        <v>51257</v>
      </c>
      <c r="K96" s="41">
        <v>51527</v>
      </c>
      <c r="L96" s="41">
        <v>51790</v>
      </c>
      <c r="M96" s="41">
        <v>51942</v>
      </c>
      <c r="N96" s="41">
        <v>52316</v>
      </c>
      <c r="O96" s="41">
        <v>52689</v>
      </c>
      <c r="P96" s="41">
        <v>53144</v>
      </c>
      <c r="Q96" s="41">
        <v>53424</v>
      </c>
      <c r="R96" s="41">
        <v>53632</v>
      </c>
      <c r="S96" s="41">
        <v>54060</v>
      </c>
      <c r="T96" s="41">
        <v>54516</v>
      </c>
      <c r="U96" s="41">
        <v>54918</v>
      </c>
      <c r="V96" s="41">
        <v>55325</v>
      </c>
      <c r="W96" s="41">
        <v>55729</v>
      </c>
      <c r="X96" s="41">
        <v>56250</v>
      </c>
      <c r="Y96" s="41">
        <v>56739</v>
      </c>
      <c r="Z96" s="41">
        <v>57228</v>
      </c>
      <c r="AA96" s="41">
        <v>57721</v>
      </c>
      <c r="AB96" s="41">
        <v>58206</v>
      </c>
      <c r="AC96" s="41">
        <v>58731</v>
      </c>
      <c r="AD96" s="41">
        <v>59229</v>
      </c>
      <c r="AE96" s="41">
        <v>59727</v>
      </c>
      <c r="AF96" s="41">
        <v>60227</v>
      </c>
      <c r="AG96" s="41">
        <v>60739</v>
      </c>
      <c r="AH96" s="41">
        <v>61262</v>
      </c>
      <c r="AI96" s="41">
        <v>61784</v>
      </c>
      <c r="AJ96" s="41">
        <v>62293</v>
      </c>
      <c r="AK96" s="41">
        <v>62813</v>
      </c>
      <c r="AL96" s="41">
        <v>63339</v>
      </c>
      <c r="AM96" s="41">
        <v>63864</v>
      </c>
      <c r="AN96" s="41">
        <v>64392</v>
      </c>
      <c r="AO96" s="41">
        <v>64911</v>
      </c>
      <c r="AP96" s="41">
        <v>65433</v>
      </c>
      <c r="AQ96" s="41">
        <v>65968</v>
      </c>
    </row>
    <row r="97" spans="1:43">
      <c r="A97" s="38" t="s">
        <v>310</v>
      </c>
      <c r="B97" s="38" t="s">
        <v>311</v>
      </c>
      <c r="C97" s="41">
        <v>27177</v>
      </c>
      <c r="D97" s="41">
        <v>27253</v>
      </c>
      <c r="E97" s="41">
        <v>27213</v>
      </c>
      <c r="F97" s="41">
        <v>27403</v>
      </c>
      <c r="G97" s="41">
        <v>27655</v>
      </c>
      <c r="H97" s="41">
        <v>27886</v>
      </c>
      <c r="I97" s="41">
        <v>28241</v>
      </c>
      <c r="J97" s="41">
        <v>28650</v>
      </c>
      <c r="K97" s="41">
        <v>28834</v>
      </c>
      <c r="L97" s="41">
        <v>29202</v>
      </c>
      <c r="M97" s="41">
        <v>29733</v>
      </c>
      <c r="N97" s="41">
        <v>29931</v>
      </c>
      <c r="O97" s="41">
        <v>30281</v>
      </c>
      <c r="P97" s="41">
        <v>30528</v>
      </c>
      <c r="Q97" s="41">
        <v>30700</v>
      </c>
      <c r="R97" s="41">
        <v>30871</v>
      </c>
      <c r="S97" s="41">
        <v>31109</v>
      </c>
      <c r="T97" s="41">
        <v>31338</v>
      </c>
      <c r="U97" s="41">
        <v>31578</v>
      </c>
      <c r="V97" s="41">
        <v>31813</v>
      </c>
      <c r="W97" s="41">
        <v>32028</v>
      </c>
      <c r="X97" s="41">
        <v>32322</v>
      </c>
      <c r="Y97" s="41">
        <v>32611</v>
      </c>
      <c r="Z97" s="41">
        <v>32894</v>
      </c>
      <c r="AA97" s="41">
        <v>33171</v>
      </c>
      <c r="AB97" s="41">
        <v>33444</v>
      </c>
      <c r="AC97" s="41">
        <v>33724</v>
      </c>
      <c r="AD97" s="41">
        <v>34001</v>
      </c>
      <c r="AE97" s="41">
        <v>34261</v>
      </c>
      <c r="AF97" s="41">
        <v>34522</v>
      </c>
      <c r="AG97" s="41">
        <v>34791</v>
      </c>
      <c r="AH97" s="41">
        <v>35040</v>
      </c>
      <c r="AI97" s="41">
        <v>35292</v>
      </c>
      <c r="AJ97" s="41">
        <v>35531</v>
      </c>
      <c r="AK97" s="41">
        <v>35771</v>
      </c>
      <c r="AL97" s="41">
        <v>36010</v>
      </c>
      <c r="AM97" s="41">
        <v>36236</v>
      </c>
      <c r="AN97" s="41">
        <v>36457</v>
      </c>
      <c r="AO97" s="41">
        <v>36672</v>
      </c>
      <c r="AP97" s="41">
        <v>36887</v>
      </c>
      <c r="AQ97" s="41">
        <v>37109</v>
      </c>
    </row>
    <row r="98" spans="1:43">
      <c r="A98" s="38" t="s">
        <v>312</v>
      </c>
      <c r="B98" s="38" t="s">
        <v>313</v>
      </c>
      <c r="C98" s="41">
        <v>45867</v>
      </c>
      <c r="D98" s="41">
        <v>46105</v>
      </c>
      <c r="E98" s="41">
        <v>46167</v>
      </c>
      <c r="F98" s="41">
        <v>46314</v>
      </c>
      <c r="G98" s="41">
        <v>46509</v>
      </c>
      <c r="H98" s="41">
        <v>46608</v>
      </c>
      <c r="I98" s="41">
        <v>46886</v>
      </c>
      <c r="J98" s="41">
        <v>47228</v>
      </c>
      <c r="K98" s="41">
        <v>47561</v>
      </c>
      <c r="L98" s="41">
        <v>47979</v>
      </c>
      <c r="M98" s="41">
        <v>48446</v>
      </c>
      <c r="N98" s="41">
        <v>48827</v>
      </c>
      <c r="O98" s="41">
        <v>49101</v>
      </c>
      <c r="P98" s="41">
        <v>49648</v>
      </c>
      <c r="Q98" s="41">
        <v>49966</v>
      </c>
      <c r="R98" s="41">
        <v>50378</v>
      </c>
      <c r="S98" s="41">
        <v>50745</v>
      </c>
      <c r="T98" s="41">
        <v>51113</v>
      </c>
      <c r="U98" s="41">
        <v>51472</v>
      </c>
      <c r="V98" s="41">
        <v>51818</v>
      </c>
      <c r="W98" s="41">
        <v>52129</v>
      </c>
      <c r="X98" s="41">
        <v>52448</v>
      </c>
      <c r="Y98" s="41">
        <v>52732</v>
      </c>
      <c r="Z98" s="41">
        <v>53026</v>
      </c>
      <c r="AA98" s="41">
        <v>53299</v>
      </c>
      <c r="AB98" s="41">
        <v>53563</v>
      </c>
      <c r="AC98" s="41">
        <v>53853</v>
      </c>
      <c r="AD98" s="41">
        <v>54117</v>
      </c>
      <c r="AE98" s="41">
        <v>54397</v>
      </c>
      <c r="AF98" s="41">
        <v>54664</v>
      </c>
      <c r="AG98" s="41">
        <v>54945</v>
      </c>
      <c r="AH98" s="41">
        <v>55240</v>
      </c>
      <c r="AI98" s="41">
        <v>55539</v>
      </c>
      <c r="AJ98" s="41">
        <v>55825</v>
      </c>
      <c r="AK98" s="41">
        <v>56112</v>
      </c>
      <c r="AL98" s="41">
        <v>56411</v>
      </c>
      <c r="AM98" s="41">
        <v>56712</v>
      </c>
      <c r="AN98" s="41">
        <v>57016</v>
      </c>
      <c r="AO98" s="41">
        <v>57323</v>
      </c>
      <c r="AP98" s="41">
        <v>57612</v>
      </c>
      <c r="AQ98" s="41">
        <v>57907</v>
      </c>
    </row>
    <row r="99" spans="1:43">
      <c r="A99" s="38" t="s">
        <v>314</v>
      </c>
      <c r="B99" s="38" t="s">
        <v>315</v>
      </c>
      <c r="C99" s="41">
        <v>46256</v>
      </c>
      <c r="D99" s="41">
        <v>46147</v>
      </c>
      <c r="E99" s="41">
        <v>46371</v>
      </c>
      <c r="F99" s="41">
        <v>46329</v>
      </c>
      <c r="G99" s="41">
        <v>47115</v>
      </c>
      <c r="H99" s="41">
        <v>47230</v>
      </c>
      <c r="I99" s="41">
        <v>47693</v>
      </c>
      <c r="J99" s="41">
        <v>47688</v>
      </c>
      <c r="K99" s="41">
        <v>47741</v>
      </c>
      <c r="L99" s="41">
        <v>48020</v>
      </c>
      <c r="M99" s="41">
        <v>48750</v>
      </c>
      <c r="N99" s="41">
        <v>49380</v>
      </c>
      <c r="O99" s="41">
        <v>50091</v>
      </c>
      <c r="P99" s="41">
        <v>50743</v>
      </c>
      <c r="Q99" s="41">
        <v>51689</v>
      </c>
      <c r="R99" s="41">
        <v>52488</v>
      </c>
      <c r="S99" s="41">
        <v>53112</v>
      </c>
      <c r="T99" s="41">
        <v>53632</v>
      </c>
      <c r="U99" s="41">
        <v>54135</v>
      </c>
      <c r="V99" s="41">
        <v>54593</v>
      </c>
      <c r="W99" s="41">
        <v>55028</v>
      </c>
      <c r="X99" s="41">
        <v>55504</v>
      </c>
      <c r="Y99" s="41">
        <v>55964</v>
      </c>
      <c r="Z99" s="41">
        <v>56462</v>
      </c>
      <c r="AA99" s="41">
        <v>56974</v>
      </c>
      <c r="AB99" s="41">
        <v>57482</v>
      </c>
      <c r="AC99" s="41">
        <v>58018</v>
      </c>
      <c r="AD99" s="41">
        <v>58546</v>
      </c>
      <c r="AE99" s="41">
        <v>59057</v>
      </c>
      <c r="AF99" s="41">
        <v>59554</v>
      </c>
      <c r="AG99" s="41">
        <v>60055</v>
      </c>
      <c r="AH99" s="41">
        <v>60562</v>
      </c>
      <c r="AI99" s="41">
        <v>61023</v>
      </c>
      <c r="AJ99" s="41">
        <v>61469</v>
      </c>
      <c r="AK99" s="41">
        <v>61905</v>
      </c>
      <c r="AL99" s="41">
        <v>62359</v>
      </c>
      <c r="AM99" s="41">
        <v>62800</v>
      </c>
      <c r="AN99" s="41">
        <v>63235</v>
      </c>
      <c r="AO99" s="41">
        <v>63649</v>
      </c>
      <c r="AP99" s="41">
        <v>64045</v>
      </c>
      <c r="AQ99" s="41">
        <v>64453</v>
      </c>
    </row>
    <row r="100" spans="1:43">
      <c r="A100" s="38" t="s">
        <v>316</v>
      </c>
      <c r="B100" s="38" t="s">
        <v>317</v>
      </c>
      <c r="C100" s="41">
        <v>43413</v>
      </c>
      <c r="D100" s="41">
        <v>43676</v>
      </c>
      <c r="E100" s="41">
        <v>43896</v>
      </c>
      <c r="F100" s="41">
        <v>43989</v>
      </c>
      <c r="G100" s="41">
        <v>44002</v>
      </c>
      <c r="H100" s="41">
        <v>44362</v>
      </c>
      <c r="I100" s="41">
        <v>44813</v>
      </c>
      <c r="J100" s="41">
        <v>45300</v>
      </c>
      <c r="K100" s="41">
        <v>45589</v>
      </c>
      <c r="L100" s="41">
        <v>45907</v>
      </c>
      <c r="M100" s="41">
        <v>46679</v>
      </c>
      <c r="N100" s="41">
        <v>47078</v>
      </c>
      <c r="O100" s="41">
        <v>47499</v>
      </c>
      <c r="P100" s="41">
        <v>47973</v>
      </c>
      <c r="Q100" s="41">
        <v>48325</v>
      </c>
      <c r="R100" s="41">
        <v>48679</v>
      </c>
      <c r="S100" s="41">
        <v>49027</v>
      </c>
      <c r="T100" s="41">
        <v>49398</v>
      </c>
      <c r="U100" s="41">
        <v>49774</v>
      </c>
      <c r="V100" s="41">
        <v>50115</v>
      </c>
      <c r="W100" s="41">
        <v>50443</v>
      </c>
      <c r="X100" s="41">
        <v>50801</v>
      </c>
      <c r="Y100" s="41">
        <v>51162</v>
      </c>
      <c r="Z100" s="41">
        <v>51521</v>
      </c>
      <c r="AA100" s="41">
        <v>51861</v>
      </c>
      <c r="AB100" s="41">
        <v>52207</v>
      </c>
      <c r="AC100" s="41">
        <v>52559</v>
      </c>
      <c r="AD100" s="41">
        <v>52904</v>
      </c>
      <c r="AE100" s="41">
        <v>53241</v>
      </c>
      <c r="AF100" s="41">
        <v>53562</v>
      </c>
      <c r="AG100" s="41">
        <v>53885</v>
      </c>
      <c r="AH100" s="41">
        <v>54208</v>
      </c>
      <c r="AI100" s="41">
        <v>54525</v>
      </c>
      <c r="AJ100" s="41">
        <v>54839</v>
      </c>
      <c r="AK100" s="41">
        <v>55148</v>
      </c>
      <c r="AL100" s="41">
        <v>55455</v>
      </c>
      <c r="AM100" s="41">
        <v>55753</v>
      </c>
      <c r="AN100" s="41">
        <v>56059</v>
      </c>
      <c r="AO100" s="41">
        <v>56361</v>
      </c>
      <c r="AP100" s="41">
        <v>56660</v>
      </c>
      <c r="AQ100" s="41">
        <v>56961</v>
      </c>
    </row>
    <row r="101" spans="1:43">
      <c r="A101" s="38" t="s">
        <v>318</v>
      </c>
      <c r="B101" s="38" t="s">
        <v>319</v>
      </c>
      <c r="C101" s="41">
        <v>35053</v>
      </c>
      <c r="D101" s="41">
        <v>35501</v>
      </c>
      <c r="E101" s="41">
        <v>36172</v>
      </c>
      <c r="F101" s="41">
        <v>36883</v>
      </c>
      <c r="G101" s="41">
        <v>37371</v>
      </c>
      <c r="H101" s="41">
        <v>38132</v>
      </c>
      <c r="I101" s="41">
        <v>38972</v>
      </c>
      <c r="J101" s="41">
        <v>39360</v>
      </c>
      <c r="K101" s="41">
        <v>39779</v>
      </c>
      <c r="L101" s="41">
        <v>40163</v>
      </c>
      <c r="M101" s="41">
        <v>40531</v>
      </c>
      <c r="N101" s="41">
        <v>40755</v>
      </c>
      <c r="O101" s="41">
        <v>41045</v>
      </c>
      <c r="P101" s="41">
        <v>41501</v>
      </c>
      <c r="Q101" s="41">
        <v>41955</v>
      </c>
      <c r="R101" s="41">
        <v>42319</v>
      </c>
      <c r="S101" s="41">
        <v>42655</v>
      </c>
      <c r="T101" s="41">
        <v>43013</v>
      </c>
      <c r="U101" s="41">
        <v>43357</v>
      </c>
      <c r="V101" s="41">
        <v>43654</v>
      </c>
      <c r="W101" s="41">
        <v>43967</v>
      </c>
      <c r="X101" s="41">
        <v>44327</v>
      </c>
      <c r="Y101" s="41">
        <v>44697</v>
      </c>
      <c r="Z101" s="41">
        <v>45058</v>
      </c>
      <c r="AA101" s="41">
        <v>45390</v>
      </c>
      <c r="AB101" s="41">
        <v>45733</v>
      </c>
      <c r="AC101" s="41">
        <v>46081</v>
      </c>
      <c r="AD101" s="41">
        <v>46437</v>
      </c>
      <c r="AE101" s="41">
        <v>46786</v>
      </c>
      <c r="AF101" s="41">
        <v>47125</v>
      </c>
      <c r="AG101" s="41">
        <v>47477</v>
      </c>
      <c r="AH101" s="41">
        <v>47829</v>
      </c>
      <c r="AI101" s="41">
        <v>48180</v>
      </c>
      <c r="AJ101" s="41">
        <v>48522</v>
      </c>
      <c r="AK101" s="41">
        <v>48863</v>
      </c>
      <c r="AL101" s="41">
        <v>49205</v>
      </c>
      <c r="AM101" s="41">
        <v>49536</v>
      </c>
      <c r="AN101" s="41">
        <v>49857</v>
      </c>
      <c r="AO101" s="41">
        <v>50172</v>
      </c>
      <c r="AP101" s="41">
        <v>50479</v>
      </c>
      <c r="AQ101" s="41">
        <v>50794</v>
      </c>
    </row>
    <row r="102" spans="1:43">
      <c r="A102" s="38" t="s">
        <v>320</v>
      </c>
      <c r="B102" s="38" t="s">
        <v>321</v>
      </c>
      <c r="C102" s="41">
        <v>40966</v>
      </c>
      <c r="D102" s="41">
        <v>41474</v>
      </c>
      <c r="E102" s="41">
        <v>42055</v>
      </c>
      <c r="F102" s="41">
        <v>42699</v>
      </c>
      <c r="G102" s="41">
        <v>43372</v>
      </c>
      <c r="H102" s="41">
        <v>43922</v>
      </c>
      <c r="I102" s="41">
        <v>44627</v>
      </c>
      <c r="J102" s="41">
        <v>45148</v>
      </c>
      <c r="K102" s="41">
        <v>45658</v>
      </c>
      <c r="L102" s="41">
        <v>46259</v>
      </c>
      <c r="M102" s="41">
        <v>47330</v>
      </c>
      <c r="N102" s="41">
        <v>47719</v>
      </c>
      <c r="O102" s="41">
        <v>48039</v>
      </c>
      <c r="P102" s="41">
        <v>48525</v>
      </c>
      <c r="Q102" s="41">
        <v>48929</v>
      </c>
      <c r="R102" s="41">
        <v>49597</v>
      </c>
      <c r="S102" s="41">
        <v>50082</v>
      </c>
      <c r="T102" s="41">
        <v>50569</v>
      </c>
      <c r="U102" s="41">
        <v>51054</v>
      </c>
      <c r="V102" s="41">
        <v>51526</v>
      </c>
      <c r="W102" s="41">
        <v>51998</v>
      </c>
      <c r="X102" s="41">
        <v>52517</v>
      </c>
      <c r="Y102" s="41">
        <v>53027</v>
      </c>
      <c r="Z102" s="41">
        <v>53533</v>
      </c>
      <c r="AA102" s="41">
        <v>54009</v>
      </c>
      <c r="AB102" s="41">
        <v>54508</v>
      </c>
      <c r="AC102" s="41">
        <v>55039</v>
      </c>
      <c r="AD102" s="41">
        <v>55552</v>
      </c>
      <c r="AE102" s="41">
        <v>56063</v>
      </c>
      <c r="AF102" s="41">
        <v>56546</v>
      </c>
      <c r="AG102" s="41">
        <v>57033</v>
      </c>
      <c r="AH102" s="41">
        <v>57529</v>
      </c>
      <c r="AI102" s="41">
        <v>58012</v>
      </c>
      <c r="AJ102" s="41">
        <v>58496</v>
      </c>
      <c r="AK102" s="41">
        <v>58959</v>
      </c>
      <c r="AL102" s="41">
        <v>59427</v>
      </c>
      <c r="AM102" s="41">
        <v>59875</v>
      </c>
      <c r="AN102" s="41">
        <v>60326</v>
      </c>
      <c r="AO102" s="41">
        <v>60785</v>
      </c>
      <c r="AP102" s="41">
        <v>61226</v>
      </c>
      <c r="AQ102" s="41">
        <v>61668</v>
      </c>
    </row>
    <row r="103" spans="1:43">
      <c r="A103" s="38" t="s">
        <v>322</v>
      </c>
      <c r="B103" s="38" t="s">
        <v>323</v>
      </c>
      <c r="C103" s="41">
        <v>32420</v>
      </c>
      <c r="D103" s="41">
        <v>32527</v>
      </c>
      <c r="E103" s="41">
        <v>32789</v>
      </c>
      <c r="F103" s="41">
        <v>33010</v>
      </c>
      <c r="G103" s="41">
        <v>33263</v>
      </c>
      <c r="H103" s="41">
        <v>33461</v>
      </c>
      <c r="I103" s="41">
        <v>33644</v>
      </c>
      <c r="J103" s="41">
        <v>33805</v>
      </c>
      <c r="K103" s="41">
        <v>33880</v>
      </c>
      <c r="L103" s="41">
        <v>33966</v>
      </c>
      <c r="M103" s="41">
        <v>34214</v>
      </c>
      <c r="N103" s="41">
        <v>34460</v>
      </c>
      <c r="O103" s="41">
        <v>34652</v>
      </c>
      <c r="P103" s="41">
        <v>35017</v>
      </c>
      <c r="Q103" s="41">
        <v>35404</v>
      </c>
      <c r="R103" s="41">
        <v>35804</v>
      </c>
      <c r="S103" s="41">
        <v>36084</v>
      </c>
      <c r="T103" s="41">
        <v>36394</v>
      </c>
      <c r="U103" s="41">
        <v>36703</v>
      </c>
      <c r="V103" s="41">
        <v>36993</v>
      </c>
      <c r="W103" s="41">
        <v>37256</v>
      </c>
      <c r="X103" s="41">
        <v>37569</v>
      </c>
      <c r="Y103" s="41">
        <v>37903</v>
      </c>
      <c r="Z103" s="41">
        <v>38232</v>
      </c>
      <c r="AA103" s="41">
        <v>38528</v>
      </c>
      <c r="AB103" s="41">
        <v>38821</v>
      </c>
      <c r="AC103" s="41">
        <v>39099</v>
      </c>
      <c r="AD103" s="41">
        <v>39393</v>
      </c>
      <c r="AE103" s="41">
        <v>39673</v>
      </c>
      <c r="AF103" s="41">
        <v>39952</v>
      </c>
      <c r="AG103" s="41">
        <v>40227</v>
      </c>
      <c r="AH103" s="41">
        <v>40484</v>
      </c>
      <c r="AI103" s="41">
        <v>40753</v>
      </c>
      <c r="AJ103" s="41">
        <v>40990</v>
      </c>
      <c r="AK103" s="41">
        <v>41248</v>
      </c>
      <c r="AL103" s="41">
        <v>41494</v>
      </c>
      <c r="AM103" s="41">
        <v>41723</v>
      </c>
      <c r="AN103" s="41">
        <v>41954</v>
      </c>
      <c r="AO103" s="41">
        <v>42164</v>
      </c>
      <c r="AP103" s="41">
        <v>42380</v>
      </c>
      <c r="AQ103" s="41">
        <v>42589</v>
      </c>
    </row>
    <row r="104" spans="1:43">
      <c r="A104" s="38" t="s">
        <v>324</v>
      </c>
      <c r="B104" s="38" t="s">
        <v>325</v>
      </c>
      <c r="C104" s="41">
        <v>32201</v>
      </c>
      <c r="D104" s="41">
        <v>32514</v>
      </c>
      <c r="E104" s="41">
        <v>32961</v>
      </c>
      <c r="F104" s="41">
        <v>33310</v>
      </c>
      <c r="G104" s="41">
        <v>33525</v>
      </c>
      <c r="H104" s="41">
        <v>33619</v>
      </c>
      <c r="I104" s="41">
        <v>33924</v>
      </c>
      <c r="J104" s="41">
        <v>34049</v>
      </c>
      <c r="K104" s="41">
        <v>34243</v>
      </c>
      <c r="L104" s="41">
        <v>34399</v>
      </c>
      <c r="M104" s="41">
        <v>34977</v>
      </c>
      <c r="N104" s="41">
        <v>35098</v>
      </c>
      <c r="O104" s="41">
        <v>35442</v>
      </c>
      <c r="P104" s="41">
        <v>35838</v>
      </c>
      <c r="Q104" s="41">
        <v>36133</v>
      </c>
      <c r="R104" s="41">
        <v>36559</v>
      </c>
      <c r="S104" s="41">
        <v>36898</v>
      </c>
      <c r="T104" s="41">
        <v>37207</v>
      </c>
      <c r="U104" s="41">
        <v>37503</v>
      </c>
      <c r="V104" s="41">
        <v>37795</v>
      </c>
      <c r="W104" s="41">
        <v>38096</v>
      </c>
      <c r="X104" s="41">
        <v>38377</v>
      </c>
      <c r="Y104" s="41">
        <v>38643</v>
      </c>
      <c r="Z104" s="41">
        <v>38896</v>
      </c>
      <c r="AA104" s="41">
        <v>39143</v>
      </c>
      <c r="AB104" s="41">
        <v>39383</v>
      </c>
      <c r="AC104" s="41">
        <v>39649</v>
      </c>
      <c r="AD104" s="41">
        <v>39883</v>
      </c>
      <c r="AE104" s="41">
        <v>40094</v>
      </c>
      <c r="AF104" s="41">
        <v>40308</v>
      </c>
      <c r="AG104" s="41">
        <v>40509</v>
      </c>
      <c r="AH104" s="41">
        <v>40704</v>
      </c>
      <c r="AI104" s="41">
        <v>40888</v>
      </c>
      <c r="AJ104" s="41">
        <v>41081</v>
      </c>
      <c r="AK104" s="41">
        <v>41260</v>
      </c>
      <c r="AL104" s="41">
        <v>41446</v>
      </c>
      <c r="AM104" s="41">
        <v>41619</v>
      </c>
      <c r="AN104" s="41">
        <v>41783</v>
      </c>
      <c r="AO104" s="41">
        <v>41940</v>
      </c>
      <c r="AP104" s="41">
        <v>42092</v>
      </c>
      <c r="AQ104" s="41">
        <v>42243</v>
      </c>
    </row>
    <row r="105" spans="1:43">
      <c r="A105" s="38" t="s">
        <v>326</v>
      </c>
      <c r="B105" s="38" t="s">
        <v>327</v>
      </c>
      <c r="C105" s="41">
        <v>83618</v>
      </c>
      <c r="D105" s="41">
        <v>83827</v>
      </c>
      <c r="E105" s="41">
        <v>84076</v>
      </c>
      <c r="F105" s="41">
        <v>84220</v>
      </c>
      <c r="G105" s="41">
        <v>84619</v>
      </c>
      <c r="H105" s="41">
        <v>85031</v>
      </c>
      <c r="I105" s="41">
        <v>85664</v>
      </c>
      <c r="J105" s="41">
        <v>86216</v>
      </c>
      <c r="K105" s="41">
        <v>86963</v>
      </c>
      <c r="L105" s="41">
        <v>87632</v>
      </c>
      <c r="M105" s="41">
        <v>88578</v>
      </c>
      <c r="N105" s="41">
        <v>88673</v>
      </c>
      <c r="O105" s="41">
        <v>88774</v>
      </c>
      <c r="P105" s="41">
        <v>89071</v>
      </c>
      <c r="Q105" s="41">
        <v>89330</v>
      </c>
      <c r="R105" s="41">
        <v>89767</v>
      </c>
      <c r="S105" s="41">
        <v>90109</v>
      </c>
      <c r="T105" s="41">
        <v>90459</v>
      </c>
      <c r="U105" s="41">
        <v>90750</v>
      </c>
      <c r="V105" s="41">
        <v>90996</v>
      </c>
      <c r="W105" s="41">
        <v>91247</v>
      </c>
      <c r="X105" s="41">
        <v>91564</v>
      </c>
      <c r="Y105" s="41">
        <v>91829</v>
      </c>
      <c r="Z105" s="41">
        <v>92077</v>
      </c>
      <c r="AA105" s="41">
        <v>92314</v>
      </c>
      <c r="AB105" s="41">
        <v>92574</v>
      </c>
      <c r="AC105" s="41">
        <v>92868</v>
      </c>
      <c r="AD105" s="41">
        <v>93139</v>
      </c>
      <c r="AE105" s="41">
        <v>93399</v>
      </c>
      <c r="AF105" s="41">
        <v>93662</v>
      </c>
      <c r="AG105" s="41">
        <v>93962</v>
      </c>
      <c r="AH105" s="41">
        <v>94260</v>
      </c>
      <c r="AI105" s="41">
        <v>94562</v>
      </c>
      <c r="AJ105" s="41">
        <v>94861</v>
      </c>
      <c r="AK105" s="41">
        <v>95155</v>
      </c>
      <c r="AL105" s="41">
        <v>95487</v>
      </c>
      <c r="AM105" s="41">
        <v>95785</v>
      </c>
      <c r="AN105" s="41">
        <v>96086</v>
      </c>
      <c r="AO105" s="41">
        <v>96361</v>
      </c>
      <c r="AP105" s="41">
        <v>96625</v>
      </c>
      <c r="AQ105" s="41">
        <v>96916</v>
      </c>
    </row>
    <row r="106" spans="1:43">
      <c r="A106" s="38" t="s">
        <v>328</v>
      </c>
      <c r="B106" s="38" t="s">
        <v>329</v>
      </c>
      <c r="C106" s="41">
        <v>47263</v>
      </c>
      <c r="D106" s="41">
        <v>47470</v>
      </c>
      <c r="E106" s="41">
        <v>47522</v>
      </c>
      <c r="F106" s="41">
        <v>47660</v>
      </c>
      <c r="G106" s="41">
        <v>47805</v>
      </c>
      <c r="H106" s="41">
        <v>47911</v>
      </c>
      <c r="I106" s="41">
        <v>48000</v>
      </c>
      <c r="J106" s="41">
        <v>48194</v>
      </c>
      <c r="K106" s="41">
        <v>48398</v>
      </c>
      <c r="L106" s="41">
        <v>48634</v>
      </c>
      <c r="M106" s="41">
        <v>49191</v>
      </c>
      <c r="N106" s="41">
        <v>49408</v>
      </c>
      <c r="O106" s="41">
        <v>49821</v>
      </c>
      <c r="P106" s="41">
        <v>50316</v>
      </c>
      <c r="Q106" s="41">
        <v>50538</v>
      </c>
      <c r="R106" s="41">
        <v>50910</v>
      </c>
      <c r="S106" s="41">
        <v>51273</v>
      </c>
      <c r="T106" s="41">
        <v>51654</v>
      </c>
      <c r="U106" s="41">
        <v>52055</v>
      </c>
      <c r="V106" s="41">
        <v>52389</v>
      </c>
      <c r="W106" s="41">
        <v>52723</v>
      </c>
      <c r="X106" s="41">
        <v>53092</v>
      </c>
      <c r="Y106" s="41">
        <v>53450</v>
      </c>
      <c r="Z106" s="41">
        <v>53793</v>
      </c>
      <c r="AA106" s="41">
        <v>54113</v>
      </c>
      <c r="AB106" s="41">
        <v>54427</v>
      </c>
      <c r="AC106" s="41">
        <v>54775</v>
      </c>
      <c r="AD106" s="41">
        <v>55109</v>
      </c>
      <c r="AE106" s="41">
        <v>55438</v>
      </c>
      <c r="AF106" s="41">
        <v>55771</v>
      </c>
      <c r="AG106" s="41">
        <v>56116</v>
      </c>
      <c r="AH106" s="41">
        <v>56459</v>
      </c>
      <c r="AI106" s="41">
        <v>56786</v>
      </c>
      <c r="AJ106" s="41">
        <v>57112</v>
      </c>
      <c r="AK106" s="41">
        <v>57447</v>
      </c>
      <c r="AL106" s="41">
        <v>57774</v>
      </c>
      <c r="AM106" s="41">
        <v>58099</v>
      </c>
      <c r="AN106" s="41">
        <v>58405</v>
      </c>
      <c r="AO106" s="41">
        <v>58722</v>
      </c>
      <c r="AP106" s="41">
        <v>59030</v>
      </c>
      <c r="AQ106" s="41">
        <v>59356</v>
      </c>
    </row>
    <row r="107" spans="1:43">
      <c r="A107" s="38" t="s">
        <v>330</v>
      </c>
      <c r="B107" s="38" t="s">
        <v>331</v>
      </c>
      <c r="C107" s="41">
        <v>45340</v>
      </c>
      <c r="D107" s="41">
        <v>45536</v>
      </c>
      <c r="E107" s="41">
        <v>45829</v>
      </c>
      <c r="F107" s="41">
        <v>46255</v>
      </c>
      <c r="G107" s="41">
        <v>46712</v>
      </c>
      <c r="H107" s="41">
        <v>47343</v>
      </c>
      <c r="I107" s="41">
        <v>47949</v>
      </c>
      <c r="J107" s="41">
        <v>48439</v>
      </c>
      <c r="K107" s="41">
        <v>48951</v>
      </c>
      <c r="L107" s="41">
        <v>49384</v>
      </c>
      <c r="M107" s="41">
        <v>50029</v>
      </c>
      <c r="N107" s="41">
        <v>50647</v>
      </c>
      <c r="O107" s="41">
        <v>51160</v>
      </c>
      <c r="P107" s="41">
        <v>51706</v>
      </c>
      <c r="Q107" s="41">
        <v>52293</v>
      </c>
      <c r="R107" s="41">
        <v>52681</v>
      </c>
      <c r="S107" s="41">
        <v>53166</v>
      </c>
      <c r="T107" s="41">
        <v>53659</v>
      </c>
      <c r="U107" s="41">
        <v>54164</v>
      </c>
      <c r="V107" s="41">
        <v>54603</v>
      </c>
      <c r="W107" s="41">
        <v>55002</v>
      </c>
      <c r="X107" s="41">
        <v>55525</v>
      </c>
      <c r="Y107" s="41">
        <v>56031</v>
      </c>
      <c r="Z107" s="41">
        <v>56552</v>
      </c>
      <c r="AA107" s="41">
        <v>57031</v>
      </c>
      <c r="AB107" s="41">
        <v>57524</v>
      </c>
      <c r="AC107" s="41">
        <v>58005</v>
      </c>
      <c r="AD107" s="41">
        <v>58505</v>
      </c>
      <c r="AE107" s="41">
        <v>59001</v>
      </c>
      <c r="AF107" s="41">
        <v>59468</v>
      </c>
      <c r="AG107" s="41">
        <v>59947</v>
      </c>
      <c r="AH107" s="41">
        <v>60438</v>
      </c>
      <c r="AI107" s="41">
        <v>60938</v>
      </c>
      <c r="AJ107" s="41">
        <v>61399</v>
      </c>
      <c r="AK107" s="41">
        <v>61859</v>
      </c>
      <c r="AL107" s="41">
        <v>62324</v>
      </c>
      <c r="AM107" s="41">
        <v>62789</v>
      </c>
      <c r="AN107" s="41">
        <v>63262</v>
      </c>
      <c r="AO107" s="41">
        <v>63708</v>
      </c>
      <c r="AP107" s="41">
        <v>64128</v>
      </c>
      <c r="AQ107" s="41">
        <v>64570</v>
      </c>
    </row>
    <row r="108" spans="1:43">
      <c r="A108" s="38" t="s">
        <v>332</v>
      </c>
      <c r="B108" s="38" t="s">
        <v>333</v>
      </c>
      <c r="C108" s="41">
        <v>31190</v>
      </c>
      <c r="D108" s="41">
        <v>31445</v>
      </c>
      <c r="E108" s="41">
        <v>31953</v>
      </c>
      <c r="F108" s="41">
        <v>32302</v>
      </c>
      <c r="G108" s="41">
        <v>32644</v>
      </c>
      <c r="H108" s="41">
        <v>33124</v>
      </c>
      <c r="I108" s="41">
        <v>33565</v>
      </c>
      <c r="J108" s="41">
        <v>34119</v>
      </c>
      <c r="K108" s="41">
        <v>34344</v>
      </c>
      <c r="L108" s="41">
        <v>34527</v>
      </c>
      <c r="M108" s="41">
        <v>35224</v>
      </c>
      <c r="N108" s="41">
        <v>35577</v>
      </c>
      <c r="O108" s="41">
        <v>35820</v>
      </c>
      <c r="P108" s="41">
        <v>36295</v>
      </c>
      <c r="Q108" s="41">
        <v>36623</v>
      </c>
      <c r="R108" s="41">
        <v>36994</v>
      </c>
      <c r="S108" s="41">
        <v>37248</v>
      </c>
      <c r="T108" s="41">
        <v>37515</v>
      </c>
      <c r="U108" s="41">
        <v>37815</v>
      </c>
      <c r="V108" s="41">
        <v>38116</v>
      </c>
      <c r="W108" s="41">
        <v>38379</v>
      </c>
      <c r="X108" s="41">
        <v>38651</v>
      </c>
      <c r="Y108" s="41">
        <v>38919</v>
      </c>
      <c r="Z108" s="41">
        <v>39213</v>
      </c>
      <c r="AA108" s="41">
        <v>39489</v>
      </c>
      <c r="AB108" s="41">
        <v>39775</v>
      </c>
      <c r="AC108" s="41">
        <v>40052</v>
      </c>
      <c r="AD108" s="41">
        <v>40322</v>
      </c>
      <c r="AE108" s="41">
        <v>40615</v>
      </c>
      <c r="AF108" s="41">
        <v>40897</v>
      </c>
      <c r="AG108" s="41">
        <v>41169</v>
      </c>
      <c r="AH108" s="41">
        <v>41435</v>
      </c>
      <c r="AI108" s="41">
        <v>41692</v>
      </c>
      <c r="AJ108" s="41">
        <v>41948</v>
      </c>
      <c r="AK108" s="41">
        <v>42192</v>
      </c>
      <c r="AL108" s="41">
        <v>42426</v>
      </c>
      <c r="AM108" s="41">
        <v>42650</v>
      </c>
      <c r="AN108" s="41">
        <v>42873</v>
      </c>
      <c r="AO108" s="41">
        <v>43076</v>
      </c>
      <c r="AP108" s="41">
        <v>43287</v>
      </c>
      <c r="AQ108" s="41">
        <v>43499</v>
      </c>
    </row>
    <row r="109" spans="1:43">
      <c r="A109" s="38" t="s">
        <v>334</v>
      </c>
      <c r="B109" s="38" t="s">
        <v>335</v>
      </c>
      <c r="C109" s="41">
        <v>38069</v>
      </c>
      <c r="D109" s="41">
        <v>38003</v>
      </c>
      <c r="E109" s="41">
        <v>38039</v>
      </c>
      <c r="F109" s="41">
        <v>38112</v>
      </c>
      <c r="G109" s="41">
        <v>38415</v>
      </c>
      <c r="H109" s="41">
        <v>38679</v>
      </c>
      <c r="I109" s="41">
        <v>38947</v>
      </c>
      <c r="J109" s="41">
        <v>39286</v>
      </c>
      <c r="K109" s="41">
        <v>39625</v>
      </c>
      <c r="L109" s="41">
        <v>39896</v>
      </c>
      <c r="M109" s="41">
        <v>40218</v>
      </c>
      <c r="N109" s="41">
        <v>40564</v>
      </c>
      <c r="O109" s="41">
        <v>40916</v>
      </c>
      <c r="P109" s="41">
        <v>41434</v>
      </c>
      <c r="Q109" s="41">
        <v>41832</v>
      </c>
      <c r="R109" s="41">
        <v>42116</v>
      </c>
      <c r="S109" s="41">
        <v>42477</v>
      </c>
      <c r="T109" s="41">
        <v>42816</v>
      </c>
      <c r="U109" s="41">
        <v>43160</v>
      </c>
      <c r="V109" s="41">
        <v>43496</v>
      </c>
      <c r="W109" s="41">
        <v>43834</v>
      </c>
      <c r="X109" s="41">
        <v>44222</v>
      </c>
      <c r="Y109" s="41">
        <v>44593</v>
      </c>
      <c r="Z109" s="41">
        <v>44958</v>
      </c>
      <c r="AA109" s="41">
        <v>45325</v>
      </c>
      <c r="AB109" s="41">
        <v>45706</v>
      </c>
      <c r="AC109" s="41">
        <v>46099</v>
      </c>
      <c r="AD109" s="41">
        <v>46485</v>
      </c>
      <c r="AE109" s="41">
        <v>46871</v>
      </c>
      <c r="AF109" s="41">
        <v>47252</v>
      </c>
      <c r="AG109" s="41">
        <v>47643</v>
      </c>
      <c r="AH109" s="41">
        <v>48042</v>
      </c>
      <c r="AI109" s="41">
        <v>48438</v>
      </c>
      <c r="AJ109" s="41">
        <v>48835</v>
      </c>
      <c r="AK109" s="41">
        <v>49217</v>
      </c>
      <c r="AL109" s="41">
        <v>49607</v>
      </c>
      <c r="AM109" s="41">
        <v>49991</v>
      </c>
      <c r="AN109" s="41">
        <v>50375</v>
      </c>
      <c r="AO109" s="41">
        <v>50763</v>
      </c>
      <c r="AP109" s="41">
        <v>51138</v>
      </c>
      <c r="AQ109" s="41">
        <v>51526</v>
      </c>
    </row>
    <row r="110" spans="1:43">
      <c r="A110" s="38" t="s">
        <v>336</v>
      </c>
      <c r="B110" s="38" t="s">
        <v>337</v>
      </c>
      <c r="C110" s="41">
        <v>39194</v>
      </c>
      <c r="D110" s="41">
        <v>39362</v>
      </c>
      <c r="E110" s="41">
        <v>39846</v>
      </c>
      <c r="F110" s="41">
        <v>40119</v>
      </c>
      <c r="G110" s="41">
        <v>40408</v>
      </c>
      <c r="H110" s="41">
        <v>40630</v>
      </c>
      <c r="I110" s="41">
        <v>40833</v>
      </c>
      <c r="J110" s="41">
        <v>41084</v>
      </c>
      <c r="K110" s="41">
        <v>41316</v>
      </c>
      <c r="L110" s="41">
        <v>41575</v>
      </c>
      <c r="M110" s="41">
        <v>41987</v>
      </c>
      <c r="N110" s="41">
        <v>42117</v>
      </c>
      <c r="O110" s="41">
        <v>42256</v>
      </c>
      <c r="P110" s="41">
        <v>42481</v>
      </c>
      <c r="Q110" s="41">
        <v>42742</v>
      </c>
      <c r="R110" s="41">
        <v>43014</v>
      </c>
      <c r="S110" s="41">
        <v>43201</v>
      </c>
      <c r="T110" s="41">
        <v>43370</v>
      </c>
      <c r="U110" s="41">
        <v>43546</v>
      </c>
      <c r="V110" s="41">
        <v>43725</v>
      </c>
      <c r="W110" s="41">
        <v>43908</v>
      </c>
      <c r="X110" s="41">
        <v>44137</v>
      </c>
      <c r="Y110" s="41">
        <v>44349</v>
      </c>
      <c r="Z110" s="41">
        <v>44564</v>
      </c>
      <c r="AA110" s="41">
        <v>44770</v>
      </c>
      <c r="AB110" s="41">
        <v>45001</v>
      </c>
      <c r="AC110" s="41">
        <v>45254</v>
      </c>
      <c r="AD110" s="41">
        <v>45493</v>
      </c>
      <c r="AE110" s="41">
        <v>45705</v>
      </c>
      <c r="AF110" s="41">
        <v>45943</v>
      </c>
      <c r="AG110" s="41">
        <v>46160</v>
      </c>
      <c r="AH110" s="41">
        <v>46402</v>
      </c>
      <c r="AI110" s="41">
        <v>46628</v>
      </c>
      <c r="AJ110" s="41">
        <v>46852</v>
      </c>
      <c r="AK110" s="41">
        <v>47082</v>
      </c>
      <c r="AL110" s="41">
        <v>47294</v>
      </c>
      <c r="AM110" s="41">
        <v>47506</v>
      </c>
      <c r="AN110" s="41">
        <v>47716</v>
      </c>
      <c r="AO110" s="41">
        <v>47934</v>
      </c>
      <c r="AP110" s="41">
        <v>48142</v>
      </c>
      <c r="AQ110" s="41">
        <v>48352</v>
      </c>
    </row>
    <row r="111" spans="1:43">
      <c r="A111" s="38" t="s">
        <v>338</v>
      </c>
      <c r="B111" s="38" t="s">
        <v>339</v>
      </c>
      <c r="C111" s="41">
        <v>93458</v>
      </c>
      <c r="D111" s="41">
        <v>94351</v>
      </c>
      <c r="E111" s="41">
        <v>94674</v>
      </c>
      <c r="F111" s="41">
        <v>95013</v>
      </c>
      <c r="G111" s="41">
        <v>95483</v>
      </c>
      <c r="H111" s="41">
        <v>95969</v>
      </c>
      <c r="I111" s="41">
        <v>96022</v>
      </c>
      <c r="J111" s="41">
        <v>96646</v>
      </c>
      <c r="K111" s="41">
        <v>97612</v>
      </c>
      <c r="L111" s="41">
        <v>99120</v>
      </c>
      <c r="M111" s="41">
        <v>100566</v>
      </c>
      <c r="N111" s="41">
        <v>101490</v>
      </c>
      <c r="O111" s="41">
        <v>102687</v>
      </c>
      <c r="P111" s="41">
        <v>104323</v>
      </c>
      <c r="Q111" s="41">
        <v>106094</v>
      </c>
      <c r="R111" s="41">
        <v>107461</v>
      </c>
      <c r="S111" s="41">
        <v>108720</v>
      </c>
      <c r="T111" s="41">
        <v>110046</v>
      </c>
      <c r="U111" s="41">
        <v>111289</v>
      </c>
      <c r="V111" s="41">
        <v>112463</v>
      </c>
      <c r="W111" s="41">
        <v>113538</v>
      </c>
      <c r="X111" s="41">
        <v>115247</v>
      </c>
      <c r="Y111" s="41">
        <v>116944</v>
      </c>
      <c r="Z111" s="41">
        <v>118597</v>
      </c>
      <c r="AA111" s="41">
        <v>120216</v>
      </c>
      <c r="AB111" s="41">
        <v>121800</v>
      </c>
      <c r="AC111" s="41">
        <v>123333</v>
      </c>
      <c r="AD111" s="41">
        <v>124869</v>
      </c>
      <c r="AE111" s="41">
        <v>126359</v>
      </c>
      <c r="AF111" s="41">
        <v>127806</v>
      </c>
      <c r="AG111" s="41">
        <v>129252</v>
      </c>
      <c r="AH111" s="41">
        <v>130652</v>
      </c>
      <c r="AI111" s="41">
        <v>132043</v>
      </c>
      <c r="AJ111" s="41">
        <v>133403</v>
      </c>
      <c r="AK111" s="41">
        <v>134740</v>
      </c>
      <c r="AL111" s="41">
        <v>136090</v>
      </c>
      <c r="AM111" s="41">
        <v>137404</v>
      </c>
      <c r="AN111" s="41">
        <v>138709</v>
      </c>
      <c r="AO111" s="41">
        <v>139982</v>
      </c>
      <c r="AP111" s="41">
        <v>141225</v>
      </c>
      <c r="AQ111" s="41">
        <v>142465</v>
      </c>
    </row>
    <row r="112" spans="1:43">
      <c r="A112" s="38" t="s">
        <v>340</v>
      </c>
      <c r="B112" s="38" t="s">
        <v>341</v>
      </c>
      <c r="C112" s="41">
        <v>51963</v>
      </c>
      <c r="D112" s="41">
        <v>51832</v>
      </c>
      <c r="E112" s="41">
        <v>51582</v>
      </c>
      <c r="F112" s="41">
        <v>51613</v>
      </c>
      <c r="G112" s="41">
        <v>51868</v>
      </c>
      <c r="H112" s="41">
        <v>52396</v>
      </c>
      <c r="I112" s="41">
        <v>52670</v>
      </c>
      <c r="J112" s="41">
        <v>52655</v>
      </c>
      <c r="K112" s="41">
        <v>53053</v>
      </c>
      <c r="L112" s="41">
        <v>53621</v>
      </c>
      <c r="M112" s="41">
        <v>53756</v>
      </c>
      <c r="N112" s="41">
        <v>53999</v>
      </c>
      <c r="O112" s="41">
        <v>54452</v>
      </c>
      <c r="P112" s="41">
        <v>54987</v>
      </c>
      <c r="Q112" s="41">
        <v>55588</v>
      </c>
      <c r="R112" s="41">
        <v>56041</v>
      </c>
      <c r="S112" s="41">
        <v>56305</v>
      </c>
      <c r="T112" s="41">
        <v>56623</v>
      </c>
      <c r="U112" s="41">
        <v>56911</v>
      </c>
      <c r="V112" s="41">
        <v>57174</v>
      </c>
      <c r="W112" s="41">
        <v>57393</v>
      </c>
      <c r="X112" s="41">
        <v>57714</v>
      </c>
      <c r="Y112" s="41">
        <v>58045</v>
      </c>
      <c r="Z112" s="41">
        <v>58378</v>
      </c>
      <c r="AA112" s="41">
        <v>58712</v>
      </c>
      <c r="AB112" s="41">
        <v>59041</v>
      </c>
      <c r="AC112" s="41">
        <v>59361</v>
      </c>
      <c r="AD112" s="41">
        <v>59701</v>
      </c>
      <c r="AE112" s="41">
        <v>60023</v>
      </c>
      <c r="AF112" s="41">
        <v>60333</v>
      </c>
      <c r="AG112" s="41">
        <v>60672</v>
      </c>
      <c r="AH112" s="41">
        <v>61000</v>
      </c>
      <c r="AI112" s="41">
        <v>61309</v>
      </c>
      <c r="AJ112" s="41">
        <v>61621</v>
      </c>
      <c r="AK112" s="41">
        <v>61921</v>
      </c>
      <c r="AL112" s="41">
        <v>62222</v>
      </c>
      <c r="AM112" s="41">
        <v>62507</v>
      </c>
      <c r="AN112" s="41">
        <v>62782</v>
      </c>
      <c r="AO112" s="41">
        <v>63055</v>
      </c>
      <c r="AP112" s="41">
        <v>63306</v>
      </c>
      <c r="AQ112" s="41">
        <v>63581</v>
      </c>
    </row>
    <row r="113" spans="1:43">
      <c r="A113" s="38" t="s">
        <v>342</v>
      </c>
      <c r="B113" s="38" t="s">
        <v>343</v>
      </c>
      <c r="C113" s="41">
        <v>87162</v>
      </c>
      <c r="D113" s="41">
        <v>87846</v>
      </c>
      <c r="E113" s="41">
        <v>87853</v>
      </c>
      <c r="F113" s="41">
        <v>87710</v>
      </c>
      <c r="G113" s="41">
        <v>88433</v>
      </c>
      <c r="H113" s="41">
        <v>89573</v>
      </c>
      <c r="I113" s="41">
        <v>91110</v>
      </c>
      <c r="J113" s="41">
        <v>93793</v>
      </c>
      <c r="K113" s="41">
        <v>96214</v>
      </c>
      <c r="L113" s="41">
        <v>98387</v>
      </c>
      <c r="M113" s="41">
        <v>100947</v>
      </c>
      <c r="N113" s="41">
        <v>103284</v>
      </c>
      <c r="O113" s="41">
        <v>105688</v>
      </c>
      <c r="P113" s="41">
        <v>108556</v>
      </c>
      <c r="Q113" s="41">
        <v>111134</v>
      </c>
      <c r="R113" s="41">
        <v>113328</v>
      </c>
      <c r="S113" s="41">
        <v>115362</v>
      </c>
      <c r="T113" s="41">
        <v>117301</v>
      </c>
      <c r="U113" s="41">
        <v>119100</v>
      </c>
      <c r="V113" s="41">
        <v>120785</v>
      </c>
      <c r="W113" s="41">
        <v>122327</v>
      </c>
      <c r="X113" s="41">
        <v>124221</v>
      </c>
      <c r="Y113" s="41">
        <v>126028</v>
      </c>
      <c r="Z113" s="41">
        <v>127734</v>
      </c>
      <c r="AA113" s="41">
        <v>129398</v>
      </c>
      <c r="AB113" s="41">
        <v>131014</v>
      </c>
      <c r="AC113" s="41">
        <v>132530</v>
      </c>
      <c r="AD113" s="41">
        <v>134033</v>
      </c>
      <c r="AE113" s="41">
        <v>135493</v>
      </c>
      <c r="AF113" s="41">
        <v>136933</v>
      </c>
      <c r="AG113" s="41">
        <v>138386</v>
      </c>
      <c r="AH113" s="41">
        <v>139818</v>
      </c>
      <c r="AI113" s="41">
        <v>141270</v>
      </c>
      <c r="AJ113" s="41">
        <v>142710</v>
      </c>
      <c r="AK113" s="41">
        <v>144144</v>
      </c>
      <c r="AL113" s="41">
        <v>145615</v>
      </c>
      <c r="AM113" s="41">
        <v>147067</v>
      </c>
      <c r="AN113" s="41">
        <v>148522</v>
      </c>
      <c r="AO113" s="41">
        <v>149919</v>
      </c>
      <c r="AP113" s="41">
        <v>151304</v>
      </c>
      <c r="AQ113" s="41">
        <v>152674</v>
      </c>
    </row>
    <row r="114" spans="1:43">
      <c r="A114" s="38" t="s">
        <v>344</v>
      </c>
      <c r="B114" s="38" t="s">
        <v>345</v>
      </c>
      <c r="C114" s="41">
        <v>47655</v>
      </c>
      <c r="D114" s="41">
        <v>47986</v>
      </c>
      <c r="E114" s="41">
        <v>48367</v>
      </c>
      <c r="F114" s="41">
        <v>48881</v>
      </c>
      <c r="G114" s="41">
        <v>49268</v>
      </c>
      <c r="H114" s="41">
        <v>49829</v>
      </c>
      <c r="I114" s="41">
        <v>50324</v>
      </c>
      <c r="J114" s="41">
        <v>50864</v>
      </c>
      <c r="K114" s="41">
        <v>51376</v>
      </c>
      <c r="L114" s="41">
        <v>52077</v>
      </c>
      <c r="M114" s="41">
        <v>53013</v>
      </c>
      <c r="N114" s="41">
        <v>53294</v>
      </c>
      <c r="O114" s="41">
        <v>53492</v>
      </c>
      <c r="P114" s="41">
        <v>53850</v>
      </c>
      <c r="Q114" s="41">
        <v>54069</v>
      </c>
      <c r="R114" s="41">
        <v>54474</v>
      </c>
      <c r="S114" s="41">
        <v>54742</v>
      </c>
      <c r="T114" s="41">
        <v>55005</v>
      </c>
      <c r="U114" s="41">
        <v>55270</v>
      </c>
      <c r="V114" s="41">
        <v>55512</v>
      </c>
      <c r="W114" s="41">
        <v>55751</v>
      </c>
      <c r="X114" s="41">
        <v>55998</v>
      </c>
      <c r="Y114" s="41">
        <v>56202</v>
      </c>
      <c r="Z114" s="41">
        <v>56425</v>
      </c>
      <c r="AA114" s="41">
        <v>56621</v>
      </c>
      <c r="AB114" s="41">
        <v>56849</v>
      </c>
      <c r="AC114" s="41">
        <v>57052</v>
      </c>
      <c r="AD114" s="41">
        <v>57256</v>
      </c>
      <c r="AE114" s="41">
        <v>57454</v>
      </c>
      <c r="AF114" s="41">
        <v>57639</v>
      </c>
      <c r="AG114" s="41">
        <v>57836</v>
      </c>
      <c r="AH114" s="41">
        <v>58017</v>
      </c>
      <c r="AI114" s="41">
        <v>58185</v>
      </c>
      <c r="AJ114" s="41">
        <v>58345</v>
      </c>
      <c r="AK114" s="41">
        <v>58509</v>
      </c>
      <c r="AL114" s="41">
        <v>58655</v>
      </c>
      <c r="AM114" s="41">
        <v>58801</v>
      </c>
      <c r="AN114" s="41">
        <v>58931</v>
      </c>
      <c r="AO114" s="41">
        <v>59050</v>
      </c>
      <c r="AP114" s="41">
        <v>59166</v>
      </c>
      <c r="AQ114" s="41">
        <v>59291</v>
      </c>
    </row>
    <row r="115" spans="1:43">
      <c r="A115" s="38" t="s">
        <v>346</v>
      </c>
      <c r="B115" s="38" t="s">
        <v>347</v>
      </c>
      <c r="C115" s="41">
        <v>34547</v>
      </c>
      <c r="D115" s="41">
        <v>34953</v>
      </c>
      <c r="E115" s="41">
        <v>35286</v>
      </c>
      <c r="F115" s="41">
        <v>35536</v>
      </c>
      <c r="G115" s="41">
        <v>35811</v>
      </c>
      <c r="H115" s="41">
        <v>36342</v>
      </c>
      <c r="I115" s="41">
        <v>36680</v>
      </c>
      <c r="J115" s="41">
        <v>37153</v>
      </c>
      <c r="K115" s="41">
        <v>37459</v>
      </c>
      <c r="L115" s="41">
        <v>37766</v>
      </c>
      <c r="M115" s="41">
        <v>38276</v>
      </c>
      <c r="N115" s="41">
        <v>38517</v>
      </c>
      <c r="O115" s="41">
        <v>38751</v>
      </c>
      <c r="P115" s="41">
        <v>38989</v>
      </c>
      <c r="Q115" s="41">
        <v>39336</v>
      </c>
      <c r="R115" s="41">
        <v>39684</v>
      </c>
      <c r="S115" s="41">
        <v>39872</v>
      </c>
      <c r="T115" s="41">
        <v>40062</v>
      </c>
      <c r="U115" s="41">
        <v>40242</v>
      </c>
      <c r="V115" s="41">
        <v>40417</v>
      </c>
      <c r="W115" s="41">
        <v>40550</v>
      </c>
      <c r="X115" s="41">
        <v>40739</v>
      </c>
      <c r="Y115" s="41">
        <v>40894</v>
      </c>
      <c r="Z115" s="41">
        <v>41043</v>
      </c>
      <c r="AA115" s="41">
        <v>41177</v>
      </c>
      <c r="AB115" s="41">
        <v>41307</v>
      </c>
      <c r="AC115" s="41">
        <v>41439</v>
      </c>
      <c r="AD115" s="41">
        <v>41573</v>
      </c>
      <c r="AE115" s="41">
        <v>41680</v>
      </c>
      <c r="AF115" s="41">
        <v>41788</v>
      </c>
      <c r="AG115" s="41">
        <v>41905</v>
      </c>
      <c r="AH115" s="41">
        <v>42004</v>
      </c>
      <c r="AI115" s="41">
        <v>42113</v>
      </c>
      <c r="AJ115" s="41">
        <v>42201</v>
      </c>
      <c r="AK115" s="41">
        <v>42292</v>
      </c>
      <c r="AL115" s="41">
        <v>42384</v>
      </c>
      <c r="AM115" s="41">
        <v>42447</v>
      </c>
      <c r="AN115" s="41">
        <v>42522</v>
      </c>
      <c r="AO115" s="41">
        <v>42586</v>
      </c>
      <c r="AP115" s="41">
        <v>42652</v>
      </c>
      <c r="AQ115" s="41">
        <v>42710</v>
      </c>
    </row>
    <row r="116" spans="1:43">
      <c r="A116" s="38" t="s">
        <v>348</v>
      </c>
      <c r="B116" s="38" t="s">
        <v>349</v>
      </c>
      <c r="C116" s="41">
        <v>76844</v>
      </c>
      <c r="D116" s="41">
        <v>77640</v>
      </c>
      <c r="E116" s="41">
        <v>76966</v>
      </c>
      <c r="F116" s="41">
        <v>76853</v>
      </c>
      <c r="G116" s="41">
        <v>77051</v>
      </c>
      <c r="H116" s="41">
        <v>77419</v>
      </c>
      <c r="I116" s="41">
        <v>77754</v>
      </c>
      <c r="J116" s="41">
        <v>77528</v>
      </c>
      <c r="K116" s="41">
        <v>78794</v>
      </c>
      <c r="L116" s="41">
        <v>79008</v>
      </c>
      <c r="M116" s="41">
        <v>79732</v>
      </c>
      <c r="N116" s="41">
        <v>79773</v>
      </c>
      <c r="O116" s="41">
        <v>79642</v>
      </c>
      <c r="P116" s="41">
        <v>79696</v>
      </c>
      <c r="Q116" s="41">
        <v>79857</v>
      </c>
      <c r="R116" s="41">
        <v>79661</v>
      </c>
      <c r="S116" s="41">
        <v>79508</v>
      </c>
      <c r="T116" s="41">
        <v>79418</v>
      </c>
      <c r="U116" s="41">
        <v>79377</v>
      </c>
      <c r="V116" s="41">
        <v>79337</v>
      </c>
      <c r="W116" s="41">
        <v>79297</v>
      </c>
      <c r="X116" s="41">
        <v>79564</v>
      </c>
      <c r="Y116" s="41">
        <v>79822</v>
      </c>
      <c r="Z116" s="41">
        <v>80095</v>
      </c>
      <c r="AA116" s="41">
        <v>80370</v>
      </c>
      <c r="AB116" s="41">
        <v>80654</v>
      </c>
      <c r="AC116" s="41">
        <v>80943</v>
      </c>
      <c r="AD116" s="41">
        <v>81250</v>
      </c>
      <c r="AE116" s="41">
        <v>81568</v>
      </c>
      <c r="AF116" s="41">
        <v>81912</v>
      </c>
      <c r="AG116" s="41">
        <v>82283</v>
      </c>
      <c r="AH116" s="41">
        <v>82683</v>
      </c>
      <c r="AI116" s="41">
        <v>83084</v>
      </c>
      <c r="AJ116" s="41">
        <v>83489</v>
      </c>
      <c r="AK116" s="41">
        <v>83879</v>
      </c>
      <c r="AL116" s="41">
        <v>84283</v>
      </c>
      <c r="AM116" s="41">
        <v>84677</v>
      </c>
      <c r="AN116" s="41">
        <v>85048</v>
      </c>
      <c r="AO116" s="41">
        <v>85380</v>
      </c>
      <c r="AP116" s="41">
        <v>85695</v>
      </c>
      <c r="AQ116" s="41">
        <v>86014</v>
      </c>
    </row>
    <row r="117" spans="1:43">
      <c r="A117" s="38" t="s">
        <v>350</v>
      </c>
      <c r="B117" s="38" t="s">
        <v>351</v>
      </c>
      <c r="C117" s="41">
        <v>30813</v>
      </c>
      <c r="D117" s="41">
        <v>31390</v>
      </c>
      <c r="E117" s="41">
        <v>31789</v>
      </c>
      <c r="F117" s="41">
        <v>32165</v>
      </c>
      <c r="G117" s="41">
        <v>32465</v>
      </c>
      <c r="H117" s="41">
        <v>32899</v>
      </c>
      <c r="I117" s="41">
        <v>33324</v>
      </c>
      <c r="J117" s="41">
        <v>33747</v>
      </c>
      <c r="K117" s="41">
        <v>34102</v>
      </c>
      <c r="L117" s="41">
        <v>34497</v>
      </c>
      <c r="M117" s="41">
        <v>34964</v>
      </c>
      <c r="N117" s="41">
        <v>35254</v>
      </c>
      <c r="O117" s="41">
        <v>35723</v>
      </c>
      <c r="P117" s="41">
        <v>36069</v>
      </c>
      <c r="Q117" s="41">
        <v>36617</v>
      </c>
      <c r="R117" s="41">
        <v>37157</v>
      </c>
      <c r="S117" s="41">
        <v>37586</v>
      </c>
      <c r="T117" s="41">
        <v>38023</v>
      </c>
      <c r="U117" s="41">
        <v>38467</v>
      </c>
      <c r="V117" s="41">
        <v>38890</v>
      </c>
      <c r="W117" s="41">
        <v>39285</v>
      </c>
      <c r="X117" s="41">
        <v>39714</v>
      </c>
      <c r="Y117" s="41">
        <v>40145</v>
      </c>
      <c r="Z117" s="41">
        <v>40568</v>
      </c>
      <c r="AA117" s="41">
        <v>40980</v>
      </c>
      <c r="AB117" s="41">
        <v>41369</v>
      </c>
      <c r="AC117" s="41">
        <v>41759</v>
      </c>
      <c r="AD117" s="41">
        <v>42154</v>
      </c>
      <c r="AE117" s="41">
        <v>42527</v>
      </c>
      <c r="AF117" s="41">
        <v>42900</v>
      </c>
      <c r="AG117" s="41">
        <v>43276</v>
      </c>
      <c r="AH117" s="41">
        <v>43636</v>
      </c>
      <c r="AI117" s="41">
        <v>43995</v>
      </c>
      <c r="AJ117" s="41">
        <v>44333</v>
      </c>
      <c r="AK117" s="41">
        <v>44682</v>
      </c>
      <c r="AL117" s="41">
        <v>45018</v>
      </c>
      <c r="AM117" s="41">
        <v>45343</v>
      </c>
      <c r="AN117" s="41">
        <v>45673</v>
      </c>
      <c r="AO117" s="41">
        <v>45990</v>
      </c>
      <c r="AP117" s="41">
        <v>46301</v>
      </c>
      <c r="AQ117" s="41">
        <v>46615</v>
      </c>
    </row>
    <row r="118" spans="1:43">
      <c r="A118" s="38" t="s">
        <v>352</v>
      </c>
      <c r="B118" s="38" t="s">
        <v>353</v>
      </c>
      <c r="C118" s="41">
        <v>93549</v>
      </c>
      <c r="D118" s="41">
        <v>94174</v>
      </c>
      <c r="E118" s="41">
        <v>93661</v>
      </c>
      <c r="F118" s="41">
        <v>93380</v>
      </c>
      <c r="G118" s="41">
        <v>93795</v>
      </c>
      <c r="H118" s="41">
        <v>94708</v>
      </c>
      <c r="I118" s="41">
        <v>95373</v>
      </c>
      <c r="J118" s="41">
        <v>97597</v>
      </c>
      <c r="K118" s="41">
        <v>99638</v>
      </c>
      <c r="L118" s="41">
        <v>100484</v>
      </c>
      <c r="M118" s="41">
        <v>101499</v>
      </c>
      <c r="N118" s="41">
        <v>102385</v>
      </c>
      <c r="O118" s="41">
        <v>103740</v>
      </c>
      <c r="P118" s="41">
        <v>104935</v>
      </c>
      <c r="Q118" s="41">
        <v>106269</v>
      </c>
      <c r="R118" s="41">
        <v>107521</v>
      </c>
      <c r="S118" s="41">
        <v>108636</v>
      </c>
      <c r="T118" s="41">
        <v>109715</v>
      </c>
      <c r="U118" s="41">
        <v>110694</v>
      </c>
      <c r="V118" s="41">
        <v>111627</v>
      </c>
      <c r="W118" s="41">
        <v>112494</v>
      </c>
      <c r="X118" s="41">
        <v>113962</v>
      </c>
      <c r="Y118" s="41">
        <v>115349</v>
      </c>
      <c r="Z118" s="41">
        <v>116699</v>
      </c>
      <c r="AA118" s="41">
        <v>118018</v>
      </c>
      <c r="AB118" s="41">
        <v>119317</v>
      </c>
      <c r="AC118" s="41">
        <v>120551</v>
      </c>
      <c r="AD118" s="41">
        <v>121750</v>
      </c>
      <c r="AE118" s="41">
        <v>122940</v>
      </c>
      <c r="AF118" s="41">
        <v>124111</v>
      </c>
      <c r="AG118" s="41">
        <v>125262</v>
      </c>
      <c r="AH118" s="41">
        <v>126395</v>
      </c>
      <c r="AI118" s="41">
        <v>127513</v>
      </c>
      <c r="AJ118" s="41">
        <v>128609</v>
      </c>
      <c r="AK118" s="41">
        <v>129704</v>
      </c>
      <c r="AL118" s="41">
        <v>130772</v>
      </c>
      <c r="AM118" s="41">
        <v>131817</v>
      </c>
      <c r="AN118" s="41">
        <v>132849</v>
      </c>
      <c r="AO118" s="41">
        <v>133847</v>
      </c>
      <c r="AP118" s="41">
        <v>134823</v>
      </c>
      <c r="AQ118" s="41">
        <v>135795</v>
      </c>
    </row>
    <row r="119" spans="1:43">
      <c r="A119" s="38" t="s">
        <v>354</v>
      </c>
      <c r="B119" s="38" t="s">
        <v>355</v>
      </c>
      <c r="C119" s="41">
        <v>32800</v>
      </c>
      <c r="D119" s="41">
        <v>32752</v>
      </c>
      <c r="E119" s="41">
        <v>32744</v>
      </c>
      <c r="F119" s="41">
        <v>32688</v>
      </c>
      <c r="G119" s="41">
        <v>32867</v>
      </c>
      <c r="H119" s="41">
        <v>33049</v>
      </c>
      <c r="I119" s="41">
        <v>33238</v>
      </c>
      <c r="J119" s="41">
        <v>33444</v>
      </c>
      <c r="K119" s="41">
        <v>33770</v>
      </c>
      <c r="L119" s="41">
        <v>34078</v>
      </c>
      <c r="M119" s="41">
        <v>34395</v>
      </c>
      <c r="N119" s="41">
        <v>34565</v>
      </c>
      <c r="O119" s="41">
        <v>34713</v>
      </c>
      <c r="P119" s="41">
        <v>35016</v>
      </c>
      <c r="Q119" s="41">
        <v>35270</v>
      </c>
      <c r="R119" s="41">
        <v>35400</v>
      </c>
      <c r="S119" s="41">
        <v>35567</v>
      </c>
      <c r="T119" s="41">
        <v>35747</v>
      </c>
      <c r="U119" s="41">
        <v>35946</v>
      </c>
      <c r="V119" s="41">
        <v>36109</v>
      </c>
      <c r="W119" s="41">
        <v>36258</v>
      </c>
      <c r="X119" s="41">
        <v>36501</v>
      </c>
      <c r="Y119" s="41">
        <v>36732</v>
      </c>
      <c r="Z119" s="41">
        <v>36995</v>
      </c>
      <c r="AA119" s="41">
        <v>37231</v>
      </c>
      <c r="AB119" s="41">
        <v>37469</v>
      </c>
      <c r="AC119" s="41">
        <v>37728</v>
      </c>
      <c r="AD119" s="41">
        <v>38006</v>
      </c>
      <c r="AE119" s="41">
        <v>38280</v>
      </c>
      <c r="AF119" s="41">
        <v>38551</v>
      </c>
      <c r="AG119" s="41">
        <v>38820</v>
      </c>
      <c r="AH119" s="41">
        <v>39108</v>
      </c>
      <c r="AI119" s="41">
        <v>39405</v>
      </c>
      <c r="AJ119" s="41">
        <v>39701</v>
      </c>
      <c r="AK119" s="41">
        <v>39978</v>
      </c>
      <c r="AL119" s="41">
        <v>40273</v>
      </c>
      <c r="AM119" s="41">
        <v>40558</v>
      </c>
      <c r="AN119" s="41">
        <v>40844</v>
      </c>
      <c r="AO119" s="41">
        <v>41129</v>
      </c>
      <c r="AP119" s="41">
        <v>41404</v>
      </c>
      <c r="AQ119" s="41">
        <v>41672</v>
      </c>
    </row>
    <row r="120" spans="1:43">
      <c r="A120" s="38" t="s">
        <v>356</v>
      </c>
      <c r="B120" s="38" t="s">
        <v>357</v>
      </c>
      <c r="C120" s="41">
        <v>62702</v>
      </c>
      <c r="D120" s="41">
        <v>62896</v>
      </c>
      <c r="E120" s="41">
        <v>62936</v>
      </c>
      <c r="F120" s="41">
        <v>63470</v>
      </c>
      <c r="G120" s="41">
        <v>63991</v>
      </c>
      <c r="H120" s="41">
        <v>64363</v>
      </c>
      <c r="I120" s="41">
        <v>65054</v>
      </c>
      <c r="J120" s="41">
        <v>65247</v>
      </c>
      <c r="K120" s="41">
        <v>65541</v>
      </c>
      <c r="L120" s="41">
        <v>66205</v>
      </c>
      <c r="M120" s="41">
        <v>67120</v>
      </c>
      <c r="N120" s="41">
        <v>67574</v>
      </c>
      <c r="O120" s="41">
        <v>67892</v>
      </c>
      <c r="P120" s="41">
        <v>68110</v>
      </c>
      <c r="Q120" s="41">
        <v>68450</v>
      </c>
      <c r="R120" s="41">
        <v>68698</v>
      </c>
      <c r="S120" s="41">
        <v>69258</v>
      </c>
      <c r="T120" s="41">
        <v>69529</v>
      </c>
      <c r="U120" s="41">
        <v>69732</v>
      </c>
      <c r="V120" s="41">
        <v>70002</v>
      </c>
      <c r="W120" s="41">
        <v>70257</v>
      </c>
      <c r="X120" s="41">
        <v>70610</v>
      </c>
      <c r="Y120" s="41">
        <v>70911</v>
      </c>
      <c r="Z120" s="41">
        <v>71162</v>
      </c>
      <c r="AA120" s="41">
        <v>71437</v>
      </c>
      <c r="AB120" s="41">
        <v>71724</v>
      </c>
      <c r="AC120" s="41">
        <v>72026</v>
      </c>
      <c r="AD120" s="41">
        <v>72269</v>
      </c>
      <c r="AE120" s="41">
        <v>72490</v>
      </c>
      <c r="AF120" s="41">
        <v>72718</v>
      </c>
      <c r="AG120" s="41">
        <v>72978</v>
      </c>
      <c r="AH120" s="41">
        <v>73214</v>
      </c>
      <c r="AI120" s="41">
        <v>73442</v>
      </c>
      <c r="AJ120" s="41">
        <v>73667</v>
      </c>
      <c r="AK120" s="41">
        <v>73893</v>
      </c>
      <c r="AL120" s="41">
        <v>74119</v>
      </c>
      <c r="AM120" s="41">
        <v>74314</v>
      </c>
      <c r="AN120" s="41">
        <v>74512</v>
      </c>
      <c r="AO120" s="41">
        <v>74707</v>
      </c>
      <c r="AP120" s="41">
        <v>74904</v>
      </c>
      <c r="AQ120" s="41">
        <v>75097</v>
      </c>
    </row>
    <row r="121" spans="1:43">
      <c r="A121" s="38" t="s">
        <v>358</v>
      </c>
      <c r="B121" s="38" t="s">
        <v>359</v>
      </c>
      <c r="C121" s="41">
        <v>80414</v>
      </c>
      <c r="D121" s="41">
        <v>80516</v>
      </c>
      <c r="E121" s="41">
        <v>80281</v>
      </c>
      <c r="F121" s="41">
        <v>80177</v>
      </c>
      <c r="G121" s="41">
        <v>81073</v>
      </c>
      <c r="H121" s="41">
        <v>81322</v>
      </c>
      <c r="I121" s="41">
        <v>81501</v>
      </c>
      <c r="J121" s="41">
        <v>82089</v>
      </c>
      <c r="K121" s="41">
        <v>83001</v>
      </c>
      <c r="L121" s="41">
        <v>83787</v>
      </c>
      <c r="M121" s="41">
        <v>84549</v>
      </c>
      <c r="N121" s="41">
        <v>84764</v>
      </c>
      <c r="O121" s="41">
        <v>85052</v>
      </c>
      <c r="P121" s="41">
        <v>85636</v>
      </c>
      <c r="Q121" s="41">
        <v>85921</v>
      </c>
      <c r="R121" s="41">
        <v>86234</v>
      </c>
      <c r="S121" s="41">
        <v>86507</v>
      </c>
      <c r="T121" s="41">
        <v>86788</v>
      </c>
      <c r="U121" s="41">
        <v>87067</v>
      </c>
      <c r="V121" s="41">
        <v>87277</v>
      </c>
      <c r="W121" s="41">
        <v>87457</v>
      </c>
      <c r="X121" s="41">
        <v>88166</v>
      </c>
      <c r="Y121" s="41">
        <v>88838</v>
      </c>
      <c r="Z121" s="41">
        <v>89520</v>
      </c>
      <c r="AA121" s="41">
        <v>90159</v>
      </c>
      <c r="AB121" s="41">
        <v>90793</v>
      </c>
      <c r="AC121" s="41">
        <v>91418</v>
      </c>
      <c r="AD121" s="41">
        <v>92033</v>
      </c>
      <c r="AE121" s="41">
        <v>92634</v>
      </c>
      <c r="AF121" s="41">
        <v>93244</v>
      </c>
      <c r="AG121" s="41">
        <v>93828</v>
      </c>
      <c r="AH121" s="41">
        <v>94416</v>
      </c>
      <c r="AI121" s="41">
        <v>94997</v>
      </c>
      <c r="AJ121" s="41">
        <v>95575</v>
      </c>
      <c r="AK121" s="41">
        <v>96149</v>
      </c>
      <c r="AL121" s="41">
        <v>96711</v>
      </c>
      <c r="AM121" s="41">
        <v>97268</v>
      </c>
      <c r="AN121" s="41">
        <v>97823</v>
      </c>
      <c r="AO121" s="41">
        <v>98362</v>
      </c>
      <c r="AP121" s="41">
        <v>98900</v>
      </c>
      <c r="AQ121" s="41">
        <v>99428</v>
      </c>
    </row>
    <row r="122" spans="1:43">
      <c r="A122" s="38" t="s">
        <v>360</v>
      </c>
      <c r="B122" s="38" t="s">
        <v>361</v>
      </c>
      <c r="C122" s="41">
        <v>32286</v>
      </c>
      <c r="D122" s="41">
        <v>32570</v>
      </c>
      <c r="E122" s="41">
        <v>32986</v>
      </c>
      <c r="F122" s="41">
        <v>33375</v>
      </c>
      <c r="G122" s="41">
        <v>33829</v>
      </c>
      <c r="H122" s="41">
        <v>34360</v>
      </c>
      <c r="I122" s="41">
        <v>34729</v>
      </c>
      <c r="J122" s="41">
        <v>35024</v>
      </c>
      <c r="K122" s="41">
        <v>35181</v>
      </c>
      <c r="L122" s="41">
        <v>35355</v>
      </c>
      <c r="M122" s="41">
        <v>35578</v>
      </c>
      <c r="N122" s="41">
        <v>35867</v>
      </c>
      <c r="O122" s="41">
        <v>36110</v>
      </c>
      <c r="P122" s="41">
        <v>36495</v>
      </c>
      <c r="Q122" s="41">
        <v>36828</v>
      </c>
      <c r="R122" s="41">
        <v>37129</v>
      </c>
      <c r="S122" s="41">
        <v>37360</v>
      </c>
      <c r="T122" s="41">
        <v>37573</v>
      </c>
      <c r="U122" s="41">
        <v>37772</v>
      </c>
      <c r="V122" s="41">
        <v>37972</v>
      </c>
      <c r="W122" s="41">
        <v>38167</v>
      </c>
      <c r="X122" s="41">
        <v>38422</v>
      </c>
      <c r="Y122" s="41">
        <v>38656</v>
      </c>
      <c r="Z122" s="41">
        <v>38874</v>
      </c>
      <c r="AA122" s="41">
        <v>39087</v>
      </c>
      <c r="AB122" s="41">
        <v>39298</v>
      </c>
      <c r="AC122" s="41">
        <v>39500</v>
      </c>
      <c r="AD122" s="41">
        <v>39686</v>
      </c>
      <c r="AE122" s="41">
        <v>39851</v>
      </c>
      <c r="AF122" s="41">
        <v>40021</v>
      </c>
      <c r="AG122" s="41">
        <v>40195</v>
      </c>
      <c r="AH122" s="41">
        <v>40345</v>
      </c>
      <c r="AI122" s="41">
        <v>40509</v>
      </c>
      <c r="AJ122" s="41">
        <v>40660</v>
      </c>
      <c r="AK122" s="41">
        <v>40816</v>
      </c>
      <c r="AL122" s="41">
        <v>40969</v>
      </c>
      <c r="AM122" s="41">
        <v>41115</v>
      </c>
      <c r="AN122" s="41">
        <v>41272</v>
      </c>
      <c r="AO122" s="41">
        <v>41421</v>
      </c>
      <c r="AP122" s="41">
        <v>41576</v>
      </c>
      <c r="AQ122" s="41">
        <v>41743</v>
      </c>
    </row>
    <row r="123" spans="1:43">
      <c r="A123" s="38" t="s">
        <v>362</v>
      </c>
      <c r="B123" s="38" t="s">
        <v>363</v>
      </c>
      <c r="C123" s="41">
        <v>37585</v>
      </c>
      <c r="D123" s="41">
        <v>37710</v>
      </c>
      <c r="E123" s="41">
        <v>37911</v>
      </c>
      <c r="F123" s="41">
        <v>38157</v>
      </c>
      <c r="G123" s="41">
        <v>38383</v>
      </c>
      <c r="H123" s="41">
        <v>38622</v>
      </c>
      <c r="I123" s="41">
        <v>38877</v>
      </c>
      <c r="J123" s="41">
        <v>39200</v>
      </c>
      <c r="K123" s="41">
        <v>39457</v>
      </c>
      <c r="L123" s="41">
        <v>39773</v>
      </c>
      <c r="M123" s="41">
        <v>40151</v>
      </c>
      <c r="N123" s="41">
        <v>40384</v>
      </c>
      <c r="O123" s="41">
        <v>40748</v>
      </c>
      <c r="P123" s="41">
        <v>40936</v>
      </c>
      <c r="Q123" s="41">
        <v>41033</v>
      </c>
      <c r="R123" s="41">
        <v>41219</v>
      </c>
      <c r="S123" s="41">
        <v>41442</v>
      </c>
      <c r="T123" s="41">
        <v>41610</v>
      </c>
      <c r="U123" s="41">
        <v>41767</v>
      </c>
      <c r="V123" s="41">
        <v>41923</v>
      </c>
      <c r="W123" s="41">
        <v>42048</v>
      </c>
      <c r="X123" s="41">
        <v>42157</v>
      </c>
      <c r="Y123" s="41">
        <v>42230</v>
      </c>
      <c r="Z123" s="41">
        <v>42305</v>
      </c>
      <c r="AA123" s="41">
        <v>42391</v>
      </c>
      <c r="AB123" s="41">
        <v>42494</v>
      </c>
      <c r="AC123" s="41">
        <v>42601</v>
      </c>
      <c r="AD123" s="41">
        <v>42702</v>
      </c>
      <c r="AE123" s="41">
        <v>42806</v>
      </c>
      <c r="AF123" s="41">
        <v>42914</v>
      </c>
      <c r="AG123" s="41">
        <v>43044</v>
      </c>
      <c r="AH123" s="41">
        <v>43162</v>
      </c>
      <c r="AI123" s="41">
        <v>43274</v>
      </c>
      <c r="AJ123" s="41">
        <v>43380</v>
      </c>
      <c r="AK123" s="41">
        <v>43484</v>
      </c>
      <c r="AL123" s="41">
        <v>43596</v>
      </c>
      <c r="AM123" s="41">
        <v>43696</v>
      </c>
      <c r="AN123" s="41">
        <v>43776</v>
      </c>
      <c r="AO123" s="41">
        <v>43838</v>
      </c>
      <c r="AP123" s="41">
        <v>43899</v>
      </c>
      <c r="AQ123" s="41">
        <v>43969</v>
      </c>
    </row>
    <row r="124" spans="1:43">
      <c r="A124" s="38" t="s">
        <v>364</v>
      </c>
      <c r="B124" s="38" t="s">
        <v>365</v>
      </c>
      <c r="C124" s="41">
        <v>37398</v>
      </c>
      <c r="D124" s="41">
        <v>37644</v>
      </c>
      <c r="E124" s="41">
        <v>38018</v>
      </c>
      <c r="F124" s="41">
        <v>38234</v>
      </c>
      <c r="G124" s="41">
        <v>38668</v>
      </c>
      <c r="H124" s="41">
        <v>38776</v>
      </c>
      <c r="I124" s="41">
        <v>39048</v>
      </c>
      <c r="J124" s="41">
        <v>39430</v>
      </c>
      <c r="K124" s="41">
        <v>39840</v>
      </c>
      <c r="L124" s="41">
        <v>40138</v>
      </c>
      <c r="M124" s="41">
        <v>40771</v>
      </c>
      <c r="N124" s="41">
        <v>40936</v>
      </c>
      <c r="O124" s="41">
        <v>41237</v>
      </c>
      <c r="P124" s="41">
        <v>41491</v>
      </c>
      <c r="Q124" s="41">
        <v>41867</v>
      </c>
      <c r="R124" s="41">
        <v>42369</v>
      </c>
      <c r="S124" s="41">
        <v>42717</v>
      </c>
      <c r="T124" s="41">
        <v>43054</v>
      </c>
      <c r="U124" s="41">
        <v>43372</v>
      </c>
      <c r="V124" s="41">
        <v>43680</v>
      </c>
      <c r="W124" s="41">
        <v>43991</v>
      </c>
      <c r="X124" s="41">
        <v>44316</v>
      </c>
      <c r="Y124" s="41">
        <v>44619</v>
      </c>
      <c r="Z124" s="41">
        <v>44934</v>
      </c>
      <c r="AA124" s="41">
        <v>45228</v>
      </c>
      <c r="AB124" s="41">
        <v>45534</v>
      </c>
      <c r="AC124" s="41">
        <v>45859</v>
      </c>
      <c r="AD124" s="41">
        <v>46183</v>
      </c>
      <c r="AE124" s="41">
        <v>46502</v>
      </c>
      <c r="AF124" s="41">
        <v>46818</v>
      </c>
      <c r="AG124" s="41">
        <v>47147</v>
      </c>
      <c r="AH124" s="41">
        <v>47471</v>
      </c>
      <c r="AI124" s="41">
        <v>47804</v>
      </c>
      <c r="AJ124" s="41">
        <v>48136</v>
      </c>
      <c r="AK124" s="41">
        <v>48445</v>
      </c>
      <c r="AL124" s="41">
        <v>48770</v>
      </c>
      <c r="AM124" s="41">
        <v>49081</v>
      </c>
      <c r="AN124" s="41">
        <v>49387</v>
      </c>
      <c r="AO124" s="41">
        <v>49686</v>
      </c>
      <c r="AP124" s="41">
        <v>49984</v>
      </c>
      <c r="AQ124" s="41">
        <v>50279</v>
      </c>
    </row>
    <row r="125" spans="1:43">
      <c r="A125" s="38" t="s">
        <v>366</v>
      </c>
      <c r="B125" s="38" t="s">
        <v>367</v>
      </c>
      <c r="C125" s="41">
        <v>48174</v>
      </c>
      <c r="D125" s="41">
        <v>48482</v>
      </c>
      <c r="E125" s="41">
        <v>48629</v>
      </c>
      <c r="F125" s="41">
        <v>48762</v>
      </c>
      <c r="G125" s="41">
        <v>48947</v>
      </c>
      <c r="H125" s="41">
        <v>49237</v>
      </c>
      <c r="I125" s="41">
        <v>49571</v>
      </c>
      <c r="J125" s="41">
        <v>50001</v>
      </c>
      <c r="K125" s="41">
        <v>50218</v>
      </c>
      <c r="L125" s="41">
        <v>50631</v>
      </c>
      <c r="M125" s="41">
        <v>51169</v>
      </c>
      <c r="N125" s="41">
        <v>51462</v>
      </c>
      <c r="O125" s="41">
        <v>51676</v>
      </c>
      <c r="P125" s="41">
        <v>52058</v>
      </c>
      <c r="Q125" s="41">
        <v>52522</v>
      </c>
      <c r="R125" s="41">
        <v>52888</v>
      </c>
      <c r="S125" s="41">
        <v>53245</v>
      </c>
      <c r="T125" s="41">
        <v>53591</v>
      </c>
      <c r="U125" s="41">
        <v>53943</v>
      </c>
      <c r="V125" s="41">
        <v>54278</v>
      </c>
      <c r="W125" s="41">
        <v>54573</v>
      </c>
      <c r="X125" s="41">
        <v>54940</v>
      </c>
      <c r="Y125" s="41">
        <v>55301</v>
      </c>
      <c r="Z125" s="41">
        <v>55662</v>
      </c>
      <c r="AA125" s="41">
        <v>56015</v>
      </c>
      <c r="AB125" s="41">
        <v>56354</v>
      </c>
      <c r="AC125" s="41">
        <v>56728</v>
      </c>
      <c r="AD125" s="41">
        <v>57079</v>
      </c>
      <c r="AE125" s="41">
        <v>57445</v>
      </c>
      <c r="AF125" s="41">
        <v>57807</v>
      </c>
      <c r="AG125" s="41">
        <v>58165</v>
      </c>
      <c r="AH125" s="41">
        <v>58520</v>
      </c>
      <c r="AI125" s="41">
        <v>58869</v>
      </c>
      <c r="AJ125" s="41">
        <v>59221</v>
      </c>
      <c r="AK125" s="41">
        <v>59565</v>
      </c>
      <c r="AL125" s="41">
        <v>59911</v>
      </c>
      <c r="AM125" s="41">
        <v>60238</v>
      </c>
      <c r="AN125" s="41">
        <v>60573</v>
      </c>
      <c r="AO125" s="41">
        <v>60906</v>
      </c>
      <c r="AP125" s="41">
        <v>61236</v>
      </c>
      <c r="AQ125" s="41">
        <v>61562</v>
      </c>
    </row>
    <row r="126" spans="1:43">
      <c r="A126" s="38" t="s">
        <v>368</v>
      </c>
      <c r="B126" s="38" t="s">
        <v>369</v>
      </c>
      <c r="C126" s="41">
        <v>91478</v>
      </c>
      <c r="D126" s="41">
        <v>91723</v>
      </c>
      <c r="E126" s="41">
        <v>91816</v>
      </c>
      <c r="F126" s="41">
        <v>92025</v>
      </c>
      <c r="G126" s="41">
        <v>92405</v>
      </c>
      <c r="H126" s="41">
        <v>92949</v>
      </c>
      <c r="I126" s="41">
        <v>93433</v>
      </c>
      <c r="J126" s="41">
        <v>94160</v>
      </c>
      <c r="K126" s="41">
        <v>95001</v>
      </c>
      <c r="L126" s="41">
        <v>95922</v>
      </c>
      <c r="M126" s="41">
        <v>97136</v>
      </c>
      <c r="N126" s="41">
        <v>97746</v>
      </c>
      <c r="O126" s="41">
        <v>98364</v>
      </c>
      <c r="P126" s="41">
        <v>99609</v>
      </c>
      <c r="Q126" s="41">
        <v>100748</v>
      </c>
      <c r="R126" s="41">
        <v>102088</v>
      </c>
      <c r="S126" s="41">
        <v>103167</v>
      </c>
      <c r="T126" s="41">
        <v>104243</v>
      </c>
      <c r="U126" s="41">
        <v>105356</v>
      </c>
      <c r="V126" s="41">
        <v>106478</v>
      </c>
      <c r="W126" s="41">
        <v>107583</v>
      </c>
      <c r="X126" s="41">
        <v>108738</v>
      </c>
      <c r="Y126" s="41">
        <v>109892</v>
      </c>
      <c r="Z126" s="41">
        <v>111062</v>
      </c>
      <c r="AA126" s="41">
        <v>112244</v>
      </c>
      <c r="AB126" s="41">
        <v>113416</v>
      </c>
      <c r="AC126" s="41">
        <v>114649</v>
      </c>
      <c r="AD126" s="41">
        <v>115883</v>
      </c>
      <c r="AE126" s="41">
        <v>117115</v>
      </c>
      <c r="AF126" s="41">
        <v>118344</v>
      </c>
      <c r="AG126" s="41">
        <v>119582</v>
      </c>
      <c r="AH126" s="41">
        <v>120854</v>
      </c>
      <c r="AI126" s="41">
        <v>122136</v>
      </c>
      <c r="AJ126" s="41">
        <v>123417</v>
      </c>
      <c r="AK126" s="41">
        <v>124691</v>
      </c>
      <c r="AL126" s="41">
        <v>126002</v>
      </c>
      <c r="AM126" s="41">
        <v>127298</v>
      </c>
      <c r="AN126" s="41">
        <v>128615</v>
      </c>
      <c r="AO126" s="41">
        <v>129908</v>
      </c>
      <c r="AP126" s="41">
        <v>131188</v>
      </c>
      <c r="AQ126" s="41">
        <v>132502</v>
      </c>
    </row>
    <row r="127" spans="1:43">
      <c r="A127" s="38" t="s">
        <v>370</v>
      </c>
      <c r="B127" s="38" t="s">
        <v>371</v>
      </c>
      <c r="C127" s="41">
        <v>73845</v>
      </c>
      <c r="D127" s="41">
        <v>74095</v>
      </c>
      <c r="E127" s="41">
        <v>74322</v>
      </c>
      <c r="F127" s="41">
        <v>74664</v>
      </c>
      <c r="G127" s="41">
        <v>74932</v>
      </c>
      <c r="H127" s="41">
        <v>75642</v>
      </c>
      <c r="I127" s="41">
        <v>76316</v>
      </c>
      <c r="J127" s="41">
        <v>77131</v>
      </c>
      <c r="K127" s="41">
        <v>77358</v>
      </c>
      <c r="L127" s="41">
        <v>77740</v>
      </c>
      <c r="M127" s="41">
        <v>78193</v>
      </c>
      <c r="N127" s="41">
        <v>78863</v>
      </c>
      <c r="O127" s="41">
        <v>79327</v>
      </c>
      <c r="P127" s="41">
        <v>79941</v>
      </c>
      <c r="Q127" s="41">
        <v>80465</v>
      </c>
      <c r="R127" s="41">
        <v>81103</v>
      </c>
      <c r="S127" s="41">
        <v>81570</v>
      </c>
      <c r="T127" s="41">
        <v>82047</v>
      </c>
      <c r="U127" s="41">
        <v>82540</v>
      </c>
      <c r="V127" s="41">
        <v>82993</v>
      </c>
      <c r="W127" s="41">
        <v>83409</v>
      </c>
      <c r="X127" s="41">
        <v>84006</v>
      </c>
      <c r="Y127" s="41">
        <v>84588</v>
      </c>
      <c r="Z127" s="41">
        <v>85181</v>
      </c>
      <c r="AA127" s="41">
        <v>85744</v>
      </c>
      <c r="AB127" s="41">
        <v>86276</v>
      </c>
      <c r="AC127" s="41">
        <v>86818</v>
      </c>
      <c r="AD127" s="41">
        <v>87358</v>
      </c>
      <c r="AE127" s="41">
        <v>87878</v>
      </c>
      <c r="AF127" s="41">
        <v>88360</v>
      </c>
      <c r="AG127" s="41">
        <v>88851</v>
      </c>
      <c r="AH127" s="41">
        <v>89320</v>
      </c>
      <c r="AI127" s="41">
        <v>89796</v>
      </c>
      <c r="AJ127" s="41">
        <v>90231</v>
      </c>
      <c r="AK127" s="41">
        <v>90671</v>
      </c>
      <c r="AL127" s="41">
        <v>91116</v>
      </c>
      <c r="AM127" s="41">
        <v>91532</v>
      </c>
      <c r="AN127" s="41">
        <v>91945</v>
      </c>
      <c r="AO127" s="41">
        <v>92332</v>
      </c>
      <c r="AP127" s="41">
        <v>92695</v>
      </c>
      <c r="AQ127" s="41">
        <v>93091</v>
      </c>
    </row>
    <row r="128" spans="1:43">
      <c r="A128" s="38" t="s">
        <v>372</v>
      </c>
      <c r="B128" s="38" t="s">
        <v>373</v>
      </c>
      <c r="C128" s="41">
        <v>37639</v>
      </c>
      <c r="D128" s="41">
        <v>37565</v>
      </c>
      <c r="E128" s="41">
        <v>37556</v>
      </c>
      <c r="F128" s="41">
        <v>37241</v>
      </c>
      <c r="G128" s="41">
        <v>37387</v>
      </c>
      <c r="H128" s="41">
        <v>37696</v>
      </c>
      <c r="I128" s="41">
        <v>37940</v>
      </c>
      <c r="J128" s="41">
        <v>38443</v>
      </c>
      <c r="K128" s="41">
        <v>38847</v>
      </c>
      <c r="L128" s="41">
        <v>39172</v>
      </c>
      <c r="M128" s="41">
        <v>39703</v>
      </c>
      <c r="N128" s="41">
        <v>39841</v>
      </c>
      <c r="O128" s="41">
        <v>40152</v>
      </c>
      <c r="P128" s="41">
        <v>40554</v>
      </c>
      <c r="Q128" s="41">
        <v>40776</v>
      </c>
      <c r="R128" s="41">
        <v>40966</v>
      </c>
      <c r="S128" s="41">
        <v>41216</v>
      </c>
      <c r="T128" s="41">
        <v>41496</v>
      </c>
      <c r="U128" s="41">
        <v>41801</v>
      </c>
      <c r="V128" s="41">
        <v>42070</v>
      </c>
      <c r="W128" s="41">
        <v>42351</v>
      </c>
      <c r="X128" s="41">
        <v>42682</v>
      </c>
      <c r="Y128" s="41">
        <v>43017</v>
      </c>
      <c r="Z128" s="41">
        <v>43350</v>
      </c>
      <c r="AA128" s="41">
        <v>43674</v>
      </c>
      <c r="AB128" s="41">
        <v>44004</v>
      </c>
      <c r="AC128" s="41">
        <v>44351</v>
      </c>
      <c r="AD128" s="41">
        <v>44669</v>
      </c>
      <c r="AE128" s="41">
        <v>45017</v>
      </c>
      <c r="AF128" s="41">
        <v>45349</v>
      </c>
      <c r="AG128" s="41">
        <v>45682</v>
      </c>
      <c r="AH128" s="41">
        <v>46018</v>
      </c>
      <c r="AI128" s="41">
        <v>46350</v>
      </c>
      <c r="AJ128" s="41">
        <v>46690</v>
      </c>
      <c r="AK128" s="41">
        <v>47022</v>
      </c>
      <c r="AL128" s="41">
        <v>47356</v>
      </c>
      <c r="AM128" s="41">
        <v>47673</v>
      </c>
      <c r="AN128" s="41">
        <v>48003</v>
      </c>
      <c r="AO128" s="41">
        <v>48322</v>
      </c>
      <c r="AP128" s="41">
        <v>48634</v>
      </c>
      <c r="AQ128" s="41">
        <v>48949</v>
      </c>
    </row>
    <row r="129" spans="1:43">
      <c r="A129" s="38" t="s">
        <v>374</v>
      </c>
      <c r="B129" s="38" t="s">
        <v>375</v>
      </c>
      <c r="C129" s="41">
        <v>36790</v>
      </c>
      <c r="D129" s="41">
        <v>36937</v>
      </c>
      <c r="E129" s="41">
        <v>37095</v>
      </c>
      <c r="F129" s="41">
        <v>37269</v>
      </c>
      <c r="G129" s="41">
        <v>37524</v>
      </c>
      <c r="H129" s="41">
        <v>37760</v>
      </c>
      <c r="I129" s="41">
        <v>38041</v>
      </c>
      <c r="J129" s="41">
        <v>38320</v>
      </c>
      <c r="K129" s="41">
        <v>38502</v>
      </c>
      <c r="L129" s="41">
        <v>38690</v>
      </c>
      <c r="M129" s="41">
        <v>38825</v>
      </c>
      <c r="N129" s="41">
        <v>39080</v>
      </c>
      <c r="O129" s="41">
        <v>39250</v>
      </c>
      <c r="P129" s="41">
        <v>39573</v>
      </c>
      <c r="Q129" s="41">
        <v>39839</v>
      </c>
      <c r="R129" s="41">
        <v>40165</v>
      </c>
      <c r="S129" s="41">
        <v>40436</v>
      </c>
      <c r="T129" s="41">
        <v>40687</v>
      </c>
      <c r="U129" s="41">
        <v>40945</v>
      </c>
      <c r="V129" s="41">
        <v>41179</v>
      </c>
      <c r="W129" s="41">
        <v>41405</v>
      </c>
      <c r="X129" s="41">
        <v>41637</v>
      </c>
      <c r="Y129" s="41">
        <v>41849</v>
      </c>
      <c r="Z129" s="41">
        <v>42055</v>
      </c>
      <c r="AA129" s="41">
        <v>42227</v>
      </c>
      <c r="AB129" s="41">
        <v>42402</v>
      </c>
      <c r="AC129" s="41">
        <v>42597</v>
      </c>
      <c r="AD129" s="41">
        <v>42772</v>
      </c>
      <c r="AE129" s="41">
        <v>42944</v>
      </c>
      <c r="AF129" s="41">
        <v>43084</v>
      </c>
      <c r="AG129" s="41">
        <v>43240</v>
      </c>
      <c r="AH129" s="41">
        <v>43395</v>
      </c>
      <c r="AI129" s="41">
        <v>43529</v>
      </c>
      <c r="AJ129" s="41">
        <v>43653</v>
      </c>
      <c r="AK129" s="41">
        <v>43783</v>
      </c>
      <c r="AL129" s="41">
        <v>43912</v>
      </c>
      <c r="AM129" s="41">
        <v>44036</v>
      </c>
      <c r="AN129" s="41">
        <v>44154</v>
      </c>
      <c r="AO129" s="41">
        <v>44276</v>
      </c>
      <c r="AP129" s="41">
        <v>44399</v>
      </c>
      <c r="AQ129" s="41">
        <v>44508</v>
      </c>
    </row>
    <row r="130" spans="1:43">
      <c r="A130" s="38" t="s">
        <v>376</v>
      </c>
      <c r="B130" s="38" t="s">
        <v>377</v>
      </c>
      <c r="C130" s="41">
        <v>97178</v>
      </c>
      <c r="D130" s="41">
        <v>96961</v>
      </c>
      <c r="E130" s="41">
        <v>96589</v>
      </c>
      <c r="F130" s="41">
        <v>96026</v>
      </c>
      <c r="G130" s="41">
        <v>96371</v>
      </c>
      <c r="H130" s="41">
        <v>96683</v>
      </c>
      <c r="I130" s="41">
        <v>96879</v>
      </c>
      <c r="J130" s="41">
        <v>97596</v>
      </c>
      <c r="K130" s="41">
        <v>98481</v>
      </c>
      <c r="L130" s="41">
        <v>99150</v>
      </c>
      <c r="M130" s="41">
        <v>100278</v>
      </c>
      <c r="N130" s="41">
        <v>101635</v>
      </c>
      <c r="O130" s="41">
        <v>102971</v>
      </c>
      <c r="P130" s="41">
        <v>104487</v>
      </c>
      <c r="Q130" s="41">
        <v>105729</v>
      </c>
      <c r="R130" s="41">
        <v>106863</v>
      </c>
      <c r="S130" s="41">
        <v>108037</v>
      </c>
      <c r="T130" s="41">
        <v>109193</v>
      </c>
      <c r="U130" s="41">
        <v>110267</v>
      </c>
      <c r="V130" s="41">
        <v>111245</v>
      </c>
      <c r="W130" s="41">
        <v>112141</v>
      </c>
      <c r="X130" s="41">
        <v>113546</v>
      </c>
      <c r="Y130" s="41">
        <v>114909</v>
      </c>
      <c r="Z130" s="41">
        <v>116222</v>
      </c>
      <c r="AA130" s="41">
        <v>117494</v>
      </c>
      <c r="AB130" s="41">
        <v>118749</v>
      </c>
      <c r="AC130" s="41">
        <v>119978</v>
      </c>
      <c r="AD130" s="41">
        <v>121214</v>
      </c>
      <c r="AE130" s="41">
        <v>122377</v>
      </c>
      <c r="AF130" s="41">
        <v>123528</v>
      </c>
      <c r="AG130" s="41">
        <v>124669</v>
      </c>
      <c r="AH130" s="41">
        <v>125788</v>
      </c>
      <c r="AI130" s="41">
        <v>126898</v>
      </c>
      <c r="AJ130" s="41">
        <v>127968</v>
      </c>
      <c r="AK130" s="41">
        <v>129014</v>
      </c>
      <c r="AL130" s="41">
        <v>130048</v>
      </c>
      <c r="AM130" s="41">
        <v>131068</v>
      </c>
      <c r="AN130" s="41">
        <v>132064</v>
      </c>
      <c r="AO130" s="41">
        <v>133013</v>
      </c>
      <c r="AP130" s="41">
        <v>133937</v>
      </c>
      <c r="AQ130" s="41">
        <v>134875</v>
      </c>
    </row>
    <row r="131" spans="1:43">
      <c r="A131" s="38" t="s">
        <v>378</v>
      </c>
      <c r="B131" s="38" t="s">
        <v>379</v>
      </c>
      <c r="C131" s="41">
        <v>40895</v>
      </c>
      <c r="D131" s="41">
        <v>41285</v>
      </c>
      <c r="E131" s="41">
        <v>41787</v>
      </c>
      <c r="F131" s="41">
        <v>42313</v>
      </c>
      <c r="G131" s="41">
        <v>42774</v>
      </c>
      <c r="H131" s="41">
        <v>43261</v>
      </c>
      <c r="I131" s="41">
        <v>43643</v>
      </c>
      <c r="J131" s="41">
        <v>44156</v>
      </c>
      <c r="K131" s="41">
        <v>44513</v>
      </c>
      <c r="L131" s="41">
        <v>44840</v>
      </c>
      <c r="M131" s="41">
        <v>45309</v>
      </c>
      <c r="N131" s="41">
        <v>45707</v>
      </c>
      <c r="O131" s="41">
        <v>46057</v>
      </c>
      <c r="P131" s="41">
        <v>46730</v>
      </c>
      <c r="Q131" s="41">
        <v>47382</v>
      </c>
      <c r="R131" s="41">
        <v>48006</v>
      </c>
      <c r="S131" s="41">
        <v>48530</v>
      </c>
      <c r="T131" s="41">
        <v>49079</v>
      </c>
      <c r="U131" s="41">
        <v>49641</v>
      </c>
      <c r="V131" s="41">
        <v>50179</v>
      </c>
      <c r="W131" s="41">
        <v>50693</v>
      </c>
      <c r="X131" s="41">
        <v>51147</v>
      </c>
      <c r="Y131" s="41">
        <v>51612</v>
      </c>
      <c r="Z131" s="41">
        <v>52087</v>
      </c>
      <c r="AA131" s="41">
        <v>52509</v>
      </c>
      <c r="AB131" s="41">
        <v>52933</v>
      </c>
      <c r="AC131" s="41">
        <v>53356</v>
      </c>
      <c r="AD131" s="41">
        <v>53787</v>
      </c>
      <c r="AE131" s="41">
        <v>54203</v>
      </c>
      <c r="AF131" s="41">
        <v>54588</v>
      </c>
      <c r="AG131" s="41">
        <v>54982</v>
      </c>
      <c r="AH131" s="41">
        <v>55374</v>
      </c>
      <c r="AI131" s="41">
        <v>55760</v>
      </c>
      <c r="AJ131" s="41">
        <v>56124</v>
      </c>
      <c r="AK131" s="41">
        <v>56473</v>
      </c>
      <c r="AL131" s="41">
        <v>56832</v>
      </c>
      <c r="AM131" s="41">
        <v>57173</v>
      </c>
      <c r="AN131" s="41">
        <v>57514</v>
      </c>
      <c r="AO131" s="41">
        <v>57842</v>
      </c>
      <c r="AP131" s="41">
        <v>58159</v>
      </c>
      <c r="AQ131" s="41">
        <v>58506</v>
      </c>
    </row>
    <row r="132" spans="1:43">
      <c r="A132" s="38" t="s">
        <v>380</v>
      </c>
      <c r="B132" s="38" t="s">
        <v>381</v>
      </c>
      <c r="C132" s="41">
        <v>49863</v>
      </c>
      <c r="D132" s="41">
        <v>50122</v>
      </c>
      <c r="E132" s="41">
        <v>50572</v>
      </c>
      <c r="F132" s="41">
        <v>51118</v>
      </c>
      <c r="G132" s="41">
        <v>51674</v>
      </c>
      <c r="H132" s="41">
        <v>52298</v>
      </c>
      <c r="I132" s="41">
        <v>52831</v>
      </c>
      <c r="J132" s="41">
        <v>53246</v>
      </c>
      <c r="K132" s="41">
        <v>53752</v>
      </c>
      <c r="L132" s="41">
        <v>54297</v>
      </c>
      <c r="M132" s="41">
        <v>54879</v>
      </c>
      <c r="N132" s="41">
        <v>55216</v>
      </c>
      <c r="O132" s="41">
        <v>55753</v>
      </c>
      <c r="P132" s="41">
        <v>56357</v>
      </c>
      <c r="Q132" s="41">
        <v>57043</v>
      </c>
      <c r="R132" s="41">
        <v>58021</v>
      </c>
      <c r="S132" s="41">
        <v>58640</v>
      </c>
      <c r="T132" s="41">
        <v>59249</v>
      </c>
      <c r="U132" s="41">
        <v>59834</v>
      </c>
      <c r="V132" s="41">
        <v>60411</v>
      </c>
      <c r="W132" s="41">
        <v>60951</v>
      </c>
      <c r="X132" s="41">
        <v>61589</v>
      </c>
      <c r="Y132" s="41">
        <v>62220</v>
      </c>
      <c r="Z132" s="41">
        <v>62832</v>
      </c>
      <c r="AA132" s="41">
        <v>63426</v>
      </c>
      <c r="AB132" s="41">
        <v>64000</v>
      </c>
      <c r="AC132" s="41">
        <v>64593</v>
      </c>
      <c r="AD132" s="41">
        <v>65169</v>
      </c>
      <c r="AE132" s="41">
        <v>65736</v>
      </c>
      <c r="AF132" s="41">
        <v>66292</v>
      </c>
      <c r="AG132" s="41">
        <v>66854</v>
      </c>
      <c r="AH132" s="41">
        <v>67395</v>
      </c>
      <c r="AI132" s="41">
        <v>67922</v>
      </c>
      <c r="AJ132" s="41">
        <v>68443</v>
      </c>
      <c r="AK132" s="41">
        <v>68959</v>
      </c>
      <c r="AL132" s="41">
        <v>69462</v>
      </c>
      <c r="AM132" s="41">
        <v>69947</v>
      </c>
      <c r="AN132" s="41">
        <v>70432</v>
      </c>
      <c r="AO132" s="41">
        <v>70910</v>
      </c>
      <c r="AP132" s="41">
        <v>71361</v>
      </c>
      <c r="AQ132" s="41">
        <v>71837</v>
      </c>
    </row>
    <row r="133" spans="1:43">
      <c r="A133" s="38" t="s">
        <v>382</v>
      </c>
      <c r="B133" s="38" t="s">
        <v>383</v>
      </c>
      <c r="C133" s="41">
        <v>85145</v>
      </c>
      <c r="D133" s="41">
        <v>85179</v>
      </c>
      <c r="E133" s="41">
        <v>84668</v>
      </c>
      <c r="F133" s="41">
        <v>85158</v>
      </c>
      <c r="G133" s="41">
        <v>86338</v>
      </c>
      <c r="H133" s="41">
        <v>87317</v>
      </c>
      <c r="I133" s="41">
        <v>88577</v>
      </c>
      <c r="J133" s="41">
        <v>89645</v>
      </c>
      <c r="K133" s="41">
        <v>91334</v>
      </c>
      <c r="L133" s="41">
        <v>92918</v>
      </c>
      <c r="M133" s="41">
        <v>94693</v>
      </c>
      <c r="N133" s="41">
        <v>95810</v>
      </c>
      <c r="O133" s="41">
        <v>96758</v>
      </c>
      <c r="P133" s="41">
        <v>97646</v>
      </c>
      <c r="Q133" s="41">
        <v>98489</v>
      </c>
      <c r="R133" s="41">
        <v>99097</v>
      </c>
      <c r="S133" s="41">
        <v>99770</v>
      </c>
      <c r="T133" s="41">
        <v>100433</v>
      </c>
      <c r="U133" s="41">
        <v>101026</v>
      </c>
      <c r="V133" s="41">
        <v>101607</v>
      </c>
      <c r="W133" s="41">
        <v>102130</v>
      </c>
      <c r="X133" s="41">
        <v>103133</v>
      </c>
      <c r="Y133" s="41">
        <v>104099</v>
      </c>
      <c r="Z133" s="41">
        <v>105025</v>
      </c>
      <c r="AA133" s="41">
        <v>105929</v>
      </c>
      <c r="AB133" s="41">
        <v>106821</v>
      </c>
      <c r="AC133" s="41">
        <v>107680</v>
      </c>
      <c r="AD133" s="41">
        <v>108536</v>
      </c>
      <c r="AE133" s="41">
        <v>109353</v>
      </c>
      <c r="AF133" s="41">
        <v>110143</v>
      </c>
      <c r="AG133" s="41">
        <v>110931</v>
      </c>
      <c r="AH133" s="41">
        <v>111711</v>
      </c>
      <c r="AI133" s="41">
        <v>112481</v>
      </c>
      <c r="AJ133" s="41">
        <v>113225</v>
      </c>
      <c r="AK133" s="41">
        <v>113947</v>
      </c>
      <c r="AL133" s="41">
        <v>114672</v>
      </c>
      <c r="AM133" s="41">
        <v>115380</v>
      </c>
      <c r="AN133" s="41">
        <v>116079</v>
      </c>
      <c r="AO133" s="41">
        <v>116743</v>
      </c>
      <c r="AP133" s="41">
        <v>117379</v>
      </c>
      <c r="AQ133" s="41">
        <v>118021</v>
      </c>
    </row>
    <row r="134" spans="1:43">
      <c r="A134" s="38" t="s">
        <v>384</v>
      </c>
      <c r="B134" s="38" t="s">
        <v>385</v>
      </c>
      <c r="C134" s="41">
        <v>62602</v>
      </c>
      <c r="D134" s="41">
        <v>63307</v>
      </c>
      <c r="E134" s="41">
        <v>63899</v>
      </c>
      <c r="F134" s="41">
        <v>64964</v>
      </c>
      <c r="G134" s="41">
        <v>65479</v>
      </c>
      <c r="H134" s="41">
        <v>66136</v>
      </c>
      <c r="I134" s="41">
        <v>66629</v>
      </c>
      <c r="J134" s="41">
        <v>67425</v>
      </c>
      <c r="K134" s="41">
        <v>67969</v>
      </c>
      <c r="L134" s="41">
        <v>68560</v>
      </c>
      <c r="M134" s="41">
        <v>69167</v>
      </c>
      <c r="N134" s="41">
        <v>69802</v>
      </c>
      <c r="O134" s="41">
        <v>70397</v>
      </c>
      <c r="P134" s="41">
        <v>71603</v>
      </c>
      <c r="Q134" s="41">
        <v>72372</v>
      </c>
      <c r="R134" s="41">
        <v>72883</v>
      </c>
      <c r="S134" s="41">
        <v>73556</v>
      </c>
      <c r="T134" s="41">
        <v>74205</v>
      </c>
      <c r="U134" s="41">
        <v>74843</v>
      </c>
      <c r="V134" s="41">
        <v>75430</v>
      </c>
      <c r="W134" s="41">
        <v>75989</v>
      </c>
      <c r="X134" s="41">
        <v>76678</v>
      </c>
      <c r="Y134" s="41">
        <v>77309</v>
      </c>
      <c r="Z134" s="41">
        <v>77934</v>
      </c>
      <c r="AA134" s="41">
        <v>78527</v>
      </c>
      <c r="AB134" s="41">
        <v>79089</v>
      </c>
      <c r="AC134" s="41">
        <v>79689</v>
      </c>
      <c r="AD134" s="41">
        <v>80236</v>
      </c>
      <c r="AE134" s="41">
        <v>80788</v>
      </c>
      <c r="AF134" s="41">
        <v>81311</v>
      </c>
      <c r="AG134" s="41">
        <v>81840</v>
      </c>
      <c r="AH134" s="41">
        <v>82358</v>
      </c>
      <c r="AI134" s="41">
        <v>82884</v>
      </c>
      <c r="AJ134" s="41">
        <v>83386</v>
      </c>
      <c r="AK134" s="41">
        <v>83885</v>
      </c>
      <c r="AL134" s="41">
        <v>84384</v>
      </c>
      <c r="AM134" s="41">
        <v>84877</v>
      </c>
      <c r="AN134" s="41">
        <v>85363</v>
      </c>
      <c r="AO134" s="41">
        <v>85843</v>
      </c>
      <c r="AP134" s="41">
        <v>86310</v>
      </c>
      <c r="AQ134" s="41">
        <v>86786</v>
      </c>
    </row>
    <row r="135" spans="1:43">
      <c r="A135" s="38" t="s">
        <v>386</v>
      </c>
      <c r="B135" s="38" t="s">
        <v>387</v>
      </c>
      <c r="C135" s="41">
        <v>32675</v>
      </c>
      <c r="D135" s="41">
        <v>32752</v>
      </c>
      <c r="E135" s="41">
        <v>32828</v>
      </c>
      <c r="F135" s="41">
        <v>32939</v>
      </c>
      <c r="G135" s="41">
        <v>33120</v>
      </c>
      <c r="H135" s="41">
        <v>33369</v>
      </c>
      <c r="I135" s="41">
        <v>33491</v>
      </c>
      <c r="J135" s="41">
        <v>33535</v>
      </c>
      <c r="K135" s="41">
        <v>33603</v>
      </c>
      <c r="L135" s="41">
        <v>33753</v>
      </c>
      <c r="M135" s="41">
        <v>34051</v>
      </c>
      <c r="N135" s="41">
        <v>34056</v>
      </c>
      <c r="O135" s="41">
        <v>34062</v>
      </c>
      <c r="P135" s="41">
        <v>34217</v>
      </c>
      <c r="Q135" s="41">
        <v>34304</v>
      </c>
      <c r="R135" s="41">
        <v>34549</v>
      </c>
      <c r="S135" s="41">
        <v>34608</v>
      </c>
      <c r="T135" s="41">
        <v>34677</v>
      </c>
      <c r="U135" s="41">
        <v>34769</v>
      </c>
      <c r="V135" s="41">
        <v>34838</v>
      </c>
      <c r="W135" s="41">
        <v>34908</v>
      </c>
      <c r="X135" s="41">
        <v>34917</v>
      </c>
      <c r="Y135" s="41">
        <v>34927</v>
      </c>
      <c r="Z135" s="41">
        <v>34943</v>
      </c>
      <c r="AA135" s="41">
        <v>34950</v>
      </c>
      <c r="AB135" s="41">
        <v>34956</v>
      </c>
      <c r="AC135" s="41">
        <v>34975</v>
      </c>
      <c r="AD135" s="41">
        <v>34985</v>
      </c>
      <c r="AE135" s="41">
        <v>34996</v>
      </c>
      <c r="AF135" s="41">
        <v>35015</v>
      </c>
      <c r="AG135" s="41">
        <v>35024</v>
      </c>
      <c r="AH135" s="41">
        <v>35041</v>
      </c>
      <c r="AI135" s="41">
        <v>35067</v>
      </c>
      <c r="AJ135" s="41">
        <v>35088</v>
      </c>
      <c r="AK135" s="41">
        <v>35102</v>
      </c>
      <c r="AL135" s="41">
        <v>35115</v>
      </c>
      <c r="AM135" s="41">
        <v>35144</v>
      </c>
      <c r="AN135" s="41">
        <v>35173</v>
      </c>
      <c r="AO135" s="41">
        <v>35200</v>
      </c>
      <c r="AP135" s="41">
        <v>35228</v>
      </c>
      <c r="AQ135" s="41">
        <v>35247</v>
      </c>
    </row>
    <row r="136" spans="1:43">
      <c r="A136" s="38" t="s">
        <v>388</v>
      </c>
      <c r="B136" s="38" t="s">
        <v>389</v>
      </c>
      <c r="C136" s="41">
        <v>49361</v>
      </c>
      <c r="D136" s="41">
        <v>49743</v>
      </c>
      <c r="E136" s="41">
        <v>50339</v>
      </c>
      <c r="F136" s="41">
        <v>51078</v>
      </c>
      <c r="G136" s="41">
        <v>52417</v>
      </c>
      <c r="H136" s="41">
        <v>52877</v>
      </c>
      <c r="I136" s="41">
        <v>53306</v>
      </c>
      <c r="J136" s="41">
        <v>54097</v>
      </c>
      <c r="K136" s="41">
        <v>54891</v>
      </c>
      <c r="L136" s="41">
        <v>55900</v>
      </c>
      <c r="M136" s="41">
        <v>56793</v>
      </c>
      <c r="N136" s="41">
        <v>57405</v>
      </c>
      <c r="O136" s="41">
        <v>57782</v>
      </c>
      <c r="P136" s="41">
        <v>58255</v>
      </c>
      <c r="Q136" s="41">
        <v>58859</v>
      </c>
      <c r="R136" s="41">
        <v>59275</v>
      </c>
      <c r="S136" s="41">
        <v>59782</v>
      </c>
      <c r="T136" s="41">
        <v>60190</v>
      </c>
      <c r="U136" s="41">
        <v>60582</v>
      </c>
      <c r="V136" s="41">
        <v>60990</v>
      </c>
      <c r="W136" s="41">
        <v>61351</v>
      </c>
      <c r="X136" s="41">
        <v>61815</v>
      </c>
      <c r="Y136" s="41">
        <v>62203</v>
      </c>
      <c r="Z136" s="41">
        <v>62616</v>
      </c>
      <c r="AA136" s="41">
        <v>63027</v>
      </c>
      <c r="AB136" s="41">
        <v>63435</v>
      </c>
      <c r="AC136" s="41">
        <v>63863</v>
      </c>
      <c r="AD136" s="41">
        <v>64277</v>
      </c>
      <c r="AE136" s="41">
        <v>64695</v>
      </c>
      <c r="AF136" s="41">
        <v>65100</v>
      </c>
      <c r="AG136" s="41">
        <v>65525</v>
      </c>
      <c r="AH136" s="41">
        <v>65956</v>
      </c>
      <c r="AI136" s="41">
        <v>66381</v>
      </c>
      <c r="AJ136" s="41">
        <v>66808</v>
      </c>
      <c r="AK136" s="41">
        <v>67219</v>
      </c>
      <c r="AL136" s="41">
        <v>67622</v>
      </c>
      <c r="AM136" s="41">
        <v>68015</v>
      </c>
      <c r="AN136" s="41">
        <v>68398</v>
      </c>
      <c r="AO136" s="41">
        <v>68770</v>
      </c>
      <c r="AP136" s="41">
        <v>69137</v>
      </c>
      <c r="AQ136" s="41">
        <v>69496</v>
      </c>
    </row>
    <row r="137" spans="1:43">
      <c r="A137" s="38" t="s">
        <v>390</v>
      </c>
      <c r="B137" s="38" t="s">
        <v>391</v>
      </c>
      <c r="C137" s="41">
        <v>57302</v>
      </c>
      <c r="D137" s="41">
        <v>57796</v>
      </c>
      <c r="E137" s="41">
        <v>58309</v>
      </c>
      <c r="F137" s="41">
        <v>58825</v>
      </c>
      <c r="G137" s="41">
        <v>59513</v>
      </c>
      <c r="H137" s="41">
        <v>59897</v>
      </c>
      <c r="I137" s="41">
        <v>60321</v>
      </c>
      <c r="J137" s="41">
        <v>60667</v>
      </c>
      <c r="K137" s="41">
        <v>60759</v>
      </c>
      <c r="L137" s="41">
        <v>60904</v>
      </c>
      <c r="M137" s="41">
        <v>60947</v>
      </c>
      <c r="N137" s="41">
        <v>61280</v>
      </c>
      <c r="O137" s="41">
        <v>61481</v>
      </c>
      <c r="P137" s="41">
        <v>62068</v>
      </c>
      <c r="Q137" s="41">
        <v>62479</v>
      </c>
      <c r="R137" s="41">
        <v>62976</v>
      </c>
      <c r="S137" s="41">
        <v>63425</v>
      </c>
      <c r="T137" s="41">
        <v>63873</v>
      </c>
      <c r="U137" s="41">
        <v>64364</v>
      </c>
      <c r="V137" s="41">
        <v>64791</v>
      </c>
      <c r="W137" s="41">
        <v>65237</v>
      </c>
      <c r="X137" s="41">
        <v>65703</v>
      </c>
      <c r="Y137" s="41">
        <v>66153</v>
      </c>
      <c r="Z137" s="41">
        <v>66632</v>
      </c>
      <c r="AA137" s="41">
        <v>67056</v>
      </c>
      <c r="AB137" s="41">
        <v>67514</v>
      </c>
      <c r="AC137" s="41">
        <v>67962</v>
      </c>
      <c r="AD137" s="41">
        <v>68392</v>
      </c>
      <c r="AE137" s="41">
        <v>68817</v>
      </c>
      <c r="AF137" s="41">
        <v>69220</v>
      </c>
      <c r="AG137" s="41">
        <v>69642</v>
      </c>
      <c r="AH137" s="41">
        <v>70017</v>
      </c>
      <c r="AI137" s="41">
        <v>70401</v>
      </c>
      <c r="AJ137" s="41">
        <v>70777</v>
      </c>
      <c r="AK137" s="41">
        <v>71148</v>
      </c>
      <c r="AL137" s="41">
        <v>71524</v>
      </c>
      <c r="AM137" s="41">
        <v>71866</v>
      </c>
      <c r="AN137" s="41">
        <v>72212</v>
      </c>
      <c r="AO137" s="41">
        <v>72552</v>
      </c>
      <c r="AP137" s="41">
        <v>72884</v>
      </c>
      <c r="AQ137" s="41">
        <v>73221</v>
      </c>
    </row>
    <row r="138" spans="1:43">
      <c r="A138" s="38" t="s">
        <v>392</v>
      </c>
      <c r="B138" s="38" t="s">
        <v>393</v>
      </c>
      <c r="C138" s="38">
        <v>910</v>
      </c>
      <c r="D138" s="38">
        <v>924</v>
      </c>
      <c r="E138" s="38">
        <v>929</v>
      </c>
      <c r="F138" s="38">
        <v>934</v>
      </c>
      <c r="G138" s="38">
        <v>948</v>
      </c>
      <c r="H138" s="38">
        <v>963</v>
      </c>
      <c r="I138" s="38">
        <v>988</v>
      </c>
      <c r="J138" s="41">
        <v>1015</v>
      </c>
      <c r="K138" s="38">
        <v>977</v>
      </c>
      <c r="L138" s="38">
        <v>970</v>
      </c>
      <c r="M138" s="41">
        <v>1006</v>
      </c>
      <c r="N138" s="41">
        <v>1028</v>
      </c>
      <c r="O138" s="41">
        <v>1007</v>
      </c>
      <c r="P138" s="41">
        <v>1025</v>
      </c>
      <c r="Q138" s="41">
        <v>1041</v>
      </c>
      <c r="R138" s="41">
        <v>1055</v>
      </c>
      <c r="S138" s="41">
        <v>1041</v>
      </c>
      <c r="T138" s="41">
        <v>1033</v>
      </c>
      <c r="U138" s="41">
        <v>1032</v>
      </c>
      <c r="V138" s="41">
        <v>1026</v>
      </c>
      <c r="W138" s="41">
        <v>1021</v>
      </c>
      <c r="X138" s="41">
        <v>1023</v>
      </c>
      <c r="Y138" s="41">
        <v>1022</v>
      </c>
      <c r="Z138" s="41">
        <v>1019</v>
      </c>
      <c r="AA138" s="41">
        <v>1017</v>
      </c>
      <c r="AB138" s="41">
        <v>1013</v>
      </c>
      <c r="AC138" s="41">
        <v>1020</v>
      </c>
      <c r="AD138" s="41">
        <v>1018</v>
      </c>
      <c r="AE138" s="41">
        <v>1017</v>
      </c>
      <c r="AF138" s="41">
        <v>1020</v>
      </c>
      <c r="AG138" s="41">
        <v>1019</v>
      </c>
      <c r="AH138" s="41">
        <v>1014</v>
      </c>
      <c r="AI138" s="41">
        <v>1013</v>
      </c>
      <c r="AJ138" s="41">
        <v>1018</v>
      </c>
      <c r="AK138" s="41">
        <v>1013</v>
      </c>
      <c r="AL138" s="41">
        <v>1018</v>
      </c>
      <c r="AM138" s="41">
        <v>1019</v>
      </c>
      <c r="AN138" s="41">
        <v>1020</v>
      </c>
      <c r="AO138" s="41">
        <v>1016</v>
      </c>
      <c r="AP138" s="41">
        <v>1015</v>
      </c>
      <c r="AQ138" s="41">
        <v>1020</v>
      </c>
    </row>
    <row r="139" spans="1:43">
      <c r="A139" s="38" t="s">
        <v>394</v>
      </c>
      <c r="B139" s="38" t="s">
        <v>395</v>
      </c>
      <c r="C139" s="41">
        <v>83097</v>
      </c>
      <c r="D139" s="41">
        <v>83271</v>
      </c>
      <c r="E139" s="41">
        <v>83468</v>
      </c>
      <c r="F139" s="41">
        <v>83196</v>
      </c>
      <c r="G139" s="41">
        <v>84164</v>
      </c>
      <c r="H139" s="41">
        <v>84699</v>
      </c>
      <c r="I139" s="41">
        <v>85807</v>
      </c>
      <c r="J139" s="41">
        <v>87228</v>
      </c>
      <c r="K139" s="41">
        <v>89319</v>
      </c>
      <c r="L139" s="41">
        <v>90756</v>
      </c>
      <c r="M139" s="41">
        <v>92706</v>
      </c>
      <c r="N139" s="41">
        <v>94885</v>
      </c>
      <c r="O139" s="41">
        <v>96587</v>
      </c>
      <c r="P139" s="41">
        <v>98580</v>
      </c>
      <c r="Q139" s="41">
        <v>100616</v>
      </c>
      <c r="R139" s="41">
        <v>102418</v>
      </c>
      <c r="S139" s="41">
        <v>103947</v>
      </c>
      <c r="T139" s="41">
        <v>105321</v>
      </c>
      <c r="U139" s="41">
        <v>106604</v>
      </c>
      <c r="V139" s="41">
        <v>107737</v>
      </c>
      <c r="W139" s="41">
        <v>108712</v>
      </c>
      <c r="X139" s="41">
        <v>109935</v>
      </c>
      <c r="Y139" s="41">
        <v>111084</v>
      </c>
      <c r="Z139" s="41">
        <v>112204</v>
      </c>
      <c r="AA139" s="41">
        <v>113265</v>
      </c>
      <c r="AB139" s="41">
        <v>114312</v>
      </c>
      <c r="AC139" s="41">
        <v>115332</v>
      </c>
      <c r="AD139" s="41">
        <v>116370</v>
      </c>
      <c r="AE139" s="41">
        <v>117407</v>
      </c>
      <c r="AF139" s="41">
        <v>118438</v>
      </c>
      <c r="AG139" s="41">
        <v>119509</v>
      </c>
      <c r="AH139" s="41">
        <v>120601</v>
      </c>
      <c r="AI139" s="41">
        <v>121714</v>
      </c>
      <c r="AJ139" s="41">
        <v>122814</v>
      </c>
      <c r="AK139" s="41">
        <v>123909</v>
      </c>
      <c r="AL139" s="41">
        <v>125032</v>
      </c>
      <c r="AM139" s="41">
        <v>126126</v>
      </c>
      <c r="AN139" s="41">
        <v>127193</v>
      </c>
      <c r="AO139" s="41">
        <v>128189</v>
      </c>
      <c r="AP139" s="41">
        <v>129153</v>
      </c>
      <c r="AQ139" s="41">
        <v>130095</v>
      </c>
    </row>
    <row r="140" spans="1:43">
      <c r="A140" s="38" t="s">
        <v>396</v>
      </c>
      <c r="B140" s="38" t="s">
        <v>397</v>
      </c>
      <c r="C140" s="41">
        <v>80194</v>
      </c>
      <c r="D140" s="41">
        <v>80630</v>
      </c>
      <c r="E140" s="41">
        <v>80904</v>
      </c>
      <c r="F140" s="41">
        <v>80796</v>
      </c>
      <c r="G140" s="41">
        <v>81721</v>
      </c>
      <c r="H140" s="41">
        <v>80210</v>
      </c>
      <c r="I140" s="41">
        <v>79119</v>
      </c>
      <c r="J140" s="41">
        <v>79053</v>
      </c>
      <c r="K140" s="41">
        <v>78823</v>
      </c>
      <c r="L140" s="41">
        <v>77985</v>
      </c>
      <c r="M140" s="41">
        <v>77306</v>
      </c>
      <c r="N140" s="41">
        <v>76695</v>
      </c>
      <c r="O140" s="41">
        <v>76846</v>
      </c>
      <c r="P140" s="41">
        <v>77106</v>
      </c>
      <c r="Q140" s="41">
        <v>77252</v>
      </c>
      <c r="R140" s="41">
        <v>76595</v>
      </c>
      <c r="S140" s="41">
        <v>76268</v>
      </c>
      <c r="T140" s="41">
        <v>76088</v>
      </c>
      <c r="U140" s="41">
        <v>75968</v>
      </c>
      <c r="V140" s="41">
        <v>75818</v>
      </c>
      <c r="W140" s="41">
        <v>75677</v>
      </c>
      <c r="X140" s="41">
        <v>75752</v>
      </c>
      <c r="Y140" s="41">
        <v>75884</v>
      </c>
      <c r="Z140" s="41">
        <v>76056</v>
      </c>
      <c r="AA140" s="41">
        <v>76219</v>
      </c>
      <c r="AB140" s="41">
        <v>76409</v>
      </c>
      <c r="AC140" s="41">
        <v>76590</v>
      </c>
      <c r="AD140" s="41">
        <v>76825</v>
      </c>
      <c r="AE140" s="41">
        <v>77087</v>
      </c>
      <c r="AF140" s="41">
        <v>77348</v>
      </c>
      <c r="AG140" s="41">
        <v>77646</v>
      </c>
      <c r="AH140" s="41">
        <v>77969</v>
      </c>
      <c r="AI140" s="41">
        <v>78285</v>
      </c>
      <c r="AJ140" s="41">
        <v>78608</v>
      </c>
      <c r="AK140" s="41">
        <v>78925</v>
      </c>
      <c r="AL140" s="41">
        <v>79255</v>
      </c>
      <c r="AM140" s="41">
        <v>79571</v>
      </c>
      <c r="AN140" s="41">
        <v>79881</v>
      </c>
      <c r="AO140" s="41">
        <v>80183</v>
      </c>
      <c r="AP140" s="41">
        <v>80455</v>
      </c>
      <c r="AQ140" s="41">
        <v>80745</v>
      </c>
    </row>
    <row r="141" spans="1:43">
      <c r="A141" s="38" t="s">
        <v>398</v>
      </c>
      <c r="B141" s="38" t="s">
        <v>399</v>
      </c>
      <c r="C141" s="41">
        <v>34311</v>
      </c>
      <c r="D141" s="41">
        <v>34721</v>
      </c>
      <c r="E141" s="41">
        <v>35339</v>
      </c>
      <c r="F141" s="41">
        <v>35797</v>
      </c>
      <c r="G141" s="41">
        <v>36301</v>
      </c>
      <c r="H141" s="41">
        <v>36912</v>
      </c>
      <c r="I141" s="41">
        <v>37691</v>
      </c>
      <c r="J141" s="41">
        <v>38322</v>
      </c>
      <c r="K141" s="41">
        <v>38777</v>
      </c>
      <c r="L141" s="41">
        <v>39105</v>
      </c>
      <c r="M141" s="41">
        <v>39570</v>
      </c>
      <c r="N141" s="41">
        <v>40024</v>
      </c>
      <c r="O141" s="41">
        <v>40422</v>
      </c>
      <c r="P141" s="41">
        <v>40951</v>
      </c>
      <c r="Q141" s="41">
        <v>41311</v>
      </c>
      <c r="R141" s="41">
        <v>41922</v>
      </c>
      <c r="S141" s="41">
        <v>42369</v>
      </c>
      <c r="T141" s="41">
        <v>42821</v>
      </c>
      <c r="U141" s="41">
        <v>43291</v>
      </c>
      <c r="V141" s="41">
        <v>43746</v>
      </c>
      <c r="W141" s="41">
        <v>44189</v>
      </c>
      <c r="X141" s="41">
        <v>44646</v>
      </c>
      <c r="Y141" s="41">
        <v>45078</v>
      </c>
      <c r="Z141" s="41">
        <v>45513</v>
      </c>
      <c r="AA141" s="41">
        <v>45936</v>
      </c>
      <c r="AB141" s="41">
        <v>46354</v>
      </c>
      <c r="AC141" s="41">
        <v>46791</v>
      </c>
      <c r="AD141" s="41">
        <v>47203</v>
      </c>
      <c r="AE141" s="41">
        <v>47607</v>
      </c>
      <c r="AF141" s="41">
        <v>48007</v>
      </c>
      <c r="AG141" s="41">
        <v>48395</v>
      </c>
      <c r="AH141" s="41">
        <v>48788</v>
      </c>
      <c r="AI141" s="41">
        <v>49169</v>
      </c>
      <c r="AJ141" s="41">
        <v>49539</v>
      </c>
      <c r="AK141" s="41">
        <v>49908</v>
      </c>
      <c r="AL141" s="41">
        <v>50277</v>
      </c>
      <c r="AM141" s="41">
        <v>50626</v>
      </c>
      <c r="AN141" s="41">
        <v>50983</v>
      </c>
      <c r="AO141" s="41">
        <v>51335</v>
      </c>
      <c r="AP141" s="41">
        <v>51676</v>
      </c>
      <c r="AQ141" s="41">
        <v>52027</v>
      </c>
    </row>
    <row r="142" spans="1:43">
      <c r="A142" s="38" t="s">
        <v>400</v>
      </c>
      <c r="B142" s="38" t="s">
        <v>401</v>
      </c>
      <c r="C142" s="41">
        <v>58114</v>
      </c>
      <c r="D142" s="41">
        <v>58542</v>
      </c>
      <c r="E142" s="41">
        <v>59012</v>
      </c>
      <c r="F142" s="41">
        <v>59439</v>
      </c>
      <c r="G142" s="41">
        <v>59933</v>
      </c>
      <c r="H142" s="41">
        <v>60708</v>
      </c>
      <c r="I142" s="41">
        <v>61182</v>
      </c>
      <c r="J142" s="41">
        <v>61652</v>
      </c>
      <c r="K142" s="41">
        <v>61995</v>
      </c>
      <c r="L142" s="41">
        <v>62304</v>
      </c>
      <c r="M142" s="41">
        <v>62927</v>
      </c>
      <c r="N142" s="41">
        <v>63123</v>
      </c>
      <c r="O142" s="41">
        <v>63344</v>
      </c>
      <c r="P142" s="41">
        <v>63713</v>
      </c>
      <c r="Q142" s="41">
        <v>64105</v>
      </c>
      <c r="R142" s="41">
        <v>64355</v>
      </c>
      <c r="S142" s="41">
        <v>64628</v>
      </c>
      <c r="T142" s="41">
        <v>64962</v>
      </c>
      <c r="U142" s="41">
        <v>65272</v>
      </c>
      <c r="V142" s="41">
        <v>65577</v>
      </c>
      <c r="W142" s="41">
        <v>65828</v>
      </c>
      <c r="X142" s="41">
        <v>66272</v>
      </c>
      <c r="Y142" s="41">
        <v>66707</v>
      </c>
      <c r="Z142" s="41">
        <v>67127</v>
      </c>
      <c r="AA142" s="41">
        <v>67515</v>
      </c>
      <c r="AB142" s="41">
        <v>67899</v>
      </c>
      <c r="AC142" s="41">
        <v>68327</v>
      </c>
      <c r="AD142" s="41">
        <v>68735</v>
      </c>
      <c r="AE142" s="41">
        <v>69128</v>
      </c>
      <c r="AF142" s="41">
        <v>69479</v>
      </c>
      <c r="AG142" s="41">
        <v>69863</v>
      </c>
      <c r="AH142" s="41">
        <v>70254</v>
      </c>
      <c r="AI142" s="41">
        <v>70652</v>
      </c>
      <c r="AJ142" s="41">
        <v>71031</v>
      </c>
      <c r="AK142" s="41">
        <v>71406</v>
      </c>
      <c r="AL142" s="41">
        <v>71799</v>
      </c>
      <c r="AM142" s="41">
        <v>72165</v>
      </c>
      <c r="AN142" s="41">
        <v>72561</v>
      </c>
      <c r="AO142" s="41">
        <v>72933</v>
      </c>
      <c r="AP142" s="41">
        <v>73300</v>
      </c>
      <c r="AQ142" s="41">
        <v>73690</v>
      </c>
    </row>
    <row r="143" spans="1:43">
      <c r="A143" s="38" t="s">
        <v>402</v>
      </c>
      <c r="B143" s="38" t="s">
        <v>403</v>
      </c>
      <c r="C143" s="41">
        <v>106442</v>
      </c>
      <c r="D143" s="41">
        <v>106519</v>
      </c>
      <c r="E143" s="41">
        <v>107151</v>
      </c>
      <c r="F143" s="41">
        <v>108328</v>
      </c>
      <c r="G143" s="41">
        <v>109424</v>
      </c>
      <c r="H143" s="41">
        <v>109790</v>
      </c>
      <c r="I143" s="41">
        <v>110111</v>
      </c>
      <c r="J143" s="41">
        <v>110657</v>
      </c>
      <c r="K143" s="41">
        <v>110770</v>
      </c>
      <c r="L143" s="41">
        <v>111189</v>
      </c>
      <c r="M143" s="41">
        <v>111422</v>
      </c>
      <c r="N143" s="41">
        <v>111764</v>
      </c>
      <c r="O143" s="41">
        <v>112029</v>
      </c>
      <c r="P143" s="41">
        <v>112245</v>
      </c>
      <c r="Q143" s="41">
        <v>112652</v>
      </c>
      <c r="R143" s="41">
        <v>113250</v>
      </c>
      <c r="S143" s="41">
        <v>113538</v>
      </c>
      <c r="T143" s="41">
        <v>113810</v>
      </c>
      <c r="U143" s="41">
        <v>114028</v>
      </c>
      <c r="V143" s="41">
        <v>114157</v>
      </c>
      <c r="W143" s="41">
        <v>114390</v>
      </c>
      <c r="X143" s="41">
        <v>114603</v>
      </c>
      <c r="Y143" s="41">
        <v>114777</v>
      </c>
      <c r="Z143" s="41">
        <v>115009</v>
      </c>
      <c r="AA143" s="41">
        <v>115162</v>
      </c>
      <c r="AB143" s="41">
        <v>115419</v>
      </c>
      <c r="AC143" s="41">
        <v>115697</v>
      </c>
      <c r="AD143" s="41">
        <v>115989</v>
      </c>
      <c r="AE143" s="41">
        <v>116286</v>
      </c>
      <c r="AF143" s="41">
        <v>116541</v>
      </c>
      <c r="AG143" s="41">
        <v>116874</v>
      </c>
      <c r="AH143" s="41">
        <v>117260</v>
      </c>
      <c r="AI143" s="41">
        <v>117607</v>
      </c>
      <c r="AJ143" s="41">
        <v>117935</v>
      </c>
      <c r="AK143" s="41">
        <v>118214</v>
      </c>
      <c r="AL143" s="41">
        <v>118539</v>
      </c>
      <c r="AM143" s="41">
        <v>118858</v>
      </c>
      <c r="AN143" s="41">
        <v>119148</v>
      </c>
      <c r="AO143" s="41">
        <v>119421</v>
      </c>
      <c r="AP143" s="41">
        <v>119646</v>
      </c>
      <c r="AQ143" s="41">
        <v>119893</v>
      </c>
    </row>
    <row r="144" spans="1:43">
      <c r="A144" s="38" t="s">
        <v>404</v>
      </c>
      <c r="B144" s="38" t="s">
        <v>405</v>
      </c>
      <c r="C144" s="41">
        <v>61727</v>
      </c>
      <c r="D144" s="41">
        <v>61759</v>
      </c>
      <c r="E144" s="41">
        <v>61637</v>
      </c>
      <c r="F144" s="41">
        <v>61692</v>
      </c>
      <c r="G144" s="41">
        <v>62067</v>
      </c>
      <c r="H144" s="41">
        <v>62235</v>
      </c>
      <c r="I144" s="41">
        <v>61994</v>
      </c>
      <c r="J144" s="41">
        <v>62407</v>
      </c>
      <c r="K144" s="41">
        <v>62708</v>
      </c>
      <c r="L144" s="41">
        <v>62981</v>
      </c>
      <c r="M144" s="41">
        <v>63220</v>
      </c>
      <c r="N144" s="41">
        <v>63928</v>
      </c>
      <c r="O144" s="41">
        <v>64645</v>
      </c>
      <c r="P144" s="41">
        <v>65521</v>
      </c>
      <c r="Q144" s="41">
        <v>66498</v>
      </c>
      <c r="R144" s="41">
        <v>67237</v>
      </c>
      <c r="S144" s="41">
        <v>67953</v>
      </c>
      <c r="T144" s="41">
        <v>68658</v>
      </c>
      <c r="U144" s="41">
        <v>69312</v>
      </c>
      <c r="V144" s="41">
        <v>69922</v>
      </c>
      <c r="W144" s="41">
        <v>70514</v>
      </c>
      <c r="X144" s="41">
        <v>71330</v>
      </c>
      <c r="Y144" s="41">
        <v>72150</v>
      </c>
      <c r="Z144" s="41">
        <v>72947</v>
      </c>
      <c r="AA144" s="41">
        <v>73731</v>
      </c>
      <c r="AB144" s="41">
        <v>74497</v>
      </c>
      <c r="AC144" s="41">
        <v>75265</v>
      </c>
      <c r="AD144" s="41">
        <v>76013</v>
      </c>
      <c r="AE144" s="41">
        <v>76748</v>
      </c>
      <c r="AF144" s="41">
        <v>77439</v>
      </c>
      <c r="AG144" s="41">
        <v>78129</v>
      </c>
      <c r="AH144" s="41">
        <v>78789</v>
      </c>
      <c r="AI144" s="41">
        <v>79442</v>
      </c>
      <c r="AJ144" s="41">
        <v>80073</v>
      </c>
      <c r="AK144" s="41">
        <v>80681</v>
      </c>
      <c r="AL144" s="41">
        <v>81289</v>
      </c>
      <c r="AM144" s="41">
        <v>81877</v>
      </c>
      <c r="AN144" s="41">
        <v>82451</v>
      </c>
      <c r="AO144" s="41">
        <v>83010</v>
      </c>
      <c r="AP144" s="41">
        <v>83553</v>
      </c>
      <c r="AQ144" s="41">
        <v>84109</v>
      </c>
    </row>
    <row r="145" spans="1:43">
      <c r="A145" s="38" t="s">
        <v>406</v>
      </c>
      <c r="B145" s="38" t="s">
        <v>407</v>
      </c>
      <c r="C145" s="41">
        <v>157769</v>
      </c>
      <c r="D145" s="41">
        <v>158956</v>
      </c>
      <c r="E145" s="41">
        <v>159963</v>
      </c>
      <c r="F145" s="41">
        <v>161327</v>
      </c>
      <c r="G145" s="41">
        <v>162731</v>
      </c>
      <c r="H145" s="41">
        <v>164165</v>
      </c>
      <c r="I145" s="41">
        <v>165702</v>
      </c>
      <c r="J145" s="41">
        <v>167244</v>
      </c>
      <c r="K145" s="41">
        <v>168554</v>
      </c>
      <c r="L145" s="41">
        <v>170153</v>
      </c>
      <c r="M145" s="41">
        <v>172691</v>
      </c>
      <c r="N145" s="41">
        <v>173459</v>
      </c>
      <c r="O145" s="41">
        <v>174499</v>
      </c>
      <c r="P145" s="41">
        <v>175393</v>
      </c>
      <c r="Q145" s="41">
        <v>176558</v>
      </c>
      <c r="R145" s="41">
        <v>177674</v>
      </c>
      <c r="S145" s="41">
        <v>178602</v>
      </c>
      <c r="T145" s="41">
        <v>179610</v>
      </c>
      <c r="U145" s="41">
        <v>180518</v>
      </c>
      <c r="V145" s="41">
        <v>181388</v>
      </c>
      <c r="W145" s="41">
        <v>182203</v>
      </c>
      <c r="X145" s="41">
        <v>183344</v>
      </c>
      <c r="Y145" s="41">
        <v>184460</v>
      </c>
      <c r="Z145" s="41">
        <v>185521</v>
      </c>
      <c r="AA145" s="41">
        <v>186547</v>
      </c>
      <c r="AB145" s="41">
        <v>187593</v>
      </c>
      <c r="AC145" s="41">
        <v>188685</v>
      </c>
      <c r="AD145" s="41">
        <v>189755</v>
      </c>
      <c r="AE145" s="41">
        <v>190761</v>
      </c>
      <c r="AF145" s="41">
        <v>191723</v>
      </c>
      <c r="AG145" s="41">
        <v>192727</v>
      </c>
      <c r="AH145" s="41">
        <v>193686</v>
      </c>
      <c r="AI145" s="41">
        <v>194649</v>
      </c>
      <c r="AJ145" s="41">
        <v>195569</v>
      </c>
      <c r="AK145" s="41">
        <v>196434</v>
      </c>
      <c r="AL145" s="41">
        <v>197308</v>
      </c>
      <c r="AM145" s="41">
        <v>198132</v>
      </c>
      <c r="AN145" s="41">
        <v>198966</v>
      </c>
      <c r="AO145" s="41">
        <v>199794</v>
      </c>
      <c r="AP145" s="41">
        <v>200576</v>
      </c>
      <c r="AQ145" s="41">
        <v>201375</v>
      </c>
    </row>
    <row r="146" spans="1:43">
      <c r="A146" s="38" t="s">
        <v>408</v>
      </c>
      <c r="B146" s="38" t="s">
        <v>409</v>
      </c>
      <c r="C146" s="41">
        <v>60432</v>
      </c>
      <c r="D146" s="41">
        <v>60446</v>
      </c>
      <c r="E146" s="41">
        <v>60346</v>
      </c>
      <c r="F146" s="41">
        <v>60391</v>
      </c>
      <c r="G146" s="41">
        <v>60516</v>
      </c>
      <c r="H146" s="41">
        <v>60674</v>
      </c>
      <c r="I146" s="41">
        <v>60658</v>
      </c>
      <c r="J146" s="41">
        <v>60688</v>
      </c>
      <c r="K146" s="41">
        <v>60741</v>
      </c>
      <c r="L146" s="41">
        <v>60734</v>
      </c>
      <c r="M146" s="41">
        <v>61060</v>
      </c>
      <c r="N146" s="41">
        <v>61208</v>
      </c>
      <c r="O146" s="41">
        <v>61348</v>
      </c>
      <c r="P146" s="41">
        <v>61628</v>
      </c>
      <c r="Q146" s="41">
        <v>61944</v>
      </c>
      <c r="R146" s="41">
        <v>62261</v>
      </c>
      <c r="S146" s="41">
        <v>62538</v>
      </c>
      <c r="T146" s="41">
        <v>62744</v>
      </c>
      <c r="U146" s="41">
        <v>62993</v>
      </c>
      <c r="V146" s="41">
        <v>63198</v>
      </c>
      <c r="W146" s="41">
        <v>63417</v>
      </c>
      <c r="X146" s="41">
        <v>63647</v>
      </c>
      <c r="Y146" s="41">
        <v>63853</v>
      </c>
      <c r="Z146" s="41">
        <v>64066</v>
      </c>
      <c r="AA146" s="41">
        <v>64271</v>
      </c>
      <c r="AB146" s="41">
        <v>64485</v>
      </c>
      <c r="AC146" s="41">
        <v>64717</v>
      </c>
      <c r="AD146" s="41">
        <v>64941</v>
      </c>
      <c r="AE146" s="41">
        <v>65159</v>
      </c>
      <c r="AF146" s="41">
        <v>65398</v>
      </c>
      <c r="AG146" s="41">
        <v>65675</v>
      </c>
      <c r="AH146" s="41">
        <v>65945</v>
      </c>
      <c r="AI146" s="41">
        <v>66220</v>
      </c>
      <c r="AJ146" s="41">
        <v>66492</v>
      </c>
      <c r="AK146" s="41">
        <v>66796</v>
      </c>
      <c r="AL146" s="41">
        <v>67096</v>
      </c>
      <c r="AM146" s="41">
        <v>67395</v>
      </c>
      <c r="AN146" s="41">
        <v>67674</v>
      </c>
      <c r="AO146" s="41">
        <v>67951</v>
      </c>
      <c r="AP146" s="41">
        <v>68238</v>
      </c>
      <c r="AQ146" s="41">
        <v>68519</v>
      </c>
    </row>
    <row r="147" spans="1:43">
      <c r="A147" s="38" t="s">
        <v>410</v>
      </c>
      <c r="B147" s="38" t="s">
        <v>411</v>
      </c>
      <c r="C147" s="41">
        <v>120686</v>
      </c>
      <c r="D147" s="41">
        <v>120353</v>
      </c>
      <c r="E147" s="41">
        <v>119276</v>
      </c>
      <c r="F147" s="41">
        <v>119383</v>
      </c>
      <c r="G147" s="41">
        <v>120351</v>
      </c>
      <c r="H147" s="41">
        <v>121240</v>
      </c>
      <c r="I147" s="41">
        <v>122454</v>
      </c>
      <c r="J147" s="41">
        <v>123756</v>
      </c>
      <c r="K147" s="41">
        <v>125524</v>
      </c>
      <c r="L147" s="41">
        <v>126687</v>
      </c>
      <c r="M147" s="41">
        <v>129128</v>
      </c>
      <c r="N147" s="41">
        <v>131147</v>
      </c>
      <c r="O147" s="41">
        <v>132450</v>
      </c>
      <c r="P147" s="41">
        <v>134174</v>
      </c>
      <c r="Q147" s="41">
        <v>135844</v>
      </c>
      <c r="R147" s="41">
        <v>136911</v>
      </c>
      <c r="S147" s="41">
        <v>137828</v>
      </c>
      <c r="T147" s="41">
        <v>138725</v>
      </c>
      <c r="U147" s="41">
        <v>139529</v>
      </c>
      <c r="V147" s="41">
        <v>140215</v>
      </c>
      <c r="W147" s="41">
        <v>140766</v>
      </c>
      <c r="X147" s="41">
        <v>141859</v>
      </c>
      <c r="Y147" s="41">
        <v>142905</v>
      </c>
      <c r="Z147" s="41">
        <v>143881</v>
      </c>
      <c r="AA147" s="41">
        <v>144790</v>
      </c>
      <c r="AB147" s="41">
        <v>145681</v>
      </c>
      <c r="AC147" s="41">
        <v>146473</v>
      </c>
      <c r="AD147" s="41">
        <v>147306</v>
      </c>
      <c r="AE147" s="41">
        <v>148147</v>
      </c>
      <c r="AF147" s="41">
        <v>149022</v>
      </c>
      <c r="AG147" s="41">
        <v>149955</v>
      </c>
      <c r="AH147" s="41">
        <v>150921</v>
      </c>
      <c r="AI147" s="41">
        <v>151961</v>
      </c>
      <c r="AJ147" s="41">
        <v>153033</v>
      </c>
      <c r="AK147" s="41">
        <v>154131</v>
      </c>
      <c r="AL147" s="41">
        <v>155274</v>
      </c>
      <c r="AM147" s="41">
        <v>156424</v>
      </c>
      <c r="AN147" s="41">
        <v>157559</v>
      </c>
      <c r="AO147" s="41">
        <v>158630</v>
      </c>
      <c r="AP147" s="41">
        <v>159670</v>
      </c>
      <c r="AQ147" s="41">
        <v>160688</v>
      </c>
    </row>
    <row r="148" spans="1:43">
      <c r="A148" s="38" t="s">
        <v>412</v>
      </c>
      <c r="B148" s="38" t="s">
        <v>413</v>
      </c>
      <c r="C148" s="41">
        <v>55408</v>
      </c>
      <c r="D148" s="41">
        <v>55401</v>
      </c>
      <c r="E148" s="41">
        <v>55946</v>
      </c>
      <c r="F148" s="41">
        <v>56399</v>
      </c>
      <c r="G148" s="41">
        <v>57036</v>
      </c>
      <c r="H148" s="41">
        <v>57182</v>
      </c>
      <c r="I148" s="41">
        <v>57041</v>
      </c>
      <c r="J148" s="41">
        <v>57064</v>
      </c>
      <c r="K148" s="41">
        <v>57007</v>
      </c>
      <c r="L148" s="41">
        <v>57282</v>
      </c>
      <c r="M148" s="41">
        <v>57477</v>
      </c>
      <c r="N148" s="41">
        <v>57717</v>
      </c>
      <c r="O148" s="41">
        <v>57871</v>
      </c>
      <c r="P148" s="41">
        <v>58008</v>
      </c>
      <c r="Q148" s="41">
        <v>58335</v>
      </c>
      <c r="R148" s="41">
        <v>58614</v>
      </c>
      <c r="S148" s="41">
        <v>58708</v>
      </c>
      <c r="T148" s="41">
        <v>58815</v>
      </c>
      <c r="U148" s="41">
        <v>58908</v>
      </c>
      <c r="V148" s="41">
        <v>58956</v>
      </c>
      <c r="W148" s="41">
        <v>58988</v>
      </c>
      <c r="X148" s="41">
        <v>59116</v>
      </c>
      <c r="Y148" s="41">
        <v>59221</v>
      </c>
      <c r="Z148" s="41">
        <v>59356</v>
      </c>
      <c r="AA148" s="41">
        <v>59494</v>
      </c>
      <c r="AB148" s="41">
        <v>59648</v>
      </c>
      <c r="AC148" s="41">
        <v>59830</v>
      </c>
      <c r="AD148" s="41">
        <v>60013</v>
      </c>
      <c r="AE148" s="41">
        <v>60167</v>
      </c>
      <c r="AF148" s="41">
        <v>60310</v>
      </c>
      <c r="AG148" s="41">
        <v>60485</v>
      </c>
      <c r="AH148" s="41">
        <v>60647</v>
      </c>
      <c r="AI148" s="41">
        <v>60782</v>
      </c>
      <c r="AJ148" s="41">
        <v>60900</v>
      </c>
      <c r="AK148" s="41">
        <v>61017</v>
      </c>
      <c r="AL148" s="41">
        <v>61137</v>
      </c>
      <c r="AM148" s="41">
        <v>61245</v>
      </c>
      <c r="AN148" s="41">
        <v>61373</v>
      </c>
      <c r="AO148" s="41">
        <v>61484</v>
      </c>
      <c r="AP148" s="41">
        <v>61596</v>
      </c>
      <c r="AQ148" s="41">
        <v>61708</v>
      </c>
    </row>
    <row r="149" spans="1:43">
      <c r="A149" s="38" t="s">
        <v>414</v>
      </c>
      <c r="B149" s="38" t="s">
        <v>415</v>
      </c>
      <c r="C149" s="41">
        <v>299808</v>
      </c>
      <c r="D149" s="41">
        <v>301055</v>
      </c>
      <c r="E149" s="41">
        <v>302072</v>
      </c>
      <c r="F149" s="41">
        <v>304885</v>
      </c>
      <c r="G149" s="41">
        <v>310644</v>
      </c>
      <c r="H149" s="41">
        <v>311994</v>
      </c>
      <c r="I149" s="41">
        <v>313227</v>
      </c>
      <c r="J149" s="41">
        <v>314834</v>
      </c>
      <c r="K149" s="41">
        <v>315903</v>
      </c>
      <c r="L149" s="41">
        <v>317411</v>
      </c>
      <c r="M149" s="41">
        <v>317881</v>
      </c>
      <c r="N149" s="41">
        <v>319600</v>
      </c>
      <c r="O149" s="41">
        <v>321304</v>
      </c>
      <c r="P149" s="41">
        <v>322612</v>
      </c>
      <c r="Q149" s="41">
        <v>324904</v>
      </c>
      <c r="R149" s="41">
        <v>327696</v>
      </c>
      <c r="S149" s="41">
        <v>329597</v>
      </c>
      <c r="T149" s="41">
        <v>331637</v>
      </c>
      <c r="U149" s="41">
        <v>333412</v>
      </c>
      <c r="V149" s="41">
        <v>334924</v>
      </c>
      <c r="W149" s="41">
        <v>336394</v>
      </c>
      <c r="X149" s="41">
        <v>337881</v>
      </c>
      <c r="Y149" s="41">
        <v>339388</v>
      </c>
      <c r="Z149" s="41">
        <v>340883</v>
      </c>
      <c r="AA149" s="41">
        <v>342285</v>
      </c>
      <c r="AB149" s="41">
        <v>343874</v>
      </c>
      <c r="AC149" s="41">
        <v>345585</v>
      </c>
      <c r="AD149" s="41">
        <v>347311</v>
      </c>
      <c r="AE149" s="41">
        <v>349019</v>
      </c>
      <c r="AF149" s="41">
        <v>350701</v>
      </c>
      <c r="AG149" s="41">
        <v>352490</v>
      </c>
      <c r="AH149" s="41">
        <v>354400</v>
      </c>
      <c r="AI149" s="41">
        <v>356206</v>
      </c>
      <c r="AJ149" s="41">
        <v>357917</v>
      </c>
      <c r="AK149" s="41">
        <v>359595</v>
      </c>
      <c r="AL149" s="41">
        <v>361312</v>
      </c>
      <c r="AM149" s="41">
        <v>362983</v>
      </c>
      <c r="AN149" s="41">
        <v>364642</v>
      </c>
      <c r="AO149" s="41">
        <v>366235</v>
      </c>
      <c r="AP149" s="41">
        <v>367777</v>
      </c>
      <c r="AQ149" s="41">
        <v>369341</v>
      </c>
    </row>
    <row r="150" spans="1:43">
      <c r="A150" s="38" t="s">
        <v>416</v>
      </c>
      <c r="B150" s="38" t="s">
        <v>417</v>
      </c>
      <c r="C150" s="41">
        <v>111619</v>
      </c>
      <c r="D150" s="41">
        <v>111688</v>
      </c>
      <c r="E150" s="41">
        <v>112025</v>
      </c>
      <c r="F150" s="41">
        <v>112874</v>
      </c>
      <c r="G150" s="41">
        <v>114955</v>
      </c>
      <c r="H150" s="41">
        <v>116075</v>
      </c>
      <c r="I150" s="41">
        <v>117179</v>
      </c>
      <c r="J150" s="41">
        <v>118115</v>
      </c>
      <c r="K150" s="41">
        <v>119166</v>
      </c>
      <c r="L150" s="41">
        <v>120449</v>
      </c>
      <c r="M150" s="41">
        <v>121889</v>
      </c>
      <c r="N150" s="41">
        <v>121742</v>
      </c>
      <c r="O150" s="41">
        <v>121962</v>
      </c>
      <c r="P150" s="41">
        <v>122553</v>
      </c>
      <c r="Q150" s="41">
        <v>123570</v>
      </c>
      <c r="R150" s="41">
        <v>124536</v>
      </c>
      <c r="S150" s="41">
        <v>125052</v>
      </c>
      <c r="T150" s="41">
        <v>125485</v>
      </c>
      <c r="U150" s="41">
        <v>125924</v>
      </c>
      <c r="V150" s="41">
        <v>126256</v>
      </c>
      <c r="W150" s="41">
        <v>126545</v>
      </c>
      <c r="X150" s="41">
        <v>127507</v>
      </c>
      <c r="Y150" s="41">
        <v>128476</v>
      </c>
      <c r="Z150" s="41">
        <v>129507</v>
      </c>
      <c r="AA150" s="41">
        <v>130513</v>
      </c>
      <c r="AB150" s="41">
        <v>131564</v>
      </c>
      <c r="AC150" s="41">
        <v>132603</v>
      </c>
      <c r="AD150" s="41">
        <v>133700</v>
      </c>
      <c r="AE150" s="41">
        <v>134789</v>
      </c>
      <c r="AF150" s="41">
        <v>135830</v>
      </c>
      <c r="AG150" s="41">
        <v>136935</v>
      </c>
      <c r="AH150" s="41">
        <v>138041</v>
      </c>
      <c r="AI150" s="41">
        <v>139112</v>
      </c>
      <c r="AJ150" s="41">
        <v>140117</v>
      </c>
      <c r="AK150" s="41">
        <v>141090</v>
      </c>
      <c r="AL150" s="41">
        <v>142084</v>
      </c>
      <c r="AM150" s="41">
        <v>143023</v>
      </c>
      <c r="AN150" s="41">
        <v>143945</v>
      </c>
      <c r="AO150" s="41">
        <v>144821</v>
      </c>
      <c r="AP150" s="41">
        <v>145663</v>
      </c>
      <c r="AQ150" s="41">
        <v>146512</v>
      </c>
    </row>
    <row r="151" spans="1:43">
      <c r="A151" s="38" t="s">
        <v>418</v>
      </c>
      <c r="B151" s="38" t="s">
        <v>419</v>
      </c>
      <c r="C151" s="41">
        <v>39601</v>
      </c>
      <c r="D151" s="41">
        <v>39928</v>
      </c>
      <c r="E151" s="41">
        <v>39992</v>
      </c>
      <c r="F151" s="41">
        <v>40267</v>
      </c>
      <c r="G151" s="41">
        <v>40361</v>
      </c>
      <c r="H151" s="41">
        <v>40487</v>
      </c>
      <c r="I151" s="41">
        <v>40796</v>
      </c>
      <c r="J151" s="41">
        <v>41164</v>
      </c>
      <c r="K151" s="41">
        <v>41428</v>
      </c>
      <c r="L151" s="41">
        <v>41758</v>
      </c>
      <c r="M151" s="41">
        <v>42153</v>
      </c>
      <c r="N151" s="41">
        <v>42551</v>
      </c>
      <c r="O151" s="41">
        <v>42895</v>
      </c>
      <c r="P151" s="41">
        <v>43307</v>
      </c>
      <c r="Q151" s="41">
        <v>43538</v>
      </c>
      <c r="R151" s="41">
        <v>43852</v>
      </c>
      <c r="S151" s="41">
        <v>44247</v>
      </c>
      <c r="T151" s="41">
        <v>44636</v>
      </c>
      <c r="U151" s="41">
        <v>45024</v>
      </c>
      <c r="V151" s="41">
        <v>45409</v>
      </c>
      <c r="W151" s="41">
        <v>45786</v>
      </c>
      <c r="X151" s="41">
        <v>46279</v>
      </c>
      <c r="Y151" s="41">
        <v>46744</v>
      </c>
      <c r="Z151" s="41">
        <v>47210</v>
      </c>
      <c r="AA151" s="41">
        <v>47657</v>
      </c>
      <c r="AB151" s="41">
        <v>48117</v>
      </c>
      <c r="AC151" s="41">
        <v>48591</v>
      </c>
      <c r="AD151" s="41">
        <v>49039</v>
      </c>
      <c r="AE151" s="41">
        <v>49479</v>
      </c>
      <c r="AF151" s="41">
        <v>49913</v>
      </c>
      <c r="AG151" s="41">
        <v>50346</v>
      </c>
      <c r="AH151" s="41">
        <v>50777</v>
      </c>
      <c r="AI151" s="41">
        <v>51197</v>
      </c>
      <c r="AJ151" s="41">
        <v>51613</v>
      </c>
      <c r="AK151" s="41">
        <v>52045</v>
      </c>
      <c r="AL151" s="41">
        <v>52459</v>
      </c>
      <c r="AM151" s="41">
        <v>52863</v>
      </c>
      <c r="AN151" s="41">
        <v>53272</v>
      </c>
      <c r="AO151" s="41">
        <v>53679</v>
      </c>
      <c r="AP151" s="41">
        <v>54077</v>
      </c>
      <c r="AQ151" s="41">
        <v>54473</v>
      </c>
    </row>
    <row r="152" spans="1:43">
      <c r="A152" s="38" t="s">
        <v>420</v>
      </c>
      <c r="B152" s="38" t="s">
        <v>421</v>
      </c>
      <c r="C152" s="41">
        <v>108827</v>
      </c>
      <c r="D152" s="41">
        <v>108473</v>
      </c>
      <c r="E152" s="41">
        <v>107679</v>
      </c>
      <c r="F152" s="41">
        <v>107516</v>
      </c>
      <c r="G152" s="41">
        <v>108225</v>
      </c>
      <c r="H152" s="41">
        <v>109110</v>
      </c>
      <c r="I152" s="41">
        <v>110004</v>
      </c>
      <c r="J152" s="41">
        <v>111724</v>
      </c>
      <c r="K152" s="41">
        <v>113170</v>
      </c>
      <c r="L152" s="41">
        <v>113703</v>
      </c>
      <c r="M152" s="41">
        <v>115360</v>
      </c>
      <c r="N152" s="41">
        <v>117049</v>
      </c>
      <c r="O152" s="41">
        <v>118912</v>
      </c>
      <c r="P152" s="41">
        <v>121216</v>
      </c>
      <c r="Q152" s="41">
        <v>123228</v>
      </c>
      <c r="R152" s="41">
        <v>125150</v>
      </c>
      <c r="S152" s="41">
        <v>127019</v>
      </c>
      <c r="T152" s="41">
        <v>128788</v>
      </c>
      <c r="U152" s="41">
        <v>130476</v>
      </c>
      <c r="V152" s="41">
        <v>132036</v>
      </c>
      <c r="W152" s="41">
        <v>133528</v>
      </c>
      <c r="X152" s="41">
        <v>135285</v>
      </c>
      <c r="Y152" s="41">
        <v>136950</v>
      </c>
      <c r="Z152" s="41">
        <v>138585</v>
      </c>
      <c r="AA152" s="41">
        <v>140142</v>
      </c>
      <c r="AB152" s="41">
        <v>141687</v>
      </c>
      <c r="AC152" s="41">
        <v>143172</v>
      </c>
      <c r="AD152" s="41">
        <v>144633</v>
      </c>
      <c r="AE152" s="41">
        <v>146055</v>
      </c>
      <c r="AF152" s="41">
        <v>147446</v>
      </c>
      <c r="AG152" s="41">
        <v>148855</v>
      </c>
      <c r="AH152" s="41">
        <v>150260</v>
      </c>
      <c r="AI152" s="41">
        <v>151664</v>
      </c>
      <c r="AJ152" s="41">
        <v>153036</v>
      </c>
      <c r="AK152" s="41">
        <v>154387</v>
      </c>
      <c r="AL152" s="41">
        <v>155744</v>
      </c>
      <c r="AM152" s="41">
        <v>157102</v>
      </c>
      <c r="AN152" s="41">
        <v>158446</v>
      </c>
      <c r="AO152" s="41">
        <v>159734</v>
      </c>
      <c r="AP152" s="41">
        <v>160997</v>
      </c>
      <c r="AQ152" s="41">
        <v>162255</v>
      </c>
    </row>
    <row r="153" spans="1:43">
      <c r="A153" s="38" t="s">
        <v>422</v>
      </c>
      <c r="B153" s="38" t="s">
        <v>423</v>
      </c>
      <c r="C153" s="41">
        <v>37336</v>
      </c>
      <c r="D153" s="41">
        <v>37619</v>
      </c>
      <c r="E153" s="41">
        <v>37962</v>
      </c>
      <c r="F153" s="41">
        <v>38449</v>
      </c>
      <c r="G153" s="41">
        <v>38809</v>
      </c>
      <c r="H153" s="41">
        <v>39320</v>
      </c>
      <c r="I153" s="41">
        <v>39705</v>
      </c>
      <c r="J153" s="41">
        <v>40161</v>
      </c>
      <c r="K153" s="41">
        <v>40474</v>
      </c>
      <c r="L153" s="41">
        <v>40741</v>
      </c>
      <c r="M153" s="41">
        <v>41262</v>
      </c>
      <c r="N153" s="41">
        <v>41491</v>
      </c>
      <c r="O153" s="41">
        <v>41799</v>
      </c>
      <c r="P153" s="41">
        <v>42073</v>
      </c>
      <c r="Q153" s="41">
        <v>42387</v>
      </c>
      <c r="R153" s="41">
        <v>42558</v>
      </c>
      <c r="S153" s="41">
        <v>42819</v>
      </c>
      <c r="T153" s="41">
        <v>43059</v>
      </c>
      <c r="U153" s="41">
        <v>43268</v>
      </c>
      <c r="V153" s="41">
        <v>43492</v>
      </c>
      <c r="W153" s="41">
        <v>43698</v>
      </c>
      <c r="X153" s="41">
        <v>43957</v>
      </c>
      <c r="Y153" s="41">
        <v>44194</v>
      </c>
      <c r="Z153" s="41">
        <v>44406</v>
      </c>
      <c r="AA153" s="41">
        <v>44609</v>
      </c>
      <c r="AB153" s="41">
        <v>44805</v>
      </c>
      <c r="AC153" s="41">
        <v>44988</v>
      </c>
      <c r="AD153" s="41">
        <v>45165</v>
      </c>
      <c r="AE153" s="41">
        <v>45316</v>
      </c>
      <c r="AF153" s="41">
        <v>45461</v>
      </c>
      <c r="AG153" s="41">
        <v>45629</v>
      </c>
      <c r="AH153" s="41">
        <v>45774</v>
      </c>
      <c r="AI153" s="41">
        <v>45913</v>
      </c>
      <c r="AJ153" s="41">
        <v>46070</v>
      </c>
      <c r="AK153" s="41">
        <v>46222</v>
      </c>
      <c r="AL153" s="41">
        <v>46391</v>
      </c>
      <c r="AM153" s="41">
        <v>46551</v>
      </c>
      <c r="AN153" s="41">
        <v>46723</v>
      </c>
      <c r="AO153" s="41">
        <v>46891</v>
      </c>
      <c r="AP153" s="41">
        <v>47064</v>
      </c>
      <c r="AQ153" s="41">
        <v>47248</v>
      </c>
    </row>
    <row r="154" spans="1:43">
      <c r="A154" s="38" t="s">
        <v>424</v>
      </c>
      <c r="B154" s="38" t="s">
        <v>425</v>
      </c>
      <c r="C154" s="41">
        <v>36308</v>
      </c>
      <c r="D154" s="41">
        <v>36356</v>
      </c>
      <c r="E154" s="41">
        <v>36587</v>
      </c>
      <c r="F154" s="41">
        <v>37008</v>
      </c>
      <c r="G154" s="41">
        <v>37506</v>
      </c>
      <c r="H154" s="41">
        <v>37900</v>
      </c>
      <c r="I154" s="41">
        <v>38180</v>
      </c>
      <c r="J154" s="41">
        <v>38552</v>
      </c>
      <c r="K154" s="41">
        <v>38889</v>
      </c>
      <c r="L154" s="41">
        <v>39457</v>
      </c>
      <c r="M154" s="41">
        <v>39276</v>
      </c>
      <c r="N154" s="41">
        <v>39628</v>
      </c>
      <c r="O154" s="41">
        <v>40145</v>
      </c>
      <c r="P154" s="41">
        <v>40282</v>
      </c>
      <c r="Q154" s="41">
        <v>40539</v>
      </c>
      <c r="R154" s="41">
        <v>40780</v>
      </c>
      <c r="S154" s="41">
        <v>40928</v>
      </c>
      <c r="T154" s="41">
        <v>41157</v>
      </c>
      <c r="U154" s="41">
        <v>41289</v>
      </c>
      <c r="V154" s="41">
        <v>41402</v>
      </c>
      <c r="W154" s="41">
        <v>41492</v>
      </c>
      <c r="X154" s="41">
        <v>41604</v>
      </c>
      <c r="Y154" s="41">
        <v>41761</v>
      </c>
      <c r="Z154" s="41">
        <v>41933</v>
      </c>
      <c r="AA154" s="41">
        <v>42118</v>
      </c>
      <c r="AB154" s="41">
        <v>42333</v>
      </c>
      <c r="AC154" s="41">
        <v>42556</v>
      </c>
      <c r="AD154" s="41">
        <v>42791</v>
      </c>
      <c r="AE154" s="41">
        <v>43012</v>
      </c>
      <c r="AF154" s="41">
        <v>43235</v>
      </c>
      <c r="AG154" s="41">
        <v>43475</v>
      </c>
      <c r="AH154" s="41">
        <v>43718</v>
      </c>
      <c r="AI154" s="41">
        <v>43920</v>
      </c>
      <c r="AJ154" s="41">
        <v>44087</v>
      </c>
      <c r="AK154" s="41">
        <v>44270</v>
      </c>
      <c r="AL154" s="41">
        <v>44457</v>
      </c>
      <c r="AM154" s="41">
        <v>44625</v>
      </c>
      <c r="AN154" s="41">
        <v>44789</v>
      </c>
      <c r="AO154" s="41">
        <v>44955</v>
      </c>
      <c r="AP154" s="41">
        <v>45114</v>
      </c>
      <c r="AQ154" s="41">
        <v>45281</v>
      </c>
    </row>
    <row r="155" spans="1:43">
      <c r="A155" s="38" t="s">
        <v>426</v>
      </c>
      <c r="B155" s="38" t="s">
        <v>427</v>
      </c>
      <c r="C155" s="41">
        <v>187288</v>
      </c>
      <c r="D155" s="41">
        <v>188198</v>
      </c>
      <c r="E155" s="41">
        <v>189295</v>
      </c>
      <c r="F155" s="41">
        <v>190784</v>
      </c>
      <c r="G155" s="41">
        <v>193153</v>
      </c>
      <c r="H155" s="41">
        <v>194133</v>
      </c>
      <c r="I155" s="41">
        <v>195328</v>
      </c>
      <c r="J155" s="41">
        <v>196709</v>
      </c>
      <c r="K155" s="41">
        <v>198885</v>
      </c>
      <c r="L155" s="41">
        <v>201882</v>
      </c>
      <c r="M155" s="41">
        <v>204816</v>
      </c>
      <c r="N155" s="41">
        <v>206942</v>
      </c>
      <c r="O155" s="41">
        <v>208551</v>
      </c>
      <c r="P155" s="41">
        <v>210333</v>
      </c>
      <c r="Q155" s="41">
        <v>213184</v>
      </c>
      <c r="R155" s="41">
        <v>216271</v>
      </c>
      <c r="S155" s="41">
        <v>218468</v>
      </c>
      <c r="T155" s="41">
        <v>220437</v>
      </c>
      <c r="U155" s="41">
        <v>222338</v>
      </c>
      <c r="V155" s="41">
        <v>224103</v>
      </c>
      <c r="W155" s="41">
        <v>225755</v>
      </c>
      <c r="X155" s="41">
        <v>227104</v>
      </c>
      <c r="Y155" s="41">
        <v>228349</v>
      </c>
      <c r="Z155" s="41">
        <v>229647</v>
      </c>
      <c r="AA155" s="41">
        <v>230919</v>
      </c>
      <c r="AB155" s="41">
        <v>232289</v>
      </c>
      <c r="AC155" s="41">
        <v>233725</v>
      </c>
      <c r="AD155" s="41">
        <v>235165</v>
      </c>
      <c r="AE155" s="41">
        <v>236569</v>
      </c>
      <c r="AF155" s="41">
        <v>237950</v>
      </c>
      <c r="AG155" s="41">
        <v>239425</v>
      </c>
      <c r="AH155" s="41">
        <v>240997</v>
      </c>
      <c r="AI155" s="41">
        <v>242471</v>
      </c>
      <c r="AJ155" s="41">
        <v>243915</v>
      </c>
      <c r="AK155" s="41">
        <v>245339</v>
      </c>
      <c r="AL155" s="41">
        <v>246785</v>
      </c>
      <c r="AM155" s="41">
        <v>248215</v>
      </c>
      <c r="AN155" s="41">
        <v>249614</v>
      </c>
      <c r="AO155" s="41">
        <v>250997</v>
      </c>
      <c r="AP155" s="41">
        <v>252340</v>
      </c>
      <c r="AQ155" s="41">
        <v>253680</v>
      </c>
    </row>
    <row r="156" spans="1:43">
      <c r="A156" s="38" t="s">
        <v>428</v>
      </c>
      <c r="B156" s="38" t="s">
        <v>429</v>
      </c>
      <c r="C156" s="41">
        <v>71100</v>
      </c>
      <c r="D156" s="41">
        <v>70873</v>
      </c>
      <c r="E156" s="41">
        <v>70348</v>
      </c>
      <c r="F156" s="41">
        <v>69543</v>
      </c>
      <c r="G156" s="41">
        <v>69921</v>
      </c>
      <c r="H156" s="41">
        <v>70256</v>
      </c>
      <c r="I156" s="41">
        <v>70634</v>
      </c>
      <c r="J156" s="41">
        <v>71030</v>
      </c>
      <c r="K156" s="41">
        <v>71959</v>
      </c>
      <c r="L156" s="41">
        <v>73024</v>
      </c>
      <c r="M156" s="41">
        <v>73950</v>
      </c>
      <c r="N156" s="41">
        <v>74416</v>
      </c>
      <c r="O156" s="41">
        <v>75075</v>
      </c>
      <c r="P156" s="41">
        <v>75967</v>
      </c>
      <c r="Q156" s="41">
        <v>77017</v>
      </c>
      <c r="R156" s="41">
        <v>77906</v>
      </c>
      <c r="S156" s="41">
        <v>78541</v>
      </c>
      <c r="T156" s="41">
        <v>79198</v>
      </c>
      <c r="U156" s="41">
        <v>79809</v>
      </c>
      <c r="V156" s="41">
        <v>80349</v>
      </c>
      <c r="W156" s="41">
        <v>80828</v>
      </c>
      <c r="X156" s="41">
        <v>81574</v>
      </c>
      <c r="Y156" s="41">
        <v>82305</v>
      </c>
      <c r="Z156" s="41">
        <v>82999</v>
      </c>
      <c r="AA156" s="41">
        <v>83684</v>
      </c>
      <c r="AB156" s="41">
        <v>84343</v>
      </c>
      <c r="AC156" s="41">
        <v>85023</v>
      </c>
      <c r="AD156" s="41">
        <v>85718</v>
      </c>
      <c r="AE156" s="41">
        <v>86391</v>
      </c>
      <c r="AF156" s="41">
        <v>87059</v>
      </c>
      <c r="AG156" s="41">
        <v>87735</v>
      </c>
      <c r="AH156" s="41">
        <v>88425</v>
      </c>
      <c r="AI156" s="41">
        <v>89136</v>
      </c>
      <c r="AJ156" s="41">
        <v>89831</v>
      </c>
      <c r="AK156" s="41">
        <v>90511</v>
      </c>
      <c r="AL156" s="41">
        <v>91183</v>
      </c>
      <c r="AM156" s="41">
        <v>91857</v>
      </c>
      <c r="AN156" s="41">
        <v>92537</v>
      </c>
      <c r="AO156" s="41">
        <v>93198</v>
      </c>
      <c r="AP156" s="41">
        <v>93828</v>
      </c>
      <c r="AQ156" s="41">
        <v>94460</v>
      </c>
    </row>
    <row r="157" spans="1:43">
      <c r="A157" s="38" t="s">
        <v>430</v>
      </c>
      <c r="B157" s="38" t="s">
        <v>431</v>
      </c>
      <c r="C157" s="41">
        <v>56170</v>
      </c>
      <c r="D157" s="41">
        <v>56725</v>
      </c>
      <c r="E157" s="41">
        <v>57191</v>
      </c>
      <c r="F157" s="41">
        <v>57701</v>
      </c>
      <c r="G157" s="41">
        <v>58275</v>
      </c>
      <c r="H157" s="41">
        <v>59020</v>
      </c>
      <c r="I157" s="41">
        <v>59942</v>
      </c>
      <c r="J157" s="41">
        <v>60834</v>
      </c>
      <c r="K157" s="41">
        <v>61743</v>
      </c>
      <c r="L157" s="41">
        <v>62734</v>
      </c>
      <c r="M157" s="41">
        <v>63380</v>
      </c>
      <c r="N157" s="41">
        <v>64035</v>
      </c>
      <c r="O157" s="41">
        <v>64892</v>
      </c>
      <c r="P157" s="41">
        <v>65859</v>
      </c>
      <c r="Q157" s="41">
        <v>66939</v>
      </c>
      <c r="R157" s="41">
        <v>67644</v>
      </c>
      <c r="S157" s="41">
        <v>68533</v>
      </c>
      <c r="T157" s="41">
        <v>69394</v>
      </c>
      <c r="U157" s="41">
        <v>70241</v>
      </c>
      <c r="V157" s="41">
        <v>71038</v>
      </c>
      <c r="W157" s="41">
        <v>71803</v>
      </c>
      <c r="X157" s="41">
        <v>72609</v>
      </c>
      <c r="Y157" s="41">
        <v>73385</v>
      </c>
      <c r="Z157" s="41">
        <v>74142</v>
      </c>
      <c r="AA157" s="41">
        <v>74864</v>
      </c>
      <c r="AB157" s="41">
        <v>75583</v>
      </c>
      <c r="AC157" s="41">
        <v>76318</v>
      </c>
      <c r="AD157" s="41">
        <v>77038</v>
      </c>
      <c r="AE157" s="41">
        <v>77755</v>
      </c>
      <c r="AF157" s="41">
        <v>78432</v>
      </c>
      <c r="AG157" s="41">
        <v>79131</v>
      </c>
      <c r="AH157" s="41">
        <v>79812</v>
      </c>
      <c r="AI157" s="41">
        <v>80493</v>
      </c>
      <c r="AJ157" s="41">
        <v>81174</v>
      </c>
      <c r="AK157" s="41">
        <v>81849</v>
      </c>
      <c r="AL157" s="41">
        <v>82535</v>
      </c>
      <c r="AM157" s="41">
        <v>83188</v>
      </c>
      <c r="AN157" s="41">
        <v>83860</v>
      </c>
      <c r="AO157" s="41">
        <v>84521</v>
      </c>
      <c r="AP157" s="41">
        <v>85169</v>
      </c>
      <c r="AQ157" s="41">
        <v>85831</v>
      </c>
    </row>
    <row r="158" spans="1:43">
      <c r="A158" s="38" t="s">
        <v>432</v>
      </c>
      <c r="B158" s="38" t="s">
        <v>433</v>
      </c>
      <c r="C158" s="41">
        <v>24116</v>
      </c>
      <c r="D158" s="41">
        <v>24316</v>
      </c>
      <c r="E158" s="41">
        <v>24483</v>
      </c>
      <c r="F158" s="41">
        <v>24708</v>
      </c>
      <c r="G158" s="41">
        <v>24894</v>
      </c>
      <c r="H158" s="41">
        <v>25095</v>
      </c>
      <c r="I158" s="41">
        <v>25304</v>
      </c>
      <c r="J158" s="41">
        <v>25484</v>
      </c>
      <c r="K158" s="41">
        <v>25675</v>
      </c>
      <c r="L158" s="41">
        <v>25817</v>
      </c>
      <c r="M158" s="41">
        <v>25868</v>
      </c>
      <c r="N158" s="41">
        <v>26020</v>
      </c>
      <c r="O158" s="41">
        <v>26185</v>
      </c>
      <c r="P158" s="41">
        <v>26438</v>
      </c>
      <c r="Q158" s="41">
        <v>26528</v>
      </c>
      <c r="R158" s="41">
        <v>26813</v>
      </c>
      <c r="S158" s="41">
        <v>26996</v>
      </c>
      <c r="T158" s="41">
        <v>27193</v>
      </c>
      <c r="U158" s="41">
        <v>27399</v>
      </c>
      <c r="V158" s="41">
        <v>27577</v>
      </c>
      <c r="W158" s="41">
        <v>27762</v>
      </c>
      <c r="X158" s="41">
        <v>28013</v>
      </c>
      <c r="Y158" s="41">
        <v>28252</v>
      </c>
      <c r="Z158" s="41">
        <v>28497</v>
      </c>
      <c r="AA158" s="41">
        <v>28729</v>
      </c>
      <c r="AB158" s="41">
        <v>28956</v>
      </c>
      <c r="AC158" s="41">
        <v>29191</v>
      </c>
      <c r="AD158" s="41">
        <v>29413</v>
      </c>
      <c r="AE158" s="41">
        <v>29630</v>
      </c>
      <c r="AF158" s="41">
        <v>29834</v>
      </c>
      <c r="AG158" s="41">
        <v>30046</v>
      </c>
      <c r="AH158" s="41">
        <v>30247</v>
      </c>
      <c r="AI158" s="41">
        <v>30435</v>
      </c>
      <c r="AJ158" s="41">
        <v>30624</v>
      </c>
      <c r="AK158" s="41">
        <v>30816</v>
      </c>
      <c r="AL158" s="41">
        <v>31004</v>
      </c>
      <c r="AM158" s="41">
        <v>31187</v>
      </c>
      <c r="AN158" s="41">
        <v>31367</v>
      </c>
      <c r="AO158" s="41">
        <v>31538</v>
      </c>
      <c r="AP158" s="41">
        <v>31722</v>
      </c>
      <c r="AQ158" s="41">
        <v>31910</v>
      </c>
    </row>
    <row r="159" spans="1:43">
      <c r="A159" s="38" t="s">
        <v>434</v>
      </c>
      <c r="B159" s="38" t="s">
        <v>435</v>
      </c>
      <c r="C159" s="41">
        <v>30027</v>
      </c>
      <c r="D159" s="41">
        <v>30325</v>
      </c>
      <c r="E159" s="41">
        <v>30496</v>
      </c>
      <c r="F159" s="41">
        <v>30689</v>
      </c>
      <c r="G159" s="41">
        <v>30873</v>
      </c>
      <c r="H159" s="41">
        <v>31052</v>
      </c>
      <c r="I159" s="41">
        <v>31228</v>
      </c>
      <c r="J159" s="41">
        <v>31387</v>
      </c>
      <c r="K159" s="41">
        <v>31460</v>
      </c>
      <c r="L159" s="41">
        <v>31724</v>
      </c>
      <c r="M159" s="41">
        <v>32195</v>
      </c>
      <c r="N159" s="41">
        <v>32439</v>
      </c>
      <c r="O159" s="41">
        <v>32700</v>
      </c>
      <c r="P159" s="41">
        <v>33103</v>
      </c>
      <c r="Q159" s="41">
        <v>33223</v>
      </c>
      <c r="R159" s="41">
        <v>33477</v>
      </c>
      <c r="S159" s="41">
        <v>33743</v>
      </c>
      <c r="T159" s="41">
        <v>33997</v>
      </c>
      <c r="U159" s="41">
        <v>34259</v>
      </c>
      <c r="V159" s="41">
        <v>34491</v>
      </c>
      <c r="W159" s="41">
        <v>34709</v>
      </c>
      <c r="X159" s="41">
        <v>34973</v>
      </c>
      <c r="Y159" s="41">
        <v>35241</v>
      </c>
      <c r="Z159" s="41">
        <v>35505</v>
      </c>
      <c r="AA159" s="41">
        <v>35740</v>
      </c>
      <c r="AB159" s="41">
        <v>35984</v>
      </c>
      <c r="AC159" s="41">
        <v>36232</v>
      </c>
      <c r="AD159" s="41">
        <v>36486</v>
      </c>
      <c r="AE159" s="41">
        <v>36724</v>
      </c>
      <c r="AF159" s="41">
        <v>36950</v>
      </c>
      <c r="AG159" s="41">
        <v>37170</v>
      </c>
      <c r="AH159" s="41">
        <v>37389</v>
      </c>
      <c r="AI159" s="41">
        <v>37602</v>
      </c>
      <c r="AJ159" s="41">
        <v>37801</v>
      </c>
      <c r="AK159" s="41">
        <v>38003</v>
      </c>
      <c r="AL159" s="41">
        <v>38196</v>
      </c>
      <c r="AM159" s="41">
        <v>38378</v>
      </c>
      <c r="AN159" s="41">
        <v>38561</v>
      </c>
      <c r="AO159" s="41">
        <v>38731</v>
      </c>
      <c r="AP159" s="41">
        <v>38917</v>
      </c>
      <c r="AQ159" s="41">
        <v>39089</v>
      </c>
    </row>
    <row r="160" spans="1:43">
      <c r="A160" s="38" t="s">
        <v>436</v>
      </c>
      <c r="B160" s="38" t="s">
        <v>437</v>
      </c>
      <c r="C160" s="41">
        <v>180206</v>
      </c>
      <c r="D160" s="41">
        <v>181269</v>
      </c>
      <c r="E160" s="41">
        <v>183733</v>
      </c>
      <c r="F160" s="41">
        <v>185837</v>
      </c>
      <c r="G160" s="41">
        <v>189232</v>
      </c>
      <c r="H160" s="41">
        <v>191235</v>
      </c>
      <c r="I160" s="41">
        <v>192871</v>
      </c>
      <c r="J160" s="41">
        <v>194946</v>
      </c>
      <c r="K160" s="41">
        <v>197160</v>
      </c>
      <c r="L160" s="41">
        <v>199876</v>
      </c>
      <c r="M160" s="41">
        <v>202465</v>
      </c>
      <c r="N160" s="41">
        <v>204536</v>
      </c>
      <c r="O160" s="41">
        <v>205809</v>
      </c>
      <c r="P160" s="41">
        <v>207060</v>
      </c>
      <c r="Q160" s="41">
        <v>210344</v>
      </c>
      <c r="R160" s="41">
        <v>213998</v>
      </c>
      <c r="S160" s="41">
        <v>215714</v>
      </c>
      <c r="T160" s="41">
        <v>217487</v>
      </c>
      <c r="U160" s="41">
        <v>219036</v>
      </c>
      <c r="V160" s="41">
        <v>220396</v>
      </c>
      <c r="W160" s="41">
        <v>221615</v>
      </c>
      <c r="X160" s="41">
        <v>223367</v>
      </c>
      <c r="Y160" s="41">
        <v>225090</v>
      </c>
      <c r="Z160" s="41">
        <v>226801</v>
      </c>
      <c r="AA160" s="41">
        <v>228513</v>
      </c>
      <c r="AB160" s="41">
        <v>230299</v>
      </c>
      <c r="AC160" s="41">
        <v>232014</v>
      </c>
      <c r="AD160" s="41">
        <v>233788</v>
      </c>
      <c r="AE160" s="41">
        <v>235494</v>
      </c>
      <c r="AF160" s="41">
        <v>237238</v>
      </c>
      <c r="AG160" s="41">
        <v>239077</v>
      </c>
      <c r="AH160" s="41">
        <v>240967</v>
      </c>
      <c r="AI160" s="41">
        <v>242783</v>
      </c>
      <c r="AJ160" s="41">
        <v>244533</v>
      </c>
      <c r="AK160" s="41">
        <v>246303</v>
      </c>
      <c r="AL160" s="41">
        <v>248101</v>
      </c>
      <c r="AM160" s="41">
        <v>249862</v>
      </c>
      <c r="AN160" s="41">
        <v>251570</v>
      </c>
      <c r="AO160" s="41">
        <v>253211</v>
      </c>
      <c r="AP160" s="41">
        <v>254796</v>
      </c>
      <c r="AQ160" s="41">
        <v>256365</v>
      </c>
    </row>
    <row r="161" spans="1:43">
      <c r="A161" s="38" t="s">
        <v>438</v>
      </c>
      <c r="B161" s="38" t="s">
        <v>439</v>
      </c>
      <c r="C161" s="41">
        <v>41237</v>
      </c>
      <c r="D161" s="41">
        <v>41402</v>
      </c>
      <c r="E161" s="41">
        <v>41735</v>
      </c>
      <c r="F161" s="41">
        <v>41985</v>
      </c>
      <c r="G161" s="41">
        <v>42364</v>
      </c>
      <c r="H161" s="41">
        <v>42805</v>
      </c>
      <c r="I161" s="41">
        <v>43175</v>
      </c>
      <c r="J161" s="41">
        <v>43686</v>
      </c>
      <c r="K161" s="41">
        <v>43988</v>
      </c>
      <c r="L161" s="41">
        <v>44280</v>
      </c>
      <c r="M161" s="41">
        <v>44662</v>
      </c>
      <c r="N161" s="41">
        <v>44853</v>
      </c>
      <c r="O161" s="41">
        <v>45136</v>
      </c>
      <c r="P161" s="41">
        <v>45474</v>
      </c>
      <c r="Q161" s="41">
        <v>45831</v>
      </c>
      <c r="R161" s="41">
        <v>46277</v>
      </c>
      <c r="S161" s="41">
        <v>46593</v>
      </c>
      <c r="T161" s="41">
        <v>46905</v>
      </c>
      <c r="U161" s="41">
        <v>47202</v>
      </c>
      <c r="V161" s="41">
        <v>47485</v>
      </c>
      <c r="W161" s="41">
        <v>47738</v>
      </c>
      <c r="X161" s="41">
        <v>48069</v>
      </c>
      <c r="Y161" s="41">
        <v>48375</v>
      </c>
      <c r="Z161" s="41">
        <v>48704</v>
      </c>
      <c r="AA161" s="41">
        <v>48995</v>
      </c>
      <c r="AB161" s="41">
        <v>49305</v>
      </c>
      <c r="AC161" s="41">
        <v>49604</v>
      </c>
      <c r="AD161" s="41">
        <v>49899</v>
      </c>
      <c r="AE161" s="41">
        <v>50210</v>
      </c>
      <c r="AF161" s="41">
        <v>50495</v>
      </c>
      <c r="AG161" s="41">
        <v>50794</v>
      </c>
      <c r="AH161" s="41">
        <v>51087</v>
      </c>
      <c r="AI161" s="41">
        <v>51382</v>
      </c>
      <c r="AJ161" s="41">
        <v>51679</v>
      </c>
      <c r="AK161" s="41">
        <v>51960</v>
      </c>
      <c r="AL161" s="41">
        <v>52239</v>
      </c>
      <c r="AM161" s="41">
        <v>52538</v>
      </c>
      <c r="AN161" s="41">
        <v>52809</v>
      </c>
      <c r="AO161" s="41">
        <v>53095</v>
      </c>
      <c r="AP161" s="41">
        <v>53348</v>
      </c>
      <c r="AQ161" s="41">
        <v>53595</v>
      </c>
    </row>
    <row r="162" spans="1:43">
      <c r="A162" s="38" t="s">
        <v>440</v>
      </c>
      <c r="B162" s="38" t="s">
        <v>441</v>
      </c>
      <c r="C162" s="41">
        <v>98788</v>
      </c>
      <c r="D162" s="41">
        <v>99071</v>
      </c>
      <c r="E162" s="41">
        <v>99510</v>
      </c>
      <c r="F162" s="41">
        <v>99605</v>
      </c>
      <c r="G162" s="41">
        <v>100056</v>
      </c>
      <c r="H162" s="41">
        <v>100629</v>
      </c>
      <c r="I162" s="41">
        <v>101656</v>
      </c>
      <c r="J162" s="41">
        <v>102778</v>
      </c>
      <c r="K162" s="41">
        <v>103647</v>
      </c>
      <c r="L162" s="41">
        <v>104677</v>
      </c>
      <c r="M162" s="41">
        <v>105915</v>
      </c>
      <c r="N162" s="41">
        <v>107208</v>
      </c>
      <c r="O162" s="41">
        <v>108384</v>
      </c>
      <c r="P162" s="41">
        <v>109483</v>
      </c>
      <c r="Q162" s="41">
        <v>110256</v>
      </c>
      <c r="R162" s="41">
        <v>111099</v>
      </c>
      <c r="S162" s="41">
        <v>112118</v>
      </c>
      <c r="T162" s="41">
        <v>113106</v>
      </c>
      <c r="U162" s="41">
        <v>114102</v>
      </c>
      <c r="V162" s="41">
        <v>115035</v>
      </c>
      <c r="W162" s="41">
        <v>115960</v>
      </c>
      <c r="X162" s="41">
        <v>117081</v>
      </c>
      <c r="Y162" s="41">
        <v>118151</v>
      </c>
      <c r="Z162" s="41">
        <v>119234</v>
      </c>
      <c r="AA162" s="41">
        <v>120257</v>
      </c>
      <c r="AB162" s="41">
        <v>121307</v>
      </c>
      <c r="AC162" s="41">
        <v>122388</v>
      </c>
      <c r="AD162" s="41">
        <v>123460</v>
      </c>
      <c r="AE162" s="41">
        <v>124524</v>
      </c>
      <c r="AF162" s="41">
        <v>125557</v>
      </c>
      <c r="AG162" s="41">
        <v>126623</v>
      </c>
      <c r="AH162" s="41">
        <v>127695</v>
      </c>
      <c r="AI162" s="41">
        <v>128769</v>
      </c>
      <c r="AJ162" s="41">
        <v>129840</v>
      </c>
      <c r="AK162" s="41">
        <v>130877</v>
      </c>
      <c r="AL162" s="41">
        <v>131941</v>
      </c>
      <c r="AM162" s="41">
        <v>132988</v>
      </c>
      <c r="AN162" s="41">
        <v>134039</v>
      </c>
      <c r="AO162" s="41">
        <v>135076</v>
      </c>
      <c r="AP162" s="41">
        <v>136086</v>
      </c>
      <c r="AQ162" s="41">
        <v>137109</v>
      </c>
    </row>
    <row r="163" spans="1:43">
      <c r="A163" s="38" t="s">
        <v>442</v>
      </c>
      <c r="B163" s="38" t="s">
        <v>443</v>
      </c>
      <c r="C163" s="41">
        <v>19522</v>
      </c>
      <c r="D163" s="41">
        <v>19679</v>
      </c>
      <c r="E163" s="41">
        <v>19905</v>
      </c>
      <c r="F163" s="41">
        <v>20063</v>
      </c>
      <c r="G163" s="41">
        <v>20174</v>
      </c>
      <c r="H163" s="41">
        <v>20276</v>
      </c>
      <c r="I163" s="41">
        <v>20484</v>
      </c>
      <c r="J163" s="41">
        <v>20642</v>
      </c>
      <c r="K163" s="41">
        <v>20781</v>
      </c>
      <c r="L163" s="41">
        <v>21130</v>
      </c>
      <c r="M163" s="41">
        <v>21439</v>
      </c>
      <c r="N163" s="41">
        <v>21574</v>
      </c>
      <c r="O163" s="41">
        <v>21719</v>
      </c>
      <c r="P163" s="41">
        <v>21870</v>
      </c>
      <c r="Q163" s="41">
        <v>21973</v>
      </c>
      <c r="R163" s="41">
        <v>22046</v>
      </c>
      <c r="S163" s="41">
        <v>22142</v>
      </c>
      <c r="T163" s="41">
        <v>22268</v>
      </c>
      <c r="U163" s="41">
        <v>22372</v>
      </c>
      <c r="V163" s="41">
        <v>22492</v>
      </c>
      <c r="W163" s="41">
        <v>22600</v>
      </c>
      <c r="X163" s="41">
        <v>22687</v>
      </c>
      <c r="Y163" s="41">
        <v>22788</v>
      </c>
      <c r="Z163" s="41">
        <v>22877</v>
      </c>
      <c r="AA163" s="41">
        <v>22964</v>
      </c>
      <c r="AB163" s="41">
        <v>23048</v>
      </c>
      <c r="AC163" s="41">
        <v>23141</v>
      </c>
      <c r="AD163" s="41">
        <v>23223</v>
      </c>
      <c r="AE163" s="41">
        <v>23302</v>
      </c>
      <c r="AF163" s="41">
        <v>23381</v>
      </c>
      <c r="AG163" s="41">
        <v>23464</v>
      </c>
      <c r="AH163" s="41">
        <v>23556</v>
      </c>
      <c r="AI163" s="41">
        <v>23637</v>
      </c>
      <c r="AJ163" s="41">
        <v>23724</v>
      </c>
      <c r="AK163" s="41">
        <v>23803</v>
      </c>
      <c r="AL163" s="41">
        <v>23889</v>
      </c>
      <c r="AM163" s="41">
        <v>23963</v>
      </c>
      <c r="AN163" s="41">
        <v>24039</v>
      </c>
      <c r="AO163" s="41">
        <v>24116</v>
      </c>
      <c r="AP163" s="41">
        <v>24190</v>
      </c>
      <c r="AQ163" s="41">
        <v>24273</v>
      </c>
    </row>
    <row r="164" spans="1:43">
      <c r="A164" s="38" t="s">
        <v>444</v>
      </c>
      <c r="B164" s="38" t="s">
        <v>445</v>
      </c>
      <c r="C164" s="41">
        <v>42696</v>
      </c>
      <c r="D164" s="41">
        <v>43046</v>
      </c>
      <c r="E164" s="41">
        <v>43334</v>
      </c>
      <c r="F164" s="41">
        <v>43649</v>
      </c>
      <c r="G164" s="41">
        <v>44011</v>
      </c>
      <c r="H164" s="41">
        <v>44263</v>
      </c>
      <c r="I164" s="41">
        <v>44734</v>
      </c>
      <c r="J164" s="41">
        <v>45176</v>
      </c>
      <c r="K164" s="41">
        <v>45304</v>
      </c>
      <c r="L164" s="41">
        <v>45596</v>
      </c>
      <c r="M164" s="41">
        <v>46044</v>
      </c>
      <c r="N164" s="41">
        <v>46468</v>
      </c>
      <c r="O164" s="41">
        <v>46749</v>
      </c>
      <c r="P164" s="41">
        <v>47323</v>
      </c>
      <c r="Q164" s="41">
        <v>47765</v>
      </c>
      <c r="R164" s="41">
        <v>48281</v>
      </c>
      <c r="S164" s="41">
        <v>48741</v>
      </c>
      <c r="T164" s="41">
        <v>49195</v>
      </c>
      <c r="U164" s="41">
        <v>49644</v>
      </c>
      <c r="V164" s="41">
        <v>50070</v>
      </c>
      <c r="W164" s="41">
        <v>50465</v>
      </c>
      <c r="X164" s="41">
        <v>50930</v>
      </c>
      <c r="Y164" s="41">
        <v>51390</v>
      </c>
      <c r="Z164" s="41">
        <v>51840</v>
      </c>
      <c r="AA164" s="41">
        <v>52267</v>
      </c>
      <c r="AB164" s="41">
        <v>52670</v>
      </c>
      <c r="AC164" s="41">
        <v>53101</v>
      </c>
      <c r="AD164" s="41">
        <v>53533</v>
      </c>
      <c r="AE164" s="41">
        <v>53941</v>
      </c>
      <c r="AF164" s="41">
        <v>54332</v>
      </c>
      <c r="AG164" s="41">
        <v>54716</v>
      </c>
      <c r="AH164" s="41">
        <v>55086</v>
      </c>
      <c r="AI164" s="41">
        <v>55460</v>
      </c>
      <c r="AJ164" s="41">
        <v>55828</v>
      </c>
      <c r="AK164" s="41">
        <v>56181</v>
      </c>
      <c r="AL164" s="41">
        <v>56522</v>
      </c>
      <c r="AM164" s="41">
        <v>56846</v>
      </c>
      <c r="AN164" s="41">
        <v>57184</v>
      </c>
      <c r="AO164" s="41">
        <v>57507</v>
      </c>
      <c r="AP164" s="41">
        <v>57819</v>
      </c>
      <c r="AQ164" s="41">
        <v>58145</v>
      </c>
    </row>
    <row r="165" spans="1:43">
      <c r="A165" s="38" t="s">
        <v>446</v>
      </c>
      <c r="B165" s="38" t="s">
        <v>447</v>
      </c>
      <c r="C165" s="41">
        <v>79708</v>
      </c>
      <c r="D165" s="41">
        <v>79214</v>
      </c>
      <c r="E165" s="41">
        <v>78355</v>
      </c>
      <c r="F165" s="41">
        <v>77712</v>
      </c>
      <c r="G165" s="41">
        <v>77810</v>
      </c>
      <c r="H165" s="41">
        <v>77981</v>
      </c>
      <c r="I165" s="41">
        <v>77834</v>
      </c>
      <c r="J165" s="41">
        <v>77906</v>
      </c>
      <c r="K165" s="41">
        <v>78429</v>
      </c>
      <c r="L165" s="41">
        <v>78369</v>
      </c>
      <c r="M165" s="41">
        <v>78307</v>
      </c>
      <c r="N165" s="41">
        <v>78648</v>
      </c>
      <c r="O165" s="41">
        <v>79120</v>
      </c>
      <c r="P165" s="41">
        <v>79279</v>
      </c>
      <c r="Q165" s="41">
        <v>79483</v>
      </c>
      <c r="R165" s="41">
        <v>79578</v>
      </c>
      <c r="S165" s="41">
        <v>79829</v>
      </c>
      <c r="T165" s="41">
        <v>80114</v>
      </c>
      <c r="U165" s="41">
        <v>80384</v>
      </c>
      <c r="V165" s="41">
        <v>80664</v>
      </c>
      <c r="W165" s="41">
        <v>80913</v>
      </c>
      <c r="X165" s="41">
        <v>81550</v>
      </c>
      <c r="Y165" s="41">
        <v>82162</v>
      </c>
      <c r="Z165" s="41">
        <v>82768</v>
      </c>
      <c r="AA165" s="41">
        <v>83371</v>
      </c>
      <c r="AB165" s="41">
        <v>83941</v>
      </c>
      <c r="AC165" s="41">
        <v>84509</v>
      </c>
      <c r="AD165" s="41">
        <v>85062</v>
      </c>
      <c r="AE165" s="41">
        <v>85606</v>
      </c>
      <c r="AF165" s="41">
        <v>86152</v>
      </c>
      <c r="AG165" s="41">
        <v>86695</v>
      </c>
      <c r="AH165" s="41">
        <v>87249</v>
      </c>
      <c r="AI165" s="41">
        <v>87800</v>
      </c>
      <c r="AJ165" s="41">
        <v>88353</v>
      </c>
      <c r="AK165" s="41">
        <v>88905</v>
      </c>
      <c r="AL165" s="41">
        <v>89460</v>
      </c>
      <c r="AM165" s="41">
        <v>90020</v>
      </c>
      <c r="AN165" s="41">
        <v>90567</v>
      </c>
      <c r="AO165" s="41">
        <v>91096</v>
      </c>
      <c r="AP165" s="41">
        <v>91629</v>
      </c>
      <c r="AQ165" s="41">
        <v>92172</v>
      </c>
    </row>
    <row r="166" spans="1:43">
      <c r="A166" s="38" t="s">
        <v>448</v>
      </c>
      <c r="B166" s="38" t="s">
        <v>449</v>
      </c>
      <c r="C166" s="41">
        <v>28753</v>
      </c>
      <c r="D166" s="41">
        <v>29123</v>
      </c>
      <c r="E166" s="41">
        <v>29508</v>
      </c>
      <c r="F166" s="41">
        <v>30025</v>
      </c>
      <c r="G166" s="41">
        <v>30409</v>
      </c>
      <c r="H166" s="41">
        <v>30796</v>
      </c>
      <c r="I166" s="41">
        <v>31388</v>
      </c>
      <c r="J166" s="41">
        <v>31764</v>
      </c>
      <c r="K166" s="41">
        <v>32055</v>
      </c>
      <c r="L166" s="41">
        <v>32280</v>
      </c>
      <c r="M166" s="41">
        <v>32670</v>
      </c>
      <c r="N166" s="41">
        <v>32916</v>
      </c>
      <c r="O166" s="41">
        <v>33071</v>
      </c>
      <c r="P166" s="41">
        <v>33397</v>
      </c>
      <c r="Q166" s="41">
        <v>33564</v>
      </c>
      <c r="R166" s="41">
        <v>33830</v>
      </c>
      <c r="S166" s="41">
        <v>34049</v>
      </c>
      <c r="T166" s="41">
        <v>34279</v>
      </c>
      <c r="U166" s="41">
        <v>34524</v>
      </c>
      <c r="V166" s="41">
        <v>34744</v>
      </c>
      <c r="W166" s="41">
        <v>34958</v>
      </c>
      <c r="X166" s="41">
        <v>35216</v>
      </c>
      <c r="Y166" s="41">
        <v>35471</v>
      </c>
      <c r="Z166" s="41">
        <v>35713</v>
      </c>
      <c r="AA166" s="41">
        <v>35937</v>
      </c>
      <c r="AB166" s="41">
        <v>36171</v>
      </c>
      <c r="AC166" s="41">
        <v>36431</v>
      </c>
      <c r="AD166" s="41">
        <v>36673</v>
      </c>
      <c r="AE166" s="41">
        <v>36900</v>
      </c>
      <c r="AF166" s="41">
        <v>37111</v>
      </c>
      <c r="AG166" s="41">
        <v>37335</v>
      </c>
      <c r="AH166" s="41">
        <v>37565</v>
      </c>
      <c r="AI166" s="41">
        <v>37784</v>
      </c>
      <c r="AJ166" s="41">
        <v>37988</v>
      </c>
      <c r="AK166" s="41">
        <v>38189</v>
      </c>
      <c r="AL166" s="41">
        <v>38383</v>
      </c>
      <c r="AM166" s="41">
        <v>38580</v>
      </c>
      <c r="AN166" s="41">
        <v>38782</v>
      </c>
      <c r="AO166" s="41">
        <v>38978</v>
      </c>
      <c r="AP166" s="41">
        <v>39171</v>
      </c>
      <c r="AQ166" s="41">
        <v>39363</v>
      </c>
    </row>
    <row r="167" spans="1:43">
      <c r="A167" s="38" t="s">
        <v>450</v>
      </c>
      <c r="B167" s="38" t="s">
        <v>451</v>
      </c>
      <c r="C167" s="41">
        <v>35293</v>
      </c>
      <c r="D167" s="41">
        <v>35708</v>
      </c>
      <c r="E167" s="41">
        <v>36094</v>
      </c>
      <c r="F167" s="41">
        <v>36566</v>
      </c>
      <c r="G167" s="41">
        <v>37181</v>
      </c>
      <c r="H167" s="41">
        <v>37703</v>
      </c>
      <c r="I167" s="41">
        <v>38442</v>
      </c>
      <c r="J167" s="41">
        <v>38925</v>
      </c>
      <c r="K167" s="41">
        <v>39274</v>
      </c>
      <c r="L167" s="41">
        <v>39778</v>
      </c>
      <c r="M167" s="41">
        <v>40301</v>
      </c>
      <c r="N167" s="41">
        <v>40815</v>
      </c>
      <c r="O167" s="41">
        <v>41212</v>
      </c>
      <c r="P167" s="41">
        <v>41890</v>
      </c>
      <c r="Q167" s="41">
        <v>42374</v>
      </c>
      <c r="R167" s="41">
        <v>42800</v>
      </c>
      <c r="S167" s="41">
        <v>43275</v>
      </c>
      <c r="T167" s="41">
        <v>43733</v>
      </c>
      <c r="U167" s="41">
        <v>44192</v>
      </c>
      <c r="V167" s="41">
        <v>44623</v>
      </c>
      <c r="W167" s="41">
        <v>45028</v>
      </c>
      <c r="X167" s="41">
        <v>45508</v>
      </c>
      <c r="Y167" s="41">
        <v>45936</v>
      </c>
      <c r="Z167" s="41">
        <v>46378</v>
      </c>
      <c r="AA167" s="41">
        <v>46787</v>
      </c>
      <c r="AB167" s="41">
        <v>47180</v>
      </c>
      <c r="AC167" s="41">
        <v>47607</v>
      </c>
      <c r="AD167" s="41">
        <v>47992</v>
      </c>
      <c r="AE167" s="41">
        <v>48381</v>
      </c>
      <c r="AF167" s="41">
        <v>48745</v>
      </c>
      <c r="AG167" s="41">
        <v>49117</v>
      </c>
      <c r="AH167" s="41">
        <v>49474</v>
      </c>
      <c r="AI167" s="41">
        <v>49806</v>
      </c>
      <c r="AJ167" s="41">
        <v>50146</v>
      </c>
      <c r="AK167" s="41">
        <v>50474</v>
      </c>
      <c r="AL167" s="41">
        <v>50800</v>
      </c>
      <c r="AM167" s="41">
        <v>51096</v>
      </c>
      <c r="AN167" s="41">
        <v>51390</v>
      </c>
      <c r="AO167" s="41">
        <v>51681</v>
      </c>
      <c r="AP167" s="41">
        <v>51958</v>
      </c>
      <c r="AQ167" s="41">
        <v>52247</v>
      </c>
    </row>
    <row r="168" spans="1:43">
      <c r="A168" s="38" t="s">
        <v>452</v>
      </c>
      <c r="B168" s="38" t="s">
        <v>453</v>
      </c>
      <c r="C168" s="41">
        <v>51630</v>
      </c>
      <c r="D168" s="41">
        <v>51730</v>
      </c>
      <c r="E168" s="41">
        <v>52127</v>
      </c>
      <c r="F168" s="41">
        <v>52463</v>
      </c>
      <c r="G168" s="41">
        <v>52873</v>
      </c>
      <c r="H168" s="41">
        <v>53498</v>
      </c>
      <c r="I168" s="41">
        <v>54220</v>
      </c>
      <c r="J168" s="41">
        <v>54966</v>
      </c>
      <c r="K168" s="41">
        <v>55666</v>
      </c>
      <c r="L168" s="41">
        <v>56401</v>
      </c>
      <c r="M168" s="41">
        <v>57369</v>
      </c>
      <c r="N168" s="41">
        <v>57785</v>
      </c>
      <c r="O168" s="41">
        <v>58469</v>
      </c>
      <c r="P168" s="41">
        <v>59217</v>
      </c>
      <c r="Q168" s="41">
        <v>59791</v>
      </c>
      <c r="R168" s="41">
        <v>60509</v>
      </c>
      <c r="S168" s="41">
        <v>61118</v>
      </c>
      <c r="T168" s="41">
        <v>61738</v>
      </c>
      <c r="U168" s="41">
        <v>62351</v>
      </c>
      <c r="V168" s="41">
        <v>62938</v>
      </c>
      <c r="W168" s="41">
        <v>63500</v>
      </c>
      <c r="X168" s="41">
        <v>64179</v>
      </c>
      <c r="Y168" s="41">
        <v>64837</v>
      </c>
      <c r="Z168" s="41">
        <v>65504</v>
      </c>
      <c r="AA168" s="41">
        <v>66134</v>
      </c>
      <c r="AB168" s="41">
        <v>66763</v>
      </c>
      <c r="AC168" s="41">
        <v>67397</v>
      </c>
      <c r="AD168" s="41">
        <v>68005</v>
      </c>
      <c r="AE168" s="41">
        <v>68605</v>
      </c>
      <c r="AF168" s="41">
        <v>69185</v>
      </c>
      <c r="AG168" s="41">
        <v>69774</v>
      </c>
      <c r="AH168" s="41">
        <v>70324</v>
      </c>
      <c r="AI168" s="41">
        <v>70864</v>
      </c>
      <c r="AJ168" s="41">
        <v>71409</v>
      </c>
      <c r="AK168" s="41">
        <v>71934</v>
      </c>
      <c r="AL168" s="41">
        <v>72453</v>
      </c>
      <c r="AM168" s="41">
        <v>72932</v>
      </c>
      <c r="AN168" s="41">
        <v>73434</v>
      </c>
      <c r="AO168" s="41">
        <v>73919</v>
      </c>
      <c r="AP168" s="41">
        <v>74418</v>
      </c>
      <c r="AQ168" s="41">
        <v>74925</v>
      </c>
    </row>
    <row r="169" spans="1:43">
      <c r="A169" s="38" t="s">
        <v>454</v>
      </c>
      <c r="B169" s="38" t="s">
        <v>455</v>
      </c>
      <c r="C169" s="41">
        <v>57407</v>
      </c>
      <c r="D169" s="41">
        <v>57051</v>
      </c>
      <c r="E169" s="41">
        <v>56749</v>
      </c>
      <c r="F169" s="41">
        <v>56561</v>
      </c>
      <c r="G169" s="41">
        <v>56619</v>
      </c>
      <c r="H169" s="41">
        <v>56566</v>
      </c>
      <c r="I169" s="41">
        <v>56558</v>
      </c>
      <c r="J169" s="41">
        <v>56494</v>
      </c>
      <c r="K169" s="41">
        <v>56295</v>
      </c>
      <c r="L169" s="41">
        <v>56340</v>
      </c>
      <c r="M169" s="41">
        <v>56759</v>
      </c>
      <c r="N169" s="41">
        <v>56804</v>
      </c>
      <c r="O169" s="41">
        <v>56806</v>
      </c>
      <c r="P169" s="41">
        <v>56830</v>
      </c>
      <c r="Q169" s="41">
        <v>56797</v>
      </c>
      <c r="R169" s="41">
        <v>57131</v>
      </c>
      <c r="S169" s="41">
        <v>57206</v>
      </c>
      <c r="T169" s="41">
        <v>57297</v>
      </c>
      <c r="U169" s="41">
        <v>57345</v>
      </c>
      <c r="V169" s="41">
        <v>57334</v>
      </c>
      <c r="W169" s="41">
        <v>57320</v>
      </c>
      <c r="X169" s="41">
        <v>57391</v>
      </c>
      <c r="Y169" s="41">
        <v>57450</v>
      </c>
      <c r="Z169" s="41">
        <v>57509</v>
      </c>
      <c r="AA169" s="41">
        <v>57573</v>
      </c>
      <c r="AB169" s="41">
        <v>57664</v>
      </c>
      <c r="AC169" s="41">
        <v>57758</v>
      </c>
      <c r="AD169" s="41">
        <v>57884</v>
      </c>
      <c r="AE169" s="41">
        <v>57988</v>
      </c>
      <c r="AF169" s="41">
        <v>58110</v>
      </c>
      <c r="AG169" s="41">
        <v>58261</v>
      </c>
      <c r="AH169" s="41">
        <v>58395</v>
      </c>
      <c r="AI169" s="41">
        <v>58536</v>
      </c>
      <c r="AJ169" s="41">
        <v>58661</v>
      </c>
      <c r="AK169" s="41">
        <v>58782</v>
      </c>
      <c r="AL169" s="41">
        <v>58897</v>
      </c>
      <c r="AM169" s="41">
        <v>58991</v>
      </c>
      <c r="AN169" s="41">
        <v>59093</v>
      </c>
      <c r="AO169" s="41">
        <v>59169</v>
      </c>
      <c r="AP169" s="41">
        <v>59241</v>
      </c>
      <c r="AQ169" s="41">
        <v>59312</v>
      </c>
    </row>
    <row r="170" spans="1:43">
      <c r="A170" s="38" t="s">
        <v>456</v>
      </c>
      <c r="B170" s="38" t="s">
        <v>457</v>
      </c>
      <c r="C170" s="41">
        <v>84931</v>
      </c>
      <c r="D170" s="41">
        <v>85817</v>
      </c>
      <c r="E170" s="41">
        <v>86699</v>
      </c>
      <c r="F170" s="41">
        <v>87296</v>
      </c>
      <c r="G170" s="41">
        <v>88803</v>
      </c>
      <c r="H170" s="41">
        <v>90285</v>
      </c>
      <c r="I170" s="41">
        <v>91511</v>
      </c>
      <c r="J170" s="41">
        <v>93123</v>
      </c>
      <c r="K170" s="41">
        <v>94717</v>
      </c>
      <c r="L170" s="41">
        <v>96643</v>
      </c>
      <c r="M170" s="41">
        <v>98086</v>
      </c>
      <c r="N170" s="41">
        <v>99141</v>
      </c>
      <c r="O170" s="41">
        <v>100441</v>
      </c>
      <c r="P170" s="41">
        <v>101970</v>
      </c>
      <c r="Q170" s="41">
        <v>103063</v>
      </c>
      <c r="R170" s="41">
        <v>104203</v>
      </c>
      <c r="S170" s="41">
        <v>105368</v>
      </c>
      <c r="T170" s="41">
        <v>106535</v>
      </c>
      <c r="U170" s="41">
        <v>107730</v>
      </c>
      <c r="V170" s="41">
        <v>108896</v>
      </c>
      <c r="W170" s="41">
        <v>110037</v>
      </c>
      <c r="X170" s="41">
        <v>111394</v>
      </c>
      <c r="Y170" s="41">
        <v>112723</v>
      </c>
      <c r="Z170" s="41">
        <v>114027</v>
      </c>
      <c r="AA170" s="41">
        <v>115293</v>
      </c>
      <c r="AB170" s="41">
        <v>116549</v>
      </c>
      <c r="AC170" s="41">
        <v>117772</v>
      </c>
      <c r="AD170" s="41">
        <v>118968</v>
      </c>
      <c r="AE170" s="41">
        <v>120132</v>
      </c>
      <c r="AF170" s="41">
        <v>121270</v>
      </c>
      <c r="AG170" s="41">
        <v>122372</v>
      </c>
      <c r="AH170" s="41">
        <v>123453</v>
      </c>
      <c r="AI170" s="41">
        <v>124510</v>
      </c>
      <c r="AJ170" s="41">
        <v>125534</v>
      </c>
      <c r="AK170" s="41">
        <v>126532</v>
      </c>
      <c r="AL170" s="41">
        <v>127517</v>
      </c>
      <c r="AM170" s="41">
        <v>128455</v>
      </c>
      <c r="AN170" s="41">
        <v>129383</v>
      </c>
      <c r="AO170" s="41">
        <v>130283</v>
      </c>
      <c r="AP170" s="41">
        <v>131150</v>
      </c>
      <c r="AQ170" s="41">
        <v>132033</v>
      </c>
    </row>
    <row r="171" spans="1:43">
      <c r="A171" s="38" t="s">
        <v>458</v>
      </c>
      <c r="B171" s="38" t="s">
        <v>459</v>
      </c>
      <c r="C171" s="41">
        <v>33503</v>
      </c>
      <c r="D171" s="41">
        <v>33612</v>
      </c>
      <c r="E171" s="41">
        <v>33835</v>
      </c>
      <c r="F171" s="41">
        <v>33954</v>
      </c>
      <c r="G171" s="41">
        <v>34101</v>
      </c>
      <c r="H171" s="41">
        <v>34343</v>
      </c>
      <c r="I171" s="41">
        <v>34624</v>
      </c>
      <c r="J171" s="41">
        <v>35061</v>
      </c>
      <c r="K171" s="41">
        <v>35336</v>
      </c>
      <c r="L171" s="41">
        <v>35667</v>
      </c>
      <c r="M171" s="41">
        <v>35818</v>
      </c>
      <c r="N171" s="41">
        <v>36095</v>
      </c>
      <c r="O171" s="41">
        <v>36332</v>
      </c>
      <c r="P171" s="41">
        <v>36459</v>
      </c>
      <c r="Q171" s="41">
        <v>36589</v>
      </c>
      <c r="R171" s="41">
        <v>36772</v>
      </c>
      <c r="S171" s="41">
        <v>36967</v>
      </c>
      <c r="T171" s="41">
        <v>37170</v>
      </c>
      <c r="U171" s="41">
        <v>37365</v>
      </c>
      <c r="V171" s="41">
        <v>37568</v>
      </c>
      <c r="W171" s="41">
        <v>37760</v>
      </c>
      <c r="X171" s="41">
        <v>38014</v>
      </c>
      <c r="Y171" s="41">
        <v>38250</v>
      </c>
      <c r="Z171" s="41">
        <v>38486</v>
      </c>
      <c r="AA171" s="41">
        <v>38712</v>
      </c>
      <c r="AB171" s="41">
        <v>38946</v>
      </c>
      <c r="AC171" s="41">
        <v>39189</v>
      </c>
      <c r="AD171" s="41">
        <v>39416</v>
      </c>
      <c r="AE171" s="41">
        <v>39638</v>
      </c>
      <c r="AF171" s="41">
        <v>39865</v>
      </c>
      <c r="AG171" s="41">
        <v>40085</v>
      </c>
      <c r="AH171" s="41">
        <v>40299</v>
      </c>
      <c r="AI171" s="41">
        <v>40520</v>
      </c>
      <c r="AJ171" s="41">
        <v>40740</v>
      </c>
      <c r="AK171" s="41">
        <v>40964</v>
      </c>
      <c r="AL171" s="41">
        <v>41188</v>
      </c>
      <c r="AM171" s="41">
        <v>41410</v>
      </c>
      <c r="AN171" s="41">
        <v>41622</v>
      </c>
      <c r="AO171" s="41">
        <v>41843</v>
      </c>
      <c r="AP171" s="41">
        <v>42052</v>
      </c>
      <c r="AQ171" s="41">
        <v>42282</v>
      </c>
    </row>
    <row r="172" spans="1:43">
      <c r="A172" s="38" t="s">
        <v>460</v>
      </c>
      <c r="B172" s="38" t="s">
        <v>461</v>
      </c>
      <c r="C172" s="41">
        <v>71855</v>
      </c>
      <c r="D172" s="41">
        <v>72418</v>
      </c>
      <c r="E172" s="41">
        <v>72933</v>
      </c>
      <c r="F172" s="41">
        <v>73360</v>
      </c>
      <c r="G172" s="41">
        <v>73745</v>
      </c>
      <c r="H172" s="41">
        <v>74351</v>
      </c>
      <c r="I172" s="41">
        <v>74880</v>
      </c>
      <c r="J172" s="41">
        <v>75327</v>
      </c>
      <c r="K172" s="41">
        <v>75792</v>
      </c>
      <c r="L172" s="41">
        <v>76292</v>
      </c>
      <c r="M172" s="41">
        <v>76831</v>
      </c>
      <c r="N172" s="41">
        <v>77294</v>
      </c>
      <c r="O172" s="41">
        <v>77660</v>
      </c>
      <c r="P172" s="41">
        <v>78066</v>
      </c>
      <c r="Q172" s="41">
        <v>78290</v>
      </c>
      <c r="R172" s="41">
        <v>78686</v>
      </c>
      <c r="S172" s="41">
        <v>79083</v>
      </c>
      <c r="T172" s="41">
        <v>79531</v>
      </c>
      <c r="U172" s="41">
        <v>79944</v>
      </c>
      <c r="V172" s="41">
        <v>80342</v>
      </c>
      <c r="W172" s="41">
        <v>80739</v>
      </c>
      <c r="X172" s="41">
        <v>81254</v>
      </c>
      <c r="Y172" s="41">
        <v>81757</v>
      </c>
      <c r="Z172" s="41">
        <v>82258</v>
      </c>
      <c r="AA172" s="41">
        <v>82738</v>
      </c>
      <c r="AB172" s="41">
        <v>83226</v>
      </c>
      <c r="AC172" s="41">
        <v>83772</v>
      </c>
      <c r="AD172" s="41">
        <v>84291</v>
      </c>
      <c r="AE172" s="41">
        <v>84797</v>
      </c>
      <c r="AF172" s="41">
        <v>85269</v>
      </c>
      <c r="AG172" s="41">
        <v>85744</v>
      </c>
      <c r="AH172" s="41">
        <v>86216</v>
      </c>
      <c r="AI172" s="41">
        <v>86686</v>
      </c>
      <c r="AJ172" s="41">
        <v>87138</v>
      </c>
      <c r="AK172" s="41">
        <v>87557</v>
      </c>
      <c r="AL172" s="41">
        <v>87990</v>
      </c>
      <c r="AM172" s="41">
        <v>88380</v>
      </c>
      <c r="AN172" s="41">
        <v>88795</v>
      </c>
      <c r="AO172" s="41">
        <v>89214</v>
      </c>
      <c r="AP172" s="41">
        <v>89605</v>
      </c>
      <c r="AQ172" s="41">
        <v>90016</v>
      </c>
    </row>
    <row r="173" spans="1:43">
      <c r="A173" s="38" t="s">
        <v>462</v>
      </c>
      <c r="B173" s="38" t="s">
        <v>463</v>
      </c>
      <c r="C173" s="41">
        <v>44221</v>
      </c>
      <c r="D173" s="41">
        <v>44549</v>
      </c>
      <c r="E173" s="41">
        <v>45206</v>
      </c>
      <c r="F173" s="41">
        <v>45809</v>
      </c>
      <c r="G173" s="41">
        <v>46238</v>
      </c>
      <c r="H173" s="41">
        <v>46761</v>
      </c>
      <c r="I173" s="41">
        <v>47327</v>
      </c>
      <c r="J173" s="41">
        <v>47725</v>
      </c>
      <c r="K173" s="41">
        <v>48107</v>
      </c>
      <c r="L173" s="41">
        <v>48550</v>
      </c>
      <c r="M173" s="41">
        <v>48656</v>
      </c>
      <c r="N173" s="41">
        <v>48999</v>
      </c>
      <c r="O173" s="41">
        <v>49538</v>
      </c>
      <c r="P173" s="41">
        <v>50079</v>
      </c>
      <c r="Q173" s="41">
        <v>50597</v>
      </c>
      <c r="R173" s="41">
        <v>51157</v>
      </c>
      <c r="S173" s="41">
        <v>51704</v>
      </c>
      <c r="T173" s="41">
        <v>52213</v>
      </c>
      <c r="U173" s="41">
        <v>52738</v>
      </c>
      <c r="V173" s="41">
        <v>53212</v>
      </c>
      <c r="W173" s="41">
        <v>53653</v>
      </c>
      <c r="X173" s="41">
        <v>54155</v>
      </c>
      <c r="Y173" s="41">
        <v>54610</v>
      </c>
      <c r="Z173" s="41">
        <v>55065</v>
      </c>
      <c r="AA173" s="41">
        <v>55500</v>
      </c>
      <c r="AB173" s="41">
        <v>55905</v>
      </c>
      <c r="AC173" s="41">
        <v>56337</v>
      </c>
      <c r="AD173" s="41">
        <v>56755</v>
      </c>
      <c r="AE173" s="41">
        <v>57156</v>
      </c>
      <c r="AF173" s="41">
        <v>57553</v>
      </c>
      <c r="AG173" s="41">
        <v>57943</v>
      </c>
      <c r="AH173" s="41">
        <v>58336</v>
      </c>
      <c r="AI173" s="41">
        <v>58721</v>
      </c>
      <c r="AJ173" s="41">
        <v>59102</v>
      </c>
      <c r="AK173" s="41">
        <v>59484</v>
      </c>
      <c r="AL173" s="41">
        <v>59855</v>
      </c>
      <c r="AM173" s="41">
        <v>60215</v>
      </c>
      <c r="AN173" s="41">
        <v>60573</v>
      </c>
      <c r="AO173" s="41">
        <v>60938</v>
      </c>
      <c r="AP173" s="41">
        <v>61276</v>
      </c>
      <c r="AQ173" s="41">
        <v>61613</v>
      </c>
    </row>
    <row r="174" spans="1:43">
      <c r="A174" s="38" t="s">
        <v>464</v>
      </c>
      <c r="B174" s="38" t="s">
        <v>465</v>
      </c>
      <c r="C174" s="41">
        <v>113690</v>
      </c>
      <c r="D174" s="41">
        <v>113540</v>
      </c>
      <c r="E174" s="41">
        <v>113318</v>
      </c>
      <c r="F174" s="41">
        <v>112938</v>
      </c>
      <c r="G174" s="41">
        <v>113991</v>
      </c>
      <c r="H174" s="41">
        <v>113787</v>
      </c>
      <c r="I174" s="41">
        <v>114062</v>
      </c>
      <c r="J174" s="41">
        <v>114094</v>
      </c>
      <c r="K174" s="41">
        <v>114688</v>
      </c>
      <c r="L174" s="41">
        <v>115720</v>
      </c>
      <c r="M174" s="41">
        <v>116149</v>
      </c>
      <c r="N174" s="41">
        <v>116780</v>
      </c>
      <c r="O174" s="41">
        <v>118169</v>
      </c>
      <c r="P174" s="41">
        <v>118859</v>
      </c>
      <c r="Q174" s="41">
        <v>119923</v>
      </c>
      <c r="R174" s="41">
        <v>121280</v>
      </c>
      <c r="S174" s="41">
        <v>121864</v>
      </c>
      <c r="T174" s="41">
        <v>122515</v>
      </c>
      <c r="U174" s="41">
        <v>123113</v>
      </c>
      <c r="V174" s="41">
        <v>123597</v>
      </c>
      <c r="W174" s="41">
        <v>123947</v>
      </c>
      <c r="X174" s="41">
        <v>124363</v>
      </c>
      <c r="Y174" s="41">
        <v>124788</v>
      </c>
      <c r="Z174" s="41">
        <v>125268</v>
      </c>
      <c r="AA174" s="41">
        <v>125772</v>
      </c>
      <c r="AB174" s="41">
        <v>126356</v>
      </c>
      <c r="AC174" s="41">
        <v>126957</v>
      </c>
      <c r="AD174" s="41">
        <v>127620</v>
      </c>
      <c r="AE174" s="41">
        <v>128227</v>
      </c>
      <c r="AF174" s="41">
        <v>128859</v>
      </c>
      <c r="AG174" s="41">
        <v>129516</v>
      </c>
      <c r="AH174" s="41">
        <v>130176</v>
      </c>
      <c r="AI174" s="41">
        <v>130787</v>
      </c>
      <c r="AJ174" s="41">
        <v>131331</v>
      </c>
      <c r="AK174" s="41">
        <v>131856</v>
      </c>
      <c r="AL174" s="41">
        <v>132411</v>
      </c>
      <c r="AM174" s="41">
        <v>132898</v>
      </c>
      <c r="AN174" s="41">
        <v>133391</v>
      </c>
      <c r="AO174" s="41">
        <v>133860</v>
      </c>
      <c r="AP174" s="41">
        <v>134293</v>
      </c>
      <c r="AQ174" s="41">
        <v>134739</v>
      </c>
    </row>
    <row r="175" spans="1:43">
      <c r="A175" s="38" t="s">
        <v>466</v>
      </c>
      <c r="B175" s="38" t="s">
        <v>467</v>
      </c>
      <c r="C175" s="41">
        <v>50391</v>
      </c>
      <c r="D175" s="41">
        <v>50542</v>
      </c>
      <c r="E175" s="41">
        <v>50840</v>
      </c>
      <c r="F175" s="41">
        <v>51035</v>
      </c>
      <c r="G175" s="41">
        <v>51258</v>
      </c>
      <c r="H175" s="41">
        <v>51439</v>
      </c>
      <c r="I175" s="41">
        <v>51680</v>
      </c>
      <c r="J175" s="41">
        <v>51790</v>
      </c>
      <c r="K175" s="41">
        <v>51806</v>
      </c>
      <c r="L175" s="41">
        <v>52050</v>
      </c>
      <c r="M175" s="41">
        <v>52442</v>
      </c>
      <c r="N175" s="41">
        <v>52701</v>
      </c>
      <c r="O175" s="41">
        <v>53095</v>
      </c>
      <c r="P175" s="41">
        <v>53589</v>
      </c>
      <c r="Q175" s="41">
        <v>54040</v>
      </c>
      <c r="R175" s="41">
        <v>54620</v>
      </c>
      <c r="S175" s="41">
        <v>55052</v>
      </c>
      <c r="T175" s="41">
        <v>55429</v>
      </c>
      <c r="U175" s="41">
        <v>55796</v>
      </c>
      <c r="V175" s="41">
        <v>56165</v>
      </c>
      <c r="W175" s="41">
        <v>56505</v>
      </c>
      <c r="X175" s="41">
        <v>56854</v>
      </c>
      <c r="Y175" s="41">
        <v>57187</v>
      </c>
      <c r="Z175" s="41">
        <v>57525</v>
      </c>
      <c r="AA175" s="41">
        <v>57865</v>
      </c>
      <c r="AB175" s="41">
        <v>58170</v>
      </c>
      <c r="AC175" s="41">
        <v>58492</v>
      </c>
      <c r="AD175" s="41">
        <v>58823</v>
      </c>
      <c r="AE175" s="41">
        <v>59123</v>
      </c>
      <c r="AF175" s="41">
        <v>59426</v>
      </c>
      <c r="AG175" s="41">
        <v>59722</v>
      </c>
      <c r="AH175" s="41">
        <v>60008</v>
      </c>
      <c r="AI175" s="41">
        <v>60297</v>
      </c>
      <c r="AJ175" s="41">
        <v>60575</v>
      </c>
      <c r="AK175" s="41">
        <v>60844</v>
      </c>
      <c r="AL175" s="41">
        <v>61125</v>
      </c>
      <c r="AM175" s="41">
        <v>61396</v>
      </c>
      <c r="AN175" s="41">
        <v>61673</v>
      </c>
      <c r="AO175" s="41">
        <v>61936</v>
      </c>
      <c r="AP175" s="41">
        <v>62198</v>
      </c>
      <c r="AQ175" s="41">
        <v>62471</v>
      </c>
    </row>
    <row r="176" spans="1:43">
      <c r="A176" s="38" t="s">
        <v>468</v>
      </c>
      <c r="B176" s="38" t="s">
        <v>469</v>
      </c>
      <c r="C176" s="41">
        <v>93752</v>
      </c>
      <c r="D176" s="41">
        <v>94571</v>
      </c>
      <c r="E176" s="41">
        <v>93622</v>
      </c>
      <c r="F176" s="41">
        <v>91758</v>
      </c>
      <c r="G176" s="41">
        <v>90473</v>
      </c>
      <c r="H176" s="41">
        <v>90542</v>
      </c>
      <c r="I176" s="41">
        <v>91625</v>
      </c>
      <c r="J176" s="41">
        <v>93641</v>
      </c>
      <c r="K176" s="41">
        <v>96066</v>
      </c>
      <c r="L176" s="41">
        <v>99104</v>
      </c>
      <c r="M176" s="41">
        <v>101997</v>
      </c>
      <c r="N176" s="41">
        <v>103291</v>
      </c>
      <c r="O176" s="41">
        <v>104539</v>
      </c>
      <c r="P176" s="41">
        <v>106459</v>
      </c>
      <c r="Q176" s="41">
        <v>108809</v>
      </c>
      <c r="R176" s="41">
        <v>111050</v>
      </c>
      <c r="S176" s="41">
        <v>112297</v>
      </c>
      <c r="T176" s="41">
        <v>113448</v>
      </c>
      <c r="U176" s="41">
        <v>114480</v>
      </c>
      <c r="V176" s="41">
        <v>115304</v>
      </c>
      <c r="W176" s="41">
        <v>115939</v>
      </c>
      <c r="X176" s="41">
        <v>117808</v>
      </c>
      <c r="Y176" s="41">
        <v>119570</v>
      </c>
      <c r="Z176" s="41">
        <v>121303</v>
      </c>
      <c r="AA176" s="41">
        <v>122994</v>
      </c>
      <c r="AB176" s="41">
        <v>124620</v>
      </c>
      <c r="AC176" s="41">
        <v>126168</v>
      </c>
      <c r="AD176" s="41">
        <v>127704</v>
      </c>
      <c r="AE176" s="41">
        <v>129202</v>
      </c>
      <c r="AF176" s="41">
        <v>130679</v>
      </c>
      <c r="AG176" s="41">
        <v>132137</v>
      </c>
      <c r="AH176" s="41">
        <v>133546</v>
      </c>
      <c r="AI176" s="41">
        <v>134953</v>
      </c>
      <c r="AJ176" s="41">
        <v>136321</v>
      </c>
      <c r="AK176" s="41">
        <v>137645</v>
      </c>
      <c r="AL176" s="41">
        <v>138973</v>
      </c>
      <c r="AM176" s="41">
        <v>140272</v>
      </c>
      <c r="AN176" s="41">
        <v>141548</v>
      </c>
      <c r="AO176" s="41">
        <v>142785</v>
      </c>
      <c r="AP176" s="41">
        <v>143965</v>
      </c>
      <c r="AQ176" s="41">
        <v>145125</v>
      </c>
    </row>
    <row r="177" spans="1:43">
      <c r="A177" s="38" t="s">
        <v>470</v>
      </c>
      <c r="B177" s="38" t="s">
        <v>471</v>
      </c>
      <c r="C177" s="41">
        <v>36642</v>
      </c>
      <c r="D177" s="41">
        <v>37042</v>
      </c>
      <c r="E177" s="41">
        <v>37480</v>
      </c>
      <c r="F177" s="41">
        <v>37850</v>
      </c>
      <c r="G177" s="41">
        <v>38198</v>
      </c>
      <c r="H177" s="41">
        <v>38540</v>
      </c>
      <c r="I177" s="41">
        <v>38868</v>
      </c>
      <c r="J177" s="41">
        <v>39192</v>
      </c>
      <c r="K177" s="41">
        <v>39374</v>
      </c>
      <c r="L177" s="41">
        <v>39556</v>
      </c>
      <c r="M177" s="41">
        <v>39976</v>
      </c>
      <c r="N177" s="41">
        <v>40067</v>
      </c>
      <c r="O177" s="41">
        <v>40139</v>
      </c>
      <c r="P177" s="41">
        <v>40331</v>
      </c>
      <c r="Q177" s="41">
        <v>40506</v>
      </c>
      <c r="R177" s="41">
        <v>40800</v>
      </c>
      <c r="S177" s="41">
        <v>40938</v>
      </c>
      <c r="T177" s="41">
        <v>41094</v>
      </c>
      <c r="U177" s="41">
        <v>41250</v>
      </c>
      <c r="V177" s="41">
        <v>41388</v>
      </c>
      <c r="W177" s="41">
        <v>41550</v>
      </c>
      <c r="X177" s="41">
        <v>41734</v>
      </c>
      <c r="Y177" s="41">
        <v>41917</v>
      </c>
      <c r="Z177" s="41">
        <v>42119</v>
      </c>
      <c r="AA177" s="41">
        <v>42306</v>
      </c>
      <c r="AB177" s="41">
        <v>42480</v>
      </c>
      <c r="AC177" s="41">
        <v>42679</v>
      </c>
      <c r="AD177" s="41">
        <v>42865</v>
      </c>
      <c r="AE177" s="41">
        <v>43058</v>
      </c>
      <c r="AF177" s="41">
        <v>43236</v>
      </c>
      <c r="AG177" s="41">
        <v>43428</v>
      </c>
      <c r="AH177" s="41">
        <v>43594</v>
      </c>
      <c r="AI177" s="41">
        <v>43772</v>
      </c>
      <c r="AJ177" s="41">
        <v>43949</v>
      </c>
      <c r="AK177" s="41">
        <v>44116</v>
      </c>
      <c r="AL177" s="41">
        <v>44291</v>
      </c>
      <c r="AM177" s="41">
        <v>44465</v>
      </c>
      <c r="AN177" s="41">
        <v>44624</v>
      </c>
      <c r="AO177" s="41">
        <v>44804</v>
      </c>
      <c r="AP177" s="41">
        <v>44973</v>
      </c>
      <c r="AQ177" s="41">
        <v>45148</v>
      </c>
    </row>
    <row r="178" spans="1:43">
      <c r="A178" s="38" t="s">
        <v>472</v>
      </c>
      <c r="B178" s="38" t="s">
        <v>473</v>
      </c>
      <c r="C178" s="41">
        <v>40514</v>
      </c>
      <c r="D178" s="41">
        <v>40693</v>
      </c>
      <c r="E178" s="41">
        <v>40935</v>
      </c>
      <c r="F178" s="41">
        <v>41264</v>
      </c>
      <c r="G178" s="41">
        <v>41436</v>
      </c>
      <c r="H178" s="41">
        <v>41631</v>
      </c>
      <c r="I178" s="41">
        <v>41884</v>
      </c>
      <c r="J178" s="41">
        <v>42055</v>
      </c>
      <c r="K178" s="41">
        <v>42243</v>
      </c>
      <c r="L178" s="41">
        <v>42574</v>
      </c>
      <c r="M178" s="41">
        <v>43009</v>
      </c>
      <c r="N178" s="41">
        <v>43230</v>
      </c>
      <c r="O178" s="41">
        <v>43338</v>
      </c>
      <c r="P178" s="41">
        <v>43518</v>
      </c>
      <c r="Q178" s="41">
        <v>43713</v>
      </c>
      <c r="R178" s="41">
        <v>44130</v>
      </c>
      <c r="S178" s="41">
        <v>44353</v>
      </c>
      <c r="T178" s="41">
        <v>44567</v>
      </c>
      <c r="U178" s="41">
        <v>44798</v>
      </c>
      <c r="V178" s="41">
        <v>45000</v>
      </c>
      <c r="W178" s="41">
        <v>45203</v>
      </c>
      <c r="X178" s="41">
        <v>45418</v>
      </c>
      <c r="Y178" s="41">
        <v>45613</v>
      </c>
      <c r="Z178" s="41">
        <v>45828</v>
      </c>
      <c r="AA178" s="41">
        <v>45998</v>
      </c>
      <c r="AB178" s="41">
        <v>46174</v>
      </c>
      <c r="AC178" s="41">
        <v>46339</v>
      </c>
      <c r="AD178" s="41">
        <v>46502</v>
      </c>
      <c r="AE178" s="41">
        <v>46663</v>
      </c>
      <c r="AF178" s="41">
        <v>46803</v>
      </c>
      <c r="AG178" s="41">
        <v>46943</v>
      </c>
      <c r="AH178" s="41">
        <v>47077</v>
      </c>
      <c r="AI178" s="41">
        <v>47209</v>
      </c>
      <c r="AJ178" s="41">
        <v>47344</v>
      </c>
      <c r="AK178" s="41">
        <v>47479</v>
      </c>
      <c r="AL178" s="41">
        <v>47606</v>
      </c>
      <c r="AM178" s="41">
        <v>47742</v>
      </c>
      <c r="AN178" s="41">
        <v>47885</v>
      </c>
      <c r="AO178" s="41">
        <v>48015</v>
      </c>
      <c r="AP178" s="41">
        <v>48153</v>
      </c>
      <c r="AQ178" s="41">
        <v>48287</v>
      </c>
    </row>
    <row r="179" spans="1:43">
      <c r="A179" s="38" t="s">
        <v>474</v>
      </c>
      <c r="B179" s="38" t="s">
        <v>475</v>
      </c>
      <c r="C179" s="41">
        <v>65473</v>
      </c>
      <c r="D179" s="41">
        <v>65795</v>
      </c>
      <c r="E179" s="41">
        <v>66174</v>
      </c>
      <c r="F179" s="41">
        <v>66572</v>
      </c>
      <c r="G179" s="41">
        <v>66918</v>
      </c>
      <c r="H179" s="41">
        <v>67154</v>
      </c>
      <c r="I179" s="41">
        <v>67299</v>
      </c>
      <c r="J179" s="41">
        <v>67654</v>
      </c>
      <c r="K179" s="41">
        <v>67971</v>
      </c>
      <c r="L179" s="41">
        <v>68361</v>
      </c>
      <c r="M179" s="41">
        <v>69313</v>
      </c>
      <c r="N179" s="41">
        <v>69441</v>
      </c>
      <c r="O179" s="41">
        <v>69698</v>
      </c>
      <c r="P179" s="41">
        <v>69948</v>
      </c>
      <c r="Q179" s="41">
        <v>70124</v>
      </c>
      <c r="R179" s="41">
        <v>70258</v>
      </c>
      <c r="S179" s="41">
        <v>70395</v>
      </c>
      <c r="T179" s="41">
        <v>70526</v>
      </c>
      <c r="U179" s="41">
        <v>70663</v>
      </c>
      <c r="V179" s="41">
        <v>70752</v>
      </c>
      <c r="W179" s="41">
        <v>70832</v>
      </c>
      <c r="X179" s="41">
        <v>70935</v>
      </c>
      <c r="Y179" s="41">
        <v>71003</v>
      </c>
      <c r="Z179" s="41">
        <v>71077</v>
      </c>
      <c r="AA179" s="41">
        <v>71158</v>
      </c>
      <c r="AB179" s="41">
        <v>71251</v>
      </c>
      <c r="AC179" s="41">
        <v>71344</v>
      </c>
      <c r="AD179" s="41">
        <v>71447</v>
      </c>
      <c r="AE179" s="41">
        <v>71543</v>
      </c>
      <c r="AF179" s="41">
        <v>71655</v>
      </c>
      <c r="AG179" s="41">
        <v>71772</v>
      </c>
      <c r="AH179" s="41">
        <v>71898</v>
      </c>
      <c r="AI179" s="41">
        <v>72021</v>
      </c>
      <c r="AJ179" s="41">
        <v>72133</v>
      </c>
      <c r="AK179" s="41">
        <v>72271</v>
      </c>
      <c r="AL179" s="41">
        <v>72400</v>
      </c>
      <c r="AM179" s="41">
        <v>72499</v>
      </c>
      <c r="AN179" s="41">
        <v>72606</v>
      </c>
      <c r="AO179" s="41">
        <v>72712</v>
      </c>
      <c r="AP179" s="41">
        <v>72797</v>
      </c>
      <c r="AQ179" s="41">
        <v>72902</v>
      </c>
    </row>
    <row r="180" spans="1:43">
      <c r="A180" s="38" t="s">
        <v>476</v>
      </c>
      <c r="B180" s="38" t="s">
        <v>477</v>
      </c>
      <c r="C180" s="41">
        <v>48493</v>
      </c>
      <c r="D180" s="41">
        <v>48945</v>
      </c>
      <c r="E180" s="41">
        <v>49405</v>
      </c>
      <c r="F180" s="41">
        <v>49831</v>
      </c>
      <c r="G180" s="41">
        <v>50198</v>
      </c>
      <c r="H180" s="41">
        <v>50693</v>
      </c>
      <c r="I180" s="41">
        <v>51118</v>
      </c>
      <c r="J180" s="41">
        <v>51689</v>
      </c>
      <c r="K180" s="41">
        <v>52114</v>
      </c>
      <c r="L180" s="41">
        <v>52525</v>
      </c>
      <c r="M180" s="41">
        <v>53260</v>
      </c>
      <c r="N180" s="41">
        <v>53644</v>
      </c>
      <c r="O180" s="41">
        <v>54106</v>
      </c>
      <c r="P180" s="41">
        <v>54678</v>
      </c>
      <c r="Q180" s="41">
        <v>55033</v>
      </c>
      <c r="R180" s="41">
        <v>55458</v>
      </c>
      <c r="S180" s="41">
        <v>55943</v>
      </c>
      <c r="T180" s="41">
        <v>56405</v>
      </c>
      <c r="U180" s="41">
        <v>56881</v>
      </c>
      <c r="V180" s="41">
        <v>57373</v>
      </c>
      <c r="W180" s="41">
        <v>57843</v>
      </c>
      <c r="X180" s="41">
        <v>58403</v>
      </c>
      <c r="Y180" s="41">
        <v>58923</v>
      </c>
      <c r="Z180" s="41">
        <v>59467</v>
      </c>
      <c r="AA180" s="41">
        <v>59976</v>
      </c>
      <c r="AB180" s="41">
        <v>60486</v>
      </c>
      <c r="AC180" s="41">
        <v>61011</v>
      </c>
      <c r="AD180" s="41">
        <v>61519</v>
      </c>
      <c r="AE180" s="41">
        <v>62028</v>
      </c>
      <c r="AF180" s="41">
        <v>62526</v>
      </c>
      <c r="AG180" s="41">
        <v>63010</v>
      </c>
      <c r="AH180" s="41">
        <v>63498</v>
      </c>
      <c r="AI180" s="41">
        <v>63991</v>
      </c>
      <c r="AJ180" s="41">
        <v>64473</v>
      </c>
      <c r="AK180" s="41">
        <v>64956</v>
      </c>
      <c r="AL180" s="41">
        <v>65426</v>
      </c>
      <c r="AM180" s="41">
        <v>65887</v>
      </c>
      <c r="AN180" s="41">
        <v>66364</v>
      </c>
      <c r="AO180" s="41">
        <v>66825</v>
      </c>
      <c r="AP180" s="41">
        <v>67282</v>
      </c>
      <c r="AQ180" s="41">
        <v>67743</v>
      </c>
    </row>
    <row r="181" spans="1:43">
      <c r="A181" s="38" t="s">
        <v>478</v>
      </c>
      <c r="B181" s="38" t="s">
        <v>479</v>
      </c>
      <c r="C181" s="41">
        <v>38782</v>
      </c>
      <c r="D181" s="41">
        <v>39991</v>
      </c>
      <c r="E181" s="41">
        <v>40854</v>
      </c>
      <c r="F181" s="41">
        <v>41523</v>
      </c>
      <c r="G181" s="41">
        <v>41974</v>
      </c>
      <c r="H181" s="41">
        <v>42740</v>
      </c>
      <c r="I181" s="41">
        <v>43461</v>
      </c>
      <c r="J181" s="41">
        <v>44278</v>
      </c>
      <c r="K181" s="41">
        <v>44713</v>
      </c>
      <c r="L181" s="41">
        <v>45233</v>
      </c>
      <c r="M181" s="41">
        <v>46059</v>
      </c>
      <c r="N181" s="41">
        <v>46572</v>
      </c>
      <c r="O181" s="41">
        <v>46876</v>
      </c>
      <c r="P181" s="41">
        <v>47574</v>
      </c>
      <c r="Q181" s="41">
        <v>48143</v>
      </c>
      <c r="R181" s="41">
        <v>48862</v>
      </c>
      <c r="S181" s="41">
        <v>49322</v>
      </c>
      <c r="T181" s="41">
        <v>49777</v>
      </c>
      <c r="U181" s="41">
        <v>50218</v>
      </c>
      <c r="V181" s="41">
        <v>50656</v>
      </c>
      <c r="W181" s="41">
        <v>51026</v>
      </c>
      <c r="X181" s="41">
        <v>51420</v>
      </c>
      <c r="Y181" s="41">
        <v>51795</v>
      </c>
      <c r="Z181" s="41">
        <v>52157</v>
      </c>
      <c r="AA181" s="41">
        <v>52491</v>
      </c>
      <c r="AB181" s="41">
        <v>52801</v>
      </c>
      <c r="AC181" s="41">
        <v>53115</v>
      </c>
      <c r="AD181" s="41">
        <v>53442</v>
      </c>
      <c r="AE181" s="41">
        <v>53748</v>
      </c>
      <c r="AF181" s="41">
        <v>54043</v>
      </c>
      <c r="AG181" s="41">
        <v>54348</v>
      </c>
      <c r="AH181" s="41">
        <v>54639</v>
      </c>
      <c r="AI181" s="41">
        <v>54953</v>
      </c>
      <c r="AJ181" s="41">
        <v>55260</v>
      </c>
      <c r="AK181" s="41">
        <v>55546</v>
      </c>
      <c r="AL181" s="41">
        <v>55866</v>
      </c>
      <c r="AM181" s="41">
        <v>56157</v>
      </c>
      <c r="AN181" s="41">
        <v>56469</v>
      </c>
      <c r="AO181" s="41">
        <v>56759</v>
      </c>
      <c r="AP181" s="41">
        <v>57053</v>
      </c>
      <c r="AQ181" s="41">
        <v>57354</v>
      </c>
    </row>
    <row r="182" spans="1:43">
      <c r="A182" s="38" t="s">
        <v>480</v>
      </c>
      <c r="B182" s="38" t="s">
        <v>481</v>
      </c>
      <c r="C182" s="41">
        <v>63610</v>
      </c>
      <c r="D182" s="41">
        <v>64178</v>
      </c>
      <c r="E182" s="41">
        <v>64996</v>
      </c>
      <c r="F182" s="41">
        <v>65822</v>
      </c>
      <c r="G182" s="41">
        <v>66549</v>
      </c>
      <c r="H182" s="41">
        <v>67226</v>
      </c>
      <c r="I182" s="41">
        <v>67802</v>
      </c>
      <c r="J182" s="41">
        <v>68553</v>
      </c>
      <c r="K182" s="41">
        <v>69033</v>
      </c>
      <c r="L182" s="41">
        <v>69521</v>
      </c>
      <c r="M182" s="41">
        <v>70359</v>
      </c>
      <c r="N182" s="41">
        <v>70810</v>
      </c>
      <c r="O182" s="41">
        <v>71034</v>
      </c>
      <c r="P182" s="41">
        <v>71390</v>
      </c>
      <c r="Q182" s="41">
        <v>71772</v>
      </c>
      <c r="R182" s="41">
        <v>72290</v>
      </c>
      <c r="S182" s="41">
        <v>72671</v>
      </c>
      <c r="T182" s="41">
        <v>73025</v>
      </c>
      <c r="U182" s="41">
        <v>73349</v>
      </c>
      <c r="V182" s="41">
        <v>73693</v>
      </c>
      <c r="W182" s="41">
        <v>74011</v>
      </c>
      <c r="X182" s="41">
        <v>74451</v>
      </c>
      <c r="Y182" s="41">
        <v>74843</v>
      </c>
      <c r="Z182" s="41">
        <v>75210</v>
      </c>
      <c r="AA182" s="41">
        <v>75576</v>
      </c>
      <c r="AB182" s="41">
        <v>75949</v>
      </c>
      <c r="AC182" s="41">
        <v>76312</v>
      </c>
      <c r="AD182" s="41">
        <v>76665</v>
      </c>
      <c r="AE182" s="41">
        <v>76983</v>
      </c>
      <c r="AF182" s="41">
        <v>77325</v>
      </c>
      <c r="AG182" s="41">
        <v>77655</v>
      </c>
      <c r="AH182" s="41">
        <v>77963</v>
      </c>
      <c r="AI182" s="41">
        <v>78281</v>
      </c>
      <c r="AJ182" s="41">
        <v>78565</v>
      </c>
      <c r="AK182" s="41">
        <v>78856</v>
      </c>
      <c r="AL182" s="41">
        <v>79150</v>
      </c>
      <c r="AM182" s="41">
        <v>79413</v>
      </c>
      <c r="AN182" s="41">
        <v>79678</v>
      </c>
      <c r="AO182" s="41">
        <v>79926</v>
      </c>
      <c r="AP182" s="41">
        <v>80164</v>
      </c>
      <c r="AQ182" s="41">
        <v>80396</v>
      </c>
    </row>
    <row r="183" spans="1:43">
      <c r="A183" s="38" t="s">
        <v>482</v>
      </c>
      <c r="B183" s="38" t="s">
        <v>483</v>
      </c>
      <c r="C183" s="41">
        <v>43395</v>
      </c>
      <c r="D183" s="41">
        <v>43630</v>
      </c>
      <c r="E183" s="41">
        <v>43881</v>
      </c>
      <c r="F183" s="41">
        <v>44097</v>
      </c>
      <c r="G183" s="41">
        <v>44336</v>
      </c>
      <c r="H183" s="41">
        <v>44569</v>
      </c>
      <c r="I183" s="41">
        <v>44872</v>
      </c>
      <c r="J183" s="41">
        <v>45228</v>
      </c>
      <c r="K183" s="41">
        <v>45157</v>
      </c>
      <c r="L183" s="41">
        <v>45346</v>
      </c>
      <c r="M183" s="41">
        <v>46030</v>
      </c>
      <c r="N183" s="41">
        <v>46243</v>
      </c>
      <c r="O183" s="41">
        <v>46461</v>
      </c>
      <c r="P183" s="41">
        <v>46869</v>
      </c>
      <c r="Q183" s="41">
        <v>47111</v>
      </c>
      <c r="R183" s="41">
        <v>47349</v>
      </c>
      <c r="S183" s="41">
        <v>47613</v>
      </c>
      <c r="T183" s="41">
        <v>47901</v>
      </c>
      <c r="U183" s="41">
        <v>48152</v>
      </c>
      <c r="V183" s="41">
        <v>48413</v>
      </c>
      <c r="W183" s="41">
        <v>48684</v>
      </c>
      <c r="X183" s="41">
        <v>49044</v>
      </c>
      <c r="Y183" s="41">
        <v>49396</v>
      </c>
      <c r="Z183" s="41">
        <v>49740</v>
      </c>
      <c r="AA183" s="41">
        <v>50061</v>
      </c>
      <c r="AB183" s="41">
        <v>50408</v>
      </c>
      <c r="AC183" s="41">
        <v>50781</v>
      </c>
      <c r="AD183" s="41">
        <v>51141</v>
      </c>
      <c r="AE183" s="41">
        <v>51481</v>
      </c>
      <c r="AF183" s="41">
        <v>51821</v>
      </c>
      <c r="AG183" s="41">
        <v>52162</v>
      </c>
      <c r="AH183" s="41">
        <v>52487</v>
      </c>
      <c r="AI183" s="41">
        <v>52796</v>
      </c>
      <c r="AJ183" s="41">
        <v>53102</v>
      </c>
      <c r="AK183" s="41">
        <v>53403</v>
      </c>
      <c r="AL183" s="41">
        <v>53688</v>
      </c>
      <c r="AM183" s="41">
        <v>53962</v>
      </c>
      <c r="AN183" s="41">
        <v>54229</v>
      </c>
      <c r="AO183" s="41">
        <v>54506</v>
      </c>
      <c r="AP183" s="41">
        <v>54789</v>
      </c>
      <c r="AQ183" s="41">
        <v>55081</v>
      </c>
    </row>
    <row r="184" spans="1:43">
      <c r="A184" s="38" t="s">
        <v>484</v>
      </c>
      <c r="B184" s="38" t="s">
        <v>485</v>
      </c>
      <c r="C184" s="41">
        <v>79778</v>
      </c>
      <c r="D184" s="41">
        <v>80319</v>
      </c>
      <c r="E184" s="41">
        <v>81156</v>
      </c>
      <c r="F184" s="41">
        <v>81991</v>
      </c>
      <c r="G184" s="41">
        <v>82921</v>
      </c>
      <c r="H184" s="41">
        <v>83998</v>
      </c>
      <c r="I184" s="41">
        <v>85098</v>
      </c>
      <c r="J184" s="41">
        <v>85853</v>
      </c>
      <c r="K184" s="41">
        <v>86426</v>
      </c>
      <c r="L184" s="41">
        <v>87070</v>
      </c>
      <c r="M184" s="41">
        <v>88092</v>
      </c>
      <c r="N184" s="41">
        <v>88908</v>
      </c>
      <c r="O184" s="41">
        <v>89720</v>
      </c>
      <c r="P184" s="41">
        <v>90819</v>
      </c>
      <c r="Q184" s="41">
        <v>91741</v>
      </c>
      <c r="R184" s="41">
        <v>92672</v>
      </c>
      <c r="S184" s="41">
        <v>93682</v>
      </c>
      <c r="T184" s="41">
        <v>94666</v>
      </c>
      <c r="U184" s="41">
        <v>95710</v>
      </c>
      <c r="V184" s="41">
        <v>96708</v>
      </c>
      <c r="W184" s="41">
        <v>97687</v>
      </c>
      <c r="X184" s="41">
        <v>98679</v>
      </c>
      <c r="Y184" s="41">
        <v>99622</v>
      </c>
      <c r="Z184" s="41">
        <v>100598</v>
      </c>
      <c r="AA184" s="41">
        <v>101506</v>
      </c>
      <c r="AB184" s="41">
        <v>102434</v>
      </c>
      <c r="AC184" s="41">
        <v>103374</v>
      </c>
      <c r="AD184" s="41">
        <v>104296</v>
      </c>
      <c r="AE184" s="41">
        <v>105180</v>
      </c>
      <c r="AF184" s="41">
        <v>106024</v>
      </c>
      <c r="AG184" s="41">
        <v>106894</v>
      </c>
      <c r="AH184" s="41">
        <v>107718</v>
      </c>
      <c r="AI184" s="41">
        <v>108570</v>
      </c>
      <c r="AJ184" s="41">
        <v>109381</v>
      </c>
      <c r="AK184" s="41">
        <v>110170</v>
      </c>
      <c r="AL184" s="41">
        <v>110980</v>
      </c>
      <c r="AM184" s="41">
        <v>111760</v>
      </c>
      <c r="AN184" s="41">
        <v>112559</v>
      </c>
      <c r="AO184" s="41">
        <v>113347</v>
      </c>
      <c r="AP184" s="41">
        <v>114134</v>
      </c>
      <c r="AQ184" s="41">
        <v>114941</v>
      </c>
    </row>
    <row r="185" spans="1:43">
      <c r="A185" s="38" t="s">
        <v>486</v>
      </c>
      <c r="B185" s="38" t="s">
        <v>487</v>
      </c>
      <c r="C185" s="41">
        <v>84361</v>
      </c>
      <c r="D185" s="41">
        <v>84889</v>
      </c>
      <c r="E185" s="41">
        <v>85230</v>
      </c>
      <c r="F185" s="41">
        <v>85477</v>
      </c>
      <c r="G185" s="41">
        <v>86169</v>
      </c>
      <c r="H185" s="41">
        <v>86842</v>
      </c>
      <c r="I185" s="41">
        <v>87524</v>
      </c>
      <c r="J185" s="41">
        <v>88291</v>
      </c>
      <c r="K185" s="41">
        <v>88910</v>
      </c>
      <c r="L185" s="41">
        <v>89726</v>
      </c>
      <c r="M185" s="41">
        <v>90882</v>
      </c>
      <c r="N185" s="41">
        <v>91349</v>
      </c>
      <c r="O185" s="41">
        <v>91770</v>
      </c>
      <c r="P185" s="41">
        <v>92342</v>
      </c>
      <c r="Q185" s="41">
        <v>92471</v>
      </c>
      <c r="R185" s="41">
        <v>93022</v>
      </c>
      <c r="S185" s="41">
        <v>93487</v>
      </c>
      <c r="T185" s="41">
        <v>93969</v>
      </c>
      <c r="U185" s="41">
        <v>94388</v>
      </c>
      <c r="V185" s="41">
        <v>94786</v>
      </c>
      <c r="W185" s="41">
        <v>95228</v>
      </c>
      <c r="X185" s="41">
        <v>95668</v>
      </c>
      <c r="Y185" s="41">
        <v>96099</v>
      </c>
      <c r="Z185" s="41">
        <v>96521</v>
      </c>
      <c r="AA185" s="41">
        <v>96920</v>
      </c>
      <c r="AB185" s="41">
        <v>97360</v>
      </c>
      <c r="AC185" s="41">
        <v>97791</v>
      </c>
      <c r="AD185" s="41">
        <v>98236</v>
      </c>
      <c r="AE185" s="41">
        <v>98638</v>
      </c>
      <c r="AF185" s="41">
        <v>99030</v>
      </c>
      <c r="AG185" s="41">
        <v>99449</v>
      </c>
      <c r="AH185" s="41">
        <v>99833</v>
      </c>
      <c r="AI185" s="41">
        <v>100261</v>
      </c>
      <c r="AJ185" s="41">
        <v>100649</v>
      </c>
      <c r="AK185" s="41">
        <v>101013</v>
      </c>
      <c r="AL185" s="41">
        <v>101369</v>
      </c>
      <c r="AM185" s="41">
        <v>101672</v>
      </c>
      <c r="AN185" s="41">
        <v>102003</v>
      </c>
      <c r="AO185" s="41">
        <v>102305</v>
      </c>
      <c r="AP185" s="41">
        <v>102580</v>
      </c>
      <c r="AQ185" s="41">
        <v>102877</v>
      </c>
    </row>
    <row r="186" spans="1:43">
      <c r="A186" s="38" t="s">
        <v>488</v>
      </c>
      <c r="B186" s="38" t="s">
        <v>489</v>
      </c>
      <c r="C186" s="41">
        <v>24941</v>
      </c>
      <c r="D186" s="41">
        <v>25073</v>
      </c>
      <c r="E186" s="41">
        <v>25136</v>
      </c>
      <c r="F186" s="41">
        <v>25271</v>
      </c>
      <c r="G186" s="41">
        <v>25375</v>
      </c>
      <c r="H186" s="41">
        <v>25455</v>
      </c>
      <c r="I186" s="41">
        <v>25485</v>
      </c>
      <c r="J186" s="41">
        <v>25634</v>
      </c>
      <c r="K186" s="41">
        <v>25736</v>
      </c>
      <c r="L186" s="41">
        <v>25769</v>
      </c>
      <c r="M186" s="41">
        <v>25775</v>
      </c>
      <c r="N186" s="41">
        <v>25911</v>
      </c>
      <c r="O186" s="41">
        <v>25956</v>
      </c>
      <c r="P186" s="41">
        <v>26174</v>
      </c>
      <c r="Q186" s="41">
        <v>26356</v>
      </c>
      <c r="R186" s="41">
        <v>26590</v>
      </c>
      <c r="S186" s="41">
        <v>26758</v>
      </c>
      <c r="T186" s="41">
        <v>26924</v>
      </c>
      <c r="U186" s="41">
        <v>27072</v>
      </c>
      <c r="V186" s="41">
        <v>27213</v>
      </c>
      <c r="W186" s="41">
        <v>27352</v>
      </c>
      <c r="X186" s="41">
        <v>27529</v>
      </c>
      <c r="Y186" s="41">
        <v>27690</v>
      </c>
      <c r="Z186" s="41">
        <v>27844</v>
      </c>
      <c r="AA186" s="41">
        <v>27990</v>
      </c>
      <c r="AB186" s="41">
        <v>28126</v>
      </c>
      <c r="AC186" s="41">
        <v>28282</v>
      </c>
      <c r="AD186" s="41">
        <v>28419</v>
      </c>
      <c r="AE186" s="41">
        <v>28556</v>
      </c>
      <c r="AF186" s="41">
        <v>28681</v>
      </c>
      <c r="AG186" s="41">
        <v>28811</v>
      </c>
      <c r="AH186" s="41">
        <v>28947</v>
      </c>
      <c r="AI186" s="41">
        <v>29074</v>
      </c>
      <c r="AJ186" s="41">
        <v>29203</v>
      </c>
      <c r="AK186" s="41">
        <v>29335</v>
      </c>
      <c r="AL186" s="41">
        <v>29475</v>
      </c>
      <c r="AM186" s="41">
        <v>29614</v>
      </c>
      <c r="AN186" s="41">
        <v>29750</v>
      </c>
      <c r="AO186" s="41">
        <v>29883</v>
      </c>
      <c r="AP186" s="41">
        <v>30022</v>
      </c>
      <c r="AQ186" s="41">
        <v>30165</v>
      </c>
    </row>
    <row r="187" spans="1:43">
      <c r="A187" s="38" t="s">
        <v>490</v>
      </c>
      <c r="B187" s="38" t="s">
        <v>491</v>
      </c>
      <c r="C187" s="41">
        <v>35264</v>
      </c>
      <c r="D187" s="41">
        <v>35783</v>
      </c>
      <c r="E187" s="41">
        <v>36211</v>
      </c>
      <c r="F187" s="41">
        <v>36584</v>
      </c>
      <c r="G187" s="41">
        <v>36933</v>
      </c>
      <c r="H187" s="41">
        <v>37377</v>
      </c>
      <c r="I187" s="41">
        <v>37791</v>
      </c>
      <c r="J187" s="41">
        <v>38172</v>
      </c>
      <c r="K187" s="41">
        <v>38448</v>
      </c>
      <c r="L187" s="41">
        <v>38692</v>
      </c>
      <c r="M187" s="41">
        <v>39071</v>
      </c>
      <c r="N187" s="41">
        <v>39238</v>
      </c>
      <c r="O187" s="41">
        <v>39557</v>
      </c>
      <c r="P187" s="41">
        <v>40048</v>
      </c>
      <c r="Q187" s="41">
        <v>40712</v>
      </c>
      <c r="R187" s="41">
        <v>41359</v>
      </c>
      <c r="S187" s="41">
        <v>41811</v>
      </c>
      <c r="T187" s="41">
        <v>42279</v>
      </c>
      <c r="U187" s="41">
        <v>42736</v>
      </c>
      <c r="V187" s="41">
        <v>43207</v>
      </c>
      <c r="W187" s="41">
        <v>43641</v>
      </c>
      <c r="X187" s="41">
        <v>44106</v>
      </c>
      <c r="Y187" s="41">
        <v>44560</v>
      </c>
      <c r="Z187" s="41">
        <v>45016</v>
      </c>
      <c r="AA187" s="41">
        <v>45448</v>
      </c>
      <c r="AB187" s="41">
        <v>45859</v>
      </c>
      <c r="AC187" s="41">
        <v>46271</v>
      </c>
      <c r="AD187" s="41">
        <v>46671</v>
      </c>
      <c r="AE187" s="41">
        <v>47062</v>
      </c>
      <c r="AF187" s="41">
        <v>47442</v>
      </c>
      <c r="AG187" s="41">
        <v>47820</v>
      </c>
      <c r="AH187" s="41">
        <v>48195</v>
      </c>
      <c r="AI187" s="41">
        <v>48544</v>
      </c>
      <c r="AJ187" s="41">
        <v>48888</v>
      </c>
      <c r="AK187" s="41">
        <v>49223</v>
      </c>
      <c r="AL187" s="41">
        <v>49573</v>
      </c>
      <c r="AM187" s="41">
        <v>49914</v>
      </c>
      <c r="AN187" s="41">
        <v>50247</v>
      </c>
      <c r="AO187" s="41">
        <v>50574</v>
      </c>
      <c r="AP187" s="41">
        <v>50896</v>
      </c>
      <c r="AQ187" s="41">
        <v>51243</v>
      </c>
    </row>
    <row r="188" spans="1:43">
      <c r="A188" s="38" t="s">
        <v>492</v>
      </c>
      <c r="B188" s="38" t="s">
        <v>493</v>
      </c>
      <c r="C188" s="41">
        <v>79937</v>
      </c>
      <c r="D188" s="41">
        <v>80135</v>
      </c>
      <c r="E188" s="41">
        <v>80403</v>
      </c>
      <c r="F188" s="41">
        <v>80436</v>
      </c>
      <c r="G188" s="41">
        <v>81624</v>
      </c>
      <c r="H188" s="41">
        <v>83076</v>
      </c>
      <c r="I188" s="41">
        <v>84150</v>
      </c>
      <c r="J188" s="41">
        <v>85245</v>
      </c>
      <c r="K188" s="41">
        <v>86208</v>
      </c>
      <c r="L188" s="41">
        <v>86979</v>
      </c>
      <c r="M188" s="41">
        <v>88098</v>
      </c>
      <c r="N188" s="41">
        <v>88739</v>
      </c>
      <c r="O188" s="41">
        <v>89455</v>
      </c>
      <c r="P188" s="41">
        <v>90628</v>
      </c>
      <c r="Q188" s="41">
        <v>91822</v>
      </c>
      <c r="R188" s="41">
        <v>93028</v>
      </c>
      <c r="S188" s="41">
        <v>93943</v>
      </c>
      <c r="T188" s="41">
        <v>94903</v>
      </c>
      <c r="U188" s="41">
        <v>95816</v>
      </c>
      <c r="V188" s="41">
        <v>96690</v>
      </c>
      <c r="W188" s="41">
        <v>97508</v>
      </c>
      <c r="X188" s="41">
        <v>98407</v>
      </c>
      <c r="Y188" s="41">
        <v>99274</v>
      </c>
      <c r="Z188" s="41">
        <v>100156</v>
      </c>
      <c r="AA188" s="41">
        <v>101005</v>
      </c>
      <c r="AB188" s="41">
        <v>101869</v>
      </c>
      <c r="AC188" s="41">
        <v>102735</v>
      </c>
      <c r="AD188" s="41">
        <v>103607</v>
      </c>
      <c r="AE188" s="41">
        <v>104435</v>
      </c>
      <c r="AF188" s="41">
        <v>105242</v>
      </c>
      <c r="AG188" s="41">
        <v>106069</v>
      </c>
      <c r="AH188" s="41">
        <v>106899</v>
      </c>
      <c r="AI188" s="41">
        <v>107719</v>
      </c>
      <c r="AJ188" s="41">
        <v>108484</v>
      </c>
      <c r="AK188" s="41">
        <v>109248</v>
      </c>
      <c r="AL188" s="41">
        <v>110013</v>
      </c>
      <c r="AM188" s="41">
        <v>110738</v>
      </c>
      <c r="AN188" s="41">
        <v>111472</v>
      </c>
      <c r="AO188" s="41">
        <v>112168</v>
      </c>
      <c r="AP188" s="41">
        <v>112843</v>
      </c>
      <c r="AQ188" s="41">
        <v>113528</v>
      </c>
    </row>
    <row r="189" spans="1:43">
      <c r="A189" s="38" t="s">
        <v>494</v>
      </c>
      <c r="B189" s="38" t="s">
        <v>495</v>
      </c>
      <c r="C189" s="41">
        <v>130264</v>
      </c>
      <c r="D189" s="41">
        <v>131156</v>
      </c>
      <c r="E189" s="41">
        <v>131980</v>
      </c>
      <c r="F189" s="41">
        <v>132633</v>
      </c>
      <c r="G189" s="41">
        <v>133329</v>
      </c>
      <c r="H189" s="41">
        <v>133908</v>
      </c>
      <c r="I189" s="41">
        <v>134951</v>
      </c>
      <c r="J189" s="41">
        <v>135780</v>
      </c>
      <c r="K189" s="41">
        <v>136373</v>
      </c>
      <c r="L189" s="41">
        <v>137112</v>
      </c>
      <c r="M189" s="41">
        <v>138226</v>
      </c>
      <c r="N189" s="41">
        <v>138690</v>
      </c>
      <c r="O189" s="41">
        <v>139060</v>
      </c>
      <c r="P189" s="41">
        <v>139789</v>
      </c>
      <c r="Q189" s="41">
        <v>140220</v>
      </c>
      <c r="R189" s="41">
        <v>141117</v>
      </c>
      <c r="S189" s="41">
        <v>141671</v>
      </c>
      <c r="T189" s="41">
        <v>142250</v>
      </c>
      <c r="U189" s="41">
        <v>142758</v>
      </c>
      <c r="V189" s="41">
        <v>143244</v>
      </c>
      <c r="W189" s="41">
        <v>143717</v>
      </c>
      <c r="X189" s="41">
        <v>144296</v>
      </c>
      <c r="Y189" s="41">
        <v>144801</v>
      </c>
      <c r="Z189" s="41">
        <v>145291</v>
      </c>
      <c r="AA189" s="41">
        <v>145733</v>
      </c>
      <c r="AB189" s="41">
        <v>146195</v>
      </c>
      <c r="AC189" s="41">
        <v>146653</v>
      </c>
      <c r="AD189" s="41">
        <v>147105</v>
      </c>
      <c r="AE189" s="41">
        <v>147495</v>
      </c>
      <c r="AF189" s="41">
        <v>147871</v>
      </c>
      <c r="AG189" s="41">
        <v>148215</v>
      </c>
      <c r="AH189" s="41">
        <v>148517</v>
      </c>
      <c r="AI189" s="41">
        <v>148813</v>
      </c>
      <c r="AJ189" s="41">
        <v>149079</v>
      </c>
      <c r="AK189" s="41">
        <v>149317</v>
      </c>
      <c r="AL189" s="41">
        <v>149544</v>
      </c>
      <c r="AM189" s="41">
        <v>149691</v>
      </c>
      <c r="AN189" s="41">
        <v>149849</v>
      </c>
      <c r="AO189" s="41">
        <v>149969</v>
      </c>
      <c r="AP189" s="41">
        <v>150058</v>
      </c>
      <c r="AQ189" s="41">
        <v>150164</v>
      </c>
    </row>
    <row r="190" spans="1:43">
      <c r="A190" s="38" t="s">
        <v>496</v>
      </c>
      <c r="B190" s="38" t="s">
        <v>497</v>
      </c>
      <c r="C190" s="41">
        <v>54471</v>
      </c>
      <c r="D190" s="41">
        <v>54730</v>
      </c>
      <c r="E190" s="41">
        <v>55173</v>
      </c>
      <c r="F190" s="41">
        <v>55575</v>
      </c>
      <c r="G190" s="41">
        <v>56521</v>
      </c>
      <c r="H190" s="41">
        <v>57008</v>
      </c>
      <c r="I190" s="41">
        <v>57118</v>
      </c>
      <c r="J190" s="41">
        <v>57527</v>
      </c>
      <c r="K190" s="41">
        <v>57980</v>
      </c>
      <c r="L190" s="41">
        <v>58865</v>
      </c>
      <c r="M190" s="41">
        <v>59583</v>
      </c>
      <c r="N190" s="41">
        <v>60070</v>
      </c>
      <c r="O190" s="41">
        <v>60507</v>
      </c>
      <c r="P190" s="41">
        <v>61115</v>
      </c>
      <c r="Q190" s="41">
        <v>61738</v>
      </c>
      <c r="R190" s="41">
        <v>62185</v>
      </c>
      <c r="S190" s="41">
        <v>62663</v>
      </c>
      <c r="T190" s="41">
        <v>63145</v>
      </c>
      <c r="U190" s="41">
        <v>63561</v>
      </c>
      <c r="V190" s="41">
        <v>63850</v>
      </c>
      <c r="W190" s="41">
        <v>64132</v>
      </c>
      <c r="X190" s="41">
        <v>64462</v>
      </c>
      <c r="Y190" s="41">
        <v>64778</v>
      </c>
      <c r="Z190" s="41">
        <v>65122</v>
      </c>
      <c r="AA190" s="41">
        <v>65456</v>
      </c>
      <c r="AB190" s="41">
        <v>65791</v>
      </c>
      <c r="AC190" s="41">
        <v>66196</v>
      </c>
      <c r="AD190" s="41">
        <v>66594</v>
      </c>
      <c r="AE190" s="41">
        <v>66977</v>
      </c>
      <c r="AF190" s="41">
        <v>67345</v>
      </c>
      <c r="AG190" s="41">
        <v>67724</v>
      </c>
      <c r="AH190" s="41">
        <v>68138</v>
      </c>
      <c r="AI190" s="41">
        <v>68521</v>
      </c>
      <c r="AJ190" s="41">
        <v>68870</v>
      </c>
      <c r="AK190" s="41">
        <v>69216</v>
      </c>
      <c r="AL190" s="41">
        <v>69581</v>
      </c>
      <c r="AM190" s="41">
        <v>69931</v>
      </c>
      <c r="AN190" s="41">
        <v>70289</v>
      </c>
      <c r="AO190" s="41">
        <v>70626</v>
      </c>
      <c r="AP190" s="41">
        <v>70958</v>
      </c>
      <c r="AQ190" s="41">
        <v>71281</v>
      </c>
    </row>
    <row r="191" spans="1:43">
      <c r="A191" s="38" t="s">
        <v>498</v>
      </c>
      <c r="B191" s="38" t="s">
        <v>499</v>
      </c>
      <c r="C191" s="41">
        <v>115985</v>
      </c>
      <c r="D191" s="41">
        <v>116728</v>
      </c>
      <c r="E191" s="41">
        <v>117728</v>
      </c>
      <c r="F191" s="41">
        <v>118878</v>
      </c>
      <c r="G191" s="41">
        <v>120853</v>
      </c>
      <c r="H191" s="41">
        <v>121234</v>
      </c>
      <c r="I191" s="41">
        <v>121583</v>
      </c>
      <c r="J191" s="41">
        <v>122200</v>
      </c>
      <c r="K191" s="41">
        <v>123055</v>
      </c>
      <c r="L191" s="41">
        <v>124319</v>
      </c>
      <c r="M191" s="41">
        <v>124213</v>
      </c>
      <c r="N191" s="41">
        <v>124736</v>
      </c>
      <c r="O191" s="41">
        <v>125135</v>
      </c>
      <c r="P191" s="41">
        <v>125982</v>
      </c>
      <c r="Q191" s="41">
        <v>126985</v>
      </c>
      <c r="R191" s="41">
        <v>128543</v>
      </c>
      <c r="S191" s="41">
        <v>128814</v>
      </c>
      <c r="T191" s="41">
        <v>129213</v>
      </c>
      <c r="U191" s="41">
        <v>129519</v>
      </c>
      <c r="V191" s="41">
        <v>129665</v>
      </c>
      <c r="W191" s="41">
        <v>129734</v>
      </c>
      <c r="X191" s="41">
        <v>130206</v>
      </c>
      <c r="Y191" s="41">
        <v>130765</v>
      </c>
      <c r="Z191" s="41">
        <v>131433</v>
      </c>
      <c r="AA191" s="41">
        <v>132136</v>
      </c>
      <c r="AB191" s="41">
        <v>132916</v>
      </c>
      <c r="AC191" s="41">
        <v>133744</v>
      </c>
      <c r="AD191" s="41">
        <v>134639</v>
      </c>
      <c r="AE191" s="41">
        <v>135489</v>
      </c>
      <c r="AF191" s="41">
        <v>136334</v>
      </c>
      <c r="AG191" s="41">
        <v>137234</v>
      </c>
      <c r="AH191" s="41">
        <v>138164</v>
      </c>
      <c r="AI191" s="41">
        <v>139019</v>
      </c>
      <c r="AJ191" s="41">
        <v>139786</v>
      </c>
      <c r="AK191" s="41">
        <v>140526</v>
      </c>
      <c r="AL191" s="41">
        <v>141321</v>
      </c>
      <c r="AM191" s="41">
        <v>142059</v>
      </c>
      <c r="AN191" s="41">
        <v>142807</v>
      </c>
      <c r="AO191" s="41">
        <v>143520</v>
      </c>
      <c r="AP191" s="41">
        <v>144209</v>
      </c>
      <c r="AQ191" s="41">
        <v>144911</v>
      </c>
    </row>
    <row r="192" spans="1:43">
      <c r="A192" s="38" t="s">
        <v>500</v>
      </c>
      <c r="B192" s="38" t="s">
        <v>501</v>
      </c>
      <c r="C192" s="41">
        <v>48329</v>
      </c>
      <c r="D192" s="41">
        <v>48634</v>
      </c>
      <c r="E192" s="41">
        <v>49133</v>
      </c>
      <c r="F192" s="41">
        <v>49373</v>
      </c>
      <c r="G192" s="41">
        <v>49657</v>
      </c>
      <c r="H192" s="41">
        <v>50044</v>
      </c>
      <c r="I192" s="41">
        <v>50592</v>
      </c>
      <c r="J192" s="41">
        <v>51213</v>
      </c>
      <c r="K192" s="41">
        <v>51579</v>
      </c>
      <c r="L192" s="41">
        <v>51983</v>
      </c>
      <c r="M192" s="41">
        <v>52475</v>
      </c>
      <c r="N192" s="41">
        <v>52801</v>
      </c>
      <c r="O192" s="41">
        <v>53022</v>
      </c>
      <c r="P192" s="41">
        <v>53301</v>
      </c>
      <c r="Q192" s="41">
        <v>53478</v>
      </c>
      <c r="R192" s="41">
        <v>54072</v>
      </c>
      <c r="S192" s="41">
        <v>54372</v>
      </c>
      <c r="T192" s="41">
        <v>54691</v>
      </c>
      <c r="U192" s="41">
        <v>55024</v>
      </c>
      <c r="V192" s="41">
        <v>55370</v>
      </c>
      <c r="W192" s="41">
        <v>55706</v>
      </c>
      <c r="X192" s="41">
        <v>56026</v>
      </c>
      <c r="Y192" s="41">
        <v>56347</v>
      </c>
      <c r="Z192" s="41">
        <v>56682</v>
      </c>
      <c r="AA192" s="41">
        <v>57008</v>
      </c>
      <c r="AB192" s="41">
        <v>57331</v>
      </c>
      <c r="AC192" s="41">
        <v>57655</v>
      </c>
      <c r="AD192" s="41">
        <v>57976</v>
      </c>
      <c r="AE192" s="41">
        <v>58290</v>
      </c>
      <c r="AF192" s="41">
        <v>58608</v>
      </c>
      <c r="AG192" s="41">
        <v>58936</v>
      </c>
      <c r="AH192" s="41">
        <v>59262</v>
      </c>
      <c r="AI192" s="41">
        <v>59582</v>
      </c>
      <c r="AJ192" s="41">
        <v>59890</v>
      </c>
      <c r="AK192" s="41">
        <v>60193</v>
      </c>
      <c r="AL192" s="41">
        <v>60539</v>
      </c>
      <c r="AM192" s="41">
        <v>60864</v>
      </c>
      <c r="AN192" s="41">
        <v>61192</v>
      </c>
      <c r="AO192" s="41">
        <v>61522</v>
      </c>
      <c r="AP192" s="41">
        <v>61842</v>
      </c>
      <c r="AQ192" s="41">
        <v>62194</v>
      </c>
    </row>
    <row r="193" spans="1:43">
      <c r="A193" s="38" t="s">
        <v>502</v>
      </c>
      <c r="B193" s="38" t="s">
        <v>503</v>
      </c>
      <c r="C193" s="41">
        <v>21825</v>
      </c>
      <c r="D193" s="41">
        <v>21703</v>
      </c>
      <c r="E193" s="41">
        <v>21650</v>
      </c>
      <c r="F193" s="41">
        <v>21604</v>
      </c>
      <c r="G193" s="41">
        <v>21516</v>
      </c>
      <c r="H193" s="41">
        <v>21518</v>
      </c>
      <c r="I193" s="41">
        <v>21482</v>
      </c>
      <c r="J193" s="41">
        <v>21373</v>
      </c>
      <c r="K193" s="41">
        <v>21239</v>
      </c>
      <c r="L193" s="41">
        <v>21143</v>
      </c>
      <c r="M193" s="41">
        <v>21288</v>
      </c>
      <c r="N193" s="41">
        <v>21274</v>
      </c>
      <c r="O193" s="41">
        <v>21273</v>
      </c>
      <c r="P193" s="41">
        <v>21228</v>
      </c>
      <c r="Q193" s="41">
        <v>21077</v>
      </c>
      <c r="R193" s="41">
        <v>21104</v>
      </c>
      <c r="S193" s="41">
        <v>21013</v>
      </c>
      <c r="T193" s="41">
        <v>21004</v>
      </c>
      <c r="U193" s="41">
        <v>20979</v>
      </c>
      <c r="V193" s="41">
        <v>20939</v>
      </c>
      <c r="W193" s="41">
        <v>20892</v>
      </c>
      <c r="X193" s="41">
        <v>20960</v>
      </c>
      <c r="Y193" s="41">
        <v>21051</v>
      </c>
      <c r="Z193" s="41">
        <v>21134</v>
      </c>
      <c r="AA193" s="41">
        <v>21213</v>
      </c>
      <c r="AB193" s="41">
        <v>21284</v>
      </c>
      <c r="AC193" s="41">
        <v>21382</v>
      </c>
      <c r="AD193" s="41">
        <v>21486</v>
      </c>
      <c r="AE193" s="41">
        <v>21592</v>
      </c>
      <c r="AF193" s="41">
        <v>21695</v>
      </c>
      <c r="AG193" s="41">
        <v>21797</v>
      </c>
      <c r="AH193" s="41">
        <v>21901</v>
      </c>
      <c r="AI193" s="41">
        <v>22020</v>
      </c>
      <c r="AJ193" s="41">
        <v>22118</v>
      </c>
      <c r="AK193" s="41">
        <v>22228</v>
      </c>
      <c r="AL193" s="41">
        <v>22343</v>
      </c>
      <c r="AM193" s="41">
        <v>22454</v>
      </c>
      <c r="AN193" s="41">
        <v>22577</v>
      </c>
      <c r="AO193" s="41">
        <v>22687</v>
      </c>
      <c r="AP193" s="41">
        <v>22791</v>
      </c>
      <c r="AQ193" s="41">
        <v>22910</v>
      </c>
    </row>
    <row r="194" spans="1:43">
      <c r="A194" s="38" t="s">
        <v>504</v>
      </c>
      <c r="B194" s="38" t="s">
        <v>505</v>
      </c>
      <c r="C194" s="41">
        <v>87853</v>
      </c>
      <c r="D194" s="41">
        <v>87677</v>
      </c>
      <c r="E194" s="41">
        <v>87514</v>
      </c>
      <c r="F194" s="41">
        <v>87550</v>
      </c>
      <c r="G194" s="41">
        <v>87528</v>
      </c>
      <c r="H194" s="41">
        <v>87606</v>
      </c>
      <c r="I194" s="41">
        <v>87704</v>
      </c>
      <c r="J194" s="41">
        <v>87923</v>
      </c>
      <c r="K194" s="41">
        <v>88278</v>
      </c>
      <c r="L194" s="41">
        <v>88662</v>
      </c>
      <c r="M194" s="41">
        <v>89280</v>
      </c>
      <c r="N194" s="41">
        <v>89528</v>
      </c>
      <c r="O194" s="41">
        <v>89950</v>
      </c>
      <c r="P194" s="41">
        <v>90361</v>
      </c>
      <c r="Q194" s="41">
        <v>90985</v>
      </c>
      <c r="R194" s="41">
        <v>91735</v>
      </c>
      <c r="S194" s="41">
        <v>92300</v>
      </c>
      <c r="T194" s="41">
        <v>92888</v>
      </c>
      <c r="U194" s="41">
        <v>93427</v>
      </c>
      <c r="V194" s="41">
        <v>93958</v>
      </c>
      <c r="W194" s="41">
        <v>94408</v>
      </c>
      <c r="X194" s="41">
        <v>95021</v>
      </c>
      <c r="Y194" s="41">
        <v>95601</v>
      </c>
      <c r="Z194" s="41">
        <v>96142</v>
      </c>
      <c r="AA194" s="41">
        <v>96681</v>
      </c>
      <c r="AB194" s="41">
        <v>97185</v>
      </c>
      <c r="AC194" s="41">
        <v>97737</v>
      </c>
      <c r="AD194" s="41">
        <v>98284</v>
      </c>
      <c r="AE194" s="41">
        <v>98784</v>
      </c>
      <c r="AF194" s="41">
        <v>99306</v>
      </c>
      <c r="AG194" s="41">
        <v>99820</v>
      </c>
      <c r="AH194" s="41">
        <v>100347</v>
      </c>
      <c r="AI194" s="41">
        <v>100862</v>
      </c>
      <c r="AJ194" s="41">
        <v>101377</v>
      </c>
      <c r="AK194" s="41">
        <v>101895</v>
      </c>
      <c r="AL194" s="41">
        <v>102423</v>
      </c>
      <c r="AM194" s="41">
        <v>102924</v>
      </c>
      <c r="AN194" s="41">
        <v>103430</v>
      </c>
      <c r="AO194" s="41">
        <v>103937</v>
      </c>
      <c r="AP194" s="41">
        <v>104439</v>
      </c>
      <c r="AQ194" s="41">
        <v>104935</v>
      </c>
    </row>
    <row r="195" spans="1:43">
      <c r="A195" s="38" t="s">
        <v>506</v>
      </c>
      <c r="B195" s="38" t="s">
        <v>507</v>
      </c>
      <c r="C195" s="41">
        <v>51820</v>
      </c>
      <c r="D195" s="41">
        <v>52006</v>
      </c>
      <c r="E195" s="41">
        <v>52998</v>
      </c>
      <c r="F195" s="41">
        <v>53153</v>
      </c>
      <c r="G195" s="41">
        <v>54452</v>
      </c>
      <c r="H195" s="41">
        <v>54081</v>
      </c>
      <c r="I195" s="41">
        <v>53868</v>
      </c>
      <c r="J195" s="41">
        <v>53896</v>
      </c>
      <c r="K195" s="41">
        <v>54365</v>
      </c>
      <c r="L195" s="41">
        <v>55003</v>
      </c>
      <c r="M195" s="41">
        <v>54559</v>
      </c>
      <c r="N195" s="41">
        <v>54771</v>
      </c>
      <c r="O195" s="41">
        <v>54985</v>
      </c>
      <c r="P195" s="41">
        <v>55521</v>
      </c>
      <c r="Q195" s="41">
        <v>55407</v>
      </c>
      <c r="R195" s="41">
        <v>55337</v>
      </c>
      <c r="S195" s="41">
        <v>55141</v>
      </c>
      <c r="T195" s="41">
        <v>55077</v>
      </c>
      <c r="U195" s="41">
        <v>55020</v>
      </c>
      <c r="V195" s="41">
        <v>54968</v>
      </c>
      <c r="W195" s="41">
        <v>54869</v>
      </c>
      <c r="X195" s="41">
        <v>54886</v>
      </c>
      <c r="Y195" s="41">
        <v>54944</v>
      </c>
      <c r="Z195" s="41">
        <v>55039</v>
      </c>
      <c r="AA195" s="41">
        <v>55173</v>
      </c>
      <c r="AB195" s="41">
        <v>55341</v>
      </c>
      <c r="AC195" s="41">
        <v>55536</v>
      </c>
      <c r="AD195" s="41">
        <v>55747</v>
      </c>
      <c r="AE195" s="41">
        <v>55930</v>
      </c>
      <c r="AF195" s="41">
        <v>56126</v>
      </c>
      <c r="AG195" s="41">
        <v>56348</v>
      </c>
      <c r="AH195" s="41">
        <v>56569</v>
      </c>
      <c r="AI195" s="41">
        <v>56746</v>
      </c>
      <c r="AJ195" s="41">
        <v>56910</v>
      </c>
      <c r="AK195" s="41">
        <v>57066</v>
      </c>
      <c r="AL195" s="41">
        <v>57241</v>
      </c>
      <c r="AM195" s="41">
        <v>57416</v>
      </c>
      <c r="AN195" s="41">
        <v>57598</v>
      </c>
      <c r="AO195" s="41">
        <v>57757</v>
      </c>
      <c r="AP195" s="41">
        <v>57931</v>
      </c>
      <c r="AQ195" s="41">
        <v>58098</v>
      </c>
    </row>
    <row r="196" spans="1:43">
      <c r="A196" s="38" t="s">
        <v>508</v>
      </c>
      <c r="B196" s="38" t="s">
        <v>509</v>
      </c>
      <c r="C196" s="41">
        <v>35704</v>
      </c>
      <c r="D196" s="41">
        <v>35694</v>
      </c>
      <c r="E196" s="41">
        <v>35725</v>
      </c>
      <c r="F196" s="41">
        <v>35778</v>
      </c>
      <c r="G196" s="41">
        <v>35933</v>
      </c>
      <c r="H196" s="41">
        <v>36227</v>
      </c>
      <c r="I196" s="41">
        <v>36360</v>
      </c>
      <c r="J196" s="41">
        <v>36553</v>
      </c>
      <c r="K196" s="41">
        <v>36721</v>
      </c>
      <c r="L196" s="41">
        <v>36834</v>
      </c>
      <c r="M196" s="41">
        <v>37184</v>
      </c>
      <c r="N196" s="41">
        <v>37277</v>
      </c>
      <c r="O196" s="41">
        <v>37479</v>
      </c>
      <c r="P196" s="41">
        <v>37460</v>
      </c>
      <c r="Q196" s="41">
        <v>37625</v>
      </c>
      <c r="R196" s="41">
        <v>37919</v>
      </c>
      <c r="S196" s="41">
        <v>38058</v>
      </c>
      <c r="T196" s="41">
        <v>38155</v>
      </c>
      <c r="U196" s="41">
        <v>38254</v>
      </c>
      <c r="V196" s="41">
        <v>38345</v>
      </c>
      <c r="W196" s="41">
        <v>38461</v>
      </c>
      <c r="X196" s="41">
        <v>38573</v>
      </c>
      <c r="Y196" s="41">
        <v>38639</v>
      </c>
      <c r="Z196" s="41">
        <v>38722</v>
      </c>
      <c r="AA196" s="41">
        <v>38794</v>
      </c>
      <c r="AB196" s="41">
        <v>38872</v>
      </c>
      <c r="AC196" s="41">
        <v>38955</v>
      </c>
      <c r="AD196" s="41">
        <v>39034</v>
      </c>
      <c r="AE196" s="41">
        <v>39099</v>
      </c>
      <c r="AF196" s="41">
        <v>39159</v>
      </c>
      <c r="AG196" s="41">
        <v>39234</v>
      </c>
      <c r="AH196" s="41">
        <v>39302</v>
      </c>
      <c r="AI196" s="41">
        <v>39366</v>
      </c>
      <c r="AJ196" s="41">
        <v>39405</v>
      </c>
      <c r="AK196" s="41">
        <v>39455</v>
      </c>
      <c r="AL196" s="41">
        <v>39505</v>
      </c>
      <c r="AM196" s="41">
        <v>39550</v>
      </c>
      <c r="AN196" s="41">
        <v>39592</v>
      </c>
      <c r="AO196" s="41">
        <v>39622</v>
      </c>
      <c r="AP196" s="41">
        <v>39656</v>
      </c>
      <c r="AQ196" s="41">
        <v>39689</v>
      </c>
    </row>
    <row r="197" spans="1:43">
      <c r="A197" s="38" t="s">
        <v>510</v>
      </c>
      <c r="B197" s="38" t="s">
        <v>511</v>
      </c>
      <c r="C197" s="41">
        <v>65460</v>
      </c>
      <c r="D197" s="41">
        <v>65950</v>
      </c>
      <c r="E197" s="41">
        <v>66583</v>
      </c>
      <c r="F197" s="41">
        <v>67279</v>
      </c>
      <c r="G197" s="41">
        <v>68550</v>
      </c>
      <c r="H197" s="41">
        <v>69357</v>
      </c>
      <c r="I197" s="41">
        <v>69982</v>
      </c>
      <c r="J197" s="41">
        <v>71145</v>
      </c>
      <c r="K197" s="41">
        <v>71962</v>
      </c>
      <c r="L197" s="41">
        <v>72863</v>
      </c>
      <c r="M197" s="41">
        <v>73661</v>
      </c>
      <c r="N197" s="41">
        <v>74221</v>
      </c>
      <c r="O197" s="41">
        <v>74798</v>
      </c>
      <c r="P197" s="41">
        <v>75276</v>
      </c>
      <c r="Q197" s="41">
        <v>76192</v>
      </c>
      <c r="R197" s="41">
        <v>77182</v>
      </c>
      <c r="S197" s="41">
        <v>77766</v>
      </c>
      <c r="T197" s="41">
        <v>78355</v>
      </c>
      <c r="U197" s="41">
        <v>78911</v>
      </c>
      <c r="V197" s="41">
        <v>79464</v>
      </c>
      <c r="W197" s="41">
        <v>79977</v>
      </c>
      <c r="X197" s="41">
        <v>80736</v>
      </c>
      <c r="Y197" s="41">
        <v>81454</v>
      </c>
      <c r="Z197" s="41">
        <v>82165</v>
      </c>
      <c r="AA197" s="41">
        <v>82862</v>
      </c>
      <c r="AB197" s="41">
        <v>83560</v>
      </c>
      <c r="AC197" s="41">
        <v>84268</v>
      </c>
      <c r="AD197" s="41">
        <v>84958</v>
      </c>
      <c r="AE197" s="41">
        <v>85640</v>
      </c>
      <c r="AF197" s="41">
        <v>86313</v>
      </c>
      <c r="AG197" s="41">
        <v>86988</v>
      </c>
      <c r="AH197" s="41">
        <v>87669</v>
      </c>
      <c r="AI197" s="41">
        <v>88339</v>
      </c>
      <c r="AJ197" s="41">
        <v>89005</v>
      </c>
      <c r="AK197" s="41">
        <v>89650</v>
      </c>
      <c r="AL197" s="41">
        <v>90289</v>
      </c>
      <c r="AM197" s="41">
        <v>90914</v>
      </c>
      <c r="AN197" s="41">
        <v>91530</v>
      </c>
      <c r="AO197" s="41">
        <v>92137</v>
      </c>
      <c r="AP197" s="41">
        <v>92714</v>
      </c>
      <c r="AQ197" s="41">
        <v>93300</v>
      </c>
    </row>
    <row r="198" spans="1:43">
      <c r="A198" s="38" t="s">
        <v>512</v>
      </c>
      <c r="B198" s="38" t="s">
        <v>513</v>
      </c>
      <c r="C198" s="41">
        <v>101738</v>
      </c>
      <c r="D198" s="41">
        <v>102537</v>
      </c>
      <c r="E198" s="41">
        <v>102967</v>
      </c>
      <c r="F198" s="41">
        <v>103103</v>
      </c>
      <c r="G198" s="41">
        <v>104319</v>
      </c>
      <c r="H198" s="41">
        <v>104829</v>
      </c>
      <c r="I198" s="41">
        <v>105680</v>
      </c>
      <c r="J198" s="41">
        <v>106281</v>
      </c>
      <c r="K198" s="41">
        <v>106538</v>
      </c>
      <c r="L198" s="41">
        <v>106981</v>
      </c>
      <c r="M198" s="41">
        <v>108655</v>
      </c>
      <c r="N198" s="41">
        <v>108649</v>
      </c>
      <c r="O198" s="41">
        <v>108882</v>
      </c>
      <c r="P198" s="41">
        <v>109733</v>
      </c>
      <c r="Q198" s="41">
        <v>110111</v>
      </c>
      <c r="R198" s="41">
        <v>110543</v>
      </c>
      <c r="S198" s="41">
        <v>110665</v>
      </c>
      <c r="T198" s="41">
        <v>110948</v>
      </c>
      <c r="U198" s="41">
        <v>111242</v>
      </c>
      <c r="V198" s="41">
        <v>111438</v>
      </c>
      <c r="W198" s="41">
        <v>111551</v>
      </c>
      <c r="X198" s="41">
        <v>111838</v>
      </c>
      <c r="Y198" s="41">
        <v>112170</v>
      </c>
      <c r="Z198" s="41">
        <v>112539</v>
      </c>
      <c r="AA198" s="41">
        <v>112880</v>
      </c>
      <c r="AB198" s="41">
        <v>113253</v>
      </c>
      <c r="AC198" s="41">
        <v>113708</v>
      </c>
      <c r="AD198" s="41">
        <v>114174</v>
      </c>
      <c r="AE198" s="41">
        <v>114590</v>
      </c>
      <c r="AF198" s="41">
        <v>114992</v>
      </c>
      <c r="AG198" s="41">
        <v>115438</v>
      </c>
      <c r="AH198" s="41">
        <v>115910</v>
      </c>
      <c r="AI198" s="41">
        <v>116317</v>
      </c>
      <c r="AJ198" s="41">
        <v>116686</v>
      </c>
      <c r="AK198" s="41">
        <v>117048</v>
      </c>
      <c r="AL198" s="41">
        <v>117451</v>
      </c>
      <c r="AM198" s="41">
        <v>117843</v>
      </c>
      <c r="AN198" s="41">
        <v>118227</v>
      </c>
      <c r="AO198" s="41">
        <v>118627</v>
      </c>
      <c r="AP198" s="41">
        <v>119002</v>
      </c>
      <c r="AQ198" s="41">
        <v>119396</v>
      </c>
    </row>
    <row r="199" spans="1:43">
      <c r="A199" s="38" t="s">
        <v>514</v>
      </c>
      <c r="B199" s="38" t="s">
        <v>515</v>
      </c>
      <c r="C199" s="41">
        <v>78834</v>
      </c>
      <c r="D199" s="41">
        <v>79126</v>
      </c>
      <c r="E199" s="41">
        <v>79775</v>
      </c>
      <c r="F199" s="41">
        <v>80576</v>
      </c>
      <c r="G199" s="41">
        <v>81653</v>
      </c>
      <c r="H199" s="41">
        <v>81618</v>
      </c>
      <c r="I199" s="41">
        <v>81214</v>
      </c>
      <c r="J199" s="41">
        <v>81562</v>
      </c>
      <c r="K199" s="41">
        <v>82622</v>
      </c>
      <c r="L199" s="41">
        <v>83734</v>
      </c>
      <c r="M199" s="41">
        <v>85261</v>
      </c>
      <c r="N199" s="41">
        <v>85690</v>
      </c>
      <c r="O199" s="41">
        <v>86080</v>
      </c>
      <c r="P199" s="41">
        <v>86734</v>
      </c>
      <c r="Q199" s="41">
        <v>87643</v>
      </c>
      <c r="R199" s="41">
        <v>88768</v>
      </c>
      <c r="S199" s="41">
        <v>89298</v>
      </c>
      <c r="T199" s="41">
        <v>89818</v>
      </c>
      <c r="U199" s="41">
        <v>90297</v>
      </c>
      <c r="V199" s="41">
        <v>90751</v>
      </c>
      <c r="W199" s="41">
        <v>91156</v>
      </c>
      <c r="X199" s="41">
        <v>91629</v>
      </c>
      <c r="Y199" s="41">
        <v>92089</v>
      </c>
      <c r="Z199" s="41">
        <v>92595</v>
      </c>
      <c r="AA199" s="41">
        <v>93088</v>
      </c>
      <c r="AB199" s="41">
        <v>93634</v>
      </c>
      <c r="AC199" s="41">
        <v>94229</v>
      </c>
      <c r="AD199" s="41">
        <v>94802</v>
      </c>
      <c r="AE199" s="41">
        <v>95378</v>
      </c>
      <c r="AF199" s="41">
        <v>95938</v>
      </c>
      <c r="AG199" s="41">
        <v>96506</v>
      </c>
      <c r="AH199" s="41">
        <v>97081</v>
      </c>
      <c r="AI199" s="41">
        <v>97634</v>
      </c>
      <c r="AJ199" s="41">
        <v>98176</v>
      </c>
      <c r="AK199" s="41">
        <v>98709</v>
      </c>
      <c r="AL199" s="41">
        <v>99245</v>
      </c>
      <c r="AM199" s="41">
        <v>99768</v>
      </c>
      <c r="AN199" s="41">
        <v>100292</v>
      </c>
      <c r="AO199" s="41">
        <v>100805</v>
      </c>
      <c r="AP199" s="41">
        <v>101319</v>
      </c>
      <c r="AQ199" s="41">
        <v>101816</v>
      </c>
    </row>
    <row r="200" spans="1:43">
      <c r="A200" s="38" t="s">
        <v>516</v>
      </c>
      <c r="B200" s="38" t="s">
        <v>517</v>
      </c>
      <c r="C200" s="41">
        <v>52914</v>
      </c>
      <c r="D200" s="41">
        <v>53257</v>
      </c>
      <c r="E200" s="41">
        <v>53803</v>
      </c>
      <c r="F200" s="41">
        <v>54474</v>
      </c>
      <c r="G200" s="41">
        <v>55222</v>
      </c>
      <c r="H200" s="41">
        <v>55911</v>
      </c>
      <c r="I200" s="41">
        <v>56288</v>
      </c>
      <c r="J200" s="41">
        <v>56732</v>
      </c>
      <c r="K200" s="41">
        <v>56796</v>
      </c>
      <c r="L200" s="41">
        <v>57216</v>
      </c>
      <c r="M200" s="41">
        <v>57178</v>
      </c>
      <c r="N200" s="41">
        <v>57353</v>
      </c>
      <c r="O200" s="41">
        <v>57304</v>
      </c>
      <c r="P200" s="41">
        <v>57256</v>
      </c>
      <c r="Q200" s="41">
        <v>57500</v>
      </c>
      <c r="R200" s="41">
        <v>57716</v>
      </c>
      <c r="S200" s="41">
        <v>57735</v>
      </c>
      <c r="T200" s="41">
        <v>57779</v>
      </c>
      <c r="U200" s="41">
        <v>57798</v>
      </c>
      <c r="V200" s="41">
        <v>57788</v>
      </c>
      <c r="W200" s="41">
        <v>57764</v>
      </c>
      <c r="X200" s="41">
        <v>57739</v>
      </c>
      <c r="Y200" s="41">
        <v>57736</v>
      </c>
      <c r="Z200" s="41">
        <v>57760</v>
      </c>
      <c r="AA200" s="41">
        <v>57778</v>
      </c>
      <c r="AB200" s="41">
        <v>57827</v>
      </c>
      <c r="AC200" s="41">
        <v>57904</v>
      </c>
      <c r="AD200" s="41">
        <v>57968</v>
      </c>
      <c r="AE200" s="41">
        <v>58058</v>
      </c>
      <c r="AF200" s="41">
        <v>58141</v>
      </c>
      <c r="AG200" s="41">
        <v>58252</v>
      </c>
      <c r="AH200" s="41">
        <v>58361</v>
      </c>
      <c r="AI200" s="41">
        <v>58453</v>
      </c>
      <c r="AJ200" s="41">
        <v>58537</v>
      </c>
      <c r="AK200" s="41">
        <v>58622</v>
      </c>
      <c r="AL200" s="41">
        <v>58710</v>
      </c>
      <c r="AM200" s="41">
        <v>58796</v>
      </c>
      <c r="AN200" s="41">
        <v>58874</v>
      </c>
      <c r="AO200" s="41">
        <v>58928</v>
      </c>
      <c r="AP200" s="41">
        <v>58999</v>
      </c>
      <c r="AQ200" s="41">
        <v>59070</v>
      </c>
    </row>
    <row r="201" spans="1:43">
      <c r="A201" s="38" t="s">
        <v>518</v>
      </c>
      <c r="B201" s="38" t="s">
        <v>519</v>
      </c>
      <c r="C201" s="41">
        <v>58105</v>
      </c>
      <c r="D201" s="41">
        <v>57703</v>
      </c>
      <c r="E201" s="41">
        <v>57636</v>
      </c>
      <c r="F201" s="41">
        <v>57693</v>
      </c>
      <c r="G201" s="41">
        <v>58587</v>
      </c>
      <c r="H201" s="41">
        <v>59195</v>
      </c>
      <c r="I201" s="41">
        <v>59615</v>
      </c>
      <c r="J201" s="41">
        <v>60135</v>
      </c>
      <c r="K201" s="41">
        <v>60706</v>
      </c>
      <c r="L201" s="41">
        <v>61506</v>
      </c>
      <c r="M201" s="41">
        <v>62073</v>
      </c>
      <c r="N201" s="41">
        <v>62581</v>
      </c>
      <c r="O201" s="41">
        <v>63072</v>
      </c>
      <c r="P201" s="41">
        <v>63792</v>
      </c>
      <c r="Q201" s="41">
        <v>64455</v>
      </c>
      <c r="R201" s="41">
        <v>64940</v>
      </c>
      <c r="S201" s="41">
        <v>65409</v>
      </c>
      <c r="T201" s="41">
        <v>65871</v>
      </c>
      <c r="U201" s="41">
        <v>66316</v>
      </c>
      <c r="V201" s="41">
        <v>66753</v>
      </c>
      <c r="W201" s="41">
        <v>67138</v>
      </c>
      <c r="X201" s="41">
        <v>67518</v>
      </c>
      <c r="Y201" s="41">
        <v>67905</v>
      </c>
      <c r="Z201" s="41">
        <v>68304</v>
      </c>
      <c r="AA201" s="41">
        <v>68692</v>
      </c>
      <c r="AB201" s="41">
        <v>69093</v>
      </c>
      <c r="AC201" s="41">
        <v>69496</v>
      </c>
      <c r="AD201" s="41">
        <v>69915</v>
      </c>
      <c r="AE201" s="41">
        <v>70334</v>
      </c>
      <c r="AF201" s="41">
        <v>70739</v>
      </c>
      <c r="AG201" s="41">
        <v>71142</v>
      </c>
      <c r="AH201" s="41">
        <v>71553</v>
      </c>
      <c r="AI201" s="41">
        <v>71975</v>
      </c>
      <c r="AJ201" s="41">
        <v>72372</v>
      </c>
      <c r="AK201" s="41">
        <v>72763</v>
      </c>
      <c r="AL201" s="41">
        <v>73162</v>
      </c>
      <c r="AM201" s="41">
        <v>73557</v>
      </c>
      <c r="AN201" s="41">
        <v>73955</v>
      </c>
      <c r="AO201" s="41">
        <v>74337</v>
      </c>
      <c r="AP201" s="41">
        <v>74699</v>
      </c>
      <c r="AQ201" s="41">
        <v>75070</v>
      </c>
    </row>
    <row r="202" spans="1:43">
      <c r="A202" s="38" t="s">
        <v>520</v>
      </c>
      <c r="B202" s="38" t="s">
        <v>521</v>
      </c>
      <c r="C202" s="41">
        <v>93329</v>
      </c>
      <c r="D202" s="41">
        <v>93606</v>
      </c>
      <c r="E202" s="41">
        <v>93956</v>
      </c>
      <c r="F202" s="41">
        <v>93657</v>
      </c>
      <c r="G202" s="41">
        <v>93834</v>
      </c>
      <c r="H202" s="41">
        <v>94279</v>
      </c>
      <c r="I202" s="41">
        <v>94722</v>
      </c>
      <c r="J202" s="41">
        <v>95763</v>
      </c>
      <c r="K202" s="41">
        <v>96879</v>
      </c>
      <c r="L202" s="41">
        <v>97838</v>
      </c>
      <c r="M202" s="41">
        <v>99438</v>
      </c>
      <c r="N202" s="41">
        <v>100288</v>
      </c>
      <c r="O202" s="41">
        <v>101529</v>
      </c>
      <c r="P202" s="41">
        <v>103069</v>
      </c>
      <c r="Q202" s="41">
        <v>104430</v>
      </c>
      <c r="R202" s="41">
        <v>105521</v>
      </c>
      <c r="S202" s="41">
        <v>106790</v>
      </c>
      <c r="T202" s="41">
        <v>108110</v>
      </c>
      <c r="U202" s="41">
        <v>109309</v>
      </c>
      <c r="V202" s="41">
        <v>110532</v>
      </c>
      <c r="W202" s="41">
        <v>111665</v>
      </c>
      <c r="X202" s="41">
        <v>113276</v>
      </c>
      <c r="Y202" s="41">
        <v>114870</v>
      </c>
      <c r="Z202" s="41">
        <v>116373</v>
      </c>
      <c r="AA202" s="41">
        <v>117892</v>
      </c>
      <c r="AB202" s="41">
        <v>119382</v>
      </c>
      <c r="AC202" s="41">
        <v>120846</v>
      </c>
      <c r="AD202" s="41">
        <v>122313</v>
      </c>
      <c r="AE202" s="41">
        <v>123684</v>
      </c>
      <c r="AF202" s="41">
        <v>125060</v>
      </c>
      <c r="AG202" s="41">
        <v>126407</v>
      </c>
      <c r="AH202" s="41">
        <v>127746</v>
      </c>
      <c r="AI202" s="41">
        <v>129057</v>
      </c>
      <c r="AJ202" s="41">
        <v>130318</v>
      </c>
      <c r="AK202" s="41">
        <v>131567</v>
      </c>
      <c r="AL202" s="41">
        <v>132790</v>
      </c>
      <c r="AM202" s="41">
        <v>134013</v>
      </c>
      <c r="AN202" s="41">
        <v>135220</v>
      </c>
      <c r="AO202" s="41">
        <v>136374</v>
      </c>
      <c r="AP202" s="41">
        <v>137516</v>
      </c>
      <c r="AQ202" s="41">
        <v>138638</v>
      </c>
    </row>
    <row r="203" spans="1:43">
      <c r="A203" s="38" t="s">
        <v>522</v>
      </c>
      <c r="B203" s="38" t="s">
        <v>523</v>
      </c>
      <c r="C203" s="41">
        <v>57142</v>
      </c>
      <c r="D203" s="41">
        <v>57244</v>
      </c>
      <c r="E203" s="41">
        <v>57542</v>
      </c>
      <c r="F203" s="41">
        <v>57857</v>
      </c>
      <c r="G203" s="41">
        <v>58036</v>
      </c>
      <c r="H203" s="41">
        <v>58168</v>
      </c>
      <c r="I203" s="41">
        <v>58295</v>
      </c>
      <c r="J203" s="41">
        <v>58446</v>
      </c>
      <c r="K203" s="41">
        <v>58556</v>
      </c>
      <c r="L203" s="41">
        <v>58791</v>
      </c>
      <c r="M203" s="41">
        <v>59264</v>
      </c>
      <c r="N203" s="41">
        <v>59573</v>
      </c>
      <c r="O203" s="41">
        <v>59747</v>
      </c>
      <c r="P203" s="41">
        <v>60157</v>
      </c>
      <c r="Q203" s="41">
        <v>60464</v>
      </c>
      <c r="R203" s="41">
        <v>60829</v>
      </c>
      <c r="S203" s="41">
        <v>61149</v>
      </c>
      <c r="T203" s="41">
        <v>61410</v>
      </c>
      <c r="U203" s="41">
        <v>61678</v>
      </c>
      <c r="V203" s="41">
        <v>61916</v>
      </c>
      <c r="W203" s="41">
        <v>62111</v>
      </c>
      <c r="X203" s="41">
        <v>62231</v>
      </c>
      <c r="Y203" s="41">
        <v>62291</v>
      </c>
      <c r="Z203" s="41">
        <v>62382</v>
      </c>
      <c r="AA203" s="41">
        <v>62443</v>
      </c>
      <c r="AB203" s="41">
        <v>62530</v>
      </c>
      <c r="AC203" s="41">
        <v>62610</v>
      </c>
      <c r="AD203" s="41">
        <v>62682</v>
      </c>
      <c r="AE203" s="41">
        <v>62750</v>
      </c>
      <c r="AF203" s="41">
        <v>62814</v>
      </c>
      <c r="AG203" s="41">
        <v>62891</v>
      </c>
      <c r="AH203" s="41">
        <v>62970</v>
      </c>
      <c r="AI203" s="41">
        <v>63064</v>
      </c>
      <c r="AJ203" s="41">
        <v>63140</v>
      </c>
      <c r="AK203" s="41">
        <v>63211</v>
      </c>
      <c r="AL203" s="41">
        <v>63288</v>
      </c>
      <c r="AM203" s="41">
        <v>63361</v>
      </c>
      <c r="AN203" s="41">
        <v>63430</v>
      </c>
      <c r="AO203" s="41">
        <v>63474</v>
      </c>
      <c r="AP203" s="41">
        <v>63515</v>
      </c>
      <c r="AQ203" s="41">
        <v>63547</v>
      </c>
    </row>
    <row r="204" spans="1:43">
      <c r="A204" s="38" t="s">
        <v>524</v>
      </c>
      <c r="B204" s="38" t="s">
        <v>525</v>
      </c>
      <c r="C204" s="41">
        <v>31374</v>
      </c>
      <c r="D204" s="41">
        <v>31614</v>
      </c>
      <c r="E204" s="41">
        <v>31876</v>
      </c>
      <c r="F204" s="41">
        <v>32059</v>
      </c>
      <c r="G204" s="41">
        <v>32259</v>
      </c>
      <c r="H204" s="41">
        <v>32733</v>
      </c>
      <c r="I204" s="41">
        <v>33078</v>
      </c>
      <c r="J204" s="41">
        <v>33516</v>
      </c>
      <c r="K204" s="41">
        <v>33811</v>
      </c>
      <c r="L204" s="41">
        <v>34091</v>
      </c>
      <c r="M204" s="41">
        <v>34481</v>
      </c>
      <c r="N204" s="41">
        <v>34546</v>
      </c>
      <c r="O204" s="41">
        <v>34640</v>
      </c>
      <c r="P204" s="41">
        <v>34783</v>
      </c>
      <c r="Q204" s="41">
        <v>34982</v>
      </c>
      <c r="R204" s="41">
        <v>35070</v>
      </c>
      <c r="S204" s="41">
        <v>35162</v>
      </c>
      <c r="T204" s="41">
        <v>35252</v>
      </c>
      <c r="U204" s="41">
        <v>35356</v>
      </c>
      <c r="V204" s="41">
        <v>35452</v>
      </c>
      <c r="W204" s="41">
        <v>35540</v>
      </c>
      <c r="X204" s="41">
        <v>35683</v>
      </c>
      <c r="Y204" s="41">
        <v>35806</v>
      </c>
      <c r="Z204" s="41">
        <v>35947</v>
      </c>
      <c r="AA204" s="41">
        <v>36074</v>
      </c>
      <c r="AB204" s="41">
        <v>36191</v>
      </c>
      <c r="AC204" s="41">
        <v>36320</v>
      </c>
      <c r="AD204" s="41">
        <v>36418</v>
      </c>
      <c r="AE204" s="41">
        <v>36514</v>
      </c>
      <c r="AF204" s="41">
        <v>36601</v>
      </c>
      <c r="AG204" s="41">
        <v>36690</v>
      </c>
      <c r="AH204" s="41">
        <v>36781</v>
      </c>
      <c r="AI204" s="41">
        <v>36848</v>
      </c>
      <c r="AJ204" s="41">
        <v>36911</v>
      </c>
      <c r="AK204" s="41">
        <v>36966</v>
      </c>
      <c r="AL204" s="41">
        <v>37021</v>
      </c>
      <c r="AM204" s="41">
        <v>37077</v>
      </c>
      <c r="AN204" s="41">
        <v>37124</v>
      </c>
      <c r="AO204" s="41">
        <v>37177</v>
      </c>
      <c r="AP204" s="41">
        <v>37228</v>
      </c>
      <c r="AQ204" s="41">
        <v>37287</v>
      </c>
    </row>
    <row r="205" spans="1:43">
      <c r="A205" s="38" t="s">
        <v>526</v>
      </c>
      <c r="B205" s="38" t="s">
        <v>527</v>
      </c>
      <c r="C205" s="41">
        <v>51391</v>
      </c>
      <c r="D205" s="41">
        <v>51190</v>
      </c>
      <c r="E205" s="41">
        <v>51288</v>
      </c>
      <c r="F205" s="41">
        <v>51359</v>
      </c>
      <c r="G205" s="41">
        <v>51547</v>
      </c>
      <c r="H205" s="41">
        <v>52021</v>
      </c>
      <c r="I205" s="41">
        <v>52692</v>
      </c>
      <c r="J205" s="41">
        <v>53207</v>
      </c>
      <c r="K205" s="41">
        <v>54022</v>
      </c>
      <c r="L205" s="41">
        <v>54702</v>
      </c>
      <c r="M205" s="41">
        <v>55309</v>
      </c>
      <c r="N205" s="41">
        <v>55799</v>
      </c>
      <c r="O205" s="41">
        <v>56298</v>
      </c>
      <c r="P205" s="41">
        <v>57028</v>
      </c>
      <c r="Q205" s="41">
        <v>57407</v>
      </c>
      <c r="R205" s="41">
        <v>57838</v>
      </c>
      <c r="S205" s="41">
        <v>58388</v>
      </c>
      <c r="T205" s="41">
        <v>58936</v>
      </c>
      <c r="U205" s="41">
        <v>59471</v>
      </c>
      <c r="V205" s="41">
        <v>59982</v>
      </c>
      <c r="W205" s="41">
        <v>60463</v>
      </c>
      <c r="X205" s="41">
        <v>61055</v>
      </c>
      <c r="Y205" s="41">
        <v>61628</v>
      </c>
      <c r="Z205" s="41">
        <v>62192</v>
      </c>
      <c r="AA205" s="41">
        <v>62745</v>
      </c>
      <c r="AB205" s="41">
        <v>63280</v>
      </c>
      <c r="AC205" s="41">
        <v>63827</v>
      </c>
      <c r="AD205" s="41">
        <v>64347</v>
      </c>
      <c r="AE205" s="41">
        <v>64871</v>
      </c>
      <c r="AF205" s="41">
        <v>65386</v>
      </c>
      <c r="AG205" s="41">
        <v>65901</v>
      </c>
      <c r="AH205" s="41">
        <v>66407</v>
      </c>
      <c r="AI205" s="41">
        <v>66901</v>
      </c>
      <c r="AJ205" s="41">
        <v>67404</v>
      </c>
      <c r="AK205" s="41">
        <v>67885</v>
      </c>
      <c r="AL205" s="41">
        <v>68365</v>
      </c>
      <c r="AM205" s="41">
        <v>68836</v>
      </c>
      <c r="AN205" s="41">
        <v>69302</v>
      </c>
      <c r="AO205" s="41">
        <v>69761</v>
      </c>
      <c r="AP205" s="41">
        <v>70217</v>
      </c>
      <c r="AQ205" s="41">
        <v>70676</v>
      </c>
    </row>
    <row r="206" spans="1:43">
      <c r="A206" s="38" t="s">
        <v>528</v>
      </c>
      <c r="B206" s="38" t="s">
        <v>529</v>
      </c>
      <c r="C206" s="41">
        <v>22149</v>
      </c>
      <c r="D206" s="41">
        <v>22480</v>
      </c>
      <c r="E206" s="41">
        <v>22869</v>
      </c>
      <c r="F206" s="41">
        <v>23165</v>
      </c>
      <c r="G206" s="41">
        <v>23370</v>
      </c>
      <c r="H206" s="41">
        <v>23567</v>
      </c>
      <c r="I206" s="41">
        <v>23698</v>
      </c>
      <c r="J206" s="41">
        <v>23860</v>
      </c>
      <c r="K206" s="41">
        <v>23886</v>
      </c>
      <c r="L206" s="41">
        <v>24011</v>
      </c>
      <c r="M206" s="41">
        <v>24116</v>
      </c>
      <c r="N206" s="41">
        <v>24339</v>
      </c>
      <c r="O206" s="41">
        <v>24542</v>
      </c>
      <c r="P206" s="41">
        <v>24789</v>
      </c>
      <c r="Q206" s="41">
        <v>25060</v>
      </c>
      <c r="R206" s="41">
        <v>25329</v>
      </c>
      <c r="S206" s="41">
        <v>25528</v>
      </c>
      <c r="T206" s="41">
        <v>25723</v>
      </c>
      <c r="U206" s="41">
        <v>25922</v>
      </c>
      <c r="V206" s="41">
        <v>26096</v>
      </c>
      <c r="W206" s="41">
        <v>26260</v>
      </c>
      <c r="X206" s="41">
        <v>26429</v>
      </c>
      <c r="Y206" s="41">
        <v>26589</v>
      </c>
      <c r="Z206" s="41">
        <v>26734</v>
      </c>
      <c r="AA206" s="41">
        <v>26870</v>
      </c>
      <c r="AB206" s="41">
        <v>27001</v>
      </c>
      <c r="AC206" s="41">
        <v>27138</v>
      </c>
      <c r="AD206" s="41">
        <v>27249</v>
      </c>
      <c r="AE206" s="41">
        <v>27362</v>
      </c>
      <c r="AF206" s="41">
        <v>27458</v>
      </c>
      <c r="AG206" s="41">
        <v>27563</v>
      </c>
      <c r="AH206" s="41">
        <v>27669</v>
      </c>
      <c r="AI206" s="41">
        <v>27760</v>
      </c>
      <c r="AJ206" s="41">
        <v>27854</v>
      </c>
      <c r="AK206" s="41">
        <v>27952</v>
      </c>
      <c r="AL206" s="41">
        <v>28045</v>
      </c>
      <c r="AM206" s="41">
        <v>28127</v>
      </c>
      <c r="AN206" s="41">
        <v>28209</v>
      </c>
      <c r="AO206" s="41">
        <v>28281</v>
      </c>
      <c r="AP206" s="41">
        <v>28364</v>
      </c>
      <c r="AQ206" s="41">
        <v>28441</v>
      </c>
    </row>
    <row r="207" spans="1:43">
      <c r="A207" s="38" t="s">
        <v>530</v>
      </c>
      <c r="B207" s="38" t="s">
        <v>531</v>
      </c>
      <c r="C207" s="41">
        <v>76371</v>
      </c>
      <c r="D207" s="41">
        <v>76612</v>
      </c>
      <c r="E207" s="41">
        <v>76874</v>
      </c>
      <c r="F207" s="41">
        <v>77411</v>
      </c>
      <c r="G207" s="41">
        <v>78175</v>
      </c>
      <c r="H207" s="41">
        <v>78405</v>
      </c>
      <c r="I207" s="41">
        <v>78177</v>
      </c>
      <c r="J207" s="41">
        <v>78307</v>
      </c>
      <c r="K207" s="41">
        <v>78702</v>
      </c>
      <c r="L207" s="41">
        <v>79132</v>
      </c>
      <c r="M207" s="41">
        <v>79386</v>
      </c>
      <c r="N207" s="41">
        <v>79858</v>
      </c>
      <c r="O207" s="41">
        <v>80586</v>
      </c>
      <c r="P207" s="41">
        <v>81266</v>
      </c>
      <c r="Q207" s="41">
        <v>81430</v>
      </c>
      <c r="R207" s="41">
        <v>81740</v>
      </c>
      <c r="S207" s="41">
        <v>82354</v>
      </c>
      <c r="T207" s="41">
        <v>83014</v>
      </c>
      <c r="U207" s="41">
        <v>83665</v>
      </c>
      <c r="V207" s="41">
        <v>84252</v>
      </c>
      <c r="W207" s="41">
        <v>84846</v>
      </c>
      <c r="X207" s="41">
        <v>85677</v>
      </c>
      <c r="Y207" s="41">
        <v>86515</v>
      </c>
      <c r="Z207" s="41">
        <v>87334</v>
      </c>
      <c r="AA207" s="41">
        <v>88098</v>
      </c>
      <c r="AB207" s="41">
        <v>88852</v>
      </c>
      <c r="AC207" s="41">
        <v>89600</v>
      </c>
      <c r="AD207" s="41">
        <v>90324</v>
      </c>
      <c r="AE207" s="41">
        <v>91018</v>
      </c>
      <c r="AF207" s="41">
        <v>91665</v>
      </c>
      <c r="AG207" s="41">
        <v>92301</v>
      </c>
      <c r="AH207" s="41">
        <v>92932</v>
      </c>
      <c r="AI207" s="41">
        <v>93526</v>
      </c>
      <c r="AJ207" s="41">
        <v>94115</v>
      </c>
      <c r="AK207" s="41">
        <v>94679</v>
      </c>
      <c r="AL207" s="41">
        <v>95244</v>
      </c>
      <c r="AM207" s="41">
        <v>95795</v>
      </c>
      <c r="AN207" s="41">
        <v>96334</v>
      </c>
      <c r="AO207" s="41">
        <v>96857</v>
      </c>
      <c r="AP207" s="41">
        <v>97376</v>
      </c>
      <c r="AQ207" s="41">
        <v>97906</v>
      </c>
    </row>
    <row r="208" spans="1:43">
      <c r="A208" s="38" t="s">
        <v>532</v>
      </c>
      <c r="B208" s="38" t="s">
        <v>533</v>
      </c>
      <c r="C208" s="41">
        <v>18033</v>
      </c>
      <c r="D208" s="41">
        <v>18220</v>
      </c>
      <c r="E208" s="41">
        <v>18509</v>
      </c>
      <c r="F208" s="41">
        <v>18656</v>
      </c>
      <c r="G208" s="41">
        <v>19111</v>
      </c>
      <c r="H208" s="41">
        <v>19469</v>
      </c>
      <c r="I208" s="41">
        <v>19817</v>
      </c>
      <c r="J208" s="41">
        <v>20181</v>
      </c>
      <c r="K208" s="41">
        <v>20334</v>
      </c>
      <c r="L208" s="41">
        <v>20682</v>
      </c>
      <c r="M208" s="41">
        <v>20664</v>
      </c>
      <c r="N208" s="41">
        <v>21086</v>
      </c>
      <c r="O208" s="41">
        <v>21318</v>
      </c>
      <c r="P208" s="41">
        <v>21190</v>
      </c>
      <c r="Q208" s="41">
        <v>21150</v>
      </c>
      <c r="R208" s="41">
        <v>21884</v>
      </c>
      <c r="S208" s="41">
        <v>21889</v>
      </c>
      <c r="T208" s="41">
        <v>21858</v>
      </c>
      <c r="U208" s="41">
        <v>21828</v>
      </c>
      <c r="V208" s="41">
        <v>21803</v>
      </c>
      <c r="W208" s="41">
        <v>21787</v>
      </c>
      <c r="X208" s="41">
        <v>21797</v>
      </c>
      <c r="Y208" s="41">
        <v>21786</v>
      </c>
      <c r="Z208" s="41">
        <v>21782</v>
      </c>
      <c r="AA208" s="41">
        <v>21759</v>
      </c>
      <c r="AB208" s="41">
        <v>21754</v>
      </c>
      <c r="AC208" s="41">
        <v>21755</v>
      </c>
      <c r="AD208" s="41">
        <v>21744</v>
      </c>
      <c r="AE208" s="41">
        <v>21732</v>
      </c>
      <c r="AF208" s="41">
        <v>21716</v>
      </c>
      <c r="AG208" s="41">
        <v>21713</v>
      </c>
      <c r="AH208" s="41">
        <v>21696</v>
      </c>
      <c r="AI208" s="41">
        <v>21682</v>
      </c>
      <c r="AJ208" s="41">
        <v>21662</v>
      </c>
      <c r="AK208" s="41">
        <v>21652</v>
      </c>
      <c r="AL208" s="41">
        <v>21631</v>
      </c>
      <c r="AM208" s="41">
        <v>21614</v>
      </c>
      <c r="AN208" s="41">
        <v>21593</v>
      </c>
      <c r="AO208" s="41">
        <v>21577</v>
      </c>
      <c r="AP208" s="41">
        <v>21569</v>
      </c>
      <c r="AQ208" s="41">
        <v>21557</v>
      </c>
    </row>
    <row r="209" spans="1:43">
      <c r="A209" s="38" t="s">
        <v>534</v>
      </c>
      <c r="B209" s="38" t="s">
        <v>535</v>
      </c>
      <c r="C209" s="41">
        <v>83413</v>
      </c>
      <c r="D209" s="41">
        <v>83644</v>
      </c>
      <c r="E209" s="41">
        <v>84069</v>
      </c>
      <c r="F209" s="41">
        <v>84153</v>
      </c>
      <c r="G209" s="41">
        <v>84181</v>
      </c>
      <c r="H209" s="41">
        <v>84498</v>
      </c>
      <c r="I209" s="41">
        <v>84752</v>
      </c>
      <c r="J209" s="41">
        <v>85388</v>
      </c>
      <c r="K209" s="41">
        <v>85791</v>
      </c>
      <c r="L209" s="41">
        <v>86106</v>
      </c>
      <c r="M209" s="41">
        <v>87051</v>
      </c>
      <c r="N209" s="41">
        <v>87227</v>
      </c>
      <c r="O209" s="41">
        <v>87577</v>
      </c>
      <c r="P209" s="41">
        <v>88070</v>
      </c>
      <c r="Q209" s="41">
        <v>88713</v>
      </c>
      <c r="R209" s="41">
        <v>89529</v>
      </c>
      <c r="S209" s="41">
        <v>90109</v>
      </c>
      <c r="T209" s="41">
        <v>90688</v>
      </c>
      <c r="U209" s="41">
        <v>91204</v>
      </c>
      <c r="V209" s="41">
        <v>91727</v>
      </c>
      <c r="W209" s="41">
        <v>92197</v>
      </c>
      <c r="X209" s="41">
        <v>92689</v>
      </c>
      <c r="Y209" s="41">
        <v>93137</v>
      </c>
      <c r="Z209" s="41">
        <v>93556</v>
      </c>
      <c r="AA209" s="41">
        <v>93974</v>
      </c>
      <c r="AB209" s="41">
        <v>94387</v>
      </c>
      <c r="AC209" s="41">
        <v>94833</v>
      </c>
      <c r="AD209" s="41">
        <v>95262</v>
      </c>
      <c r="AE209" s="41">
        <v>95661</v>
      </c>
      <c r="AF209" s="41">
        <v>96072</v>
      </c>
      <c r="AG209" s="41">
        <v>96500</v>
      </c>
      <c r="AH209" s="41">
        <v>96925</v>
      </c>
      <c r="AI209" s="41">
        <v>97346</v>
      </c>
      <c r="AJ209" s="41">
        <v>97739</v>
      </c>
      <c r="AK209" s="41">
        <v>98147</v>
      </c>
      <c r="AL209" s="41">
        <v>98569</v>
      </c>
      <c r="AM209" s="41">
        <v>98975</v>
      </c>
      <c r="AN209" s="41">
        <v>99379</v>
      </c>
      <c r="AO209" s="41">
        <v>99760</v>
      </c>
      <c r="AP209" s="41">
        <v>100128</v>
      </c>
      <c r="AQ209" s="41">
        <v>100501</v>
      </c>
    </row>
    <row r="210" spans="1:43">
      <c r="A210" s="38" t="s">
        <v>536</v>
      </c>
      <c r="B210" s="38" t="s">
        <v>537</v>
      </c>
      <c r="C210" s="41">
        <v>31859</v>
      </c>
      <c r="D210" s="41">
        <v>32076</v>
      </c>
      <c r="E210" s="41">
        <v>32135</v>
      </c>
      <c r="F210" s="41">
        <v>32355</v>
      </c>
      <c r="G210" s="41">
        <v>32613</v>
      </c>
      <c r="H210" s="41">
        <v>32816</v>
      </c>
      <c r="I210" s="41">
        <v>33073</v>
      </c>
      <c r="J210" s="41">
        <v>33413</v>
      </c>
      <c r="K210" s="41">
        <v>33496</v>
      </c>
      <c r="L210" s="41">
        <v>33597</v>
      </c>
      <c r="M210" s="41">
        <v>33587</v>
      </c>
      <c r="N210" s="41">
        <v>33775</v>
      </c>
      <c r="O210" s="41">
        <v>33819</v>
      </c>
      <c r="P210" s="41">
        <v>34074</v>
      </c>
      <c r="Q210" s="41">
        <v>34272</v>
      </c>
      <c r="R210" s="41">
        <v>34450</v>
      </c>
      <c r="S210" s="41">
        <v>34650</v>
      </c>
      <c r="T210" s="41">
        <v>34831</v>
      </c>
      <c r="U210" s="41">
        <v>35028</v>
      </c>
      <c r="V210" s="41">
        <v>35207</v>
      </c>
      <c r="W210" s="41">
        <v>35362</v>
      </c>
      <c r="X210" s="41">
        <v>35689</v>
      </c>
      <c r="Y210" s="41">
        <v>36014</v>
      </c>
      <c r="Z210" s="41">
        <v>36314</v>
      </c>
      <c r="AA210" s="41">
        <v>36610</v>
      </c>
      <c r="AB210" s="41">
        <v>36898</v>
      </c>
      <c r="AC210" s="41">
        <v>37208</v>
      </c>
      <c r="AD210" s="41">
        <v>37517</v>
      </c>
      <c r="AE210" s="41">
        <v>37808</v>
      </c>
      <c r="AF210" s="41">
        <v>38086</v>
      </c>
      <c r="AG210" s="41">
        <v>38353</v>
      </c>
      <c r="AH210" s="41">
        <v>38634</v>
      </c>
      <c r="AI210" s="41">
        <v>38915</v>
      </c>
      <c r="AJ210" s="41">
        <v>39193</v>
      </c>
      <c r="AK210" s="41">
        <v>39466</v>
      </c>
      <c r="AL210" s="41">
        <v>39730</v>
      </c>
      <c r="AM210" s="41">
        <v>40002</v>
      </c>
      <c r="AN210" s="41">
        <v>40281</v>
      </c>
      <c r="AO210" s="41">
        <v>40557</v>
      </c>
      <c r="AP210" s="41">
        <v>40823</v>
      </c>
      <c r="AQ210" s="41">
        <v>41103</v>
      </c>
    </row>
    <row r="211" spans="1:43">
      <c r="A211" s="38" t="s">
        <v>538</v>
      </c>
      <c r="B211" s="38" t="s">
        <v>539</v>
      </c>
      <c r="C211" s="41">
        <v>26885</v>
      </c>
      <c r="D211" s="41">
        <v>26996</v>
      </c>
      <c r="E211" s="41">
        <v>27160</v>
      </c>
      <c r="F211" s="41">
        <v>27277</v>
      </c>
      <c r="G211" s="41">
        <v>27472</v>
      </c>
      <c r="H211" s="41">
        <v>27673</v>
      </c>
      <c r="I211" s="41">
        <v>27937</v>
      </c>
      <c r="J211" s="41">
        <v>28196</v>
      </c>
      <c r="K211" s="41">
        <v>28428</v>
      </c>
      <c r="L211" s="41">
        <v>28659</v>
      </c>
      <c r="M211" s="41">
        <v>28936</v>
      </c>
      <c r="N211" s="41">
        <v>29088</v>
      </c>
      <c r="O211" s="41">
        <v>29265</v>
      </c>
      <c r="P211" s="41">
        <v>29477</v>
      </c>
      <c r="Q211" s="41">
        <v>29677</v>
      </c>
      <c r="R211" s="41">
        <v>29915</v>
      </c>
      <c r="S211" s="41">
        <v>30071</v>
      </c>
      <c r="T211" s="41">
        <v>30253</v>
      </c>
      <c r="U211" s="41">
        <v>30424</v>
      </c>
      <c r="V211" s="41">
        <v>30594</v>
      </c>
      <c r="W211" s="41">
        <v>30756</v>
      </c>
      <c r="X211" s="41">
        <v>30930</v>
      </c>
      <c r="Y211" s="41">
        <v>31104</v>
      </c>
      <c r="Z211" s="41">
        <v>31272</v>
      </c>
      <c r="AA211" s="41">
        <v>31432</v>
      </c>
      <c r="AB211" s="41">
        <v>31575</v>
      </c>
      <c r="AC211" s="41">
        <v>31731</v>
      </c>
      <c r="AD211" s="41">
        <v>31881</v>
      </c>
      <c r="AE211" s="41">
        <v>32010</v>
      </c>
      <c r="AF211" s="41">
        <v>32155</v>
      </c>
      <c r="AG211" s="41">
        <v>32286</v>
      </c>
      <c r="AH211" s="41">
        <v>32411</v>
      </c>
      <c r="AI211" s="41">
        <v>32533</v>
      </c>
      <c r="AJ211" s="41">
        <v>32641</v>
      </c>
      <c r="AK211" s="41">
        <v>32754</v>
      </c>
      <c r="AL211" s="41">
        <v>32868</v>
      </c>
      <c r="AM211" s="41">
        <v>32974</v>
      </c>
      <c r="AN211" s="41">
        <v>33078</v>
      </c>
      <c r="AO211" s="41">
        <v>33177</v>
      </c>
      <c r="AP211" s="41">
        <v>33267</v>
      </c>
      <c r="AQ211" s="41">
        <v>33368</v>
      </c>
    </row>
    <row r="212" spans="1:43">
      <c r="A212" s="38" t="s">
        <v>540</v>
      </c>
      <c r="B212" s="38" t="s">
        <v>541</v>
      </c>
      <c r="C212" s="41">
        <v>38086</v>
      </c>
      <c r="D212" s="41">
        <v>38441</v>
      </c>
      <c r="E212" s="41">
        <v>38689</v>
      </c>
      <c r="F212" s="41">
        <v>38873</v>
      </c>
      <c r="G212" s="41">
        <v>39092</v>
      </c>
      <c r="H212" s="41">
        <v>39355</v>
      </c>
      <c r="I212" s="41">
        <v>39817</v>
      </c>
      <c r="J212" s="41">
        <v>40209</v>
      </c>
      <c r="K212" s="41">
        <v>40261</v>
      </c>
      <c r="L212" s="41">
        <v>40472</v>
      </c>
      <c r="M212" s="41">
        <v>40882</v>
      </c>
      <c r="N212" s="41">
        <v>41012</v>
      </c>
      <c r="O212" s="41">
        <v>41138</v>
      </c>
      <c r="P212" s="41">
        <v>41729</v>
      </c>
      <c r="Q212" s="41">
        <v>42065</v>
      </c>
      <c r="R212" s="41">
        <v>42503</v>
      </c>
      <c r="S212" s="41">
        <v>42888</v>
      </c>
      <c r="T212" s="41">
        <v>43296</v>
      </c>
      <c r="U212" s="41">
        <v>43718</v>
      </c>
      <c r="V212" s="41">
        <v>44144</v>
      </c>
      <c r="W212" s="41">
        <v>44559</v>
      </c>
      <c r="X212" s="41">
        <v>45094</v>
      </c>
      <c r="Y212" s="41">
        <v>45625</v>
      </c>
      <c r="Z212" s="41">
        <v>46150</v>
      </c>
      <c r="AA212" s="41">
        <v>46669</v>
      </c>
      <c r="AB212" s="41">
        <v>47178</v>
      </c>
      <c r="AC212" s="41">
        <v>47735</v>
      </c>
      <c r="AD212" s="41">
        <v>48260</v>
      </c>
      <c r="AE212" s="41">
        <v>48767</v>
      </c>
      <c r="AF212" s="41">
        <v>49273</v>
      </c>
      <c r="AG212" s="41">
        <v>49792</v>
      </c>
      <c r="AH212" s="41">
        <v>50282</v>
      </c>
      <c r="AI212" s="41">
        <v>50775</v>
      </c>
      <c r="AJ212" s="41">
        <v>51252</v>
      </c>
      <c r="AK212" s="41">
        <v>51716</v>
      </c>
      <c r="AL212" s="41">
        <v>52175</v>
      </c>
      <c r="AM212" s="41">
        <v>52603</v>
      </c>
      <c r="AN212" s="41">
        <v>53044</v>
      </c>
      <c r="AO212" s="41">
        <v>53484</v>
      </c>
      <c r="AP212" s="41">
        <v>53906</v>
      </c>
      <c r="AQ212" s="41">
        <v>54348</v>
      </c>
    </row>
    <row r="213" spans="1:43">
      <c r="A213" s="38" t="s">
        <v>542</v>
      </c>
      <c r="B213" s="38" t="s">
        <v>543</v>
      </c>
      <c r="C213" s="41">
        <v>101565</v>
      </c>
      <c r="D213" s="41">
        <v>102360</v>
      </c>
      <c r="E213" s="41">
        <v>103063</v>
      </c>
      <c r="F213" s="41">
        <v>103650</v>
      </c>
      <c r="G213" s="41">
        <v>104279</v>
      </c>
      <c r="H213" s="41">
        <v>104850</v>
      </c>
      <c r="I213" s="41">
        <v>105247</v>
      </c>
      <c r="J213" s="41">
        <v>105768</v>
      </c>
      <c r="K213" s="41">
        <v>106318</v>
      </c>
      <c r="L213" s="41">
        <v>106857</v>
      </c>
      <c r="M213" s="41">
        <v>107922</v>
      </c>
      <c r="N213" s="41">
        <v>108259</v>
      </c>
      <c r="O213" s="41">
        <v>108562</v>
      </c>
      <c r="P213" s="41">
        <v>109177</v>
      </c>
      <c r="Q213" s="41">
        <v>109605</v>
      </c>
      <c r="R213" s="41">
        <v>110247</v>
      </c>
      <c r="S213" s="41">
        <v>110720</v>
      </c>
      <c r="T213" s="41">
        <v>111254</v>
      </c>
      <c r="U213" s="41">
        <v>111753</v>
      </c>
      <c r="V213" s="41">
        <v>112257</v>
      </c>
      <c r="W213" s="41">
        <v>112681</v>
      </c>
      <c r="X213" s="41">
        <v>113220</v>
      </c>
      <c r="Y213" s="41">
        <v>113736</v>
      </c>
      <c r="Z213" s="41">
        <v>114238</v>
      </c>
      <c r="AA213" s="41">
        <v>114716</v>
      </c>
      <c r="AB213" s="41">
        <v>115174</v>
      </c>
      <c r="AC213" s="41">
        <v>115654</v>
      </c>
      <c r="AD213" s="41">
        <v>116144</v>
      </c>
      <c r="AE213" s="41">
        <v>116611</v>
      </c>
      <c r="AF213" s="41">
        <v>117054</v>
      </c>
      <c r="AG213" s="41">
        <v>117518</v>
      </c>
      <c r="AH213" s="41">
        <v>117984</v>
      </c>
      <c r="AI213" s="41">
        <v>118469</v>
      </c>
      <c r="AJ213" s="41">
        <v>118938</v>
      </c>
      <c r="AK213" s="41">
        <v>119358</v>
      </c>
      <c r="AL213" s="41">
        <v>119831</v>
      </c>
      <c r="AM213" s="41">
        <v>120280</v>
      </c>
      <c r="AN213" s="41">
        <v>120748</v>
      </c>
      <c r="AO213" s="41">
        <v>121204</v>
      </c>
      <c r="AP213" s="41">
        <v>121622</v>
      </c>
      <c r="AQ213" s="41">
        <v>122081</v>
      </c>
    </row>
    <row r="214" spans="1:43">
      <c r="A214" s="38" t="s">
        <v>544</v>
      </c>
      <c r="B214" s="38" t="s">
        <v>545</v>
      </c>
      <c r="C214" s="41">
        <v>36225</v>
      </c>
      <c r="D214" s="41">
        <v>36645</v>
      </c>
      <c r="E214" s="41">
        <v>36861</v>
      </c>
      <c r="F214" s="41">
        <v>37215</v>
      </c>
      <c r="G214" s="41">
        <v>37810</v>
      </c>
      <c r="H214" s="41">
        <v>38557</v>
      </c>
      <c r="I214" s="41">
        <v>39264</v>
      </c>
      <c r="J214" s="41">
        <v>40036</v>
      </c>
      <c r="K214" s="41">
        <v>40571</v>
      </c>
      <c r="L214" s="41">
        <v>41169</v>
      </c>
      <c r="M214" s="41">
        <v>41803</v>
      </c>
      <c r="N214" s="41">
        <v>42057</v>
      </c>
      <c r="O214" s="41">
        <v>42405</v>
      </c>
      <c r="P214" s="41">
        <v>42938</v>
      </c>
      <c r="Q214" s="41">
        <v>43488</v>
      </c>
      <c r="R214" s="41">
        <v>43841</v>
      </c>
      <c r="S214" s="41">
        <v>44223</v>
      </c>
      <c r="T214" s="41">
        <v>44591</v>
      </c>
      <c r="U214" s="41">
        <v>44958</v>
      </c>
      <c r="V214" s="41">
        <v>45309</v>
      </c>
      <c r="W214" s="41">
        <v>45646</v>
      </c>
      <c r="X214" s="41">
        <v>46033</v>
      </c>
      <c r="Y214" s="41">
        <v>46388</v>
      </c>
      <c r="Z214" s="41">
        <v>46744</v>
      </c>
      <c r="AA214" s="41">
        <v>47091</v>
      </c>
      <c r="AB214" s="41">
        <v>47409</v>
      </c>
      <c r="AC214" s="41">
        <v>47757</v>
      </c>
      <c r="AD214" s="41">
        <v>48085</v>
      </c>
      <c r="AE214" s="41">
        <v>48416</v>
      </c>
      <c r="AF214" s="41">
        <v>48724</v>
      </c>
      <c r="AG214" s="41">
        <v>49052</v>
      </c>
      <c r="AH214" s="41">
        <v>49388</v>
      </c>
      <c r="AI214" s="41">
        <v>49722</v>
      </c>
      <c r="AJ214" s="41">
        <v>50050</v>
      </c>
      <c r="AK214" s="41">
        <v>50362</v>
      </c>
      <c r="AL214" s="41">
        <v>50708</v>
      </c>
      <c r="AM214" s="41">
        <v>51038</v>
      </c>
      <c r="AN214" s="41">
        <v>51369</v>
      </c>
      <c r="AO214" s="41">
        <v>51700</v>
      </c>
      <c r="AP214" s="41">
        <v>52021</v>
      </c>
      <c r="AQ214" s="41">
        <v>52355</v>
      </c>
    </row>
    <row r="215" spans="1:43">
      <c r="A215" s="38" t="s">
        <v>546</v>
      </c>
      <c r="B215" s="38" t="s">
        <v>547</v>
      </c>
      <c r="C215" s="41">
        <v>31392</v>
      </c>
      <c r="D215" s="41">
        <v>31463</v>
      </c>
      <c r="E215" s="41">
        <v>31449</v>
      </c>
      <c r="F215" s="41">
        <v>31163</v>
      </c>
      <c r="G215" s="41">
        <v>31288</v>
      </c>
      <c r="H215" s="41">
        <v>31306</v>
      </c>
      <c r="I215" s="41">
        <v>31713</v>
      </c>
      <c r="J215" s="41">
        <v>31871</v>
      </c>
      <c r="K215" s="41">
        <v>32068</v>
      </c>
      <c r="L215" s="41">
        <v>32293</v>
      </c>
      <c r="M215" s="41">
        <v>32512</v>
      </c>
      <c r="N215" s="41">
        <v>32784</v>
      </c>
      <c r="O215" s="41">
        <v>33201</v>
      </c>
      <c r="P215" s="41">
        <v>33489</v>
      </c>
      <c r="Q215" s="41">
        <v>33773</v>
      </c>
      <c r="R215" s="41">
        <v>34169</v>
      </c>
      <c r="S215" s="41">
        <v>34440</v>
      </c>
      <c r="T215" s="41">
        <v>34714</v>
      </c>
      <c r="U215" s="41">
        <v>34994</v>
      </c>
      <c r="V215" s="41">
        <v>35222</v>
      </c>
      <c r="W215" s="41">
        <v>35423</v>
      </c>
      <c r="X215" s="41">
        <v>35672</v>
      </c>
      <c r="Y215" s="41">
        <v>35922</v>
      </c>
      <c r="Z215" s="41">
        <v>36178</v>
      </c>
      <c r="AA215" s="41">
        <v>36419</v>
      </c>
      <c r="AB215" s="41">
        <v>36666</v>
      </c>
      <c r="AC215" s="41">
        <v>36916</v>
      </c>
      <c r="AD215" s="41">
        <v>37191</v>
      </c>
      <c r="AE215" s="41">
        <v>37440</v>
      </c>
      <c r="AF215" s="41">
        <v>37695</v>
      </c>
      <c r="AG215" s="41">
        <v>37947</v>
      </c>
      <c r="AH215" s="41">
        <v>38203</v>
      </c>
      <c r="AI215" s="41">
        <v>38454</v>
      </c>
      <c r="AJ215" s="41">
        <v>38690</v>
      </c>
      <c r="AK215" s="41">
        <v>38925</v>
      </c>
      <c r="AL215" s="41">
        <v>39154</v>
      </c>
      <c r="AM215" s="41">
        <v>39388</v>
      </c>
      <c r="AN215" s="41">
        <v>39617</v>
      </c>
      <c r="AO215" s="41">
        <v>39840</v>
      </c>
      <c r="AP215" s="41">
        <v>40056</v>
      </c>
      <c r="AQ215" s="41">
        <v>40273</v>
      </c>
    </row>
    <row r="216" spans="1:43">
      <c r="A216" s="38" t="s">
        <v>548</v>
      </c>
      <c r="B216" s="38" t="s">
        <v>549</v>
      </c>
      <c r="C216" s="41">
        <v>43449</v>
      </c>
      <c r="D216" s="41">
        <v>43695</v>
      </c>
      <c r="E216" s="41">
        <v>43880</v>
      </c>
      <c r="F216" s="41">
        <v>44096</v>
      </c>
      <c r="G216" s="41">
        <v>44209</v>
      </c>
      <c r="H216" s="41">
        <v>44657</v>
      </c>
      <c r="I216" s="41">
        <v>44804</v>
      </c>
      <c r="J216" s="41">
        <v>45105</v>
      </c>
      <c r="K216" s="41">
        <v>45419</v>
      </c>
      <c r="L216" s="41">
        <v>45643</v>
      </c>
      <c r="M216" s="41">
        <v>45752</v>
      </c>
      <c r="N216" s="41">
        <v>45928</v>
      </c>
      <c r="O216" s="41">
        <v>46390</v>
      </c>
      <c r="P216" s="41">
        <v>46777</v>
      </c>
      <c r="Q216" s="41">
        <v>47043</v>
      </c>
      <c r="R216" s="41">
        <v>47338</v>
      </c>
      <c r="S216" s="41">
        <v>47714</v>
      </c>
      <c r="T216" s="41">
        <v>48063</v>
      </c>
      <c r="U216" s="41">
        <v>48422</v>
      </c>
      <c r="V216" s="41">
        <v>48763</v>
      </c>
      <c r="W216" s="41">
        <v>49083</v>
      </c>
      <c r="X216" s="41">
        <v>49504</v>
      </c>
      <c r="Y216" s="41">
        <v>49907</v>
      </c>
      <c r="Z216" s="41">
        <v>50313</v>
      </c>
      <c r="AA216" s="41">
        <v>50696</v>
      </c>
      <c r="AB216" s="41">
        <v>51083</v>
      </c>
      <c r="AC216" s="41">
        <v>51477</v>
      </c>
      <c r="AD216" s="41">
        <v>51870</v>
      </c>
      <c r="AE216" s="41">
        <v>52244</v>
      </c>
      <c r="AF216" s="41">
        <v>52609</v>
      </c>
      <c r="AG216" s="41">
        <v>52969</v>
      </c>
      <c r="AH216" s="41">
        <v>53329</v>
      </c>
      <c r="AI216" s="41">
        <v>53675</v>
      </c>
      <c r="AJ216" s="41">
        <v>54015</v>
      </c>
      <c r="AK216" s="41">
        <v>54344</v>
      </c>
      <c r="AL216" s="41">
        <v>54677</v>
      </c>
      <c r="AM216" s="41">
        <v>54982</v>
      </c>
      <c r="AN216" s="41">
        <v>55298</v>
      </c>
      <c r="AO216" s="41">
        <v>55622</v>
      </c>
      <c r="AP216" s="41">
        <v>55928</v>
      </c>
      <c r="AQ216" s="41">
        <v>56242</v>
      </c>
    </row>
    <row r="217" spans="1:43">
      <c r="A217" s="38" t="s">
        <v>550</v>
      </c>
      <c r="B217" s="38" t="s">
        <v>551</v>
      </c>
      <c r="C217" s="41">
        <v>34930</v>
      </c>
      <c r="D217" s="41">
        <v>34627</v>
      </c>
      <c r="E217" s="41">
        <v>34538</v>
      </c>
      <c r="F217" s="41">
        <v>34418</v>
      </c>
      <c r="G217" s="41">
        <v>34649</v>
      </c>
      <c r="H217" s="41">
        <v>34939</v>
      </c>
      <c r="I217" s="41">
        <v>35144</v>
      </c>
      <c r="J217" s="41">
        <v>35454</v>
      </c>
      <c r="K217" s="41">
        <v>35555</v>
      </c>
      <c r="L217" s="41">
        <v>35812</v>
      </c>
      <c r="M217" s="41">
        <v>36315</v>
      </c>
      <c r="N217" s="41">
        <v>36669</v>
      </c>
      <c r="O217" s="41">
        <v>36869</v>
      </c>
      <c r="P217" s="41">
        <v>37104</v>
      </c>
      <c r="Q217" s="41">
        <v>37241</v>
      </c>
      <c r="R217" s="41">
        <v>37645</v>
      </c>
      <c r="S217" s="41">
        <v>37733</v>
      </c>
      <c r="T217" s="41">
        <v>37815</v>
      </c>
      <c r="U217" s="41">
        <v>37901</v>
      </c>
      <c r="V217" s="41">
        <v>37994</v>
      </c>
      <c r="W217" s="41">
        <v>38063</v>
      </c>
      <c r="X217" s="41">
        <v>38204</v>
      </c>
      <c r="Y217" s="41">
        <v>38338</v>
      </c>
      <c r="Z217" s="41">
        <v>38466</v>
      </c>
      <c r="AA217" s="41">
        <v>38594</v>
      </c>
      <c r="AB217" s="41">
        <v>38719</v>
      </c>
      <c r="AC217" s="41">
        <v>38844</v>
      </c>
      <c r="AD217" s="41">
        <v>38956</v>
      </c>
      <c r="AE217" s="41">
        <v>39066</v>
      </c>
      <c r="AF217" s="41">
        <v>39197</v>
      </c>
      <c r="AG217" s="41">
        <v>39322</v>
      </c>
      <c r="AH217" s="41">
        <v>39444</v>
      </c>
      <c r="AI217" s="41">
        <v>39580</v>
      </c>
      <c r="AJ217" s="41">
        <v>39712</v>
      </c>
      <c r="AK217" s="41">
        <v>39859</v>
      </c>
      <c r="AL217" s="41">
        <v>40013</v>
      </c>
      <c r="AM217" s="41">
        <v>40145</v>
      </c>
      <c r="AN217" s="41">
        <v>40296</v>
      </c>
      <c r="AO217" s="41">
        <v>40434</v>
      </c>
      <c r="AP217" s="41">
        <v>40579</v>
      </c>
      <c r="AQ217" s="41">
        <v>40718</v>
      </c>
    </row>
    <row r="218" spans="1:43">
      <c r="A218" s="38" t="s">
        <v>552</v>
      </c>
      <c r="B218" s="38" t="s">
        <v>553</v>
      </c>
      <c r="C218" s="41">
        <v>13457</v>
      </c>
      <c r="D218" s="41">
        <v>13729</v>
      </c>
      <c r="E218" s="41">
        <v>13881</v>
      </c>
      <c r="F218" s="41">
        <v>14026</v>
      </c>
      <c r="G218" s="41">
        <v>14332</v>
      </c>
      <c r="H218" s="41">
        <v>14550</v>
      </c>
      <c r="I218" s="41">
        <v>14748</v>
      </c>
      <c r="J218" s="41">
        <v>14960</v>
      </c>
      <c r="K218" s="41">
        <v>14999</v>
      </c>
      <c r="L218" s="41">
        <v>15168</v>
      </c>
      <c r="M218" s="41">
        <v>15068</v>
      </c>
      <c r="N218" s="41">
        <v>14871</v>
      </c>
      <c r="O218" s="41">
        <v>15274</v>
      </c>
      <c r="P218" s="41">
        <v>15604</v>
      </c>
      <c r="Q218" s="41">
        <v>15724</v>
      </c>
      <c r="R218" s="41">
        <v>16095</v>
      </c>
      <c r="S218" s="41">
        <v>16218</v>
      </c>
      <c r="T218" s="41">
        <v>16413</v>
      </c>
      <c r="U218" s="41">
        <v>16548</v>
      </c>
      <c r="V218" s="41">
        <v>16667</v>
      </c>
      <c r="W218" s="41">
        <v>16790</v>
      </c>
      <c r="X218" s="41">
        <v>16926</v>
      </c>
      <c r="Y218" s="41">
        <v>17061</v>
      </c>
      <c r="Z218" s="41">
        <v>17196</v>
      </c>
      <c r="AA218" s="41">
        <v>17313</v>
      </c>
      <c r="AB218" s="41">
        <v>17436</v>
      </c>
      <c r="AC218" s="41">
        <v>17565</v>
      </c>
      <c r="AD218" s="41">
        <v>17682</v>
      </c>
      <c r="AE218" s="41">
        <v>17800</v>
      </c>
      <c r="AF218" s="41">
        <v>17914</v>
      </c>
      <c r="AG218" s="41">
        <v>18022</v>
      </c>
      <c r="AH218" s="41">
        <v>18131</v>
      </c>
      <c r="AI218" s="41">
        <v>18239</v>
      </c>
      <c r="AJ218" s="41">
        <v>18348</v>
      </c>
      <c r="AK218" s="41">
        <v>18446</v>
      </c>
      <c r="AL218" s="41">
        <v>18551</v>
      </c>
      <c r="AM218" s="41">
        <v>18653</v>
      </c>
      <c r="AN218" s="41">
        <v>18754</v>
      </c>
      <c r="AO218" s="41">
        <v>18857</v>
      </c>
      <c r="AP218" s="41">
        <v>18948</v>
      </c>
      <c r="AQ218" s="41">
        <v>19049</v>
      </c>
    </row>
    <row r="219" spans="1:43">
      <c r="A219" s="38" t="s">
        <v>554</v>
      </c>
      <c r="B219" s="38" t="s">
        <v>555</v>
      </c>
      <c r="C219" s="41">
        <v>21343</v>
      </c>
      <c r="D219" s="41">
        <v>21365</v>
      </c>
      <c r="E219" s="41">
        <v>21568</v>
      </c>
      <c r="F219" s="41">
        <v>21817</v>
      </c>
      <c r="G219" s="41">
        <v>22049</v>
      </c>
      <c r="H219" s="41">
        <v>22096</v>
      </c>
      <c r="I219" s="41">
        <v>22221</v>
      </c>
      <c r="J219" s="41">
        <v>22284</v>
      </c>
      <c r="K219" s="41">
        <v>22402</v>
      </c>
      <c r="L219" s="41">
        <v>22404</v>
      </c>
      <c r="M219" s="41">
        <v>22553</v>
      </c>
      <c r="N219" s="41">
        <v>22742</v>
      </c>
      <c r="O219" s="41">
        <v>22861</v>
      </c>
      <c r="P219" s="41">
        <v>23140</v>
      </c>
      <c r="Q219" s="41">
        <v>23412</v>
      </c>
      <c r="R219" s="41">
        <v>23667</v>
      </c>
      <c r="S219" s="41">
        <v>23863</v>
      </c>
      <c r="T219" s="41">
        <v>24061</v>
      </c>
      <c r="U219" s="41">
        <v>24255</v>
      </c>
      <c r="V219" s="41">
        <v>24454</v>
      </c>
      <c r="W219" s="41">
        <v>24624</v>
      </c>
      <c r="X219" s="41">
        <v>24815</v>
      </c>
      <c r="Y219" s="41">
        <v>24996</v>
      </c>
      <c r="Z219" s="41">
        <v>25176</v>
      </c>
      <c r="AA219" s="41">
        <v>25352</v>
      </c>
      <c r="AB219" s="41">
        <v>25521</v>
      </c>
      <c r="AC219" s="41">
        <v>25681</v>
      </c>
      <c r="AD219" s="41">
        <v>25831</v>
      </c>
      <c r="AE219" s="41">
        <v>25981</v>
      </c>
      <c r="AF219" s="41">
        <v>26127</v>
      </c>
      <c r="AG219" s="41">
        <v>26267</v>
      </c>
      <c r="AH219" s="41">
        <v>26400</v>
      </c>
      <c r="AI219" s="41">
        <v>26518</v>
      </c>
      <c r="AJ219" s="41">
        <v>26633</v>
      </c>
      <c r="AK219" s="41">
        <v>26745</v>
      </c>
      <c r="AL219" s="41">
        <v>26848</v>
      </c>
      <c r="AM219" s="41">
        <v>26960</v>
      </c>
      <c r="AN219" s="41">
        <v>27060</v>
      </c>
      <c r="AO219" s="41">
        <v>27165</v>
      </c>
      <c r="AP219" s="41">
        <v>27254</v>
      </c>
      <c r="AQ219" s="41">
        <v>27364</v>
      </c>
    </row>
    <row r="220" spans="1:43">
      <c r="A220" s="38" t="s">
        <v>556</v>
      </c>
      <c r="B220" s="38" t="s">
        <v>557</v>
      </c>
      <c r="C220" s="41">
        <v>93851</v>
      </c>
      <c r="D220" s="41">
        <v>93832</v>
      </c>
      <c r="E220" s="41">
        <v>94348</v>
      </c>
      <c r="F220" s="41">
        <v>94741</v>
      </c>
      <c r="G220" s="41">
        <v>95617</v>
      </c>
      <c r="H220" s="41">
        <v>96713</v>
      </c>
      <c r="I220" s="41">
        <v>97594</v>
      </c>
      <c r="J220" s="41">
        <v>98919</v>
      </c>
      <c r="K220" s="41">
        <v>100004</v>
      </c>
      <c r="L220" s="41">
        <v>101255</v>
      </c>
      <c r="M220" s="41">
        <v>102633</v>
      </c>
      <c r="N220" s="41">
        <v>103796</v>
      </c>
      <c r="O220" s="41">
        <v>104893</v>
      </c>
      <c r="P220" s="41">
        <v>106303</v>
      </c>
      <c r="Q220" s="41">
        <v>107985</v>
      </c>
      <c r="R220" s="41">
        <v>109555</v>
      </c>
      <c r="S220" s="41">
        <v>110948</v>
      </c>
      <c r="T220" s="41">
        <v>112291</v>
      </c>
      <c r="U220" s="41">
        <v>113561</v>
      </c>
      <c r="V220" s="41">
        <v>114767</v>
      </c>
      <c r="W220" s="41">
        <v>115954</v>
      </c>
      <c r="X220" s="41">
        <v>116914</v>
      </c>
      <c r="Y220" s="41">
        <v>117800</v>
      </c>
      <c r="Z220" s="41">
        <v>118664</v>
      </c>
      <c r="AA220" s="41">
        <v>119514</v>
      </c>
      <c r="AB220" s="41">
        <v>120368</v>
      </c>
      <c r="AC220" s="41">
        <v>121252</v>
      </c>
      <c r="AD220" s="41">
        <v>122125</v>
      </c>
      <c r="AE220" s="41">
        <v>122993</v>
      </c>
      <c r="AF220" s="41">
        <v>123872</v>
      </c>
      <c r="AG220" s="41">
        <v>124807</v>
      </c>
      <c r="AH220" s="41">
        <v>125759</v>
      </c>
      <c r="AI220" s="41">
        <v>126713</v>
      </c>
      <c r="AJ220" s="41">
        <v>127670</v>
      </c>
      <c r="AK220" s="41">
        <v>128613</v>
      </c>
      <c r="AL220" s="41">
        <v>129615</v>
      </c>
      <c r="AM220" s="41">
        <v>130569</v>
      </c>
      <c r="AN220" s="41">
        <v>131530</v>
      </c>
      <c r="AO220" s="41">
        <v>132456</v>
      </c>
      <c r="AP220" s="41">
        <v>133345</v>
      </c>
      <c r="AQ220" s="41">
        <v>134251</v>
      </c>
    </row>
    <row r="221" spans="1:43">
      <c r="A221" s="38" t="s">
        <v>558</v>
      </c>
      <c r="B221" s="38" t="s">
        <v>559</v>
      </c>
      <c r="C221" s="41">
        <v>115455</v>
      </c>
      <c r="D221" s="41">
        <v>115393</v>
      </c>
      <c r="E221" s="41">
        <v>115599</v>
      </c>
      <c r="F221" s="41">
        <v>115778</v>
      </c>
      <c r="G221" s="41">
        <v>116124</v>
      </c>
      <c r="H221" s="41">
        <v>116560</v>
      </c>
      <c r="I221" s="41">
        <v>116786</v>
      </c>
      <c r="J221" s="41">
        <v>117700</v>
      </c>
      <c r="K221" s="41">
        <v>118680</v>
      </c>
      <c r="L221" s="41">
        <v>119835</v>
      </c>
      <c r="M221" s="41">
        <v>120873</v>
      </c>
      <c r="N221" s="41">
        <v>121374</v>
      </c>
      <c r="O221" s="41">
        <v>122007</v>
      </c>
      <c r="P221" s="41">
        <v>122792</v>
      </c>
      <c r="Q221" s="41">
        <v>123572</v>
      </c>
      <c r="R221" s="41">
        <v>124758</v>
      </c>
      <c r="S221" s="41">
        <v>125595</v>
      </c>
      <c r="T221" s="41">
        <v>126433</v>
      </c>
      <c r="U221" s="41">
        <v>127259</v>
      </c>
      <c r="V221" s="41">
        <v>128031</v>
      </c>
      <c r="W221" s="41">
        <v>128791</v>
      </c>
      <c r="X221" s="41">
        <v>129803</v>
      </c>
      <c r="Y221" s="41">
        <v>130767</v>
      </c>
      <c r="Z221" s="41">
        <v>131733</v>
      </c>
      <c r="AA221" s="41">
        <v>132689</v>
      </c>
      <c r="AB221" s="41">
        <v>133656</v>
      </c>
      <c r="AC221" s="41">
        <v>134643</v>
      </c>
      <c r="AD221" s="41">
        <v>135637</v>
      </c>
      <c r="AE221" s="41">
        <v>136641</v>
      </c>
      <c r="AF221" s="41">
        <v>137618</v>
      </c>
      <c r="AG221" s="41">
        <v>138628</v>
      </c>
      <c r="AH221" s="41">
        <v>139690</v>
      </c>
      <c r="AI221" s="41">
        <v>140764</v>
      </c>
      <c r="AJ221" s="41">
        <v>141819</v>
      </c>
      <c r="AK221" s="41">
        <v>142859</v>
      </c>
      <c r="AL221" s="41">
        <v>143922</v>
      </c>
      <c r="AM221" s="41">
        <v>145015</v>
      </c>
      <c r="AN221" s="41">
        <v>146128</v>
      </c>
      <c r="AO221" s="41">
        <v>147189</v>
      </c>
      <c r="AP221" s="41">
        <v>148223</v>
      </c>
      <c r="AQ221" s="41">
        <v>149246</v>
      </c>
    </row>
    <row r="222" spans="1:43">
      <c r="A222" s="38" t="s">
        <v>560</v>
      </c>
      <c r="B222" s="38" t="s">
        <v>561</v>
      </c>
      <c r="C222" s="41">
        <v>46505</v>
      </c>
      <c r="D222" s="41">
        <v>46973</v>
      </c>
      <c r="E222" s="41">
        <v>47386</v>
      </c>
      <c r="F222" s="41">
        <v>47773</v>
      </c>
      <c r="G222" s="41">
        <v>47998</v>
      </c>
      <c r="H222" s="41">
        <v>48155</v>
      </c>
      <c r="I222" s="41">
        <v>48248</v>
      </c>
      <c r="J222" s="41">
        <v>48516</v>
      </c>
      <c r="K222" s="41">
        <v>48599</v>
      </c>
      <c r="L222" s="41">
        <v>48780</v>
      </c>
      <c r="M222" s="41">
        <v>49276</v>
      </c>
      <c r="N222" s="41">
        <v>49380</v>
      </c>
      <c r="O222" s="41">
        <v>49286</v>
      </c>
      <c r="P222" s="41">
        <v>49420</v>
      </c>
      <c r="Q222" s="41">
        <v>49501</v>
      </c>
      <c r="R222" s="41">
        <v>49669</v>
      </c>
      <c r="S222" s="41">
        <v>49735</v>
      </c>
      <c r="T222" s="41">
        <v>49826</v>
      </c>
      <c r="U222" s="41">
        <v>49946</v>
      </c>
      <c r="V222" s="41">
        <v>50019</v>
      </c>
      <c r="W222" s="41">
        <v>50102</v>
      </c>
      <c r="X222" s="41">
        <v>50248</v>
      </c>
      <c r="Y222" s="41">
        <v>50382</v>
      </c>
      <c r="Z222" s="41">
        <v>50530</v>
      </c>
      <c r="AA222" s="41">
        <v>50657</v>
      </c>
      <c r="AB222" s="41">
        <v>50789</v>
      </c>
      <c r="AC222" s="41">
        <v>50941</v>
      </c>
      <c r="AD222" s="41">
        <v>51080</v>
      </c>
      <c r="AE222" s="41">
        <v>51214</v>
      </c>
      <c r="AF222" s="41">
        <v>51336</v>
      </c>
      <c r="AG222" s="41">
        <v>51475</v>
      </c>
      <c r="AH222" s="41">
        <v>51595</v>
      </c>
      <c r="AI222" s="41">
        <v>51720</v>
      </c>
      <c r="AJ222" s="41">
        <v>51831</v>
      </c>
      <c r="AK222" s="41">
        <v>51928</v>
      </c>
      <c r="AL222" s="41">
        <v>52029</v>
      </c>
      <c r="AM222" s="41">
        <v>52099</v>
      </c>
      <c r="AN222" s="41">
        <v>52185</v>
      </c>
      <c r="AO222" s="41">
        <v>52254</v>
      </c>
      <c r="AP222" s="41">
        <v>52315</v>
      </c>
      <c r="AQ222" s="41">
        <v>52387</v>
      </c>
    </row>
    <row r="223" spans="1:43">
      <c r="A223" s="38" t="s">
        <v>562</v>
      </c>
      <c r="B223" s="38" t="s">
        <v>563</v>
      </c>
      <c r="C223" s="41">
        <v>44198</v>
      </c>
      <c r="D223" s="41">
        <v>44719</v>
      </c>
      <c r="E223" s="41">
        <v>45058</v>
      </c>
      <c r="F223" s="41">
        <v>45584</v>
      </c>
      <c r="G223" s="41">
        <v>46078</v>
      </c>
      <c r="H223" s="41">
        <v>46533</v>
      </c>
      <c r="I223" s="41">
        <v>47173</v>
      </c>
      <c r="J223" s="41">
        <v>47583</v>
      </c>
      <c r="K223" s="41">
        <v>47676</v>
      </c>
      <c r="L223" s="41">
        <v>48023</v>
      </c>
      <c r="M223" s="41">
        <v>48741</v>
      </c>
      <c r="N223" s="41">
        <v>49302</v>
      </c>
      <c r="O223" s="41">
        <v>49851</v>
      </c>
      <c r="P223" s="41">
        <v>50543</v>
      </c>
      <c r="Q223" s="41">
        <v>51169</v>
      </c>
      <c r="R223" s="41">
        <v>51754</v>
      </c>
      <c r="S223" s="41">
        <v>52352</v>
      </c>
      <c r="T223" s="41">
        <v>52917</v>
      </c>
      <c r="U223" s="41">
        <v>53491</v>
      </c>
      <c r="V223" s="41">
        <v>54053</v>
      </c>
      <c r="W223" s="41">
        <v>54554</v>
      </c>
      <c r="X223" s="41">
        <v>55127</v>
      </c>
      <c r="Y223" s="41">
        <v>55700</v>
      </c>
      <c r="Z223" s="41">
        <v>56250</v>
      </c>
      <c r="AA223" s="41">
        <v>56773</v>
      </c>
      <c r="AB223" s="41">
        <v>57283</v>
      </c>
      <c r="AC223" s="41">
        <v>57819</v>
      </c>
      <c r="AD223" s="41">
        <v>58353</v>
      </c>
      <c r="AE223" s="41">
        <v>58856</v>
      </c>
      <c r="AF223" s="41">
        <v>59356</v>
      </c>
      <c r="AG223" s="41">
        <v>59849</v>
      </c>
      <c r="AH223" s="41">
        <v>60337</v>
      </c>
      <c r="AI223" s="41">
        <v>60836</v>
      </c>
      <c r="AJ223" s="41">
        <v>61324</v>
      </c>
      <c r="AK223" s="41">
        <v>61807</v>
      </c>
      <c r="AL223" s="41">
        <v>62273</v>
      </c>
      <c r="AM223" s="41">
        <v>62723</v>
      </c>
      <c r="AN223" s="41">
        <v>63174</v>
      </c>
      <c r="AO223" s="41">
        <v>63613</v>
      </c>
      <c r="AP223" s="41">
        <v>64042</v>
      </c>
      <c r="AQ223" s="41">
        <v>64472</v>
      </c>
    </row>
    <row r="224" spans="1:43">
      <c r="A224" s="38" t="s">
        <v>564</v>
      </c>
      <c r="B224" s="38" t="s">
        <v>565</v>
      </c>
      <c r="C224" s="41">
        <v>116093</v>
      </c>
      <c r="D224" s="41">
        <v>115845</v>
      </c>
      <c r="E224" s="41">
        <v>115850</v>
      </c>
      <c r="F224" s="41">
        <v>115739</v>
      </c>
      <c r="G224" s="41">
        <v>115464</v>
      </c>
      <c r="H224" s="41">
        <v>115472</v>
      </c>
      <c r="I224" s="41">
        <v>115550</v>
      </c>
      <c r="J224" s="41">
        <v>115842</v>
      </c>
      <c r="K224" s="41">
        <v>116088</v>
      </c>
      <c r="L224" s="41">
        <v>116387</v>
      </c>
      <c r="M224" s="41">
        <v>117755</v>
      </c>
      <c r="N224" s="41">
        <v>118052</v>
      </c>
      <c r="O224" s="41">
        <v>118071</v>
      </c>
      <c r="P224" s="41">
        <v>118583</v>
      </c>
      <c r="Q224" s="41">
        <v>118942</v>
      </c>
      <c r="R224" s="41">
        <v>119475</v>
      </c>
      <c r="S224" s="41">
        <v>119845</v>
      </c>
      <c r="T224" s="41">
        <v>120187</v>
      </c>
      <c r="U224" s="41">
        <v>120516</v>
      </c>
      <c r="V224" s="41">
        <v>120840</v>
      </c>
      <c r="W224" s="41">
        <v>121148</v>
      </c>
      <c r="X224" s="41">
        <v>121549</v>
      </c>
      <c r="Y224" s="41">
        <v>121892</v>
      </c>
      <c r="Z224" s="41">
        <v>122240</v>
      </c>
      <c r="AA224" s="41">
        <v>122563</v>
      </c>
      <c r="AB224" s="41">
        <v>122925</v>
      </c>
      <c r="AC224" s="41">
        <v>123351</v>
      </c>
      <c r="AD224" s="41">
        <v>123733</v>
      </c>
      <c r="AE224" s="41">
        <v>124095</v>
      </c>
      <c r="AF224" s="41">
        <v>124492</v>
      </c>
      <c r="AG224" s="41">
        <v>124945</v>
      </c>
      <c r="AH224" s="41">
        <v>125362</v>
      </c>
      <c r="AI224" s="41">
        <v>125783</v>
      </c>
      <c r="AJ224" s="41">
        <v>126217</v>
      </c>
      <c r="AK224" s="41">
        <v>126654</v>
      </c>
      <c r="AL224" s="41">
        <v>127103</v>
      </c>
      <c r="AM224" s="41">
        <v>127503</v>
      </c>
      <c r="AN224" s="41">
        <v>127910</v>
      </c>
      <c r="AO224" s="41">
        <v>128315</v>
      </c>
      <c r="AP224" s="41">
        <v>128700</v>
      </c>
      <c r="AQ224" s="41">
        <v>129102</v>
      </c>
    </row>
    <row r="225" spans="1:43">
      <c r="A225" s="38" t="s">
        <v>566</v>
      </c>
      <c r="B225" s="38" t="s">
        <v>567</v>
      </c>
      <c r="C225" s="41">
        <v>30675</v>
      </c>
      <c r="D225" s="41">
        <v>30955</v>
      </c>
      <c r="E225" s="41">
        <v>31113</v>
      </c>
      <c r="F225" s="41">
        <v>31398</v>
      </c>
      <c r="G225" s="41">
        <v>31681</v>
      </c>
      <c r="H225" s="41">
        <v>32132</v>
      </c>
      <c r="I225" s="41">
        <v>32655</v>
      </c>
      <c r="J225" s="41">
        <v>33187</v>
      </c>
      <c r="K225" s="41">
        <v>33516</v>
      </c>
      <c r="L225" s="41">
        <v>33947</v>
      </c>
      <c r="M225" s="41">
        <v>34493</v>
      </c>
      <c r="N225" s="41">
        <v>34851</v>
      </c>
      <c r="O225" s="41">
        <v>35135</v>
      </c>
      <c r="P225" s="41">
        <v>35524</v>
      </c>
      <c r="Q225" s="41">
        <v>35860</v>
      </c>
      <c r="R225" s="41">
        <v>36173</v>
      </c>
      <c r="S225" s="41">
        <v>36491</v>
      </c>
      <c r="T225" s="41">
        <v>36794</v>
      </c>
      <c r="U225" s="41">
        <v>37127</v>
      </c>
      <c r="V225" s="41">
        <v>37442</v>
      </c>
      <c r="W225" s="41">
        <v>37694</v>
      </c>
      <c r="X225" s="41">
        <v>38024</v>
      </c>
      <c r="Y225" s="41">
        <v>38347</v>
      </c>
      <c r="Z225" s="41">
        <v>38664</v>
      </c>
      <c r="AA225" s="41">
        <v>38954</v>
      </c>
      <c r="AB225" s="41">
        <v>39233</v>
      </c>
      <c r="AC225" s="41">
        <v>39523</v>
      </c>
      <c r="AD225" s="41">
        <v>39794</v>
      </c>
      <c r="AE225" s="41">
        <v>40075</v>
      </c>
      <c r="AF225" s="41">
        <v>40323</v>
      </c>
      <c r="AG225" s="41">
        <v>40580</v>
      </c>
      <c r="AH225" s="41">
        <v>40817</v>
      </c>
      <c r="AI225" s="41">
        <v>41053</v>
      </c>
      <c r="AJ225" s="41">
        <v>41285</v>
      </c>
      <c r="AK225" s="41">
        <v>41495</v>
      </c>
      <c r="AL225" s="41">
        <v>41713</v>
      </c>
      <c r="AM225" s="41">
        <v>41920</v>
      </c>
      <c r="AN225" s="41">
        <v>42129</v>
      </c>
      <c r="AO225" s="41">
        <v>42327</v>
      </c>
      <c r="AP225" s="41">
        <v>42514</v>
      </c>
      <c r="AQ225" s="41">
        <v>42710</v>
      </c>
    </row>
    <row r="226" spans="1:43">
      <c r="A226" s="38" t="s">
        <v>568</v>
      </c>
      <c r="B226" s="38" t="s">
        <v>569</v>
      </c>
      <c r="C226" s="41">
        <v>44134</v>
      </c>
      <c r="D226" s="41">
        <v>44127</v>
      </c>
      <c r="E226" s="41">
        <v>44212</v>
      </c>
      <c r="F226" s="41">
        <v>44532</v>
      </c>
      <c r="G226" s="41">
        <v>44994</v>
      </c>
      <c r="H226" s="41">
        <v>45522</v>
      </c>
      <c r="I226" s="41">
        <v>45758</v>
      </c>
      <c r="J226" s="41">
        <v>45887</v>
      </c>
      <c r="K226" s="41">
        <v>46155</v>
      </c>
      <c r="L226" s="41">
        <v>46483</v>
      </c>
      <c r="M226" s="41">
        <v>47060</v>
      </c>
      <c r="N226" s="41">
        <v>47452</v>
      </c>
      <c r="O226" s="41">
        <v>47661</v>
      </c>
      <c r="P226" s="41">
        <v>48033</v>
      </c>
      <c r="Q226" s="41">
        <v>48235</v>
      </c>
      <c r="R226" s="41">
        <v>48506</v>
      </c>
      <c r="S226" s="41">
        <v>48818</v>
      </c>
      <c r="T226" s="41">
        <v>49136</v>
      </c>
      <c r="U226" s="41">
        <v>49464</v>
      </c>
      <c r="V226" s="41">
        <v>49772</v>
      </c>
      <c r="W226" s="41">
        <v>50102</v>
      </c>
      <c r="X226" s="41">
        <v>50491</v>
      </c>
      <c r="Y226" s="41">
        <v>50871</v>
      </c>
      <c r="Z226" s="41">
        <v>51249</v>
      </c>
      <c r="AA226" s="41">
        <v>51603</v>
      </c>
      <c r="AB226" s="41">
        <v>51980</v>
      </c>
      <c r="AC226" s="41">
        <v>52368</v>
      </c>
      <c r="AD226" s="41">
        <v>52744</v>
      </c>
      <c r="AE226" s="41">
        <v>53113</v>
      </c>
      <c r="AF226" s="41">
        <v>53480</v>
      </c>
      <c r="AG226" s="41">
        <v>53856</v>
      </c>
      <c r="AH226" s="41">
        <v>54216</v>
      </c>
      <c r="AI226" s="41">
        <v>54573</v>
      </c>
      <c r="AJ226" s="41">
        <v>54911</v>
      </c>
      <c r="AK226" s="41">
        <v>55270</v>
      </c>
      <c r="AL226" s="41">
        <v>55609</v>
      </c>
      <c r="AM226" s="41">
        <v>55949</v>
      </c>
      <c r="AN226" s="41">
        <v>56278</v>
      </c>
      <c r="AO226" s="41">
        <v>56606</v>
      </c>
      <c r="AP226" s="41">
        <v>56959</v>
      </c>
      <c r="AQ226" s="41">
        <v>57308</v>
      </c>
    </row>
    <row r="227" spans="1:43">
      <c r="A227" s="38" t="s">
        <v>570</v>
      </c>
      <c r="B227" s="38" t="s">
        <v>571</v>
      </c>
      <c r="C227" s="41">
        <v>215748</v>
      </c>
      <c r="D227" s="41">
        <v>216028</v>
      </c>
      <c r="E227" s="41">
        <v>216183</v>
      </c>
      <c r="F227" s="41">
        <v>217647</v>
      </c>
      <c r="G227" s="41">
        <v>219965</v>
      </c>
      <c r="H227" s="41">
        <v>220673</v>
      </c>
      <c r="I227" s="41">
        <v>221383</v>
      </c>
      <c r="J227" s="41">
        <v>222889</v>
      </c>
      <c r="K227" s="41">
        <v>224365</v>
      </c>
      <c r="L227" s="41">
        <v>226248</v>
      </c>
      <c r="M227" s="41">
        <v>228629</v>
      </c>
      <c r="N227" s="41">
        <v>230398</v>
      </c>
      <c r="O227" s="41">
        <v>231932</v>
      </c>
      <c r="P227" s="41">
        <v>233468</v>
      </c>
      <c r="Q227" s="41">
        <v>235623</v>
      </c>
      <c r="R227" s="41">
        <v>237579</v>
      </c>
      <c r="S227" s="41">
        <v>239332</v>
      </c>
      <c r="T227" s="41">
        <v>241088</v>
      </c>
      <c r="U227" s="41">
        <v>242619</v>
      </c>
      <c r="V227" s="41">
        <v>244013</v>
      </c>
      <c r="W227" s="41">
        <v>245256</v>
      </c>
      <c r="X227" s="41">
        <v>246597</v>
      </c>
      <c r="Y227" s="41">
        <v>247933</v>
      </c>
      <c r="Z227" s="41">
        <v>249323</v>
      </c>
      <c r="AA227" s="41">
        <v>250700</v>
      </c>
      <c r="AB227" s="41">
        <v>252123</v>
      </c>
      <c r="AC227" s="41">
        <v>253628</v>
      </c>
      <c r="AD227" s="41">
        <v>255171</v>
      </c>
      <c r="AE227" s="41">
        <v>256649</v>
      </c>
      <c r="AF227" s="41">
        <v>258107</v>
      </c>
      <c r="AG227" s="41">
        <v>259576</v>
      </c>
      <c r="AH227" s="41">
        <v>261142</v>
      </c>
      <c r="AI227" s="41">
        <v>262634</v>
      </c>
      <c r="AJ227" s="41">
        <v>264022</v>
      </c>
      <c r="AK227" s="41">
        <v>265423</v>
      </c>
      <c r="AL227" s="41">
        <v>266879</v>
      </c>
      <c r="AM227" s="41">
        <v>268340</v>
      </c>
      <c r="AN227" s="41">
        <v>269825</v>
      </c>
      <c r="AO227" s="41">
        <v>271242</v>
      </c>
      <c r="AP227" s="41">
        <v>272640</v>
      </c>
      <c r="AQ227" s="41">
        <v>274050</v>
      </c>
    </row>
    <row r="228" spans="1:43">
      <c r="A228" s="38" t="s">
        <v>572</v>
      </c>
      <c r="B228" s="38" t="s">
        <v>573</v>
      </c>
      <c r="C228" s="41">
        <v>116694</v>
      </c>
      <c r="D228" s="41">
        <v>117738</v>
      </c>
      <c r="E228" s="41">
        <v>118796</v>
      </c>
      <c r="F228" s="41">
        <v>120057</v>
      </c>
      <c r="G228" s="41">
        <v>121473</v>
      </c>
      <c r="H228" s="41">
        <v>123027</v>
      </c>
      <c r="I228" s="41">
        <v>124542</v>
      </c>
      <c r="J228" s="41">
        <v>125809</v>
      </c>
      <c r="K228" s="41">
        <v>126671</v>
      </c>
      <c r="L228" s="41">
        <v>127945</v>
      </c>
      <c r="M228" s="41">
        <v>129778</v>
      </c>
      <c r="N228" s="41">
        <v>130757</v>
      </c>
      <c r="O228" s="41">
        <v>131588</v>
      </c>
      <c r="P228" s="41">
        <v>132941</v>
      </c>
      <c r="Q228" s="41">
        <v>134100</v>
      </c>
      <c r="R228" s="41">
        <v>135452</v>
      </c>
      <c r="S228" s="41">
        <v>136524</v>
      </c>
      <c r="T228" s="41">
        <v>137590</v>
      </c>
      <c r="U228" s="41">
        <v>138667</v>
      </c>
      <c r="V228" s="41">
        <v>139675</v>
      </c>
      <c r="W228" s="41">
        <v>140612</v>
      </c>
      <c r="X228" s="41">
        <v>141724</v>
      </c>
      <c r="Y228" s="41">
        <v>142777</v>
      </c>
      <c r="Z228" s="41">
        <v>143806</v>
      </c>
      <c r="AA228" s="41">
        <v>144766</v>
      </c>
      <c r="AB228" s="41">
        <v>145669</v>
      </c>
      <c r="AC228" s="41">
        <v>146596</v>
      </c>
      <c r="AD228" s="41">
        <v>147474</v>
      </c>
      <c r="AE228" s="41">
        <v>148309</v>
      </c>
      <c r="AF228" s="41">
        <v>149107</v>
      </c>
      <c r="AG228" s="41">
        <v>149893</v>
      </c>
      <c r="AH228" s="41">
        <v>150655</v>
      </c>
      <c r="AI228" s="41">
        <v>151403</v>
      </c>
      <c r="AJ228" s="41">
        <v>152098</v>
      </c>
      <c r="AK228" s="41">
        <v>152803</v>
      </c>
      <c r="AL228" s="41">
        <v>153512</v>
      </c>
      <c r="AM228" s="41">
        <v>154177</v>
      </c>
      <c r="AN228" s="41">
        <v>154834</v>
      </c>
      <c r="AO228" s="41">
        <v>155481</v>
      </c>
      <c r="AP228" s="41">
        <v>156093</v>
      </c>
      <c r="AQ228" s="41">
        <v>156746</v>
      </c>
    </row>
    <row r="229" spans="1:43">
      <c r="A229" s="38" t="s">
        <v>574</v>
      </c>
      <c r="B229" s="38" t="s">
        <v>575</v>
      </c>
      <c r="C229" s="41">
        <v>45324</v>
      </c>
      <c r="D229" s="41">
        <v>45361</v>
      </c>
      <c r="E229" s="41">
        <v>45219</v>
      </c>
      <c r="F229" s="41">
        <v>44975</v>
      </c>
      <c r="G229" s="41">
        <v>45430</v>
      </c>
      <c r="H229" s="41">
        <v>46055</v>
      </c>
      <c r="I229" s="41">
        <v>46740</v>
      </c>
      <c r="J229" s="41">
        <v>47703</v>
      </c>
      <c r="K229" s="41">
        <v>48788</v>
      </c>
      <c r="L229" s="41">
        <v>49645</v>
      </c>
      <c r="M229" s="41">
        <v>50462</v>
      </c>
      <c r="N229" s="41">
        <v>50883</v>
      </c>
      <c r="O229" s="41">
        <v>51344</v>
      </c>
      <c r="P229" s="41">
        <v>52022</v>
      </c>
      <c r="Q229" s="41">
        <v>52700</v>
      </c>
      <c r="R229" s="41">
        <v>53375</v>
      </c>
      <c r="S229" s="41">
        <v>53847</v>
      </c>
      <c r="T229" s="41">
        <v>54326</v>
      </c>
      <c r="U229" s="41">
        <v>54795</v>
      </c>
      <c r="V229" s="41">
        <v>55224</v>
      </c>
      <c r="W229" s="41">
        <v>55644</v>
      </c>
      <c r="X229" s="41">
        <v>56093</v>
      </c>
      <c r="Y229" s="41">
        <v>56519</v>
      </c>
      <c r="Z229" s="41">
        <v>56928</v>
      </c>
      <c r="AA229" s="41">
        <v>57325</v>
      </c>
      <c r="AB229" s="41">
        <v>57724</v>
      </c>
      <c r="AC229" s="41">
        <v>58111</v>
      </c>
      <c r="AD229" s="41">
        <v>58478</v>
      </c>
      <c r="AE229" s="41">
        <v>58841</v>
      </c>
      <c r="AF229" s="41">
        <v>59194</v>
      </c>
      <c r="AG229" s="41">
        <v>59548</v>
      </c>
      <c r="AH229" s="41">
        <v>59901</v>
      </c>
      <c r="AI229" s="41">
        <v>60222</v>
      </c>
      <c r="AJ229" s="41">
        <v>60549</v>
      </c>
      <c r="AK229" s="41">
        <v>60873</v>
      </c>
      <c r="AL229" s="41">
        <v>61199</v>
      </c>
      <c r="AM229" s="41">
        <v>61503</v>
      </c>
      <c r="AN229" s="41">
        <v>61801</v>
      </c>
      <c r="AO229" s="41">
        <v>62097</v>
      </c>
      <c r="AP229" s="41">
        <v>62382</v>
      </c>
      <c r="AQ229" s="41">
        <v>62668</v>
      </c>
    </row>
    <row r="230" spans="1:43">
      <c r="A230" s="38" t="s">
        <v>576</v>
      </c>
      <c r="B230" s="38" t="s">
        <v>577</v>
      </c>
      <c r="C230" s="41">
        <v>80495</v>
      </c>
      <c r="D230" s="41">
        <v>80873</v>
      </c>
      <c r="E230" s="41">
        <v>81237</v>
      </c>
      <c r="F230" s="41">
        <v>81689</v>
      </c>
      <c r="G230" s="41">
        <v>82170</v>
      </c>
      <c r="H230" s="41">
        <v>82773</v>
      </c>
      <c r="I230" s="41">
        <v>83165</v>
      </c>
      <c r="J230" s="41">
        <v>83964</v>
      </c>
      <c r="K230" s="41">
        <v>84616</v>
      </c>
      <c r="L230" s="41">
        <v>85287</v>
      </c>
      <c r="M230" s="41">
        <v>85845</v>
      </c>
      <c r="N230" s="41">
        <v>86179</v>
      </c>
      <c r="O230" s="41">
        <v>86995</v>
      </c>
      <c r="P230" s="41">
        <v>87535</v>
      </c>
      <c r="Q230" s="41">
        <v>87991</v>
      </c>
      <c r="R230" s="41">
        <v>88673</v>
      </c>
      <c r="S230" s="41">
        <v>89233</v>
      </c>
      <c r="T230" s="41">
        <v>89780</v>
      </c>
      <c r="U230" s="41">
        <v>90360</v>
      </c>
      <c r="V230" s="41">
        <v>90934</v>
      </c>
      <c r="W230" s="41">
        <v>91501</v>
      </c>
      <c r="X230" s="41">
        <v>92046</v>
      </c>
      <c r="Y230" s="41">
        <v>92576</v>
      </c>
      <c r="Z230" s="41">
        <v>93130</v>
      </c>
      <c r="AA230" s="41">
        <v>93651</v>
      </c>
      <c r="AB230" s="41">
        <v>94168</v>
      </c>
      <c r="AC230" s="41">
        <v>94727</v>
      </c>
      <c r="AD230" s="41">
        <v>95287</v>
      </c>
      <c r="AE230" s="41">
        <v>95842</v>
      </c>
      <c r="AF230" s="41">
        <v>96383</v>
      </c>
      <c r="AG230" s="41">
        <v>96945</v>
      </c>
      <c r="AH230" s="41">
        <v>97544</v>
      </c>
      <c r="AI230" s="41">
        <v>98113</v>
      </c>
      <c r="AJ230" s="41">
        <v>98680</v>
      </c>
      <c r="AK230" s="41">
        <v>99232</v>
      </c>
      <c r="AL230" s="41">
        <v>99805</v>
      </c>
      <c r="AM230" s="41">
        <v>100380</v>
      </c>
      <c r="AN230" s="41">
        <v>100954</v>
      </c>
      <c r="AO230" s="41">
        <v>101544</v>
      </c>
      <c r="AP230" s="41">
        <v>102112</v>
      </c>
      <c r="AQ230" s="41">
        <v>102702</v>
      </c>
    </row>
    <row r="231" spans="1:43">
      <c r="A231" s="38" t="s">
        <v>578</v>
      </c>
      <c r="B231" s="38" t="s">
        <v>579</v>
      </c>
      <c r="C231" s="41">
        <v>59233</v>
      </c>
      <c r="D231" s="41">
        <v>59839</v>
      </c>
      <c r="E231" s="41">
        <v>60295</v>
      </c>
      <c r="F231" s="41">
        <v>60599</v>
      </c>
      <c r="G231" s="41">
        <v>60896</v>
      </c>
      <c r="H231" s="41">
        <v>61130</v>
      </c>
      <c r="I231" s="41">
        <v>61536</v>
      </c>
      <c r="J231" s="41">
        <v>61876</v>
      </c>
      <c r="K231" s="41">
        <v>61983</v>
      </c>
      <c r="L231" s="41">
        <v>62242</v>
      </c>
      <c r="M231" s="41">
        <v>62370</v>
      </c>
      <c r="N231" s="41">
        <v>62937</v>
      </c>
      <c r="O231" s="41">
        <v>63323</v>
      </c>
      <c r="P231" s="41">
        <v>63740</v>
      </c>
      <c r="Q231" s="41">
        <v>64485</v>
      </c>
      <c r="R231" s="41">
        <v>65352</v>
      </c>
      <c r="S231" s="41">
        <v>65880</v>
      </c>
      <c r="T231" s="41">
        <v>66399</v>
      </c>
      <c r="U231" s="41">
        <v>66960</v>
      </c>
      <c r="V231" s="41">
        <v>67452</v>
      </c>
      <c r="W231" s="41">
        <v>67946</v>
      </c>
      <c r="X231" s="41">
        <v>68574</v>
      </c>
      <c r="Y231" s="41">
        <v>69190</v>
      </c>
      <c r="Z231" s="41">
        <v>69805</v>
      </c>
      <c r="AA231" s="41">
        <v>70399</v>
      </c>
      <c r="AB231" s="41">
        <v>70987</v>
      </c>
      <c r="AC231" s="41">
        <v>71614</v>
      </c>
      <c r="AD231" s="41">
        <v>72207</v>
      </c>
      <c r="AE231" s="41">
        <v>72809</v>
      </c>
      <c r="AF231" s="41">
        <v>73376</v>
      </c>
      <c r="AG231" s="41">
        <v>73962</v>
      </c>
      <c r="AH231" s="41">
        <v>74538</v>
      </c>
      <c r="AI231" s="41">
        <v>75079</v>
      </c>
      <c r="AJ231" s="41">
        <v>75624</v>
      </c>
      <c r="AK231" s="41">
        <v>76150</v>
      </c>
      <c r="AL231" s="41">
        <v>76677</v>
      </c>
      <c r="AM231" s="41">
        <v>77171</v>
      </c>
      <c r="AN231" s="41">
        <v>77651</v>
      </c>
      <c r="AO231" s="41">
        <v>78145</v>
      </c>
      <c r="AP231" s="41">
        <v>78611</v>
      </c>
      <c r="AQ231" s="41">
        <v>79079</v>
      </c>
    </row>
    <row r="232" spans="1:43">
      <c r="A232" s="38" t="s">
        <v>580</v>
      </c>
      <c r="B232" s="38" t="s">
        <v>581</v>
      </c>
      <c r="C232" s="41">
        <v>51993</v>
      </c>
      <c r="D232" s="41">
        <v>52602</v>
      </c>
      <c r="E232" s="41">
        <v>53368</v>
      </c>
      <c r="F232" s="41">
        <v>54030</v>
      </c>
      <c r="G232" s="41">
        <v>54738</v>
      </c>
      <c r="H232" s="41">
        <v>55577</v>
      </c>
      <c r="I232" s="41">
        <v>56371</v>
      </c>
      <c r="J232" s="41">
        <v>57275</v>
      </c>
      <c r="K232" s="41">
        <v>58004</v>
      </c>
      <c r="L232" s="41">
        <v>58948</v>
      </c>
      <c r="M232" s="41">
        <v>60039</v>
      </c>
      <c r="N232" s="41">
        <v>60672</v>
      </c>
      <c r="O232" s="41">
        <v>60889</v>
      </c>
      <c r="P232" s="41">
        <v>61630</v>
      </c>
      <c r="Q232" s="41">
        <v>62388</v>
      </c>
      <c r="R232" s="41">
        <v>62937</v>
      </c>
      <c r="S232" s="41">
        <v>63569</v>
      </c>
      <c r="T232" s="41">
        <v>64148</v>
      </c>
      <c r="U232" s="41">
        <v>64710</v>
      </c>
      <c r="V232" s="41">
        <v>65236</v>
      </c>
      <c r="W232" s="41">
        <v>65741</v>
      </c>
      <c r="X232" s="41">
        <v>66359</v>
      </c>
      <c r="Y232" s="41">
        <v>66935</v>
      </c>
      <c r="Z232" s="41">
        <v>67495</v>
      </c>
      <c r="AA232" s="41">
        <v>68013</v>
      </c>
      <c r="AB232" s="41">
        <v>68532</v>
      </c>
      <c r="AC232" s="41">
        <v>69067</v>
      </c>
      <c r="AD232" s="41">
        <v>69573</v>
      </c>
      <c r="AE232" s="41">
        <v>70068</v>
      </c>
      <c r="AF232" s="41">
        <v>70520</v>
      </c>
      <c r="AG232" s="41">
        <v>70964</v>
      </c>
      <c r="AH232" s="41">
        <v>71422</v>
      </c>
      <c r="AI232" s="41">
        <v>71853</v>
      </c>
      <c r="AJ232" s="41">
        <v>72285</v>
      </c>
      <c r="AK232" s="41">
        <v>72689</v>
      </c>
      <c r="AL232" s="41">
        <v>73094</v>
      </c>
      <c r="AM232" s="41">
        <v>73477</v>
      </c>
      <c r="AN232" s="41">
        <v>73860</v>
      </c>
      <c r="AO232" s="41">
        <v>74241</v>
      </c>
      <c r="AP232" s="41">
        <v>74604</v>
      </c>
      <c r="AQ232" s="41">
        <v>74995</v>
      </c>
    </row>
    <row r="233" spans="1:43">
      <c r="A233" s="38" t="s">
        <v>582</v>
      </c>
      <c r="B233" s="38" t="s">
        <v>583</v>
      </c>
      <c r="C233" s="41">
        <v>32814</v>
      </c>
      <c r="D233" s="41">
        <v>33558</v>
      </c>
      <c r="E233" s="41">
        <v>34335</v>
      </c>
      <c r="F233" s="41">
        <v>34869</v>
      </c>
      <c r="G233" s="41">
        <v>35495</v>
      </c>
      <c r="H233" s="41">
        <v>36071</v>
      </c>
      <c r="I233" s="41">
        <v>36642</v>
      </c>
      <c r="J233" s="41">
        <v>37268</v>
      </c>
      <c r="K233" s="41">
        <v>37775</v>
      </c>
      <c r="L233" s="41">
        <v>38302</v>
      </c>
      <c r="M233" s="41">
        <v>38936</v>
      </c>
      <c r="N233" s="41">
        <v>39549</v>
      </c>
      <c r="O233" s="41">
        <v>40125</v>
      </c>
      <c r="P233" s="41">
        <v>40777</v>
      </c>
      <c r="Q233" s="41">
        <v>41364</v>
      </c>
      <c r="R233" s="41">
        <v>41872</v>
      </c>
      <c r="S233" s="41">
        <v>42434</v>
      </c>
      <c r="T233" s="41">
        <v>42981</v>
      </c>
      <c r="U233" s="41">
        <v>43530</v>
      </c>
      <c r="V233" s="41">
        <v>44048</v>
      </c>
      <c r="W233" s="41">
        <v>44551</v>
      </c>
      <c r="X233" s="41">
        <v>45052</v>
      </c>
      <c r="Y233" s="41">
        <v>45538</v>
      </c>
      <c r="Z233" s="41">
        <v>46008</v>
      </c>
      <c r="AA233" s="41">
        <v>46441</v>
      </c>
      <c r="AB233" s="41">
        <v>46876</v>
      </c>
      <c r="AC233" s="41">
        <v>47304</v>
      </c>
      <c r="AD233" s="41">
        <v>47719</v>
      </c>
      <c r="AE233" s="41">
        <v>48115</v>
      </c>
      <c r="AF233" s="41">
        <v>48491</v>
      </c>
      <c r="AG233" s="41">
        <v>48877</v>
      </c>
      <c r="AH233" s="41">
        <v>49254</v>
      </c>
      <c r="AI233" s="41">
        <v>49621</v>
      </c>
      <c r="AJ233" s="41">
        <v>49962</v>
      </c>
      <c r="AK233" s="41">
        <v>50306</v>
      </c>
      <c r="AL233" s="41">
        <v>50649</v>
      </c>
      <c r="AM233" s="41">
        <v>50979</v>
      </c>
      <c r="AN233" s="41">
        <v>51301</v>
      </c>
      <c r="AO233" s="41">
        <v>51616</v>
      </c>
      <c r="AP233" s="41">
        <v>51912</v>
      </c>
      <c r="AQ233" s="41">
        <v>52224</v>
      </c>
    </row>
    <row r="234" spans="1:43">
      <c r="A234" s="38" t="s">
        <v>584</v>
      </c>
      <c r="B234" s="38" t="s">
        <v>585</v>
      </c>
      <c r="C234" s="41">
        <v>98432</v>
      </c>
      <c r="D234" s="41">
        <v>99434</v>
      </c>
      <c r="E234" s="41">
        <v>100248</v>
      </c>
      <c r="F234" s="41">
        <v>101281</v>
      </c>
      <c r="G234" s="41">
        <v>102351</v>
      </c>
      <c r="H234" s="41">
        <v>103233</v>
      </c>
      <c r="I234" s="41">
        <v>104014</v>
      </c>
      <c r="J234" s="41">
        <v>104776</v>
      </c>
      <c r="K234" s="41">
        <v>105678</v>
      </c>
      <c r="L234" s="41">
        <v>106412</v>
      </c>
      <c r="M234" s="41">
        <v>107274</v>
      </c>
      <c r="N234" s="41">
        <v>108677</v>
      </c>
      <c r="O234" s="41">
        <v>109972</v>
      </c>
      <c r="P234" s="41">
        <v>111126</v>
      </c>
      <c r="Q234" s="41">
        <v>112400</v>
      </c>
      <c r="R234" s="41">
        <v>113546</v>
      </c>
      <c r="S234" s="41">
        <v>114784</v>
      </c>
      <c r="T234" s="41">
        <v>116003</v>
      </c>
      <c r="U234" s="41">
        <v>117233</v>
      </c>
      <c r="V234" s="41">
        <v>118378</v>
      </c>
      <c r="W234" s="41">
        <v>119425</v>
      </c>
      <c r="X234" s="41">
        <v>120564</v>
      </c>
      <c r="Y234" s="41">
        <v>121701</v>
      </c>
      <c r="Z234" s="41">
        <v>122853</v>
      </c>
      <c r="AA234" s="41">
        <v>123948</v>
      </c>
      <c r="AB234" s="41">
        <v>124989</v>
      </c>
      <c r="AC234" s="41">
        <v>126084</v>
      </c>
      <c r="AD234" s="41">
        <v>127200</v>
      </c>
      <c r="AE234" s="41">
        <v>128265</v>
      </c>
      <c r="AF234" s="41">
        <v>129325</v>
      </c>
      <c r="AG234" s="41">
        <v>130376</v>
      </c>
      <c r="AH234" s="41">
        <v>131428</v>
      </c>
      <c r="AI234" s="41">
        <v>132521</v>
      </c>
      <c r="AJ234" s="41">
        <v>133586</v>
      </c>
      <c r="AK234" s="41">
        <v>134630</v>
      </c>
      <c r="AL234" s="41">
        <v>135710</v>
      </c>
      <c r="AM234" s="41">
        <v>136784</v>
      </c>
      <c r="AN234" s="41">
        <v>137877</v>
      </c>
      <c r="AO234" s="41">
        <v>138960</v>
      </c>
      <c r="AP234" s="41">
        <v>140019</v>
      </c>
      <c r="AQ234" s="41">
        <v>141116</v>
      </c>
    </row>
    <row r="235" spans="1:43">
      <c r="A235" s="38" t="s">
        <v>586</v>
      </c>
      <c r="B235" s="38" t="s">
        <v>587</v>
      </c>
      <c r="C235" s="41">
        <v>34708</v>
      </c>
      <c r="D235" s="41">
        <v>34908</v>
      </c>
      <c r="E235" s="41">
        <v>34938</v>
      </c>
      <c r="F235" s="41">
        <v>35077</v>
      </c>
      <c r="G235" s="41">
        <v>35342</v>
      </c>
      <c r="H235" s="41">
        <v>35631</v>
      </c>
      <c r="I235" s="41">
        <v>35878</v>
      </c>
      <c r="J235" s="41">
        <v>36094</v>
      </c>
      <c r="K235" s="41">
        <v>36197</v>
      </c>
      <c r="L235" s="41">
        <v>36445</v>
      </c>
      <c r="M235" s="41">
        <v>36938</v>
      </c>
      <c r="N235" s="41">
        <v>37137</v>
      </c>
      <c r="O235" s="41">
        <v>37356</v>
      </c>
      <c r="P235" s="41">
        <v>37590</v>
      </c>
      <c r="Q235" s="41">
        <v>37822</v>
      </c>
      <c r="R235" s="41">
        <v>37980</v>
      </c>
      <c r="S235" s="41">
        <v>38199</v>
      </c>
      <c r="T235" s="41">
        <v>38389</v>
      </c>
      <c r="U235" s="41">
        <v>38603</v>
      </c>
      <c r="V235" s="41">
        <v>38808</v>
      </c>
      <c r="W235" s="41">
        <v>39021</v>
      </c>
      <c r="X235" s="41">
        <v>39281</v>
      </c>
      <c r="Y235" s="41">
        <v>39526</v>
      </c>
      <c r="Z235" s="41">
        <v>39761</v>
      </c>
      <c r="AA235" s="41">
        <v>39994</v>
      </c>
      <c r="AB235" s="41">
        <v>40227</v>
      </c>
      <c r="AC235" s="41">
        <v>40490</v>
      </c>
      <c r="AD235" s="41">
        <v>40728</v>
      </c>
      <c r="AE235" s="41">
        <v>40937</v>
      </c>
      <c r="AF235" s="41">
        <v>41148</v>
      </c>
      <c r="AG235" s="41">
        <v>41352</v>
      </c>
      <c r="AH235" s="41">
        <v>41552</v>
      </c>
      <c r="AI235" s="41">
        <v>41738</v>
      </c>
      <c r="AJ235" s="41">
        <v>41894</v>
      </c>
      <c r="AK235" s="41">
        <v>42058</v>
      </c>
      <c r="AL235" s="41">
        <v>42206</v>
      </c>
      <c r="AM235" s="41">
        <v>42355</v>
      </c>
      <c r="AN235" s="41">
        <v>42491</v>
      </c>
      <c r="AO235" s="41">
        <v>42624</v>
      </c>
      <c r="AP235" s="41">
        <v>42765</v>
      </c>
      <c r="AQ235" s="41">
        <v>42912</v>
      </c>
    </row>
    <row r="236" spans="1:43">
      <c r="A236" s="38" t="s">
        <v>588</v>
      </c>
      <c r="B236" s="38" t="s">
        <v>589</v>
      </c>
      <c r="C236" s="41">
        <v>32660</v>
      </c>
      <c r="D236" s="41">
        <v>33119</v>
      </c>
      <c r="E236" s="41">
        <v>33652</v>
      </c>
      <c r="F236" s="41">
        <v>34228</v>
      </c>
      <c r="G236" s="41">
        <v>34551</v>
      </c>
      <c r="H236" s="41">
        <v>35101</v>
      </c>
      <c r="I236" s="41">
        <v>35542</v>
      </c>
      <c r="J236" s="41">
        <v>36046</v>
      </c>
      <c r="K236" s="41">
        <v>36444</v>
      </c>
      <c r="L236" s="41">
        <v>36822</v>
      </c>
      <c r="M236" s="41">
        <v>37276</v>
      </c>
      <c r="N236" s="41">
        <v>37345</v>
      </c>
      <c r="O236" s="41">
        <v>37534</v>
      </c>
      <c r="P236" s="41">
        <v>37912</v>
      </c>
      <c r="Q236" s="41">
        <v>38257</v>
      </c>
      <c r="R236" s="41">
        <v>38705</v>
      </c>
      <c r="S236" s="41">
        <v>38999</v>
      </c>
      <c r="T236" s="41">
        <v>39290</v>
      </c>
      <c r="U236" s="41">
        <v>39544</v>
      </c>
      <c r="V236" s="41">
        <v>39816</v>
      </c>
      <c r="W236" s="41">
        <v>40067</v>
      </c>
      <c r="X236" s="41">
        <v>40402</v>
      </c>
      <c r="Y236" s="41">
        <v>40719</v>
      </c>
      <c r="Z236" s="41">
        <v>41025</v>
      </c>
      <c r="AA236" s="41">
        <v>41329</v>
      </c>
      <c r="AB236" s="41">
        <v>41628</v>
      </c>
      <c r="AC236" s="41">
        <v>41943</v>
      </c>
      <c r="AD236" s="41">
        <v>42258</v>
      </c>
      <c r="AE236" s="41">
        <v>42549</v>
      </c>
      <c r="AF236" s="41">
        <v>42845</v>
      </c>
      <c r="AG236" s="41">
        <v>43139</v>
      </c>
      <c r="AH236" s="41">
        <v>43440</v>
      </c>
      <c r="AI236" s="41">
        <v>43747</v>
      </c>
      <c r="AJ236" s="41">
        <v>44044</v>
      </c>
      <c r="AK236" s="41">
        <v>44338</v>
      </c>
      <c r="AL236" s="41">
        <v>44637</v>
      </c>
      <c r="AM236" s="41">
        <v>44917</v>
      </c>
      <c r="AN236" s="41">
        <v>45206</v>
      </c>
      <c r="AO236" s="41">
        <v>45487</v>
      </c>
      <c r="AP236" s="41">
        <v>45762</v>
      </c>
      <c r="AQ236" s="41">
        <v>46046</v>
      </c>
    </row>
    <row r="237" spans="1:43">
      <c r="A237" s="38" t="s">
        <v>590</v>
      </c>
      <c r="B237" s="38" t="s">
        <v>591</v>
      </c>
      <c r="C237" s="41">
        <v>51235</v>
      </c>
      <c r="D237" s="41">
        <v>51793</v>
      </c>
      <c r="E237" s="41">
        <v>52390</v>
      </c>
      <c r="F237" s="41">
        <v>53043</v>
      </c>
      <c r="G237" s="41">
        <v>53456</v>
      </c>
      <c r="H237" s="41">
        <v>54088</v>
      </c>
      <c r="I237" s="41">
        <v>54712</v>
      </c>
      <c r="J237" s="41">
        <v>55207</v>
      </c>
      <c r="K237" s="41">
        <v>55805</v>
      </c>
      <c r="L237" s="41">
        <v>56430</v>
      </c>
      <c r="M237" s="41">
        <v>57207</v>
      </c>
      <c r="N237" s="41">
        <v>57828</v>
      </c>
      <c r="O237" s="41">
        <v>58484</v>
      </c>
      <c r="P237" s="41">
        <v>59316</v>
      </c>
      <c r="Q237" s="41">
        <v>59944</v>
      </c>
      <c r="R237" s="41">
        <v>60679</v>
      </c>
      <c r="S237" s="41">
        <v>61363</v>
      </c>
      <c r="T237" s="41">
        <v>61991</v>
      </c>
      <c r="U237" s="41">
        <v>62623</v>
      </c>
      <c r="V237" s="41">
        <v>63256</v>
      </c>
      <c r="W237" s="41">
        <v>63853</v>
      </c>
      <c r="X237" s="41">
        <v>64498</v>
      </c>
      <c r="Y237" s="41">
        <v>65090</v>
      </c>
      <c r="Z237" s="41">
        <v>65671</v>
      </c>
      <c r="AA237" s="41">
        <v>66226</v>
      </c>
      <c r="AB237" s="41">
        <v>66776</v>
      </c>
      <c r="AC237" s="41">
        <v>67365</v>
      </c>
      <c r="AD237" s="41">
        <v>67918</v>
      </c>
      <c r="AE237" s="41">
        <v>68444</v>
      </c>
      <c r="AF237" s="41">
        <v>68954</v>
      </c>
      <c r="AG237" s="41">
        <v>69470</v>
      </c>
      <c r="AH237" s="41">
        <v>69980</v>
      </c>
      <c r="AI237" s="41">
        <v>70488</v>
      </c>
      <c r="AJ237" s="41">
        <v>70983</v>
      </c>
      <c r="AK237" s="41">
        <v>71451</v>
      </c>
      <c r="AL237" s="41">
        <v>71914</v>
      </c>
      <c r="AM237" s="41">
        <v>72364</v>
      </c>
      <c r="AN237" s="41">
        <v>72811</v>
      </c>
      <c r="AO237" s="41">
        <v>73271</v>
      </c>
      <c r="AP237" s="41">
        <v>73694</v>
      </c>
      <c r="AQ237" s="41">
        <v>74119</v>
      </c>
    </row>
    <row r="238" spans="1:43">
      <c r="A238" s="38" t="s">
        <v>592</v>
      </c>
      <c r="B238" s="38" t="s">
        <v>593</v>
      </c>
      <c r="C238" s="41">
        <v>43944</v>
      </c>
      <c r="D238" s="41">
        <v>44120</v>
      </c>
      <c r="E238" s="41">
        <v>44518</v>
      </c>
      <c r="F238" s="41">
        <v>45005</v>
      </c>
      <c r="G238" s="41">
        <v>45398</v>
      </c>
      <c r="H238" s="41">
        <v>45675</v>
      </c>
      <c r="I238" s="41">
        <v>45929</v>
      </c>
      <c r="J238" s="41">
        <v>46098</v>
      </c>
      <c r="K238" s="41">
        <v>46209</v>
      </c>
      <c r="L238" s="41">
        <v>46243</v>
      </c>
      <c r="M238" s="41">
        <v>46531</v>
      </c>
      <c r="N238" s="41">
        <v>46610</v>
      </c>
      <c r="O238" s="41">
        <v>46774</v>
      </c>
      <c r="P238" s="41">
        <v>46890</v>
      </c>
      <c r="Q238" s="41">
        <v>47045</v>
      </c>
      <c r="R238" s="41">
        <v>47165</v>
      </c>
      <c r="S238" s="41">
        <v>47294</v>
      </c>
      <c r="T238" s="41">
        <v>47404</v>
      </c>
      <c r="U238" s="41">
        <v>47533</v>
      </c>
      <c r="V238" s="41">
        <v>47640</v>
      </c>
      <c r="W238" s="41">
        <v>47709</v>
      </c>
      <c r="X238" s="41">
        <v>47828</v>
      </c>
      <c r="Y238" s="41">
        <v>47923</v>
      </c>
      <c r="Z238" s="41">
        <v>48025</v>
      </c>
      <c r="AA238" s="41">
        <v>48107</v>
      </c>
      <c r="AB238" s="41">
        <v>48175</v>
      </c>
      <c r="AC238" s="41">
        <v>48264</v>
      </c>
      <c r="AD238" s="41">
        <v>48341</v>
      </c>
      <c r="AE238" s="41">
        <v>48410</v>
      </c>
      <c r="AF238" s="41">
        <v>48459</v>
      </c>
      <c r="AG238" s="41">
        <v>48483</v>
      </c>
      <c r="AH238" s="41">
        <v>48537</v>
      </c>
      <c r="AI238" s="41">
        <v>48577</v>
      </c>
      <c r="AJ238" s="41">
        <v>48610</v>
      </c>
      <c r="AK238" s="41">
        <v>48640</v>
      </c>
      <c r="AL238" s="41">
        <v>48663</v>
      </c>
      <c r="AM238" s="41">
        <v>48692</v>
      </c>
      <c r="AN238" s="41">
        <v>48717</v>
      </c>
      <c r="AO238" s="41">
        <v>48738</v>
      </c>
      <c r="AP238" s="41">
        <v>48749</v>
      </c>
      <c r="AQ238" s="41">
        <v>48773</v>
      </c>
    </row>
    <row r="239" spans="1:43">
      <c r="A239" s="38" t="s">
        <v>594</v>
      </c>
      <c r="B239" s="38" t="s">
        <v>595</v>
      </c>
      <c r="C239" s="41">
        <v>46477</v>
      </c>
      <c r="D239" s="41">
        <v>47200</v>
      </c>
      <c r="E239" s="41">
        <v>47819</v>
      </c>
      <c r="F239" s="41">
        <v>48297</v>
      </c>
      <c r="G239" s="41">
        <v>48795</v>
      </c>
      <c r="H239" s="41">
        <v>49237</v>
      </c>
      <c r="I239" s="41">
        <v>49670</v>
      </c>
      <c r="J239" s="41">
        <v>50340</v>
      </c>
      <c r="K239" s="41">
        <v>51017</v>
      </c>
      <c r="L239" s="41">
        <v>51830</v>
      </c>
      <c r="M239" s="41">
        <v>52825</v>
      </c>
      <c r="N239" s="41">
        <v>53525</v>
      </c>
      <c r="O239" s="41">
        <v>54213</v>
      </c>
      <c r="P239" s="41">
        <v>55004</v>
      </c>
      <c r="Q239" s="41">
        <v>55867</v>
      </c>
      <c r="R239" s="41">
        <v>56717</v>
      </c>
      <c r="S239" s="41">
        <v>57517</v>
      </c>
      <c r="T239" s="41">
        <v>58277</v>
      </c>
      <c r="U239" s="41">
        <v>59038</v>
      </c>
      <c r="V239" s="41">
        <v>59741</v>
      </c>
      <c r="W239" s="41">
        <v>60424</v>
      </c>
      <c r="X239" s="41">
        <v>61161</v>
      </c>
      <c r="Y239" s="41">
        <v>61866</v>
      </c>
      <c r="Z239" s="41">
        <v>62573</v>
      </c>
      <c r="AA239" s="41">
        <v>63219</v>
      </c>
      <c r="AB239" s="41">
        <v>63841</v>
      </c>
      <c r="AC239" s="41">
        <v>64516</v>
      </c>
      <c r="AD239" s="41">
        <v>65144</v>
      </c>
      <c r="AE239" s="41">
        <v>65758</v>
      </c>
      <c r="AF239" s="41">
        <v>66338</v>
      </c>
      <c r="AG239" s="41">
        <v>66913</v>
      </c>
      <c r="AH239" s="41">
        <v>67486</v>
      </c>
      <c r="AI239" s="41">
        <v>68036</v>
      </c>
      <c r="AJ239" s="41">
        <v>68580</v>
      </c>
      <c r="AK239" s="41">
        <v>69104</v>
      </c>
      <c r="AL239" s="41">
        <v>69611</v>
      </c>
      <c r="AM239" s="41">
        <v>70111</v>
      </c>
      <c r="AN239" s="41">
        <v>70617</v>
      </c>
      <c r="AO239" s="41">
        <v>71109</v>
      </c>
      <c r="AP239" s="41">
        <v>71603</v>
      </c>
      <c r="AQ239" s="41">
        <v>72100</v>
      </c>
    </row>
    <row r="240" spans="1:43">
      <c r="A240" s="38" t="s">
        <v>596</v>
      </c>
      <c r="B240" s="38" t="s">
        <v>597</v>
      </c>
      <c r="C240" s="41">
        <v>31607</v>
      </c>
      <c r="D240" s="41">
        <v>32320</v>
      </c>
      <c r="E240" s="41">
        <v>32716</v>
      </c>
      <c r="F240" s="41">
        <v>33140</v>
      </c>
      <c r="G240" s="41">
        <v>33828</v>
      </c>
      <c r="H240" s="41">
        <v>34132</v>
      </c>
      <c r="I240" s="41">
        <v>34379</v>
      </c>
      <c r="J240" s="41">
        <v>34424</v>
      </c>
      <c r="K240" s="41">
        <v>34509</v>
      </c>
      <c r="L240" s="41">
        <v>34672</v>
      </c>
      <c r="M240" s="41">
        <v>34728</v>
      </c>
      <c r="N240" s="41">
        <v>35112</v>
      </c>
      <c r="O240" s="41">
        <v>35493</v>
      </c>
      <c r="P240" s="41">
        <v>35954</v>
      </c>
      <c r="Q240" s="41">
        <v>36272</v>
      </c>
      <c r="R240" s="41">
        <v>36664</v>
      </c>
      <c r="S240" s="41">
        <v>37069</v>
      </c>
      <c r="T240" s="41">
        <v>37455</v>
      </c>
      <c r="U240" s="41">
        <v>37831</v>
      </c>
      <c r="V240" s="41">
        <v>38189</v>
      </c>
      <c r="W240" s="41">
        <v>38535</v>
      </c>
      <c r="X240" s="41">
        <v>38958</v>
      </c>
      <c r="Y240" s="41">
        <v>39354</v>
      </c>
      <c r="Z240" s="41">
        <v>39736</v>
      </c>
      <c r="AA240" s="41">
        <v>40105</v>
      </c>
      <c r="AB240" s="41">
        <v>40465</v>
      </c>
      <c r="AC240" s="41">
        <v>40836</v>
      </c>
      <c r="AD240" s="41">
        <v>41198</v>
      </c>
      <c r="AE240" s="41">
        <v>41537</v>
      </c>
      <c r="AF240" s="41">
        <v>41862</v>
      </c>
      <c r="AG240" s="41">
        <v>42190</v>
      </c>
      <c r="AH240" s="41">
        <v>42503</v>
      </c>
      <c r="AI240" s="41">
        <v>42804</v>
      </c>
      <c r="AJ240" s="41">
        <v>43103</v>
      </c>
      <c r="AK240" s="41">
        <v>43386</v>
      </c>
      <c r="AL240" s="41">
        <v>43685</v>
      </c>
      <c r="AM240" s="41">
        <v>43956</v>
      </c>
      <c r="AN240" s="41">
        <v>44234</v>
      </c>
      <c r="AO240" s="41">
        <v>44504</v>
      </c>
      <c r="AP240" s="41">
        <v>44759</v>
      </c>
      <c r="AQ240" s="41">
        <v>45027</v>
      </c>
    </row>
    <row r="241" spans="1:43">
      <c r="A241" s="38" t="s">
        <v>598</v>
      </c>
      <c r="B241" s="38" t="s">
        <v>599</v>
      </c>
      <c r="C241" s="41">
        <v>51782</v>
      </c>
      <c r="D241" s="41">
        <v>51905</v>
      </c>
      <c r="E241" s="41">
        <v>51879</v>
      </c>
      <c r="F241" s="41">
        <v>52021</v>
      </c>
      <c r="G241" s="41">
        <v>52278</v>
      </c>
      <c r="H241" s="41">
        <v>52487</v>
      </c>
      <c r="I241" s="41">
        <v>52820</v>
      </c>
      <c r="J241" s="41">
        <v>53273</v>
      </c>
      <c r="K241" s="41">
        <v>53680</v>
      </c>
      <c r="L241" s="41">
        <v>53902</v>
      </c>
      <c r="M241" s="41">
        <v>54142</v>
      </c>
      <c r="N241" s="41">
        <v>54495</v>
      </c>
      <c r="O241" s="41">
        <v>54723</v>
      </c>
      <c r="P241" s="41">
        <v>55260</v>
      </c>
      <c r="Q241" s="41">
        <v>55469</v>
      </c>
      <c r="R241" s="41">
        <v>55898</v>
      </c>
      <c r="S241" s="41">
        <v>56244</v>
      </c>
      <c r="T241" s="41">
        <v>56624</v>
      </c>
      <c r="U241" s="41">
        <v>56990</v>
      </c>
      <c r="V241" s="41">
        <v>57321</v>
      </c>
      <c r="W241" s="41">
        <v>57632</v>
      </c>
      <c r="X241" s="41">
        <v>58062</v>
      </c>
      <c r="Y241" s="41">
        <v>58478</v>
      </c>
      <c r="Z241" s="41">
        <v>58897</v>
      </c>
      <c r="AA241" s="41">
        <v>59274</v>
      </c>
      <c r="AB241" s="41">
        <v>59635</v>
      </c>
      <c r="AC241" s="41">
        <v>60006</v>
      </c>
      <c r="AD241" s="41">
        <v>60354</v>
      </c>
      <c r="AE241" s="41">
        <v>60681</v>
      </c>
      <c r="AF241" s="41">
        <v>61003</v>
      </c>
      <c r="AG241" s="41">
        <v>61331</v>
      </c>
      <c r="AH241" s="41">
        <v>61630</v>
      </c>
      <c r="AI241" s="41">
        <v>61930</v>
      </c>
      <c r="AJ241" s="41">
        <v>62234</v>
      </c>
      <c r="AK241" s="41">
        <v>62530</v>
      </c>
      <c r="AL241" s="41">
        <v>62851</v>
      </c>
      <c r="AM241" s="41">
        <v>63147</v>
      </c>
      <c r="AN241" s="41">
        <v>63445</v>
      </c>
      <c r="AO241" s="41">
        <v>63742</v>
      </c>
      <c r="AP241" s="41">
        <v>64043</v>
      </c>
      <c r="AQ241" s="41">
        <v>64368</v>
      </c>
    </row>
    <row r="242" spans="1:43">
      <c r="A242" s="38" t="s">
        <v>600</v>
      </c>
      <c r="B242" s="38" t="s">
        <v>601</v>
      </c>
      <c r="C242" s="41">
        <v>42492</v>
      </c>
      <c r="D242" s="41">
        <v>42805</v>
      </c>
      <c r="E242" s="41">
        <v>43237</v>
      </c>
      <c r="F242" s="41">
        <v>43548</v>
      </c>
      <c r="G242" s="41">
        <v>43831</v>
      </c>
      <c r="H242" s="41">
        <v>44275</v>
      </c>
      <c r="I242" s="41">
        <v>44623</v>
      </c>
      <c r="J242" s="41">
        <v>45046</v>
      </c>
      <c r="K242" s="41">
        <v>45370</v>
      </c>
      <c r="L242" s="41">
        <v>45612</v>
      </c>
      <c r="M242" s="41">
        <v>45934</v>
      </c>
      <c r="N242" s="41">
        <v>46045</v>
      </c>
      <c r="O242" s="41">
        <v>46182</v>
      </c>
      <c r="P242" s="41">
        <v>46447</v>
      </c>
      <c r="Q242" s="41">
        <v>46773</v>
      </c>
      <c r="R242" s="41">
        <v>47032</v>
      </c>
      <c r="S242" s="41">
        <v>47235</v>
      </c>
      <c r="T242" s="41">
        <v>47442</v>
      </c>
      <c r="U242" s="41">
        <v>47630</v>
      </c>
      <c r="V242" s="41">
        <v>47816</v>
      </c>
      <c r="W242" s="41">
        <v>47974</v>
      </c>
      <c r="X242" s="41">
        <v>48179</v>
      </c>
      <c r="Y242" s="41">
        <v>48348</v>
      </c>
      <c r="Z242" s="41">
        <v>48510</v>
      </c>
      <c r="AA242" s="41">
        <v>48651</v>
      </c>
      <c r="AB242" s="41">
        <v>48788</v>
      </c>
      <c r="AC242" s="41">
        <v>48939</v>
      </c>
      <c r="AD242" s="41">
        <v>49066</v>
      </c>
      <c r="AE242" s="41">
        <v>49188</v>
      </c>
      <c r="AF242" s="41">
        <v>49301</v>
      </c>
      <c r="AG242" s="41">
        <v>49418</v>
      </c>
      <c r="AH242" s="41">
        <v>49551</v>
      </c>
      <c r="AI242" s="41">
        <v>49658</v>
      </c>
      <c r="AJ242" s="41">
        <v>49775</v>
      </c>
      <c r="AK242" s="41">
        <v>49881</v>
      </c>
      <c r="AL242" s="41">
        <v>49985</v>
      </c>
      <c r="AM242" s="41">
        <v>50075</v>
      </c>
      <c r="AN242" s="41">
        <v>50171</v>
      </c>
      <c r="AO242" s="41">
        <v>50282</v>
      </c>
      <c r="AP242" s="41">
        <v>50360</v>
      </c>
      <c r="AQ242" s="41">
        <v>50468</v>
      </c>
    </row>
    <row r="243" spans="1:43">
      <c r="A243" s="38" t="s">
        <v>602</v>
      </c>
      <c r="B243" s="38" t="s">
        <v>603</v>
      </c>
      <c r="C243" s="41">
        <v>63382</v>
      </c>
      <c r="D243" s="41">
        <v>64012</v>
      </c>
      <c r="E243" s="41">
        <v>64769</v>
      </c>
      <c r="F243" s="41">
        <v>65542</v>
      </c>
      <c r="G243" s="41">
        <v>66258</v>
      </c>
      <c r="H243" s="41">
        <v>66908</v>
      </c>
      <c r="I243" s="41">
        <v>67673</v>
      </c>
      <c r="J243" s="41">
        <v>68398</v>
      </c>
      <c r="K243" s="41">
        <v>68735</v>
      </c>
      <c r="L243" s="41">
        <v>68952</v>
      </c>
      <c r="M243" s="41">
        <v>69625</v>
      </c>
      <c r="N243" s="41">
        <v>70167</v>
      </c>
      <c r="O243" s="41">
        <v>70688</v>
      </c>
      <c r="P243" s="41">
        <v>71220</v>
      </c>
      <c r="Q243" s="41">
        <v>71731</v>
      </c>
      <c r="R243" s="41">
        <v>72318</v>
      </c>
      <c r="S243" s="41">
        <v>72812</v>
      </c>
      <c r="T243" s="41">
        <v>73324</v>
      </c>
      <c r="U243" s="41">
        <v>73810</v>
      </c>
      <c r="V243" s="41">
        <v>74305</v>
      </c>
      <c r="W243" s="41">
        <v>74742</v>
      </c>
      <c r="X243" s="41">
        <v>75293</v>
      </c>
      <c r="Y243" s="41">
        <v>75832</v>
      </c>
      <c r="Z243" s="41">
        <v>76341</v>
      </c>
      <c r="AA243" s="41">
        <v>76850</v>
      </c>
      <c r="AB243" s="41">
        <v>77321</v>
      </c>
      <c r="AC243" s="41">
        <v>77835</v>
      </c>
      <c r="AD243" s="41">
        <v>78327</v>
      </c>
      <c r="AE243" s="41">
        <v>78794</v>
      </c>
      <c r="AF243" s="41">
        <v>79237</v>
      </c>
      <c r="AG243" s="41">
        <v>79680</v>
      </c>
      <c r="AH243" s="41">
        <v>80127</v>
      </c>
      <c r="AI243" s="41">
        <v>80575</v>
      </c>
      <c r="AJ243" s="41">
        <v>80981</v>
      </c>
      <c r="AK243" s="41">
        <v>81381</v>
      </c>
      <c r="AL243" s="41">
        <v>81775</v>
      </c>
      <c r="AM243" s="41">
        <v>82155</v>
      </c>
      <c r="AN243" s="41">
        <v>82552</v>
      </c>
      <c r="AO243" s="41">
        <v>82918</v>
      </c>
      <c r="AP243" s="41">
        <v>83274</v>
      </c>
      <c r="AQ243" s="41">
        <v>83639</v>
      </c>
    </row>
    <row r="244" spans="1:43">
      <c r="A244" s="38" t="s">
        <v>604</v>
      </c>
      <c r="B244" s="38" t="s">
        <v>605</v>
      </c>
      <c r="C244" s="41">
        <v>41870</v>
      </c>
      <c r="D244" s="41">
        <v>42092</v>
      </c>
      <c r="E244" s="41">
        <v>42316</v>
      </c>
      <c r="F244" s="41">
        <v>42552</v>
      </c>
      <c r="G244" s="41">
        <v>42778</v>
      </c>
      <c r="H244" s="41">
        <v>43017</v>
      </c>
      <c r="I244" s="41">
        <v>43264</v>
      </c>
      <c r="J244" s="41">
        <v>43552</v>
      </c>
      <c r="K244" s="41">
        <v>43745</v>
      </c>
      <c r="L244" s="41">
        <v>44074</v>
      </c>
      <c r="M244" s="41">
        <v>44549</v>
      </c>
      <c r="N244" s="41">
        <v>44565</v>
      </c>
      <c r="O244" s="41">
        <v>45138</v>
      </c>
      <c r="P244" s="41">
        <v>45469</v>
      </c>
      <c r="Q244" s="41">
        <v>45743</v>
      </c>
      <c r="R244" s="41">
        <v>46035</v>
      </c>
      <c r="S244" s="41">
        <v>46319</v>
      </c>
      <c r="T244" s="41">
        <v>46607</v>
      </c>
      <c r="U244" s="41">
        <v>46890</v>
      </c>
      <c r="V244" s="41">
        <v>47150</v>
      </c>
      <c r="W244" s="41">
        <v>47365</v>
      </c>
      <c r="X244" s="41">
        <v>47630</v>
      </c>
      <c r="Y244" s="41">
        <v>47882</v>
      </c>
      <c r="Z244" s="41">
        <v>48116</v>
      </c>
      <c r="AA244" s="41">
        <v>48344</v>
      </c>
      <c r="AB244" s="41">
        <v>48519</v>
      </c>
      <c r="AC244" s="41">
        <v>48713</v>
      </c>
      <c r="AD244" s="41">
        <v>48895</v>
      </c>
      <c r="AE244" s="41">
        <v>49059</v>
      </c>
      <c r="AF244" s="41">
        <v>49225</v>
      </c>
      <c r="AG244" s="41">
        <v>49398</v>
      </c>
      <c r="AH244" s="41">
        <v>49556</v>
      </c>
      <c r="AI244" s="41">
        <v>49726</v>
      </c>
      <c r="AJ244" s="41">
        <v>49874</v>
      </c>
      <c r="AK244" s="41">
        <v>50038</v>
      </c>
      <c r="AL244" s="41">
        <v>50213</v>
      </c>
      <c r="AM244" s="41">
        <v>50394</v>
      </c>
      <c r="AN244" s="41">
        <v>50563</v>
      </c>
      <c r="AO244" s="41">
        <v>50728</v>
      </c>
      <c r="AP244" s="41">
        <v>50898</v>
      </c>
      <c r="AQ244" s="41">
        <v>51074</v>
      </c>
    </row>
    <row r="245" spans="1:43">
      <c r="A245" s="38" t="s">
        <v>606</v>
      </c>
      <c r="B245" s="38" t="s">
        <v>607</v>
      </c>
      <c r="C245" s="41">
        <v>65683</v>
      </c>
      <c r="D245" s="41">
        <v>65761</v>
      </c>
      <c r="E245" s="41">
        <v>65692</v>
      </c>
      <c r="F245" s="41">
        <v>65560</v>
      </c>
      <c r="G245" s="41">
        <v>65556</v>
      </c>
      <c r="H245" s="41">
        <v>65534</v>
      </c>
      <c r="I245" s="41">
        <v>65646</v>
      </c>
      <c r="J245" s="41">
        <v>65821</v>
      </c>
      <c r="K245" s="41">
        <v>66037</v>
      </c>
      <c r="L245" s="41">
        <v>66258</v>
      </c>
      <c r="M245" s="41">
        <v>66840</v>
      </c>
      <c r="N245" s="41">
        <v>67147</v>
      </c>
      <c r="O245" s="41">
        <v>67330</v>
      </c>
      <c r="P245" s="41">
        <v>67616</v>
      </c>
      <c r="Q245" s="41">
        <v>67818</v>
      </c>
      <c r="R245" s="41">
        <v>68266</v>
      </c>
      <c r="S245" s="41">
        <v>68532</v>
      </c>
      <c r="T245" s="41">
        <v>68786</v>
      </c>
      <c r="U245" s="41">
        <v>69032</v>
      </c>
      <c r="V245" s="41">
        <v>69260</v>
      </c>
      <c r="W245" s="41">
        <v>69487</v>
      </c>
      <c r="X245" s="41">
        <v>69664</v>
      </c>
      <c r="Y245" s="41">
        <v>69841</v>
      </c>
      <c r="Z245" s="41">
        <v>70012</v>
      </c>
      <c r="AA245" s="41">
        <v>70177</v>
      </c>
      <c r="AB245" s="41">
        <v>70346</v>
      </c>
      <c r="AC245" s="41">
        <v>70526</v>
      </c>
      <c r="AD245" s="41">
        <v>70730</v>
      </c>
      <c r="AE245" s="41">
        <v>70921</v>
      </c>
      <c r="AF245" s="41">
        <v>71111</v>
      </c>
      <c r="AG245" s="41">
        <v>71301</v>
      </c>
      <c r="AH245" s="41">
        <v>71510</v>
      </c>
      <c r="AI245" s="41">
        <v>71724</v>
      </c>
      <c r="AJ245" s="41">
        <v>71911</v>
      </c>
      <c r="AK245" s="41">
        <v>72097</v>
      </c>
      <c r="AL245" s="41">
        <v>72302</v>
      </c>
      <c r="AM245" s="41">
        <v>72467</v>
      </c>
      <c r="AN245" s="41">
        <v>72625</v>
      </c>
      <c r="AO245" s="41">
        <v>72763</v>
      </c>
      <c r="AP245" s="41">
        <v>72876</v>
      </c>
      <c r="AQ245" s="41">
        <v>73008</v>
      </c>
    </row>
    <row r="246" spans="1:43">
      <c r="A246" s="38" t="s">
        <v>608</v>
      </c>
      <c r="B246" s="38" t="s">
        <v>609</v>
      </c>
      <c r="C246" s="41">
        <v>91499</v>
      </c>
      <c r="D246" s="41">
        <v>92104</v>
      </c>
      <c r="E246" s="41">
        <v>92667</v>
      </c>
      <c r="F246" s="41">
        <v>93222</v>
      </c>
      <c r="G246" s="41">
        <v>94601</v>
      </c>
      <c r="H246" s="41">
        <v>94568</v>
      </c>
      <c r="I246" s="41">
        <v>94796</v>
      </c>
      <c r="J246" s="41">
        <v>95060</v>
      </c>
      <c r="K246" s="41">
        <v>95406</v>
      </c>
      <c r="L246" s="41">
        <v>96313</v>
      </c>
      <c r="M246" s="41">
        <v>96926</v>
      </c>
      <c r="N246" s="41">
        <v>97219</v>
      </c>
      <c r="O246" s="41">
        <v>97683</v>
      </c>
      <c r="P246" s="41">
        <v>98256</v>
      </c>
      <c r="Q246" s="41">
        <v>99353</v>
      </c>
      <c r="R246" s="41">
        <v>100473</v>
      </c>
      <c r="S246" s="41">
        <v>101019</v>
      </c>
      <c r="T246" s="41">
        <v>101553</v>
      </c>
      <c r="U246" s="41">
        <v>101937</v>
      </c>
      <c r="V246" s="41">
        <v>102298</v>
      </c>
      <c r="W246" s="41">
        <v>102553</v>
      </c>
      <c r="X246" s="41">
        <v>103076</v>
      </c>
      <c r="Y246" s="41">
        <v>103609</v>
      </c>
      <c r="Z246" s="41">
        <v>104187</v>
      </c>
      <c r="AA246" s="41">
        <v>104784</v>
      </c>
      <c r="AB246" s="41">
        <v>105413</v>
      </c>
      <c r="AC246" s="41">
        <v>106135</v>
      </c>
      <c r="AD246" s="41">
        <v>106880</v>
      </c>
      <c r="AE246" s="41">
        <v>107567</v>
      </c>
      <c r="AF246" s="41">
        <v>108250</v>
      </c>
      <c r="AG246" s="41">
        <v>108969</v>
      </c>
      <c r="AH246" s="41">
        <v>109710</v>
      </c>
      <c r="AI246" s="41">
        <v>110399</v>
      </c>
      <c r="AJ246" s="41">
        <v>111028</v>
      </c>
      <c r="AK246" s="41">
        <v>111641</v>
      </c>
      <c r="AL246" s="41">
        <v>112240</v>
      </c>
      <c r="AM246" s="41">
        <v>112835</v>
      </c>
      <c r="AN246" s="41">
        <v>113430</v>
      </c>
      <c r="AO246" s="41">
        <v>113978</v>
      </c>
      <c r="AP246" s="41">
        <v>114519</v>
      </c>
      <c r="AQ246" s="41">
        <v>115055</v>
      </c>
    </row>
    <row r="247" spans="1:43">
      <c r="A247" s="38" t="s">
        <v>610</v>
      </c>
      <c r="B247" s="38" t="s">
        <v>611</v>
      </c>
      <c r="C247" s="41">
        <v>70381</v>
      </c>
      <c r="D247" s="41">
        <v>70401</v>
      </c>
      <c r="E247" s="41">
        <v>70294</v>
      </c>
      <c r="F247" s="41">
        <v>70135</v>
      </c>
      <c r="G247" s="41">
        <v>70484</v>
      </c>
      <c r="H247" s="41">
        <v>70786</v>
      </c>
      <c r="I247" s="41">
        <v>71162</v>
      </c>
      <c r="J247" s="41">
        <v>72122</v>
      </c>
      <c r="K247" s="41">
        <v>72689</v>
      </c>
      <c r="L247" s="41">
        <v>73484</v>
      </c>
      <c r="M247" s="41">
        <v>74376</v>
      </c>
      <c r="N247" s="41">
        <v>74586</v>
      </c>
      <c r="O247" s="41">
        <v>74902</v>
      </c>
      <c r="P247" s="41">
        <v>75546</v>
      </c>
      <c r="Q247" s="41">
        <v>75960</v>
      </c>
      <c r="R247" s="41">
        <v>76438</v>
      </c>
      <c r="S247" s="41">
        <v>76901</v>
      </c>
      <c r="T247" s="41">
        <v>77391</v>
      </c>
      <c r="U247" s="41">
        <v>77868</v>
      </c>
      <c r="V247" s="41">
        <v>78356</v>
      </c>
      <c r="W247" s="41">
        <v>78818</v>
      </c>
      <c r="X247" s="41">
        <v>79578</v>
      </c>
      <c r="Y247" s="41">
        <v>80316</v>
      </c>
      <c r="Z247" s="41">
        <v>81051</v>
      </c>
      <c r="AA247" s="41">
        <v>81770</v>
      </c>
      <c r="AB247" s="41">
        <v>82474</v>
      </c>
      <c r="AC247" s="41">
        <v>83210</v>
      </c>
      <c r="AD247" s="41">
        <v>83927</v>
      </c>
      <c r="AE247" s="41">
        <v>84646</v>
      </c>
      <c r="AF247" s="41">
        <v>85359</v>
      </c>
      <c r="AG247" s="41">
        <v>86076</v>
      </c>
      <c r="AH247" s="41">
        <v>86778</v>
      </c>
      <c r="AI247" s="41">
        <v>87465</v>
      </c>
      <c r="AJ247" s="41">
        <v>88169</v>
      </c>
      <c r="AK247" s="41">
        <v>88862</v>
      </c>
      <c r="AL247" s="41">
        <v>89549</v>
      </c>
      <c r="AM247" s="41">
        <v>90216</v>
      </c>
      <c r="AN247" s="41">
        <v>90887</v>
      </c>
      <c r="AO247" s="41">
        <v>91579</v>
      </c>
      <c r="AP247" s="41">
        <v>92248</v>
      </c>
      <c r="AQ247" s="41">
        <v>92936</v>
      </c>
    </row>
    <row r="248" spans="1:43">
      <c r="A248" s="38" t="s">
        <v>612</v>
      </c>
      <c r="B248" s="38" t="s">
        <v>613</v>
      </c>
      <c r="C248" s="41">
        <v>110393</v>
      </c>
      <c r="D248" s="41">
        <v>109873</v>
      </c>
      <c r="E248" s="41">
        <v>109065</v>
      </c>
      <c r="F248" s="41">
        <v>109308</v>
      </c>
      <c r="G248" s="41">
        <v>110788</v>
      </c>
      <c r="H248" s="41">
        <v>112603</v>
      </c>
      <c r="I248" s="41">
        <v>113946</v>
      </c>
      <c r="J248" s="41">
        <v>115445</v>
      </c>
      <c r="K248" s="41">
        <v>116943</v>
      </c>
      <c r="L248" s="41">
        <v>117760</v>
      </c>
      <c r="M248" s="41">
        <v>119154</v>
      </c>
      <c r="N248" s="41">
        <v>120918</v>
      </c>
      <c r="O248" s="41">
        <v>122837</v>
      </c>
      <c r="P248" s="41">
        <v>124591</v>
      </c>
      <c r="Q248" s="41">
        <v>126753</v>
      </c>
      <c r="R248" s="41">
        <v>128385</v>
      </c>
      <c r="S248" s="41">
        <v>129799</v>
      </c>
      <c r="T248" s="41">
        <v>131144</v>
      </c>
      <c r="U248" s="41">
        <v>132438</v>
      </c>
      <c r="V248" s="41">
        <v>133652</v>
      </c>
      <c r="W248" s="41">
        <v>134680</v>
      </c>
      <c r="X248" s="41">
        <v>136126</v>
      </c>
      <c r="Y248" s="41">
        <v>137493</v>
      </c>
      <c r="Z248" s="41">
        <v>138841</v>
      </c>
      <c r="AA248" s="41">
        <v>140160</v>
      </c>
      <c r="AB248" s="41">
        <v>141406</v>
      </c>
      <c r="AC248" s="41">
        <v>142627</v>
      </c>
      <c r="AD248" s="41">
        <v>143849</v>
      </c>
      <c r="AE248" s="41">
        <v>145064</v>
      </c>
      <c r="AF248" s="41">
        <v>146277</v>
      </c>
      <c r="AG248" s="41">
        <v>147519</v>
      </c>
      <c r="AH248" s="41">
        <v>148756</v>
      </c>
      <c r="AI248" s="41">
        <v>150024</v>
      </c>
      <c r="AJ248" s="41">
        <v>151268</v>
      </c>
      <c r="AK248" s="41">
        <v>152510</v>
      </c>
      <c r="AL248" s="41">
        <v>153771</v>
      </c>
      <c r="AM248" s="41">
        <v>155029</v>
      </c>
      <c r="AN248" s="41">
        <v>156258</v>
      </c>
      <c r="AO248" s="41">
        <v>157436</v>
      </c>
      <c r="AP248" s="41">
        <v>158568</v>
      </c>
      <c r="AQ248" s="41">
        <v>159687</v>
      </c>
    </row>
    <row r="249" spans="1:43">
      <c r="A249" s="38" t="s">
        <v>614</v>
      </c>
      <c r="B249" s="38" t="s">
        <v>615</v>
      </c>
      <c r="C249" s="41">
        <v>38152</v>
      </c>
      <c r="D249" s="41">
        <v>37999</v>
      </c>
      <c r="E249" s="41">
        <v>37868</v>
      </c>
      <c r="F249" s="41">
        <v>37756</v>
      </c>
      <c r="G249" s="41">
        <v>37801</v>
      </c>
      <c r="H249" s="41">
        <v>37980</v>
      </c>
      <c r="I249" s="41">
        <v>38233</v>
      </c>
      <c r="J249" s="41">
        <v>38556</v>
      </c>
      <c r="K249" s="41">
        <v>38836</v>
      </c>
      <c r="L249" s="41">
        <v>39090</v>
      </c>
      <c r="M249" s="41">
        <v>39461</v>
      </c>
      <c r="N249" s="41">
        <v>39764</v>
      </c>
      <c r="O249" s="41">
        <v>39898</v>
      </c>
      <c r="P249" s="41">
        <v>40038</v>
      </c>
      <c r="Q249" s="41">
        <v>40091</v>
      </c>
      <c r="R249" s="41">
        <v>40158</v>
      </c>
      <c r="S249" s="41">
        <v>40325</v>
      </c>
      <c r="T249" s="41">
        <v>40466</v>
      </c>
      <c r="U249" s="41">
        <v>40607</v>
      </c>
      <c r="V249" s="41">
        <v>40762</v>
      </c>
      <c r="W249" s="41">
        <v>40912</v>
      </c>
      <c r="X249" s="41">
        <v>41174</v>
      </c>
      <c r="Y249" s="41">
        <v>41430</v>
      </c>
      <c r="Z249" s="41">
        <v>41673</v>
      </c>
      <c r="AA249" s="41">
        <v>41924</v>
      </c>
      <c r="AB249" s="41">
        <v>42164</v>
      </c>
      <c r="AC249" s="41">
        <v>42411</v>
      </c>
      <c r="AD249" s="41">
        <v>42662</v>
      </c>
      <c r="AE249" s="41">
        <v>42905</v>
      </c>
      <c r="AF249" s="41">
        <v>43156</v>
      </c>
      <c r="AG249" s="41">
        <v>43403</v>
      </c>
      <c r="AH249" s="41">
        <v>43657</v>
      </c>
      <c r="AI249" s="41">
        <v>43925</v>
      </c>
      <c r="AJ249" s="41">
        <v>44186</v>
      </c>
      <c r="AK249" s="41">
        <v>44440</v>
      </c>
      <c r="AL249" s="41">
        <v>44700</v>
      </c>
      <c r="AM249" s="41">
        <v>44948</v>
      </c>
      <c r="AN249" s="41">
        <v>45216</v>
      </c>
      <c r="AO249" s="41">
        <v>45471</v>
      </c>
      <c r="AP249" s="41">
        <v>45717</v>
      </c>
      <c r="AQ249" s="41">
        <v>45976</v>
      </c>
    </row>
    <row r="250" spans="1:43">
      <c r="A250" s="38" t="s">
        <v>616</v>
      </c>
      <c r="B250" s="38" t="s">
        <v>617</v>
      </c>
      <c r="C250" s="41">
        <v>52301</v>
      </c>
      <c r="D250" s="41">
        <v>52644</v>
      </c>
      <c r="E250" s="41">
        <v>52854</v>
      </c>
      <c r="F250" s="41">
        <v>52742</v>
      </c>
      <c r="G250" s="41">
        <v>52948</v>
      </c>
      <c r="H250" s="41">
        <v>53290</v>
      </c>
      <c r="I250" s="41">
        <v>53608</v>
      </c>
      <c r="J250" s="41">
        <v>54176</v>
      </c>
      <c r="K250" s="41">
        <v>54790</v>
      </c>
      <c r="L250" s="41">
        <v>55304</v>
      </c>
      <c r="M250" s="41">
        <v>55959</v>
      </c>
      <c r="N250" s="41">
        <v>56300</v>
      </c>
      <c r="O250" s="41">
        <v>56709</v>
      </c>
      <c r="P250" s="41">
        <v>57233</v>
      </c>
      <c r="Q250" s="41">
        <v>57492</v>
      </c>
      <c r="R250" s="41">
        <v>57729</v>
      </c>
      <c r="S250" s="41">
        <v>58145</v>
      </c>
      <c r="T250" s="41">
        <v>58525</v>
      </c>
      <c r="U250" s="41">
        <v>58913</v>
      </c>
      <c r="V250" s="41">
        <v>59287</v>
      </c>
      <c r="W250" s="41">
        <v>59661</v>
      </c>
      <c r="X250" s="41">
        <v>60152</v>
      </c>
      <c r="Y250" s="41">
        <v>60605</v>
      </c>
      <c r="Z250" s="41">
        <v>61055</v>
      </c>
      <c r="AA250" s="41">
        <v>61494</v>
      </c>
      <c r="AB250" s="41">
        <v>61930</v>
      </c>
      <c r="AC250" s="41">
        <v>62374</v>
      </c>
      <c r="AD250" s="41">
        <v>62795</v>
      </c>
      <c r="AE250" s="41">
        <v>63211</v>
      </c>
      <c r="AF250" s="41">
        <v>63614</v>
      </c>
      <c r="AG250" s="41">
        <v>64020</v>
      </c>
      <c r="AH250" s="41">
        <v>64413</v>
      </c>
      <c r="AI250" s="41">
        <v>64812</v>
      </c>
      <c r="AJ250" s="41">
        <v>65201</v>
      </c>
      <c r="AK250" s="41">
        <v>65577</v>
      </c>
      <c r="AL250" s="41">
        <v>65976</v>
      </c>
      <c r="AM250" s="41">
        <v>66338</v>
      </c>
      <c r="AN250" s="41">
        <v>66717</v>
      </c>
      <c r="AO250" s="41">
        <v>67079</v>
      </c>
      <c r="AP250" s="41">
        <v>67448</v>
      </c>
      <c r="AQ250" s="41">
        <v>67832</v>
      </c>
    </row>
    <row r="251" spans="1:43">
      <c r="A251" s="38" t="s">
        <v>618</v>
      </c>
      <c r="B251" s="38" t="s">
        <v>619</v>
      </c>
      <c r="C251" s="41">
        <v>72191</v>
      </c>
      <c r="D251" s="41">
        <v>72371</v>
      </c>
      <c r="E251" s="41">
        <v>72700</v>
      </c>
      <c r="F251" s="41">
        <v>72964</v>
      </c>
      <c r="G251" s="41">
        <v>73161</v>
      </c>
      <c r="H251" s="41">
        <v>73403</v>
      </c>
      <c r="I251" s="41">
        <v>73600</v>
      </c>
      <c r="J251" s="41">
        <v>74011</v>
      </c>
      <c r="K251" s="41">
        <v>74350</v>
      </c>
      <c r="L251" s="41">
        <v>74709</v>
      </c>
      <c r="M251" s="41">
        <v>75447</v>
      </c>
      <c r="N251" s="41">
        <v>76019</v>
      </c>
      <c r="O251" s="41">
        <v>76341</v>
      </c>
      <c r="P251" s="41">
        <v>76878</v>
      </c>
      <c r="Q251" s="41">
        <v>77327</v>
      </c>
      <c r="R251" s="41">
        <v>77935</v>
      </c>
      <c r="S251" s="41">
        <v>78445</v>
      </c>
      <c r="T251" s="41">
        <v>78943</v>
      </c>
      <c r="U251" s="41">
        <v>79380</v>
      </c>
      <c r="V251" s="41">
        <v>79789</v>
      </c>
      <c r="W251" s="41">
        <v>80197</v>
      </c>
      <c r="X251" s="41">
        <v>80592</v>
      </c>
      <c r="Y251" s="41">
        <v>80944</v>
      </c>
      <c r="Z251" s="41">
        <v>81261</v>
      </c>
      <c r="AA251" s="41">
        <v>81532</v>
      </c>
      <c r="AB251" s="41">
        <v>81827</v>
      </c>
      <c r="AC251" s="41">
        <v>82143</v>
      </c>
      <c r="AD251" s="41">
        <v>82430</v>
      </c>
      <c r="AE251" s="41">
        <v>82701</v>
      </c>
      <c r="AF251" s="41">
        <v>82944</v>
      </c>
      <c r="AG251" s="41">
        <v>83213</v>
      </c>
      <c r="AH251" s="41">
        <v>83488</v>
      </c>
      <c r="AI251" s="41">
        <v>83739</v>
      </c>
      <c r="AJ251" s="41">
        <v>84012</v>
      </c>
      <c r="AK251" s="41">
        <v>84277</v>
      </c>
      <c r="AL251" s="41">
        <v>84555</v>
      </c>
      <c r="AM251" s="41">
        <v>84816</v>
      </c>
      <c r="AN251" s="41">
        <v>85084</v>
      </c>
      <c r="AO251" s="41">
        <v>85352</v>
      </c>
      <c r="AP251" s="41">
        <v>85612</v>
      </c>
      <c r="AQ251" s="41">
        <v>85900</v>
      </c>
    </row>
    <row r="252" spans="1:43">
      <c r="A252" s="38" t="s">
        <v>620</v>
      </c>
      <c r="B252" s="38" t="s">
        <v>621</v>
      </c>
      <c r="C252" s="41">
        <v>49739</v>
      </c>
      <c r="D252" s="41">
        <v>50219</v>
      </c>
      <c r="E252" s="41">
        <v>50892</v>
      </c>
      <c r="F252" s="41">
        <v>51470</v>
      </c>
      <c r="G252" s="41">
        <v>52077</v>
      </c>
      <c r="H252" s="41">
        <v>52749</v>
      </c>
      <c r="I252" s="41">
        <v>53410</v>
      </c>
      <c r="J252" s="41">
        <v>54117</v>
      </c>
      <c r="K252" s="41">
        <v>54618</v>
      </c>
      <c r="L252" s="41">
        <v>55129</v>
      </c>
      <c r="M252" s="41">
        <v>55554</v>
      </c>
      <c r="N252" s="41">
        <v>55977</v>
      </c>
      <c r="O252" s="41">
        <v>56386</v>
      </c>
      <c r="P252" s="41">
        <v>56692</v>
      </c>
      <c r="Q252" s="41">
        <v>57021</v>
      </c>
      <c r="R252" s="41">
        <v>57729</v>
      </c>
      <c r="S252" s="41">
        <v>58065</v>
      </c>
      <c r="T252" s="41">
        <v>58428</v>
      </c>
      <c r="U252" s="41">
        <v>58773</v>
      </c>
      <c r="V252" s="41">
        <v>59084</v>
      </c>
      <c r="W252" s="41">
        <v>59374</v>
      </c>
      <c r="X252" s="41">
        <v>59648</v>
      </c>
      <c r="Y252" s="41">
        <v>59943</v>
      </c>
      <c r="Z252" s="41">
        <v>60209</v>
      </c>
      <c r="AA252" s="41">
        <v>60454</v>
      </c>
      <c r="AB252" s="41">
        <v>60669</v>
      </c>
      <c r="AC252" s="41">
        <v>60900</v>
      </c>
      <c r="AD252" s="41">
        <v>61131</v>
      </c>
      <c r="AE252" s="41">
        <v>61347</v>
      </c>
      <c r="AF252" s="41">
        <v>61528</v>
      </c>
      <c r="AG252" s="41">
        <v>61708</v>
      </c>
      <c r="AH252" s="41">
        <v>61891</v>
      </c>
      <c r="AI252" s="41">
        <v>62082</v>
      </c>
      <c r="AJ252" s="41">
        <v>62259</v>
      </c>
      <c r="AK252" s="41">
        <v>62420</v>
      </c>
      <c r="AL252" s="41">
        <v>62589</v>
      </c>
      <c r="AM252" s="41">
        <v>62760</v>
      </c>
      <c r="AN252" s="41">
        <v>62945</v>
      </c>
      <c r="AO252" s="41">
        <v>63119</v>
      </c>
      <c r="AP252" s="41">
        <v>63292</v>
      </c>
      <c r="AQ252" s="41">
        <v>63473</v>
      </c>
    </row>
    <row r="253" spans="1:43">
      <c r="A253" s="38" t="s">
        <v>622</v>
      </c>
      <c r="B253" s="38" t="s">
        <v>623</v>
      </c>
      <c r="C253" s="41">
        <v>38642</v>
      </c>
      <c r="D253" s="41">
        <v>39042</v>
      </c>
      <c r="E253" s="41">
        <v>39252</v>
      </c>
      <c r="F253" s="41">
        <v>39493</v>
      </c>
      <c r="G253" s="41">
        <v>39801</v>
      </c>
      <c r="H253" s="41">
        <v>40142</v>
      </c>
      <c r="I253" s="41">
        <v>40504</v>
      </c>
      <c r="J253" s="41">
        <v>40842</v>
      </c>
      <c r="K253" s="41">
        <v>41064</v>
      </c>
      <c r="L253" s="41">
        <v>41275</v>
      </c>
      <c r="M253" s="41">
        <v>41745</v>
      </c>
      <c r="N253" s="41">
        <v>41955</v>
      </c>
      <c r="O253" s="41">
        <v>42155</v>
      </c>
      <c r="P253" s="41">
        <v>42441</v>
      </c>
      <c r="Q253" s="41">
        <v>42625</v>
      </c>
      <c r="R253" s="41">
        <v>42836</v>
      </c>
      <c r="S253" s="41">
        <v>43032</v>
      </c>
      <c r="T253" s="41">
        <v>43240</v>
      </c>
      <c r="U253" s="41">
        <v>43451</v>
      </c>
      <c r="V253" s="41">
        <v>43645</v>
      </c>
      <c r="W253" s="41">
        <v>43833</v>
      </c>
      <c r="X253" s="41">
        <v>44023</v>
      </c>
      <c r="Y253" s="41">
        <v>44182</v>
      </c>
      <c r="Z253" s="41">
        <v>44328</v>
      </c>
      <c r="AA253" s="41">
        <v>44472</v>
      </c>
      <c r="AB253" s="41">
        <v>44599</v>
      </c>
      <c r="AC253" s="41">
        <v>44719</v>
      </c>
      <c r="AD253" s="41">
        <v>44845</v>
      </c>
      <c r="AE253" s="41">
        <v>44945</v>
      </c>
      <c r="AF253" s="41">
        <v>45041</v>
      </c>
      <c r="AG253" s="41">
        <v>45136</v>
      </c>
      <c r="AH253" s="41">
        <v>45223</v>
      </c>
      <c r="AI253" s="41">
        <v>45326</v>
      </c>
      <c r="AJ253" s="41">
        <v>45403</v>
      </c>
      <c r="AK253" s="41">
        <v>45484</v>
      </c>
      <c r="AL253" s="41">
        <v>45574</v>
      </c>
      <c r="AM253" s="41">
        <v>45651</v>
      </c>
      <c r="AN253" s="41">
        <v>45748</v>
      </c>
      <c r="AO253" s="41">
        <v>45836</v>
      </c>
      <c r="AP253" s="41">
        <v>45921</v>
      </c>
      <c r="AQ253" s="41">
        <v>46028</v>
      </c>
    </row>
    <row r="254" spans="1:43">
      <c r="A254" s="38" t="s">
        <v>624</v>
      </c>
      <c r="B254" s="38" t="s">
        <v>625</v>
      </c>
      <c r="C254" s="41">
        <v>32473</v>
      </c>
      <c r="D254" s="41">
        <v>32670</v>
      </c>
      <c r="E254" s="41">
        <v>32798</v>
      </c>
      <c r="F254" s="41">
        <v>32668</v>
      </c>
      <c r="G254" s="41">
        <v>32843</v>
      </c>
      <c r="H254" s="41">
        <v>32905</v>
      </c>
      <c r="I254" s="41">
        <v>33078</v>
      </c>
      <c r="J254" s="41">
        <v>33476</v>
      </c>
      <c r="K254" s="41">
        <v>33798</v>
      </c>
      <c r="L254" s="41">
        <v>34127</v>
      </c>
      <c r="M254" s="41">
        <v>34744</v>
      </c>
      <c r="N254" s="41">
        <v>35078</v>
      </c>
      <c r="O254" s="41">
        <v>35448</v>
      </c>
      <c r="P254" s="41">
        <v>35711</v>
      </c>
      <c r="Q254" s="41">
        <v>36037</v>
      </c>
      <c r="R254" s="41">
        <v>36333</v>
      </c>
      <c r="S254" s="41">
        <v>36597</v>
      </c>
      <c r="T254" s="41">
        <v>36888</v>
      </c>
      <c r="U254" s="41">
        <v>37142</v>
      </c>
      <c r="V254" s="41">
        <v>37419</v>
      </c>
      <c r="W254" s="41">
        <v>37664</v>
      </c>
      <c r="X254" s="41">
        <v>37950</v>
      </c>
      <c r="Y254" s="41">
        <v>38237</v>
      </c>
      <c r="Z254" s="41">
        <v>38516</v>
      </c>
      <c r="AA254" s="41">
        <v>38793</v>
      </c>
      <c r="AB254" s="41">
        <v>39082</v>
      </c>
      <c r="AC254" s="41">
        <v>39374</v>
      </c>
      <c r="AD254" s="41">
        <v>39671</v>
      </c>
      <c r="AE254" s="41">
        <v>39956</v>
      </c>
      <c r="AF254" s="41">
        <v>40254</v>
      </c>
      <c r="AG254" s="41">
        <v>40551</v>
      </c>
      <c r="AH254" s="41">
        <v>40863</v>
      </c>
      <c r="AI254" s="41">
        <v>41180</v>
      </c>
      <c r="AJ254" s="41">
        <v>41489</v>
      </c>
      <c r="AK254" s="41">
        <v>41797</v>
      </c>
      <c r="AL254" s="41">
        <v>42115</v>
      </c>
      <c r="AM254" s="41">
        <v>42433</v>
      </c>
      <c r="AN254" s="41">
        <v>42758</v>
      </c>
      <c r="AO254" s="41">
        <v>43074</v>
      </c>
      <c r="AP254" s="41">
        <v>43372</v>
      </c>
      <c r="AQ254" s="41">
        <v>43669</v>
      </c>
    </row>
    <row r="255" spans="1:43">
      <c r="A255" s="38" t="s">
        <v>626</v>
      </c>
      <c r="B255" s="38" t="s">
        <v>627</v>
      </c>
      <c r="C255" s="41">
        <v>119589</v>
      </c>
      <c r="D255" s="41">
        <v>119423</v>
      </c>
      <c r="E255" s="41">
        <v>119479</v>
      </c>
      <c r="F255" s="41">
        <v>119416</v>
      </c>
      <c r="G255" s="41">
        <v>119188</v>
      </c>
      <c r="H255" s="41">
        <v>119178</v>
      </c>
      <c r="I255" s="41">
        <v>119465</v>
      </c>
      <c r="J255" s="41">
        <v>119873</v>
      </c>
      <c r="K255" s="41">
        <v>120319</v>
      </c>
      <c r="L255" s="41">
        <v>120720</v>
      </c>
      <c r="M255" s="41">
        <v>121317</v>
      </c>
      <c r="N255" s="41">
        <v>121681</v>
      </c>
      <c r="O255" s="41">
        <v>122203</v>
      </c>
      <c r="P255" s="41">
        <v>122893</v>
      </c>
      <c r="Q255" s="41">
        <v>123701</v>
      </c>
      <c r="R255" s="41">
        <v>124372</v>
      </c>
      <c r="S255" s="41">
        <v>125091</v>
      </c>
      <c r="T255" s="41">
        <v>125742</v>
      </c>
      <c r="U255" s="41">
        <v>126370</v>
      </c>
      <c r="V255" s="41">
        <v>127023</v>
      </c>
      <c r="W255" s="41">
        <v>127639</v>
      </c>
      <c r="X255" s="41">
        <v>128390</v>
      </c>
      <c r="Y255" s="41">
        <v>129074</v>
      </c>
      <c r="Z255" s="41">
        <v>129746</v>
      </c>
      <c r="AA255" s="41">
        <v>130414</v>
      </c>
      <c r="AB255" s="41">
        <v>131092</v>
      </c>
      <c r="AC255" s="41">
        <v>131786</v>
      </c>
      <c r="AD255" s="41">
        <v>132443</v>
      </c>
      <c r="AE255" s="41">
        <v>133093</v>
      </c>
      <c r="AF255" s="41">
        <v>133744</v>
      </c>
      <c r="AG255" s="41">
        <v>134409</v>
      </c>
      <c r="AH255" s="41">
        <v>135082</v>
      </c>
      <c r="AI255" s="41">
        <v>135739</v>
      </c>
      <c r="AJ255" s="41">
        <v>136396</v>
      </c>
      <c r="AK255" s="41">
        <v>137069</v>
      </c>
      <c r="AL255" s="41">
        <v>137731</v>
      </c>
      <c r="AM255" s="41">
        <v>138370</v>
      </c>
      <c r="AN255" s="41">
        <v>139005</v>
      </c>
      <c r="AO255" s="41">
        <v>139639</v>
      </c>
      <c r="AP255" s="41">
        <v>140261</v>
      </c>
      <c r="AQ255" s="41">
        <v>140913</v>
      </c>
    </row>
    <row r="256" spans="1:43">
      <c r="A256" s="38" t="s">
        <v>628</v>
      </c>
      <c r="B256" s="38" t="s">
        <v>629</v>
      </c>
      <c r="C256" s="41">
        <v>73877</v>
      </c>
      <c r="D256" s="41">
        <v>74567</v>
      </c>
      <c r="E256" s="41">
        <v>75135</v>
      </c>
      <c r="F256" s="41">
        <v>75341</v>
      </c>
      <c r="G256" s="41">
        <v>75896</v>
      </c>
      <c r="H256" s="41">
        <v>76340</v>
      </c>
      <c r="I256" s="41">
        <v>76741</v>
      </c>
      <c r="J256" s="41">
        <v>77268</v>
      </c>
      <c r="K256" s="41">
        <v>77740</v>
      </c>
      <c r="L256" s="41">
        <v>78328</v>
      </c>
      <c r="M256" s="41">
        <v>78799</v>
      </c>
      <c r="N256" s="41">
        <v>79261</v>
      </c>
      <c r="O256" s="41">
        <v>79778</v>
      </c>
      <c r="P256" s="41">
        <v>80298</v>
      </c>
      <c r="Q256" s="41">
        <v>80649</v>
      </c>
      <c r="R256" s="41">
        <v>81126</v>
      </c>
      <c r="S256" s="41">
        <v>81638</v>
      </c>
      <c r="T256" s="41">
        <v>82095</v>
      </c>
      <c r="U256" s="41">
        <v>82523</v>
      </c>
      <c r="V256" s="41">
        <v>82912</v>
      </c>
      <c r="W256" s="41">
        <v>83226</v>
      </c>
      <c r="X256" s="41">
        <v>83630</v>
      </c>
      <c r="Y256" s="41">
        <v>83985</v>
      </c>
      <c r="Z256" s="41">
        <v>84352</v>
      </c>
      <c r="AA256" s="41">
        <v>84684</v>
      </c>
      <c r="AB256" s="41">
        <v>85007</v>
      </c>
      <c r="AC256" s="41">
        <v>85369</v>
      </c>
      <c r="AD256" s="41">
        <v>85735</v>
      </c>
      <c r="AE256" s="41">
        <v>86077</v>
      </c>
      <c r="AF256" s="41">
        <v>86414</v>
      </c>
      <c r="AG256" s="41">
        <v>86755</v>
      </c>
      <c r="AH256" s="41">
        <v>87094</v>
      </c>
      <c r="AI256" s="41">
        <v>87451</v>
      </c>
      <c r="AJ256" s="41">
        <v>87763</v>
      </c>
      <c r="AK256" s="41">
        <v>88086</v>
      </c>
      <c r="AL256" s="41">
        <v>88387</v>
      </c>
      <c r="AM256" s="41">
        <v>88694</v>
      </c>
      <c r="AN256" s="41">
        <v>88995</v>
      </c>
      <c r="AO256" s="41">
        <v>89246</v>
      </c>
      <c r="AP256" s="41">
        <v>89505</v>
      </c>
      <c r="AQ256" s="41">
        <v>89743</v>
      </c>
    </row>
    <row r="257" spans="1:43">
      <c r="A257" s="38" t="s">
        <v>630</v>
      </c>
      <c r="B257" s="38" t="s">
        <v>631</v>
      </c>
      <c r="C257" s="41">
        <v>102087</v>
      </c>
      <c r="D257" s="41">
        <v>102141</v>
      </c>
      <c r="E257" s="41">
        <v>102304</v>
      </c>
      <c r="F257" s="41">
        <v>102675</v>
      </c>
      <c r="G257" s="41">
        <v>103081</v>
      </c>
      <c r="H257" s="41">
        <v>103712</v>
      </c>
      <c r="I257" s="41">
        <v>103995</v>
      </c>
      <c r="J257" s="41">
        <v>104526</v>
      </c>
      <c r="K257" s="41">
        <v>104776</v>
      </c>
      <c r="L257" s="41">
        <v>105533</v>
      </c>
      <c r="M257" s="41">
        <v>106621</v>
      </c>
      <c r="N257" s="41">
        <v>106925</v>
      </c>
      <c r="O257" s="41">
        <v>107164</v>
      </c>
      <c r="P257" s="41">
        <v>107572</v>
      </c>
      <c r="Q257" s="41">
        <v>107954</v>
      </c>
      <c r="R257" s="41">
        <v>108757</v>
      </c>
      <c r="S257" s="41">
        <v>109223</v>
      </c>
      <c r="T257" s="41">
        <v>109715</v>
      </c>
      <c r="U257" s="41">
        <v>110153</v>
      </c>
      <c r="V257" s="41">
        <v>110561</v>
      </c>
      <c r="W257" s="41">
        <v>110894</v>
      </c>
      <c r="X257" s="41">
        <v>111300</v>
      </c>
      <c r="Y257" s="41">
        <v>111709</v>
      </c>
      <c r="Z257" s="41">
        <v>112113</v>
      </c>
      <c r="AA257" s="41">
        <v>112496</v>
      </c>
      <c r="AB257" s="41">
        <v>112839</v>
      </c>
      <c r="AC257" s="41">
        <v>113234</v>
      </c>
      <c r="AD257" s="41">
        <v>113674</v>
      </c>
      <c r="AE257" s="41">
        <v>114071</v>
      </c>
      <c r="AF257" s="41">
        <v>114459</v>
      </c>
      <c r="AG257" s="41">
        <v>114854</v>
      </c>
      <c r="AH257" s="41">
        <v>115284</v>
      </c>
      <c r="AI257" s="41">
        <v>115719</v>
      </c>
      <c r="AJ257" s="41">
        <v>116133</v>
      </c>
      <c r="AK257" s="41">
        <v>116541</v>
      </c>
      <c r="AL257" s="41">
        <v>116957</v>
      </c>
      <c r="AM257" s="41">
        <v>117375</v>
      </c>
      <c r="AN257" s="41">
        <v>117801</v>
      </c>
      <c r="AO257" s="41">
        <v>118205</v>
      </c>
      <c r="AP257" s="41">
        <v>118601</v>
      </c>
      <c r="AQ257" s="41">
        <v>119014</v>
      </c>
    </row>
    <row r="258" spans="1:43">
      <c r="A258" s="38" t="s">
        <v>632</v>
      </c>
      <c r="B258" s="38" t="s">
        <v>633</v>
      </c>
      <c r="C258" s="41">
        <v>46968</v>
      </c>
      <c r="D258" s="41">
        <v>47304</v>
      </c>
      <c r="E258" s="41">
        <v>47714</v>
      </c>
      <c r="F258" s="41">
        <v>48008</v>
      </c>
      <c r="G258" s="41">
        <v>48623</v>
      </c>
      <c r="H258" s="41">
        <v>49481</v>
      </c>
      <c r="I258" s="41">
        <v>50191</v>
      </c>
      <c r="J258" s="41">
        <v>50837</v>
      </c>
      <c r="K258" s="41">
        <v>51052</v>
      </c>
      <c r="L258" s="41">
        <v>51450</v>
      </c>
      <c r="M258" s="41">
        <v>51961</v>
      </c>
      <c r="N258" s="41">
        <v>52242</v>
      </c>
      <c r="O258" s="41">
        <v>52518</v>
      </c>
      <c r="P258" s="41">
        <v>52837</v>
      </c>
      <c r="Q258" s="41">
        <v>53138</v>
      </c>
      <c r="R258" s="41">
        <v>53651</v>
      </c>
      <c r="S258" s="41">
        <v>53973</v>
      </c>
      <c r="T258" s="41">
        <v>54280</v>
      </c>
      <c r="U258" s="41">
        <v>54573</v>
      </c>
      <c r="V258" s="41">
        <v>54871</v>
      </c>
      <c r="W258" s="41">
        <v>55166</v>
      </c>
      <c r="X258" s="41">
        <v>55516</v>
      </c>
      <c r="Y258" s="41">
        <v>55833</v>
      </c>
      <c r="Z258" s="41">
        <v>56165</v>
      </c>
      <c r="AA258" s="41">
        <v>56465</v>
      </c>
      <c r="AB258" s="41">
        <v>56758</v>
      </c>
      <c r="AC258" s="41">
        <v>57054</v>
      </c>
      <c r="AD258" s="41">
        <v>57328</v>
      </c>
      <c r="AE258" s="41">
        <v>57603</v>
      </c>
      <c r="AF258" s="41">
        <v>57849</v>
      </c>
      <c r="AG258" s="41">
        <v>58107</v>
      </c>
      <c r="AH258" s="41">
        <v>58360</v>
      </c>
      <c r="AI258" s="41">
        <v>58589</v>
      </c>
      <c r="AJ258" s="41">
        <v>58822</v>
      </c>
      <c r="AK258" s="41">
        <v>59043</v>
      </c>
      <c r="AL258" s="41">
        <v>59273</v>
      </c>
      <c r="AM258" s="41">
        <v>59506</v>
      </c>
      <c r="AN258" s="41">
        <v>59727</v>
      </c>
      <c r="AO258" s="41">
        <v>59968</v>
      </c>
      <c r="AP258" s="41">
        <v>60205</v>
      </c>
      <c r="AQ258" s="41">
        <v>60471</v>
      </c>
    </row>
    <row r="259" spans="1:43">
      <c r="A259" s="38" t="s">
        <v>634</v>
      </c>
      <c r="B259" s="38" t="s">
        <v>635</v>
      </c>
      <c r="C259" s="41">
        <v>44452</v>
      </c>
      <c r="D259" s="41">
        <v>44619</v>
      </c>
      <c r="E259" s="41">
        <v>44892</v>
      </c>
      <c r="F259" s="41">
        <v>45225</v>
      </c>
      <c r="G259" s="41">
        <v>45569</v>
      </c>
      <c r="H259" s="41">
        <v>45776</v>
      </c>
      <c r="I259" s="41">
        <v>46081</v>
      </c>
      <c r="J259" s="41">
        <v>46251</v>
      </c>
      <c r="K259" s="41">
        <v>46565</v>
      </c>
      <c r="L259" s="41">
        <v>46945</v>
      </c>
      <c r="M259" s="41">
        <v>47745</v>
      </c>
      <c r="N259" s="41">
        <v>48015</v>
      </c>
      <c r="O259" s="41">
        <v>48369</v>
      </c>
      <c r="P259" s="41">
        <v>48884</v>
      </c>
      <c r="Q259" s="41">
        <v>49475</v>
      </c>
      <c r="R259" s="41">
        <v>49796</v>
      </c>
      <c r="S259" s="41">
        <v>50206</v>
      </c>
      <c r="T259" s="41">
        <v>50638</v>
      </c>
      <c r="U259" s="41">
        <v>51068</v>
      </c>
      <c r="V259" s="41">
        <v>51495</v>
      </c>
      <c r="W259" s="41">
        <v>51889</v>
      </c>
      <c r="X259" s="41">
        <v>52404</v>
      </c>
      <c r="Y259" s="41">
        <v>52902</v>
      </c>
      <c r="Z259" s="41">
        <v>53398</v>
      </c>
      <c r="AA259" s="41">
        <v>53875</v>
      </c>
      <c r="AB259" s="41">
        <v>54343</v>
      </c>
      <c r="AC259" s="41">
        <v>54816</v>
      </c>
      <c r="AD259" s="41">
        <v>55271</v>
      </c>
      <c r="AE259" s="41">
        <v>55726</v>
      </c>
      <c r="AF259" s="41">
        <v>56162</v>
      </c>
      <c r="AG259" s="41">
        <v>56597</v>
      </c>
      <c r="AH259" s="41">
        <v>57017</v>
      </c>
      <c r="AI259" s="41">
        <v>57413</v>
      </c>
      <c r="AJ259" s="41">
        <v>57810</v>
      </c>
      <c r="AK259" s="41">
        <v>58195</v>
      </c>
      <c r="AL259" s="41">
        <v>58579</v>
      </c>
      <c r="AM259" s="41">
        <v>58950</v>
      </c>
      <c r="AN259" s="41">
        <v>59322</v>
      </c>
      <c r="AO259" s="41">
        <v>59670</v>
      </c>
      <c r="AP259" s="41">
        <v>60024</v>
      </c>
      <c r="AQ259" s="41">
        <v>60392</v>
      </c>
    </row>
    <row r="260" spans="1:43">
      <c r="A260" s="38" t="s">
        <v>636</v>
      </c>
      <c r="B260" s="38" t="s">
        <v>637</v>
      </c>
      <c r="C260" s="41">
        <v>116915</v>
      </c>
      <c r="D260" s="41">
        <v>116935</v>
      </c>
      <c r="E260" s="41">
        <v>116873</v>
      </c>
      <c r="F260" s="41">
        <v>116987</v>
      </c>
      <c r="G260" s="41">
        <v>117258</v>
      </c>
      <c r="H260" s="41">
        <v>117397</v>
      </c>
      <c r="I260" s="41">
        <v>117479</v>
      </c>
      <c r="J260" s="41">
        <v>117448</v>
      </c>
      <c r="K260" s="41">
        <v>117598</v>
      </c>
      <c r="L260" s="41">
        <v>117938</v>
      </c>
      <c r="M260" s="41">
        <v>119164</v>
      </c>
      <c r="N260" s="41">
        <v>119415</v>
      </c>
      <c r="O260" s="41">
        <v>119803</v>
      </c>
      <c r="P260" s="41">
        <v>120288</v>
      </c>
      <c r="Q260" s="41">
        <v>120481</v>
      </c>
      <c r="R260" s="41">
        <v>121029</v>
      </c>
      <c r="S260" s="41">
        <v>121335</v>
      </c>
      <c r="T260" s="41">
        <v>121651</v>
      </c>
      <c r="U260" s="41">
        <v>121915</v>
      </c>
      <c r="V260" s="41">
        <v>122152</v>
      </c>
      <c r="W260" s="41">
        <v>122379</v>
      </c>
      <c r="X260" s="41">
        <v>122646</v>
      </c>
      <c r="Y260" s="41">
        <v>122875</v>
      </c>
      <c r="Z260" s="41">
        <v>123107</v>
      </c>
      <c r="AA260" s="41">
        <v>123318</v>
      </c>
      <c r="AB260" s="41">
        <v>123579</v>
      </c>
      <c r="AC260" s="41">
        <v>123879</v>
      </c>
      <c r="AD260" s="41">
        <v>124159</v>
      </c>
      <c r="AE260" s="41">
        <v>124432</v>
      </c>
      <c r="AF260" s="41">
        <v>124661</v>
      </c>
      <c r="AG260" s="41">
        <v>124933</v>
      </c>
      <c r="AH260" s="41">
        <v>125268</v>
      </c>
      <c r="AI260" s="41">
        <v>125522</v>
      </c>
      <c r="AJ260" s="41">
        <v>125773</v>
      </c>
      <c r="AK260" s="41">
        <v>125980</v>
      </c>
      <c r="AL260" s="41">
        <v>126196</v>
      </c>
      <c r="AM260" s="41">
        <v>126410</v>
      </c>
      <c r="AN260" s="41">
        <v>126587</v>
      </c>
      <c r="AO260" s="41">
        <v>126737</v>
      </c>
      <c r="AP260" s="41">
        <v>126866</v>
      </c>
      <c r="AQ260" s="41">
        <v>127003</v>
      </c>
    </row>
    <row r="261" spans="1:43">
      <c r="A261" s="38" t="s">
        <v>638</v>
      </c>
      <c r="B261" s="38" t="s">
        <v>639</v>
      </c>
      <c r="C261" s="41">
        <v>31515</v>
      </c>
      <c r="D261" s="41">
        <v>31409</v>
      </c>
      <c r="E261" s="41">
        <v>31533</v>
      </c>
      <c r="F261" s="41">
        <v>31636</v>
      </c>
      <c r="G261" s="41">
        <v>31932</v>
      </c>
      <c r="H261" s="41">
        <v>32309</v>
      </c>
      <c r="I261" s="41">
        <v>32633</v>
      </c>
      <c r="J261" s="41">
        <v>32685</v>
      </c>
      <c r="K261" s="41">
        <v>32979</v>
      </c>
      <c r="L261" s="41">
        <v>33310</v>
      </c>
      <c r="M261" s="41">
        <v>33508</v>
      </c>
      <c r="N261" s="41">
        <v>33639</v>
      </c>
      <c r="O261" s="41">
        <v>33877</v>
      </c>
      <c r="P261" s="41">
        <v>34107</v>
      </c>
      <c r="Q261" s="41">
        <v>34374</v>
      </c>
      <c r="R261" s="41">
        <v>34494</v>
      </c>
      <c r="S261" s="41">
        <v>34652</v>
      </c>
      <c r="T261" s="41">
        <v>34834</v>
      </c>
      <c r="U261" s="41">
        <v>34978</v>
      </c>
      <c r="V261" s="41">
        <v>35111</v>
      </c>
      <c r="W261" s="41">
        <v>35217</v>
      </c>
      <c r="X261" s="41">
        <v>35436</v>
      </c>
      <c r="Y261" s="41">
        <v>35642</v>
      </c>
      <c r="Z261" s="41">
        <v>35820</v>
      </c>
      <c r="AA261" s="41">
        <v>36000</v>
      </c>
      <c r="AB261" s="41">
        <v>36153</v>
      </c>
      <c r="AC261" s="41">
        <v>36337</v>
      </c>
      <c r="AD261" s="41">
        <v>36509</v>
      </c>
      <c r="AE261" s="41">
        <v>36663</v>
      </c>
      <c r="AF261" s="41">
        <v>36823</v>
      </c>
      <c r="AG261" s="41">
        <v>36986</v>
      </c>
      <c r="AH261" s="41">
        <v>37150</v>
      </c>
      <c r="AI261" s="41">
        <v>37305</v>
      </c>
      <c r="AJ261" s="41">
        <v>37462</v>
      </c>
      <c r="AK261" s="41">
        <v>37633</v>
      </c>
      <c r="AL261" s="41">
        <v>37800</v>
      </c>
      <c r="AM261" s="41">
        <v>37961</v>
      </c>
      <c r="AN261" s="41">
        <v>38121</v>
      </c>
      <c r="AO261" s="41">
        <v>38286</v>
      </c>
      <c r="AP261" s="41">
        <v>38459</v>
      </c>
      <c r="AQ261" s="41">
        <v>38629</v>
      </c>
    </row>
    <row r="262" spans="1:43">
      <c r="A262" s="38" t="s">
        <v>640</v>
      </c>
      <c r="B262" s="38" t="s">
        <v>641</v>
      </c>
      <c r="C262" s="41">
        <v>76675</v>
      </c>
      <c r="D262" s="41">
        <v>76455</v>
      </c>
      <c r="E262" s="41">
        <v>76226</v>
      </c>
      <c r="F262" s="41">
        <v>75858</v>
      </c>
      <c r="G262" s="41">
        <v>75961</v>
      </c>
      <c r="H262" s="41">
        <v>75891</v>
      </c>
      <c r="I262" s="41">
        <v>75921</v>
      </c>
      <c r="J262" s="41">
        <v>76257</v>
      </c>
      <c r="K262" s="41">
        <v>76915</v>
      </c>
      <c r="L262" s="41">
        <v>77179</v>
      </c>
      <c r="M262" s="41">
        <v>77989</v>
      </c>
      <c r="N262" s="41">
        <v>78691</v>
      </c>
      <c r="O262" s="41">
        <v>79361</v>
      </c>
      <c r="P262" s="41">
        <v>79990</v>
      </c>
      <c r="Q262" s="41">
        <v>80411</v>
      </c>
      <c r="R262" s="41">
        <v>80990</v>
      </c>
      <c r="S262" s="41">
        <v>81664</v>
      </c>
      <c r="T262" s="41">
        <v>82282</v>
      </c>
      <c r="U262" s="41">
        <v>82898</v>
      </c>
      <c r="V262" s="41">
        <v>83514</v>
      </c>
      <c r="W262" s="41">
        <v>84109</v>
      </c>
      <c r="X262" s="41">
        <v>85014</v>
      </c>
      <c r="Y262" s="41">
        <v>85857</v>
      </c>
      <c r="Z262" s="41">
        <v>86682</v>
      </c>
      <c r="AA262" s="41">
        <v>87483</v>
      </c>
      <c r="AB262" s="41">
        <v>88263</v>
      </c>
      <c r="AC262" s="41">
        <v>89081</v>
      </c>
      <c r="AD262" s="41">
        <v>89834</v>
      </c>
      <c r="AE262" s="41">
        <v>90585</v>
      </c>
      <c r="AF262" s="41">
        <v>91319</v>
      </c>
      <c r="AG262" s="41">
        <v>92049</v>
      </c>
      <c r="AH262" s="41">
        <v>92774</v>
      </c>
      <c r="AI262" s="41">
        <v>93480</v>
      </c>
      <c r="AJ262" s="41">
        <v>94173</v>
      </c>
      <c r="AK262" s="41">
        <v>94876</v>
      </c>
      <c r="AL262" s="41">
        <v>95565</v>
      </c>
      <c r="AM262" s="41">
        <v>96239</v>
      </c>
      <c r="AN262" s="41">
        <v>96908</v>
      </c>
      <c r="AO262" s="41">
        <v>97557</v>
      </c>
      <c r="AP262" s="41">
        <v>98222</v>
      </c>
      <c r="AQ262" s="41">
        <v>98886</v>
      </c>
    </row>
    <row r="263" spans="1:43">
      <c r="A263" s="38" t="s">
        <v>642</v>
      </c>
      <c r="B263" s="38" t="s">
        <v>643</v>
      </c>
      <c r="C263" s="41">
        <v>49015</v>
      </c>
      <c r="D263" s="41">
        <v>49522</v>
      </c>
      <c r="E263" s="41">
        <v>50130</v>
      </c>
      <c r="F263" s="41">
        <v>50483</v>
      </c>
      <c r="G263" s="41">
        <v>50910</v>
      </c>
      <c r="H263" s="41">
        <v>51498</v>
      </c>
      <c r="I263" s="41">
        <v>52345</v>
      </c>
      <c r="J263" s="41">
        <v>53147</v>
      </c>
      <c r="K263" s="41">
        <v>53800</v>
      </c>
      <c r="L263" s="41">
        <v>54706</v>
      </c>
      <c r="M263" s="41">
        <v>55502</v>
      </c>
      <c r="N263" s="41">
        <v>56199</v>
      </c>
      <c r="O263" s="41">
        <v>56779</v>
      </c>
      <c r="P263" s="41">
        <v>57580</v>
      </c>
      <c r="Q263" s="41">
        <v>58324</v>
      </c>
      <c r="R263" s="41">
        <v>59328</v>
      </c>
      <c r="S263" s="41">
        <v>60186</v>
      </c>
      <c r="T263" s="41">
        <v>61026</v>
      </c>
      <c r="U263" s="41">
        <v>61867</v>
      </c>
      <c r="V263" s="41">
        <v>62696</v>
      </c>
      <c r="W263" s="41">
        <v>63468</v>
      </c>
      <c r="X263" s="41">
        <v>64279</v>
      </c>
      <c r="Y263" s="41">
        <v>65042</v>
      </c>
      <c r="Z263" s="41">
        <v>65821</v>
      </c>
      <c r="AA263" s="41">
        <v>66562</v>
      </c>
      <c r="AB263" s="41">
        <v>67304</v>
      </c>
      <c r="AC263" s="41">
        <v>68073</v>
      </c>
      <c r="AD263" s="41">
        <v>68803</v>
      </c>
      <c r="AE263" s="41">
        <v>69531</v>
      </c>
      <c r="AF263" s="41">
        <v>70239</v>
      </c>
      <c r="AG263" s="41">
        <v>70954</v>
      </c>
      <c r="AH263" s="41">
        <v>71656</v>
      </c>
      <c r="AI263" s="41">
        <v>72357</v>
      </c>
      <c r="AJ263" s="41">
        <v>73053</v>
      </c>
      <c r="AK263" s="41">
        <v>73736</v>
      </c>
      <c r="AL263" s="41">
        <v>74432</v>
      </c>
      <c r="AM263" s="41">
        <v>75100</v>
      </c>
      <c r="AN263" s="41">
        <v>75769</v>
      </c>
      <c r="AO263" s="41">
        <v>76424</v>
      </c>
      <c r="AP263" s="41">
        <v>77074</v>
      </c>
      <c r="AQ263" s="41">
        <v>77720</v>
      </c>
    </row>
    <row r="264" spans="1:43">
      <c r="A264" s="38" t="s">
        <v>644</v>
      </c>
      <c r="B264" s="38" t="s">
        <v>645</v>
      </c>
      <c r="C264" s="41">
        <v>74448</v>
      </c>
      <c r="D264" s="41">
        <v>75353</v>
      </c>
      <c r="E264" s="41">
        <v>76323</v>
      </c>
      <c r="F264" s="41">
        <v>77236</v>
      </c>
      <c r="G264" s="41">
        <v>78657</v>
      </c>
      <c r="H264" s="41">
        <v>79791</v>
      </c>
      <c r="I264" s="41">
        <v>81693</v>
      </c>
      <c r="J264" s="41">
        <v>83639</v>
      </c>
      <c r="K264" s="41">
        <v>84974</v>
      </c>
      <c r="L264" s="41">
        <v>86186</v>
      </c>
      <c r="M264" s="41">
        <v>87785</v>
      </c>
      <c r="N264" s="41">
        <v>88717</v>
      </c>
      <c r="O264" s="41">
        <v>89669</v>
      </c>
      <c r="P264" s="41">
        <v>90543</v>
      </c>
      <c r="Q264" s="41">
        <v>91295</v>
      </c>
      <c r="R264" s="41">
        <v>91881</v>
      </c>
      <c r="S264" s="41">
        <v>92596</v>
      </c>
      <c r="T264" s="41">
        <v>93319</v>
      </c>
      <c r="U264" s="41">
        <v>94014</v>
      </c>
      <c r="V264" s="41">
        <v>94674</v>
      </c>
      <c r="W264" s="41">
        <v>95273</v>
      </c>
      <c r="X264" s="41">
        <v>95980</v>
      </c>
      <c r="Y264" s="41">
        <v>96673</v>
      </c>
      <c r="Z264" s="41">
        <v>97361</v>
      </c>
      <c r="AA264" s="41">
        <v>98005</v>
      </c>
      <c r="AB264" s="41">
        <v>98644</v>
      </c>
      <c r="AC264" s="41">
        <v>99309</v>
      </c>
      <c r="AD264" s="41">
        <v>99981</v>
      </c>
      <c r="AE264" s="41">
        <v>100646</v>
      </c>
      <c r="AF264" s="41">
        <v>101294</v>
      </c>
      <c r="AG264" s="41">
        <v>101956</v>
      </c>
      <c r="AH264" s="41">
        <v>102637</v>
      </c>
      <c r="AI264" s="41">
        <v>103320</v>
      </c>
      <c r="AJ264" s="41">
        <v>103968</v>
      </c>
      <c r="AK264" s="41">
        <v>104605</v>
      </c>
      <c r="AL264" s="41">
        <v>105240</v>
      </c>
      <c r="AM264" s="41">
        <v>105865</v>
      </c>
      <c r="AN264" s="41">
        <v>106465</v>
      </c>
      <c r="AO264" s="41">
        <v>107042</v>
      </c>
      <c r="AP264" s="41">
        <v>107608</v>
      </c>
      <c r="AQ264" s="41">
        <v>108174</v>
      </c>
    </row>
    <row r="265" spans="1:43">
      <c r="A265" s="38" t="s">
        <v>646</v>
      </c>
      <c r="B265" s="38" t="s">
        <v>647</v>
      </c>
      <c r="C265" s="41">
        <v>89210</v>
      </c>
      <c r="D265" s="41">
        <v>89423</v>
      </c>
      <c r="E265" s="41">
        <v>89775</v>
      </c>
      <c r="F265" s="41">
        <v>90104</v>
      </c>
      <c r="G265" s="41">
        <v>90317</v>
      </c>
      <c r="H265" s="41">
        <v>90852</v>
      </c>
      <c r="I265" s="41">
        <v>91273</v>
      </c>
      <c r="J265" s="41">
        <v>92019</v>
      </c>
      <c r="K265" s="41">
        <v>92658</v>
      </c>
      <c r="L265" s="41">
        <v>93432</v>
      </c>
      <c r="M265" s="41">
        <v>94435</v>
      </c>
      <c r="N265" s="41">
        <v>94907</v>
      </c>
      <c r="O265" s="41">
        <v>95156</v>
      </c>
      <c r="P265" s="41">
        <v>95434</v>
      </c>
      <c r="Q265" s="41">
        <v>95867</v>
      </c>
      <c r="R265" s="41">
        <v>96708</v>
      </c>
      <c r="S265" s="41">
        <v>97229</v>
      </c>
      <c r="T265" s="41">
        <v>97705</v>
      </c>
      <c r="U265" s="41">
        <v>98156</v>
      </c>
      <c r="V265" s="41">
        <v>98583</v>
      </c>
      <c r="W265" s="41">
        <v>99000</v>
      </c>
      <c r="X265" s="41">
        <v>99454</v>
      </c>
      <c r="Y265" s="41">
        <v>99815</v>
      </c>
      <c r="Z265" s="41">
        <v>100193</v>
      </c>
      <c r="AA265" s="41">
        <v>100533</v>
      </c>
      <c r="AB265" s="41">
        <v>100895</v>
      </c>
      <c r="AC265" s="41">
        <v>101284</v>
      </c>
      <c r="AD265" s="41">
        <v>101647</v>
      </c>
      <c r="AE265" s="41">
        <v>102017</v>
      </c>
      <c r="AF265" s="41">
        <v>102383</v>
      </c>
      <c r="AG265" s="41">
        <v>102793</v>
      </c>
      <c r="AH265" s="41">
        <v>103191</v>
      </c>
      <c r="AI265" s="41">
        <v>103603</v>
      </c>
      <c r="AJ265" s="41">
        <v>104010</v>
      </c>
      <c r="AK265" s="41">
        <v>104415</v>
      </c>
      <c r="AL265" s="41">
        <v>104857</v>
      </c>
      <c r="AM265" s="41">
        <v>105273</v>
      </c>
      <c r="AN265" s="41">
        <v>105699</v>
      </c>
      <c r="AO265" s="41">
        <v>106097</v>
      </c>
      <c r="AP265" s="41">
        <v>106484</v>
      </c>
      <c r="AQ265" s="41">
        <v>106895</v>
      </c>
    </row>
    <row r="266" spans="1:43">
      <c r="A266" s="38" t="s">
        <v>648</v>
      </c>
      <c r="B266" s="38" t="s">
        <v>649</v>
      </c>
      <c r="C266" s="41">
        <v>29182</v>
      </c>
      <c r="D266" s="41">
        <v>29304</v>
      </c>
      <c r="E266" s="41">
        <v>29461</v>
      </c>
      <c r="F266" s="41">
        <v>29619</v>
      </c>
      <c r="G266" s="41">
        <v>29884</v>
      </c>
      <c r="H266" s="41">
        <v>30117</v>
      </c>
      <c r="I266" s="41">
        <v>30376</v>
      </c>
      <c r="J266" s="41">
        <v>30696</v>
      </c>
      <c r="K266" s="41">
        <v>30936</v>
      </c>
      <c r="L266" s="41">
        <v>31157</v>
      </c>
      <c r="M266" s="41">
        <v>31463</v>
      </c>
      <c r="N266" s="41">
        <v>31655</v>
      </c>
      <c r="O266" s="41">
        <v>31799</v>
      </c>
      <c r="P266" s="41">
        <v>31894</v>
      </c>
      <c r="Q266" s="41">
        <v>32052</v>
      </c>
      <c r="R266" s="41">
        <v>32153</v>
      </c>
      <c r="S266" s="41">
        <v>32260</v>
      </c>
      <c r="T266" s="41">
        <v>32379</v>
      </c>
      <c r="U266" s="41">
        <v>32474</v>
      </c>
      <c r="V266" s="41">
        <v>32583</v>
      </c>
      <c r="W266" s="41">
        <v>32664</v>
      </c>
      <c r="X266" s="41">
        <v>32770</v>
      </c>
      <c r="Y266" s="41">
        <v>32870</v>
      </c>
      <c r="Z266" s="41">
        <v>32985</v>
      </c>
      <c r="AA266" s="41">
        <v>33073</v>
      </c>
      <c r="AB266" s="41">
        <v>33157</v>
      </c>
      <c r="AC266" s="41">
        <v>33240</v>
      </c>
      <c r="AD266" s="41">
        <v>33322</v>
      </c>
      <c r="AE266" s="41">
        <v>33399</v>
      </c>
      <c r="AF266" s="41">
        <v>33467</v>
      </c>
      <c r="AG266" s="41">
        <v>33521</v>
      </c>
      <c r="AH266" s="41">
        <v>33576</v>
      </c>
      <c r="AI266" s="41">
        <v>33640</v>
      </c>
      <c r="AJ266" s="41">
        <v>33682</v>
      </c>
      <c r="AK266" s="41">
        <v>33734</v>
      </c>
      <c r="AL266" s="41">
        <v>33778</v>
      </c>
      <c r="AM266" s="41">
        <v>33815</v>
      </c>
      <c r="AN266" s="41">
        <v>33870</v>
      </c>
      <c r="AO266" s="41">
        <v>33926</v>
      </c>
      <c r="AP266" s="41">
        <v>33987</v>
      </c>
      <c r="AQ266" s="41">
        <v>34041</v>
      </c>
    </row>
    <row r="267" spans="1:43">
      <c r="A267" s="38" t="s">
        <v>650</v>
      </c>
      <c r="B267" s="38" t="s">
        <v>651</v>
      </c>
      <c r="C267" s="41">
        <v>31518</v>
      </c>
      <c r="D267" s="41">
        <v>31364</v>
      </c>
      <c r="E267" s="41">
        <v>31335</v>
      </c>
      <c r="F267" s="41">
        <v>31357</v>
      </c>
      <c r="G267" s="41">
        <v>31534</v>
      </c>
      <c r="H267" s="41">
        <v>31741</v>
      </c>
      <c r="I267" s="41">
        <v>32099</v>
      </c>
      <c r="J267" s="41">
        <v>32352</v>
      </c>
      <c r="K267" s="41">
        <v>32614</v>
      </c>
      <c r="L267" s="41">
        <v>32990</v>
      </c>
      <c r="M267" s="41">
        <v>33333</v>
      </c>
      <c r="N267" s="41">
        <v>33596</v>
      </c>
      <c r="O267" s="41">
        <v>34040</v>
      </c>
      <c r="P267" s="41">
        <v>34399</v>
      </c>
      <c r="Q267" s="41">
        <v>34683</v>
      </c>
      <c r="R267" s="41">
        <v>34946</v>
      </c>
      <c r="S267" s="41">
        <v>35248</v>
      </c>
      <c r="T267" s="41">
        <v>35569</v>
      </c>
      <c r="U267" s="41">
        <v>35894</v>
      </c>
      <c r="V267" s="41">
        <v>36222</v>
      </c>
      <c r="W267" s="41">
        <v>36533</v>
      </c>
      <c r="X267" s="41">
        <v>36886</v>
      </c>
      <c r="Y267" s="41">
        <v>37227</v>
      </c>
      <c r="Z267" s="41">
        <v>37571</v>
      </c>
      <c r="AA267" s="41">
        <v>37907</v>
      </c>
      <c r="AB267" s="41">
        <v>38233</v>
      </c>
      <c r="AC267" s="41">
        <v>38562</v>
      </c>
      <c r="AD267" s="41">
        <v>38891</v>
      </c>
      <c r="AE267" s="41">
        <v>39205</v>
      </c>
      <c r="AF267" s="41">
        <v>39522</v>
      </c>
      <c r="AG267" s="41">
        <v>39847</v>
      </c>
      <c r="AH267" s="41">
        <v>40165</v>
      </c>
      <c r="AI267" s="41">
        <v>40480</v>
      </c>
      <c r="AJ267" s="41">
        <v>40792</v>
      </c>
      <c r="AK267" s="41">
        <v>41091</v>
      </c>
      <c r="AL267" s="41">
        <v>41402</v>
      </c>
      <c r="AM267" s="41">
        <v>41696</v>
      </c>
      <c r="AN267" s="41">
        <v>41995</v>
      </c>
      <c r="AO267" s="41">
        <v>42288</v>
      </c>
      <c r="AP267" s="41">
        <v>42568</v>
      </c>
      <c r="AQ267" s="41">
        <v>42855</v>
      </c>
    </row>
    <row r="268" spans="1:43">
      <c r="A268" s="38" t="s">
        <v>652</v>
      </c>
      <c r="B268" s="38" t="s">
        <v>653</v>
      </c>
      <c r="C268" s="41">
        <v>51285</v>
      </c>
      <c r="D268" s="41">
        <v>51641</v>
      </c>
      <c r="E268" s="41">
        <v>51967</v>
      </c>
      <c r="F268" s="41">
        <v>52312</v>
      </c>
      <c r="G268" s="41">
        <v>52604</v>
      </c>
      <c r="H268" s="41">
        <v>52804</v>
      </c>
      <c r="I268" s="41">
        <v>53095</v>
      </c>
      <c r="J268" s="41">
        <v>53348</v>
      </c>
      <c r="K268" s="41">
        <v>53510</v>
      </c>
      <c r="L268" s="41">
        <v>53515</v>
      </c>
      <c r="M268" s="41">
        <v>53941</v>
      </c>
      <c r="N268" s="41">
        <v>54395</v>
      </c>
      <c r="O268" s="41">
        <v>54821</v>
      </c>
      <c r="P268" s="41">
        <v>55382</v>
      </c>
      <c r="Q268" s="41">
        <v>55989</v>
      </c>
      <c r="R268" s="41">
        <v>56516</v>
      </c>
      <c r="S268" s="41">
        <v>57078</v>
      </c>
      <c r="T268" s="41">
        <v>57652</v>
      </c>
      <c r="U268" s="41">
        <v>58207</v>
      </c>
      <c r="V268" s="41">
        <v>58732</v>
      </c>
      <c r="W268" s="41">
        <v>59243</v>
      </c>
      <c r="X268" s="41">
        <v>59869</v>
      </c>
      <c r="Y268" s="41">
        <v>60493</v>
      </c>
      <c r="Z268" s="41">
        <v>61094</v>
      </c>
      <c r="AA268" s="41">
        <v>61662</v>
      </c>
      <c r="AB268" s="41">
        <v>62229</v>
      </c>
      <c r="AC268" s="41">
        <v>62810</v>
      </c>
      <c r="AD268" s="41">
        <v>63381</v>
      </c>
      <c r="AE268" s="41">
        <v>63918</v>
      </c>
      <c r="AF268" s="41">
        <v>64443</v>
      </c>
      <c r="AG268" s="41">
        <v>64971</v>
      </c>
      <c r="AH268" s="41">
        <v>65490</v>
      </c>
      <c r="AI268" s="41">
        <v>66007</v>
      </c>
      <c r="AJ268" s="41">
        <v>66502</v>
      </c>
      <c r="AK268" s="41">
        <v>66985</v>
      </c>
      <c r="AL268" s="41">
        <v>67458</v>
      </c>
      <c r="AM268" s="41">
        <v>67912</v>
      </c>
      <c r="AN268" s="41">
        <v>68360</v>
      </c>
      <c r="AO268" s="41">
        <v>68801</v>
      </c>
      <c r="AP268" s="41">
        <v>69228</v>
      </c>
      <c r="AQ268" s="41">
        <v>69666</v>
      </c>
    </row>
    <row r="269" spans="1:43">
      <c r="A269" s="38" t="s">
        <v>654</v>
      </c>
      <c r="B269" s="38" t="s">
        <v>655</v>
      </c>
      <c r="C269" s="41">
        <v>63265</v>
      </c>
      <c r="D269" s="41">
        <v>63558</v>
      </c>
      <c r="E269" s="41">
        <v>63759</v>
      </c>
      <c r="F269" s="41">
        <v>64012</v>
      </c>
      <c r="G269" s="41">
        <v>64374</v>
      </c>
      <c r="H269" s="41">
        <v>64794</v>
      </c>
      <c r="I269" s="41">
        <v>64901</v>
      </c>
      <c r="J269" s="41">
        <v>65253</v>
      </c>
      <c r="K269" s="41">
        <v>65535</v>
      </c>
      <c r="L269" s="41">
        <v>65850</v>
      </c>
      <c r="M269" s="41">
        <v>66267</v>
      </c>
      <c r="N269" s="41">
        <v>66579</v>
      </c>
      <c r="O269" s="41">
        <v>66932</v>
      </c>
      <c r="P269" s="41">
        <v>67433</v>
      </c>
      <c r="Q269" s="41">
        <v>68176</v>
      </c>
      <c r="R269" s="41">
        <v>68995</v>
      </c>
      <c r="S269" s="41">
        <v>69481</v>
      </c>
      <c r="T269" s="41">
        <v>69939</v>
      </c>
      <c r="U269" s="41">
        <v>70422</v>
      </c>
      <c r="V269" s="41">
        <v>70857</v>
      </c>
      <c r="W269" s="41">
        <v>71259</v>
      </c>
      <c r="X269" s="41">
        <v>71887</v>
      </c>
      <c r="Y269" s="41">
        <v>72452</v>
      </c>
      <c r="Z269" s="41">
        <v>73025</v>
      </c>
      <c r="AA269" s="41">
        <v>73568</v>
      </c>
      <c r="AB269" s="41">
        <v>74097</v>
      </c>
      <c r="AC269" s="41">
        <v>74629</v>
      </c>
      <c r="AD269" s="41">
        <v>75122</v>
      </c>
      <c r="AE269" s="41">
        <v>75628</v>
      </c>
      <c r="AF269" s="41">
        <v>76118</v>
      </c>
      <c r="AG269" s="41">
        <v>76582</v>
      </c>
      <c r="AH269" s="41">
        <v>77036</v>
      </c>
      <c r="AI269" s="41">
        <v>77482</v>
      </c>
      <c r="AJ269" s="41">
        <v>77926</v>
      </c>
      <c r="AK269" s="41">
        <v>78353</v>
      </c>
      <c r="AL269" s="41">
        <v>78781</v>
      </c>
      <c r="AM269" s="41">
        <v>79180</v>
      </c>
      <c r="AN269" s="41">
        <v>79587</v>
      </c>
      <c r="AO269" s="41">
        <v>79994</v>
      </c>
      <c r="AP269" s="41">
        <v>80382</v>
      </c>
      <c r="AQ269" s="41">
        <v>80777</v>
      </c>
    </row>
    <row r="270" spans="1:43">
      <c r="A270" s="38" t="s">
        <v>656</v>
      </c>
      <c r="B270" s="38" t="s">
        <v>657</v>
      </c>
      <c r="C270" s="41">
        <v>61441</v>
      </c>
      <c r="D270" s="41">
        <v>61807</v>
      </c>
      <c r="E270" s="41">
        <v>62082</v>
      </c>
      <c r="F270" s="41">
        <v>62311</v>
      </c>
      <c r="G270" s="41">
        <v>62384</v>
      </c>
      <c r="H270" s="41">
        <v>62454</v>
      </c>
      <c r="I270" s="41">
        <v>62546</v>
      </c>
      <c r="J270" s="41">
        <v>62594</v>
      </c>
      <c r="K270" s="41">
        <v>62190</v>
      </c>
      <c r="L270" s="41">
        <v>61968</v>
      </c>
      <c r="M270" s="41">
        <v>61994</v>
      </c>
      <c r="N270" s="41">
        <v>62228</v>
      </c>
      <c r="O270" s="41">
        <v>62529</v>
      </c>
      <c r="P270" s="41">
        <v>63149</v>
      </c>
      <c r="Q270" s="41">
        <v>63868</v>
      </c>
      <c r="R270" s="41">
        <v>64645</v>
      </c>
      <c r="S270" s="41">
        <v>65295</v>
      </c>
      <c r="T270" s="41">
        <v>65949</v>
      </c>
      <c r="U270" s="41">
        <v>66620</v>
      </c>
      <c r="V270" s="41">
        <v>67273</v>
      </c>
      <c r="W270" s="41">
        <v>67914</v>
      </c>
      <c r="X270" s="41">
        <v>68653</v>
      </c>
      <c r="Y270" s="41">
        <v>69395</v>
      </c>
      <c r="Z270" s="41">
        <v>70138</v>
      </c>
      <c r="AA270" s="41">
        <v>70862</v>
      </c>
      <c r="AB270" s="41">
        <v>71585</v>
      </c>
      <c r="AC270" s="41">
        <v>72380</v>
      </c>
      <c r="AD270" s="41">
        <v>73149</v>
      </c>
      <c r="AE270" s="41">
        <v>73915</v>
      </c>
      <c r="AF270" s="41">
        <v>74665</v>
      </c>
      <c r="AG270" s="41">
        <v>75418</v>
      </c>
      <c r="AH270" s="41">
        <v>76195</v>
      </c>
      <c r="AI270" s="41">
        <v>76947</v>
      </c>
      <c r="AJ270" s="41">
        <v>77699</v>
      </c>
      <c r="AK270" s="41">
        <v>78452</v>
      </c>
      <c r="AL270" s="41">
        <v>79194</v>
      </c>
      <c r="AM270" s="41">
        <v>79944</v>
      </c>
      <c r="AN270" s="41">
        <v>80690</v>
      </c>
      <c r="AO270" s="41">
        <v>81440</v>
      </c>
      <c r="AP270" s="41">
        <v>82177</v>
      </c>
      <c r="AQ270" s="41">
        <v>82916</v>
      </c>
    </row>
    <row r="271" spans="1:43">
      <c r="A271" s="38" t="s">
        <v>658</v>
      </c>
      <c r="B271" s="38" t="s">
        <v>659</v>
      </c>
      <c r="C271" s="41">
        <v>43905</v>
      </c>
      <c r="D271" s="41">
        <v>44252</v>
      </c>
      <c r="E271" s="41">
        <v>44713</v>
      </c>
      <c r="F271" s="41">
        <v>44992</v>
      </c>
      <c r="G271" s="41">
        <v>45396</v>
      </c>
      <c r="H271" s="41">
        <v>45840</v>
      </c>
      <c r="I271" s="41">
        <v>46276</v>
      </c>
      <c r="J271" s="41">
        <v>46632</v>
      </c>
      <c r="K271" s="41">
        <v>46793</v>
      </c>
      <c r="L271" s="41">
        <v>47210</v>
      </c>
      <c r="M271" s="41">
        <v>47604</v>
      </c>
      <c r="N271" s="41">
        <v>47989</v>
      </c>
      <c r="O271" s="41">
        <v>48615</v>
      </c>
      <c r="P271" s="41">
        <v>49090</v>
      </c>
      <c r="Q271" s="41">
        <v>49688</v>
      </c>
      <c r="R271" s="41">
        <v>50266</v>
      </c>
      <c r="S271" s="41">
        <v>50716</v>
      </c>
      <c r="T271" s="41">
        <v>51142</v>
      </c>
      <c r="U271" s="41">
        <v>51552</v>
      </c>
      <c r="V271" s="41">
        <v>51973</v>
      </c>
      <c r="W271" s="41">
        <v>52347</v>
      </c>
      <c r="X271" s="41">
        <v>52806</v>
      </c>
      <c r="Y271" s="41">
        <v>53241</v>
      </c>
      <c r="Z271" s="41">
        <v>53652</v>
      </c>
      <c r="AA271" s="41">
        <v>54072</v>
      </c>
      <c r="AB271" s="41">
        <v>54469</v>
      </c>
      <c r="AC271" s="41">
        <v>54881</v>
      </c>
      <c r="AD271" s="41">
        <v>55277</v>
      </c>
      <c r="AE271" s="41">
        <v>55644</v>
      </c>
      <c r="AF271" s="41">
        <v>56008</v>
      </c>
      <c r="AG271" s="41">
        <v>56371</v>
      </c>
      <c r="AH271" s="41">
        <v>56719</v>
      </c>
      <c r="AI271" s="41">
        <v>57059</v>
      </c>
      <c r="AJ271" s="41">
        <v>57383</v>
      </c>
      <c r="AK271" s="41">
        <v>57703</v>
      </c>
      <c r="AL271" s="41">
        <v>58023</v>
      </c>
      <c r="AM271" s="41">
        <v>58316</v>
      </c>
      <c r="AN271" s="41">
        <v>58635</v>
      </c>
      <c r="AO271" s="41">
        <v>58937</v>
      </c>
      <c r="AP271" s="41">
        <v>59231</v>
      </c>
      <c r="AQ271" s="41">
        <v>59533</v>
      </c>
    </row>
    <row r="272" spans="1:43">
      <c r="A272" s="38" t="s">
        <v>660</v>
      </c>
      <c r="B272" s="38" t="s">
        <v>661</v>
      </c>
      <c r="C272" s="41">
        <v>32239</v>
      </c>
      <c r="D272" s="41">
        <v>32485</v>
      </c>
      <c r="E272" s="41">
        <v>32765</v>
      </c>
      <c r="F272" s="41">
        <v>32921</v>
      </c>
      <c r="G272" s="41">
        <v>33074</v>
      </c>
      <c r="H272" s="41">
        <v>33390</v>
      </c>
      <c r="I272" s="41">
        <v>33662</v>
      </c>
      <c r="J272" s="41">
        <v>33895</v>
      </c>
      <c r="K272" s="41">
        <v>34219</v>
      </c>
      <c r="L272" s="41">
        <v>34619</v>
      </c>
      <c r="M272" s="41">
        <v>35118</v>
      </c>
      <c r="N272" s="41">
        <v>35516</v>
      </c>
      <c r="O272" s="41">
        <v>35999</v>
      </c>
      <c r="P272" s="41">
        <v>36603</v>
      </c>
      <c r="Q272" s="41">
        <v>37034</v>
      </c>
      <c r="R272" s="41">
        <v>37675</v>
      </c>
      <c r="S272" s="41">
        <v>38133</v>
      </c>
      <c r="T272" s="41">
        <v>38560</v>
      </c>
      <c r="U272" s="41">
        <v>38999</v>
      </c>
      <c r="V272" s="41">
        <v>39431</v>
      </c>
      <c r="W272" s="41">
        <v>39831</v>
      </c>
      <c r="X272" s="41">
        <v>40306</v>
      </c>
      <c r="Y272" s="41">
        <v>40756</v>
      </c>
      <c r="Z272" s="41">
        <v>41196</v>
      </c>
      <c r="AA272" s="41">
        <v>41626</v>
      </c>
      <c r="AB272" s="41">
        <v>42033</v>
      </c>
      <c r="AC272" s="41">
        <v>42459</v>
      </c>
      <c r="AD272" s="41">
        <v>42865</v>
      </c>
      <c r="AE272" s="41">
        <v>43261</v>
      </c>
      <c r="AF272" s="41">
        <v>43648</v>
      </c>
      <c r="AG272" s="41">
        <v>44026</v>
      </c>
      <c r="AH272" s="41">
        <v>44399</v>
      </c>
      <c r="AI272" s="41">
        <v>44768</v>
      </c>
      <c r="AJ272" s="41">
        <v>45135</v>
      </c>
      <c r="AK272" s="41">
        <v>45490</v>
      </c>
      <c r="AL272" s="41">
        <v>45848</v>
      </c>
      <c r="AM272" s="41">
        <v>46183</v>
      </c>
      <c r="AN272" s="41">
        <v>46522</v>
      </c>
      <c r="AO272" s="41">
        <v>46857</v>
      </c>
      <c r="AP272" s="41">
        <v>47174</v>
      </c>
      <c r="AQ272" s="41">
        <v>47491</v>
      </c>
    </row>
    <row r="273" spans="1:43">
      <c r="A273" s="38" t="s">
        <v>662</v>
      </c>
      <c r="B273" s="38" t="s">
        <v>663</v>
      </c>
      <c r="C273" s="41">
        <v>54947</v>
      </c>
      <c r="D273" s="41">
        <v>55386</v>
      </c>
      <c r="E273" s="41">
        <v>55616</v>
      </c>
      <c r="F273" s="41">
        <v>56035</v>
      </c>
      <c r="G273" s="41">
        <v>56353</v>
      </c>
      <c r="H273" s="41">
        <v>56618</v>
      </c>
      <c r="I273" s="41">
        <v>57054</v>
      </c>
      <c r="J273" s="41">
        <v>57553</v>
      </c>
      <c r="K273" s="41">
        <v>57733</v>
      </c>
      <c r="L273" s="41">
        <v>58236</v>
      </c>
      <c r="M273" s="41">
        <v>59228</v>
      </c>
      <c r="N273" s="41">
        <v>59849</v>
      </c>
      <c r="O273" s="41">
        <v>60349</v>
      </c>
      <c r="P273" s="41">
        <v>61191</v>
      </c>
      <c r="Q273" s="41">
        <v>61928</v>
      </c>
      <c r="R273" s="41">
        <v>62561</v>
      </c>
      <c r="S273" s="41">
        <v>63302</v>
      </c>
      <c r="T273" s="41">
        <v>64076</v>
      </c>
      <c r="U273" s="41">
        <v>64824</v>
      </c>
      <c r="V273" s="41">
        <v>65536</v>
      </c>
      <c r="W273" s="41">
        <v>66250</v>
      </c>
      <c r="X273" s="41">
        <v>67029</v>
      </c>
      <c r="Y273" s="41">
        <v>67817</v>
      </c>
      <c r="Z273" s="41">
        <v>68599</v>
      </c>
      <c r="AA273" s="41">
        <v>69353</v>
      </c>
      <c r="AB273" s="41">
        <v>70110</v>
      </c>
      <c r="AC273" s="41">
        <v>70915</v>
      </c>
      <c r="AD273" s="41">
        <v>71716</v>
      </c>
      <c r="AE273" s="41">
        <v>72503</v>
      </c>
      <c r="AF273" s="41">
        <v>73268</v>
      </c>
      <c r="AG273" s="41">
        <v>74041</v>
      </c>
      <c r="AH273" s="41">
        <v>74841</v>
      </c>
      <c r="AI273" s="41">
        <v>75613</v>
      </c>
      <c r="AJ273" s="41">
        <v>76364</v>
      </c>
      <c r="AK273" s="41">
        <v>77104</v>
      </c>
      <c r="AL273" s="41">
        <v>77832</v>
      </c>
      <c r="AM273" s="41">
        <v>78547</v>
      </c>
      <c r="AN273" s="41">
        <v>79241</v>
      </c>
      <c r="AO273" s="41">
        <v>79923</v>
      </c>
      <c r="AP273" s="41">
        <v>80597</v>
      </c>
      <c r="AQ273" s="41">
        <v>81268</v>
      </c>
    </row>
    <row r="274" spans="1:43">
      <c r="A274" s="38" t="s">
        <v>664</v>
      </c>
      <c r="B274" s="38" t="s">
        <v>665</v>
      </c>
      <c r="C274" s="41">
        <v>33296</v>
      </c>
      <c r="D274" s="41">
        <v>33435</v>
      </c>
      <c r="E274" s="41">
        <v>33640</v>
      </c>
      <c r="F274" s="41">
        <v>33654</v>
      </c>
      <c r="G274" s="41">
        <v>33787</v>
      </c>
      <c r="H274" s="41">
        <v>33905</v>
      </c>
      <c r="I274" s="41">
        <v>34164</v>
      </c>
      <c r="J274" s="41">
        <v>34478</v>
      </c>
      <c r="K274" s="41">
        <v>34847</v>
      </c>
      <c r="L274" s="41">
        <v>35089</v>
      </c>
      <c r="M274" s="41">
        <v>35237</v>
      </c>
      <c r="N274" s="41">
        <v>35581</v>
      </c>
      <c r="O274" s="41">
        <v>35904</v>
      </c>
      <c r="P274" s="41">
        <v>36283</v>
      </c>
      <c r="Q274" s="41">
        <v>36793</v>
      </c>
      <c r="R274" s="41">
        <v>37146</v>
      </c>
      <c r="S274" s="41">
        <v>37532</v>
      </c>
      <c r="T274" s="41">
        <v>37892</v>
      </c>
      <c r="U274" s="41">
        <v>38246</v>
      </c>
      <c r="V274" s="41">
        <v>38599</v>
      </c>
      <c r="W274" s="41">
        <v>38944</v>
      </c>
      <c r="X274" s="41">
        <v>39331</v>
      </c>
      <c r="Y274" s="41">
        <v>39686</v>
      </c>
      <c r="Z274" s="41">
        <v>40044</v>
      </c>
      <c r="AA274" s="41">
        <v>40392</v>
      </c>
      <c r="AB274" s="41">
        <v>40731</v>
      </c>
      <c r="AC274" s="41">
        <v>41098</v>
      </c>
      <c r="AD274" s="41">
        <v>41442</v>
      </c>
      <c r="AE274" s="41">
        <v>41781</v>
      </c>
      <c r="AF274" s="41">
        <v>42118</v>
      </c>
      <c r="AG274" s="41">
        <v>42452</v>
      </c>
      <c r="AH274" s="41">
        <v>42788</v>
      </c>
      <c r="AI274" s="41">
        <v>43118</v>
      </c>
      <c r="AJ274" s="41">
        <v>43454</v>
      </c>
      <c r="AK274" s="41">
        <v>43782</v>
      </c>
      <c r="AL274" s="41">
        <v>44107</v>
      </c>
      <c r="AM274" s="41">
        <v>44424</v>
      </c>
      <c r="AN274" s="41">
        <v>44735</v>
      </c>
      <c r="AO274" s="41">
        <v>45046</v>
      </c>
      <c r="AP274" s="41">
        <v>45336</v>
      </c>
      <c r="AQ274" s="41">
        <v>45638</v>
      </c>
    </row>
    <row r="275" spans="1:43">
      <c r="A275" s="38" t="s">
        <v>666</v>
      </c>
      <c r="B275" s="38" t="s">
        <v>667</v>
      </c>
      <c r="C275" s="41">
        <v>58025</v>
      </c>
      <c r="D275" s="41">
        <v>58496</v>
      </c>
      <c r="E275" s="41">
        <v>58878</v>
      </c>
      <c r="F275" s="41">
        <v>59111</v>
      </c>
      <c r="G275" s="41">
        <v>59443</v>
      </c>
      <c r="H275" s="41">
        <v>59936</v>
      </c>
      <c r="I275" s="41">
        <v>60284</v>
      </c>
      <c r="J275" s="41">
        <v>60701</v>
      </c>
      <c r="K275" s="41">
        <v>61074</v>
      </c>
      <c r="L275" s="41">
        <v>61591</v>
      </c>
      <c r="M275" s="41">
        <v>62108</v>
      </c>
      <c r="N275" s="41">
        <v>62515</v>
      </c>
      <c r="O275" s="41">
        <v>63014</v>
      </c>
      <c r="P275" s="41">
        <v>63701</v>
      </c>
      <c r="Q275" s="41">
        <v>64331</v>
      </c>
      <c r="R275" s="41">
        <v>65059</v>
      </c>
      <c r="S275" s="41">
        <v>65705</v>
      </c>
      <c r="T275" s="41">
        <v>66326</v>
      </c>
      <c r="U275" s="41">
        <v>66962</v>
      </c>
      <c r="V275" s="41">
        <v>67592</v>
      </c>
      <c r="W275" s="41">
        <v>68248</v>
      </c>
      <c r="X275" s="41">
        <v>69054</v>
      </c>
      <c r="Y275" s="41">
        <v>69849</v>
      </c>
      <c r="Z275" s="41">
        <v>70631</v>
      </c>
      <c r="AA275" s="41">
        <v>71408</v>
      </c>
      <c r="AB275" s="41">
        <v>72182</v>
      </c>
      <c r="AC275" s="41">
        <v>72968</v>
      </c>
      <c r="AD275" s="41">
        <v>73753</v>
      </c>
      <c r="AE275" s="41">
        <v>74512</v>
      </c>
      <c r="AF275" s="41">
        <v>75263</v>
      </c>
      <c r="AG275" s="41">
        <v>76024</v>
      </c>
      <c r="AH275" s="41">
        <v>76798</v>
      </c>
      <c r="AI275" s="41">
        <v>77563</v>
      </c>
      <c r="AJ275" s="41">
        <v>78324</v>
      </c>
      <c r="AK275" s="41">
        <v>79070</v>
      </c>
      <c r="AL275" s="41">
        <v>79832</v>
      </c>
      <c r="AM275" s="41">
        <v>80578</v>
      </c>
      <c r="AN275" s="41">
        <v>81321</v>
      </c>
      <c r="AO275" s="41">
        <v>82053</v>
      </c>
      <c r="AP275" s="41">
        <v>82761</v>
      </c>
      <c r="AQ275" s="41">
        <v>83503</v>
      </c>
    </row>
    <row r="276" spans="1:43">
      <c r="A276" s="38" t="s">
        <v>668</v>
      </c>
      <c r="B276" s="38" t="s">
        <v>669</v>
      </c>
      <c r="C276" s="41">
        <v>42528</v>
      </c>
      <c r="D276" s="41">
        <v>42922</v>
      </c>
      <c r="E276" s="41">
        <v>43279</v>
      </c>
      <c r="F276" s="41">
        <v>43668</v>
      </c>
      <c r="G276" s="41">
        <v>44233</v>
      </c>
      <c r="H276" s="41">
        <v>45034</v>
      </c>
      <c r="I276" s="41">
        <v>45787</v>
      </c>
      <c r="J276" s="41">
        <v>46356</v>
      </c>
      <c r="K276" s="41">
        <v>46931</v>
      </c>
      <c r="L276" s="41">
        <v>47531</v>
      </c>
      <c r="M276" s="41">
        <v>48069</v>
      </c>
      <c r="N276" s="41">
        <v>48559</v>
      </c>
      <c r="O276" s="41">
        <v>49001</v>
      </c>
      <c r="P276" s="41">
        <v>49620</v>
      </c>
      <c r="Q276" s="41">
        <v>50171</v>
      </c>
      <c r="R276" s="41">
        <v>50825</v>
      </c>
      <c r="S276" s="41">
        <v>51363</v>
      </c>
      <c r="T276" s="41">
        <v>51896</v>
      </c>
      <c r="U276" s="41">
        <v>52426</v>
      </c>
      <c r="V276" s="41">
        <v>52912</v>
      </c>
      <c r="W276" s="41">
        <v>53384</v>
      </c>
      <c r="X276" s="41">
        <v>53939</v>
      </c>
      <c r="Y276" s="41">
        <v>54461</v>
      </c>
      <c r="Z276" s="41">
        <v>54973</v>
      </c>
      <c r="AA276" s="41">
        <v>55451</v>
      </c>
      <c r="AB276" s="41">
        <v>55939</v>
      </c>
      <c r="AC276" s="41">
        <v>56445</v>
      </c>
      <c r="AD276" s="41">
        <v>56928</v>
      </c>
      <c r="AE276" s="41">
        <v>57393</v>
      </c>
      <c r="AF276" s="41">
        <v>57856</v>
      </c>
      <c r="AG276" s="41">
        <v>58301</v>
      </c>
      <c r="AH276" s="41">
        <v>58753</v>
      </c>
      <c r="AI276" s="41">
        <v>59203</v>
      </c>
      <c r="AJ276" s="41">
        <v>59641</v>
      </c>
      <c r="AK276" s="41">
        <v>60079</v>
      </c>
      <c r="AL276" s="41">
        <v>60510</v>
      </c>
      <c r="AM276" s="41">
        <v>60949</v>
      </c>
      <c r="AN276" s="41">
        <v>61380</v>
      </c>
      <c r="AO276" s="41">
        <v>61821</v>
      </c>
      <c r="AP276" s="41">
        <v>62253</v>
      </c>
      <c r="AQ276" s="41">
        <v>62691</v>
      </c>
    </row>
    <row r="277" spans="1:43">
      <c r="A277" s="38" t="s">
        <v>670</v>
      </c>
      <c r="B277" s="38" t="s">
        <v>671</v>
      </c>
      <c r="C277" s="41">
        <v>57192</v>
      </c>
      <c r="D277" s="41">
        <v>57549</v>
      </c>
      <c r="E277" s="41">
        <v>57916</v>
      </c>
      <c r="F277" s="41">
        <v>58236</v>
      </c>
      <c r="G277" s="41">
        <v>58411</v>
      </c>
      <c r="H277" s="41">
        <v>58412</v>
      </c>
      <c r="I277" s="41">
        <v>58588</v>
      </c>
      <c r="J277" s="41">
        <v>58617</v>
      </c>
      <c r="K277" s="41">
        <v>58486</v>
      </c>
      <c r="L277" s="41">
        <v>58415</v>
      </c>
      <c r="M277" s="41">
        <v>58852</v>
      </c>
      <c r="N277" s="41">
        <v>59042</v>
      </c>
      <c r="O277" s="41">
        <v>59352</v>
      </c>
      <c r="P277" s="41">
        <v>59850</v>
      </c>
      <c r="Q277" s="41">
        <v>60149</v>
      </c>
      <c r="R277" s="41">
        <v>60527</v>
      </c>
      <c r="S277" s="41">
        <v>60890</v>
      </c>
      <c r="T277" s="41">
        <v>61285</v>
      </c>
      <c r="U277" s="41">
        <v>61681</v>
      </c>
      <c r="V277" s="41">
        <v>62083</v>
      </c>
      <c r="W277" s="41">
        <v>62452</v>
      </c>
      <c r="X277" s="41">
        <v>62905</v>
      </c>
      <c r="Y277" s="41">
        <v>63354</v>
      </c>
      <c r="Z277" s="41">
        <v>63802</v>
      </c>
      <c r="AA277" s="41">
        <v>64237</v>
      </c>
      <c r="AB277" s="41">
        <v>64670</v>
      </c>
      <c r="AC277" s="41">
        <v>65128</v>
      </c>
      <c r="AD277" s="41">
        <v>65580</v>
      </c>
      <c r="AE277" s="41">
        <v>65996</v>
      </c>
      <c r="AF277" s="41">
        <v>66407</v>
      </c>
      <c r="AG277" s="41">
        <v>66823</v>
      </c>
      <c r="AH277" s="41">
        <v>67236</v>
      </c>
      <c r="AI277" s="41">
        <v>67647</v>
      </c>
      <c r="AJ277" s="41">
        <v>68039</v>
      </c>
      <c r="AK277" s="41">
        <v>68442</v>
      </c>
      <c r="AL277" s="41">
        <v>68837</v>
      </c>
      <c r="AM277" s="41">
        <v>69211</v>
      </c>
      <c r="AN277" s="41">
        <v>69590</v>
      </c>
      <c r="AO277" s="41">
        <v>69948</v>
      </c>
      <c r="AP277" s="41">
        <v>70326</v>
      </c>
      <c r="AQ277" s="41">
        <v>70691</v>
      </c>
    </row>
    <row r="278" spans="1:43">
      <c r="A278" s="38" t="s">
        <v>672</v>
      </c>
      <c r="B278" s="38" t="s">
        <v>673</v>
      </c>
      <c r="C278" s="41">
        <v>24876</v>
      </c>
      <c r="D278" s="41">
        <v>25282</v>
      </c>
      <c r="E278" s="41">
        <v>25732</v>
      </c>
      <c r="F278" s="41">
        <v>26181</v>
      </c>
      <c r="G278" s="41">
        <v>26485</v>
      </c>
      <c r="H278" s="41">
        <v>26827</v>
      </c>
      <c r="I278" s="41">
        <v>27078</v>
      </c>
      <c r="J278" s="41">
        <v>27328</v>
      </c>
      <c r="K278" s="41">
        <v>27410</v>
      </c>
      <c r="L278" s="41">
        <v>27553</v>
      </c>
      <c r="M278" s="41">
        <v>27967</v>
      </c>
      <c r="N278" s="41">
        <v>28273</v>
      </c>
      <c r="O278" s="41">
        <v>28455</v>
      </c>
      <c r="P278" s="41">
        <v>28762</v>
      </c>
      <c r="Q278" s="41">
        <v>29124</v>
      </c>
      <c r="R278" s="41">
        <v>29525</v>
      </c>
      <c r="S278" s="41">
        <v>29828</v>
      </c>
      <c r="T278" s="41">
        <v>30113</v>
      </c>
      <c r="U278" s="41">
        <v>30411</v>
      </c>
      <c r="V278" s="41">
        <v>30698</v>
      </c>
      <c r="W278" s="41">
        <v>30981</v>
      </c>
      <c r="X278" s="41">
        <v>31292</v>
      </c>
      <c r="Y278" s="41">
        <v>31577</v>
      </c>
      <c r="Z278" s="41">
        <v>31880</v>
      </c>
      <c r="AA278" s="41">
        <v>32173</v>
      </c>
      <c r="AB278" s="41">
        <v>32456</v>
      </c>
      <c r="AC278" s="41">
        <v>32739</v>
      </c>
      <c r="AD278" s="41">
        <v>33004</v>
      </c>
      <c r="AE278" s="41">
        <v>33274</v>
      </c>
      <c r="AF278" s="41">
        <v>33536</v>
      </c>
      <c r="AG278" s="41">
        <v>33775</v>
      </c>
      <c r="AH278" s="41">
        <v>34008</v>
      </c>
      <c r="AI278" s="41">
        <v>34242</v>
      </c>
      <c r="AJ278" s="41">
        <v>34478</v>
      </c>
      <c r="AK278" s="41">
        <v>34694</v>
      </c>
      <c r="AL278" s="41">
        <v>34897</v>
      </c>
      <c r="AM278" s="41">
        <v>35102</v>
      </c>
      <c r="AN278" s="41">
        <v>35296</v>
      </c>
      <c r="AO278" s="41">
        <v>35496</v>
      </c>
      <c r="AP278" s="41">
        <v>35680</v>
      </c>
      <c r="AQ278" s="41">
        <v>35869</v>
      </c>
    </row>
    <row r="279" spans="1:43">
      <c r="A279" s="38" t="s">
        <v>674</v>
      </c>
      <c r="B279" s="38" t="s">
        <v>675</v>
      </c>
      <c r="C279" s="41">
        <v>80224</v>
      </c>
      <c r="D279" s="41">
        <v>82383</v>
      </c>
      <c r="E279" s="41">
        <v>82563</v>
      </c>
      <c r="F279" s="41">
        <v>83157</v>
      </c>
      <c r="G279" s="41">
        <v>84007</v>
      </c>
      <c r="H279" s="41">
        <v>85828</v>
      </c>
      <c r="I279" s="41">
        <v>88511</v>
      </c>
      <c r="J279" s="41">
        <v>91256</v>
      </c>
      <c r="K279" s="41">
        <v>94701</v>
      </c>
      <c r="L279" s="41">
        <v>97684</v>
      </c>
      <c r="M279" s="41">
        <v>100757</v>
      </c>
      <c r="N279" s="41">
        <v>103936</v>
      </c>
      <c r="O279" s="41">
        <v>108273</v>
      </c>
      <c r="P279" s="41">
        <v>113156</v>
      </c>
      <c r="Q279" s="41">
        <v>117295</v>
      </c>
      <c r="R279" s="41">
        <v>120626</v>
      </c>
      <c r="S279" s="41">
        <v>123872</v>
      </c>
      <c r="T279" s="41">
        <v>126908</v>
      </c>
      <c r="U279" s="41">
        <v>129722</v>
      </c>
      <c r="V279" s="41">
        <v>132310</v>
      </c>
      <c r="W279" s="41">
        <v>134696</v>
      </c>
      <c r="X279" s="41">
        <v>137388</v>
      </c>
      <c r="Y279" s="41">
        <v>139906</v>
      </c>
      <c r="Z279" s="41">
        <v>142349</v>
      </c>
      <c r="AA279" s="41">
        <v>144666</v>
      </c>
      <c r="AB279" s="41">
        <v>146975</v>
      </c>
      <c r="AC279" s="41">
        <v>149183</v>
      </c>
      <c r="AD279" s="41">
        <v>151379</v>
      </c>
      <c r="AE279" s="41">
        <v>153538</v>
      </c>
      <c r="AF279" s="41">
        <v>155639</v>
      </c>
      <c r="AG279" s="41">
        <v>157737</v>
      </c>
      <c r="AH279" s="41">
        <v>159855</v>
      </c>
      <c r="AI279" s="41">
        <v>161936</v>
      </c>
      <c r="AJ279" s="41">
        <v>163944</v>
      </c>
      <c r="AK279" s="41">
        <v>165915</v>
      </c>
      <c r="AL279" s="41">
        <v>167867</v>
      </c>
      <c r="AM279" s="41">
        <v>169793</v>
      </c>
      <c r="AN279" s="41">
        <v>171648</v>
      </c>
      <c r="AO279" s="41">
        <v>173407</v>
      </c>
      <c r="AP279" s="41">
        <v>175095</v>
      </c>
      <c r="AQ279" s="41">
        <v>176747</v>
      </c>
    </row>
    <row r="280" spans="1:43">
      <c r="A280" s="38" t="s">
        <v>676</v>
      </c>
      <c r="B280" s="38" t="s">
        <v>677</v>
      </c>
      <c r="C280" s="41">
        <v>88556</v>
      </c>
      <c r="D280" s="41">
        <v>88841</v>
      </c>
      <c r="E280" s="41">
        <v>89370</v>
      </c>
      <c r="F280" s="41">
        <v>89706</v>
      </c>
      <c r="G280" s="41">
        <v>90018</v>
      </c>
      <c r="H280" s="41">
        <v>90620</v>
      </c>
      <c r="I280" s="41">
        <v>91128</v>
      </c>
      <c r="J280" s="41">
        <v>91627</v>
      </c>
      <c r="K280" s="41">
        <v>92340</v>
      </c>
      <c r="L280" s="41">
        <v>93084</v>
      </c>
      <c r="M280" s="41">
        <v>94045</v>
      </c>
      <c r="N280" s="41">
        <v>94491</v>
      </c>
      <c r="O280" s="41">
        <v>95107</v>
      </c>
      <c r="P280" s="41">
        <v>95846</v>
      </c>
      <c r="Q280" s="41">
        <v>96091</v>
      </c>
      <c r="R280" s="41">
        <v>96387</v>
      </c>
      <c r="S280" s="41">
        <v>96925</v>
      </c>
      <c r="T280" s="41">
        <v>97496</v>
      </c>
      <c r="U280" s="41">
        <v>98088</v>
      </c>
      <c r="V280" s="41">
        <v>98643</v>
      </c>
      <c r="W280" s="41">
        <v>99210</v>
      </c>
      <c r="X280" s="41">
        <v>99961</v>
      </c>
      <c r="Y280" s="41">
        <v>100688</v>
      </c>
      <c r="Z280" s="41">
        <v>101422</v>
      </c>
      <c r="AA280" s="41">
        <v>102143</v>
      </c>
      <c r="AB280" s="41">
        <v>102854</v>
      </c>
      <c r="AC280" s="41">
        <v>103575</v>
      </c>
      <c r="AD280" s="41">
        <v>104284</v>
      </c>
      <c r="AE280" s="41">
        <v>104975</v>
      </c>
      <c r="AF280" s="41">
        <v>105670</v>
      </c>
      <c r="AG280" s="41">
        <v>106367</v>
      </c>
      <c r="AH280" s="41">
        <v>107053</v>
      </c>
      <c r="AI280" s="41">
        <v>107735</v>
      </c>
      <c r="AJ280" s="41">
        <v>108410</v>
      </c>
      <c r="AK280" s="41">
        <v>109072</v>
      </c>
      <c r="AL280" s="41">
        <v>109743</v>
      </c>
      <c r="AM280" s="41">
        <v>110390</v>
      </c>
      <c r="AN280" s="41">
        <v>111040</v>
      </c>
      <c r="AO280" s="41">
        <v>111688</v>
      </c>
      <c r="AP280" s="41">
        <v>112316</v>
      </c>
      <c r="AQ280" s="41">
        <v>112960</v>
      </c>
    </row>
    <row r="281" spans="1:43">
      <c r="A281" s="38" t="s">
        <v>678</v>
      </c>
      <c r="B281" s="38" t="s">
        <v>679</v>
      </c>
      <c r="C281" s="41">
        <v>42394</v>
      </c>
      <c r="D281" s="41">
        <v>42363</v>
      </c>
      <c r="E281" s="41">
        <v>42388</v>
      </c>
      <c r="F281" s="41">
        <v>42568</v>
      </c>
      <c r="G281" s="41">
        <v>42925</v>
      </c>
      <c r="H281" s="41">
        <v>43319</v>
      </c>
      <c r="I281" s="41">
        <v>44033</v>
      </c>
      <c r="J281" s="41">
        <v>44939</v>
      </c>
      <c r="K281" s="41">
        <v>45590</v>
      </c>
      <c r="L281" s="41">
        <v>46157</v>
      </c>
      <c r="M281" s="41">
        <v>46948</v>
      </c>
      <c r="N281" s="41">
        <v>47357</v>
      </c>
      <c r="O281" s="41">
        <v>47641</v>
      </c>
      <c r="P281" s="41">
        <v>47927</v>
      </c>
      <c r="Q281" s="41">
        <v>48219</v>
      </c>
      <c r="R281" s="41">
        <v>48592</v>
      </c>
      <c r="S281" s="41">
        <v>48893</v>
      </c>
      <c r="T281" s="41">
        <v>49194</v>
      </c>
      <c r="U281" s="41">
        <v>49503</v>
      </c>
      <c r="V281" s="41">
        <v>49838</v>
      </c>
      <c r="W281" s="41">
        <v>50107</v>
      </c>
      <c r="X281" s="41">
        <v>50471</v>
      </c>
      <c r="Y281" s="41">
        <v>50816</v>
      </c>
      <c r="Z281" s="41">
        <v>51165</v>
      </c>
      <c r="AA281" s="41">
        <v>51517</v>
      </c>
      <c r="AB281" s="41">
        <v>51851</v>
      </c>
      <c r="AC281" s="41">
        <v>52197</v>
      </c>
      <c r="AD281" s="41">
        <v>52530</v>
      </c>
      <c r="AE281" s="41">
        <v>52868</v>
      </c>
      <c r="AF281" s="41">
        <v>53202</v>
      </c>
      <c r="AG281" s="41">
        <v>53536</v>
      </c>
      <c r="AH281" s="41">
        <v>53841</v>
      </c>
      <c r="AI281" s="41">
        <v>54163</v>
      </c>
      <c r="AJ281" s="41">
        <v>54490</v>
      </c>
      <c r="AK281" s="41">
        <v>54802</v>
      </c>
      <c r="AL281" s="41">
        <v>55124</v>
      </c>
      <c r="AM281" s="41">
        <v>55426</v>
      </c>
      <c r="AN281" s="41">
        <v>55737</v>
      </c>
      <c r="AO281" s="41">
        <v>56052</v>
      </c>
      <c r="AP281" s="41">
        <v>56357</v>
      </c>
      <c r="AQ281" s="41">
        <v>56666</v>
      </c>
    </row>
    <row r="282" spans="1:43">
      <c r="A282" s="38" t="s">
        <v>680</v>
      </c>
      <c r="B282" s="38" t="s">
        <v>681</v>
      </c>
      <c r="C282" s="41">
        <v>27360</v>
      </c>
      <c r="D282" s="41">
        <v>27605</v>
      </c>
      <c r="E282" s="41">
        <v>27903</v>
      </c>
      <c r="F282" s="41">
        <v>28144</v>
      </c>
      <c r="G282" s="41">
        <v>28522</v>
      </c>
      <c r="H282" s="41">
        <v>28966</v>
      </c>
      <c r="I282" s="41">
        <v>29306</v>
      </c>
      <c r="J282" s="41">
        <v>29754</v>
      </c>
      <c r="K282" s="41">
        <v>30232</v>
      </c>
      <c r="L282" s="41">
        <v>30884</v>
      </c>
      <c r="M282" s="41">
        <v>31440</v>
      </c>
      <c r="N282" s="41">
        <v>32008</v>
      </c>
      <c r="O282" s="41">
        <v>32552</v>
      </c>
      <c r="P282" s="41">
        <v>33020</v>
      </c>
      <c r="Q282" s="41">
        <v>33564</v>
      </c>
      <c r="R282" s="41">
        <v>33982</v>
      </c>
      <c r="S282" s="41">
        <v>34459</v>
      </c>
      <c r="T282" s="41">
        <v>34919</v>
      </c>
      <c r="U282" s="41">
        <v>35374</v>
      </c>
      <c r="V282" s="41">
        <v>35820</v>
      </c>
      <c r="W282" s="41">
        <v>36220</v>
      </c>
      <c r="X282" s="41">
        <v>36706</v>
      </c>
      <c r="Y282" s="41">
        <v>37181</v>
      </c>
      <c r="Z282" s="41">
        <v>37654</v>
      </c>
      <c r="AA282" s="41">
        <v>38103</v>
      </c>
      <c r="AB282" s="41">
        <v>38542</v>
      </c>
      <c r="AC282" s="41">
        <v>39002</v>
      </c>
      <c r="AD282" s="41">
        <v>39435</v>
      </c>
      <c r="AE282" s="41">
        <v>39876</v>
      </c>
      <c r="AF282" s="41">
        <v>40285</v>
      </c>
      <c r="AG282" s="41">
        <v>40710</v>
      </c>
      <c r="AH282" s="41">
        <v>41112</v>
      </c>
      <c r="AI282" s="41">
        <v>41514</v>
      </c>
      <c r="AJ282" s="41">
        <v>41901</v>
      </c>
      <c r="AK282" s="41">
        <v>42273</v>
      </c>
      <c r="AL282" s="41">
        <v>42652</v>
      </c>
      <c r="AM282" s="41">
        <v>43017</v>
      </c>
      <c r="AN282" s="41">
        <v>43385</v>
      </c>
      <c r="AO282" s="41">
        <v>43741</v>
      </c>
      <c r="AP282" s="41">
        <v>44090</v>
      </c>
      <c r="AQ282" s="41">
        <v>44443</v>
      </c>
    </row>
    <row r="283" spans="1:43">
      <c r="A283" s="38" t="s">
        <v>682</v>
      </c>
      <c r="B283" s="38" t="s">
        <v>683</v>
      </c>
      <c r="C283" s="41">
        <v>45528</v>
      </c>
      <c r="D283" s="41">
        <v>45643</v>
      </c>
      <c r="E283" s="41">
        <v>45961</v>
      </c>
      <c r="F283" s="41">
        <v>46255</v>
      </c>
      <c r="G283" s="41">
        <v>46786</v>
      </c>
      <c r="H283" s="41">
        <v>47272</v>
      </c>
      <c r="I283" s="41">
        <v>47730</v>
      </c>
      <c r="J283" s="41">
        <v>48215</v>
      </c>
      <c r="K283" s="41">
        <v>48640</v>
      </c>
      <c r="L283" s="41">
        <v>49054</v>
      </c>
      <c r="M283" s="41">
        <v>49562</v>
      </c>
      <c r="N283" s="41">
        <v>50056</v>
      </c>
      <c r="O283" s="41">
        <v>50468</v>
      </c>
      <c r="P283" s="41">
        <v>51073</v>
      </c>
      <c r="Q283" s="41">
        <v>51943</v>
      </c>
      <c r="R283" s="41">
        <v>52826</v>
      </c>
      <c r="S283" s="41">
        <v>53416</v>
      </c>
      <c r="T283" s="41">
        <v>53985</v>
      </c>
      <c r="U283" s="41">
        <v>54539</v>
      </c>
      <c r="V283" s="41">
        <v>55090</v>
      </c>
      <c r="W283" s="41">
        <v>55601</v>
      </c>
      <c r="X283" s="41">
        <v>56112</v>
      </c>
      <c r="Y283" s="41">
        <v>56608</v>
      </c>
      <c r="Z283" s="41">
        <v>57088</v>
      </c>
      <c r="AA283" s="41">
        <v>57538</v>
      </c>
      <c r="AB283" s="41">
        <v>57956</v>
      </c>
      <c r="AC283" s="41">
        <v>58399</v>
      </c>
      <c r="AD283" s="41">
        <v>58825</v>
      </c>
      <c r="AE283" s="41">
        <v>59230</v>
      </c>
      <c r="AF283" s="41">
        <v>59612</v>
      </c>
      <c r="AG283" s="41">
        <v>59997</v>
      </c>
      <c r="AH283" s="41">
        <v>60373</v>
      </c>
      <c r="AI283" s="41">
        <v>60733</v>
      </c>
      <c r="AJ283" s="41">
        <v>61106</v>
      </c>
      <c r="AK283" s="41">
        <v>61457</v>
      </c>
      <c r="AL283" s="41">
        <v>61808</v>
      </c>
      <c r="AM283" s="41">
        <v>62146</v>
      </c>
      <c r="AN283" s="41">
        <v>62488</v>
      </c>
      <c r="AO283" s="41">
        <v>62823</v>
      </c>
      <c r="AP283" s="41">
        <v>63147</v>
      </c>
      <c r="AQ283" s="41">
        <v>63489</v>
      </c>
    </row>
    <row r="284" spans="1:43">
      <c r="A284" s="38" t="s">
        <v>684</v>
      </c>
      <c r="B284" s="38" t="s">
        <v>685</v>
      </c>
      <c r="C284" s="41">
        <v>131297</v>
      </c>
      <c r="D284" s="41">
        <v>132064</v>
      </c>
      <c r="E284" s="41">
        <v>132877</v>
      </c>
      <c r="F284" s="41">
        <v>133499</v>
      </c>
      <c r="G284" s="41">
        <v>134255</v>
      </c>
      <c r="H284" s="41">
        <v>135268</v>
      </c>
      <c r="I284" s="41">
        <v>136134</v>
      </c>
      <c r="J284" s="41">
        <v>137066</v>
      </c>
      <c r="K284" s="41">
        <v>137818</v>
      </c>
      <c r="L284" s="41">
        <v>138615</v>
      </c>
      <c r="M284" s="41">
        <v>139683</v>
      </c>
      <c r="N284" s="41">
        <v>140532</v>
      </c>
      <c r="O284" s="41">
        <v>141428</v>
      </c>
      <c r="P284" s="41">
        <v>142448</v>
      </c>
      <c r="Q284" s="41">
        <v>143605</v>
      </c>
      <c r="R284" s="41">
        <v>145048</v>
      </c>
      <c r="S284" s="41">
        <v>146119</v>
      </c>
      <c r="T284" s="41">
        <v>147161</v>
      </c>
      <c r="U284" s="41">
        <v>148194</v>
      </c>
      <c r="V284" s="41">
        <v>149175</v>
      </c>
      <c r="W284" s="41">
        <v>150067</v>
      </c>
      <c r="X284" s="41">
        <v>151059</v>
      </c>
      <c r="Y284" s="41">
        <v>151971</v>
      </c>
      <c r="Z284" s="41">
        <v>152905</v>
      </c>
      <c r="AA284" s="41">
        <v>153772</v>
      </c>
      <c r="AB284" s="41">
        <v>154636</v>
      </c>
      <c r="AC284" s="41">
        <v>155506</v>
      </c>
      <c r="AD284" s="41">
        <v>156373</v>
      </c>
      <c r="AE284" s="41">
        <v>157240</v>
      </c>
      <c r="AF284" s="41">
        <v>158073</v>
      </c>
      <c r="AG284" s="41">
        <v>158919</v>
      </c>
      <c r="AH284" s="41">
        <v>159768</v>
      </c>
      <c r="AI284" s="41">
        <v>160635</v>
      </c>
      <c r="AJ284" s="41">
        <v>161490</v>
      </c>
      <c r="AK284" s="41">
        <v>162313</v>
      </c>
      <c r="AL284" s="41">
        <v>163178</v>
      </c>
      <c r="AM284" s="41">
        <v>164000</v>
      </c>
      <c r="AN284" s="41">
        <v>164826</v>
      </c>
      <c r="AO284" s="41">
        <v>165641</v>
      </c>
      <c r="AP284" s="41">
        <v>166393</v>
      </c>
      <c r="AQ284" s="41">
        <v>167183</v>
      </c>
    </row>
    <row r="285" spans="1:43">
      <c r="A285" s="38" t="s">
        <v>686</v>
      </c>
      <c r="B285" s="38" t="s">
        <v>687</v>
      </c>
      <c r="C285" s="41">
        <v>100508</v>
      </c>
      <c r="D285" s="41">
        <v>100888</v>
      </c>
      <c r="E285" s="41">
        <v>101252</v>
      </c>
      <c r="F285" s="41">
        <v>101632</v>
      </c>
      <c r="G285" s="41">
        <v>102237</v>
      </c>
      <c r="H285" s="41">
        <v>102650</v>
      </c>
      <c r="I285" s="41">
        <v>103171</v>
      </c>
      <c r="J285" s="41">
        <v>103944</v>
      </c>
      <c r="K285" s="41">
        <v>104626</v>
      </c>
      <c r="L285" s="41">
        <v>105511</v>
      </c>
      <c r="M285" s="41">
        <v>107222</v>
      </c>
      <c r="N285" s="41">
        <v>107810</v>
      </c>
      <c r="O285" s="41">
        <v>108246</v>
      </c>
      <c r="P285" s="41">
        <v>108979</v>
      </c>
      <c r="Q285" s="41">
        <v>109679</v>
      </c>
      <c r="R285" s="41">
        <v>110533</v>
      </c>
      <c r="S285" s="41">
        <v>111177</v>
      </c>
      <c r="T285" s="41">
        <v>111863</v>
      </c>
      <c r="U285" s="41">
        <v>112504</v>
      </c>
      <c r="V285" s="41">
        <v>113092</v>
      </c>
      <c r="W285" s="41">
        <v>113624</v>
      </c>
      <c r="X285" s="41">
        <v>114313</v>
      </c>
      <c r="Y285" s="41">
        <v>115002</v>
      </c>
      <c r="Z285" s="41">
        <v>115675</v>
      </c>
      <c r="AA285" s="41">
        <v>116315</v>
      </c>
      <c r="AB285" s="41">
        <v>116964</v>
      </c>
      <c r="AC285" s="41">
        <v>117631</v>
      </c>
      <c r="AD285" s="41">
        <v>118342</v>
      </c>
      <c r="AE285" s="41">
        <v>119041</v>
      </c>
      <c r="AF285" s="41">
        <v>119722</v>
      </c>
      <c r="AG285" s="41">
        <v>120466</v>
      </c>
      <c r="AH285" s="41">
        <v>121223</v>
      </c>
      <c r="AI285" s="41">
        <v>122002</v>
      </c>
      <c r="AJ285" s="41">
        <v>122765</v>
      </c>
      <c r="AK285" s="41">
        <v>123505</v>
      </c>
      <c r="AL285" s="41">
        <v>124311</v>
      </c>
      <c r="AM285" s="41">
        <v>125110</v>
      </c>
      <c r="AN285" s="41">
        <v>125932</v>
      </c>
      <c r="AO285" s="41">
        <v>126728</v>
      </c>
      <c r="AP285" s="41">
        <v>127500</v>
      </c>
      <c r="AQ285" s="41">
        <v>128306</v>
      </c>
    </row>
    <row r="286" spans="1:43">
      <c r="A286" s="38" t="s">
        <v>688</v>
      </c>
      <c r="B286" s="38" t="s">
        <v>689</v>
      </c>
      <c r="C286" s="41">
        <v>90796</v>
      </c>
      <c r="D286" s="41">
        <v>90809</v>
      </c>
      <c r="E286" s="41">
        <v>90162</v>
      </c>
      <c r="F286" s="41">
        <v>89470</v>
      </c>
      <c r="G286" s="41">
        <v>89386</v>
      </c>
      <c r="H286" s="41">
        <v>89891</v>
      </c>
      <c r="I286" s="41">
        <v>90638</v>
      </c>
      <c r="J286" s="41">
        <v>92084</v>
      </c>
      <c r="K286" s="41">
        <v>93631</v>
      </c>
      <c r="L286" s="41">
        <v>95229</v>
      </c>
      <c r="M286" s="41">
        <v>96846</v>
      </c>
      <c r="N286" s="41">
        <v>97428</v>
      </c>
      <c r="O286" s="41">
        <v>98444</v>
      </c>
      <c r="P286" s="41">
        <v>99117</v>
      </c>
      <c r="Q286" s="41">
        <v>99965</v>
      </c>
      <c r="R286" s="41">
        <v>100992</v>
      </c>
      <c r="S286" s="41">
        <v>101731</v>
      </c>
      <c r="T286" s="41">
        <v>102552</v>
      </c>
      <c r="U286" s="41">
        <v>103241</v>
      </c>
      <c r="V286" s="41">
        <v>103911</v>
      </c>
      <c r="W286" s="41">
        <v>104528</v>
      </c>
      <c r="X286" s="41">
        <v>105767</v>
      </c>
      <c r="Y286" s="41">
        <v>107004</v>
      </c>
      <c r="Z286" s="41">
        <v>108170</v>
      </c>
      <c r="AA286" s="41">
        <v>109333</v>
      </c>
      <c r="AB286" s="41">
        <v>110462</v>
      </c>
      <c r="AC286" s="41">
        <v>111568</v>
      </c>
      <c r="AD286" s="41">
        <v>112686</v>
      </c>
      <c r="AE286" s="41">
        <v>113764</v>
      </c>
      <c r="AF286" s="41">
        <v>114810</v>
      </c>
      <c r="AG286" s="41">
        <v>115848</v>
      </c>
      <c r="AH286" s="41">
        <v>116879</v>
      </c>
      <c r="AI286" s="41">
        <v>117889</v>
      </c>
      <c r="AJ286" s="41">
        <v>118888</v>
      </c>
      <c r="AK286" s="41">
        <v>119860</v>
      </c>
      <c r="AL286" s="41">
        <v>120812</v>
      </c>
      <c r="AM286" s="41">
        <v>121766</v>
      </c>
      <c r="AN286" s="41">
        <v>122703</v>
      </c>
      <c r="AO286" s="41">
        <v>123621</v>
      </c>
      <c r="AP286" s="41">
        <v>124498</v>
      </c>
      <c r="AQ286" s="41">
        <v>125384</v>
      </c>
    </row>
    <row r="287" spans="1:43">
      <c r="A287" s="38" t="s">
        <v>690</v>
      </c>
      <c r="B287" s="38" t="s">
        <v>691</v>
      </c>
      <c r="C287" s="41">
        <v>121135</v>
      </c>
      <c r="D287" s="41">
        <v>121825</v>
      </c>
      <c r="E287" s="41">
        <v>121748</v>
      </c>
      <c r="F287" s="41">
        <v>121662</v>
      </c>
      <c r="G287" s="41">
        <v>123118</v>
      </c>
      <c r="H287" s="41">
        <v>124355</v>
      </c>
      <c r="I287" s="41">
        <v>125120</v>
      </c>
      <c r="J287" s="41">
        <v>125637</v>
      </c>
      <c r="K287" s="41">
        <v>127256</v>
      </c>
      <c r="L287" s="41">
        <v>128190</v>
      </c>
      <c r="M287" s="41">
        <v>129360</v>
      </c>
      <c r="N287" s="41">
        <v>129872</v>
      </c>
      <c r="O287" s="41">
        <v>131116</v>
      </c>
      <c r="P287" s="41">
        <v>131983</v>
      </c>
      <c r="Q287" s="41">
        <v>132781</v>
      </c>
      <c r="R287" s="41">
        <v>133241</v>
      </c>
      <c r="S287" s="41">
        <v>133707</v>
      </c>
      <c r="T287" s="41">
        <v>134133</v>
      </c>
      <c r="U287" s="41">
        <v>134570</v>
      </c>
      <c r="V287" s="41">
        <v>134920</v>
      </c>
      <c r="W287" s="41">
        <v>135200</v>
      </c>
      <c r="X287" s="41">
        <v>136063</v>
      </c>
      <c r="Y287" s="41">
        <v>136876</v>
      </c>
      <c r="Z287" s="41">
        <v>137662</v>
      </c>
      <c r="AA287" s="41">
        <v>138363</v>
      </c>
      <c r="AB287" s="41">
        <v>139066</v>
      </c>
      <c r="AC287" s="41">
        <v>139740</v>
      </c>
      <c r="AD287" s="41">
        <v>140397</v>
      </c>
      <c r="AE287" s="41">
        <v>141090</v>
      </c>
      <c r="AF287" s="41">
        <v>141785</v>
      </c>
      <c r="AG287" s="41">
        <v>142535</v>
      </c>
      <c r="AH287" s="41">
        <v>143318</v>
      </c>
      <c r="AI287" s="41">
        <v>144156</v>
      </c>
      <c r="AJ287" s="41">
        <v>145035</v>
      </c>
      <c r="AK287" s="41">
        <v>145941</v>
      </c>
      <c r="AL287" s="41">
        <v>146909</v>
      </c>
      <c r="AM287" s="41">
        <v>147886</v>
      </c>
      <c r="AN287" s="41">
        <v>148876</v>
      </c>
      <c r="AO287" s="41">
        <v>149800</v>
      </c>
      <c r="AP287" s="41">
        <v>150712</v>
      </c>
      <c r="AQ287" s="41">
        <v>151624</v>
      </c>
    </row>
    <row r="288" spans="1:43">
      <c r="A288" s="38" t="s">
        <v>692</v>
      </c>
      <c r="B288" s="38" t="s">
        <v>693</v>
      </c>
      <c r="C288" s="41">
        <v>77428</v>
      </c>
      <c r="D288" s="41">
        <v>77971</v>
      </c>
      <c r="E288" s="41">
        <v>78397</v>
      </c>
      <c r="F288" s="41">
        <v>78614</v>
      </c>
      <c r="G288" s="41">
        <v>79320</v>
      </c>
      <c r="H288" s="41">
        <v>80186</v>
      </c>
      <c r="I288" s="41">
        <v>81173</v>
      </c>
      <c r="J288" s="41">
        <v>82126</v>
      </c>
      <c r="K288" s="41">
        <v>83174</v>
      </c>
      <c r="L288" s="41">
        <v>84002</v>
      </c>
      <c r="M288" s="41">
        <v>84871</v>
      </c>
      <c r="N288" s="41">
        <v>85586</v>
      </c>
      <c r="O288" s="41">
        <v>86495</v>
      </c>
      <c r="P288" s="41">
        <v>87474</v>
      </c>
      <c r="Q288" s="41">
        <v>88267</v>
      </c>
      <c r="R288" s="41">
        <v>89070</v>
      </c>
      <c r="S288" s="41">
        <v>89892</v>
      </c>
      <c r="T288" s="41">
        <v>90666</v>
      </c>
      <c r="U288" s="41">
        <v>91431</v>
      </c>
      <c r="V288" s="41">
        <v>92152</v>
      </c>
      <c r="W288" s="41">
        <v>92841</v>
      </c>
      <c r="X288" s="41">
        <v>93518</v>
      </c>
      <c r="Y288" s="41">
        <v>94103</v>
      </c>
      <c r="Z288" s="41">
        <v>94674</v>
      </c>
      <c r="AA288" s="41">
        <v>95217</v>
      </c>
      <c r="AB288" s="41">
        <v>95738</v>
      </c>
      <c r="AC288" s="41">
        <v>96299</v>
      </c>
      <c r="AD288" s="41">
        <v>96804</v>
      </c>
      <c r="AE288" s="41">
        <v>97306</v>
      </c>
      <c r="AF288" s="41">
        <v>97788</v>
      </c>
      <c r="AG288" s="41">
        <v>98275</v>
      </c>
      <c r="AH288" s="41">
        <v>98765</v>
      </c>
      <c r="AI288" s="41">
        <v>99267</v>
      </c>
      <c r="AJ288" s="41">
        <v>99767</v>
      </c>
      <c r="AK288" s="41">
        <v>100250</v>
      </c>
      <c r="AL288" s="41">
        <v>100743</v>
      </c>
      <c r="AM288" s="41">
        <v>101233</v>
      </c>
      <c r="AN288" s="41">
        <v>101708</v>
      </c>
      <c r="AO288" s="41">
        <v>102183</v>
      </c>
      <c r="AP288" s="41">
        <v>102634</v>
      </c>
      <c r="AQ288" s="41">
        <v>103091</v>
      </c>
    </row>
    <row r="289" spans="1:43">
      <c r="A289" s="38" t="s">
        <v>694</v>
      </c>
      <c r="B289" s="38" t="s">
        <v>695</v>
      </c>
      <c r="C289" s="41">
        <v>52965</v>
      </c>
      <c r="D289" s="41">
        <v>53664</v>
      </c>
      <c r="E289" s="41">
        <v>54483</v>
      </c>
      <c r="F289" s="41">
        <v>55202</v>
      </c>
      <c r="G289" s="41">
        <v>56007</v>
      </c>
      <c r="H289" s="41">
        <v>56563</v>
      </c>
      <c r="I289" s="41">
        <v>57004</v>
      </c>
      <c r="J289" s="41">
        <v>57432</v>
      </c>
      <c r="K289" s="41">
        <v>57893</v>
      </c>
      <c r="L289" s="41">
        <v>58207</v>
      </c>
      <c r="M289" s="41">
        <v>58435</v>
      </c>
      <c r="N289" s="41">
        <v>58693</v>
      </c>
      <c r="O289" s="41">
        <v>58592</v>
      </c>
      <c r="P289" s="41">
        <v>58742</v>
      </c>
      <c r="Q289" s="41">
        <v>58898</v>
      </c>
      <c r="R289" s="41">
        <v>59214</v>
      </c>
      <c r="S289" s="41">
        <v>59539</v>
      </c>
      <c r="T289" s="41">
        <v>59753</v>
      </c>
      <c r="U289" s="41">
        <v>59943</v>
      </c>
      <c r="V289" s="41">
        <v>60227</v>
      </c>
      <c r="W289" s="41">
        <v>60495</v>
      </c>
      <c r="X289" s="41">
        <v>60801</v>
      </c>
      <c r="Y289" s="41">
        <v>61041</v>
      </c>
      <c r="Z289" s="41">
        <v>61296</v>
      </c>
      <c r="AA289" s="41">
        <v>61588</v>
      </c>
      <c r="AB289" s="41">
        <v>61869</v>
      </c>
      <c r="AC289" s="41">
        <v>62163</v>
      </c>
      <c r="AD289" s="41">
        <v>62441</v>
      </c>
      <c r="AE289" s="41">
        <v>62734</v>
      </c>
      <c r="AF289" s="41">
        <v>63023</v>
      </c>
      <c r="AG289" s="41">
        <v>63326</v>
      </c>
      <c r="AH289" s="41">
        <v>63636</v>
      </c>
      <c r="AI289" s="41">
        <v>63925</v>
      </c>
      <c r="AJ289" s="41">
        <v>64217</v>
      </c>
      <c r="AK289" s="41">
        <v>64505</v>
      </c>
      <c r="AL289" s="41">
        <v>64807</v>
      </c>
      <c r="AM289" s="41">
        <v>65102</v>
      </c>
      <c r="AN289" s="41">
        <v>65403</v>
      </c>
      <c r="AO289" s="41">
        <v>65705</v>
      </c>
      <c r="AP289" s="41">
        <v>65996</v>
      </c>
      <c r="AQ289" s="41">
        <v>66306</v>
      </c>
    </row>
    <row r="290" spans="1:43">
      <c r="A290" s="38" t="s">
        <v>696</v>
      </c>
      <c r="B290" s="38" t="s">
        <v>697</v>
      </c>
      <c r="C290" s="41">
        <v>32375</v>
      </c>
      <c r="D290" s="41">
        <v>32259</v>
      </c>
      <c r="E290" s="41">
        <v>32372</v>
      </c>
      <c r="F290" s="41">
        <v>32473</v>
      </c>
      <c r="G290" s="41">
        <v>32924</v>
      </c>
      <c r="H290" s="41">
        <v>32964</v>
      </c>
      <c r="I290" s="41">
        <v>33297</v>
      </c>
      <c r="J290" s="41">
        <v>33918</v>
      </c>
      <c r="K290" s="41">
        <v>34667</v>
      </c>
      <c r="L290" s="41">
        <v>35458</v>
      </c>
      <c r="M290" s="41">
        <v>36474</v>
      </c>
      <c r="N290" s="41">
        <v>37077</v>
      </c>
      <c r="O290" s="41">
        <v>37769</v>
      </c>
      <c r="P290" s="41">
        <v>38432</v>
      </c>
      <c r="Q290" s="41">
        <v>38832</v>
      </c>
      <c r="R290" s="41">
        <v>39039</v>
      </c>
      <c r="S290" s="41">
        <v>39536</v>
      </c>
      <c r="T290" s="41">
        <v>40023</v>
      </c>
      <c r="U290" s="41">
        <v>40449</v>
      </c>
      <c r="V290" s="41">
        <v>40888</v>
      </c>
      <c r="W290" s="41">
        <v>41296</v>
      </c>
      <c r="X290" s="41">
        <v>41717</v>
      </c>
      <c r="Y290" s="41">
        <v>42113</v>
      </c>
      <c r="Z290" s="41">
        <v>42489</v>
      </c>
      <c r="AA290" s="41">
        <v>42855</v>
      </c>
      <c r="AB290" s="41">
        <v>43211</v>
      </c>
      <c r="AC290" s="41">
        <v>43572</v>
      </c>
      <c r="AD290" s="41">
        <v>43923</v>
      </c>
      <c r="AE290" s="41">
        <v>44270</v>
      </c>
      <c r="AF290" s="41">
        <v>44610</v>
      </c>
      <c r="AG290" s="41">
        <v>44950</v>
      </c>
      <c r="AH290" s="41">
        <v>45294</v>
      </c>
      <c r="AI290" s="41">
        <v>45626</v>
      </c>
      <c r="AJ290" s="41">
        <v>45976</v>
      </c>
      <c r="AK290" s="41">
        <v>46300</v>
      </c>
      <c r="AL290" s="41">
        <v>46640</v>
      </c>
      <c r="AM290" s="41">
        <v>46961</v>
      </c>
      <c r="AN290" s="41">
        <v>47295</v>
      </c>
      <c r="AO290" s="41">
        <v>47612</v>
      </c>
      <c r="AP290" s="41">
        <v>47924</v>
      </c>
      <c r="AQ290" s="41">
        <v>48236</v>
      </c>
    </row>
    <row r="291" spans="1:43">
      <c r="A291" s="38" t="s">
        <v>698</v>
      </c>
      <c r="B291" s="38" t="s">
        <v>699</v>
      </c>
      <c r="C291" s="41">
        <v>46969</v>
      </c>
      <c r="D291" s="41">
        <v>46794</v>
      </c>
      <c r="E291" s="41">
        <v>46917</v>
      </c>
      <c r="F291" s="41">
        <v>46954</v>
      </c>
      <c r="G291" s="41">
        <v>46931</v>
      </c>
      <c r="H291" s="41">
        <v>47242</v>
      </c>
      <c r="I291" s="41">
        <v>47538</v>
      </c>
      <c r="J291" s="41">
        <v>47987</v>
      </c>
      <c r="K291" s="41">
        <v>48401</v>
      </c>
      <c r="L291" s="41">
        <v>48765</v>
      </c>
      <c r="M291" s="41">
        <v>49217</v>
      </c>
      <c r="N291" s="41">
        <v>49286</v>
      </c>
      <c r="O291" s="41">
        <v>49511</v>
      </c>
      <c r="P291" s="41">
        <v>49767</v>
      </c>
      <c r="Q291" s="41">
        <v>49906</v>
      </c>
      <c r="R291" s="41">
        <v>50144</v>
      </c>
      <c r="S291" s="41">
        <v>50334</v>
      </c>
      <c r="T291" s="41">
        <v>50534</v>
      </c>
      <c r="U291" s="41">
        <v>50734</v>
      </c>
      <c r="V291" s="41">
        <v>50899</v>
      </c>
      <c r="W291" s="41">
        <v>51087</v>
      </c>
      <c r="X291" s="41">
        <v>51357</v>
      </c>
      <c r="Y291" s="41">
        <v>51621</v>
      </c>
      <c r="Z291" s="41">
        <v>51885</v>
      </c>
      <c r="AA291" s="41">
        <v>52127</v>
      </c>
      <c r="AB291" s="41">
        <v>52383</v>
      </c>
      <c r="AC291" s="41">
        <v>52644</v>
      </c>
      <c r="AD291" s="41">
        <v>52893</v>
      </c>
      <c r="AE291" s="41">
        <v>53138</v>
      </c>
      <c r="AF291" s="41">
        <v>53374</v>
      </c>
      <c r="AG291" s="41">
        <v>53615</v>
      </c>
      <c r="AH291" s="41">
        <v>53850</v>
      </c>
      <c r="AI291" s="41">
        <v>54065</v>
      </c>
      <c r="AJ291" s="41">
        <v>54275</v>
      </c>
      <c r="AK291" s="41">
        <v>54490</v>
      </c>
      <c r="AL291" s="41">
        <v>54700</v>
      </c>
      <c r="AM291" s="41">
        <v>54891</v>
      </c>
      <c r="AN291" s="41">
        <v>55099</v>
      </c>
      <c r="AO291" s="41">
        <v>55296</v>
      </c>
      <c r="AP291" s="41">
        <v>55502</v>
      </c>
      <c r="AQ291" s="41">
        <v>55733</v>
      </c>
    </row>
    <row r="292" spans="1:43">
      <c r="A292" s="38" t="s">
        <v>700</v>
      </c>
      <c r="B292" s="38" t="s">
        <v>701</v>
      </c>
      <c r="C292" s="41">
        <v>58072</v>
      </c>
      <c r="D292" s="41">
        <v>58502</v>
      </c>
      <c r="E292" s="41">
        <v>59045</v>
      </c>
      <c r="F292" s="41">
        <v>59505</v>
      </c>
      <c r="G292" s="41">
        <v>59903</v>
      </c>
      <c r="H292" s="41">
        <v>60356</v>
      </c>
      <c r="I292" s="41">
        <v>60927</v>
      </c>
      <c r="J292" s="41">
        <v>61325</v>
      </c>
      <c r="K292" s="41">
        <v>61431</v>
      </c>
      <c r="L292" s="41">
        <v>62038</v>
      </c>
      <c r="M292" s="41">
        <v>62753</v>
      </c>
      <c r="N292" s="41">
        <v>63631</v>
      </c>
      <c r="O292" s="41">
        <v>64478</v>
      </c>
      <c r="P292" s="41">
        <v>65484</v>
      </c>
      <c r="Q292" s="41">
        <v>66294</v>
      </c>
      <c r="R292" s="41">
        <v>66931</v>
      </c>
      <c r="S292" s="41">
        <v>67798</v>
      </c>
      <c r="T292" s="41">
        <v>68682</v>
      </c>
      <c r="U292" s="41">
        <v>69532</v>
      </c>
      <c r="V292" s="41">
        <v>70348</v>
      </c>
      <c r="W292" s="41">
        <v>71135</v>
      </c>
      <c r="X292" s="41">
        <v>72048</v>
      </c>
      <c r="Y292" s="41">
        <v>72943</v>
      </c>
      <c r="Z292" s="41">
        <v>73814</v>
      </c>
      <c r="AA292" s="41">
        <v>74645</v>
      </c>
      <c r="AB292" s="41">
        <v>75493</v>
      </c>
      <c r="AC292" s="41">
        <v>76365</v>
      </c>
      <c r="AD292" s="41">
        <v>77207</v>
      </c>
      <c r="AE292" s="41">
        <v>78017</v>
      </c>
      <c r="AF292" s="41">
        <v>78788</v>
      </c>
      <c r="AG292" s="41">
        <v>79570</v>
      </c>
      <c r="AH292" s="41">
        <v>80321</v>
      </c>
      <c r="AI292" s="41">
        <v>81071</v>
      </c>
      <c r="AJ292" s="41">
        <v>81796</v>
      </c>
      <c r="AK292" s="41">
        <v>82515</v>
      </c>
      <c r="AL292" s="41">
        <v>83224</v>
      </c>
      <c r="AM292" s="41">
        <v>83903</v>
      </c>
      <c r="AN292" s="41">
        <v>84571</v>
      </c>
      <c r="AO292" s="41">
        <v>85243</v>
      </c>
      <c r="AP292" s="41">
        <v>85898</v>
      </c>
      <c r="AQ292" s="41">
        <v>86556</v>
      </c>
    </row>
    <row r="293" spans="1:43">
      <c r="A293" s="38" t="s">
        <v>702</v>
      </c>
      <c r="B293" s="38" t="s">
        <v>703</v>
      </c>
      <c r="C293" s="41">
        <v>29849</v>
      </c>
      <c r="D293" s="41">
        <v>30176</v>
      </c>
      <c r="E293" s="41">
        <v>30258</v>
      </c>
      <c r="F293" s="41">
        <v>30344</v>
      </c>
      <c r="G293" s="41">
        <v>30769</v>
      </c>
      <c r="H293" s="41">
        <v>31043</v>
      </c>
      <c r="I293" s="41">
        <v>31221</v>
      </c>
      <c r="J293" s="41">
        <v>31363</v>
      </c>
      <c r="K293" s="41">
        <v>31458</v>
      </c>
      <c r="L293" s="41">
        <v>31602</v>
      </c>
      <c r="M293" s="41">
        <v>31901</v>
      </c>
      <c r="N293" s="41">
        <v>32092</v>
      </c>
      <c r="O293" s="41">
        <v>32146</v>
      </c>
      <c r="P293" s="41">
        <v>32364</v>
      </c>
      <c r="Q293" s="41">
        <v>32760</v>
      </c>
      <c r="R293" s="41">
        <v>33191</v>
      </c>
      <c r="S293" s="41">
        <v>33480</v>
      </c>
      <c r="T293" s="41">
        <v>33746</v>
      </c>
      <c r="U293" s="41">
        <v>33994</v>
      </c>
      <c r="V293" s="41">
        <v>34247</v>
      </c>
      <c r="W293" s="41">
        <v>34503</v>
      </c>
      <c r="X293" s="41">
        <v>34768</v>
      </c>
      <c r="Y293" s="41">
        <v>35025</v>
      </c>
      <c r="Z293" s="41">
        <v>35273</v>
      </c>
      <c r="AA293" s="41">
        <v>35514</v>
      </c>
      <c r="AB293" s="41">
        <v>35767</v>
      </c>
      <c r="AC293" s="41">
        <v>36027</v>
      </c>
      <c r="AD293" s="41">
        <v>36276</v>
      </c>
      <c r="AE293" s="41">
        <v>36514</v>
      </c>
      <c r="AF293" s="41">
        <v>36739</v>
      </c>
      <c r="AG293" s="41">
        <v>36972</v>
      </c>
      <c r="AH293" s="41">
        <v>37211</v>
      </c>
      <c r="AI293" s="41">
        <v>37432</v>
      </c>
      <c r="AJ293" s="41">
        <v>37647</v>
      </c>
      <c r="AK293" s="41">
        <v>37859</v>
      </c>
      <c r="AL293" s="41">
        <v>38089</v>
      </c>
      <c r="AM293" s="41">
        <v>38312</v>
      </c>
      <c r="AN293" s="41">
        <v>38524</v>
      </c>
      <c r="AO293" s="41">
        <v>38737</v>
      </c>
      <c r="AP293" s="41">
        <v>38943</v>
      </c>
      <c r="AQ293" s="41">
        <v>39149</v>
      </c>
    </row>
    <row r="294" spans="1:43">
      <c r="A294" s="38" t="s">
        <v>704</v>
      </c>
      <c r="B294" s="38" t="s">
        <v>705</v>
      </c>
      <c r="C294" s="41">
        <v>39577</v>
      </c>
      <c r="D294" s="41">
        <v>39646</v>
      </c>
      <c r="E294" s="41">
        <v>39894</v>
      </c>
      <c r="F294" s="41">
        <v>40381</v>
      </c>
      <c r="G294" s="41">
        <v>41058</v>
      </c>
      <c r="H294" s="41">
        <v>41610</v>
      </c>
      <c r="I294" s="41">
        <v>42150</v>
      </c>
      <c r="J294" s="41">
        <v>42541</v>
      </c>
      <c r="K294" s="41">
        <v>42926</v>
      </c>
      <c r="L294" s="41">
        <v>43180</v>
      </c>
      <c r="M294" s="41">
        <v>43560</v>
      </c>
      <c r="N294" s="41">
        <v>43754</v>
      </c>
      <c r="O294" s="41">
        <v>44491</v>
      </c>
      <c r="P294" s="41">
        <v>45261</v>
      </c>
      <c r="Q294" s="41">
        <v>45994</v>
      </c>
      <c r="R294" s="41">
        <v>46991</v>
      </c>
      <c r="S294" s="41">
        <v>47525</v>
      </c>
      <c r="T294" s="41">
        <v>48128</v>
      </c>
      <c r="U294" s="41">
        <v>48683</v>
      </c>
      <c r="V294" s="41">
        <v>49167</v>
      </c>
      <c r="W294" s="41">
        <v>49639</v>
      </c>
      <c r="X294" s="41">
        <v>50162</v>
      </c>
      <c r="Y294" s="41">
        <v>50703</v>
      </c>
      <c r="Z294" s="41">
        <v>51248</v>
      </c>
      <c r="AA294" s="41">
        <v>51761</v>
      </c>
      <c r="AB294" s="41">
        <v>52299</v>
      </c>
      <c r="AC294" s="41">
        <v>52848</v>
      </c>
      <c r="AD294" s="41">
        <v>53416</v>
      </c>
      <c r="AE294" s="41">
        <v>53957</v>
      </c>
      <c r="AF294" s="41">
        <v>54488</v>
      </c>
      <c r="AG294" s="41">
        <v>55025</v>
      </c>
      <c r="AH294" s="41">
        <v>55569</v>
      </c>
      <c r="AI294" s="41">
        <v>56101</v>
      </c>
      <c r="AJ294" s="41">
        <v>56624</v>
      </c>
      <c r="AK294" s="41">
        <v>57132</v>
      </c>
      <c r="AL294" s="41">
        <v>57632</v>
      </c>
      <c r="AM294" s="41">
        <v>58127</v>
      </c>
      <c r="AN294" s="41">
        <v>58626</v>
      </c>
      <c r="AO294" s="41">
        <v>59106</v>
      </c>
      <c r="AP294" s="41">
        <v>59586</v>
      </c>
      <c r="AQ294" s="41">
        <v>60064</v>
      </c>
    </row>
    <row r="295" spans="1:43">
      <c r="A295" s="38" t="s">
        <v>706</v>
      </c>
      <c r="B295" s="38" t="s">
        <v>707</v>
      </c>
      <c r="C295" s="41">
        <v>56915</v>
      </c>
      <c r="D295" s="41">
        <v>56924</v>
      </c>
      <c r="E295" s="41">
        <v>57179</v>
      </c>
      <c r="F295" s="41">
        <v>57608</v>
      </c>
      <c r="G295" s="41">
        <v>58242</v>
      </c>
      <c r="H295" s="41">
        <v>59003</v>
      </c>
      <c r="I295" s="41">
        <v>59801</v>
      </c>
      <c r="J295" s="41">
        <v>60676</v>
      </c>
      <c r="K295" s="41">
        <v>61231</v>
      </c>
      <c r="L295" s="41">
        <v>61782</v>
      </c>
      <c r="M295" s="41">
        <v>62099</v>
      </c>
      <c r="N295" s="41">
        <v>62533</v>
      </c>
      <c r="O295" s="41">
        <v>63126</v>
      </c>
      <c r="P295" s="41">
        <v>63627</v>
      </c>
      <c r="Q295" s="41">
        <v>64033</v>
      </c>
      <c r="R295" s="41">
        <v>64583</v>
      </c>
      <c r="S295" s="41">
        <v>65074</v>
      </c>
      <c r="T295" s="41">
        <v>65566</v>
      </c>
      <c r="U295" s="41">
        <v>66016</v>
      </c>
      <c r="V295" s="41">
        <v>66482</v>
      </c>
      <c r="W295" s="41">
        <v>66919</v>
      </c>
      <c r="X295" s="41">
        <v>67408</v>
      </c>
      <c r="Y295" s="41">
        <v>67866</v>
      </c>
      <c r="Z295" s="41">
        <v>68307</v>
      </c>
      <c r="AA295" s="41">
        <v>68739</v>
      </c>
      <c r="AB295" s="41">
        <v>69162</v>
      </c>
      <c r="AC295" s="41">
        <v>69600</v>
      </c>
      <c r="AD295" s="41">
        <v>70026</v>
      </c>
      <c r="AE295" s="41">
        <v>70410</v>
      </c>
      <c r="AF295" s="41">
        <v>70795</v>
      </c>
      <c r="AG295" s="41">
        <v>71178</v>
      </c>
      <c r="AH295" s="41">
        <v>71554</v>
      </c>
      <c r="AI295" s="41">
        <v>71925</v>
      </c>
      <c r="AJ295" s="41">
        <v>72253</v>
      </c>
      <c r="AK295" s="41">
        <v>72593</v>
      </c>
      <c r="AL295" s="41">
        <v>72929</v>
      </c>
      <c r="AM295" s="41">
        <v>73265</v>
      </c>
      <c r="AN295" s="41">
        <v>73593</v>
      </c>
      <c r="AO295" s="41">
        <v>73905</v>
      </c>
      <c r="AP295" s="41">
        <v>74200</v>
      </c>
      <c r="AQ295" s="41">
        <v>74505</v>
      </c>
    </row>
    <row r="296" spans="1:43">
      <c r="A296" s="38" t="s">
        <v>708</v>
      </c>
      <c r="B296" s="38" t="s">
        <v>709</v>
      </c>
      <c r="C296" s="41">
        <v>20150</v>
      </c>
      <c r="D296" s="41">
        <v>20730</v>
      </c>
      <c r="E296" s="41">
        <v>20513</v>
      </c>
      <c r="F296" s="41">
        <v>20778</v>
      </c>
      <c r="G296" s="41">
        <v>20963</v>
      </c>
      <c r="H296" s="41">
        <v>21145</v>
      </c>
      <c r="I296" s="41">
        <v>21553</v>
      </c>
      <c r="J296" s="41">
        <v>21933</v>
      </c>
      <c r="K296" s="41">
        <v>22156</v>
      </c>
      <c r="L296" s="41">
        <v>22414</v>
      </c>
      <c r="M296" s="41">
        <v>22712</v>
      </c>
      <c r="N296" s="41">
        <v>22904</v>
      </c>
      <c r="O296" s="41">
        <v>23024</v>
      </c>
      <c r="P296" s="41">
        <v>23243</v>
      </c>
      <c r="Q296" s="41">
        <v>23355</v>
      </c>
      <c r="R296" s="41">
        <v>23529</v>
      </c>
      <c r="S296" s="41">
        <v>23701</v>
      </c>
      <c r="T296" s="41">
        <v>23858</v>
      </c>
      <c r="U296" s="41">
        <v>24040</v>
      </c>
      <c r="V296" s="41">
        <v>24194</v>
      </c>
      <c r="W296" s="41">
        <v>24342</v>
      </c>
      <c r="X296" s="41">
        <v>24520</v>
      </c>
      <c r="Y296" s="41">
        <v>24690</v>
      </c>
      <c r="Z296" s="41">
        <v>24869</v>
      </c>
      <c r="AA296" s="41">
        <v>25025</v>
      </c>
      <c r="AB296" s="41">
        <v>25181</v>
      </c>
      <c r="AC296" s="41">
        <v>25353</v>
      </c>
      <c r="AD296" s="41">
        <v>25505</v>
      </c>
      <c r="AE296" s="41">
        <v>25658</v>
      </c>
      <c r="AF296" s="41">
        <v>25804</v>
      </c>
      <c r="AG296" s="41">
        <v>25953</v>
      </c>
      <c r="AH296" s="41">
        <v>26083</v>
      </c>
      <c r="AI296" s="41">
        <v>26213</v>
      </c>
      <c r="AJ296" s="41">
        <v>26351</v>
      </c>
      <c r="AK296" s="41">
        <v>26474</v>
      </c>
      <c r="AL296" s="41">
        <v>26603</v>
      </c>
      <c r="AM296" s="41">
        <v>26719</v>
      </c>
      <c r="AN296" s="41">
        <v>26836</v>
      </c>
      <c r="AO296" s="41">
        <v>26960</v>
      </c>
      <c r="AP296" s="41">
        <v>27069</v>
      </c>
      <c r="AQ296" s="41">
        <v>27192</v>
      </c>
    </row>
    <row r="297" spans="1:43">
      <c r="A297" s="38" t="s">
        <v>710</v>
      </c>
      <c r="B297" s="38" t="s">
        <v>711</v>
      </c>
      <c r="C297" s="41">
        <v>43360</v>
      </c>
      <c r="D297" s="41">
        <v>43595</v>
      </c>
      <c r="E297" s="41">
        <v>43848</v>
      </c>
      <c r="F297" s="41">
        <v>44075</v>
      </c>
      <c r="G297" s="41">
        <v>44267</v>
      </c>
      <c r="H297" s="41">
        <v>44558</v>
      </c>
      <c r="I297" s="41">
        <v>44777</v>
      </c>
      <c r="J297" s="41">
        <v>44842</v>
      </c>
      <c r="K297" s="41">
        <v>44903</v>
      </c>
      <c r="L297" s="41">
        <v>45035</v>
      </c>
      <c r="M297" s="41">
        <v>45319</v>
      </c>
      <c r="N297" s="41">
        <v>45413</v>
      </c>
      <c r="O297" s="41">
        <v>45480</v>
      </c>
      <c r="P297" s="41">
        <v>45669</v>
      </c>
      <c r="Q297" s="41">
        <v>45930</v>
      </c>
      <c r="R297" s="41">
        <v>46224</v>
      </c>
      <c r="S297" s="41">
        <v>46409</v>
      </c>
      <c r="T297" s="41">
        <v>46526</v>
      </c>
      <c r="U297" s="41">
        <v>46616</v>
      </c>
      <c r="V297" s="41">
        <v>46721</v>
      </c>
      <c r="W297" s="41">
        <v>46800</v>
      </c>
      <c r="X297" s="41">
        <v>46962</v>
      </c>
      <c r="Y297" s="41">
        <v>47099</v>
      </c>
      <c r="Z297" s="41">
        <v>47218</v>
      </c>
      <c r="AA297" s="41">
        <v>47335</v>
      </c>
      <c r="AB297" s="41">
        <v>47443</v>
      </c>
      <c r="AC297" s="41">
        <v>47582</v>
      </c>
      <c r="AD297" s="41">
        <v>47709</v>
      </c>
      <c r="AE297" s="41">
        <v>47812</v>
      </c>
      <c r="AF297" s="41">
        <v>47908</v>
      </c>
      <c r="AG297" s="41">
        <v>48029</v>
      </c>
      <c r="AH297" s="41">
        <v>48143</v>
      </c>
      <c r="AI297" s="41">
        <v>48253</v>
      </c>
      <c r="AJ297" s="41">
        <v>48338</v>
      </c>
      <c r="AK297" s="41">
        <v>48441</v>
      </c>
      <c r="AL297" s="41">
        <v>48543</v>
      </c>
      <c r="AM297" s="41">
        <v>48630</v>
      </c>
      <c r="AN297" s="41">
        <v>48729</v>
      </c>
      <c r="AO297" s="41">
        <v>48822</v>
      </c>
      <c r="AP297" s="41">
        <v>48920</v>
      </c>
      <c r="AQ297" s="41">
        <v>49028</v>
      </c>
    </row>
    <row r="298" spans="1:43">
      <c r="A298" s="38" t="s">
        <v>712</v>
      </c>
      <c r="B298" s="38" t="s">
        <v>713</v>
      </c>
      <c r="C298" s="41">
        <v>32736</v>
      </c>
      <c r="D298" s="41">
        <v>33532</v>
      </c>
      <c r="E298" s="41">
        <v>34194</v>
      </c>
      <c r="F298" s="41">
        <v>34827</v>
      </c>
      <c r="G298" s="41">
        <v>35310</v>
      </c>
      <c r="H298" s="41">
        <v>35927</v>
      </c>
      <c r="I298" s="41">
        <v>36711</v>
      </c>
      <c r="J298" s="41">
        <v>37306</v>
      </c>
      <c r="K298" s="41">
        <v>37563</v>
      </c>
      <c r="L298" s="41">
        <v>38044</v>
      </c>
      <c r="M298" s="41">
        <v>38306</v>
      </c>
      <c r="N298" s="41">
        <v>38700</v>
      </c>
      <c r="O298" s="41">
        <v>39163</v>
      </c>
      <c r="P298" s="41">
        <v>39665</v>
      </c>
      <c r="Q298" s="41">
        <v>40220</v>
      </c>
      <c r="R298" s="41">
        <v>40731</v>
      </c>
      <c r="S298" s="41">
        <v>41169</v>
      </c>
      <c r="T298" s="41">
        <v>41584</v>
      </c>
      <c r="U298" s="41">
        <v>42004</v>
      </c>
      <c r="V298" s="41">
        <v>42391</v>
      </c>
      <c r="W298" s="41">
        <v>42757</v>
      </c>
      <c r="X298" s="41">
        <v>43131</v>
      </c>
      <c r="Y298" s="41">
        <v>43487</v>
      </c>
      <c r="Z298" s="41">
        <v>43831</v>
      </c>
      <c r="AA298" s="41">
        <v>44144</v>
      </c>
      <c r="AB298" s="41">
        <v>44456</v>
      </c>
      <c r="AC298" s="41">
        <v>44766</v>
      </c>
      <c r="AD298" s="41">
        <v>45074</v>
      </c>
      <c r="AE298" s="41">
        <v>45377</v>
      </c>
      <c r="AF298" s="41">
        <v>45654</v>
      </c>
      <c r="AG298" s="41">
        <v>45939</v>
      </c>
      <c r="AH298" s="41">
        <v>46212</v>
      </c>
      <c r="AI298" s="41">
        <v>46483</v>
      </c>
      <c r="AJ298" s="41">
        <v>46745</v>
      </c>
      <c r="AK298" s="41">
        <v>46985</v>
      </c>
      <c r="AL298" s="41">
        <v>47228</v>
      </c>
      <c r="AM298" s="41">
        <v>47461</v>
      </c>
      <c r="AN298" s="41">
        <v>47683</v>
      </c>
      <c r="AO298" s="41">
        <v>47903</v>
      </c>
      <c r="AP298" s="41">
        <v>48104</v>
      </c>
      <c r="AQ298" s="41">
        <v>48319</v>
      </c>
    </row>
    <row r="299" spans="1:43">
      <c r="A299" s="38" t="s">
        <v>714</v>
      </c>
      <c r="B299" s="38" t="s">
        <v>715</v>
      </c>
      <c r="C299" s="41">
        <v>38156</v>
      </c>
      <c r="D299" s="41">
        <v>38479</v>
      </c>
      <c r="E299" s="41">
        <v>39018</v>
      </c>
      <c r="F299" s="41">
        <v>39430</v>
      </c>
      <c r="G299" s="41">
        <v>39894</v>
      </c>
      <c r="H299" s="41">
        <v>40608</v>
      </c>
      <c r="I299" s="41">
        <v>41395</v>
      </c>
      <c r="J299" s="41">
        <v>41911</v>
      </c>
      <c r="K299" s="41">
        <v>42417</v>
      </c>
      <c r="L299" s="41">
        <v>42924</v>
      </c>
      <c r="M299" s="41">
        <v>43321</v>
      </c>
      <c r="N299" s="41">
        <v>44292</v>
      </c>
      <c r="O299" s="41">
        <v>44656</v>
      </c>
      <c r="P299" s="41">
        <v>44837</v>
      </c>
      <c r="Q299" s="41">
        <v>45176</v>
      </c>
      <c r="R299" s="41">
        <v>45408</v>
      </c>
      <c r="S299" s="41">
        <v>45688</v>
      </c>
      <c r="T299" s="41">
        <v>45966</v>
      </c>
      <c r="U299" s="41">
        <v>46239</v>
      </c>
      <c r="V299" s="41">
        <v>46526</v>
      </c>
      <c r="W299" s="41">
        <v>46766</v>
      </c>
      <c r="X299" s="41">
        <v>47009</v>
      </c>
      <c r="Y299" s="41">
        <v>47251</v>
      </c>
      <c r="Z299" s="41">
        <v>47483</v>
      </c>
      <c r="AA299" s="41">
        <v>47708</v>
      </c>
      <c r="AB299" s="41">
        <v>47914</v>
      </c>
      <c r="AC299" s="41">
        <v>48138</v>
      </c>
      <c r="AD299" s="41">
        <v>48352</v>
      </c>
      <c r="AE299" s="41">
        <v>48559</v>
      </c>
      <c r="AF299" s="41">
        <v>48765</v>
      </c>
      <c r="AG299" s="41">
        <v>48973</v>
      </c>
      <c r="AH299" s="41">
        <v>49161</v>
      </c>
      <c r="AI299" s="41">
        <v>49365</v>
      </c>
      <c r="AJ299" s="41">
        <v>49563</v>
      </c>
      <c r="AK299" s="41">
        <v>49755</v>
      </c>
      <c r="AL299" s="41">
        <v>49948</v>
      </c>
      <c r="AM299" s="41">
        <v>50138</v>
      </c>
      <c r="AN299" s="41">
        <v>50332</v>
      </c>
      <c r="AO299" s="41">
        <v>50514</v>
      </c>
      <c r="AP299" s="41">
        <v>50696</v>
      </c>
      <c r="AQ299" s="41">
        <v>50890</v>
      </c>
    </row>
    <row r="300" spans="1:43">
      <c r="A300" s="38" t="s">
        <v>716</v>
      </c>
      <c r="B300" s="38" t="s">
        <v>717</v>
      </c>
      <c r="C300" s="41">
        <v>63483</v>
      </c>
      <c r="D300" s="41">
        <v>64135</v>
      </c>
      <c r="E300" s="41">
        <v>65112</v>
      </c>
      <c r="F300" s="41">
        <v>65596</v>
      </c>
      <c r="G300" s="41">
        <v>66491</v>
      </c>
      <c r="H300" s="41">
        <v>66915</v>
      </c>
      <c r="I300" s="41">
        <v>67443</v>
      </c>
      <c r="J300" s="41">
        <v>67983</v>
      </c>
      <c r="K300" s="41">
        <v>68664</v>
      </c>
      <c r="L300" s="41">
        <v>69649</v>
      </c>
      <c r="M300" s="41">
        <v>70937</v>
      </c>
      <c r="N300" s="41">
        <v>70886</v>
      </c>
      <c r="O300" s="41">
        <v>71044</v>
      </c>
      <c r="P300" s="41">
        <v>72349</v>
      </c>
      <c r="Q300" s="41">
        <v>72989</v>
      </c>
      <c r="R300" s="41">
        <v>73351</v>
      </c>
      <c r="S300" s="41">
        <v>73843</v>
      </c>
      <c r="T300" s="41">
        <v>74312</v>
      </c>
      <c r="U300" s="41">
        <v>74787</v>
      </c>
      <c r="V300" s="41">
        <v>75222</v>
      </c>
      <c r="W300" s="41">
        <v>75633</v>
      </c>
      <c r="X300" s="41">
        <v>76192</v>
      </c>
      <c r="Y300" s="41">
        <v>76696</v>
      </c>
      <c r="Z300" s="41">
        <v>77205</v>
      </c>
      <c r="AA300" s="41">
        <v>77672</v>
      </c>
      <c r="AB300" s="41">
        <v>78133</v>
      </c>
      <c r="AC300" s="41">
        <v>78627</v>
      </c>
      <c r="AD300" s="41">
        <v>79088</v>
      </c>
      <c r="AE300" s="41">
        <v>79553</v>
      </c>
      <c r="AF300" s="41">
        <v>80005</v>
      </c>
      <c r="AG300" s="41">
        <v>80473</v>
      </c>
      <c r="AH300" s="41">
        <v>80945</v>
      </c>
      <c r="AI300" s="41">
        <v>81438</v>
      </c>
      <c r="AJ300" s="41">
        <v>81891</v>
      </c>
      <c r="AK300" s="41">
        <v>82348</v>
      </c>
      <c r="AL300" s="41">
        <v>82832</v>
      </c>
      <c r="AM300" s="41">
        <v>83284</v>
      </c>
      <c r="AN300" s="41">
        <v>83744</v>
      </c>
      <c r="AO300" s="41">
        <v>84219</v>
      </c>
      <c r="AP300" s="41">
        <v>84654</v>
      </c>
      <c r="AQ300" s="41">
        <v>85131</v>
      </c>
    </row>
    <row r="301" spans="1:43">
      <c r="A301" s="38" t="s">
        <v>718</v>
      </c>
      <c r="B301" s="38" t="s">
        <v>719</v>
      </c>
      <c r="C301" s="41">
        <v>101942</v>
      </c>
      <c r="D301" s="41">
        <v>103401</v>
      </c>
      <c r="E301" s="41">
        <v>104225</v>
      </c>
      <c r="F301" s="41">
        <v>105508</v>
      </c>
      <c r="G301" s="41">
        <v>109229</v>
      </c>
      <c r="H301" s="41">
        <v>109194</v>
      </c>
      <c r="I301" s="41">
        <v>107893</v>
      </c>
      <c r="J301" s="41">
        <v>106705</v>
      </c>
      <c r="K301" s="41">
        <v>105721</v>
      </c>
      <c r="L301" s="41">
        <v>104774</v>
      </c>
      <c r="M301" s="41">
        <v>104930</v>
      </c>
      <c r="N301" s="41">
        <v>106003</v>
      </c>
      <c r="O301" s="41">
        <v>107200</v>
      </c>
      <c r="P301" s="41">
        <v>109146</v>
      </c>
      <c r="Q301" s="41">
        <v>112097</v>
      </c>
      <c r="R301" s="41">
        <v>113469</v>
      </c>
      <c r="S301" s="41">
        <v>114629</v>
      </c>
      <c r="T301" s="41">
        <v>115731</v>
      </c>
      <c r="U301" s="41">
        <v>116671</v>
      </c>
      <c r="V301" s="41">
        <v>117454</v>
      </c>
      <c r="W301" s="41">
        <v>118076</v>
      </c>
      <c r="X301" s="41">
        <v>119173</v>
      </c>
      <c r="Y301" s="41">
        <v>120190</v>
      </c>
      <c r="Z301" s="41">
        <v>121192</v>
      </c>
      <c r="AA301" s="41">
        <v>122183</v>
      </c>
      <c r="AB301" s="41">
        <v>123161</v>
      </c>
      <c r="AC301" s="41">
        <v>124127</v>
      </c>
      <c r="AD301" s="41">
        <v>125093</v>
      </c>
      <c r="AE301" s="41">
        <v>126041</v>
      </c>
      <c r="AF301" s="41">
        <v>126985</v>
      </c>
      <c r="AG301" s="41">
        <v>127936</v>
      </c>
      <c r="AH301" s="41">
        <v>128876</v>
      </c>
      <c r="AI301" s="41">
        <v>129798</v>
      </c>
      <c r="AJ301" s="41">
        <v>130704</v>
      </c>
      <c r="AK301" s="41">
        <v>131598</v>
      </c>
      <c r="AL301" s="41">
        <v>132501</v>
      </c>
      <c r="AM301" s="41">
        <v>133378</v>
      </c>
      <c r="AN301" s="41">
        <v>134226</v>
      </c>
      <c r="AO301" s="41">
        <v>135057</v>
      </c>
      <c r="AP301" s="41">
        <v>135858</v>
      </c>
      <c r="AQ301" s="41">
        <v>136640</v>
      </c>
    </row>
    <row r="302" spans="1:43">
      <c r="A302" s="38" t="s">
        <v>720</v>
      </c>
      <c r="B302" s="38" t="s">
        <v>721</v>
      </c>
      <c r="C302" s="41">
        <v>124154</v>
      </c>
      <c r="D302" s="41">
        <v>125107</v>
      </c>
      <c r="E302" s="41">
        <v>126138</v>
      </c>
      <c r="F302" s="41">
        <v>127083</v>
      </c>
      <c r="G302" s="41">
        <v>128050</v>
      </c>
      <c r="H302" s="41">
        <v>129287</v>
      </c>
      <c r="I302" s="41">
        <v>130254</v>
      </c>
      <c r="J302" s="41">
        <v>131550</v>
      </c>
      <c r="K302" s="41">
        <v>133007</v>
      </c>
      <c r="L302" s="41">
        <v>134366</v>
      </c>
      <c r="M302" s="41">
        <v>135854</v>
      </c>
      <c r="N302" s="41">
        <v>136701</v>
      </c>
      <c r="O302" s="41">
        <v>137633</v>
      </c>
      <c r="P302" s="41">
        <v>138661</v>
      </c>
      <c r="Q302" s="41">
        <v>139582</v>
      </c>
      <c r="R302" s="41">
        <v>140618</v>
      </c>
      <c r="S302" s="41">
        <v>141604</v>
      </c>
      <c r="T302" s="41">
        <v>142527</v>
      </c>
      <c r="U302" s="41">
        <v>143430</v>
      </c>
      <c r="V302" s="41">
        <v>144245</v>
      </c>
      <c r="W302" s="41">
        <v>144998</v>
      </c>
      <c r="X302" s="41">
        <v>145713</v>
      </c>
      <c r="Y302" s="41">
        <v>146319</v>
      </c>
      <c r="Z302" s="41">
        <v>146894</v>
      </c>
      <c r="AA302" s="41">
        <v>147393</v>
      </c>
      <c r="AB302" s="41">
        <v>147898</v>
      </c>
      <c r="AC302" s="41">
        <v>148420</v>
      </c>
      <c r="AD302" s="41">
        <v>148929</v>
      </c>
      <c r="AE302" s="41">
        <v>149395</v>
      </c>
      <c r="AF302" s="41">
        <v>149828</v>
      </c>
      <c r="AG302" s="41">
        <v>150291</v>
      </c>
      <c r="AH302" s="41">
        <v>150762</v>
      </c>
      <c r="AI302" s="41">
        <v>151227</v>
      </c>
      <c r="AJ302" s="41">
        <v>151699</v>
      </c>
      <c r="AK302" s="41">
        <v>152151</v>
      </c>
      <c r="AL302" s="41">
        <v>152636</v>
      </c>
      <c r="AM302" s="41">
        <v>153100</v>
      </c>
      <c r="AN302" s="41">
        <v>153559</v>
      </c>
      <c r="AO302" s="41">
        <v>154014</v>
      </c>
      <c r="AP302" s="41">
        <v>154451</v>
      </c>
      <c r="AQ302" s="41">
        <v>154919</v>
      </c>
    </row>
    <row r="303" spans="1:43">
      <c r="A303" s="38" t="s">
        <v>722</v>
      </c>
      <c r="B303" s="38" t="s">
        <v>723</v>
      </c>
      <c r="C303" s="41">
        <v>175551</v>
      </c>
      <c r="D303" s="41">
        <v>177601</v>
      </c>
      <c r="E303" s="41">
        <v>179595</v>
      </c>
      <c r="F303" s="41">
        <v>180885</v>
      </c>
      <c r="G303" s="41">
        <v>182280</v>
      </c>
      <c r="H303" s="41">
        <v>184390</v>
      </c>
      <c r="I303" s="41">
        <v>186833</v>
      </c>
      <c r="J303" s="41">
        <v>189292</v>
      </c>
      <c r="K303" s="41">
        <v>190743</v>
      </c>
      <c r="L303" s="41">
        <v>192491</v>
      </c>
      <c r="M303" s="41">
        <v>194552</v>
      </c>
      <c r="N303" s="41">
        <v>196322</v>
      </c>
      <c r="O303" s="41">
        <v>198184</v>
      </c>
      <c r="P303" s="41">
        <v>200742</v>
      </c>
      <c r="Q303" s="41">
        <v>203059</v>
      </c>
      <c r="R303" s="41">
        <v>205021</v>
      </c>
      <c r="S303" s="41">
        <v>206984</v>
      </c>
      <c r="T303" s="41">
        <v>208750</v>
      </c>
      <c r="U303" s="41">
        <v>211164</v>
      </c>
      <c r="V303" s="41">
        <v>213836</v>
      </c>
      <c r="W303" s="41">
        <v>215295</v>
      </c>
      <c r="X303" s="41">
        <v>217022</v>
      </c>
      <c r="Y303" s="41">
        <v>218666</v>
      </c>
      <c r="Z303" s="41">
        <v>220303</v>
      </c>
      <c r="AA303" s="41">
        <v>221807</v>
      </c>
      <c r="AB303" s="41">
        <v>223293</v>
      </c>
      <c r="AC303" s="41">
        <v>224858</v>
      </c>
      <c r="AD303" s="41">
        <v>226403</v>
      </c>
      <c r="AE303" s="41">
        <v>227889</v>
      </c>
      <c r="AF303" s="41">
        <v>229307</v>
      </c>
      <c r="AG303" s="41">
        <v>230731</v>
      </c>
      <c r="AH303" s="41">
        <v>232115</v>
      </c>
      <c r="AI303" s="41">
        <v>233500</v>
      </c>
      <c r="AJ303" s="41">
        <v>234842</v>
      </c>
      <c r="AK303" s="41">
        <v>236129</v>
      </c>
      <c r="AL303" s="41">
        <v>237437</v>
      </c>
      <c r="AM303" s="41">
        <v>238670</v>
      </c>
      <c r="AN303" s="41">
        <v>239900</v>
      </c>
      <c r="AO303" s="41">
        <v>241113</v>
      </c>
      <c r="AP303" s="41">
        <v>242277</v>
      </c>
      <c r="AQ303" s="41">
        <v>243478</v>
      </c>
    </row>
    <row r="304" spans="1:43">
      <c r="A304" s="38" t="s">
        <v>724</v>
      </c>
      <c r="B304" s="38" t="s">
        <v>725</v>
      </c>
      <c r="C304" s="41">
        <v>42809</v>
      </c>
      <c r="D304" s="41">
        <v>43115</v>
      </c>
      <c r="E304" s="41">
        <v>43402</v>
      </c>
      <c r="F304" s="41">
        <v>43596</v>
      </c>
      <c r="G304" s="41">
        <v>43991</v>
      </c>
      <c r="H304" s="41">
        <v>44169</v>
      </c>
      <c r="I304" s="41">
        <v>44616</v>
      </c>
      <c r="J304" s="41">
        <v>45172</v>
      </c>
      <c r="K304" s="41">
        <v>45626</v>
      </c>
      <c r="L304" s="41">
        <v>46221</v>
      </c>
      <c r="M304" s="41">
        <v>46806</v>
      </c>
      <c r="N304" s="41">
        <v>47242</v>
      </c>
      <c r="O304" s="41">
        <v>47684</v>
      </c>
      <c r="P304" s="41">
        <v>48155</v>
      </c>
      <c r="Q304" s="41">
        <v>48658</v>
      </c>
      <c r="R304" s="41">
        <v>49158</v>
      </c>
      <c r="S304" s="41">
        <v>49533</v>
      </c>
      <c r="T304" s="41">
        <v>49956</v>
      </c>
      <c r="U304" s="41">
        <v>50331</v>
      </c>
      <c r="V304" s="41">
        <v>50715</v>
      </c>
      <c r="W304" s="41">
        <v>51078</v>
      </c>
      <c r="X304" s="41">
        <v>51483</v>
      </c>
      <c r="Y304" s="41">
        <v>51900</v>
      </c>
      <c r="Z304" s="41">
        <v>52323</v>
      </c>
      <c r="AA304" s="41">
        <v>52725</v>
      </c>
      <c r="AB304" s="41">
        <v>53130</v>
      </c>
      <c r="AC304" s="41">
        <v>53535</v>
      </c>
      <c r="AD304" s="41">
        <v>53927</v>
      </c>
      <c r="AE304" s="41">
        <v>54297</v>
      </c>
      <c r="AF304" s="41">
        <v>54660</v>
      </c>
      <c r="AG304" s="41">
        <v>55029</v>
      </c>
      <c r="AH304" s="41">
        <v>55386</v>
      </c>
      <c r="AI304" s="41">
        <v>55733</v>
      </c>
      <c r="AJ304" s="41">
        <v>56047</v>
      </c>
      <c r="AK304" s="41">
        <v>56348</v>
      </c>
      <c r="AL304" s="41">
        <v>56660</v>
      </c>
      <c r="AM304" s="41">
        <v>56956</v>
      </c>
      <c r="AN304" s="41">
        <v>57249</v>
      </c>
      <c r="AO304" s="41">
        <v>57537</v>
      </c>
      <c r="AP304" s="41">
        <v>57812</v>
      </c>
      <c r="AQ304" s="41">
        <v>58112</v>
      </c>
    </row>
    <row r="305" spans="1:43">
      <c r="A305" s="38" t="s">
        <v>726</v>
      </c>
      <c r="B305" s="38" t="s">
        <v>727</v>
      </c>
      <c r="C305" s="41">
        <v>53805</v>
      </c>
      <c r="D305" s="41">
        <v>53737</v>
      </c>
      <c r="E305" s="41">
        <v>53937</v>
      </c>
      <c r="F305" s="41">
        <v>54140</v>
      </c>
      <c r="G305" s="41">
        <v>54681</v>
      </c>
      <c r="H305" s="41">
        <v>55291</v>
      </c>
      <c r="I305" s="41">
        <v>55913</v>
      </c>
      <c r="J305" s="41">
        <v>56641</v>
      </c>
      <c r="K305" s="41">
        <v>57148</v>
      </c>
      <c r="L305" s="41">
        <v>57825</v>
      </c>
      <c r="M305" s="41">
        <v>58244</v>
      </c>
      <c r="N305" s="41">
        <v>58557</v>
      </c>
      <c r="O305" s="41">
        <v>58868</v>
      </c>
      <c r="P305" s="41">
        <v>59422</v>
      </c>
      <c r="Q305" s="41">
        <v>59759</v>
      </c>
      <c r="R305" s="41">
        <v>60261</v>
      </c>
      <c r="S305" s="41">
        <v>60625</v>
      </c>
      <c r="T305" s="41">
        <v>60972</v>
      </c>
      <c r="U305" s="41">
        <v>61298</v>
      </c>
      <c r="V305" s="41">
        <v>61637</v>
      </c>
      <c r="W305" s="41">
        <v>61945</v>
      </c>
      <c r="X305" s="41">
        <v>62340</v>
      </c>
      <c r="Y305" s="41">
        <v>62700</v>
      </c>
      <c r="Z305" s="41">
        <v>63047</v>
      </c>
      <c r="AA305" s="41">
        <v>63378</v>
      </c>
      <c r="AB305" s="41">
        <v>63706</v>
      </c>
      <c r="AC305" s="41">
        <v>64044</v>
      </c>
      <c r="AD305" s="41">
        <v>64355</v>
      </c>
      <c r="AE305" s="41">
        <v>64672</v>
      </c>
      <c r="AF305" s="41">
        <v>64964</v>
      </c>
      <c r="AG305" s="41">
        <v>65277</v>
      </c>
      <c r="AH305" s="41">
        <v>65598</v>
      </c>
      <c r="AI305" s="41">
        <v>65907</v>
      </c>
      <c r="AJ305" s="41">
        <v>66208</v>
      </c>
      <c r="AK305" s="41">
        <v>66510</v>
      </c>
      <c r="AL305" s="41">
        <v>66808</v>
      </c>
      <c r="AM305" s="41">
        <v>67110</v>
      </c>
      <c r="AN305" s="41">
        <v>67418</v>
      </c>
      <c r="AO305" s="41">
        <v>67709</v>
      </c>
      <c r="AP305" s="41">
        <v>68009</v>
      </c>
      <c r="AQ305" s="41">
        <v>68328</v>
      </c>
    </row>
    <row r="306" spans="1:43">
      <c r="A306" s="38" t="s">
        <v>728</v>
      </c>
      <c r="B306" s="38" t="s">
        <v>729</v>
      </c>
      <c r="C306" s="41">
        <v>133780</v>
      </c>
      <c r="D306" s="41">
        <v>134161</v>
      </c>
      <c r="E306" s="41">
        <v>134595</v>
      </c>
      <c r="F306" s="41">
        <v>134883</v>
      </c>
      <c r="G306" s="41">
        <v>135152</v>
      </c>
      <c r="H306" s="41">
        <v>135710</v>
      </c>
      <c r="I306" s="41">
        <v>136096</v>
      </c>
      <c r="J306" s="41">
        <v>136806</v>
      </c>
      <c r="K306" s="41">
        <v>137514</v>
      </c>
      <c r="L306" s="41">
        <v>138586</v>
      </c>
      <c r="M306" s="41">
        <v>140043</v>
      </c>
      <c r="N306" s="41">
        <v>140458</v>
      </c>
      <c r="O306" s="41">
        <v>140802</v>
      </c>
      <c r="P306" s="41">
        <v>141353</v>
      </c>
      <c r="Q306" s="41">
        <v>141743</v>
      </c>
      <c r="R306" s="41">
        <v>142189</v>
      </c>
      <c r="S306" s="41">
        <v>142597</v>
      </c>
      <c r="T306" s="41">
        <v>143009</v>
      </c>
      <c r="U306" s="41">
        <v>143391</v>
      </c>
      <c r="V306" s="41">
        <v>143827</v>
      </c>
      <c r="W306" s="41">
        <v>144215</v>
      </c>
      <c r="X306" s="41">
        <v>144716</v>
      </c>
      <c r="Y306" s="41">
        <v>145179</v>
      </c>
      <c r="Z306" s="41">
        <v>145619</v>
      </c>
      <c r="AA306" s="41">
        <v>146027</v>
      </c>
      <c r="AB306" s="41">
        <v>146457</v>
      </c>
      <c r="AC306" s="41">
        <v>146932</v>
      </c>
      <c r="AD306" s="41">
        <v>147374</v>
      </c>
      <c r="AE306" s="41">
        <v>147771</v>
      </c>
      <c r="AF306" s="41">
        <v>148148</v>
      </c>
      <c r="AG306" s="41">
        <v>148549</v>
      </c>
      <c r="AH306" s="41">
        <v>148977</v>
      </c>
      <c r="AI306" s="41">
        <v>149360</v>
      </c>
      <c r="AJ306" s="41">
        <v>149733</v>
      </c>
      <c r="AK306" s="41">
        <v>150082</v>
      </c>
      <c r="AL306" s="41">
        <v>150430</v>
      </c>
      <c r="AM306" s="41">
        <v>150794</v>
      </c>
      <c r="AN306" s="41">
        <v>151127</v>
      </c>
      <c r="AO306" s="41">
        <v>151451</v>
      </c>
      <c r="AP306" s="41">
        <v>151751</v>
      </c>
      <c r="AQ306" s="41">
        <v>152062</v>
      </c>
    </row>
    <row r="307" spans="1:43">
      <c r="A307" s="38" t="s">
        <v>730</v>
      </c>
      <c r="B307" s="38" t="s">
        <v>731</v>
      </c>
      <c r="C307" s="41">
        <v>36655</v>
      </c>
      <c r="D307" s="41">
        <v>36270</v>
      </c>
      <c r="E307" s="41">
        <v>36290</v>
      </c>
      <c r="F307" s="41">
        <v>36241</v>
      </c>
      <c r="G307" s="41">
        <v>36637</v>
      </c>
      <c r="H307" s="41">
        <v>37275</v>
      </c>
      <c r="I307" s="41">
        <v>37699</v>
      </c>
      <c r="J307" s="41">
        <v>38065</v>
      </c>
      <c r="K307" s="41">
        <v>38421</v>
      </c>
      <c r="L307" s="41">
        <v>38907</v>
      </c>
      <c r="M307" s="41">
        <v>39303</v>
      </c>
      <c r="N307" s="41">
        <v>39320</v>
      </c>
      <c r="O307" s="41">
        <v>39505</v>
      </c>
      <c r="P307" s="41">
        <v>39538</v>
      </c>
      <c r="Q307" s="41">
        <v>39547</v>
      </c>
      <c r="R307" s="41">
        <v>39674</v>
      </c>
      <c r="S307" s="41">
        <v>39738</v>
      </c>
      <c r="T307" s="41">
        <v>39824</v>
      </c>
      <c r="U307" s="41">
        <v>39898</v>
      </c>
      <c r="V307" s="41">
        <v>39974</v>
      </c>
      <c r="W307" s="41">
        <v>40058</v>
      </c>
      <c r="X307" s="41">
        <v>40274</v>
      </c>
      <c r="Y307" s="41">
        <v>40493</v>
      </c>
      <c r="Z307" s="41">
        <v>40701</v>
      </c>
      <c r="AA307" s="41">
        <v>40913</v>
      </c>
      <c r="AB307" s="41">
        <v>41125</v>
      </c>
      <c r="AC307" s="41">
        <v>41341</v>
      </c>
      <c r="AD307" s="41">
        <v>41559</v>
      </c>
      <c r="AE307" s="41">
        <v>41757</v>
      </c>
      <c r="AF307" s="41">
        <v>41958</v>
      </c>
      <c r="AG307" s="41">
        <v>42153</v>
      </c>
      <c r="AH307" s="41">
        <v>42353</v>
      </c>
      <c r="AI307" s="41">
        <v>42550</v>
      </c>
      <c r="AJ307" s="41">
        <v>42735</v>
      </c>
      <c r="AK307" s="41">
        <v>42922</v>
      </c>
      <c r="AL307" s="41">
        <v>43114</v>
      </c>
      <c r="AM307" s="41">
        <v>43300</v>
      </c>
      <c r="AN307" s="41">
        <v>43488</v>
      </c>
      <c r="AO307" s="41">
        <v>43657</v>
      </c>
      <c r="AP307" s="41">
        <v>43835</v>
      </c>
      <c r="AQ307" s="41">
        <v>44021</v>
      </c>
    </row>
    <row r="308" spans="1:43">
      <c r="A308" s="38" t="s">
        <v>732</v>
      </c>
      <c r="B308" s="38" t="s">
        <v>733</v>
      </c>
      <c r="C308" s="41">
        <v>56925</v>
      </c>
      <c r="D308" s="41">
        <v>56694</v>
      </c>
      <c r="E308" s="41">
        <v>56714</v>
      </c>
      <c r="F308" s="41">
        <v>56933</v>
      </c>
      <c r="G308" s="41">
        <v>57356</v>
      </c>
      <c r="H308" s="41">
        <v>57760</v>
      </c>
      <c r="I308" s="41">
        <v>58249</v>
      </c>
      <c r="J308" s="41">
        <v>58724</v>
      </c>
      <c r="K308" s="41">
        <v>59161</v>
      </c>
      <c r="L308" s="41">
        <v>59603</v>
      </c>
      <c r="M308" s="41">
        <v>60286</v>
      </c>
      <c r="N308" s="41">
        <v>60855</v>
      </c>
      <c r="O308" s="41">
        <v>61365</v>
      </c>
      <c r="P308" s="41">
        <v>61974</v>
      </c>
      <c r="Q308" s="41">
        <v>62613</v>
      </c>
      <c r="R308" s="41">
        <v>63139</v>
      </c>
      <c r="S308" s="41">
        <v>63710</v>
      </c>
      <c r="T308" s="41">
        <v>64258</v>
      </c>
      <c r="U308" s="41">
        <v>64791</v>
      </c>
      <c r="V308" s="41">
        <v>65284</v>
      </c>
      <c r="W308" s="41">
        <v>65733</v>
      </c>
      <c r="X308" s="41">
        <v>66289</v>
      </c>
      <c r="Y308" s="41">
        <v>66809</v>
      </c>
      <c r="Z308" s="41">
        <v>67327</v>
      </c>
      <c r="AA308" s="41">
        <v>67808</v>
      </c>
      <c r="AB308" s="41">
        <v>68270</v>
      </c>
      <c r="AC308" s="41">
        <v>68749</v>
      </c>
      <c r="AD308" s="41">
        <v>69212</v>
      </c>
      <c r="AE308" s="41">
        <v>69651</v>
      </c>
      <c r="AF308" s="41">
        <v>70087</v>
      </c>
      <c r="AG308" s="41">
        <v>70512</v>
      </c>
      <c r="AH308" s="41">
        <v>70907</v>
      </c>
      <c r="AI308" s="41">
        <v>71315</v>
      </c>
      <c r="AJ308" s="41">
        <v>71694</v>
      </c>
      <c r="AK308" s="41">
        <v>72071</v>
      </c>
      <c r="AL308" s="41">
        <v>72436</v>
      </c>
      <c r="AM308" s="41">
        <v>72785</v>
      </c>
      <c r="AN308" s="41">
        <v>73134</v>
      </c>
      <c r="AO308" s="41">
        <v>73481</v>
      </c>
      <c r="AP308" s="41">
        <v>73825</v>
      </c>
      <c r="AQ308" s="41">
        <v>74180</v>
      </c>
    </row>
    <row r="309" spans="1:43">
      <c r="A309" s="38" t="s">
        <v>734</v>
      </c>
      <c r="B309" s="38" t="s">
        <v>735</v>
      </c>
      <c r="C309" s="41">
        <v>97163</v>
      </c>
      <c r="D309" s="41">
        <v>97598</v>
      </c>
      <c r="E309" s="41">
        <v>97859</v>
      </c>
      <c r="F309" s="41">
        <v>98059</v>
      </c>
      <c r="G309" s="41">
        <v>98456</v>
      </c>
      <c r="H309" s="41">
        <v>98972</v>
      </c>
      <c r="I309" s="41">
        <v>99193</v>
      </c>
      <c r="J309" s="41">
        <v>99691</v>
      </c>
      <c r="K309" s="41">
        <v>100077</v>
      </c>
      <c r="L309" s="41">
        <v>100618</v>
      </c>
      <c r="M309" s="41">
        <v>101454</v>
      </c>
      <c r="N309" s="41">
        <v>102003</v>
      </c>
      <c r="O309" s="41">
        <v>102211</v>
      </c>
      <c r="P309" s="41">
        <v>102665</v>
      </c>
      <c r="Q309" s="41">
        <v>103268</v>
      </c>
      <c r="R309" s="41">
        <v>104274</v>
      </c>
      <c r="S309" s="41">
        <v>104797</v>
      </c>
      <c r="T309" s="41">
        <v>105353</v>
      </c>
      <c r="U309" s="41">
        <v>105867</v>
      </c>
      <c r="V309" s="41">
        <v>106326</v>
      </c>
      <c r="W309" s="41">
        <v>106757</v>
      </c>
      <c r="X309" s="41">
        <v>107287</v>
      </c>
      <c r="Y309" s="41">
        <v>107803</v>
      </c>
      <c r="Z309" s="41">
        <v>108359</v>
      </c>
      <c r="AA309" s="41">
        <v>108865</v>
      </c>
      <c r="AB309" s="41">
        <v>109384</v>
      </c>
      <c r="AC309" s="41">
        <v>109932</v>
      </c>
      <c r="AD309" s="41">
        <v>110521</v>
      </c>
      <c r="AE309" s="41">
        <v>111103</v>
      </c>
      <c r="AF309" s="41">
        <v>111681</v>
      </c>
      <c r="AG309" s="41">
        <v>112299</v>
      </c>
      <c r="AH309" s="41">
        <v>112933</v>
      </c>
      <c r="AI309" s="41">
        <v>113574</v>
      </c>
      <c r="AJ309" s="41">
        <v>114205</v>
      </c>
      <c r="AK309" s="41">
        <v>114835</v>
      </c>
      <c r="AL309" s="41">
        <v>115473</v>
      </c>
      <c r="AM309" s="41">
        <v>116116</v>
      </c>
      <c r="AN309" s="41">
        <v>116756</v>
      </c>
      <c r="AO309" s="41">
        <v>117381</v>
      </c>
      <c r="AP309" s="41">
        <v>118007</v>
      </c>
      <c r="AQ309" s="41">
        <v>118635</v>
      </c>
    </row>
    <row r="310" spans="1:43">
      <c r="A310" s="38" t="s">
        <v>736</v>
      </c>
      <c r="B310" s="38" t="s">
        <v>737</v>
      </c>
      <c r="C310" s="41">
        <v>38656</v>
      </c>
      <c r="D310" s="41">
        <v>38779</v>
      </c>
      <c r="E310" s="41">
        <v>39112</v>
      </c>
      <c r="F310" s="41">
        <v>39209</v>
      </c>
      <c r="G310" s="41">
        <v>39540</v>
      </c>
      <c r="H310" s="41">
        <v>39869</v>
      </c>
      <c r="I310" s="41">
        <v>40099</v>
      </c>
      <c r="J310" s="41">
        <v>40575</v>
      </c>
      <c r="K310" s="41">
        <v>40967</v>
      </c>
      <c r="L310" s="41">
        <v>41307</v>
      </c>
      <c r="M310" s="41">
        <v>41730</v>
      </c>
      <c r="N310" s="41">
        <v>42108</v>
      </c>
      <c r="O310" s="41">
        <v>42417</v>
      </c>
      <c r="P310" s="41">
        <v>42711</v>
      </c>
      <c r="Q310" s="41">
        <v>42921</v>
      </c>
      <c r="R310" s="41">
        <v>43379</v>
      </c>
      <c r="S310" s="41">
        <v>43687</v>
      </c>
      <c r="T310" s="41">
        <v>44008</v>
      </c>
      <c r="U310" s="41">
        <v>44302</v>
      </c>
      <c r="V310" s="41">
        <v>44591</v>
      </c>
      <c r="W310" s="41">
        <v>44842</v>
      </c>
      <c r="X310" s="41">
        <v>45098</v>
      </c>
      <c r="Y310" s="41">
        <v>45344</v>
      </c>
      <c r="Z310" s="41">
        <v>45587</v>
      </c>
      <c r="AA310" s="41">
        <v>45819</v>
      </c>
      <c r="AB310" s="41">
        <v>46041</v>
      </c>
      <c r="AC310" s="41">
        <v>46285</v>
      </c>
      <c r="AD310" s="41">
        <v>46527</v>
      </c>
      <c r="AE310" s="41">
        <v>46762</v>
      </c>
      <c r="AF310" s="41">
        <v>46981</v>
      </c>
      <c r="AG310" s="41">
        <v>47220</v>
      </c>
      <c r="AH310" s="41">
        <v>47459</v>
      </c>
      <c r="AI310" s="41">
        <v>47706</v>
      </c>
      <c r="AJ310" s="41">
        <v>47933</v>
      </c>
      <c r="AK310" s="41">
        <v>48146</v>
      </c>
      <c r="AL310" s="41">
        <v>48374</v>
      </c>
      <c r="AM310" s="41">
        <v>48608</v>
      </c>
      <c r="AN310" s="41">
        <v>48841</v>
      </c>
      <c r="AO310" s="41">
        <v>49071</v>
      </c>
      <c r="AP310" s="41">
        <v>49289</v>
      </c>
      <c r="AQ310" s="41">
        <v>49512</v>
      </c>
    </row>
    <row r="311" spans="1:43">
      <c r="A311" s="38" t="s">
        <v>738</v>
      </c>
      <c r="B311" s="38" t="s">
        <v>739</v>
      </c>
      <c r="C311" s="41">
        <v>43870</v>
      </c>
      <c r="D311" s="41">
        <v>44001</v>
      </c>
      <c r="E311" s="41">
        <v>44136</v>
      </c>
      <c r="F311" s="41">
        <v>44293</v>
      </c>
      <c r="G311" s="41">
        <v>44518</v>
      </c>
      <c r="H311" s="41">
        <v>44740</v>
      </c>
      <c r="I311" s="41">
        <v>45080</v>
      </c>
      <c r="J311" s="41">
        <v>45366</v>
      </c>
      <c r="K311" s="41">
        <v>45573</v>
      </c>
      <c r="L311" s="41">
        <v>46043</v>
      </c>
      <c r="M311" s="41">
        <v>46909</v>
      </c>
      <c r="N311" s="41">
        <v>47297</v>
      </c>
      <c r="O311" s="41">
        <v>47585</v>
      </c>
      <c r="P311" s="41">
        <v>48112</v>
      </c>
      <c r="Q311" s="41">
        <v>48609</v>
      </c>
      <c r="R311" s="41">
        <v>49100</v>
      </c>
      <c r="S311" s="41">
        <v>49584</v>
      </c>
      <c r="T311" s="41">
        <v>50103</v>
      </c>
      <c r="U311" s="41">
        <v>50587</v>
      </c>
      <c r="V311" s="41">
        <v>51066</v>
      </c>
      <c r="W311" s="41">
        <v>51552</v>
      </c>
      <c r="X311" s="41">
        <v>52126</v>
      </c>
      <c r="Y311" s="41">
        <v>52693</v>
      </c>
      <c r="Z311" s="41">
        <v>53254</v>
      </c>
      <c r="AA311" s="41">
        <v>53810</v>
      </c>
      <c r="AB311" s="41">
        <v>54357</v>
      </c>
      <c r="AC311" s="41">
        <v>54927</v>
      </c>
      <c r="AD311" s="41">
        <v>55482</v>
      </c>
      <c r="AE311" s="41">
        <v>56028</v>
      </c>
      <c r="AF311" s="41">
        <v>56561</v>
      </c>
      <c r="AG311" s="41">
        <v>57112</v>
      </c>
      <c r="AH311" s="41">
        <v>57655</v>
      </c>
      <c r="AI311" s="41">
        <v>58174</v>
      </c>
      <c r="AJ311" s="41">
        <v>58697</v>
      </c>
      <c r="AK311" s="41">
        <v>59216</v>
      </c>
      <c r="AL311" s="41">
        <v>59728</v>
      </c>
      <c r="AM311" s="41">
        <v>60222</v>
      </c>
      <c r="AN311" s="41">
        <v>60711</v>
      </c>
      <c r="AO311" s="41">
        <v>61209</v>
      </c>
      <c r="AP311" s="41">
        <v>61690</v>
      </c>
      <c r="AQ311" s="41">
        <v>62188</v>
      </c>
    </row>
    <row r="312" spans="1:43">
      <c r="A312" s="38" t="s">
        <v>740</v>
      </c>
      <c r="B312" s="38" t="s">
        <v>741</v>
      </c>
      <c r="C312" s="41">
        <v>46593</v>
      </c>
      <c r="D312" s="41">
        <v>46869</v>
      </c>
      <c r="E312" s="41">
        <v>47218</v>
      </c>
      <c r="F312" s="41">
        <v>47475</v>
      </c>
      <c r="G312" s="41">
        <v>47742</v>
      </c>
      <c r="H312" s="41">
        <v>48063</v>
      </c>
      <c r="I312" s="41">
        <v>48396</v>
      </c>
      <c r="J312" s="41">
        <v>48494</v>
      </c>
      <c r="K312" s="41">
        <v>48716</v>
      </c>
      <c r="L312" s="41">
        <v>49086</v>
      </c>
      <c r="M312" s="41">
        <v>49468</v>
      </c>
      <c r="N312" s="41">
        <v>49855</v>
      </c>
      <c r="O312" s="41">
        <v>50269</v>
      </c>
      <c r="P312" s="41">
        <v>50753</v>
      </c>
      <c r="Q312" s="41">
        <v>51470</v>
      </c>
      <c r="R312" s="41">
        <v>52125</v>
      </c>
      <c r="S312" s="41">
        <v>52652</v>
      </c>
      <c r="T312" s="41">
        <v>53171</v>
      </c>
      <c r="U312" s="41">
        <v>53672</v>
      </c>
      <c r="V312" s="41">
        <v>54185</v>
      </c>
      <c r="W312" s="41">
        <v>54648</v>
      </c>
      <c r="X312" s="41">
        <v>55201</v>
      </c>
      <c r="Y312" s="41">
        <v>55729</v>
      </c>
      <c r="Z312" s="41">
        <v>56253</v>
      </c>
      <c r="AA312" s="41">
        <v>56766</v>
      </c>
      <c r="AB312" s="41">
        <v>57234</v>
      </c>
      <c r="AC312" s="41">
        <v>57711</v>
      </c>
      <c r="AD312" s="41">
        <v>58190</v>
      </c>
      <c r="AE312" s="41">
        <v>58632</v>
      </c>
      <c r="AF312" s="41">
        <v>59063</v>
      </c>
      <c r="AG312" s="41">
        <v>59482</v>
      </c>
      <c r="AH312" s="41">
        <v>59901</v>
      </c>
      <c r="AI312" s="41">
        <v>60323</v>
      </c>
      <c r="AJ312" s="41">
        <v>60706</v>
      </c>
      <c r="AK312" s="41">
        <v>61076</v>
      </c>
      <c r="AL312" s="41">
        <v>61444</v>
      </c>
      <c r="AM312" s="41">
        <v>61818</v>
      </c>
      <c r="AN312" s="41">
        <v>62184</v>
      </c>
      <c r="AO312" s="41">
        <v>62536</v>
      </c>
      <c r="AP312" s="41">
        <v>62872</v>
      </c>
      <c r="AQ312" s="41">
        <v>63207</v>
      </c>
    </row>
    <row r="313" spans="1:43">
      <c r="A313" s="38" t="s">
        <v>742</v>
      </c>
      <c r="B313" s="38" t="s">
        <v>743</v>
      </c>
      <c r="C313" s="41">
        <v>45172</v>
      </c>
      <c r="D313" s="41">
        <v>45693</v>
      </c>
      <c r="E313" s="41">
        <v>46149</v>
      </c>
      <c r="F313" s="41">
        <v>46484</v>
      </c>
      <c r="G313" s="41">
        <v>46631</v>
      </c>
      <c r="H313" s="41">
        <v>46730</v>
      </c>
      <c r="I313" s="41">
        <v>46924</v>
      </c>
      <c r="J313" s="41">
        <v>46939</v>
      </c>
      <c r="K313" s="41">
        <v>46920</v>
      </c>
      <c r="L313" s="41">
        <v>46979</v>
      </c>
      <c r="M313" s="41">
        <v>47267</v>
      </c>
      <c r="N313" s="41">
        <v>47344</v>
      </c>
      <c r="O313" s="41">
        <v>47536</v>
      </c>
      <c r="P313" s="41">
        <v>47772</v>
      </c>
      <c r="Q313" s="41">
        <v>48216</v>
      </c>
      <c r="R313" s="41">
        <v>48442</v>
      </c>
      <c r="S313" s="41">
        <v>48687</v>
      </c>
      <c r="T313" s="41">
        <v>48922</v>
      </c>
      <c r="U313" s="41">
        <v>49150</v>
      </c>
      <c r="V313" s="41">
        <v>49364</v>
      </c>
      <c r="W313" s="41">
        <v>49562</v>
      </c>
      <c r="X313" s="41">
        <v>49853</v>
      </c>
      <c r="Y313" s="41">
        <v>50123</v>
      </c>
      <c r="Z313" s="41">
        <v>50376</v>
      </c>
      <c r="AA313" s="41">
        <v>50616</v>
      </c>
      <c r="AB313" s="41">
        <v>50838</v>
      </c>
      <c r="AC313" s="41">
        <v>51086</v>
      </c>
      <c r="AD313" s="41">
        <v>51324</v>
      </c>
      <c r="AE313" s="41">
        <v>51539</v>
      </c>
      <c r="AF313" s="41">
        <v>51749</v>
      </c>
      <c r="AG313" s="41">
        <v>51951</v>
      </c>
      <c r="AH313" s="41">
        <v>52168</v>
      </c>
      <c r="AI313" s="41">
        <v>52380</v>
      </c>
      <c r="AJ313" s="41">
        <v>52581</v>
      </c>
      <c r="AK313" s="41">
        <v>52793</v>
      </c>
      <c r="AL313" s="41">
        <v>52999</v>
      </c>
      <c r="AM313" s="41">
        <v>53192</v>
      </c>
      <c r="AN313" s="41">
        <v>53392</v>
      </c>
      <c r="AO313" s="41">
        <v>53573</v>
      </c>
      <c r="AP313" s="41">
        <v>53766</v>
      </c>
      <c r="AQ313" s="41">
        <v>53950</v>
      </c>
    </row>
    <row r="314" spans="1:43">
      <c r="A314" s="38" t="s">
        <v>744</v>
      </c>
      <c r="B314" s="38" t="s">
        <v>745</v>
      </c>
      <c r="C314" s="41">
        <v>40096</v>
      </c>
      <c r="D314" s="41">
        <v>40283</v>
      </c>
      <c r="E314" s="41">
        <v>40680</v>
      </c>
      <c r="F314" s="41">
        <v>40962</v>
      </c>
      <c r="G314" s="41">
        <v>41314</v>
      </c>
      <c r="H314" s="41">
        <v>41613</v>
      </c>
      <c r="I314" s="41">
        <v>41867</v>
      </c>
      <c r="J314" s="41">
        <v>42111</v>
      </c>
      <c r="K314" s="41">
        <v>42206</v>
      </c>
      <c r="L314" s="41">
        <v>42357</v>
      </c>
      <c r="M314" s="41">
        <v>42910</v>
      </c>
      <c r="N314" s="41">
        <v>43062</v>
      </c>
      <c r="O314" s="41">
        <v>43298</v>
      </c>
      <c r="P314" s="41">
        <v>43655</v>
      </c>
      <c r="Q314" s="41">
        <v>44017</v>
      </c>
      <c r="R314" s="41">
        <v>44313</v>
      </c>
      <c r="S314" s="41">
        <v>44609</v>
      </c>
      <c r="T314" s="41">
        <v>44901</v>
      </c>
      <c r="U314" s="41">
        <v>45199</v>
      </c>
      <c r="V314" s="41">
        <v>45449</v>
      </c>
      <c r="W314" s="41">
        <v>45689</v>
      </c>
      <c r="X314" s="41">
        <v>45926</v>
      </c>
      <c r="Y314" s="41">
        <v>46162</v>
      </c>
      <c r="Z314" s="41">
        <v>46391</v>
      </c>
      <c r="AA314" s="41">
        <v>46577</v>
      </c>
      <c r="AB314" s="41">
        <v>46752</v>
      </c>
      <c r="AC314" s="41">
        <v>46955</v>
      </c>
      <c r="AD314" s="41">
        <v>47133</v>
      </c>
      <c r="AE314" s="41">
        <v>47318</v>
      </c>
      <c r="AF314" s="41">
        <v>47472</v>
      </c>
      <c r="AG314" s="41">
        <v>47630</v>
      </c>
      <c r="AH314" s="41">
        <v>47795</v>
      </c>
      <c r="AI314" s="41">
        <v>47947</v>
      </c>
      <c r="AJ314" s="41">
        <v>48108</v>
      </c>
      <c r="AK314" s="41">
        <v>48250</v>
      </c>
      <c r="AL314" s="41">
        <v>48407</v>
      </c>
      <c r="AM314" s="41">
        <v>48569</v>
      </c>
      <c r="AN314" s="41">
        <v>48727</v>
      </c>
      <c r="AO314" s="41">
        <v>48892</v>
      </c>
      <c r="AP314" s="41">
        <v>49043</v>
      </c>
      <c r="AQ314" s="41">
        <v>49216</v>
      </c>
    </row>
    <row r="315" spans="1:43">
      <c r="A315" s="38" t="s">
        <v>746</v>
      </c>
      <c r="B315" s="38" t="s">
        <v>747</v>
      </c>
      <c r="C315" s="41">
        <v>76422</v>
      </c>
      <c r="D315" s="41">
        <v>76729</v>
      </c>
      <c r="E315" s="41">
        <v>77480</v>
      </c>
      <c r="F315" s="41">
        <v>78451</v>
      </c>
      <c r="G315" s="41">
        <v>79256</v>
      </c>
      <c r="H315" s="41">
        <v>79580</v>
      </c>
      <c r="I315" s="41">
        <v>79978</v>
      </c>
      <c r="J315" s="41">
        <v>80519</v>
      </c>
      <c r="K315" s="41">
        <v>81015</v>
      </c>
      <c r="L315" s="41">
        <v>81896</v>
      </c>
      <c r="M315" s="41">
        <v>83094</v>
      </c>
      <c r="N315" s="41">
        <v>83517</v>
      </c>
      <c r="O315" s="41">
        <v>84270</v>
      </c>
      <c r="P315" s="41">
        <v>84805</v>
      </c>
      <c r="Q315" s="41">
        <v>85632</v>
      </c>
      <c r="R315" s="41">
        <v>86066</v>
      </c>
      <c r="S315" s="41">
        <v>86455</v>
      </c>
      <c r="T315" s="41">
        <v>86934</v>
      </c>
      <c r="U315" s="41">
        <v>87372</v>
      </c>
      <c r="V315" s="41">
        <v>87737</v>
      </c>
      <c r="W315" s="41">
        <v>88025</v>
      </c>
      <c r="X315" s="41">
        <v>88453</v>
      </c>
      <c r="Y315" s="41">
        <v>88910</v>
      </c>
      <c r="Z315" s="41">
        <v>89401</v>
      </c>
      <c r="AA315" s="41">
        <v>89864</v>
      </c>
      <c r="AB315" s="41">
        <v>90332</v>
      </c>
      <c r="AC315" s="41">
        <v>90837</v>
      </c>
      <c r="AD315" s="41">
        <v>91350</v>
      </c>
      <c r="AE315" s="41">
        <v>91811</v>
      </c>
      <c r="AF315" s="41">
        <v>92264</v>
      </c>
      <c r="AG315" s="41">
        <v>92748</v>
      </c>
      <c r="AH315" s="41">
        <v>93217</v>
      </c>
      <c r="AI315" s="41">
        <v>93650</v>
      </c>
      <c r="AJ315" s="41">
        <v>94058</v>
      </c>
      <c r="AK315" s="41">
        <v>94466</v>
      </c>
      <c r="AL315" s="41">
        <v>94878</v>
      </c>
      <c r="AM315" s="41">
        <v>95268</v>
      </c>
      <c r="AN315" s="41">
        <v>95668</v>
      </c>
      <c r="AO315" s="41">
        <v>96064</v>
      </c>
      <c r="AP315" s="41">
        <v>96443</v>
      </c>
      <c r="AQ315" s="41">
        <v>96842</v>
      </c>
    </row>
    <row r="316" spans="1:43">
      <c r="A316" s="2" t="s">
        <v>748</v>
      </c>
      <c r="B316" s="2" t="s">
        <v>749</v>
      </c>
      <c r="C316" s="20">
        <f>C198+C235+C296</f>
        <v>156596</v>
      </c>
      <c r="D316" s="20">
        <f t="shared" ref="D316:AQ316" si="0">D198+D235+D296</f>
        <v>158175</v>
      </c>
      <c r="E316" s="20">
        <f t="shared" si="0"/>
        <v>158418</v>
      </c>
      <c r="F316" s="20">
        <f t="shared" si="0"/>
        <v>158958</v>
      </c>
      <c r="G316" s="20">
        <f t="shared" si="0"/>
        <v>160624</v>
      </c>
      <c r="H316" s="20">
        <f t="shared" si="0"/>
        <v>161605</v>
      </c>
      <c r="I316" s="20">
        <f t="shared" si="0"/>
        <v>163111</v>
      </c>
      <c r="J316" s="20">
        <f t="shared" si="0"/>
        <v>164308</v>
      </c>
      <c r="K316" s="20">
        <f t="shared" si="0"/>
        <v>164891</v>
      </c>
      <c r="L316" s="20">
        <f t="shared" si="0"/>
        <v>165840</v>
      </c>
      <c r="M316" s="20">
        <f t="shared" si="0"/>
        <v>168305</v>
      </c>
      <c r="N316" s="20">
        <f t="shared" si="0"/>
        <v>168690</v>
      </c>
      <c r="O316" s="20">
        <f t="shared" si="0"/>
        <v>169262</v>
      </c>
      <c r="P316" s="20">
        <f t="shared" si="0"/>
        <v>170566</v>
      </c>
      <c r="Q316" s="20">
        <f t="shared" si="0"/>
        <v>171288</v>
      </c>
      <c r="R316" s="20">
        <f t="shared" si="0"/>
        <v>172052</v>
      </c>
      <c r="S316" s="20">
        <f t="shared" si="0"/>
        <v>172565</v>
      </c>
      <c r="T316" s="20">
        <f t="shared" si="0"/>
        <v>173195</v>
      </c>
      <c r="U316" s="20">
        <f t="shared" si="0"/>
        <v>173885</v>
      </c>
      <c r="V316" s="20">
        <f t="shared" si="0"/>
        <v>174440</v>
      </c>
      <c r="W316" s="20">
        <f t="shared" si="0"/>
        <v>174914</v>
      </c>
      <c r="X316" s="20">
        <f t="shared" si="0"/>
        <v>175639</v>
      </c>
      <c r="Y316" s="20">
        <f t="shared" si="0"/>
        <v>176386</v>
      </c>
      <c r="Z316" s="20">
        <f t="shared" si="0"/>
        <v>177169</v>
      </c>
      <c r="AA316" s="20">
        <f t="shared" si="0"/>
        <v>177899</v>
      </c>
      <c r="AB316" s="20">
        <f t="shared" si="0"/>
        <v>178661</v>
      </c>
      <c r="AC316" s="20">
        <f t="shared" si="0"/>
        <v>179551</v>
      </c>
      <c r="AD316" s="20">
        <f t="shared" si="0"/>
        <v>180407</v>
      </c>
      <c r="AE316" s="20">
        <f t="shared" si="0"/>
        <v>181185</v>
      </c>
      <c r="AF316" s="20">
        <f t="shared" si="0"/>
        <v>181944</v>
      </c>
      <c r="AG316" s="20">
        <f t="shared" si="0"/>
        <v>182743</v>
      </c>
      <c r="AH316" s="20">
        <f t="shared" si="0"/>
        <v>183545</v>
      </c>
      <c r="AI316" s="20">
        <f t="shared" si="0"/>
        <v>184268</v>
      </c>
      <c r="AJ316" s="20">
        <f t="shared" si="0"/>
        <v>184931</v>
      </c>
      <c r="AK316" s="20">
        <f t="shared" si="0"/>
        <v>185580</v>
      </c>
      <c r="AL316" s="20">
        <f t="shared" si="0"/>
        <v>186260</v>
      </c>
      <c r="AM316" s="20">
        <f t="shared" si="0"/>
        <v>186917</v>
      </c>
      <c r="AN316" s="20">
        <f t="shared" si="0"/>
        <v>187554</v>
      </c>
      <c r="AO316" s="20">
        <f t="shared" si="0"/>
        <v>188211</v>
      </c>
      <c r="AP316" s="20">
        <f t="shared" si="0"/>
        <v>188836</v>
      </c>
      <c r="AQ316" s="20">
        <f t="shared" si="0"/>
        <v>189500</v>
      </c>
    </row>
    <row r="317" spans="1:43">
      <c r="A317" s="2" t="s">
        <v>750</v>
      </c>
      <c r="B317" s="2" t="s">
        <v>751</v>
      </c>
      <c r="C317" s="20">
        <f>SUM(C177,C278)</f>
        <v>61518</v>
      </c>
      <c r="D317" s="20">
        <f t="shared" ref="D317:AQ317" si="1">SUM(D177,D278)</f>
        <v>62324</v>
      </c>
      <c r="E317" s="20">
        <f t="shared" si="1"/>
        <v>63212</v>
      </c>
      <c r="F317" s="20">
        <f t="shared" si="1"/>
        <v>64031</v>
      </c>
      <c r="G317" s="20">
        <f t="shared" si="1"/>
        <v>64683</v>
      </c>
      <c r="H317" s="20">
        <f t="shared" si="1"/>
        <v>65367</v>
      </c>
      <c r="I317" s="20">
        <f t="shared" si="1"/>
        <v>65946</v>
      </c>
      <c r="J317" s="20">
        <f t="shared" si="1"/>
        <v>66520</v>
      </c>
      <c r="K317" s="20">
        <f t="shared" si="1"/>
        <v>66784</v>
      </c>
      <c r="L317" s="20">
        <f t="shared" si="1"/>
        <v>67109</v>
      </c>
      <c r="M317" s="20">
        <f t="shared" si="1"/>
        <v>67943</v>
      </c>
      <c r="N317" s="20">
        <f t="shared" si="1"/>
        <v>68340</v>
      </c>
      <c r="O317" s="20">
        <f t="shared" si="1"/>
        <v>68594</v>
      </c>
      <c r="P317" s="20">
        <f t="shared" si="1"/>
        <v>69093</v>
      </c>
      <c r="Q317" s="20">
        <f t="shared" si="1"/>
        <v>69630</v>
      </c>
      <c r="R317" s="20">
        <f t="shared" si="1"/>
        <v>70325</v>
      </c>
      <c r="S317" s="20">
        <f t="shared" si="1"/>
        <v>70766</v>
      </c>
      <c r="T317" s="20">
        <f t="shared" si="1"/>
        <v>71207</v>
      </c>
      <c r="U317" s="20">
        <f t="shared" si="1"/>
        <v>71661</v>
      </c>
      <c r="V317" s="20">
        <f t="shared" si="1"/>
        <v>72086</v>
      </c>
      <c r="W317" s="20">
        <f t="shared" si="1"/>
        <v>72531</v>
      </c>
      <c r="X317" s="20">
        <f t="shared" si="1"/>
        <v>73026</v>
      </c>
      <c r="Y317" s="20">
        <f t="shared" si="1"/>
        <v>73494</v>
      </c>
      <c r="Z317" s="20">
        <f t="shared" si="1"/>
        <v>73999</v>
      </c>
      <c r="AA317" s="20">
        <f t="shared" si="1"/>
        <v>74479</v>
      </c>
      <c r="AB317" s="20">
        <f t="shared" si="1"/>
        <v>74936</v>
      </c>
      <c r="AC317" s="20">
        <f t="shared" si="1"/>
        <v>75418</v>
      </c>
      <c r="AD317" s="20">
        <f t="shared" si="1"/>
        <v>75869</v>
      </c>
      <c r="AE317" s="20">
        <f t="shared" si="1"/>
        <v>76332</v>
      </c>
      <c r="AF317" s="20">
        <f t="shared" si="1"/>
        <v>76772</v>
      </c>
      <c r="AG317" s="20">
        <f t="shared" si="1"/>
        <v>77203</v>
      </c>
      <c r="AH317" s="20">
        <f t="shared" si="1"/>
        <v>77602</v>
      </c>
      <c r="AI317" s="20">
        <f t="shared" si="1"/>
        <v>78014</v>
      </c>
      <c r="AJ317" s="20">
        <f t="shared" si="1"/>
        <v>78427</v>
      </c>
      <c r="AK317" s="20">
        <f t="shared" si="1"/>
        <v>78810</v>
      </c>
      <c r="AL317" s="20">
        <f t="shared" si="1"/>
        <v>79188</v>
      </c>
      <c r="AM317" s="20">
        <f t="shared" si="1"/>
        <v>79567</v>
      </c>
      <c r="AN317" s="20">
        <f t="shared" si="1"/>
        <v>79920</v>
      </c>
      <c r="AO317" s="20">
        <f t="shared" si="1"/>
        <v>80300</v>
      </c>
      <c r="AP317" s="20">
        <f t="shared" si="1"/>
        <v>80653</v>
      </c>
      <c r="AQ317" s="20">
        <f t="shared" si="1"/>
        <v>81017</v>
      </c>
    </row>
    <row r="318" spans="1:43">
      <c r="A318" s="2" t="s">
        <v>752</v>
      </c>
      <c r="B318" s="2" t="s">
        <v>753</v>
      </c>
      <c r="C318" s="20">
        <f>SUM(C35,C190,C239)</f>
        <v>150823</v>
      </c>
      <c r="D318" s="20">
        <f t="shared" ref="D318:AQ318" si="2">SUM(D35,D190,D239)</f>
        <v>152130</v>
      </c>
      <c r="E318" s="20">
        <f t="shared" si="2"/>
        <v>153613</v>
      </c>
      <c r="F318" s="20">
        <f t="shared" si="2"/>
        <v>154830</v>
      </c>
      <c r="G318" s="20">
        <f t="shared" si="2"/>
        <v>156634</v>
      </c>
      <c r="H318" s="20">
        <f t="shared" si="2"/>
        <v>157932</v>
      </c>
      <c r="I318" s="20">
        <f t="shared" si="2"/>
        <v>158807</v>
      </c>
      <c r="J318" s="20">
        <f t="shared" si="2"/>
        <v>160095</v>
      </c>
      <c r="K318" s="20">
        <f t="shared" si="2"/>
        <v>161461</v>
      </c>
      <c r="L318" s="20">
        <f t="shared" si="2"/>
        <v>163458</v>
      </c>
      <c r="M318" s="20">
        <f t="shared" si="2"/>
        <v>165753</v>
      </c>
      <c r="N318" s="20">
        <f t="shared" si="2"/>
        <v>167238</v>
      </c>
      <c r="O318" s="20">
        <f t="shared" si="2"/>
        <v>168504</v>
      </c>
      <c r="P318" s="20">
        <f t="shared" si="2"/>
        <v>170242</v>
      </c>
      <c r="Q318" s="20">
        <f t="shared" si="2"/>
        <v>172017</v>
      </c>
      <c r="R318" s="20">
        <f t="shared" si="2"/>
        <v>173585</v>
      </c>
      <c r="S318" s="20">
        <f t="shared" si="2"/>
        <v>175167</v>
      </c>
      <c r="T318" s="20">
        <f t="shared" si="2"/>
        <v>176697</v>
      </c>
      <c r="U318" s="20">
        <f t="shared" si="2"/>
        <v>178174</v>
      </c>
      <c r="V318" s="20">
        <f t="shared" si="2"/>
        <v>179451</v>
      </c>
      <c r="W318" s="20">
        <f t="shared" si="2"/>
        <v>180669</v>
      </c>
      <c r="X318" s="20">
        <f t="shared" si="2"/>
        <v>182099</v>
      </c>
      <c r="Y318" s="20">
        <f t="shared" si="2"/>
        <v>183476</v>
      </c>
      <c r="Z318" s="20">
        <f t="shared" si="2"/>
        <v>184887</v>
      </c>
      <c r="AA318" s="20">
        <f t="shared" si="2"/>
        <v>186214</v>
      </c>
      <c r="AB318" s="20">
        <f t="shared" si="2"/>
        <v>187512</v>
      </c>
      <c r="AC318" s="20">
        <f t="shared" si="2"/>
        <v>188963</v>
      </c>
      <c r="AD318" s="20">
        <f t="shared" si="2"/>
        <v>190335</v>
      </c>
      <c r="AE318" s="20">
        <f t="shared" si="2"/>
        <v>191660</v>
      </c>
      <c r="AF318" s="20">
        <f t="shared" si="2"/>
        <v>192940</v>
      </c>
      <c r="AG318" s="20">
        <f t="shared" si="2"/>
        <v>194217</v>
      </c>
      <c r="AH318" s="20">
        <f t="shared" si="2"/>
        <v>195530</v>
      </c>
      <c r="AI318" s="20">
        <f t="shared" si="2"/>
        <v>196772</v>
      </c>
      <c r="AJ318" s="20">
        <f t="shared" si="2"/>
        <v>197965</v>
      </c>
      <c r="AK318" s="20">
        <f t="shared" si="2"/>
        <v>199131</v>
      </c>
      <c r="AL318" s="20">
        <f t="shared" si="2"/>
        <v>200305</v>
      </c>
      <c r="AM318" s="20">
        <f t="shared" si="2"/>
        <v>201437</v>
      </c>
      <c r="AN318" s="20">
        <f t="shared" si="2"/>
        <v>202588</v>
      </c>
      <c r="AO318" s="20">
        <f t="shared" si="2"/>
        <v>203702</v>
      </c>
      <c r="AP318" s="20">
        <f t="shared" si="2"/>
        <v>204821</v>
      </c>
      <c r="AQ318" s="20">
        <f t="shared" si="2"/>
        <v>205942</v>
      </c>
    </row>
    <row r="319" spans="1:43">
      <c r="A319" s="2" t="s">
        <v>754</v>
      </c>
      <c r="B319" s="2" t="s">
        <v>755</v>
      </c>
      <c r="C319" s="20">
        <f>SUM(C154,C181,C298)</f>
        <v>107826</v>
      </c>
      <c r="D319" s="20">
        <f t="shared" ref="D319:AQ319" si="3">SUM(D154,D181,D298)</f>
        <v>109879</v>
      </c>
      <c r="E319" s="20">
        <f t="shared" si="3"/>
        <v>111635</v>
      </c>
      <c r="F319" s="20">
        <f t="shared" si="3"/>
        <v>113358</v>
      </c>
      <c r="G319" s="20">
        <f t="shared" si="3"/>
        <v>114790</v>
      </c>
      <c r="H319" s="20">
        <f t="shared" si="3"/>
        <v>116567</v>
      </c>
      <c r="I319" s="20">
        <f t="shared" si="3"/>
        <v>118352</v>
      </c>
      <c r="J319" s="20">
        <f t="shared" si="3"/>
        <v>120136</v>
      </c>
      <c r="K319" s="20">
        <f t="shared" si="3"/>
        <v>121165</v>
      </c>
      <c r="L319" s="20">
        <f t="shared" si="3"/>
        <v>122734</v>
      </c>
      <c r="M319" s="20">
        <f t="shared" si="3"/>
        <v>123641</v>
      </c>
      <c r="N319" s="20">
        <f t="shared" si="3"/>
        <v>124900</v>
      </c>
      <c r="O319" s="20">
        <f t="shared" si="3"/>
        <v>126184</v>
      </c>
      <c r="P319" s="20">
        <f t="shared" si="3"/>
        <v>127521</v>
      </c>
      <c r="Q319" s="20">
        <f t="shared" si="3"/>
        <v>128902</v>
      </c>
      <c r="R319" s="20">
        <f t="shared" si="3"/>
        <v>130373</v>
      </c>
      <c r="S319" s="20">
        <f t="shared" si="3"/>
        <v>131419</v>
      </c>
      <c r="T319" s="20">
        <f t="shared" si="3"/>
        <v>132518</v>
      </c>
      <c r="U319" s="20">
        <f t="shared" si="3"/>
        <v>133511</v>
      </c>
      <c r="V319" s="20">
        <f t="shared" si="3"/>
        <v>134449</v>
      </c>
      <c r="W319" s="20">
        <f t="shared" si="3"/>
        <v>135275</v>
      </c>
      <c r="X319" s="20">
        <f t="shared" si="3"/>
        <v>136155</v>
      </c>
      <c r="Y319" s="20">
        <f t="shared" si="3"/>
        <v>137043</v>
      </c>
      <c r="Z319" s="20">
        <f t="shared" si="3"/>
        <v>137921</v>
      </c>
      <c r="AA319" s="20">
        <f t="shared" si="3"/>
        <v>138753</v>
      </c>
      <c r="AB319" s="20">
        <f t="shared" si="3"/>
        <v>139590</v>
      </c>
      <c r="AC319" s="20">
        <f t="shared" si="3"/>
        <v>140437</v>
      </c>
      <c r="AD319" s="20">
        <f t="shared" si="3"/>
        <v>141307</v>
      </c>
      <c r="AE319" s="20">
        <f t="shared" si="3"/>
        <v>142137</v>
      </c>
      <c r="AF319" s="20">
        <f t="shared" si="3"/>
        <v>142932</v>
      </c>
      <c r="AG319" s="20">
        <f t="shared" si="3"/>
        <v>143762</v>
      </c>
      <c r="AH319" s="20">
        <f t="shared" si="3"/>
        <v>144569</v>
      </c>
      <c r="AI319" s="20">
        <f t="shared" si="3"/>
        <v>145356</v>
      </c>
      <c r="AJ319" s="20">
        <f t="shared" si="3"/>
        <v>146092</v>
      </c>
      <c r="AK319" s="20">
        <f t="shared" si="3"/>
        <v>146801</v>
      </c>
      <c r="AL319" s="20">
        <f t="shared" si="3"/>
        <v>147551</v>
      </c>
      <c r="AM319" s="20">
        <f t="shared" si="3"/>
        <v>148243</v>
      </c>
      <c r="AN319" s="20">
        <f t="shared" si="3"/>
        <v>148941</v>
      </c>
      <c r="AO319" s="20">
        <f t="shared" si="3"/>
        <v>149617</v>
      </c>
      <c r="AP319" s="20">
        <f t="shared" si="3"/>
        <v>150271</v>
      </c>
      <c r="AQ319" s="20">
        <f t="shared" si="3"/>
        <v>150954</v>
      </c>
    </row>
    <row r="320" spans="1:43">
      <c r="A320" s="2"/>
      <c r="B320" s="2"/>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row>
    <row r="321" spans="1:43">
      <c r="A321" s="2"/>
      <c r="B321" s="2"/>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row>
    <row r="322" spans="1:43">
      <c r="A322" s="55" t="s">
        <v>4657</v>
      </c>
      <c r="B322" s="2"/>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row>
    <row r="328" spans="1:43">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row>
    <row r="329" spans="1:4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row>
    <row r="330" spans="1:43">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row>
  </sheetData>
  <sheetProtection algorithmName="SHA-512" hashValue="KMOMvhUmrNbgwkuTHM9G5tCMRiFDfnjVoJUmnTmx+VWAqEgk3p1zYoT71bcOKUHO/RlczDjMIr0SEmEz+QEA8w==" saltValue="FCmEwC7LGWG0OQWBjSO4Sw==" spinCount="100000" sheet="1" objects="1" scenario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A1:AY326"/>
  <sheetViews>
    <sheetView workbookViewId="0">
      <selection activeCell="C10" sqref="C10"/>
    </sheetView>
  </sheetViews>
  <sheetFormatPr defaultColWidth="21.453125" defaultRowHeight="14"/>
  <cols>
    <col min="1" max="1" width="21.453125" style="8"/>
    <col min="2" max="2" width="35.453125" style="8" bestFit="1" customWidth="1"/>
    <col min="3" max="27" width="21.453125" style="8" customWidth="1"/>
    <col min="28" max="30" width="21.453125" style="8"/>
    <col min="31" max="37" width="21.453125" style="8" customWidth="1"/>
    <col min="38" max="16384" width="21.453125" style="8"/>
  </cols>
  <sheetData>
    <row r="1" spans="1:51" s="12" customFormat="1">
      <c r="A1" s="38" t="s">
        <v>841</v>
      </c>
      <c r="B1" s="38"/>
      <c r="C1" s="38">
        <v>1991</v>
      </c>
      <c r="D1" s="38">
        <v>1992</v>
      </c>
      <c r="E1" s="38">
        <v>1993</v>
      </c>
      <c r="F1" s="38">
        <v>1994</v>
      </c>
      <c r="G1" s="38">
        <v>1995</v>
      </c>
      <c r="H1" s="38">
        <v>1996</v>
      </c>
      <c r="I1" s="38">
        <v>1997</v>
      </c>
      <c r="J1" s="38">
        <v>1998</v>
      </c>
      <c r="K1" s="38">
        <v>1999</v>
      </c>
      <c r="L1" s="38">
        <v>2000</v>
      </c>
      <c r="M1" s="38">
        <v>2001</v>
      </c>
      <c r="N1" s="38">
        <v>2002</v>
      </c>
      <c r="O1" s="38">
        <v>2003</v>
      </c>
      <c r="P1" s="38">
        <v>2004</v>
      </c>
      <c r="Q1" s="38">
        <v>2005</v>
      </c>
      <c r="R1" s="38">
        <v>2006</v>
      </c>
      <c r="S1" s="38">
        <v>2007</v>
      </c>
      <c r="T1" s="38">
        <v>2008</v>
      </c>
      <c r="U1" s="38">
        <v>2009</v>
      </c>
      <c r="V1" s="38">
        <v>2010</v>
      </c>
      <c r="W1" s="38">
        <v>2011</v>
      </c>
      <c r="X1" s="38">
        <v>2012</v>
      </c>
      <c r="Y1" s="38">
        <v>2013</v>
      </c>
      <c r="Z1" s="38">
        <v>2014</v>
      </c>
      <c r="AA1" s="38">
        <v>2015</v>
      </c>
      <c r="AB1" s="38">
        <v>2016</v>
      </c>
      <c r="AC1" s="38">
        <v>2017</v>
      </c>
      <c r="AD1" s="38">
        <v>2018</v>
      </c>
      <c r="AE1" s="38">
        <v>2019</v>
      </c>
      <c r="AF1" s="38">
        <v>2020</v>
      </c>
      <c r="AG1" s="38">
        <v>2021</v>
      </c>
      <c r="AH1" s="38">
        <v>2022</v>
      </c>
      <c r="AI1" s="38">
        <v>2023</v>
      </c>
      <c r="AJ1" s="38">
        <v>2024</v>
      </c>
      <c r="AK1" s="38">
        <v>2025</v>
      </c>
      <c r="AL1" s="38">
        <v>2026</v>
      </c>
      <c r="AM1" s="38">
        <v>2027</v>
      </c>
      <c r="AN1" s="38">
        <v>2028</v>
      </c>
      <c r="AO1" s="38">
        <v>2029</v>
      </c>
      <c r="AP1" s="38">
        <v>2030</v>
      </c>
      <c r="AQ1" s="38">
        <v>2031</v>
      </c>
      <c r="AR1" s="38">
        <v>2032</v>
      </c>
      <c r="AS1" s="38">
        <v>2033</v>
      </c>
      <c r="AT1" s="38">
        <v>2034</v>
      </c>
      <c r="AU1" s="38">
        <v>2035</v>
      </c>
      <c r="AV1" s="38">
        <v>2036</v>
      </c>
      <c r="AW1" s="38">
        <v>2037</v>
      </c>
      <c r="AX1" s="38">
        <v>2038</v>
      </c>
      <c r="AY1" s="38">
        <v>2039</v>
      </c>
    </row>
    <row r="2" spans="1:51">
      <c r="A2" s="38" t="s">
        <v>111</v>
      </c>
      <c r="B2" s="38" t="s">
        <v>112</v>
      </c>
      <c r="C2" s="41">
        <v>24747</v>
      </c>
      <c r="D2" s="41">
        <v>24577</v>
      </c>
      <c r="E2" s="41">
        <v>24565</v>
      </c>
      <c r="F2" s="41">
        <v>24739</v>
      </c>
      <c r="G2" s="41">
        <v>24996</v>
      </c>
      <c r="H2" s="41">
        <v>25255</v>
      </c>
      <c r="I2" s="41">
        <v>25285</v>
      </c>
      <c r="J2" s="41">
        <v>25246</v>
      </c>
      <c r="K2" s="41">
        <v>25381</v>
      </c>
      <c r="L2" s="41">
        <v>25706</v>
      </c>
      <c r="M2" s="41">
        <v>25920</v>
      </c>
      <c r="N2" s="41">
        <v>26102</v>
      </c>
      <c r="O2" s="41">
        <v>26077</v>
      </c>
      <c r="P2" s="41">
        <v>26133</v>
      </c>
      <c r="Q2" s="41">
        <v>26141</v>
      </c>
      <c r="R2" s="41">
        <v>26417</v>
      </c>
      <c r="S2" s="41">
        <v>26549</v>
      </c>
      <c r="T2" s="41">
        <v>26687</v>
      </c>
      <c r="U2" s="41">
        <v>26876</v>
      </c>
      <c r="V2" s="41">
        <v>26957</v>
      </c>
      <c r="W2" s="41">
        <v>27025</v>
      </c>
      <c r="X2" s="41">
        <v>27275</v>
      </c>
      <c r="Y2" s="41">
        <v>27508</v>
      </c>
      <c r="Z2" s="41">
        <v>27797</v>
      </c>
      <c r="AA2" s="41">
        <v>28019</v>
      </c>
      <c r="AB2" s="41">
        <v>28275</v>
      </c>
      <c r="AC2" s="41">
        <v>28527</v>
      </c>
      <c r="AD2" s="41">
        <v>28803</v>
      </c>
      <c r="AE2" s="41">
        <v>29093</v>
      </c>
      <c r="AF2" s="41">
        <v>29384</v>
      </c>
      <c r="AG2" s="41">
        <v>29678</v>
      </c>
      <c r="AH2" s="41">
        <v>29979</v>
      </c>
      <c r="AI2" s="41">
        <v>30285</v>
      </c>
      <c r="AJ2" s="41">
        <v>30596</v>
      </c>
      <c r="AK2" s="41">
        <v>30902</v>
      </c>
      <c r="AL2" s="41">
        <v>31217</v>
      </c>
      <c r="AM2" s="41">
        <v>31533</v>
      </c>
      <c r="AN2" s="41">
        <v>31858</v>
      </c>
      <c r="AO2" s="41">
        <v>32181</v>
      </c>
      <c r="AP2" s="41">
        <v>32509</v>
      </c>
      <c r="AQ2" s="41">
        <v>32834</v>
      </c>
      <c r="AR2" s="41">
        <v>33164</v>
      </c>
      <c r="AS2" s="41">
        <v>33487</v>
      </c>
      <c r="AT2" s="41">
        <v>33805</v>
      </c>
      <c r="AU2" s="41">
        <v>34123</v>
      </c>
      <c r="AV2" s="41">
        <v>34442</v>
      </c>
      <c r="AW2" s="41">
        <v>34763</v>
      </c>
      <c r="AX2" s="41">
        <v>35076</v>
      </c>
      <c r="AY2" s="41">
        <v>35377</v>
      </c>
    </row>
    <row r="3" spans="1:51">
      <c r="A3" s="38" t="s">
        <v>114</v>
      </c>
      <c r="B3" s="38" t="s">
        <v>115</v>
      </c>
      <c r="C3" s="41">
        <v>38501</v>
      </c>
      <c r="D3" s="41">
        <v>38773</v>
      </c>
      <c r="E3" s="41">
        <v>38755</v>
      </c>
      <c r="F3" s="41">
        <v>38827</v>
      </c>
      <c r="G3" s="41">
        <v>39013</v>
      </c>
      <c r="H3" s="41">
        <v>39140</v>
      </c>
      <c r="I3" s="41">
        <v>39441</v>
      </c>
      <c r="J3" s="41">
        <v>39715</v>
      </c>
      <c r="K3" s="41">
        <v>39629</v>
      </c>
      <c r="L3" s="41">
        <v>39624</v>
      </c>
      <c r="M3" s="41">
        <v>39793</v>
      </c>
      <c r="N3" s="41">
        <v>40063</v>
      </c>
      <c r="O3" s="41">
        <v>40485</v>
      </c>
      <c r="P3" s="41">
        <v>40842</v>
      </c>
      <c r="Q3" s="41">
        <v>41032</v>
      </c>
      <c r="R3" s="41">
        <v>41308</v>
      </c>
      <c r="S3" s="41">
        <v>41642</v>
      </c>
      <c r="T3" s="41">
        <v>41872</v>
      </c>
      <c r="U3" s="41">
        <v>42089</v>
      </c>
      <c r="V3" s="41">
        <v>42199</v>
      </c>
      <c r="W3" s="41">
        <v>42378</v>
      </c>
      <c r="X3" s="41">
        <v>42482</v>
      </c>
      <c r="Y3" s="41">
        <v>42549</v>
      </c>
      <c r="Z3" s="41">
        <v>42811</v>
      </c>
      <c r="AA3" s="41">
        <v>42895</v>
      </c>
      <c r="AB3" s="41">
        <v>43033</v>
      </c>
      <c r="AC3" s="41">
        <v>43175</v>
      </c>
      <c r="AD3" s="41">
        <v>43311</v>
      </c>
      <c r="AE3" s="41">
        <v>43463</v>
      </c>
      <c r="AF3" s="41">
        <v>43573</v>
      </c>
      <c r="AG3" s="41">
        <v>43680</v>
      </c>
      <c r="AH3" s="41">
        <v>43791</v>
      </c>
      <c r="AI3" s="41">
        <v>43892</v>
      </c>
      <c r="AJ3" s="41">
        <v>43995</v>
      </c>
      <c r="AK3" s="41">
        <v>44079</v>
      </c>
      <c r="AL3" s="41">
        <v>44161</v>
      </c>
      <c r="AM3" s="41">
        <v>44250</v>
      </c>
      <c r="AN3" s="41">
        <v>44336</v>
      </c>
      <c r="AO3" s="41">
        <v>44416</v>
      </c>
      <c r="AP3" s="41">
        <v>44480</v>
      </c>
      <c r="AQ3" s="41">
        <v>44548</v>
      </c>
      <c r="AR3" s="41">
        <v>44580</v>
      </c>
      <c r="AS3" s="41">
        <v>44626</v>
      </c>
      <c r="AT3" s="41">
        <v>44669</v>
      </c>
      <c r="AU3" s="41">
        <v>44695</v>
      </c>
      <c r="AV3" s="41">
        <v>44731</v>
      </c>
      <c r="AW3" s="41">
        <v>44745</v>
      </c>
      <c r="AX3" s="41">
        <v>44753</v>
      </c>
      <c r="AY3" s="41">
        <v>44752</v>
      </c>
    </row>
    <row r="4" spans="1:51">
      <c r="A4" s="38" t="s">
        <v>117</v>
      </c>
      <c r="B4" s="38" t="s">
        <v>118</v>
      </c>
      <c r="C4" s="41">
        <v>45704</v>
      </c>
      <c r="D4" s="41">
        <v>45910</v>
      </c>
      <c r="E4" s="41">
        <v>46237</v>
      </c>
      <c r="F4" s="41">
        <v>46644</v>
      </c>
      <c r="G4" s="41">
        <v>46972</v>
      </c>
      <c r="H4" s="41">
        <v>47227</v>
      </c>
      <c r="I4" s="41">
        <v>47667</v>
      </c>
      <c r="J4" s="41">
        <v>47897</v>
      </c>
      <c r="K4" s="41">
        <v>48425</v>
      </c>
      <c r="L4" s="41">
        <v>48824</v>
      </c>
      <c r="M4" s="41">
        <v>49152</v>
      </c>
      <c r="N4" s="41">
        <v>49548</v>
      </c>
      <c r="O4" s="41">
        <v>49861</v>
      </c>
      <c r="P4" s="41">
        <v>50160</v>
      </c>
      <c r="Q4" s="41">
        <v>50556</v>
      </c>
      <c r="R4" s="41">
        <v>51048</v>
      </c>
      <c r="S4" s="41">
        <v>51338</v>
      </c>
      <c r="T4" s="41">
        <v>51753</v>
      </c>
      <c r="U4" s="41">
        <v>52020</v>
      </c>
      <c r="V4" s="41">
        <v>52364</v>
      </c>
      <c r="W4" s="41">
        <v>52692</v>
      </c>
      <c r="X4" s="41">
        <v>52980</v>
      </c>
      <c r="Y4" s="41">
        <v>53429</v>
      </c>
      <c r="Z4" s="41">
        <v>53809</v>
      </c>
      <c r="AA4" s="41">
        <v>54150</v>
      </c>
      <c r="AB4" s="41">
        <v>54555</v>
      </c>
      <c r="AC4" s="41">
        <v>54937</v>
      </c>
      <c r="AD4" s="41">
        <v>55337</v>
      </c>
      <c r="AE4" s="41">
        <v>55735</v>
      </c>
      <c r="AF4" s="41">
        <v>56120</v>
      </c>
      <c r="AG4" s="41">
        <v>56499</v>
      </c>
      <c r="AH4" s="41">
        <v>56861</v>
      </c>
      <c r="AI4" s="41">
        <v>57219</v>
      </c>
      <c r="AJ4" s="41">
        <v>57572</v>
      </c>
      <c r="AK4" s="41">
        <v>57910</v>
      </c>
      <c r="AL4" s="41">
        <v>58247</v>
      </c>
      <c r="AM4" s="41">
        <v>58569</v>
      </c>
      <c r="AN4" s="41">
        <v>58893</v>
      </c>
      <c r="AO4" s="41">
        <v>59203</v>
      </c>
      <c r="AP4" s="41">
        <v>59512</v>
      </c>
      <c r="AQ4" s="41">
        <v>59808</v>
      </c>
      <c r="AR4" s="41">
        <v>60076</v>
      </c>
      <c r="AS4" s="41">
        <v>60342</v>
      </c>
      <c r="AT4" s="41">
        <v>60589</v>
      </c>
      <c r="AU4" s="41">
        <v>60828</v>
      </c>
      <c r="AV4" s="41">
        <v>61044</v>
      </c>
      <c r="AW4" s="41">
        <v>61244</v>
      </c>
      <c r="AX4" s="41">
        <v>61432</v>
      </c>
      <c r="AY4" s="41">
        <v>61610</v>
      </c>
    </row>
    <row r="5" spans="1:51">
      <c r="A5" s="38" t="s">
        <v>120</v>
      </c>
      <c r="B5" s="38" t="s">
        <v>121</v>
      </c>
      <c r="C5" s="41">
        <v>56903</v>
      </c>
      <c r="D5" s="41">
        <v>57210</v>
      </c>
      <c r="E5" s="41">
        <v>57694</v>
      </c>
      <c r="F5" s="41">
        <v>58056</v>
      </c>
      <c r="G5" s="41">
        <v>58855</v>
      </c>
      <c r="H5" s="41">
        <v>59580</v>
      </c>
      <c r="I5" s="41">
        <v>60541</v>
      </c>
      <c r="J5" s="41">
        <v>60730</v>
      </c>
      <c r="K5" s="41">
        <v>61829</v>
      </c>
      <c r="L5" s="41">
        <v>62396</v>
      </c>
      <c r="M5" s="41">
        <v>62837</v>
      </c>
      <c r="N5" s="41">
        <v>63424</v>
      </c>
      <c r="O5" s="41">
        <v>63921</v>
      </c>
      <c r="P5" s="41">
        <v>64641</v>
      </c>
      <c r="Q5" s="41">
        <v>64981</v>
      </c>
      <c r="R5" s="41">
        <v>65358</v>
      </c>
      <c r="S5" s="41">
        <v>65746</v>
      </c>
      <c r="T5" s="41">
        <v>66250</v>
      </c>
      <c r="U5" s="41">
        <v>66402</v>
      </c>
      <c r="V5" s="41">
        <v>66704</v>
      </c>
      <c r="W5" s="41">
        <v>66823</v>
      </c>
      <c r="X5" s="41">
        <v>67442</v>
      </c>
      <c r="Y5" s="41">
        <v>68117</v>
      </c>
      <c r="Z5" s="41">
        <v>68983</v>
      </c>
      <c r="AA5" s="41">
        <v>69725</v>
      </c>
      <c r="AB5" s="41">
        <v>70554</v>
      </c>
      <c r="AC5" s="41">
        <v>71369</v>
      </c>
      <c r="AD5" s="41">
        <v>72215</v>
      </c>
      <c r="AE5" s="41">
        <v>73052</v>
      </c>
      <c r="AF5" s="41">
        <v>73891</v>
      </c>
      <c r="AG5" s="41">
        <v>74742</v>
      </c>
      <c r="AH5" s="41">
        <v>75591</v>
      </c>
      <c r="AI5" s="41">
        <v>76455</v>
      </c>
      <c r="AJ5" s="41">
        <v>77322</v>
      </c>
      <c r="AK5" s="41">
        <v>78202</v>
      </c>
      <c r="AL5" s="41">
        <v>79119</v>
      </c>
      <c r="AM5" s="41">
        <v>80031</v>
      </c>
      <c r="AN5" s="41">
        <v>80932</v>
      </c>
      <c r="AO5" s="41">
        <v>81843</v>
      </c>
      <c r="AP5" s="41">
        <v>82746</v>
      </c>
      <c r="AQ5" s="41">
        <v>83656</v>
      </c>
      <c r="AR5" s="41">
        <v>84544</v>
      </c>
      <c r="AS5" s="41">
        <v>85408</v>
      </c>
      <c r="AT5" s="41">
        <v>86263</v>
      </c>
      <c r="AU5" s="41">
        <v>87105</v>
      </c>
      <c r="AV5" s="41">
        <v>87949</v>
      </c>
      <c r="AW5" s="41">
        <v>88784</v>
      </c>
      <c r="AX5" s="41">
        <v>89583</v>
      </c>
      <c r="AY5" s="41">
        <v>90348</v>
      </c>
    </row>
    <row r="6" spans="1:51">
      <c r="A6" s="38" t="s">
        <v>122</v>
      </c>
      <c r="B6" s="38" t="s">
        <v>123</v>
      </c>
      <c r="C6" s="41">
        <v>43654</v>
      </c>
      <c r="D6" s="41">
        <v>43972</v>
      </c>
      <c r="E6" s="41">
        <v>44283</v>
      </c>
      <c r="F6" s="41">
        <v>44693</v>
      </c>
      <c r="G6" s="41">
        <v>44864</v>
      </c>
      <c r="H6" s="41">
        <v>44973</v>
      </c>
      <c r="I6" s="41">
        <v>45207</v>
      </c>
      <c r="J6" s="41">
        <v>45331</v>
      </c>
      <c r="K6" s="41">
        <v>45690</v>
      </c>
      <c r="L6" s="41">
        <v>46003</v>
      </c>
      <c r="M6" s="41">
        <v>46649</v>
      </c>
      <c r="N6" s="41">
        <v>47146</v>
      </c>
      <c r="O6" s="41">
        <v>47463</v>
      </c>
      <c r="P6" s="41">
        <v>48008</v>
      </c>
      <c r="Q6" s="41">
        <v>48520</v>
      </c>
      <c r="R6" s="41">
        <v>48918</v>
      </c>
      <c r="S6" s="41">
        <v>49200</v>
      </c>
      <c r="T6" s="41">
        <v>49668</v>
      </c>
      <c r="U6" s="41">
        <v>50074</v>
      </c>
      <c r="V6" s="41">
        <v>50470</v>
      </c>
      <c r="W6" s="41">
        <v>50988</v>
      </c>
      <c r="X6" s="41">
        <v>51293</v>
      </c>
      <c r="Y6" s="41">
        <v>51962</v>
      </c>
      <c r="Z6" s="41">
        <v>52510</v>
      </c>
      <c r="AA6" s="41">
        <v>52977</v>
      </c>
      <c r="AB6" s="41">
        <v>53514</v>
      </c>
      <c r="AC6" s="41">
        <v>54054</v>
      </c>
      <c r="AD6" s="41">
        <v>54577</v>
      </c>
      <c r="AE6" s="41">
        <v>55098</v>
      </c>
      <c r="AF6" s="41">
        <v>55608</v>
      </c>
      <c r="AG6" s="41">
        <v>56108</v>
      </c>
      <c r="AH6" s="41">
        <v>56582</v>
      </c>
      <c r="AI6" s="41">
        <v>57043</v>
      </c>
      <c r="AJ6" s="41">
        <v>57495</v>
      </c>
      <c r="AK6" s="41">
        <v>57933</v>
      </c>
      <c r="AL6" s="41">
        <v>58360</v>
      </c>
      <c r="AM6" s="41">
        <v>58762</v>
      </c>
      <c r="AN6" s="41">
        <v>59160</v>
      </c>
      <c r="AO6" s="41">
        <v>59555</v>
      </c>
      <c r="AP6" s="41">
        <v>59950</v>
      </c>
      <c r="AQ6" s="41">
        <v>60331</v>
      </c>
      <c r="AR6" s="41">
        <v>60702</v>
      </c>
      <c r="AS6" s="41">
        <v>61067</v>
      </c>
      <c r="AT6" s="41">
        <v>61425</v>
      </c>
      <c r="AU6" s="41">
        <v>61778</v>
      </c>
      <c r="AV6" s="41">
        <v>62125</v>
      </c>
      <c r="AW6" s="41">
        <v>62476</v>
      </c>
      <c r="AX6" s="41">
        <v>62810</v>
      </c>
      <c r="AY6" s="41">
        <v>63135</v>
      </c>
    </row>
    <row r="7" spans="1:51">
      <c r="A7" s="38" t="s">
        <v>124</v>
      </c>
      <c r="B7" s="38" t="s">
        <v>125</v>
      </c>
      <c r="C7" s="41">
        <v>36769</v>
      </c>
      <c r="D7" s="41">
        <v>36966</v>
      </c>
      <c r="E7" s="41">
        <v>37105</v>
      </c>
      <c r="F7" s="41">
        <v>37460</v>
      </c>
      <c r="G7" s="41">
        <v>38149</v>
      </c>
      <c r="H7" s="41">
        <v>38767</v>
      </c>
      <c r="I7" s="41">
        <v>39261</v>
      </c>
      <c r="J7" s="41">
        <v>39482</v>
      </c>
      <c r="K7" s="41">
        <v>40244</v>
      </c>
      <c r="L7" s="41">
        <v>40919</v>
      </c>
      <c r="M7" s="41">
        <v>41676</v>
      </c>
      <c r="N7" s="41">
        <v>42165</v>
      </c>
      <c r="O7" s="41">
        <v>42685</v>
      </c>
      <c r="P7" s="41">
        <v>43266</v>
      </c>
      <c r="Q7" s="41">
        <v>44085</v>
      </c>
      <c r="R7" s="41">
        <v>44887</v>
      </c>
      <c r="S7" s="41">
        <v>45632</v>
      </c>
      <c r="T7" s="41">
        <v>46210</v>
      </c>
      <c r="U7" s="41">
        <v>46733</v>
      </c>
      <c r="V7" s="41">
        <v>47304</v>
      </c>
      <c r="W7" s="41">
        <v>47977</v>
      </c>
      <c r="X7" s="41">
        <v>48849</v>
      </c>
      <c r="Y7" s="41">
        <v>49574</v>
      </c>
      <c r="Z7" s="41">
        <v>50386</v>
      </c>
      <c r="AA7" s="41">
        <v>51166</v>
      </c>
      <c r="AB7" s="41">
        <v>51948</v>
      </c>
      <c r="AC7" s="41">
        <v>52768</v>
      </c>
      <c r="AD7" s="41">
        <v>53561</v>
      </c>
      <c r="AE7" s="41">
        <v>54348</v>
      </c>
      <c r="AF7" s="41">
        <v>55118</v>
      </c>
      <c r="AG7" s="41">
        <v>55885</v>
      </c>
      <c r="AH7" s="41">
        <v>56660</v>
      </c>
      <c r="AI7" s="41">
        <v>57408</v>
      </c>
      <c r="AJ7" s="41">
        <v>58155</v>
      </c>
      <c r="AK7" s="41">
        <v>58865</v>
      </c>
      <c r="AL7" s="41">
        <v>59585</v>
      </c>
      <c r="AM7" s="41">
        <v>60302</v>
      </c>
      <c r="AN7" s="41">
        <v>61004</v>
      </c>
      <c r="AO7" s="41">
        <v>61703</v>
      </c>
      <c r="AP7" s="41">
        <v>62375</v>
      </c>
      <c r="AQ7" s="41">
        <v>63056</v>
      </c>
      <c r="AR7" s="41">
        <v>63730</v>
      </c>
      <c r="AS7" s="41">
        <v>64387</v>
      </c>
      <c r="AT7" s="41">
        <v>65031</v>
      </c>
      <c r="AU7" s="41">
        <v>65662</v>
      </c>
      <c r="AV7" s="41">
        <v>66305</v>
      </c>
      <c r="AW7" s="41">
        <v>66945</v>
      </c>
      <c r="AX7" s="41">
        <v>67568</v>
      </c>
      <c r="AY7" s="41">
        <v>68168</v>
      </c>
    </row>
    <row r="8" spans="1:51">
      <c r="A8" s="38" t="s">
        <v>126</v>
      </c>
      <c r="B8" s="38" t="s">
        <v>127</v>
      </c>
      <c r="C8" s="41">
        <v>31841</v>
      </c>
      <c r="D8" s="41">
        <v>32026</v>
      </c>
      <c r="E8" s="41">
        <v>32316</v>
      </c>
      <c r="F8" s="41">
        <v>32366</v>
      </c>
      <c r="G8" s="41">
        <v>32787</v>
      </c>
      <c r="H8" s="41">
        <v>33139</v>
      </c>
      <c r="I8" s="41">
        <v>33350</v>
      </c>
      <c r="J8" s="41">
        <v>33761</v>
      </c>
      <c r="K8" s="41">
        <v>34070</v>
      </c>
      <c r="L8" s="41">
        <v>34561</v>
      </c>
      <c r="M8" s="41">
        <v>34970</v>
      </c>
      <c r="N8" s="41">
        <v>35206</v>
      </c>
      <c r="O8" s="41">
        <v>35597</v>
      </c>
      <c r="P8" s="41">
        <v>35836</v>
      </c>
      <c r="Q8" s="41">
        <v>36098</v>
      </c>
      <c r="R8" s="41">
        <v>36469</v>
      </c>
      <c r="S8" s="41">
        <v>36717</v>
      </c>
      <c r="T8" s="41">
        <v>36984</v>
      </c>
      <c r="U8" s="41">
        <v>37144</v>
      </c>
      <c r="V8" s="41">
        <v>37413</v>
      </c>
      <c r="W8" s="41">
        <v>37605</v>
      </c>
      <c r="X8" s="41">
        <v>37819</v>
      </c>
      <c r="Y8" s="41">
        <v>38115</v>
      </c>
      <c r="Z8" s="41">
        <v>38476</v>
      </c>
      <c r="AA8" s="41">
        <v>38726</v>
      </c>
      <c r="AB8" s="41">
        <v>39020</v>
      </c>
      <c r="AC8" s="41">
        <v>39329</v>
      </c>
      <c r="AD8" s="41">
        <v>39628</v>
      </c>
      <c r="AE8" s="41">
        <v>39946</v>
      </c>
      <c r="AF8" s="41">
        <v>40249</v>
      </c>
      <c r="AG8" s="41">
        <v>40552</v>
      </c>
      <c r="AH8" s="41">
        <v>40851</v>
      </c>
      <c r="AI8" s="41">
        <v>41141</v>
      </c>
      <c r="AJ8" s="41">
        <v>41445</v>
      </c>
      <c r="AK8" s="41">
        <v>41741</v>
      </c>
      <c r="AL8" s="41">
        <v>42036</v>
      </c>
      <c r="AM8" s="41">
        <v>42330</v>
      </c>
      <c r="AN8" s="41">
        <v>42608</v>
      </c>
      <c r="AO8" s="41">
        <v>42878</v>
      </c>
      <c r="AP8" s="41">
        <v>43149</v>
      </c>
      <c r="AQ8" s="41">
        <v>43414</v>
      </c>
      <c r="AR8" s="41">
        <v>43652</v>
      </c>
      <c r="AS8" s="41">
        <v>43891</v>
      </c>
      <c r="AT8" s="41">
        <v>44125</v>
      </c>
      <c r="AU8" s="41">
        <v>44352</v>
      </c>
      <c r="AV8" s="41">
        <v>44582</v>
      </c>
      <c r="AW8" s="41">
        <v>44800</v>
      </c>
      <c r="AX8" s="41">
        <v>45005</v>
      </c>
      <c r="AY8" s="41">
        <v>45204</v>
      </c>
    </row>
    <row r="9" spans="1:51">
      <c r="A9" s="38" t="s">
        <v>129</v>
      </c>
      <c r="B9" s="38" t="s">
        <v>130</v>
      </c>
      <c r="C9" s="41">
        <v>63055</v>
      </c>
      <c r="D9" s="41">
        <v>63228</v>
      </c>
      <c r="E9" s="41">
        <v>63176</v>
      </c>
      <c r="F9" s="41">
        <v>63407</v>
      </c>
      <c r="G9" s="41">
        <v>63590</v>
      </c>
      <c r="H9" s="41">
        <v>63600</v>
      </c>
      <c r="I9" s="41">
        <v>63865</v>
      </c>
      <c r="J9" s="41">
        <v>64932</v>
      </c>
      <c r="K9" s="41">
        <v>65560</v>
      </c>
      <c r="L9" s="41">
        <v>66292</v>
      </c>
      <c r="M9" s="41">
        <v>67233</v>
      </c>
      <c r="N9" s="41">
        <v>67369</v>
      </c>
      <c r="O9" s="41">
        <v>67063</v>
      </c>
      <c r="P9" s="41">
        <v>66440</v>
      </c>
      <c r="Q9" s="41">
        <v>66283</v>
      </c>
      <c r="R9" s="41">
        <v>66139</v>
      </c>
      <c r="S9" s="41">
        <v>66027</v>
      </c>
      <c r="T9" s="41">
        <v>66611</v>
      </c>
      <c r="U9" s="41">
        <v>67736</v>
      </c>
      <c r="V9" s="41">
        <v>69149</v>
      </c>
      <c r="W9" s="41">
        <v>70140</v>
      </c>
      <c r="X9" s="41">
        <v>71095</v>
      </c>
      <c r="Y9" s="41">
        <v>72360</v>
      </c>
      <c r="Z9" s="41">
        <v>73746</v>
      </c>
      <c r="AA9" s="41">
        <v>75421</v>
      </c>
      <c r="AB9" s="41">
        <v>77025</v>
      </c>
      <c r="AC9" s="41">
        <v>78629</v>
      </c>
      <c r="AD9" s="41">
        <v>80293</v>
      </c>
      <c r="AE9" s="41">
        <v>81896</v>
      </c>
      <c r="AF9" s="41">
        <v>83521</v>
      </c>
      <c r="AG9" s="41">
        <v>85126</v>
      </c>
      <c r="AH9" s="41">
        <v>86726</v>
      </c>
      <c r="AI9" s="41">
        <v>88340</v>
      </c>
      <c r="AJ9" s="41">
        <v>89914</v>
      </c>
      <c r="AK9" s="41">
        <v>91497</v>
      </c>
      <c r="AL9" s="41">
        <v>93086</v>
      </c>
      <c r="AM9" s="41">
        <v>94688</v>
      </c>
      <c r="AN9" s="41">
        <v>96270</v>
      </c>
      <c r="AO9" s="41">
        <v>97790</v>
      </c>
      <c r="AP9" s="41">
        <v>99305</v>
      </c>
      <c r="AQ9" s="41">
        <v>100816</v>
      </c>
      <c r="AR9" s="41">
        <v>102327</v>
      </c>
      <c r="AS9" s="41">
        <v>103811</v>
      </c>
      <c r="AT9" s="41">
        <v>105240</v>
      </c>
      <c r="AU9" s="41">
        <v>106663</v>
      </c>
      <c r="AV9" s="41">
        <v>108090</v>
      </c>
      <c r="AW9" s="41">
        <v>109561</v>
      </c>
      <c r="AX9" s="41">
        <v>110995</v>
      </c>
      <c r="AY9" s="41">
        <v>112380</v>
      </c>
    </row>
    <row r="10" spans="1:51">
      <c r="A10" s="38" t="s">
        <v>132</v>
      </c>
      <c r="B10" s="38" t="s">
        <v>133</v>
      </c>
      <c r="C10" s="41">
        <v>116579</v>
      </c>
      <c r="D10" s="41">
        <v>116307</v>
      </c>
      <c r="E10" s="41">
        <v>116357</v>
      </c>
      <c r="F10" s="41">
        <v>116630</v>
      </c>
      <c r="G10" s="41">
        <v>117041</v>
      </c>
      <c r="H10" s="41">
        <v>118354</v>
      </c>
      <c r="I10" s="41">
        <v>118849</v>
      </c>
      <c r="J10" s="41">
        <v>120307</v>
      </c>
      <c r="K10" s="41">
        <v>123195</v>
      </c>
      <c r="L10" s="41">
        <v>124849</v>
      </c>
      <c r="M10" s="41">
        <v>127008</v>
      </c>
      <c r="N10" s="41">
        <v>127265</v>
      </c>
      <c r="O10" s="41">
        <v>127265</v>
      </c>
      <c r="P10" s="41">
        <v>127516</v>
      </c>
      <c r="Q10" s="41">
        <v>128459</v>
      </c>
      <c r="R10" s="41">
        <v>129006</v>
      </c>
      <c r="S10" s="41">
        <v>129827</v>
      </c>
      <c r="T10" s="41">
        <v>131127</v>
      </c>
      <c r="U10" s="41">
        <v>133255</v>
      </c>
      <c r="V10" s="41">
        <v>134819</v>
      </c>
      <c r="W10" s="41">
        <v>136383</v>
      </c>
      <c r="X10" s="41">
        <v>139080</v>
      </c>
      <c r="Y10" s="41">
        <v>141811</v>
      </c>
      <c r="Z10" s="41">
        <v>144834</v>
      </c>
      <c r="AA10" s="41">
        <v>148176</v>
      </c>
      <c r="AB10" s="41">
        <v>151346</v>
      </c>
      <c r="AC10" s="41">
        <v>154401</v>
      </c>
      <c r="AD10" s="41">
        <v>157488</v>
      </c>
      <c r="AE10" s="41">
        <v>160518</v>
      </c>
      <c r="AF10" s="41">
        <v>163520</v>
      </c>
      <c r="AG10" s="41">
        <v>166456</v>
      </c>
      <c r="AH10" s="41">
        <v>169338</v>
      </c>
      <c r="AI10" s="41">
        <v>172227</v>
      </c>
      <c r="AJ10" s="41">
        <v>175090</v>
      </c>
      <c r="AK10" s="41">
        <v>177962</v>
      </c>
      <c r="AL10" s="41">
        <v>180820</v>
      </c>
      <c r="AM10" s="41">
        <v>183635</v>
      </c>
      <c r="AN10" s="41">
        <v>186403</v>
      </c>
      <c r="AO10" s="41">
        <v>189150</v>
      </c>
      <c r="AP10" s="41">
        <v>191883</v>
      </c>
      <c r="AQ10" s="41">
        <v>194597</v>
      </c>
      <c r="AR10" s="41">
        <v>197248</v>
      </c>
      <c r="AS10" s="41">
        <v>199837</v>
      </c>
      <c r="AT10" s="41">
        <v>202394</v>
      </c>
      <c r="AU10" s="41">
        <v>204918</v>
      </c>
      <c r="AV10" s="41">
        <v>207430</v>
      </c>
      <c r="AW10" s="41">
        <v>209925</v>
      </c>
      <c r="AX10" s="41">
        <v>212361</v>
      </c>
      <c r="AY10" s="41">
        <v>214739</v>
      </c>
    </row>
    <row r="11" spans="1:51">
      <c r="A11" s="38" t="s">
        <v>134</v>
      </c>
      <c r="B11" s="38" t="s">
        <v>135</v>
      </c>
      <c r="C11" s="41">
        <v>89908</v>
      </c>
      <c r="D11" s="41">
        <v>90065</v>
      </c>
      <c r="E11" s="41">
        <v>90336</v>
      </c>
      <c r="F11" s="41">
        <v>90707</v>
      </c>
      <c r="G11" s="41">
        <v>91035</v>
      </c>
      <c r="H11" s="41">
        <v>91244</v>
      </c>
      <c r="I11" s="41">
        <v>91400</v>
      </c>
      <c r="J11" s="41">
        <v>91580</v>
      </c>
      <c r="K11" s="41">
        <v>91364</v>
      </c>
      <c r="L11" s="41">
        <v>91456</v>
      </c>
      <c r="M11" s="41">
        <v>92025</v>
      </c>
      <c r="N11" s="41">
        <v>92696</v>
      </c>
      <c r="O11" s="41">
        <v>93417</v>
      </c>
      <c r="P11" s="41">
        <v>94151</v>
      </c>
      <c r="Q11" s="41">
        <v>95123</v>
      </c>
      <c r="R11" s="41">
        <v>96185</v>
      </c>
      <c r="S11" s="41">
        <v>97035</v>
      </c>
      <c r="T11" s="41">
        <v>98103</v>
      </c>
      <c r="U11" s="41">
        <v>99020</v>
      </c>
      <c r="V11" s="41">
        <v>99859</v>
      </c>
      <c r="W11" s="41">
        <v>100982</v>
      </c>
      <c r="X11" s="41">
        <v>101869</v>
      </c>
      <c r="Y11" s="41">
        <v>102905</v>
      </c>
      <c r="Z11" s="41">
        <v>104009</v>
      </c>
      <c r="AA11" s="41">
        <v>104814</v>
      </c>
      <c r="AB11" s="41">
        <v>105792</v>
      </c>
      <c r="AC11" s="41">
        <v>106733</v>
      </c>
      <c r="AD11" s="41">
        <v>107688</v>
      </c>
      <c r="AE11" s="41">
        <v>108604</v>
      </c>
      <c r="AF11" s="41">
        <v>109460</v>
      </c>
      <c r="AG11" s="41">
        <v>110356</v>
      </c>
      <c r="AH11" s="41">
        <v>111206</v>
      </c>
      <c r="AI11" s="41">
        <v>112041</v>
      </c>
      <c r="AJ11" s="41">
        <v>112867</v>
      </c>
      <c r="AK11" s="41">
        <v>113661</v>
      </c>
      <c r="AL11" s="41">
        <v>114490</v>
      </c>
      <c r="AM11" s="41">
        <v>115306</v>
      </c>
      <c r="AN11" s="41">
        <v>116113</v>
      </c>
      <c r="AO11" s="41">
        <v>116910</v>
      </c>
      <c r="AP11" s="41">
        <v>117689</v>
      </c>
      <c r="AQ11" s="41">
        <v>118490</v>
      </c>
      <c r="AR11" s="41">
        <v>119291</v>
      </c>
      <c r="AS11" s="41">
        <v>120055</v>
      </c>
      <c r="AT11" s="41">
        <v>120758</v>
      </c>
      <c r="AU11" s="41">
        <v>121417</v>
      </c>
      <c r="AV11" s="41">
        <v>122081</v>
      </c>
      <c r="AW11" s="41">
        <v>122736</v>
      </c>
      <c r="AX11" s="41">
        <v>123356</v>
      </c>
      <c r="AY11" s="41">
        <v>123939</v>
      </c>
    </row>
    <row r="12" spans="1:51">
      <c r="A12" s="38" t="s">
        <v>137</v>
      </c>
      <c r="B12" s="38" t="s">
        <v>138</v>
      </c>
      <c r="C12" s="41">
        <v>29901</v>
      </c>
      <c r="D12" s="41">
        <v>30123</v>
      </c>
      <c r="E12" s="41">
        <v>30257</v>
      </c>
      <c r="F12" s="41">
        <v>30025</v>
      </c>
      <c r="G12" s="41">
        <v>30144</v>
      </c>
      <c r="H12" s="41">
        <v>30308</v>
      </c>
      <c r="I12" s="41">
        <v>30293</v>
      </c>
      <c r="J12" s="41">
        <v>30241</v>
      </c>
      <c r="K12" s="41">
        <v>30571</v>
      </c>
      <c r="L12" s="41">
        <v>30511</v>
      </c>
      <c r="M12" s="41">
        <v>30510</v>
      </c>
      <c r="N12" s="41">
        <v>30418</v>
      </c>
      <c r="O12" s="41">
        <v>30434</v>
      </c>
      <c r="P12" s="41">
        <v>30528</v>
      </c>
      <c r="Q12" s="41">
        <v>30620</v>
      </c>
      <c r="R12" s="41">
        <v>30721</v>
      </c>
      <c r="S12" s="41">
        <v>30751</v>
      </c>
      <c r="T12" s="41">
        <v>30840</v>
      </c>
      <c r="U12" s="41">
        <v>31005</v>
      </c>
      <c r="V12" s="41">
        <v>31129</v>
      </c>
      <c r="W12" s="41">
        <v>31192</v>
      </c>
      <c r="X12" s="41">
        <v>31081</v>
      </c>
      <c r="Y12" s="41">
        <v>30865</v>
      </c>
      <c r="Z12" s="41">
        <v>30896</v>
      </c>
      <c r="AA12" s="41">
        <v>30818</v>
      </c>
      <c r="AB12" s="41">
        <v>30769</v>
      </c>
      <c r="AC12" s="41">
        <v>30730</v>
      </c>
      <c r="AD12" s="41">
        <v>30682</v>
      </c>
      <c r="AE12" s="41">
        <v>30647</v>
      </c>
      <c r="AF12" s="41">
        <v>30579</v>
      </c>
      <c r="AG12" s="41">
        <v>30529</v>
      </c>
      <c r="AH12" s="41">
        <v>30463</v>
      </c>
      <c r="AI12" s="41">
        <v>30377</v>
      </c>
      <c r="AJ12" s="41">
        <v>30312</v>
      </c>
      <c r="AK12" s="41">
        <v>30226</v>
      </c>
      <c r="AL12" s="41">
        <v>30151</v>
      </c>
      <c r="AM12" s="41">
        <v>30076</v>
      </c>
      <c r="AN12" s="41">
        <v>29979</v>
      </c>
      <c r="AO12" s="41">
        <v>29905</v>
      </c>
      <c r="AP12" s="41">
        <v>29802</v>
      </c>
      <c r="AQ12" s="41">
        <v>29709</v>
      </c>
      <c r="AR12" s="41">
        <v>29619</v>
      </c>
      <c r="AS12" s="41">
        <v>29518</v>
      </c>
      <c r="AT12" s="41">
        <v>29439</v>
      </c>
      <c r="AU12" s="41">
        <v>29345</v>
      </c>
      <c r="AV12" s="41">
        <v>29258</v>
      </c>
      <c r="AW12" s="41">
        <v>29179</v>
      </c>
      <c r="AX12" s="41">
        <v>29087</v>
      </c>
      <c r="AY12" s="41">
        <v>29006</v>
      </c>
    </row>
    <row r="13" spans="1:51">
      <c r="A13" s="38" t="s">
        <v>139</v>
      </c>
      <c r="B13" s="38" t="s">
        <v>140</v>
      </c>
      <c r="C13" s="41">
        <v>63345</v>
      </c>
      <c r="D13" s="41">
        <v>63460</v>
      </c>
      <c r="E13" s="41">
        <v>63834</v>
      </c>
      <c r="F13" s="41">
        <v>64425</v>
      </c>
      <c r="G13" s="41">
        <v>65194</v>
      </c>
      <c r="H13" s="41">
        <v>65870</v>
      </c>
      <c r="I13" s="41">
        <v>66690</v>
      </c>
      <c r="J13" s="41">
        <v>67135</v>
      </c>
      <c r="K13" s="41">
        <v>67869</v>
      </c>
      <c r="L13" s="41">
        <v>68441</v>
      </c>
      <c r="M13" s="41">
        <v>69340</v>
      </c>
      <c r="N13" s="41">
        <v>69704</v>
      </c>
      <c r="O13" s="41">
        <v>69757</v>
      </c>
      <c r="P13" s="41">
        <v>70059</v>
      </c>
      <c r="Q13" s="41">
        <v>70538</v>
      </c>
      <c r="R13" s="41">
        <v>70969</v>
      </c>
      <c r="S13" s="41">
        <v>71295</v>
      </c>
      <c r="T13" s="41">
        <v>71799</v>
      </c>
      <c r="U13" s="41">
        <v>72160</v>
      </c>
      <c r="V13" s="41">
        <v>72429</v>
      </c>
      <c r="W13" s="41">
        <v>72945</v>
      </c>
      <c r="X13" s="41">
        <v>73663</v>
      </c>
      <c r="Y13" s="41">
        <v>74477</v>
      </c>
      <c r="Z13" s="41">
        <v>75560</v>
      </c>
      <c r="AA13" s="41">
        <v>76315</v>
      </c>
      <c r="AB13" s="41">
        <v>77107</v>
      </c>
      <c r="AC13" s="41">
        <v>77874</v>
      </c>
      <c r="AD13" s="41">
        <v>78667</v>
      </c>
      <c r="AE13" s="41">
        <v>79509</v>
      </c>
      <c r="AF13" s="41">
        <v>80328</v>
      </c>
      <c r="AG13" s="41">
        <v>81102</v>
      </c>
      <c r="AH13" s="41">
        <v>81860</v>
      </c>
      <c r="AI13" s="41">
        <v>82610</v>
      </c>
      <c r="AJ13" s="41">
        <v>83375</v>
      </c>
      <c r="AK13" s="41">
        <v>84124</v>
      </c>
      <c r="AL13" s="41">
        <v>84869</v>
      </c>
      <c r="AM13" s="41">
        <v>85608</v>
      </c>
      <c r="AN13" s="41">
        <v>86354</v>
      </c>
      <c r="AO13" s="41">
        <v>87106</v>
      </c>
      <c r="AP13" s="41">
        <v>87830</v>
      </c>
      <c r="AQ13" s="41">
        <v>88570</v>
      </c>
      <c r="AR13" s="41">
        <v>89312</v>
      </c>
      <c r="AS13" s="41">
        <v>90058</v>
      </c>
      <c r="AT13" s="41">
        <v>90795</v>
      </c>
      <c r="AU13" s="41">
        <v>91502</v>
      </c>
      <c r="AV13" s="41">
        <v>92221</v>
      </c>
      <c r="AW13" s="41">
        <v>92955</v>
      </c>
      <c r="AX13" s="41">
        <v>93680</v>
      </c>
      <c r="AY13" s="41">
        <v>94381</v>
      </c>
    </row>
    <row r="14" spans="1:51">
      <c r="A14" s="38" t="s">
        <v>141</v>
      </c>
      <c r="B14" s="38" t="s">
        <v>142</v>
      </c>
      <c r="C14" s="41">
        <v>55825</v>
      </c>
      <c r="D14" s="41">
        <v>56272</v>
      </c>
      <c r="E14" s="41">
        <v>56903</v>
      </c>
      <c r="F14" s="41">
        <v>57615</v>
      </c>
      <c r="G14" s="41">
        <v>58124</v>
      </c>
      <c r="H14" s="41">
        <v>58753</v>
      </c>
      <c r="I14" s="41">
        <v>59344</v>
      </c>
      <c r="J14" s="41">
        <v>59547</v>
      </c>
      <c r="K14" s="41">
        <v>60527</v>
      </c>
      <c r="L14" s="41">
        <v>61223</v>
      </c>
      <c r="M14" s="41">
        <v>61842</v>
      </c>
      <c r="N14" s="41">
        <v>62314</v>
      </c>
      <c r="O14" s="41">
        <v>62864</v>
      </c>
      <c r="P14" s="41">
        <v>63413</v>
      </c>
      <c r="Q14" s="41">
        <v>64294</v>
      </c>
      <c r="R14" s="41">
        <v>65064</v>
      </c>
      <c r="S14" s="41">
        <v>65817</v>
      </c>
      <c r="T14" s="41">
        <v>66753</v>
      </c>
      <c r="U14" s="41">
        <v>67725</v>
      </c>
      <c r="V14" s="41">
        <v>68673</v>
      </c>
      <c r="W14" s="41">
        <v>69607</v>
      </c>
      <c r="X14" s="41">
        <v>70565</v>
      </c>
      <c r="Y14" s="41">
        <v>71278</v>
      </c>
      <c r="Z14" s="41">
        <v>71895</v>
      </c>
      <c r="AA14" s="41">
        <v>72790</v>
      </c>
      <c r="AB14" s="41">
        <v>73645</v>
      </c>
      <c r="AC14" s="41">
        <v>74485</v>
      </c>
      <c r="AD14" s="41">
        <v>75330</v>
      </c>
      <c r="AE14" s="41">
        <v>76202</v>
      </c>
      <c r="AF14" s="41">
        <v>77024</v>
      </c>
      <c r="AG14" s="41">
        <v>77793</v>
      </c>
      <c r="AH14" s="41">
        <v>78536</v>
      </c>
      <c r="AI14" s="41">
        <v>79262</v>
      </c>
      <c r="AJ14" s="41">
        <v>79994</v>
      </c>
      <c r="AK14" s="41">
        <v>80678</v>
      </c>
      <c r="AL14" s="41">
        <v>81356</v>
      </c>
      <c r="AM14" s="41">
        <v>82019</v>
      </c>
      <c r="AN14" s="41">
        <v>82680</v>
      </c>
      <c r="AO14" s="41">
        <v>83313</v>
      </c>
      <c r="AP14" s="41">
        <v>83940</v>
      </c>
      <c r="AQ14" s="41">
        <v>84556</v>
      </c>
      <c r="AR14" s="41">
        <v>85164</v>
      </c>
      <c r="AS14" s="41">
        <v>85770</v>
      </c>
      <c r="AT14" s="41">
        <v>86351</v>
      </c>
      <c r="AU14" s="41">
        <v>86911</v>
      </c>
      <c r="AV14" s="41">
        <v>87473</v>
      </c>
      <c r="AW14" s="41">
        <v>88020</v>
      </c>
      <c r="AX14" s="41">
        <v>88548</v>
      </c>
      <c r="AY14" s="41">
        <v>89036</v>
      </c>
    </row>
    <row r="15" spans="1:51">
      <c r="A15" s="38" t="s">
        <v>143</v>
      </c>
      <c r="B15" s="38" t="s">
        <v>144</v>
      </c>
      <c r="C15" s="41">
        <v>41771</v>
      </c>
      <c r="D15" s="41">
        <v>41984</v>
      </c>
      <c r="E15" s="41">
        <v>42181</v>
      </c>
      <c r="F15" s="41">
        <v>42448</v>
      </c>
      <c r="G15" s="41">
        <v>43087</v>
      </c>
      <c r="H15" s="41">
        <v>43271</v>
      </c>
      <c r="I15" s="41">
        <v>43273</v>
      </c>
      <c r="J15" s="41">
        <v>43403</v>
      </c>
      <c r="K15" s="41">
        <v>43869</v>
      </c>
      <c r="L15" s="41">
        <v>44270</v>
      </c>
      <c r="M15" s="41">
        <v>44800</v>
      </c>
      <c r="N15" s="41">
        <v>45059</v>
      </c>
      <c r="O15" s="41">
        <v>45473</v>
      </c>
      <c r="P15" s="41">
        <v>45869</v>
      </c>
      <c r="Q15" s="41">
        <v>46164</v>
      </c>
      <c r="R15" s="41">
        <v>46532</v>
      </c>
      <c r="S15" s="41">
        <v>46767</v>
      </c>
      <c r="T15" s="41">
        <v>47130</v>
      </c>
      <c r="U15" s="41">
        <v>47342</v>
      </c>
      <c r="V15" s="41">
        <v>47655</v>
      </c>
      <c r="W15" s="41">
        <v>47725</v>
      </c>
      <c r="X15" s="41">
        <v>47952</v>
      </c>
      <c r="Y15" s="41">
        <v>48258</v>
      </c>
      <c r="Z15" s="41">
        <v>48613</v>
      </c>
      <c r="AA15" s="41">
        <v>48946</v>
      </c>
      <c r="AB15" s="41">
        <v>49293</v>
      </c>
      <c r="AC15" s="41">
        <v>49637</v>
      </c>
      <c r="AD15" s="41">
        <v>49969</v>
      </c>
      <c r="AE15" s="41">
        <v>50298</v>
      </c>
      <c r="AF15" s="41">
        <v>50619</v>
      </c>
      <c r="AG15" s="41">
        <v>50904</v>
      </c>
      <c r="AH15" s="41">
        <v>51177</v>
      </c>
      <c r="AI15" s="41">
        <v>51445</v>
      </c>
      <c r="AJ15" s="41">
        <v>51710</v>
      </c>
      <c r="AK15" s="41">
        <v>51968</v>
      </c>
      <c r="AL15" s="41">
        <v>52212</v>
      </c>
      <c r="AM15" s="41">
        <v>52444</v>
      </c>
      <c r="AN15" s="41">
        <v>52680</v>
      </c>
      <c r="AO15" s="41">
        <v>52909</v>
      </c>
      <c r="AP15" s="41">
        <v>53133</v>
      </c>
      <c r="AQ15" s="41">
        <v>53350</v>
      </c>
      <c r="AR15" s="41">
        <v>53549</v>
      </c>
      <c r="AS15" s="41">
        <v>53748</v>
      </c>
      <c r="AT15" s="41">
        <v>53939</v>
      </c>
      <c r="AU15" s="41">
        <v>54113</v>
      </c>
      <c r="AV15" s="41">
        <v>54286</v>
      </c>
      <c r="AW15" s="41">
        <v>54450</v>
      </c>
      <c r="AX15" s="41">
        <v>54601</v>
      </c>
      <c r="AY15" s="41">
        <v>54740</v>
      </c>
    </row>
    <row r="16" spans="1:51">
      <c r="A16" s="38" t="s">
        <v>145</v>
      </c>
      <c r="B16" s="38" t="s">
        <v>146</v>
      </c>
      <c r="C16" s="41">
        <v>67110</v>
      </c>
      <c r="D16" s="41">
        <v>67456</v>
      </c>
      <c r="E16" s="41">
        <v>67421</v>
      </c>
      <c r="F16" s="41">
        <v>67871</v>
      </c>
      <c r="G16" s="41">
        <v>68357</v>
      </c>
      <c r="H16" s="41">
        <v>68635</v>
      </c>
      <c r="I16" s="41">
        <v>69143</v>
      </c>
      <c r="J16" s="41">
        <v>69919</v>
      </c>
      <c r="K16" s="41">
        <v>70220</v>
      </c>
      <c r="L16" s="41">
        <v>70883</v>
      </c>
      <c r="M16" s="41">
        <v>71215</v>
      </c>
      <c r="N16" s="41">
        <v>71464</v>
      </c>
      <c r="O16" s="41">
        <v>71685</v>
      </c>
      <c r="P16" s="41">
        <v>71822</v>
      </c>
      <c r="Q16" s="41">
        <v>72028</v>
      </c>
      <c r="R16" s="41">
        <v>72041</v>
      </c>
      <c r="S16" s="41">
        <v>72576</v>
      </c>
      <c r="T16" s="41">
        <v>72977</v>
      </c>
      <c r="U16" s="41">
        <v>73000</v>
      </c>
      <c r="V16" s="41">
        <v>72984</v>
      </c>
      <c r="W16" s="41">
        <v>73291</v>
      </c>
      <c r="X16" s="41">
        <v>73814</v>
      </c>
      <c r="Y16" s="41">
        <v>74552</v>
      </c>
      <c r="Z16" s="41">
        <v>75320</v>
      </c>
      <c r="AA16" s="41">
        <v>75763</v>
      </c>
      <c r="AB16" s="41">
        <v>76313</v>
      </c>
      <c r="AC16" s="41">
        <v>76788</v>
      </c>
      <c r="AD16" s="41">
        <v>77230</v>
      </c>
      <c r="AE16" s="41">
        <v>77708</v>
      </c>
      <c r="AF16" s="41">
        <v>78122</v>
      </c>
      <c r="AG16" s="41">
        <v>78551</v>
      </c>
      <c r="AH16" s="41">
        <v>78943</v>
      </c>
      <c r="AI16" s="41">
        <v>79349</v>
      </c>
      <c r="AJ16" s="41">
        <v>79801</v>
      </c>
      <c r="AK16" s="41">
        <v>80262</v>
      </c>
      <c r="AL16" s="41">
        <v>80765</v>
      </c>
      <c r="AM16" s="41">
        <v>81275</v>
      </c>
      <c r="AN16" s="41">
        <v>81780</v>
      </c>
      <c r="AO16" s="41">
        <v>82293</v>
      </c>
      <c r="AP16" s="41">
        <v>82798</v>
      </c>
      <c r="AQ16" s="41">
        <v>83327</v>
      </c>
      <c r="AR16" s="41">
        <v>83850</v>
      </c>
      <c r="AS16" s="41">
        <v>84322</v>
      </c>
      <c r="AT16" s="41">
        <v>84760</v>
      </c>
      <c r="AU16" s="41">
        <v>85174</v>
      </c>
      <c r="AV16" s="41">
        <v>85597</v>
      </c>
      <c r="AW16" s="41">
        <v>86024</v>
      </c>
      <c r="AX16" s="41">
        <v>86423</v>
      </c>
      <c r="AY16" s="41">
        <v>86799</v>
      </c>
    </row>
    <row r="17" spans="1:51">
      <c r="A17" s="38" t="s">
        <v>148</v>
      </c>
      <c r="B17" s="38" t="s">
        <v>149</v>
      </c>
      <c r="C17" s="41">
        <v>53341</v>
      </c>
      <c r="D17" s="41">
        <v>54156</v>
      </c>
      <c r="E17" s="41">
        <v>54401</v>
      </c>
      <c r="F17" s="41">
        <v>54713</v>
      </c>
      <c r="G17" s="41">
        <v>55094</v>
      </c>
      <c r="H17" s="41">
        <v>55562</v>
      </c>
      <c r="I17" s="41">
        <v>56439</v>
      </c>
      <c r="J17" s="41">
        <v>57032</v>
      </c>
      <c r="K17" s="41">
        <v>57915</v>
      </c>
      <c r="L17" s="41">
        <v>58901</v>
      </c>
      <c r="M17" s="41">
        <v>59799</v>
      </c>
      <c r="N17" s="41">
        <v>60585</v>
      </c>
      <c r="O17" s="41">
        <v>61123</v>
      </c>
      <c r="P17" s="41">
        <v>61409</v>
      </c>
      <c r="Q17" s="41">
        <v>61751</v>
      </c>
      <c r="R17" s="41">
        <v>62030</v>
      </c>
      <c r="S17" s="41">
        <v>62275</v>
      </c>
      <c r="T17" s="41">
        <v>62761</v>
      </c>
      <c r="U17" s="41">
        <v>63070</v>
      </c>
      <c r="V17" s="41">
        <v>63471</v>
      </c>
      <c r="W17" s="41">
        <v>64001</v>
      </c>
      <c r="X17" s="41">
        <v>64765</v>
      </c>
      <c r="Y17" s="41">
        <v>65801</v>
      </c>
      <c r="Z17" s="41">
        <v>67043</v>
      </c>
      <c r="AA17" s="41">
        <v>68060</v>
      </c>
      <c r="AB17" s="41">
        <v>69126</v>
      </c>
      <c r="AC17" s="41">
        <v>70142</v>
      </c>
      <c r="AD17" s="41">
        <v>71179</v>
      </c>
      <c r="AE17" s="41">
        <v>72201</v>
      </c>
      <c r="AF17" s="41">
        <v>73182</v>
      </c>
      <c r="AG17" s="41">
        <v>74185</v>
      </c>
      <c r="AH17" s="41">
        <v>75168</v>
      </c>
      <c r="AI17" s="41">
        <v>76152</v>
      </c>
      <c r="AJ17" s="41">
        <v>77145</v>
      </c>
      <c r="AK17" s="41">
        <v>78113</v>
      </c>
      <c r="AL17" s="41">
        <v>79108</v>
      </c>
      <c r="AM17" s="41">
        <v>80093</v>
      </c>
      <c r="AN17" s="41">
        <v>81076</v>
      </c>
      <c r="AO17" s="41">
        <v>82065</v>
      </c>
      <c r="AP17" s="41">
        <v>83033</v>
      </c>
      <c r="AQ17" s="41">
        <v>83992</v>
      </c>
      <c r="AR17" s="41">
        <v>84936</v>
      </c>
      <c r="AS17" s="41">
        <v>85870</v>
      </c>
      <c r="AT17" s="41">
        <v>86808</v>
      </c>
      <c r="AU17" s="41">
        <v>87721</v>
      </c>
      <c r="AV17" s="41">
        <v>88648</v>
      </c>
      <c r="AW17" s="41">
        <v>89579</v>
      </c>
      <c r="AX17" s="41">
        <v>90499</v>
      </c>
      <c r="AY17" s="41">
        <v>91398</v>
      </c>
    </row>
    <row r="18" spans="1:51">
      <c r="A18" s="38" t="s">
        <v>150</v>
      </c>
      <c r="B18" s="38" t="s">
        <v>151</v>
      </c>
      <c r="C18" s="41">
        <v>86195</v>
      </c>
      <c r="D18" s="41">
        <v>86494</v>
      </c>
      <c r="E18" s="41">
        <v>86871</v>
      </c>
      <c r="F18" s="41">
        <v>87336</v>
      </c>
      <c r="G18" s="41">
        <v>87561</v>
      </c>
      <c r="H18" s="41">
        <v>87449</v>
      </c>
      <c r="I18" s="41">
        <v>86995</v>
      </c>
      <c r="J18" s="41">
        <v>87472</v>
      </c>
      <c r="K18" s="41">
        <v>88264</v>
      </c>
      <c r="L18" s="41">
        <v>89177</v>
      </c>
      <c r="M18" s="41">
        <v>89702</v>
      </c>
      <c r="N18" s="41">
        <v>89716</v>
      </c>
      <c r="O18" s="41">
        <v>89954</v>
      </c>
      <c r="P18" s="41">
        <v>90086</v>
      </c>
      <c r="Q18" s="41">
        <v>90397</v>
      </c>
      <c r="R18" s="41">
        <v>90561</v>
      </c>
      <c r="S18" s="41">
        <v>90700</v>
      </c>
      <c r="T18" s="41">
        <v>91225</v>
      </c>
      <c r="U18" s="41">
        <v>91718</v>
      </c>
      <c r="V18" s="41">
        <v>92392</v>
      </c>
      <c r="W18" s="41">
        <v>92943</v>
      </c>
      <c r="X18" s="41">
        <v>93380</v>
      </c>
      <c r="Y18" s="41">
        <v>94395</v>
      </c>
      <c r="Z18" s="41">
        <v>95779</v>
      </c>
      <c r="AA18" s="41">
        <v>96857</v>
      </c>
      <c r="AB18" s="41">
        <v>98034</v>
      </c>
      <c r="AC18" s="41">
        <v>99160</v>
      </c>
      <c r="AD18" s="41">
        <v>100338</v>
      </c>
      <c r="AE18" s="41">
        <v>101601</v>
      </c>
      <c r="AF18" s="41">
        <v>102840</v>
      </c>
      <c r="AG18" s="41">
        <v>104115</v>
      </c>
      <c r="AH18" s="41">
        <v>105330</v>
      </c>
      <c r="AI18" s="41">
        <v>106565</v>
      </c>
      <c r="AJ18" s="41">
        <v>107804</v>
      </c>
      <c r="AK18" s="41">
        <v>109049</v>
      </c>
      <c r="AL18" s="41">
        <v>110344</v>
      </c>
      <c r="AM18" s="41">
        <v>111619</v>
      </c>
      <c r="AN18" s="41">
        <v>112902</v>
      </c>
      <c r="AO18" s="41">
        <v>114198</v>
      </c>
      <c r="AP18" s="41">
        <v>115506</v>
      </c>
      <c r="AQ18" s="41">
        <v>116834</v>
      </c>
      <c r="AR18" s="41">
        <v>118143</v>
      </c>
      <c r="AS18" s="41">
        <v>119441</v>
      </c>
      <c r="AT18" s="41">
        <v>120731</v>
      </c>
      <c r="AU18" s="41">
        <v>122032</v>
      </c>
      <c r="AV18" s="41">
        <v>123365</v>
      </c>
      <c r="AW18" s="41">
        <v>124721</v>
      </c>
      <c r="AX18" s="41">
        <v>126047</v>
      </c>
      <c r="AY18" s="41">
        <v>127346</v>
      </c>
    </row>
    <row r="19" spans="1:51">
      <c r="A19" s="38" t="s">
        <v>152</v>
      </c>
      <c r="B19" s="38" t="s">
        <v>153</v>
      </c>
      <c r="C19" s="41">
        <v>390059</v>
      </c>
      <c r="D19" s="41">
        <v>389891</v>
      </c>
      <c r="E19" s="41">
        <v>390954</v>
      </c>
      <c r="F19" s="41">
        <v>389012</v>
      </c>
      <c r="G19" s="41">
        <v>388566</v>
      </c>
      <c r="H19" s="41">
        <v>389792</v>
      </c>
      <c r="I19" s="41">
        <v>387939</v>
      </c>
      <c r="J19" s="41">
        <v>388780</v>
      </c>
      <c r="K19" s="41">
        <v>388429</v>
      </c>
      <c r="L19" s="41">
        <v>388441</v>
      </c>
      <c r="M19" s="41">
        <v>390506</v>
      </c>
      <c r="N19" s="41">
        <v>391721</v>
      </c>
      <c r="O19" s="41">
        <v>392324</v>
      </c>
      <c r="P19" s="41">
        <v>392737</v>
      </c>
      <c r="Q19" s="41">
        <v>396295</v>
      </c>
      <c r="R19" s="41">
        <v>397317</v>
      </c>
      <c r="S19" s="41">
        <v>399352</v>
      </c>
      <c r="T19" s="41">
        <v>402052</v>
      </c>
      <c r="U19" s="41">
        <v>404754</v>
      </c>
      <c r="V19" s="41">
        <v>407512</v>
      </c>
      <c r="W19" s="41">
        <v>411240</v>
      </c>
      <c r="X19" s="41">
        <v>415469</v>
      </c>
      <c r="Y19" s="41">
        <v>418379</v>
      </c>
      <c r="Z19" s="41">
        <v>422000</v>
      </c>
      <c r="AA19" s="41">
        <v>426575</v>
      </c>
      <c r="AB19" s="41">
        <v>431219</v>
      </c>
      <c r="AC19" s="41">
        <v>435679</v>
      </c>
      <c r="AD19" s="41">
        <v>439997</v>
      </c>
      <c r="AE19" s="41">
        <v>444297</v>
      </c>
      <c r="AF19" s="41">
        <v>448709</v>
      </c>
      <c r="AG19" s="41">
        <v>453146</v>
      </c>
      <c r="AH19" s="41">
        <v>457491</v>
      </c>
      <c r="AI19" s="41">
        <v>461839</v>
      </c>
      <c r="AJ19" s="41">
        <v>466292</v>
      </c>
      <c r="AK19" s="41">
        <v>470837</v>
      </c>
      <c r="AL19" s="41">
        <v>475529</v>
      </c>
      <c r="AM19" s="41">
        <v>480230</v>
      </c>
      <c r="AN19" s="41">
        <v>484935</v>
      </c>
      <c r="AO19" s="41">
        <v>489561</v>
      </c>
      <c r="AP19" s="41">
        <v>494092</v>
      </c>
      <c r="AQ19" s="41">
        <v>498650</v>
      </c>
      <c r="AR19" s="41">
        <v>503230</v>
      </c>
      <c r="AS19" s="41">
        <v>507656</v>
      </c>
      <c r="AT19" s="41">
        <v>511980</v>
      </c>
      <c r="AU19" s="41">
        <v>516206</v>
      </c>
      <c r="AV19" s="41">
        <v>520524</v>
      </c>
      <c r="AW19" s="41">
        <v>524939</v>
      </c>
      <c r="AX19" s="41">
        <v>529286</v>
      </c>
      <c r="AY19" s="41">
        <v>533520</v>
      </c>
    </row>
    <row r="20" spans="1:51">
      <c r="A20" s="38" t="s">
        <v>155</v>
      </c>
      <c r="B20" s="38" t="s">
        <v>156</v>
      </c>
      <c r="C20" s="41">
        <v>31811</v>
      </c>
      <c r="D20" s="41">
        <v>32273</v>
      </c>
      <c r="E20" s="41">
        <v>32715</v>
      </c>
      <c r="F20" s="41">
        <v>33081</v>
      </c>
      <c r="G20" s="41">
        <v>33367</v>
      </c>
      <c r="H20" s="41">
        <v>33809</v>
      </c>
      <c r="I20" s="41">
        <v>34225</v>
      </c>
      <c r="J20" s="41">
        <v>34584</v>
      </c>
      <c r="K20" s="41">
        <v>35072</v>
      </c>
      <c r="L20" s="41">
        <v>35536</v>
      </c>
      <c r="M20" s="41">
        <v>36044</v>
      </c>
      <c r="N20" s="41">
        <v>36566</v>
      </c>
      <c r="O20" s="41">
        <v>36920</v>
      </c>
      <c r="P20" s="41">
        <v>37135</v>
      </c>
      <c r="Q20" s="41">
        <v>37277</v>
      </c>
      <c r="R20" s="41">
        <v>37635</v>
      </c>
      <c r="S20" s="41">
        <v>37938</v>
      </c>
      <c r="T20" s="41">
        <v>38236</v>
      </c>
      <c r="U20" s="41">
        <v>38441</v>
      </c>
      <c r="V20" s="41">
        <v>38631</v>
      </c>
      <c r="W20" s="41">
        <v>38769</v>
      </c>
      <c r="X20" s="41">
        <v>39072</v>
      </c>
      <c r="Y20" s="41">
        <v>39257</v>
      </c>
      <c r="Z20" s="41">
        <v>39555</v>
      </c>
      <c r="AA20" s="41">
        <v>39833</v>
      </c>
      <c r="AB20" s="41">
        <v>40111</v>
      </c>
      <c r="AC20" s="41">
        <v>40388</v>
      </c>
      <c r="AD20" s="41">
        <v>40686</v>
      </c>
      <c r="AE20" s="41">
        <v>41016</v>
      </c>
      <c r="AF20" s="41">
        <v>41328</v>
      </c>
      <c r="AG20" s="41">
        <v>41611</v>
      </c>
      <c r="AH20" s="41">
        <v>41880</v>
      </c>
      <c r="AI20" s="41">
        <v>42154</v>
      </c>
      <c r="AJ20" s="41">
        <v>42439</v>
      </c>
      <c r="AK20" s="41">
        <v>42708</v>
      </c>
      <c r="AL20" s="41">
        <v>42984</v>
      </c>
      <c r="AM20" s="41">
        <v>43248</v>
      </c>
      <c r="AN20" s="41">
        <v>43521</v>
      </c>
      <c r="AO20" s="41">
        <v>43801</v>
      </c>
      <c r="AP20" s="41">
        <v>44074</v>
      </c>
      <c r="AQ20" s="41">
        <v>44344</v>
      </c>
      <c r="AR20" s="41">
        <v>44601</v>
      </c>
      <c r="AS20" s="41">
        <v>44862</v>
      </c>
      <c r="AT20" s="41">
        <v>45098</v>
      </c>
      <c r="AU20" s="41">
        <v>45320</v>
      </c>
      <c r="AV20" s="41">
        <v>45545</v>
      </c>
      <c r="AW20" s="41">
        <v>45763</v>
      </c>
      <c r="AX20" s="41">
        <v>45981</v>
      </c>
      <c r="AY20" s="41">
        <v>46178</v>
      </c>
    </row>
    <row r="21" spans="1:51">
      <c r="A21" s="38" t="s">
        <v>157</v>
      </c>
      <c r="B21" s="38" t="s">
        <v>158</v>
      </c>
      <c r="C21" s="41">
        <v>51518</v>
      </c>
      <c r="D21" s="41">
        <v>51735</v>
      </c>
      <c r="E21" s="41">
        <v>52194</v>
      </c>
      <c r="F21" s="41">
        <v>52507</v>
      </c>
      <c r="G21" s="41">
        <v>52808</v>
      </c>
      <c r="H21" s="41">
        <v>52808</v>
      </c>
      <c r="I21" s="41">
        <v>52930</v>
      </c>
      <c r="J21" s="41">
        <v>53308</v>
      </c>
      <c r="K21" s="41">
        <v>52919</v>
      </c>
      <c r="L21" s="41">
        <v>53054</v>
      </c>
      <c r="M21" s="41">
        <v>53421</v>
      </c>
      <c r="N21" s="41">
        <v>53845</v>
      </c>
      <c r="O21" s="41">
        <v>54266</v>
      </c>
      <c r="P21" s="41">
        <v>54778</v>
      </c>
      <c r="Q21" s="41">
        <v>55106</v>
      </c>
      <c r="R21" s="41">
        <v>55418</v>
      </c>
      <c r="S21" s="41">
        <v>55727</v>
      </c>
      <c r="T21" s="41">
        <v>56211</v>
      </c>
      <c r="U21" s="41">
        <v>56733</v>
      </c>
      <c r="V21" s="41">
        <v>57084</v>
      </c>
      <c r="W21" s="41">
        <v>57443</v>
      </c>
      <c r="X21" s="41">
        <v>57595</v>
      </c>
      <c r="Y21" s="41">
        <v>57440</v>
      </c>
      <c r="Z21" s="41">
        <v>57330</v>
      </c>
      <c r="AA21" s="41">
        <v>57398</v>
      </c>
      <c r="AB21" s="41">
        <v>57502</v>
      </c>
      <c r="AC21" s="41">
        <v>57665</v>
      </c>
      <c r="AD21" s="41">
        <v>57806</v>
      </c>
      <c r="AE21" s="41">
        <v>57959</v>
      </c>
      <c r="AF21" s="41">
        <v>58121</v>
      </c>
      <c r="AG21" s="41">
        <v>58256</v>
      </c>
      <c r="AH21" s="41">
        <v>58418</v>
      </c>
      <c r="AI21" s="41">
        <v>58567</v>
      </c>
      <c r="AJ21" s="41">
        <v>58715</v>
      </c>
      <c r="AK21" s="41">
        <v>58875</v>
      </c>
      <c r="AL21" s="41">
        <v>59016</v>
      </c>
      <c r="AM21" s="41">
        <v>59182</v>
      </c>
      <c r="AN21" s="41">
        <v>59332</v>
      </c>
      <c r="AO21" s="41">
        <v>59470</v>
      </c>
      <c r="AP21" s="41">
        <v>59603</v>
      </c>
      <c r="AQ21" s="41">
        <v>59709</v>
      </c>
      <c r="AR21" s="41">
        <v>59833</v>
      </c>
      <c r="AS21" s="41">
        <v>59946</v>
      </c>
      <c r="AT21" s="41">
        <v>60036</v>
      </c>
      <c r="AU21" s="41">
        <v>60127</v>
      </c>
      <c r="AV21" s="41">
        <v>60198</v>
      </c>
      <c r="AW21" s="41">
        <v>60279</v>
      </c>
      <c r="AX21" s="41">
        <v>60355</v>
      </c>
      <c r="AY21" s="41">
        <v>60406</v>
      </c>
    </row>
    <row r="22" spans="1:51">
      <c r="A22" s="38" t="s">
        <v>159</v>
      </c>
      <c r="B22" s="38" t="s">
        <v>160</v>
      </c>
      <c r="C22" s="41">
        <v>62990</v>
      </c>
      <c r="D22" s="41">
        <v>63907</v>
      </c>
      <c r="E22" s="41">
        <v>64561</v>
      </c>
      <c r="F22" s="41">
        <v>64803</v>
      </c>
      <c r="G22" s="41">
        <v>64834</v>
      </c>
      <c r="H22" s="41">
        <v>64487</v>
      </c>
      <c r="I22" s="41">
        <v>64079</v>
      </c>
      <c r="J22" s="41">
        <v>63779</v>
      </c>
      <c r="K22" s="41">
        <v>63619</v>
      </c>
      <c r="L22" s="41">
        <v>63823</v>
      </c>
      <c r="M22" s="41">
        <v>63725</v>
      </c>
      <c r="N22" s="41">
        <v>63811</v>
      </c>
      <c r="O22" s="41">
        <v>64117</v>
      </c>
      <c r="P22" s="41">
        <v>64299</v>
      </c>
      <c r="Q22" s="41">
        <v>64552</v>
      </c>
      <c r="R22" s="41">
        <v>64698</v>
      </c>
      <c r="S22" s="41">
        <v>64613</v>
      </c>
      <c r="T22" s="41">
        <v>64400</v>
      </c>
      <c r="U22" s="41">
        <v>64412</v>
      </c>
      <c r="V22" s="41">
        <v>64570</v>
      </c>
      <c r="W22" s="41">
        <v>64409</v>
      </c>
      <c r="X22" s="41">
        <v>64413</v>
      </c>
      <c r="Y22" s="41">
        <v>64112</v>
      </c>
      <c r="Z22" s="41">
        <v>63934</v>
      </c>
      <c r="AA22" s="41">
        <v>63880</v>
      </c>
      <c r="AB22" s="41">
        <v>63891</v>
      </c>
      <c r="AC22" s="41">
        <v>63954</v>
      </c>
      <c r="AD22" s="41">
        <v>64001</v>
      </c>
      <c r="AE22" s="41">
        <v>64086</v>
      </c>
      <c r="AF22" s="41">
        <v>64165</v>
      </c>
      <c r="AG22" s="41">
        <v>64243</v>
      </c>
      <c r="AH22" s="41">
        <v>64340</v>
      </c>
      <c r="AI22" s="41">
        <v>64426</v>
      </c>
      <c r="AJ22" s="41">
        <v>64533</v>
      </c>
      <c r="AK22" s="41">
        <v>64648</v>
      </c>
      <c r="AL22" s="41">
        <v>64760</v>
      </c>
      <c r="AM22" s="41">
        <v>64898</v>
      </c>
      <c r="AN22" s="41">
        <v>65037</v>
      </c>
      <c r="AO22" s="41">
        <v>65185</v>
      </c>
      <c r="AP22" s="41">
        <v>65338</v>
      </c>
      <c r="AQ22" s="41">
        <v>65482</v>
      </c>
      <c r="AR22" s="41">
        <v>65637</v>
      </c>
      <c r="AS22" s="41">
        <v>65802</v>
      </c>
      <c r="AT22" s="41">
        <v>65976</v>
      </c>
      <c r="AU22" s="41">
        <v>66151</v>
      </c>
      <c r="AV22" s="41">
        <v>66337</v>
      </c>
      <c r="AW22" s="41">
        <v>66534</v>
      </c>
      <c r="AX22" s="41">
        <v>66728</v>
      </c>
      <c r="AY22" s="41">
        <v>66907</v>
      </c>
    </row>
    <row r="23" spans="1:51">
      <c r="A23" s="38" t="s">
        <v>161</v>
      </c>
      <c r="B23" s="38" t="s">
        <v>162</v>
      </c>
      <c r="C23" s="41">
        <v>28875</v>
      </c>
      <c r="D23" s="41">
        <v>29029</v>
      </c>
      <c r="E23" s="41">
        <v>28960</v>
      </c>
      <c r="F23" s="41">
        <v>28901</v>
      </c>
      <c r="G23" s="41">
        <v>29004</v>
      </c>
      <c r="H23" s="41">
        <v>29130</v>
      </c>
      <c r="I23" s="41">
        <v>29181</v>
      </c>
      <c r="J23" s="41">
        <v>29346</v>
      </c>
      <c r="K23" s="41">
        <v>29542</v>
      </c>
      <c r="L23" s="41">
        <v>29757</v>
      </c>
      <c r="M23" s="41">
        <v>30175</v>
      </c>
      <c r="N23" s="41">
        <v>30484</v>
      </c>
      <c r="O23" s="41">
        <v>30906</v>
      </c>
      <c r="P23" s="41">
        <v>31133</v>
      </c>
      <c r="Q23" s="41">
        <v>31333</v>
      </c>
      <c r="R23" s="41">
        <v>31569</v>
      </c>
      <c r="S23" s="41">
        <v>31811</v>
      </c>
      <c r="T23" s="41">
        <v>32059</v>
      </c>
      <c r="U23" s="41">
        <v>32240</v>
      </c>
      <c r="V23" s="41">
        <v>32608</v>
      </c>
      <c r="W23" s="41">
        <v>32859</v>
      </c>
      <c r="X23" s="41">
        <v>33060</v>
      </c>
      <c r="Y23" s="41">
        <v>33176</v>
      </c>
      <c r="Z23" s="41">
        <v>33472</v>
      </c>
      <c r="AA23" s="41">
        <v>33693</v>
      </c>
      <c r="AB23" s="41">
        <v>33938</v>
      </c>
      <c r="AC23" s="41">
        <v>34164</v>
      </c>
      <c r="AD23" s="41">
        <v>34388</v>
      </c>
      <c r="AE23" s="41">
        <v>34647</v>
      </c>
      <c r="AF23" s="41">
        <v>34890</v>
      </c>
      <c r="AG23" s="41">
        <v>35127</v>
      </c>
      <c r="AH23" s="41">
        <v>35345</v>
      </c>
      <c r="AI23" s="41">
        <v>35560</v>
      </c>
      <c r="AJ23" s="41">
        <v>35790</v>
      </c>
      <c r="AK23" s="41">
        <v>35996</v>
      </c>
      <c r="AL23" s="41">
        <v>36203</v>
      </c>
      <c r="AM23" s="41">
        <v>36386</v>
      </c>
      <c r="AN23" s="41">
        <v>36577</v>
      </c>
      <c r="AO23" s="41">
        <v>36761</v>
      </c>
      <c r="AP23" s="41">
        <v>36930</v>
      </c>
      <c r="AQ23" s="41">
        <v>37101</v>
      </c>
      <c r="AR23" s="41">
        <v>37258</v>
      </c>
      <c r="AS23" s="41">
        <v>37425</v>
      </c>
      <c r="AT23" s="41">
        <v>37573</v>
      </c>
      <c r="AU23" s="41">
        <v>37712</v>
      </c>
      <c r="AV23" s="41">
        <v>37865</v>
      </c>
      <c r="AW23" s="41">
        <v>38022</v>
      </c>
      <c r="AX23" s="41">
        <v>38175</v>
      </c>
      <c r="AY23" s="41">
        <v>38308</v>
      </c>
    </row>
    <row r="24" spans="1:51">
      <c r="A24" s="38" t="s">
        <v>163</v>
      </c>
      <c r="B24" s="38" t="s">
        <v>164</v>
      </c>
      <c r="C24" s="41">
        <v>104072</v>
      </c>
      <c r="D24" s="41">
        <v>104506</v>
      </c>
      <c r="E24" s="41">
        <v>104973</v>
      </c>
      <c r="F24" s="41">
        <v>105424</v>
      </c>
      <c r="G24" s="41">
        <v>105821</v>
      </c>
      <c r="H24" s="41">
        <v>105996</v>
      </c>
      <c r="I24" s="41">
        <v>106341</v>
      </c>
      <c r="J24" s="41">
        <v>107072</v>
      </c>
      <c r="K24" s="41">
        <v>107212</v>
      </c>
      <c r="L24" s="41">
        <v>107447</v>
      </c>
      <c r="M24" s="41">
        <v>108229</v>
      </c>
      <c r="N24" s="41">
        <v>108997</v>
      </c>
      <c r="O24" s="41">
        <v>109823</v>
      </c>
      <c r="P24" s="41">
        <v>110311</v>
      </c>
      <c r="Q24" s="41">
        <v>110834</v>
      </c>
      <c r="R24" s="41">
        <v>111667</v>
      </c>
      <c r="S24" s="41">
        <v>112277</v>
      </c>
      <c r="T24" s="41">
        <v>113251</v>
      </c>
      <c r="U24" s="41">
        <v>114447</v>
      </c>
      <c r="V24" s="41">
        <v>115534</v>
      </c>
      <c r="W24" s="41">
        <v>116594</v>
      </c>
      <c r="X24" s="41">
        <v>117156</v>
      </c>
      <c r="Y24" s="41">
        <v>117572</v>
      </c>
      <c r="Z24" s="41">
        <v>118082</v>
      </c>
      <c r="AA24" s="41">
        <v>118802</v>
      </c>
      <c r="AB24" s="41">
        <v>119574</v>
      </c>
      <c r="AC24" s="41">
        <v>120336</v>
      </c>
      <c r="AD24" s="41">
        <v>121133</v>
      </c>
      <c r="AE24" s="41">
        <v>121916</v>
      </c>
      <c r="AF24" s="41">
        <v>122668</v>
      </c>
      <c r="AG24" s="41">
        <v>123434</v>
      </c>
      <c r="AH24" s="41">
        <v>124201</v>
      </c>
      <c r="AI24" s="41">
        <v>124927</v>
      </c>
      <c r="AJ24" s="41">
        <v>125660</v>
      </c>
      <c r="AK24" s="41">
        <v>126350</v>
      </c>
      <c r="AL24" s="41">
        <v>127075</v>
      </c>
      <c r="AM24" s="41">
        <v>127794</v>
      </c>
      <c r="AN24" s="41">
        <v>128474</v>
      </c>
      <c r="AO24" s="41">
        <v>129167</v>
      </c>
      <c r="AP24" s="41">
        <v>129836</v>
      </c>
      <c r="AQ24" s="41">
        <v>130512</v>
      </c>
      <c r="AR24" s="41">
        <v>131184</v>
      </c>
      <c r="AS24" s="41">
        <v>131798</v>
      </c>
      <c r="AT24" s="41">
        <v>132418</v>
      </c>
      <c r="AU24" s="41">
        <v>133002</v>
      </c>
      <c r="AV24" s="41">
        <v>133605</v>
      </c>
      <c r="AW24" s="41">
        <v>134221</v>
      </c>
      <c r="AX24" s="41">
        <v>134797</v>
      </c>
      <c r="AY24" s="41">
        <v>135353</v>
      </c>
    </row>
    <row r="25" spans="1:51">
      <c r="A25" s="38" t="s">
        <v>165</v>
      </c>
      <c r="B25" s="38" t="s">
        <v>166</v>
      </c>
      <c r="C25" s="41">
        <v>22096</v>
      </c>
      <c r="D25" s="41">
        <v>22401</v>
      </c>
      <c r="E25" s="41">
        <v>22592</v>
      </c>
      <c r="F25" s="41">
        <v>22719</v>
      </c>
      <c r="G25" s="41">
        <v>22870</v>
      </c>
      <c r="H25" s="41">
        <v>23032</v>
      </c>
      <c r="I25" s="41">
        <v>23203</v>
      </c>
      <c r="J25" s="41">
        <v>23460</v>
      </c>
      <c r="K25" s="41">
        <v>23453</v>
      </c>
      <c r="L25" s="41">
        <v>23691</v>
      </c>
      <c r="M25" s="41">
        <v>23943</v>
      </c>
      <c r="N25" s="41">
        <v>24291</v>
      </c>
      <c r="O25" s="41">
        <v>24532</v>
      </c>
      <c r="P25" s="41">
        <v>24959</v>
      </c>
      <c r="Q25" s="41">
        <v>25108</v>
      </c>
      <c r="R25" s="41">
        <v>25558</v>
      </c>
      <c r="S25" s="41">
        <v>25948</v>
      </c>
      <c r="T25" s="41">
        <v>26406</v>
      </c>
      <c r="U25" s="41">
        <v>26829</v>
      </c>
      <c r="V25" s="41">
        <v>27213</v>
      </c>
      <c r="W25" s="41">
        <v>27276</v>
      </c>
      <c r="X25" s="41">
        <v>27392</v>
      </c>
      <c r="Y25" s="41">
        <v>27739</v>
      </c>
      <c r="Z25" s="41">
        <v>27990</v>
      </c>
      <c r="AA25" s="41">
        <v>28322</v>
      </c>
      <c r="AB25" s="41">
        <v>28615</v>
      </c>
      <c r="AC25" s="41">
        <v>28865</v>
      </c>
      <c r="AD25" s="41">
        <v>29111</v>
      </c>
      <c r="AE25" s="41">
        <v>29355</v>
      </c>
      <c r="AF25" s="41">
        <v>29594</v>
      </c>
      <c r="AG25" s="41">
        <v>29810</v>
      </c>
      <c r="AH25" s="41">
        <v>30012</v>
      </c>
      <c r="AI25" s="41">
        <v>30216</v>
      </c>
      <c r="AJ25" s="41">
        <v>30427</v>
      </c>
      <c r="AK25" s="41">
        <v>30639</v>
      </c>
      <c r="AL25" s="41">
        <v>30846</v>
      </c>
      <c r="AM25" s="41">
        <v>31060</v>
      </c>
      <c r="AN25" s="41">
        <v>31281</v>
      </c>
      <c r="AO25" s="41">
        <v>31499</v>
      </c>
      <c r="AP25" s="41">
        <v>31716</v>
      </c>
      <c r="AQ25" s="41">
        <v>31923</v>
      </c>
      <c r="AR25" s="41">
        <v>32132</v>
      </c>
      <c r="AS25" s="41">
        <v>32337</v>
      </c>
      <c r="AT25" s="41">
        <v>32534</v>
      </c>
      <c r="AU25" s="41">
        <v>32724</v>
      </c>
      <c r="AV25" s="41">
        <v>32912</v>
      </c>
      <c r="AW25" s="41">
        <v>33101</v>
      </c>
      <c r="AX25" s="41">
        <v>33281</v>
      </c>
      <c r="AY25" s="41">
        <v>33447</v>
      </c>
    </row>
    <row r="26" spans="1:51">
      <c r="A26" s="38" t="s">
        <v>167</v>
      </c>
      <c r="B26" s="38" t="s">
        <v>168</v>
      </c>
      <c r="C26" s="41">
        <v>141272</v>
      </c>
      <c r="D26" s="41">
        <v>142529</v>
      </c>
      <c r="E26" s="41">
        <v>143627</v>
      </c>
      <c r="F26" s="41">
        <v>144690</v>
      </c>
      <c r="G26" s="41">
        <v>145963</v>
      </c>
      <c r="H26" s="41">
        <v>146503</v>
      </c>
      <c r="I26" s="41">
        <v>148010</v>
      </c>
      <c r="J26" s="41">
        <v>149055</v>
      </c>
      <c r="K26" s="41">
        <v>149790</v>
      </c>
      <c r="L26" s="41">
        <v>150946</v>
      </c>
      <c r="M26" s="41">
        <v>151996</v>
      </c>
      <c r="N26" s="41">
        <v>153051</v>
      </c>
      <c r="O26" s="41">
        <v>153342</v>
      </c>
      <c r="P26" s="41">
        <v>153635</v>
      </c>
      <c r="Q26" s="41">
        <v>155198</v>
      </c>
      <c r="R26" s="41">
        <v>156329</v>
      </c>
      <c r="S26" s="41">
        <v>158813</v>
      </c>
      <c r="T26" s="41">
        <v>160707</v>
      </c>
      <c r="U26" s="41">
        <v>162354</v>
      </c>
      <c r="V26" s="41">
        <v>165121</v>
      </c>
      <c r="W26" s="41">
        <v>167651</v>
      </c>
      <c r="X26" s="41">
        <v>169512</v>
      </c>
      <c r="Y26" s="41">
        <v>171137</v>
      </c>
      <c r="Z26" s="41">
        <v>173160</v>
      </c>
      <c r="AA26" s="41">
        <v>175141</v>
      </c>
      <c r="AB26" s="41">
        <v>177266</v>
      </c>
      <c r="AC26" s="41">
        <v>179316</v>
      </c>
      <c r="AD26" s="41">
        <v>181271</v>
      </c>
      <c r="AE26" s="41">
        <v>183220</v>
      </c>
      <c r="AF26" s="41">
        <v>185131</v>
      </c>
      <c r="AG26" s="41">
        <v>187047</v>
      </c>
      <c r="AH26" s="41">
        <v>188914</v>
      </c>
      <c r="AI26" s="41">
        <v>190794</v>
      </c>
      <c r="AJ26" s="41">
        <v>192749</v>
      </c>
      <c r="AK26" s="41">
        <v>194725</v>
      </c>
      <c r="AL26" s="41">
        <v>196750</v>
      </c>
      <c r="AM26" s="41">
        <v>198795</v>
      </c>
      <c r="AN26" s="41">
        <v>200842</v>
      </c>
      <c r="AO26" s="41">
        <v>202866</v>
      </c>
      <c r="AP26" s="41">
        <v>204881</v>
      </c>
      <c r="AQ26" s="41">
        <v>206909</v>
      </c>
      <c r="AR26" s="41">
        <v>208901</v>
      </c>
      <c r="AS26" s="41">
        <v>210802</v>
      </c>
      <c r="AT26" s="41">
        <v>212660</v>
      </c>
      <c r="AU26" s="41">
        <v>214474</v>
      </c>
      <c r="AV26" s="41">
        <v>216293</v>
      </c>
      <c r="AW26" s="41">
        <v>218114</v>
      </c>
      <c r="AX26" s="41">
        <v>219856</v>
      </c>
      <c r="AY26" s="41">
        <v>221522</v>
      </c>
    </row>
    <row r="27" spans="1:51">
      <c r="A27" s="38" t="s">
        <v>169</v>
      </c>
      <c r="B27" s="38" t="s">
        <v>170</v>
      </c>
      <c r="C27" s="41">
        <v>37065</v>
      </c>
      <c r="D27" s="41">
        <v>37774</v>
      </c>
      <c r="E27" s="41">
        <v>38508</v>
      </c>
      <c r="F27" s="41">
        <v>39716</v>
      </c>
      <c r="G27" s="41">
        <v>41033</v>
      </c>
      <c r="H27" s="41">
        <v>42096</v>
      </c>
      <c r="I27" s="41">
        <v>42439</v>
      </c>
      <c r="J27" s="41">
        <v>42716</v>
      </c>
      <c r="K27" s="41">
        <v>43199</v>
      </c>
      <c r="L27" s="41">
        <v>43438</v>
      </c>
      <c r="M27" s="41">
        <v>43458</v>
      </c>
      <c r="N27" s="41">
        <v>43608</v>
      </c>
      <c r="O27" s="41">
        <v>43732</v>
      </c>
      <c r="P27" s="41">
        <v>43623</v>
      </c>
      <c r="Q27" s="41">
        <v>43909</v>
      </c>
      <c r="R27" s="41">
        <v>44332</v>
      </c>
      <c r="S27" s="41">
        <v>44714</v>
      </c>
      <c r="T27" s="41">
        <v>45224</v>
      </c>
      <c r="U27" s="41">
        <v>45455</v>
      </c>
      <c r="V27" s="41">
        <v>45843</v>
      </c>
      <c r="W27" s="41">
        <v>46120</v>
      </c>
      <c r="X27" s="41">
        <v>46811</v>
      </c>
      <c r="Y27" s="41">
        <v>47479</v>
      </c>
      <c r="Z27" s="41">
        <v>48162</v>
      </c>
      <c r="AA27" s="41">
        <v>48767</v>
      </c>
      <c r="AB27" s="41">
        <v>49351</v>
      </c>
      <c r="AC27" s="41">
        <v>49910</v>
      </c>
      <c r="AD27" s="41">
        <v>50499</v>
      </c>
      <c r="AE27" s="41">
        <v>51068</v>
      </c>
      <c r="AF27" s="41">
        <v>51588</v>
      </c>
      <c r="AG27" s="41">
        <v>52089</v>
      </c>
      <c r="AH27" s="41">
        <v>52563</v>
      </c>
      <c r="AI27" s="41">
        <v>53059</v>
      </c>
      <c r="AJ27" s="41">
        <v>53542</v>
      </c>
      <c r="AK27" s="41">
        <v>54001</v>
      </c>
      <c r="AL27" s="41">
        <v>54443</v>
      </c>
      <c r="AM27" s="41">
        <v>54877</v>
      </c>
      <c r="AN27" s="41">
        <v>55316</v>
      </c>
      <c r="AO27" s="41">
        <v>55759</v>
      </c>
      <c r="AP27" s="41">
        <v>56191</v>
      </c>
      <c r="AQ27" s="41">
        <v>56608</v>
      </c>
      <c r="AR27" s="41">
        <v>57020</v>
      </c>
      <c r="AS27" s="41">
        <v>57426</v>
      </c>
      <c r="AT27" s="41">
        <v>57817</v>
      </c>
      <c r="AU27" s="41">
        <v>58194</v>
      </c>
      <c r="AV27" s="41">
        <v>58561</v>
      </c>
      <c r="AW27" s="41">
        <v>58914</v>
      </c>
      <c r="AX27" s="41">
        <v>59256</v>
      </c>
      <c r="AY27" s="41">
        <v>59580</v>
      </c>
    </row>
    <row r="28" spans="1:51">
      <c r="A28" s="38" t="s">
        <v>171</v>
      </c>
      <c r="B28" s="38" t="s">
        <v>172</v>
      </c>
      <c r="C28" s="41">
        <v>177309</v>
      </c>
      <c r="D28" s="41">
        <v>177772</v>
      </c>
      <c r="E28" s="41">
        <v>178422</v>
      </c>
      <c r="F28" s="41">
        <v>178683</v>
      </c>
      <c r="G28" s="41">
        <v>178566</v>
      </c>
      <c r="H28" s="41">
        <v>178565</v>
      </c>
      <c r="I28" s="41">
        <v>178244</v>
      </c>
      <c r="J28" s="41">
        <v>178233</v>
      </c>
      <c r="K28" s="41">
        <v>177911</v>
      </c>
      <c r="L28" s="41">
        <v>178491</v>
      </c>
      <c r="M28" s="41">
        <v>180651</v>
      </c>
      <c r="N28" s="41">
        <v>182287</v>
      </c>
      <c r="O28" s="41">
        <v>183704</v>
      </c>
      <c r="P28" s="41">
        <v>185875</v>
      </c>
      <c r="Q28" s="41">
        <v>188424</v>
      </c>
      <c r="R28" s="41">
        <v>189888</v>
      </c>
      <c r="S28" s="41">
        <v>191795</v>
      </c>
      <c r="T28" s="41">
        <v>193767</v>
      </c>
      <c r="U28" s="41">
        <v>195660</v>
      </c>
      <c r="V28" s="41">
        <v>197756</v>
      </c>
      <c r="W28" s="41">
        <v>199621</v>
      </c>
      <c r="X28" s="41">
        <v>200715</v>
      </c>
      <c r="Y28" s="41">
        <v>201707</v>
      </c>
      <c r="Z28" s="41">
        <v>202850</v>
      </c>
      <c r="AA28" s="41">
        <v>204402</v>
      </c>
      <c r="AB28" s="41">
        <v>205950</v>
      </c>
      <c r="AC28" s="41">
        <v>207410</v>
      </c>
      <c r="AD28" s="41">
        <v>208961</v>
      </c>
      <c r="AE28" s="41">
        <v>210546</v>
      </c>
      <c r="AF28" s="41">
        <v>212133</v>
      </c>
      <c r="AG28" s="41">
        <v>213692</v>
      </c>
      <c r="AH28" s="41">
        <v>215203</v>
      </c>
      <c r="AI28" s="41">
        <v>216750</v>
      </c>
      <c r="AJ28" s="41">
        <v>218320</v>
      </c>
      <c r="AK28" s="41">
        <v>219888</v>
      </c>
      <c r="AL28" s="41">
        <v>221524</v>
      </c>
      <c r="AM28" s="41">
        <v>223139</v>
      </c>
      <c r="AN28" s="41">
        <v>224777</v>
      </c>
      <c r="AO28" s="41">
        <v>226381</v>
      </c>
      <c r="AP28" s="41">
        <v>227953</v>
      </c>
      <c r="AQ28" s="41">
        <v>229467</v>
      </c>
      <c r="AR28" s="41">
        <v>230938</v>
      </c>
      <c r="AS28" s="41">
        <v>232404</v>
      </c>
      <c r="AT28" s="41">
        <v>233833</v>
      </c>
      <c r="AU28" s="41">
        <v>235222</v>
      </c>
      <c r="AV28" s="41">
        <v>236605</v>
      </c>
      <c r="AW28" s="41">
        <v>237975</v>
      </c>
      <c r="AX28" s="41">
        <v>239304</v>
      </c>
      <c r="AY28" s="41">
        <v>240563</v>
      </c>
    </row>
    <row r="29" spans="1:51">
      <c r="A29" s="38" t="s">
        <v>173</v>
      </c>
      <c r="B29" s="38" t="s">
        <v>174</v>
      </c>
      <c r="C29" s="41">
        <v>47293</v>
      </c>
      <c r="D29" s="41">
        <v>47844</v>
      </c>
      <c r="E29" s="41">
        <v>48198</v>
      </c>
      <c r="F29" s="41">
        <v>48938</v>
      </c>
      <c r="G29" s="41">
        <v>49687</v>
      </c>
      <c r="H29" s="41">
        <v>50236</v>
      </c>
      <c r="I29" s="41">
        <v>50883</v>
      </c>
      <c r="J29" s="41">
        <v>51781</v>
      </c>
      <c r="K29" s="41">
        <v>52771</v>
      </c>
      <c r="L29" s="41">
        <v>53830</v>
      </c>
      <c r="M29" s="41">
        <v>54483</v>
      </c>
      <c r="N29" s="41">
        <v>55360</v>
      </c>
      <c r="O29" s="41">
        <v>55985</v>
      </c>
      <c r="P29" s="41">
        <v>56757</v>
      </c>
      <c r="Q29" s="41">
        <v>57510</v>
      </c>
      <c r="R29" s="41">
        <v>58262</v>
      </c>
      <c r="S29" s="41">
        <v>58853</v>
      </c>
      <c r="T29" s="41">
        <v>59516</v>
      </c>
      <c r="U29" s="41">
        <v>59965</v>
      </c>
      <c r="V29" s="41">
        <v>60604</v>
      </c>
      <c r="W29" s="41">
        <v>61245</v>
      </c>
      <c r="X29" s="41">
        <v>61877</v>
      </c>
      <c r="Y29" s="41">
        <v>62368</v>
      </c>
      <c r="Z29" s="41">
        <v>62913</v>
      </c>
      <c r="AA29" s="41">
        <v>63524</v>
      </c>
      <c r="AB29" s="41">
        <v>64179</v>
      </c>
      <c r="AC29" s="41">
        <v>64877</v>
      </c>
      <c r="AD29" s="41">
        <v>65547</v>
      </c>
      <c r="AE29" s="41">
        <v>66231</v>
      </c>
      <c r="AF29" s="41">
        <v>66869</v>
      </c>
      <c r="AG29" s="41">
        <v>67524</v>
      </c>
      <c r="AH29" s="41">
        <v>68169</v>
      </c>
      <c r="AI29" s="41">
        <v>68792</v>
      </c>
      <c r="AJ29" s="41">
        <v>69434</v>
      </c>
      <c r="AK29" s="41">
        <v>70042</v>
      </c>
      <c r="AL29" s="41">
        <v>70667</v>
      </c>
      <c r="AM29" s="41">
        <v>71273</v>
      </c>
      <c r="AN29" s="41">
        <v>71863</v>
      </c>
      <c r="AO29" s="41">
        <v>72453</v>
      </c>
      <c r="AP29" s="41">
        <v>73035</v>
      </c>
      <c r="AQ29" s="41">
        <v>73635</v>
      </c>
      <c r="AR29" s="41">
        <v>74203</v>
      </c>
      <c r="AS29" s="41">
        <v>74766</v>
      </c>
      <c r="AT29" s="41">
        <v>75312</v>
      </c>
      <c r="AU29" s="41">
        <v>75856</v>
      </c>
      <c r="AV29" s="41">
        <v>76390</v>
      </c>
      <c r="AW29" s="41">
        <v>76907</v>
      </c>
      <c r="AX29" s="41">
        <v>77395</v>
      </c>
      <c r="AY29" s="41">
        <v>77866</v>
      </c>
    </row>
    <row r="30" spans="1:51">
      <c r="A30" s="38" t="s">
        <v>175</v>
      </c>
      <c r="B30" s="38" t="s">
        <v>176</v>
      </c>
      <c r="C30" s="41">
        <v>43599</v>
      </c>
      <c r="D30" s="41">
        <v>44627</v>
      </c>
      <c r="E30" s="41">
        <v>45046</v>
      </c>
      <c r="F30" s="41">
        <v>45652</v>
      </c>
      <c r="G30" s="41">
        <v>45499</v>
      </c>
      <c r="H30" s="41">
        <v>46259</v>
      </c>
      <c r="I30" s="41">
        <v>47388</v>
      </c>
      <c r="J30" s="41">
        <v>48083</v>
      </c>
      <c r="K30" s="41">
        <v>49208</v>
      </c>
      <c r="L30" s="41">
        <v>50177</v>
      </c>
      <c r="M30" s="41">
        <v>50858</v>
      </c>
      <c r="N30" s="41">
        <v>51173</v>
      </c>
      <c r="O30" s="41">
        <v>51700</v>
      </c>
      <c r="P30" s="41">
        <v>52015</v>
      </c>
      <c r="Q30" s="41">
        <v>52601</v>
      </c>
      <c r="R30" s="41">
        <v>53108</v>
      </c>
      <c r="S30" s="41">
        <v>53533</v>
      </c>
      <c r="T30" s="41">
        <v>54045</v>
      </c>
      <c r="U30" s="41">
        <v>54237</v>
      </c>
      <c r="V30" s="41">
        <v>54372</v>
      </c>
      <c r="W30" s="41">
        <v>54744</v>
      </c>
      <c r="X30" s="41">
        <v>55272</v>
      </c>
      <c r="Y30" s="41">
        <v>55879</v>
      </c>
      <c r="Z30" s="41">
        <v>56486</v>
      </c>
      <c r="AA30" s="41">
        <v>57053</v>
      </c>
      <c r="AB30" s="41">
        <v>57652</v>
      </c>
      <c r="AC30" s="41">
        <v>58225</v>
      </c>
      <c r="AD30" s="41">
        <v>58813</v>
      </c>
      <c r="AE30" s="41">
        <v>59380</v>
      </c>
      <c r="AF30" s="41">
        <v>59929</v>
      </c>
      <c r="AG30" s="41">
        <v>60473</v>
      </c>
      <c r="AH30" s="41">
        <v>60989</v>
      </c>
      <c r="AI30" s="41">
        <v>61500</v>
      </c>
      <c r="AJ30" s="41">
        <v>62017</v>
      </c>
      <c r="AK30" s="41">
        <v>62521</v>
      </c>
      <c r="AL30" s="41">
        <v>63041</v>
      </c>
      <c r="AM30" s="41">
        <v>63555</v>
      </c>
      <c r="AN30" s="41">
        <v>64058</v>
      </c>
      <c r="AO30" s="41">
        <v>64557</v>
      </c>
      <c r="AP30" s="41">
        <v>65050</v>
      </c>
      <c r="AQ30" s="41">
        <v>65549</v>
      </c>
      <c r="AR30" s="41">
        <v>66011</v>
      </c>
      <c r="AS30" s="41">
        <v>66477</v>
      </c>
      <c r="AT30" s="41">
        <v>66927</v>
      </c>
      <c r="AU30" s="41">
        <v>67366</v>
      </c>
      <c r="AV30" s="41">
        <v>67797</v>
      </c>
      <c r="AW30" s="41">
        <v>68214</v>
      </c>
      <c r="AX30" s="41">
        <v>68610</v>
      </c>
      <c r="AY30" s="41">
        <v>68991</v>
      </c>
    </row>
    <row r="31" spans="1:51">
      <c r="A31" s="38" t="s">
        <v>177</v>
      </c>
      <c r="B31" s="38" t="s">
        <v>178</v>
      </c>
      <c r="C31" s="41">
        <v>90384</v>
      </c>
      <c r="D31" s="41">
        <v>89961</v>
      </c>
      <c r="E31" s="41">
        <v>90135</v>
      </c>
      <c r="F31" s="41">
        <v>91134</v>
      </c>
      <c r="G31" s="41">
        <v>91866</v>
      </c>
      <c r="H31" s="41">
        <v>92939</v>
      </c>
      <c r="I31" s="41">
        <v>93806</v>
      </c>
      <c r="J31" s="41">
        <v>95288</v>
      </c>
      <c r="K31" s="41">
        <v>95822</v>
      </c>
      <c r="L31" s="41">
        <v>98072</v>
      </c>
      <c r="M31" s="41">
        <v>100340</v>
      </c>
      <c r="N31" s="41">
        <v>100472</v>
      </c>
      <c r="O31" s="41">
        <v>99826</v>
      </c>
      <c r="P31" s="41">
        <v>99505</v>
      </c>
      <c r="Q31" s="41">
        <v>100046</v>
      </c>
      <c r="R31" s="41">
        <v>101252</v>
      </c>
      <c r="S31" s="41">
        <v>102761</v>
      </c>
      <c r="T31" s="41">
        <v>104768</v>
      </c>
      <c r="U31" s="41">
        <v>106853</v>
      </c>
      <c r="V31" s="41">
        <v>108636</v>
      </c>
      <c r="W31" s="41">
        <v>110665</v>
      </c>
      <c r="X31" s="41">
        <v>112459</v>
      </c>
      <c r="Y31" s="41">
        <v>114479</v>
      </c>
      <c r="Z31" s="41">
        <v>116749</v>
      </c>
      <c r="AA31" s="41">
        <v>119353</v>
      </c>
      <c r="AB31" s="41">
        <v>121737</v>
      </c>
      <c r="AC31" s="41">
        <v>123950</v>
      </c>
      <c r="AD31" s="41">
        <v>126166</v>
      </c>
      <c r="AE31" s="41">
        <v>128286</v>
      </c>
      <c r="AF31" s="41">
        <v>130386</v>
      </c>
      <c r="AG31" s="41">
        <v>132434</v>
      </c>
      <c r="AH31" s="41">
        <v>134408</v>
      </c>
      <c r="AI31" s="41">
        <v>136379</v>
      </c>
      <c r="AJ31" s="41">
        <v>138303</v>
      </c>
      <c r="AK31" s="41">
        <v>140216</v>
      </c>
      <c r="AL31" s="41">
        <v>142130</v>
      </c>
      <c r="AM31" s="41">
        <v>143979</v>
      </c>
      <c r="AN31" s="41">
        <v>145783</v>
      </c>
      <c r="AO31" s="41">
        <v>147554</v>
      </c>
      <c r="AP31" s="41">
        <v>149295</v>
      </c>
      <c r="AQ31" s="41">
        <v>150987</v>
      </c>
      <c r="AR31" s="41">
        <v>152636</v>
      </c>
      <c r="AS31" s="41">
        <v>154231</v>
      </c>
      <c r="AT31" s="41">
        <v>155792</v>
      </c>
      <c r="AU31" s="41">
        <v>157335</v>
      </c>
      <c r="AV31" s="41">
        <v>158881</v>
      </c>
      <c r="AW31" s="41">
        <v>160426</v>
      </c>
      <c r="AX31" s="41">
        <v>161926</v>
      </c>
      <c r="AY31" s="41">
        <v>163403</v>
      </c>
    </row>
    <row r="32" spans="1:51">
      <c r="A32" s="38" t="s">
        <v>179</v>
      </c>
      <c r="B32" s="38" t="s">
        <v>180</v>
      </c>
      <c r="C32" s="41">
        <v>28285</v>
      </c>
      <c r="D32" s="41">
        <v>28363</v>
      </c>
      <c r="E32" s="41">
        <v>28417</v>
      </c>
      <c r="F32" s="41">
        <v>28602</v>
      </c>
      <c r="G32" s="41">
        <v>28618</v>
      </c>
      <c r="H32" s="41">
        <v>28617</v>
      </c>
      <c r="I32" s="41">
        <v>28604</v>
      </c>
      <c r="J32" s="41">
        <v>28464</v>
      </c>
      <c r="K32" s="41">
        <v>28544</v>
      </c>
      <c r="L32" s="41">
        <v>28684</v>
      </c>
      <c r="M32" s="41">
        <v>28754</v>
      </c>
      <c r="N32" s="41">
        <v>28844</v>
      </c>
      <c r="O32" s="41">
        <v>29052</v>
      </c>
      <c r="P32" s="41">
        <v>29235</v>
      </c>
      <c r="Q32" s="41">
        <v>29449</v>
      </c>
      <c r="R32" s="41">
        <v>29618</v>
      </c>
      <c r="S32" s="41">
        <v>29634</v>
      </c>
      <c r="T32" s="41">
        <v>29855</v>
      </c>
      <c r="U32" s="41">
        <v>30183</v>
      </c>
      <c r="V32" s="41">
        <v>30512</v>
      </c>
      <c r="W32" s="41">
        <v>30781</v>
      </c>
      <c r="X32" s="41">
        <v>30932</v>
      </c>
      <c r="Y32" s="41">
        <v>31209</v>
      </c>
      <c r="Z32" s="41">
        <v>31636</v>
      </c>
      <c r="AA32" s="41">
        <v>31946</v>
      </c>
      <c r="AB32" s="41">
        <v>32238</v>
      </c>
      <c r="AC32" s="41">
        <v>32564</v>
      </c>
      <c r="AD32" s="41">
        <v>32900</v>
      </c>
      <c r="AE32" s="41">
        <v>33243</v>
      </c>
      <c r="AF32" s="41">
        <v>33574</v>
      </c>
      <c r="AG32" s="41">
        <v>33878</v>
      </c>
      <c r="AH32" s="41">
        <v>34192</v>
      </c>
      <c r="AI32" s="41">
        <v>34507</v>
      </c>
      <c r="AJ32" s="41">
        <v>34836</v>
      </c>
      <c r="AK32" s="41">
        <v>35159</v>
      </c>
      <c r="AL32" s="41">
        <v>35483</v>
      </c>
      <c r="AM32" s="41">
        <v>35811</v>
      </c>
      <c r="AN32" s="41">
        <v>36137</v>
      </c>
      <c r="AO32" s="41">
        <v>36475</v>
      </c>
      <c r="AP32" s="41">
        <v>36811</v>
      </c>
      <c r="AQ32" s="41">
        <v>37156</v>
      </c>
      <c r="AR32" s="41">
        <v>37496</v>
      </c>
      <c r="AS32" s="41">
        <v>37846</v>
      </c>
      <c r="AT32" s="41">
        <v>38195</v>
      </c>
      <c r="AU32" s="41">
        <v>38537</v>
      </c>
      <c r="AV32" s="41">
        <v>38884</v>
      </c>
      <c r="AW32" s="41">
        <v>39243</v>
      </c>
      <c r="AX32" s="41">
        <v>39592</v>
      </c>
      <c r="AY32" s="41">
        <v>39935</v>
      </c>
    </row>
    <row r="33" spans="1:51">
      <c r="A33" s="38" t="s">
        <v>181</v>
      </c>
      <c r="B33" s="38" t="s">
        <v>182</v>
      </c>
      <c r="C33" s="41">
        <v>107869</v>
      </c>
      <c r="D33" s="41">
        <v>108212</v>
      </c>
      <c r="E33" s="41">
        <v>108466</v>
      </c>
      <c r="F33" s="41">
        <v>108199</v>
      </c>
      <c r="G33" s="41">
        <v>108548</v>
      </c>
      <c r="H33" s="41">
        <v>108789</v>
      </c>
      <c r="I33" s="41">
        <v>109743</v>
      </c>
      <c r="J33" s="41">
        <v>110912</v>
      </c>
      <c r="K33" s="41">
        <v>112360</v>
      </c>
      <c r="L33" s="41">
        <v>113431</v>
      </c>
      <c r="M33" s="41">
        <v>114493</v>
      </c>
      <c r="N33" s="41">
        <v>114212</v>
      </c>
      <c r="O33" s="41">
        <v>113938</v>
      </c>
      <c r="P33" s="41">
        <v>113458</v>
      </c>
      <c r="Q33" s="41">
        <v>114320</v>
      </c>
      <c r="R33" s="41">
        <v>114930</v>
      </c>
      <c r="S33" s="41">
        <v>115619</v>
      </c>
      <c r="T33" s="41">
        <v>116916</v>
      </c>
      <c r="U33" s="41">
        <v>118261</v>
      </c>
      <c r="V33" s="41">
        <v>119862</v>
      </c>
      <c r="W33" s="41">
        <v>121339</v>
      </c>
      <c r="X33" s="41">
        <v>122530</v>
      </c>
      <c r="Y33" s="41">
        <v>123550</v>
      </c>
      <c r="Z33" s="41">
        <v>125043</v>
      </c>
      <c r="AA33" s="41">
        <v>126589</v>
      </c>
      <c r="AB33" s="41">
        <v>128108</v>
      </c>
      <c r="AC33" s="41">
        <v>129492</v>
      </c>
      <c r="AD33" s="41">
        <v>130788</v>
      </c>
      <c r="AE33" s="41">
        <v>132069</v>
      </c>
      <c r="AF33" s="41">
        <v>133311</v>
      </c>
      <c r="AG33" s="41">
        <v>134574</v>
      </c>
      <c r="AH33" s="41">
        <v>135736</v>
      </c>
      <c r="AI33" s="41">
        <v>136900</v>
      </c>
      <c r="AJ33" s="41">
        <v>138100</v>
      </c>
      <c r="AK33" s="41">
        <v>139309</v>
      </c>
      <c r="AL33" s="41">
        <v>140604</v>
      </c>
      <c r="AM33" s="41">
        <v>141861</v>
      </c>
      <c r="AN33" s="41">
        <v>143107</v>
      </c>
      <c r="AO33" s="41">
        <v>144342</v>
      </c>
      <c r="AP33" s="41">
        <v>145559</v>
      </c>
      <c r="AQ33" s="41">
        <v>146804</v>
      </c>
      <c r="AR33" s="41">
        <v>148052</v>
      </c>
      <c r="AS33" s="41">
        <v>149243</v>
      </c>
      <c r="AT33" s="41">
        <v>150370</v>
      </c>
      <c r="AU33" s="41">
        <v>151479</v>
      </c>
      <c r="AV33" s="41">
        <v>152590</v>
      </c>
      <c r="AW33" s="41">
        <v>153694</v>
      </c>
      <c r="AX33" s="41">
        <v>154757</v>
      </c>
      <c r="AY33" s="41">
        <v>155787</v>
      </c>
    </row>
    <row r="34" spans="1:51">
      <c r="A34" s="38" t="s">
        <v>183</v>
      </c>
      <c r="B34" s="38" t="s">
        <v>184</v>
      </c>
      <c r="C34" s="41">
        <v>162713</v>
      </c>
      <c r="D34" s="41">
        <v>162390</v>
      </c>
      <c r="E34" s="41">
        <v>162816</v>
      </c>
      <c r="F34" s="41">
        <v>162877</v>
      </c>
      <c r="G34" s="41">
        <v>163029</v>
      </c>
      <c r="H34" s="41">
        <v>162515</v>
      </c>
      <c r="I34" s="41">
        <v>162677</v>
      </c>
      <c r="J34" s="41">
        <v>163220</v>
      </c>
      <c r="K34" s="41">
        <v>164049</v>
      </c>
      <c r="L34" s="41">
        <v>164675</v>
      </c>
      <c r="M34" s="41">
        <v>165344</v>
      </c>
      <c r="N34" s="41">
        <v>166039</v>
      </c>
      <c r="O34" s="41">
        <v>166985</v>
      </c>
      <c r="P34" s="41">
        <v>168703</v>
      </c>
      <c r="Q34" s="41">
        <v>172803</v>
      </c>
      <c r="R34" s="41">
        <v>174492</v>
      </c>
      <c r="S34" s="41">
        <v>176354</v>
      </c>
      <c r="T34" s="41">
        <v>177484</v>
      </c>
      <c r="U34" s="41">
        <v>179022</v>
      </c>
      <c r="V34" s="41">
        <v>180664</v>
      </c>
      <c r="W34" s="41">
        <v>182627</v>
      </c>
      <c r="X34" s="41">
        <v>183953</v>
      </c>
      <c r="Y34" s="41">
        <v>185909</v>
      </c>
      <c r="Z34" s="41">
        <v>187663</v>
      </c>
      <c r="AA34" s="41">
        <v>190110</v>
      </c>
      <c r="AB34" s="41">
        <v>192517</v>
      </c>
      <c r="AC34" s="41">
        <v>194637</v>
      </c>
      <c r="AD34" s="41">
        <v>196733</v>
      </c>
      <c r="AE34" s="41">
        <v>198797</v>
      </c>
      <c r="AF34" s="41">
        <v>200791</v>
      </c>
      <c r="AG34" s="41">
        <v>202692</v>
      </c>
      <c r="AH34" s="41">
        <v>204441</v>
      </c>
      <c r="AI34" s="41">
        <v>206213</v>
      </c>
      <c r="AJ34" s="41">
        <v>208029</v>
      </c>
      <c r="AK34" s="41">
        <v>209846</v>
      </c>
      <c r="AL34" s="41">
        <v>211685</v>
      </c>
      <c r="AM34" s="41">
        <v>213483</v>
      </c>
      <c r="AN34" s="41">
        <v>215333</v>
      </c>
      <c r="AO34" s="41">
        <v>217173</v>
      </c>
      <c r="AP34" s="41">
        <v>219029</v>
      </c>
      <c r="AQ34" s="41">
        <v>220931</v>
      </c>
      <c r="AR34" s="41">
        <v>222877</v>
      </c>
      <c r="AS34" s="41">
        <v>224723</v>
      </c>
      <c r="AT34" s="41">
        <v>226485</v>
      </c>
      <c r="AU34" s="41">
        <v>228253</v>
      </c>
      <c r="AV34" s="41">
        <v>230034</v>
      </c>
      <c r="AW34" s="41">
        <v>231834</v>
      </c>
      <c r="AX34" s="41">
        <v>233578</v>
      </c>
      <c r="AY34" s="41">
        <v>235255</v>
      </c>
    </row>
    <row r="35" spans="1:51">
      <c r="A35" s="38" t="s">
        <v>185</v>
      </c>
      <c r="B35" s="38" t="s">
        <v>186</v>
      </c>
      <c r="C35" s="41">
        <v>42542</v>
      </c>
      <c r="D35" s="41">
        <v>42808</v>
      </c>
      <c r="E35" s="41">
        <v>43390</v>
      </c>
      <c r="F35" s="41">
        <v>44110</v>
      </c>
      <c r="G35" s="41">
        <v>45203</v>
      </c>
      <c r="H35" s="41">
        <v>45902</v>
      </c>
      <c r="I35" s="41">
        <v>46807</v>
      </c>
      <c r="J35" s="41">
        <v>47770</v>
      </c>
      <c r="K35" s="41">
        <v>48647</v>
      </c>
      <c r="L35" s="41">
        <v>49380</v>
      </c>
      <c r="M35" s="41">
        <v>50117</v>
      </c>
      <c r="N35" s="41">
        <v>50470</v>
      </c>
      <c r="O35" s="41">
        <v>50919</v>
      </c>
      <c r="P35" s="41">
        <v>51244</v>
      </c>
      <c r="Q35" s="41">
        <v>51648</v>
      </c>
      <c r="R35" s="41">
        <v>52039</v>
      </c>
      <c r="S35" s="41">
        <v>52414</v>
      </c>
      <c r="T35" s="41">
        <v>52619</v>
      </c>
      <c r="U35" s="41">
        <v>52864</v>
      </c>
      <c r="V35" s="41">
        <v>53171</v>
      </c>
      <c r="W35" s="41">
        <v>53431</v>
      </c>
      <c r="X35" s="41">
        <v>53836</v>
      </c>
      <c r="Y35" s="41">
        <v>53985</v>
      </c>
      <c r="Z35" s="41">
        <v>54385</v>
      </c>
      <c r="AA35" s="41">
        <v>54741</v>
      </c>
      <c r="AB35" s="41">
        <v>55123</v>
      </c>
      <c r="AC35" s="41">
        <v>55500</v>
      </c>
      <c r="AD35" s="41">
        <v>55885</v>
      </c>
      <c r="AE35" s="41">
        <v>56305</v>
      </c>
      <c r="AF35" s="41">
        <v>56727</v>
      </c>
      <c r="AG35" s="41">
        <v>57132</v>
      </c>
      <c r="AH35" s="41">
        <v>57517</v>
      </c>
      <c r="AI35" s="41">
        <v>57905</v>
      </c>
      <c r="AJ35" s="41">
        <v>58303</v>
      </c>
      <c r="AK35" s="41">
        <v>58710</v>
      </c>
      <c r="AL35" s="41">
        <v>59101</v>
      </c>
      <c r="AM35" s="41">
        <v>59497</v>
      </c>
      <c r="AN35" s="41">
        <v>59887</v>
      </c>
      <c r="AO35" s="41">
        <v>60273</v>
      </c>
      <c r="AP35" s="41">
        <v>60663</v>
      </c>
      <c r="AQ35" s="41">
        <v>61031</v>
      </c>
      <c r="AR35" s="41">
        <v>61394</v>
      </c>
      <c r="AS35" s="41">
        <v>61739</v>
      </c>
      <c r="AT35" s="41">
        <v>62075</v>
      </c>
      <c r="AU35" s="41">
        <v>62397</v>
      </c>
      <c r="AV35" s="41">
        <v>62704</v>
      </c>
      <c r="AW35" s="41">
        <v>63003</v>
      </c>
      <c r="AX35" s="41">
        <v>63282</v>
      </c>
      <c r="AY35" s="41">
        <v>63546</v>
      </c>
    </row>
    <row r="36" spans="1:51">
      <c r="A36" s="38" t="s">
        <v>187</v>
      </c>
      <c r="B36" s="38" t="s">
        <v>188</v>
      </c>
      <c r="C36" s="41">
        <v>121120</v>
      </c>
      <c r="D36" s="41">
        <v>121153</v>
      </c>
      <c r="E36" s="41">
        <v>120991</v>
      </c>
      <c r="F36" s="41">
        <v>121506</v>
      </c>
      <c r="G36" s="41">
        <v>121837</v>
      </c>
      <c r="H36" s="41">
        <v>122499</v>
      </c>
      <c r="I36" s="41">
        <v>123067</v>
      </c>
      <c r="J36" s="41">
        <v>122836</v>
      </c>
      <c r="K36" s="41">
        <v>124672</v>
      </c>
      <c r="L36" s="41">
        <v>125442</v>
      </c>
      <c r="M36" s="41">
        <v>126156</v>
      </c>
      <c r="N36" s="41">
        <v>126540</v>
      </c>
      <c r="O36" s="41">
        <v>126804</v>
      </c>
      <c r="P36" s="41">
        <v>126800</v>
      </c>
      <c r="Q36" s="41">
        <v>127579</v>
      </c>
      <c r="R36" s="41">
        <v>128049</v>
      </c>
      <c r="S36" s="41">
        <v>128352</v>
      </c>
      <c r="T36" s="41">
        <v>129176</v>
      </c>
      <c r="U36" s="41">
        <v>129882</v>
      </c>
      <c r="V36" s="41">
        <v>130562</v>
      </c>
      <c r="W36" s="41">
        <v>131374</v>
      </c>
      <c r="X36" s="41">
        <v>132686</v>
      </c>
      <c r="Y36" s="41">
        <v>134314</v>
      </c>
      <c r="Z36" s="41">
        <v>135716</v>
      </c>
      <c r="AA36" s="41">
        <v>137329</v>
      </c>
      <c r="AB36" s="41">
        <v>138999</v>
      </c>
      <c r="AC36" s="41">
        <v>140687</v>
      </c>
      <c r="AD36" s="41">
        <v>142436</v>
      </c>
      <c r="AE36" s="41">
        <v>144238</v>
      </c>
      <c r="AF36" s="41">
        <v>146055</v>
      </c>
      <c r="AG36" s="41">
        <v>147880</v>
      </c>
      <c r="AH36" s="41">
        <v>149699</v>
      </c>
      <c r="AI36" s="41">
        <v>151566</v>
      </c>
      <c r="AJ36" s="41">
        <v>153441</v>
      </c>
      <c r="AK36" s="41">
        <v>155355</v>
      </c>
      <c r="AL36" s="41">
        <v>157312</v>
      </c>
      <c r="AM36" s="41">
        <v>159278</v>
      </c>
      <c r="AN36" s="41">
        <v>161260</v>
      </c>
      <c r="AO36" s="41">
        <v>163249</v>
      </c>
      <c r="AP36" s="41">
        <v>165238</v>
      </c>
      <c r="AQ36" s="41">
        <v>167237</v>
      </c>
      <c r="AR36" s="41">
        <v>169210</v>
      </c>
      <c r="AS36" s="41">
        <v>171160</v>
      </c>
      <c r="AT36" s="41">
        <v>173086</v>
      </c>
      <c r="AU36" s="41">
        <v>174984</v>
      </c>
      <c r="AV36" s="41">
        <v>176880</v>
      </c>
      <c r="AW36" s="41">
        <v>178759</v>
      </c>
      <c r="AX36" s="41">
        <v>180598</v>
      </c>
      <c r="AY36" s="41">
        <v>182404</v>
      </c>
    </row>
    <row r="37" spans="1:51">
      <c r="A37" s="38" t="s">
        <v>189</v>
      </c>
      <c r="B37" s="38" t="s">
        <v>190</v>
      </c>
      <c r="C37" s="41">
        <v>32228</v>
      </c>
      <c r="D37" s="41">
        <v>32581</v>
      </c>
      <c r="E37" s="41">
        <v>32869</v>
      </c>
      <c r="F37" s="41">
        <v>33531</v>
      </c>
      <c r="G37" s="41">
        <v>33830</v>
      </c>
      <c r="H37" s="41">
        <v>34120</v>
      </c>
      <c r="I37" s="41">
        <v>34548</v>
      </c>
      <c r="J37" s="41">
        <v>34627</v>
      </c>
      <c r="K37" s="41">
        <v>34720</v>
      </c>
      <c r="L37" s="41">
        <v>34860</v>
      </c>
      <c r="M37" s="41">
        <v>35194</v>
      </c>
      <c r="N37" s="41">
        <v>35687</v>
      </c>
      <c r="O37" s="41">
        <v>36105</v>
      </c>
      <c r="P37" s="41">
        <v>36417</v>
      </c>
      <c r="Q37" s="41">
        <v>36720</v>
      </c>
      <c r="R37" s="41">
        <v>37045</v>
      </c>
      <c r="S37" s="41">
        <v>37491</v>
      </c>
      <c r="T37" s="41">
        <v>37758</v>
      </c>
      <c r="U37" s="41">
        <v>37950</v>
      </c>
      <c r="V37" s="41">
        <v>38159</v>
      </c>
      <c r="W37" s="41">
        <v>38346</v>
      </c>
      <c r="X37" s="41">
        <v>38570</v>
      </c>
      <c r="Y37" s="41">
        <v>38652</v>
      </c>
      <c r="Z37" s="41">
        <v>39013</v>
      </c>
      <c r="AA37" s="41">
        <v>39237</v>
      </c>
      <c r="AB37" s="41">
        <v>39495</v>
      </c>
      <c r="AC37" s="41">
        <v>39735</v>
      </c>
      <c r="AD37" s="41">
        <v>39986</v>
      </c>
      <c r="AE37" s="41">
        <v>40238</v>
      </c>
      <c r="AF37" s="41">
        <v>40496</v>
      </c>
      <c r="AG37" s="41">
        <v>40756</v>
      </c>
      <c r="AH37" s="41">
        <v>41006</v>
      </c>
      <c r="AI37" s="41">
        <v>41268</v>
      </c>
      <c r="AJ37" s="41">
        <v>41537</v>
      </c>
      <c r="AK37" s="41">
        <v>41821</v>
      </c>
      <c r="AL37" s="41">
        <v>42108</v>
      </c>
      <c r="AM37" s="41">
        <v>42395</v>
      </c>
      <c r="AN37" s="41">
        <v>42671</v>
      </c>
      <c r="AO37" s="41">
        <v>42955</v>
      </c>
      <c r="AP37" s="41">
        <v>43244</v>
      </c>
      <c r="AQ37" s="41">
        <v>43522</v>
      </c>
      <c r="AR37" s="41">
        <v>43785</v>
      </c>
      <c r="AS37" s="41">
        <v>44042</v>
      </c>
      <c r="AT37" s="41">
        <v>44286</v>
      </c>
      <c r="AU37" s="41">
        <v>44525</v>
      </c>
      <c r="AV37" s="41">
        <v>44750</v>
      </c>
      <c r="AW37" s="41">
        <v>44977</v>
      </c>
      <c r="AX37" s="41">
        <v>45194</v>
      </c>
      <c r="AY37" s="41">
        <v>45396</v>
      </c>
    </row>
    <row r="38" spans="1:51">
      <c r="A38" s="38" t="s">
        <v>191</v>
      </c>
      <c r="B38" s="38" t="s">
        <v>192</v>
      </c>
      <c r="C38" s="41">
        <v>31472</v>
      </c>
      <c r="D38" s="41">
        <v>31838</v>
      </c>
      <c r="E38" s="41">
        <v>32044</v>
      </c>
      <c r="F38" s="41">
        <v>32259</v>
      </c>
      <c r="G38" s="41">
        <v>32491</v>
      </c>
      <c r="H38" s="41">
        <v>32578</v>
      </c>
      <c r="I38" s="41">
        <v>32701</v>
      </c>
      <c r="J38" s="41">
        <v>33131</v>
      </c>
      <c r="K38" s="41">
        <v>33857</v>
      </c>
      <c r="L38" s="41">
        <v>34485</v>
      </c>
      <c r="M38" s="41">
        <v>34972</v>
      </c>
      <c r="N38" s="41">
        <v>35202</v>
      </c>
      <c r="O38" s="41">
        <v>35255</v>
      </c>
      <c r="P38" s="41">
        <v>35302</v>
      </c>
      <c r="Q38" s="41">
        <v>35709</v>
      </c>
      <c r="R38" s="41">
        <v>36044</v>
      </c>
      <c r="S38" s="41">
        <v>36431</v>
      </c>
      <c r="T38" s="41">
        <v>36752</v>
      </c>
      <c r="U38" s="41">
        <v>37102</v>
      </c>
      <c r="V38" s="41">
        <v>37445</v>
      </c>
      <c r="W38" s="41">
        <v>37710</v>
      </c>
      <c r="X38" s="41">
        <v>38152</v>
      </c>
      <c r="Y38" s="41">
        <v>38432</v>
      </c>
      <c r="Z38" s="41">
        <v>38861</v>
      </c>
      <c r="AA38" s="41">
        <v>39242</v>
      </c>
      <c r="AB38" s="41">
        <v>39624</v>
      </c>
      <c r="AC38" s="41">
        <v>40017</v>
      </c>
      <c r="AD38" s="41">
        <v>40401</v>
      </c>
      <c r="AE38" s="41">
        <v>40810</v>
      </c>
      <c r="AF38" s="41">
        <v>41216</v>
      </c>
      <c r="AG38" s="41">
        <v>41607</v>
      </c>
      <c r="AH38" s="41">
        <v>42011</v>
      </c>
      <c r="AI38" s="41">
        <v>42411</v>
      </c>
      <c r="AJ38" s="41">
        <v>42813</v>
      </c>
      <c r="AK38" s="41">
        <v>43215</v>
      </c>
      <c r="AL38" s="41">
        <v>43620</v>
      </c>
      <c r="AM38" s="41">
        <v>44030</v>
      </c>
      <c r="AN38" s="41">
        <v>44436</v>
      </c>
      <c r="AO38" s="41">
        <v>44843</v>
      </c>
      <c r="AP38" s="41">
        <v>45257</v>
      </c>
      <c r="AQ38" s="41">
        <v>45686</v>
      </c>
      <c r="AR38" s="41">
        <v>46127</v>
      </c>
      <c r="AS38" s="41">
        <v>46557</v>
      </c>
      <c r="AT38" s="41">
        <v>46982</v>
      </c>
      <c r="AU38" s="41">
        <v>47402</v>
      </c>
      <c r="AV38" s="41">
        <v>47834</v>
      </c>
      <c r="AW38" s="41">
        <v>48275</v>
      </c>
      <c r="AX38" s="41">
        <v>48701</v>
      </c>
      <c r="AY38" s="41">
        <v>49115</v>
      </c>
    </row>
    <row r="39" spans="1:51">
      <c r="A39" s="38" t="s">
        <v>193</v>
      </c>
      <c r="B39" s="38" t="s">
        <v>194</v>
      </c>
      <c r="C39" s="41">
        <v>44108</v>
      </c>
      <c r="D39" s="41">
        <v>44486</v>
      </c>
      <c r="E39" s="41">
        <v>45012</v>
      </c>
      <c r="F39" s="41">
        <v>45695</v>
      </c>
      <c r="G39" s="41">
        <v>45665</v>
      </c>
      <c r="H39" s="41">
        <v>45601</v>
      </c>
      <c r="I39" s="41">
        <v>45287</v>
      </c>
      <c r="J39" s="41">
        <v>45171</v>
      </c>
      <c r="K39" s="41">
        <v>45348</v>
      </c>
      <c r="L39" s="41">
        <v>45357</v>
      </c>
      <c r="M39" s="41">
        <v>45483</v>
      </c>
      <c r="N39" s="41">
        <v>45724</v>
      </c>
      <c r="O39" s="41">
        <v>45838</v>
      </c>
      <c r="P39" s="41">
        <v>45993</v>
      </c>
      <c r="Q39" s="41">
        <v>46279</v>
      </c>
      <c r="R39" s="41">
        <v>46446</v>
      </c>
      <c r="S39" s="41">
        <v>46498</v>
      </c>
      <c r="T39" s="41">
        <v>46803</v>
      </c>
      <c r="U39" s="41">
        <v>46952</v>
      </c>
      <c r="V39" s="41">
        <v>46901</v>
      </c>
      <c r="W39" s="41">
        <v>46922</v>
      </c>
      <c r="X39" s="41">
        <v>47361</v>
      </c>
      <c r="Y39" s="41">
        <v>47705</v>
      </c>
      <c r="Z39" s="41">
        <v>47969</v>
      </c>
      <c r="AA39" s="41">
        <v>48339</v>
      </c>
      <c r="AB39" s="41">
        <v>48680</v>
      </c>
      <c r="AC39" s="41">
        <v>49008</v>
      </c>
      <c r="AD39" s="41">
        <v>49329</v>
      </c>
      <c r="AE39" s="41">
        <v>49678</v>
      </c>
      <c r="AF39" s="41">
        <v>50019</v>
      </c>
      <c r="AG39" s="41">
        <v>50339</v>
      </c>
      <c r="AH39" s="41">
        <v>50656</v>
      </c>
      <c r="AI39" s="41">
        <v>50959</v>
      </c>
      <c r="AJ39" s="41">
        <v>51270</v>
      </c>
      <c r="AK39" s="41">
        <v>51580</v>
      </c>
      <c r="AL39" s="41">
        <v>51895</v>
      </c>
      <c r="AM39" s="41">
        <v>52222</v>
      </c>
      <c r="AN39" s="41">
        <v>52538</v>
      </c>
      <c r="AO39" s="41">
        <v>52845</v>
      </c>
      <c r="AP39" s="41">
        <v>53154</v>
      </c>
      <c r="AQ39" s="41">
        <v>53470</v>
      </c>
      <c r="AR39" s="41">
        <v>53778</v>
      </c>
      <c r="AS39" s="41">
        <v>54081</v>
      </c>
      <c r="AT39" s="41">
        <v>54361</v>
      </c>
      <c r="AU39" s="41">
        <v>54639</v>
      </c>
      <c r="AV39" s="41">
        <v>54922</v>
      </c>
      <c r="AW39" s="41">
        <v>55207</v>
      </c>
      <c r="AX39" s="41">
        <v>55470</v>
      </c>
      <c r="AY39" s="41">
        <v>55719</v>
      </c>
    </row>
    <row r="40" spans="1:51">
      <c r="A40" s="38" t="s">
        <v>195</v>
      </c>
      <c r="B40" s="38" t="s">
        <v>196</v>
      </c>
      <c r="C40" s="41">
        <v>173245</v>
      </c>
      <c r="D40" s="41">
        <v>175561</v>
      </c>
      <c r="E40" s="41">
        <v>177005</v>
      </c>
      <c r="F40" s="41">
        <v>178831</v>
      </c>
      <c r="G40" s="41">
        <v>181187</v>
      </c>
      <c r="H40" s="41">
        <v>182467</v>
      </c>
      <c r="I40" s="41">
        <v>183934</v>
      </c>
      <c r="J40" s="41">
        <v>185139</v>
      </c>
      <c r="K40" s="41">
        <v>186432</v>
      </c>
      <c r="L40" s="41">
        <v>187387</v>
      </c>
      <c r="M40" s="41">
        <v>188413</v>
      </c>
      <c r="N40" s="41">
        <v>188379</v>
      </c>
      <c r="O40" s="41">
        <v>189306</v>
      </c>
      <c r="P40" s="41">
        <v>190227</v>
      </c>
      <c r="Q40" s="41">
        <v>191932</v>
      </c>
      <c r="R40" s="41">
        <v>193612</v>
      </c>
      <c r="S40" s="41">
        <v>194945</v>
      </c>
      <c r="T40" s="41">
        <v>196445</v>
      </c>
      <c r="U40" s="41">
        <v>197956</v>
      </c>
      <c r="V40" s="41">
        <v>199837</v>
      </c>
      <c r="W40" s="41">
        <v>201221</v>
      </c>
      <c r="X40" s="41">
        <v>203343</v>
      </c>
      <c r="Y40" s="41">
        <v>205346</v>
      </c>
      <c r="Z40" s="41">
        <v>207807</v>
      </c>
      <c r="AA40" s="41">
        <v>210054</v>
      </c>
      <c r="AB40" s="41">
        <v>212310</v>
      </c>
      <c r="AC40" s="41">
        <v>214472</v>
      </c>
      <c r="AD40" s="41">
        <v>216761</v>
      </c>
      <c r="AE40" s="41">
        <v>219074</v>
      </c>
      <c r="AF40" s="41">
        <v>221297</v>
      </c>
      <c r="AG40" s="41">
        <v>223454</v>
      </c>
      <c r="AH40" s="41">
        <v>225556</v>
      </c>
      <c r="AI40" s="41">
        <v>227679</v>
      </c>
      <c r="AJ40" s="41">
        <v>229833</v>
      </c>
      <c r="AK40" s="41">
        <v>231924</v>
      </c>
      <c r="AL40" s="41">
        <v>234015</v>
      </c>
      <c r="AM40" s="41">
        <v>236055</v>
      </c>
      <c r="AN40" s="41">
        <v>238117</v>
      </c>
      <c r="AO40" s="41">
        <v>240194</v>
      </c>
      <c r="AP40" s="41">
        <v>242221</v>
      </c>
      <c r="AQ40" s="41">
        <v>244242</v>
      </c>
      <c r="AR40" s="41">
        <v>246189</v>
      </c>
      <c r="AS40" s="41">
        <v>248118</v>
      </c>
      <c r="AT40" s="41">
        <v>250029</v>
      </c>
      <c r="AU40" s="41">
        <v>251890</v>
      </c>
      <c r="AV40" s="41">
        <v>253760</v>
      </c>
      <c r="AW40" s="41">
        <v>255608</v>
      </c>
      <c r="AX40" s="41">
        <v>257407</v>
      </c>
      <c r="AY40" s="41">
        <v>259140</v>
      </c>
    </row>
    <row r="41" spans="1:51">
      <c r="A41" s="38" t="s">
        <v>197</v>
      </c>
      <c r="B41" s="38" t="s">
        <v>198</v>
      </c>
      <c r="C41" s="41">
        <v>36317</v>
      </c>
      <c r="D41" s="41">
        <v>36503</v>
      </c>
      <c r="E41" s="41">
        <v>36245</v>
      </c>
      <c r="F41" s="41">
        <v>36073</v>
      </c>
      <c r="G41" s="41">
        <v>36055</v>
      </c>
      <c r="H41" s="41">
        <v>36478</v>
      </c>
      <c r="I41" s="41">
        <v>36822</v>
      </c>
      <c r="J41" s="41">
        <v>37048</v>
      </c>
      <c r="K41" s="41">
        <v>36750</v>
      </c>
      <c r="L41" s="41">
        <v>36687</v>
      </c>
      <c r="M41" s="41">
        <v>36841</v>
      </c>
      <c r="N41" s="41">
        <v>36708</v>
      </c>
      <c r="O41" s="41">
        <v>36693</v>
      </c>
      <c r="P41" s="41">
        <v>36766</v>
      </c>
      <c r="Q41" s="41">
        <v>36826</v>
      </c>
      <c r="R41" s="41">
        <v>36974</v>
      </c>
      <c r="S41" s="41">
        <v>36977</v>
      </c>
      <c r="T41" s="41">
        <v>37136</v>
      </c>
      <c r="U41" s="41">
        <v>37163</v>
      </c>
      <c r="V41" s="41">
        <v>37270</v>
      </c>
      <c r="W41" s="41">
        <v>37527</v>
      </c>
      <c r="X41" s="41">
        <v>37583</v>
      </c>
      <c r="Y41" s="41">
        <v>37554</v>
      </c>
      <c r="Z41" s="41">
        <v>37732</v>
      </c>
      <c r="AA41" s="41">
        <v>37762</v>
      </c>
      <c r="AB41" s="41">
        <v>37856</v>
      </c>
      <c r="AC41" s="41">
        <v>37931</v>
      </c>
      <c r="AD41" s="41">
        <v>38029</v>
      </c>
      <c r="AE41" s="41">
        <v>38110</v>
      </c>
      <c r="AF41" s="41">
        <v>38183</v>
      </c>
      <c r="AG41" s="41">
        <v>38263</v>
      </c>
      <c r="AH41" s="41">
        <v>38322</v>
      </c>
      <c r="AI41" s="41">
        <v>38388</v>
      </c>
      <c r="AJ41" s="41">
        <v>38440</v>
      </c>
      <c r="AK41" s="41">
        <v>38495</v>
      </c>
      <c r="AL41" s="41">
        <v>38555</v>
      </c>
      <c r="AM41" s="41">
        <v>38615</v>
      </c>
      <c r="AN41" s="41">
        <v>38686</v>
      </c>
      <c r="AO41" s="41">
        <v>38740</v>
      </c>
      <c r="AP41" s="41">
        <v>38801</v>
      </c>
      <c r="AQ41" s="41">
        <v>38846</v>
      </c>
      <c r="AR41" s="41">
        <v>38880</v>
      </c>
      <c r="AS41" s="41">
        <v>38918</v>
      </c>
      <c r="AT41" s="41">
        <v>38949</v>
      </c>
      <c r="AU41" s="41">
        <v>38975</v>
      </c>
      <c r="AV41" s="41">
        <v>38993</v>
      </c>
      <c r="AW41" s="41">
        <v>39011</v>
      </c>
      <c r="AX41" s="41">
        <v>39024</v>
      </c>
      <c r="AY41" s="41">
        <v>39033</v>
      </c>
    </row>
    <row r="42" spans="1:51">
      <c r="A42" s="38" t="s">
        <v>199</v>
      </c>
      <c r="B42" s="38" t="s">
        <v>200</v>
      </c>
      <c r="C42" s="41">
        <v>70550</v>
      </c>
      <c r="D42" s="41">
        <v>71287</v>
      </c>
      <c r="E42" s="41">
        <v>71799</v>
      </c>
      <c r="F42" s="41">
        <v>72399</v>
      </c>
      <c r="G42" s="41">
        <v>72730</v>
      </c>
      <c r="H42" s="41">
        <v>73087</v>
      </c>
      <c r="I42" s="41">
        <v>73460</v>
      </c>
      <c r="J42" s="41">
        <v>74061</v>
      </c>
      <c r="K42" s="41">
        <v>74198</v>
      </c>
      <c r="L42" s="41">
        <v>74266</v>
      </c>
      <c r="M42" s="41">
        <v>74442</v>
      </c>
      <c r="N42" s="41">
        <v>74874</v>
      </c>
      <c r="O42" s="41">
        <v>75275</v>
      </c>
      <c r="P42" s="41">
        <v>75367</v>
      </c>
      <c r="Q42" s="41">
        <v>75553</v>
      </c>
      <c r="R42" s="41">
        <v>76118</v>
      </c>
      <c r="S42" s="41">
        <v>76485</v>
      </c>
      <c r="T42" s="41">
        <v>76798</v>
      </c>
      <c r="U42" s="41">
        <v>77244</v>
      </c>
      <c r="V42" s="41">
        <v>77842</v>
      </c>
      <c r="W42" s="41">
        <v>78257</v>
      </c>
      <c r="X42" s="41">
        <v>78765</v>
      </c>
      <c r="Y42" s="41">
        <v>78888</v>
      </c>
      <c r="Z42" s="41">
        <v>79404</v>
      </c>
      <c r="AA42" s="41">
        <v>79942</v>
      </c>
      <c r="AB42" s="41">
        <v>80496</v>
      </c>
      <c r="AC42" s="41">
        <v>81048</v>
      </c>
      <c r="AD42" s="41">
        <v>81580</v>
      </c>
      <c r="AE42" s="41">
        <v>82160</v>
      </c>
      <c r="AF42" s="41">
        <v>82726</v>
      </c>
      <c r="AG42" s="41">
        <v>83265</v>
      </c>
      <c r="AH42" s="41">
        <v>83777</v>
      </c>
      <c r="AI42" s="41">
        <v>84286</v>
      </c>
      <c r="AJ42" s="41">
        <v>84800</v>
      </c>
      <c r="AK42" s="41">
        <v>85317</v>
      </c>
      <c r="AL42" s="41">
        <v>85839</v>
      </c>
      <c r="AM42" s="41">
        <v>86335</v>
      </c>
      <c r="AN42" s="41">
        <v>86836</v>
      </c>
      <c r="AO42" s="41">
        <v>87335</v>
      </c>
      <c r="AP42" s="41">
        <v>87832</v>
      </c>
      <c r="AQ42" s="41">
        <v>88336</v>
      </c>
      <c r="AR42" s="41">
        <v>88812</v>
      </c>
      <c r="AS42" s="41">
        <v>89290</v>
      </c>
      <c r="AT42" s="41">
        <v>89744</v>
      </c>
      <c r="AU42" s="41">
        <v>90182</v>
      </c>
      <c r="AV42" s="41">
        <v>90612</v>
      </c>
      <c r="AW42" s="41">
        <v>91027</v>
      </c>
      <c r="AX42" s="41">
        <v>91424</v>
      </c>
      <c r="AY42" s="41">
        <v>91812</v>
      </c>
    </row>
    <row r="43" spans="1:51">
      <c r="A43" s="38" t="s">
        <v>201</v>
      </c>
      <c r="B43" s="38" t="s">
        <v>202</v>
      </c>
      <c r="C43" s="41">
        <v>78443</v>
      </c>
      <c r="D43" s="41">
        <v>78629</v>
      </c>
      <c r="E43" s="41">
        <v>78674</v>
      </c>
      <c r="F43" s="41">
        <v>78982</v>
      </c>
      <c r="G43" s="41">
        <v>79246</v>
      </c>
      <c r="H43" s="41">
        <v>79535</v>
      </c>
      <c r="I43" s="41">
        <v>79765</v>
      </c>
      <c r="J43" s="41">
        <v>79903</v>
      </c>
      <c r="K43" s="41">
        <v>80108</v>
      </c>
      <c r="L43" s="41">
        <v>80605</v>
      </c>
      <c r="M43" s="41">
        <v>81064</v>
      </c>
      <c r="N43" s="41">
        <v>81595</v>
      </c>
      <c r="O43" s="41">
        <v>82125</v>
      </c>
      <c r="P43" s="41">
        <v>82774</v>
      </c>
      <c r="Q43" s="41">
        <v>83605</v>
      </c>
      <c r="R43" s="41">
        <v>84613</v>
      </c>
      <c r="S43" s="41">
        <v>85421</v>
      </c>
      <c r="T43" s="41">
        <v>86494</v>
      </c>
      <c r="U43" s="41">
        <v>87202</v>
      </c>
      <c r="V43" s="41">
        <v>87961</v>
      </c>
      <c r="W43" s="41">
        <v>88787</v>
      </c>
      <c r="X43" s="41">
        <v>89570</v>
      </c>
      <c r="Y43" s="41">
        <v>90366</v>
      </c>
      <c r="Z43" s="41">
        <v>91074</v>
      </c>
      <c r="AA43" s="41">
        <v>91833</v>
      </c>
      <c r="AB43" s="41">
        <v>92634</v>
      </c>
      <c r="AC43" s="41">
        <v>93444</v>
      </c>
      <c r="AD43" s="41">
        <v>94281</v>
      </c>
      <c r="AE43" s="41">
        <v>95094</v>
      </c>
      <c r="AF43" s="41">
        <v>95915</v>
      </c>
      <c r="AG43" s="41">
        <v>96707</v>
      </c>
      <c r="AH43" s="41">
        <v>97468</v>
      </c>
      <c r="AI43" s="41">
        <v>98237</v>
      </c>
      <c r="AJ43" s="41">
        <v>98989</v>
      </c>
      <c r="AK43" s="41">
        <v>99751</v>
      </c>
      <c r="AL43" s="41">
        <v>100509</v>
      </c>
      <c r="AM43" s="41">
        <v>101232</v>
      </c>
      <c r="AN43" s="41">
        <v>101952</v>
      </c>
      <c r="AO43" s="41">
        <v>102639</v>
      </c>
      <c r="AP43" s="41">
        <v>103323</v>
      </c>
      <c r="AQ43" s="41">
        <v>103979</v>
      </c>
      <c r="AR43" s="41">
        <v>104610</v>
      </c>
      <c r="AS43" s="41">
        <v>105238</v>
      </c>
      <c r="AT43" s="41">
        <v>105836</v>
      </c>
      <c r="AU43" s="41">
        <v>106439</v>
      </c>
      <c r="AV43" s="41">
        <v>107027</v>
      </c>
      <c r="AW43" s="41">
        <v>107610</v>
      </c>
      <c r="AX43" s="41">
        <v>108174</v>
      </c>
      <c r="AY43" s="41">
        <v>108697</v>
      </c>
    </row>
    <row r="44" spans="1:51">
      <c r="A44" s="38" t="s">
        <v>203</v>
      </c>
      <c r="B44" s="38" t="s">
        <v>204</v>
      </c>
      <c r="C44" s="41">
        <v>42018</v>
      </c>
      <c r="D44" s="41">
        <v>42587</v>
      </c>
      <c r="E44" s="41">
        <v>43141</v>
      </c>
      <c r="F44" s="41">
        <v>42346</v>
      </c>
      <c r="G44" s="41">
        <v>42324</v>
      </c>
      <c r="H44" s="41">
        <v>42575</v>
      </c>
      <c r="I44" s="41">
        <v>42479</v>
      </c>
      <c r="J44" s="41">
        <v>42807</v>
      </c>
      <c r="K44" s="41">
        <v>42719</v>
      </c>
      <c r="L44" s="41">
        <v>42616</v>
      </c>
      <c r="M44" s="41">
        <v>42569</v>
      </c>
      <c r="N44" s="41">
        <v>42135</v>
      </c>
      <c r="O44" s="41">
        <v>42486</v>
      </c>
      <c r="P44" s="41">
        <v>42388</v>
      </c>
      <c r="Q44" s="41">
        <v>44204</v>
      </c>
      <c r="R44" s="41">
        <v>44102</v>
      </c>
      <c r="S44" s="41">
        <v>43722</v>
      </c>
      <c r="T44" s="41">
        <v>44069</v>
      </c>
      <c r="U44" s="41">
        <v>44460</v>
      </c>
      <c r="V44" s="41">
        <v>45539</v>
      </c>
      <c r="W44" s="41">
        <v>46330</v>
      </c>
      <c r="X44" s="41">
        <v>47219</v>
      </c>
      <c r="Y44" s="41">
        <v>47764</v>
      </c>
      <c r="Z44" s="41">
        <v>48620</v>
      </c>
      <c r="AA44" s="41">
        <v>49208</v>
      </c>
      <c r="AB44" s="41">
        <v>49783</v>
      </c>
      <c r="AC44" s="41">
        <v>50276</v>
      </c>
      <c r="AD44" s="41">
        <v>50733</v>
      </c>
      <c r="AE44" s="41">
        <v>51149</v>
      </c>
      <c r="AF44" s="41">
        <v>51530</v>
      </c>
      <c r="AG44" s="41">
        <v>51918</v>
      </c>
      <c r="AH44" s="41">
        <v>52276</v>
      </c>
      <c r="AI44" s="41">
        <v>52649</v>
      </c>
      <c r="AJ44" s="41">
        <v>53066</v>
      </c>
      <c r="AK44" s="41">
        <v>53481</v>
      </c>
      <c r="AL44" s="41">
        <v>53945</v>
      </c>
      <c r="AM44" s="41">
        <v>54404</v>
      </c>
      <c r="AN44" s="41">
        <v>54863</v>
      </c>
      <c r="AO44" s="41">
        <v>55326</v>
      </c>
      <c r="AP44" s="41">
        <v>55784</v>
      </c>
      <c r="AQ44" s="41">
        <v>56256</v>
      </c>
      <c r="AR44" s="41">
        <v>56728</v>
      </c>
      <c r="AS44" s="41">
        <v>57153</v>
      </c>
      <c r="AT44" s="41">
        <v>57549</v>
      </c>
      <c r="AU44" s="41">
        <v>57943</v>
      </c>
      <c r="AV44" s="41">
        <v>58358</v>
      </c>
      <c r="AW44" s="41">
        <v>58776</v>
      </c>
      <c r="AX44" s="41">
        <v>59180</v>
      </c>
      <c r="AY44" s="41">
        <v>59562</v>
      </c>
    </row>
    <row r="45" spans="1:51">
      <c r="A45" s="38" t="s">
        <v>205</v>
      </c>
      <c r="B45" s="38" t="s">
        <v>206</v>
      </c>
      <c r="C45" s="41">
        <v>82854</v>
      </c>
      <c r="D45" s="41">
        <v>82148</v>
      </c>
      <c r="E45" s="41">
        <v>82214</v>
      </c>
      <c r="F45" s="41">
        <v>81546</v>
      </c>
      <c r="G45" s="41">
        <v>82096</v>
      </c>
      <c r="H45" s="41">
        <v>83371</v>
      </c>
      <c r="I45" s="41">
        <v>83307</v>
      </c>
      <c r="J45" s="41">
        <v>82622</v>
      </c>
      <c r="K45" s="41">
        <v>85345</v>
      </c>
      <c r="L45" s="41">
        <v>88569</v>
      </c>
      <c r="M45" s="41">
        <v>91739</v>
      </c>
      <c r="N45" s="41">
        <v>92679</v>
      </c>
      <c r="O45" s="41">
        <v>92776</v>
      </c>
      <c r="P45" s="41">
        <v>93632</v>
      </c>
      <c r="Q45" s="41">
        <v>94934</v>
      </c>
      <c r="R45" s="41">
        <v>94691</v>
      </c>
      <c r="S45" s="41">
        <v>94675</v>
      </c>
      <c r="T45" s="41">
        <v>94288</v>
      </c>
      <c r="U45" s="41">
        <v>95447</v>
      </c>
      <c r="V45" s="41">
        <v>95694</v>
      </c>
      <c r="W45" s="41">
        <v>97428</v>
      </c>
      <c r="X45" s="41">
        <v>99260</v>
      </c>
      <c r="Y45" s="41">
        <v>101662</v>
      </c>
      <c r="Z45" s="41">
        <v>103975</v>
      </c>
      <c r="AA45" s="41">
        <v>107027</v>
      </c>
      <c r="AB45" s="41">
        <v>109538</v>
      </c>
      <c r="AC45" s="41">
        <v>111774</v>
      </c>
      <c r="AD45" s="41">
        <v>113842</v>
      </c>
      <c r="AE45" s="41">
        <v>115730</v>
      </c>
      <c r="AF45" s="41">
        <v>117499</v>
      </c>
      <c r="AG45" s="41">
        <v>119193</v>
      </c>
      <c r="AH45" s="41">
        <v>120843</v>
      </c>
      <c r="AI45" s="41">
        <v>122480</v>
      </c>
      <c r="AJ45" s="41">
        <v>124111</v>
      </c>
      <c r="AK45" s="41">
        <v>125744</v>
      </c>
      <c r="AL45" s="41">
        <v>127395</v>
      </c>
      <c r="AM45" s="41">
        <v>129011</v>
      </c>
      <c r="AN45" s="41">
        <v>130582</v>
      </c>
      <c r="AO45" s="41">
        <v>132108</v>
      </c>
      <c r="AP45" s="41">
        <v>133595</v>
      </c>
      <c r="AQ45" s="41">
        <v>135067</v>
      </c>
      <c r="AR45" s="41">
        <v>136507</v>
      </c>
      <c r="AS45" s="41">
        <v>137854</v>
      </c>
      <c r="AT45" s="41">
        <v>139148</v>
      </c>
      <c r="AU45" s="41">
        <v>140409</v>
      </c>
      <c r="AV45" s="41">
        <v>141648</v>
      </c>
      <c r="AW45" s="41">
        <v>142844</v>
      </c>
      <c r="AX45" s="41">
        <v>144015</v>
      </c>
      <c r="AY45" s="41">
        <v>145156</v>
      </c>
    </row>
    <row r="46" spans="1:51">
      <c r="A46" s="38" t="s">
        <v>207</v>
      </c>
      <c r="B46" s="38" t="s">
        <v>208</v>
      </c>
      <c r="C46" s="41">
        <v>34181</v>
      </c>
      <c r="D46" s="41">
        <v>34566</v>
      </c>
      <c r="E46" s="41">
        <v>34932</v>
      </c>
      <c r="F46" s="41">
        <v>35197</v>
      </c>
      <c r="G46" s="41">
        <v>35427</v>
      </c>
      <c r="H46" s="41">
        <v>35613</v>
      </c>
      <c r="I46" s="41">
        <v>35894</v>
      </c>
      <c r="J46" s="41">
        <v>36256</v>
      </c>
      <c r="K46" s="41">
        <v>36606</v>
      </c>
      <c r="L46" s="41">
        <v>36792</v>
      </c>
      <c r="M46" s="41">
        <v>37107</v>
      </c>
      <c r="N46" s="41">
        <v>37526</v>
      </c>
      <c r="O46" s="41">
        <v>37975</v>
      </c>
      <c r="P46" s="41">
        <v>38311</v>
      </c>
      <c r="Q46" s="41">
        <v>38691</v>
      </c>
      <c r="R46" s="41">
        <v>38857</v>
      </c>
      <c r="S46" s="41">
        <v>39147</v>
      </c>
      <c r="T46" s="41">
        <v>39542</v>
      </c>
      <c r="U46" s="41">
        <v>39936</v>
      </c>
      <c r="V46" s="41">
        <v>40288</v>
      </c>
      <c r="W46" s="41">
        <v>40749</v>
      </c>
      <c r="X46" s="41">
        <v>41120</v>
      </c>
      <c r="Y46" s="41">
        <v>41344</v>
      </c>
      <c r="Z46" s="41">
        <v>41686</v>
      </c>
      <c r="AA46" s="41">
        <v>41935</v>
      </c>
      <c r="AB46" s="41">
        <v>42248</v>
      </c>
      <c r="AC46" s="41">
        <v>42566</v>
      </c>
      <c r="AD46" s="41">
        <v>42828</v>
      </c>
      <c r="AE46" s="41">
        <v>43120</v>
      </c>
      <c r="AF46" s="41">
        <v>43374</v>
      </c>
      <c r="AG46" s="41">
        <v>43645</v>
      </c>
      <c r="AH46" s="41">
        <v>43912</v>
      </c>
      <c r="AI46" s="41">
        <v>44148</v>
      </c>
      <c r="AJ46" s="41">
        <v>44397</v>
      </c>
      <c r="AK46" s="41">
        <v>44625</v>
      </c>
      <c r="AL46" s="41">
        <v>44870</v>
      </c>
      <c r="AM46" s="41">
        <v>45102</v>
      </c>
      <c r="AN46" s="41">
        <v>45322</v>
      </c>
      <c r="AO46" s="41">
        <v>45541</v>
      </c>
      <c r="AP46" s="41">
        <v>45733</v>
      </c>
      <c r="AQ46" s="41">
        <v>45946</v>
      </c>
      <c r="AR46" s="41">
        <v>46128</v>
      </c>
      <c r="AS46" s="41">
        <v>46305</v>
      </c>
      <c r="AT46" s="41">
        <v>46459</v>
      </c>
      <c r="AU46" s="41">
        <v>46601</v>
      </c>
      <c r="AV46" s="41">
        <v>46739</v>
      </c>
      <c r="AW46" s="41">
        <v>46865</v>
      </c>
      <c r="AX46" s="41">
        <v>46988</v>
      </c>
      <c r="AY46" s="41">
        <v>47102</v>
      </c>
    </row>
    <row r="47" spans="1:51">
      <c r="A47" s="38" t="s">
        <v>209</v>
      </c>
      <c r="B47" s="38" t="s">
        <v>210</v>
      </c>
      <c r="C47" s="41">
        <v>51875</v>
      </c>
      <c r="D47" s="41">
        <v>51771</v>
      </c>
      <c r="E47" s="41">
        <v>52568</v>
      </c>
      <c r="F47" s="41">
        <v>52960</v>
      </c>
      <c r="G47" s="41">
        <v>53276</v>
      </c>
      <c r="H47" s="41">
        <v>53751</v>
      </c>
      <c r="I47" s="41">
        <v>54488</v>
      </c>
      <c r="J47" s="41">
        <v>54846</v>
      </c>
      <c r="K47" s="41">
        <v>54926</v>
      </c>
      <c r="L47" s="41">
        <v>55498</v>
      </c>
      <c r="M47" s="41">
        <v>55747</v>
      </c>
      <c r="N47" s="41">
        <v>56098</v>
      </c>
      <c r="O47" s="41">
        <v>56887</v>
      </c>
      <c r="P47" s="41">
        <v>57430</v>
      </c>
      <c r="Q47" s="41">
        <v>57938</v>
      </c>
      <c r="R47" s="41">
        <v>58361</v>
      </c>
      <c r="S47" s="41">
        <v>59059</v>
      </c>
      <c r="T47" s="41">
        <v>59446</v>
      </c>
      <c r="U47" s="41">
        <v>59534</v>
      </c>
      <c r="V47" s="41">
        <v>60086</v>
      </c>
      <c r="W47" s="41">
        <v>60530</v>
      </c>
      <c r="X47" s="41">
        <v>61421</v>
      </c>
      <c r="Y47" s="41">
        <v>62168</v>
      </c>
      <c r="Z47" s="41">
        <v>63310</v>
      </c>
      <c r="AA47" s="41">
        <v>64063</v>
      </c>
      <c r="AB47" s="41">
        <v>64965</v>
      </c>
      <c r="AC47" s="41">
        <v>65833</v>
      </c>
      <c r="AD47" s="41">
        <v>66596</v>
      </c>
      <c r="AE47" s="41">
        <v>67360</v>
      </c>
      <c r="AF47" s="41">
        <v>68088</v>
      </c>
      <c r="AG47" s="41">
        <v>68833</v>
      </c>
      <c r="AH47" s="41">
        <v>69566</v>
      </c>
      <c r="AI47" s="41">
        <v>70305</v>
      </c>
      <c r="AJ47" s="41">
        <v>71086</v>
      </c>
      <c r="AK47" s="41">
        <v>71882</v>
      </c>
      <c r="AL47" s="41">
        <v>72723</v>
      </c>
      <c r="AM47" s="41">
        <v>73555</v>
      </c>
      <c r="AN47" s="41">
        <v>74384</v>
      </c>
      <c r="AO47" s="41">
        <v>75211</v>
      </c>
      <c r="AP47" s="41">
        <v>76041</v>
      </c>
      <c r="AQ47" s="41">
        <v>76890</v>
      </c>
      <c r="AR47" s="41">
        <v>77722</v>
      </c>
      <c r="AS47" s="41">
        <v>78488</v>
      </c>
      <c r="AT47" s="41">
        <v>79236</v>
      </c>
      <c r="AU47" s="41">
        <v>79986</v>
      </c>
      <c r="AV47" s="41">
        <v>80752</v>
      </c>
      <c r="AW47" s="41">
        <v>81522</v>
      </c>
      <c r="AX47" s="41">
        <v>82267</v>
      </c>
      <c r="AY47" s="41">
        <v>82995</v>
      </c>
    </row>
    <row r="48" spans="1:51">
      <c r="A48" s="38" t="s">
        <v>211</v>
      </c>
      <c r="B48" s="38" t="s">
        <v>212</v>
      </c>
      <c r="C48" s="41">
        <v>41487</v>
      </c>
      <c r="D48" s="41">
        <v>41965</v>
      </c>
      <c r="E48" s="41">
        <v>42216</v>
      </c>
      <c r="F48" s="41">
        <v>42628</v>
      </c>
      <c r="G48" s="41">
        <v>42995</v>
      </c>
      <c r="H48" s="41">
        <v>43113</v>
      </c>
      <c r="I48" s="41">
        <v>43364</v>
      </c>
      <c r="J48" s="41">
        <v>43586</v>
      </c>
      <c r="K48" s="41">
        <v>43551</v>
      </c>
      <c r="L48" s="41">
        <v>43692</v>
      </c>
      <c r="M48" s="41">
        <v>43912</v>
      </c>
      <c r="N48" s="41">
        <v>44392</v>
      </c>
      <c r="O48" s="41">
        <v>44895</v>
      </c>
      <c r="P48" s="41">
        <v>45689</v>
      </c>
      <c r="Q48" s="41">
        <v>46208</v>
      </c>
      <c r="R48" s="41">
        <v>46793</v>
      </c>
      <c r="S48" s="41">
        <v>47274</v>
      </c>
      <c r="T48" s="41">
        <v>47571</v>
      </c>
      <c r="U48" s="41">
        <v>47781</v>
      </c>
      <c r="V48" s="41">
        <v>48007</v>
      </c>
      <c r="W48" s="41">
        <v>48327</v>
      </c>
      <c r="X48" s="41">
        <v>48611</v>
      </c>
      <c r="Y48" s="41">
        <v>48783</v>
      </c>
      <c r="Z48" s="41">
        <v>48994</v>
      </c>
      <c r="AA48" s="41">
        <v>49146</v>
      </c>
      <c r="AB48" s="41">
        <v>49377</v>
      </c>
      <c r="AC48" s="41">
        <v>49626</v>
      </c>
      <c r="AD48" s="41">
        <v>49834</v>
      </c>
      <c r="AE48" s="41">
        <v>50048</v>
      </c>
      <c r="AF48" s="41">
        <v>50226</v>
      </c>
      <c r="AG48" s="41">
        <v>50423</v>
      </c>
      <c r="AH48" s="41">
        <v>50616</v>
      </c>
      <c r="AI48" s="41">
        <v>50793</v>
      </c>
      <c r="AJ48" s="41">
        <v>50984</v>
      </c>
      <c r="AK48" s="41">
        <v>51143</v>
      </c>
      <c r="AL48" s="41">
        <v>51332</v>
      </c>
      <c r="AM48" s="41">
        <v>51501</v>
      </c>
      <c r="AN48" s="41">
        <v>51683</v>
      </c>
      <c r="AO48" s="41">
        <v>51857</v>
      </c>
      <c r="AP48" s="41">
        <v>52013</v>
      </c>
      <c r="AQ48" s="41">
        <v>52181</v>
      </c>
      <c r="AR48" s="41">
        <v>52336</v>
      </c>
      <c r="AS48" s="41">
        <v>52477</v>
      </c>
      <c r="AT48" s="41">
        <v>52617</v>
      </c>
      <c r="AU48" s="41">
        <v>52737</v>
      </c>
      <c r="AV48" s="41">
        <v>52862</v>
      </c>
      <c r="AW48" s="41">
        <v>52983</v>
      </c>
      <c r="AX48" s="41">
        <v>53089</v>
      </c>
      <c r="AY48" s="41">
        <v>53180</v>
      </c>
    </row>
    <row r="49" spans="1:51">
      <c r="A49" s="38" t="s">
        <v>213</v>
      </c>
      <c r="B49" s="38" t="s">
        <v>214</v>
      </c>
      <c r="C49" s="41">
        <v>33118</v>
      </c>
      <c r="D49" s="41">
        <v>33302</v>
      </c>
      <c r="E49" s="41">
        <v>33447</v>
      </c>
      <c r="F49" s="41">
        <v>33798</v>
      </c>
      <c r="G49" s="41">
        <v>34021</v>
      </c>
      <c r="H49" s="41">
        <v>34220</v>
      </c>
      <c r="I49" s="41">
        <v>34410</v>
      </c>
      <c r="J49" s="41">
        <v>34584</v>
      </c>
      <c r="K49" s="41">
        <v>34834</v>
      </c>
      <c r="L49" s="41">
        <v>35085</v>
      </c>
      <c r="M49" s="41">
        <v>35366</v>
      </c>
      <c r="N49" s="41">
        <v>35545</v>
      </c>
      <c r="O49" s="41">
        <v>35708</v>
      </c>
      <c r="P49" s="41">
        <v>35700</v>
      </c>
      <c r="Q49" s="41">
        <v>35881</v>
      </c>
      <c r="R49" s="41">
        <v>35984</v>
      </c>
      <c r="S49" s="41">
        <v>36177</v>
      </c>
      <c r="T49" s="41">
        <v>36286</v>
      </c>
      <c r="U49" s="41">
        <v>36368</v>
      </c>
      <c r="V49" s="41">
        <v>36386</v>
      </c>
      <c r="W49" s="41">
        <v>36459</v>
      </c>
      <c r="X49" s="41">
        <v>36691</v>
      </c>
      <c r="Y49" s="41">
        <v>36887</v>
      </c>
      <c r="Z49" s="41">
        <v>37005</v>
      </c>
      <c r="AA49" s="41">
        <v>37172</v>
      </c>
      <c r="AB49" s="41">
        <v>37395</v>
      </c>
      <c r="AC49" s="41">
        <v>37610</v>
      </c>
      <c r="AD49" s="41">
        <v>37840</v>
      </c>
      <c r="AE49" s="41">
        <v>38095</v>
      </c>
      <c r="AF49" s="41">
        <v>38327</v>
      </c>
      <c r="AG49" s="41">
        <v>38568</v>
      </c>
      <c r="AH49" s="41">
        <v>38809</v>
      </c>
      <c r="AI49" s="41">
        <v>39061</v>
      </c>
      <c r="AJ49" s="41">
        <v>39317</v>
      </c>
      <c r="AK49" s="41">
        <v>39565</v>
      </c>
      <c r="AL49" s="41">
        <v>39837</v>
      </c>
      <c r="AM49" s="41">
        <v>40102</v>
      </c>
      <c r="AN49" s="41">
        <v>40364</v>
      </c>
      <c r="AO49" s="41">
        <v>40615</v>
      </c>
      <c r="AP49" s="41">
        <v>40854</v>
      </c>
      <c r="AQ49" s="41">
        <v>41106</v>
      </c>
      <c r="AR49" s="41">
        <v>41324</v>
      </c>
      <c r="AS49" s="41">
        <v>41569</v>
      </c>
      <c r="AT49" s="41">
        <v>41813</v>
      </c>
      <c r="AU49" s="41">
        <v>42048</v>
      </c>
      <c r="AV49" s="41">
        <v>42310</v>
      </c>
      <c r="AW49" s="41">
        <v>42565</v>
      </c>
      <c r="AX49" s="41">
        <v>42834</v>
      </c>
      <c r="AY49" s="41">
        <v>43087</v>
      </c>
    </row>
    <row r="50" spans="1:51">
      <c r="A50" s="38" t="s">
        <v>215</v>
      </c>
      <c r="B50" s="38" t="s">
        <v>216</v>
      </c>
      <c r="C50" s="41">
        <v>85102</v>
      </c>
      <c r="D50" s="41">
        <v>85754</v>
      </c>
      <c r="E50" s="41">
        <v>86133</v>
      </c>
      <c r="F50" s="41">
        <v>87022</v>
      </c>
      <c r="G50" s="41">
        <v>88199</v>
      </c>
      <c r="H50" s="41">
        <v>89383</v>
      </c>
      <c r="I50" s="41">
        <v>90049</v>
      </c>
      <c r="J50" s="41">
        <v>90804</v>
      </c>
      <c r="K50" s="41">
        <v>92326</v>
      </c>
      <c r="L50" s="41">
        <v>93376</v>
      </c>
      <c r="M50" s="41">
        <v>94443</v>
      </c>
      <c r="N50" s="41">
        <v>95556</v>
      </c>
      <c r="O50" s="41">
        <v>96591</v>
      </c>
      <c r="P50" s="41">
        <v>97473</v>
      </c>
      <c r="Q50" s="41">
        <v>98478</v>
      </c>
      <c r="R50" s="41">
        <v>99537</v>
      </c>
      <c r="S50" s="41">
        <v>100734</v>
      </c>
      <c r="T50" s="41">
        <v>101885</v>
      </c>
      <c r="U50" s="41">
        <v>102600</v>
      </c>
      <c r="V50" s="41">
        <v>103570</v>
      </c>
      <c r="W50" s="41">
        <v>104967</v>
      </c>
      <c r="X50" s="41">
        <v>106892</v>
      </c>
      <c r="Y50" s="41">
        <v>108910</v>
      </c>
      <c r="Z50" s="41">
        <v>111051</v>
      </c>
      <c r="AA50" s="41">
        <v>113012</v>
      </c>
      <c r="AB50" s="41">
        <v>115021</v>
      </c>
      <c r="AC50" s="41">
        <v>116965</v>
      </c>
      <c r="AD50" s="41">
        <v>118926</v>
      </c>
      <c r="AE50" s="41">
        <v>120878</v>
      </c>
      <c r="AF50" s="41">
        <v>122743</v>
      </c>
      <c r="AG50" s="41">
        <v>124594</v>
      </c>
      <c r="AH50" s="41">
        <v>126387</v>
      </c>
      <c r="AI50" s="41">
        <v>128161</v>
      </c>
      <c r="AJ50" s="41">
        <v>129905</v>
      </c>
      <c r="AK50" s="41">
        <v>131597</v>
      </c>
      <c r="AL50" s="41">
        <v>133287</v>
      </c>
      <c r="AM50" s="41">
        <v>134946</v>
      </c>
      <c r="AN50" s="41">
        <v>136592</v>
      </c>
      <c r="AO50" s="41">
        <v>138217</v>
      </c>
      <c r="AP50" s="41">
        <v>139818</v>
      </c>
      <c r="AQ50" s="41">
        <v>141432</v>
      </c>
      <c r="AR50" s="41">
        <v>143014</v>
      </c>
      <c r="AS50" s="41">
        <v>144585</v>
      </c>
      <c r="AT50" s="41">
        <v>146107</v>
      </c>
      <c r="AU50" s="41">
        <v>147599</v>
      </c>
      <c r="AV50" s="41">
        <v>149097</v>
      </c>
      <c r="AW50" s="41">
        <v>150577</v>
      </c>
      <c r="AX50" s="41">
        <v>152012</v>
      </c>
      <c r="AY50" s="41">
        <v>153409</v>
      </c>
    </row>
    <row r="51" spans="1:51">
      <c r="A51" s="38" t="s">
        <v>217</v>
      </c>
      <c r="B51" s="38" t="s">
        <v>218</v>
      </c>
      <c r="C51" s="41">
        <v>57348</v>
      </c>
      <c r="D51" s="41">
        <v>58286</v>
      </c>
      <c r="E51" s="41">
        <v>59249</v>
      </c>
      <c r="F51" s="41">
        <v>59119</v>
      </c>
      <c r="G51" s="41">
        <v>59387</v>
      </c>
      <c r="H51" s="41">
        <v>59894</v>
      </c>
      <c r="I51" s="41">
        <v>59989</v>
      </c>
      <c r="J51" s="41">
        <v>59970</v>
      </c>
      <c r="K51" s="41">
        <v>60178</v>
      </c>
      <c r="L51" s="41">
        <v>60257</v>
      </c>
      <c r="M51" s="41">
        <v>60565</v>
      </c>
      <c r="N51" s="41">
        <v>60753</v>
      </c>
      <c r="O51" s="41">
        <v>61011</v>
      </c>
      <c r="P51" s="41">
        <v>61581</v>
      </c>
      <c r="Q51" s="41">
        <v>62253</v>
      </c>
      <c r="R51" s="41">
        <v>62904</v>
      </c>
      <c r="S51" s="41">
        <v>63516</v>
      </c>
      <c r="T51" s="41">
        <v>64341</v>
      </c>
      <c r="U51" s="41">
        <v>65077</v>
      </c>
      <c r="V51" s="41">
        <v>65868</v>
      </c>
      <c r="W51" s="41">
        <v>66445</v>
      </c>
      <c r="X51" s="41">
        <v>67462</v>
      </c>
      <c r="Y51" s="41">
        <v>68454</v>
      </c>
      <c r="Z51" s="41">
        <v>69602</v>
      </c>
      <c r="AA51" s="41">
        <v>70646</v>
      </c>
      <c r="AB51" s="41">
        <v>71708</v>
      </c>
      <c r="AC51" s="41">
        <v>72631</v>
      </c>
      <c r="AD51" s="41">
        <v>73534</v>
      </c>
      <c r="AE51" s="41">
        <v>74461</v>
      </c>
      <c r="AF51" s="41">
        <v>75358</v>
      </c>
      <c r="AG51" s="41">
        <v>76252</v>
      </c>
      <c r="AH51" s="41">
        <v>77089</v>
      </c>
      <c r="AI51" s="41">
        <v>77944</v>
      </c>
      <c r="AJ51" s="41">
        <v>78852</v>
      </c>
      <c r="AK51" s="41">
        <v>79765</v>
      </c>
      <c r="AL51" s="41">
        <v>80690</v>
      </c>
      <c r="AM51" s="41">
        <v>81618</v>
      </c>
      <c r="AN51" s="41">
        <v>82556</v>
      </c>
      <c r="AO51" s="41">
        <v>83464</v>
      </c>
      <c r="AP51" s="41">
        <v>84366</v>
      </c>
      <c r="AQ51" s="41">
        <v>85282</v>
      </c>
      <c r="AR51" s="41">
        <v>86151</v>
      </c>
      <c r="AS51" s="41">
        <v>86968</v>
      </c>
      <c r="AT51" s="41">
        <v>87728</v>
      </c>
      <c r="AU51" s="41">
        <v>88474</v>
      </c>
      <c r="AV51" s="41">
        <v>89239</v>
      </c>
      <c r="AW51" s="41">
        <v>90002</v>
      </c>
      <c r="AX51" s="41">
        <v>90748</v>
      </c>
      <c r="AY51" s="41">
        <v>91470</v>
      </c>
    </row>
    <row r="52" spans="1:51">
      <c r="A52" s="38" t="s">
        <v>219</v>
      </c>
      <c r="B52" s="38" t="s">
        <v>220</v>
      </c>
      <c r="C52" s="41">
        <v>60094</v>
      </c>
      <c r="D52" s="41">
        <v>60707</v>
      </c>
      <c r="E52" s="41">
        <v>61585</v>
      </c>
      <c r="F52" s="41">
        <v>61952</v>
      </c>
      <c r="G52" s="41">
        <v>62555</v>
      </c>
      <c r="H52" s="41">
        <v>63005</v>
      </c>
      <c r="I52" s="41">
        <v>62927</v>
      </c>
      <c r="J52" s="41">
        <v>62984</v>
      </c>
      <c r="K52" s="41">
        <v>63496</v>
      </c>
      <c r="L52" s="41">
        <v>63997</v>
      </c>
      <c r="M52" s="41">
        <v>64719</v>
      </c>
      <c r="N52" s="41">
        <v>65119</v>
      </c>
      <c r="O52" s="41">
        <v>65582</v>
      </c>
      <c r="P52" s="41">
        <v>66199</v>
      </c>
      <c r="Q52" s="41">
        <v>66872</v>
      </c>
      <c r="R52" s="41">
        <v>67208</v>
      </c>
      <c r="S52" s="41">
        <v>67590</v>
      </c>
      <c r="T52" s="41">
        <v>68077</v>
      </c>
      <c r="U52" s="41">
        <v>68652</v>
      </c>
      <c r="V52" s="41">
        <v>69264</v>
      </c>
      <c r="W52" s="41">
        <v>69755</v>
      </c>
      <c r="X52" s="41">
        <v>70389</v>
      </c>
      <c r="Y52" s="41">
        <v>70964</v>
      </c>
      <c r="Z52" s="41">
        <v>71698</v>
      </c>
      <c r="AA52" s="41">
        <v>72381</v>
      </c>
      <c r="AB52" s="41">
        <v>73119</v>
      </c>
      <c r="AC52" s="41">
        <v>73871</v>
      </c>
      <c r="AD52" s="41">
        <v>74572</v>
      </c>
      <c r="AE52" s="41">
        <v>75316</v>
      </c>
      <c r="AF52" s="41">
        <v>76004</v>
      </c>
      <c r="AG52" s="41">
        <v>76696</v>
      </c>
      <c r="AH52" s="41">
        <v>77387</v>
      </c>
      <c r="AI52" s="41">
        <v>78037</v>
      </c>
      <c r="AJ52" s="41">
        <v>78698</v>
      </c>
      <c r="AK52" s="41">
        <v>79337</v>
      </c>
      <c r="AL52" s="41">
        <v>79982</v>
      </c>
      <c r="AM52" s="41">
        <v>80617</v>
      </c>
      <c r="AN52" s="41">
        <v>81249</v>
      </c>
      <c r="AO52" s="41">
        <v>81871</v>
      </c>
      <c r="AP52" s="41">
        <v>82494</v>
      </c>
      <c r="AQ52" s="41">
        <v>83131</v>
      </c>
      <c r="AR52" s="41">
        <v>83745</v>
      </c>
      <c r="AS52" s="41">
        <v>84351</v>
      </c>
      <c r="AT52" s="41">
        <v>84950</v>
      </c>
      <c r="AU52" s="41">
        <v>85532</v>
      </c>
      <c r="AV52" s="41">
        <v>86120</v>
      </c>
      <c r="AW52" s="41">
        <v>86703</v>
      </c>
      <c r="AX52" s="41">
        <v>87271</v>
      </c>
      <c r="AY52" s="41">
        <v>87822</v>
      </c>
    </row>
    <row r="53" spans="1:51">
      <c r="A53" s="38" t="s">
        <v>221</v>
      </c>
      <c r="B53" s="38" t="s">
        <v>222</v>
      </c>
      <c r="C53" s="41">
        <v>45334</v>
      </c>
      <c r="D53" s="41">
        <v>45541</v>
      </c>
      <c r="E53" s="41">
        <v>45724</v>
      </c>
      <c r="F53" s="41">
        <v>46284</v>
      </c>
      <c r="G53" s="41">
        <v>46392</v>
      </c>
      <c r="H53" s="41">
        <v>46745</v>
      </c>
      <c r="I53" s="41">
        <v>46991</v>
      </c>
      <c r="J53" s="41">
        <v>46967</v>
      </c>
      <c r="K53" s="41">
        <v>47454</v>
      </c>
      <c r="L53" s="41">
        <v>47895</v>
      </c>
      <c r="M53" s="41">
        <v>48183</v>
      </c>
      <c r="N53" s="41">
        <v>48112</v>
      </c>
      <c r="O53" s="41">
        <v>47877</v>
      </c>
      <c r="P53" s="41">
        <v>48073</v>
      </c>
      <c r="Q53" s="41">
        <v>48646</v>
      </c>
      <c r="R53" s="41">
        <v>48950</v>
      </c>
      <c r="S53" s="41">
        <v>49291</v>
      </c>
      <c r="T53" s="41">
        <v>49529</v>
      </c>
      <c r="U53" s="41">
        <v>50054</v>
      </c>
      <c r="V53" s="41">
        <v>50521</v>
      </c>
      <c r="W53" s="41">
        <v>50928</v>
      </c>
      <c r="X53" s="41">
        <v>51213</v>
      </c>
      <c r="Y53" s="41">
        <v>51366</v>
      </c>
      <c r="Z53" s="41">
        <v>51667</v>
      </c>
      <c r="AA53" s="41">
        <v>52108</v>
      </c>
      <c r="AB53" s="41">
        <v>52555</v>
      </c>
      <c r="AC53" s="41">
        <v>52970</v>
      </c>
      <c r="AD53" s="41">
        <v>53386</v>
      </c>
      <c r="AE53" s="41">
        <v>53830</v>
      </c>
      <c r="AF53" s="41">
        <v>54244</v>
      </c>
      <c r="AG53" s="41">
        <v>54654</v>
      </c>
      <c r="AH53" s="41">
        <v>55051</v>
      </c>
      <c r="AI53" s="41">
        <v>55454</v>
      </c>
      <c r="AJ53" s="41">
        <v>55869</v>
      </c>
      <c r="AK53" s="41">
        <v>56261</v>
      </c>
      <c r="AL53" s="41">
        <v>56670</v>
      </c>
      <c r="AM53" s="41">
        <v>57085</v>
      </c>
      <c r="AN53" s="41">
        <v>57494</v>
      </c>
      <c r="AO53" s="41">
        <v>57923</v>
      </c>
      <c r="AP53" s="41">
        <v>58347</v>
      </c>
      <c r="AQ53" s="41">
        <v>58781</v>
      </c>
      <c r="AR53" s="41">
        <v>59215</v>
      </c>
      <c r="AS53" s="41">
        <v>59632</v>
      </c>
      <c r="AT53" s="41">
        <v>60051</v>
      </c>
      <c r="AU53" s="41">
        <v>60455</v>
      </c>
      <c r="AV53" s="41">
        <v>60865</v>
      </c>
      <c r="AW53" s="41">
        <v>61277</v>
      </c>
      <c r="AX53" s="41">
        <v>61664</v>
      </c>
      <c r="AY53" s="41">
        <v>62028</v>
      </c>
    </row>
    <row r="54" spans="1:51">
      <c r="A54" s="38" t="s">
        <v>223</v>
      </c>
      <c r="B54" s="38" t="s">
        <v>224</v>
      </c>
      <c r="C54" s="41">
        <v>47152</v>
      </c>
      <c r="D54" s="41">
        <v>48006</v>
      </c>
      <c r="E54" s="41">
        <v>47249</v>
      </c>
      <c r="F54" s="41">
        <v>48312</v>
      </c>
      <c r="G54" s="41">
        <v>49644</v>
      </c>
      <c r="H54" s="41">
        <v>50142</v>
      </c>
      <c r="I54" s="41">
        <v>50250</v>
      </c>
      <c r="J54" s="41">
        <v>50803</v>
      </c>
      <c r="K54" s="41">
        <v>51788</v>
      </c>
      <c r="L54" s="41">
        <v>53031</v>
      </c>
      <c r="M54" s="41">
        <v>53371</v>
      </c>
      <c r="N54" s="41">
        <v>53584</v>
      </c>
      <c r="O54" s="41">
        <v>54140</v>
      </c>
      <c r="P54" s="41">
        <v>54478</v>
      </c>
      <c r="Q54" s="41">
        <v>54749</v>
      </c>
      <c r="R54" s="41">
        <v>55213</v>
      </c>
      <c r="S54" s="41">
        <v>55477</v>
      </c>
      <c r="T54" s="41">
        <v>55970</v>
      </c>
      <c r="U54" s="41">
        <v>56377</v>
      </c>
      <c r="V54" s="41">
        <v>56649</v>
      </c>
      <c r="W54" s="41">
        <v>56878</v>
      </c>
      <c r="X54" s="41">
        <v>57427</v>
      </c>
      <c r="Y54" s="41">
        <v>58055</v>
      </c>
      <c r="Z54" s="41">
        <v>58449</v>
      </c>
      <c r="AA54" s="41">
        <v>59087</v>
      </c>
      <c r="AB54" s="41">
        <v>59696</v>
      </c>
      <c r="AC54" s="41">
        <v>60315</v>
      </c>
      <c r="AD54" s="41">
        <v>60933</v>
      </c>
      <c r="AE54" s="41">
        <v>61533</v>
      </c>
      <c r="AF54" s="41">
        <v>62135</v>
      </c>
      <c r="AG54" s="41">
        <v>62698</v>
      </c>
      <c r="AH54" s="41">
        <v>63256</v>
      </c>
      <c r="AI54" s="41">
        <v>63817</v>
      </c>
      <c r="AJ54" s="41">
        <v>64364</v>
      </c>
      <c r="AK54" s="41">
        <v>64907</v>
      </c>
      <c r="AL54" s="41">
        <v>65434</v>
      </c>
      <c r="AM54" s="41">
        <v>65956</v>
      </c>
      <c r="AN54" s="41">
        <v>66481</v>
      </c>
      <c r="AO54" s="41">
        <v>66997</v>
      </c>
      <c r="AP54" s="41">
        <v>67526</v>
      </c>
      <c r="AQ54" s="41">
        <v>68063</v>
      </c>
      <c r="AR54" s="41">
        <v>68582</v>
      </c>
      <c r="AS54" s="41">
        <v>69090</v>
      </c>
      <c r="AT54" s="41">
        <v>69580</v>
      </c>
      <c r="AU54" s="41">
        <v>70069</v>
      </c>
      <c r="AV54" s="41">
        <v>70560</v>
      </c>
      <c r="AW54" s="41">
        <v>71034</v>
      </c>
      <c r="AX54" s="41">
        <v>71485</v>
      </c>
      <c r="AY54" s="41">
        <v>71920</v>
      </c>
    </row>
    <row r="55" spans="1:51">
      <c r="A55" s="38" t="s">
        <v>225</v>
      </c>
      <c r="B55" s="38" t="s">
        <v>226</v>
      </c>
      <c r="C55" s="41">
        <v>136530</v>
      </c>
      <c r="D55" s="41">
        <v>137672</v>
      </c>
      <c r="E55" s="41">
        <v>138877</v>
      </c>
      <c r="F55" s="41">
        <v>140258</v>
      </c>
      <c r="G55" s="41">
        <v>141898</v>
      </c>
      <c r="H55" s="41">
        <v>143061</v>
      </c>
      <c r="I55" s="41">
        <v>144085</v>
      </c>
      <c r="J55" s="41">
        <v>145007</v>
      </c>
      <c r="K55" s="41">
        <v>145480</v>
      </c>
      <c r="L55" s="41">
        <v>146396</v>
      </c>
      <c r="M55" s="41">
        <v>147383</v>
      </c>
      <c r="N55" s="41">
        <v>148481</v>
      </c>
      <c r="O55" s="41">
        <v>149750</v>
      </c>
      <c r="P55" s="41">
        <v>150989</v>
      </c>
      <c r="Q55" s="41">
        <v>152439</v>
      </c>
      <c r="R55" s="41">
        <v>153639</v>
      </c>
      <c r="S55" s="41">
        <v>155129</v>
      </c>
      <c r="T55" s="41">
        <v>156524</v>
      </c>
      <c r="U55" s="41">
        <v>157539</v>
      </c>
      <c r="V55" s="41">
        <v>158540</v>
      </c>
      <c r="W55" s="41">
        <v>159717</v>
      </c>
      <c r="X55" s="41">
        <v>160820</v>
      </c>
      <c r="Y55" s="41">
        <v>161491</v>
      </c>
      <c r="Z55" s="41">
        <v>162565</v>
      </c>
      <c r="AA55" s="41">
        <v>163566</v>
      </c>
      <c r="AB55" s="41">
        <v>164644</v>
      </c>
      <c r="AC55" s="41">
        <v>165699</v>
      </c>
      <c r="AD55" s="41">
        <v>166785</v>
      </c>
      <c r="AE55" s="41">
        <v>167787</v>
      </c>
      <c r="AF55" s="41">
        <v>168781</v>
      </c>
      <c r="AG55" s="41">
        <v>169727</v>
      </c>
      <c r="AH55" s="41">
        <v>170620</v>
      </c>
      <c r="AI55" s="41">
        <v>171511</v>
      </c>
      <c r="AJ55" s="41">
        <v>172371</v>
      </c>
      <c r="AK55" s="41">
        <v>173214</v>
      </c>
      <c r="AL55" s="41">
        <v>174083</v>
      </c>
      <c r="AM55" s="41">
        <v>174949</v>
      </c>
      <c r="AN55" s="41">
        <v>175784</v>
      </c>
      <c r="AO55" s="41">
        <v>176583</v>
      </c>
      <c r="AP55" s="41">
        <v>177345</v>
      </c>
      <c r="AQ55" s="41">
        <v>178132</v>
      </c>
      <c r="AR55" s="41">
        <v>178857</v>
      </c>
      <c r="AS55" s="41">
        <v>179564</v>
      </c>
      <c r="AT55" s="41">
        <v>180213</v>
      </c>
      <c r="AU55" s="41">
        <v>180807</v>
      </c>
      <c r="AV55" s="41">
        <v>181383</v>
      </c>
      <c r="AW55" s="41">
        <v>181928</v>
      </c>
      <c r="AX55" s="41">
        <v>182421</v>
      </c>
      <c r="AY55" s="41">
        <v>182884</v>
      </c>
    </row>
    <row r="56" spans="1:51">
      <c r="A56" s="38" t="s">
        <v>227</v>
      </c>
      <c r="B56" s="38" t="s">
        <v>228</v>
      </c>
      <c r="C56" s="41">
        <v>123281</v>
      </c>
      <c r="D56" s="41">
        <v>124407</v>
      </c>
      <c r="E56" s="41">
        <v>125999</v>
      </c>
      <c r="F56" s="41">
        <v>127001</v>
      </c>
      <c r="G56" s="41">
        <v>127646</v>
      </c>
      <c r="H56" s="41">
        <v>128390</v>
      </c>
      <c r="I56" s="41">
        <v>129437</v>
      </c>
      <c r="J56" s="41">
        <v>130527</v>
      </c>
      <c r="K56" s="41">
        <v>130776</v>
      </c>
      <c r="L56" s="41">
        <v>132103</v>
      </c>
      <c r="M56" s="41">
        <v>133131</v>
      </c>
      <c r="N56" s="41">
        <v>134018</v>
      </c>
      <c r="O56" s="41">
        <v>135162</v>
      </c>
      <c r="P56" s="41">
        <v>135951</v>
      </c>
      <c r="Q56" s="41">
        <v>137068</v>
      </c>
      <c r="R56" s="41">
        <v>137981</v>
      </c>
      <c r="S56" s="41">
        <v>138833</v>
      </c>
      <c r="T56" s="41">
        <v>139391</v>
      </c>
      <c r="U56" s="41">
        <v>140033</v>
      </c>
      <c r="V56" s="41">
        <v>140859</v>
      </c>
      <c r="W56" s="41">
        <v>141433</v>
      </c>
      <c r="X56" s="41">
        <v>141985</v>
      </c>
      <c r="Y56" s="41">
        <v>142553</v>
      </c>
      <c r="Z56" s="41">
        <v>143156</v>
      </c>
      <c r="AA56" s="41">
        <v>143744</v>
      </c>
      <c r="AB56" s="41">
        <v>144393</v>
      </c>
      <c r="AC56" s="41">
        <v>145015</v>
      </c>
      <c r="AD56" s="41">
        <v>145676</v>
      </c>
      <c r="AE56" s="41">
        <v>146311</v>
      </c>
      <c r="AF56" s="41">
        <v>146930</v>
      </c>
      <c r="AG56" s="41">
        <v>147518</v>
      </c>
      <c r="AH56" s="41">
        <v>148072</v>
      </c>
      <c r="AI56" s="41">
        <v>148608</v>
      </c>
      <c r="AJ56" s="41">
        <v>149107</v>
      </c>
      <c r="AK56" s="41">
        <v>149597</v>
      </c>
      <c r="AL56" s="41">
        <v>150093</v>
      </c>
      <c r="AM56" s="41">
        <v>150553</v>
      </c>
      <c r="AN56" s="41">
        <v>151011</v>
      </c>
      <c r="AO56" s="41">
        <v>151437</v>
      </c>
      <c r="AP56" s="41">
        <v>151865</v>
      </c>
      <c r="AQ56" s="41">
        <v>152311</v>
      </c>
      <c r="AR56" s="41">
        <v>152743</v>
      </c>
      <c r="AS56" s="41">
        <v>153150</v>
      </c>
      <c r="AT56" s="41">
        <v>153495</v>
      </c>
      <c r="AU56" s="41">
        <v>153796</v>
      </c>
      <c r="AV56" s="41">
        <v>154096</v>
      </c>
      <c r="AW56" s="41">
        <v>154387</v>
      </c>
      <c r="AX56" s="41">
        <v>154639</v>
      </c>
      <c r="AY56" s="41">
        <v>154851</v>
      </c>
    </row>
    <row r="57" spans="1:51">
      <c r="A57" s="38" t="s">
        <v>229</v>
      </c>
      <c r="B57" s="38" t="s">
        <v>230</v>
      </c>
      <c r="C57" s="41">
        <v>42151</v>
      </c>
      <c r="D57" s="41">
        <v>42461</v>
      </c>
      <c r="E57" s="41">
        <v>42775</v>
      </c>
      <c r="F57" s="41">
        <v>42844</v>
      </c>
      <c r="G57" s="41">
        <v>42966</v>
      </c>
      <c r="H57" s="41">
        <v>43102</v>
      </c>
      <c r="I57" s="41">
        <v>43082</v>
      </c>
      <c r="J57" s="41">
        <v>43151</v>
      </c>
      <c r="K57" s="41">
        <v>43045</v>
      </c>
      <c r="L57" s="41">
        <v>43230</v>
      </c>
      <c r="M57" s="41">
        <v>43396</v>
      </c>
      <c r="N57" s="41">
        <v>43732</v>
      </c>
      <c r="O57" s="41">
        <v>44069</v>
      </c>
      <c r="P57" s="41">
        <v>44469</v>
      </c>
      <c r="Q57" s="41">
        <v>44956</v>
      </c>
      <c r="R57" s="41">
        <v>45302</v>
      </c>
      <c r="S57" s="41">
        <v>45605</v>
      </c>
      <c r="T57" s="41">
        <v>45943</v>
      </c>
      <c r="U57" s="41">
        <v>46289</v>
      </c>
      <c r="V57" s="41">
        <v>46528</v>
      </c>
      <c r="W57" s="41">
        <v>46821</v>
      </c>
      <c r="X57" s="41">
        <v>46977</v>
      </c>
      <c r="Y57" s="41">
        <v>47219</v>
      </c>
      <c r="Z57" s="41">
        <v>47528</v>
      </c>
      <c r="AA57" s="41">
        <v>47705</v>
      </c>
      <c r="AB57" s="41">
        <v>47935</v>
      </c>
      <c r="AC57" s="41">
        <v>48174</v>
      </c>
      <c r="AD57" s="41">
        <v>48408</v>
      </c>
      <c r="AE57" s="41">
        <v>48680</v>
      </c>
      <c r="AF57" s="41">
        <v>48931</v>
      </c>
      <c r="AG57" s="41">
        <v>49172</v>
      </c>
      <c r="AH57" s="41">
        <v>49396</v>
      </c>
      <c r="AI57" s="41">
        <v>49617</v>
      </c>
      <c r="AJ57" s="41">
        <v>49840</v>
      </c>
      <c r="AK57" s="41">
        <v>50053</v>
      </c>
      <c r="AL57" s="41">
        <v>50256</v>
      </c>
      <c r="AM57" s="41">
        <v>50444</v>
      </c>
      <c r="AN57" s="41">
        <v>50645</v>
      </c>
      <c r="AO57" s="41">
        <v>50841</v>
      </c>
      <c r="AP57" s="41">
        <v>51019</v>
      </c>
      <c r="AQ57" s="41">
        <v>51200</v>
      </c>
      <c r="AR57" s="41">
        <v>51371</v>
      </c>
      <c r="AS57" s="41">
        <v>51531</v>
      </c>
      <c r="AT57" s="41">
        <v>51680</v>
      </c>
      <c r="AU57" s="41">
        <v>51816</v>
      </c>
      <c r="AV57" s="41">
        <v>51948</v>
      </c>
      <c r="AW57" s="41">
        <v>52063</v>
      </c>
      <c r="AX57" s="41">
        <v>52167</v>
      </c>
      <c r="AY57" s="41">
        <v>52256</v>
      </c>
    </row>
    <row r="58" spans="1:51">
      <c r="A58" s="38" t="s">
        <v>231</v>
      </c>
      <c r="B58" s="38" t="s">
        <v>232</v>
      </c>
      <c r="C58" s="41">
        <v>42580</v>
      </c>
      <c r="D58" s="41">
        <v>42581</v>
      </c>
      <c r="E58" s="41">
        <v>42632</v>
      </c>
      <c r="F58" s="41">
        <v>42923</v>
      </c>
      <c r="G58" s="41">
        <v>43224</v>
      </c>
      <c r="H58" s="41">
        <v>43128</v>
      </c>
      <c r="I58" s="41">
        <v>43764</v>
      </c>
      <c r="J58" s="41">
        <v>44290</v>
      </c>
      <c r="K58" s="41">
        <v>44966</v>
      </c>
      <c r="L58" s="41">
        <v>45510</v>
      </c>
      <c r="M58" s="41">
        <v>45881</v>
      </c>
      <c r="N58" s="41">
        <v>46184</v>
      </c>
      <c r="O58" s="41">
        <v>46577</v>
      </c>
      <c r="P58" s="41">
        <v>46895</v>
      </c>
      <c r="Q58" s="41">
        <v>47281</v>
      </c>
      <c r="R58" s="41">
        <v>47806</v>
      </c>
      <c r="S58" s="41">
        <v>48209</v>
      </c>
      <c r="T58" s="41">
        <v>48786</v>
      </c>
      <c r="U58" s="41">
        <v>49060</v>
      </c>
      <c r="V58" s="41">
        <v>49559</v>
      </c>
      <c r="W58" s="41">
        <v>49944</v>
      </c>
      <c r="X58" s="41">
        <v>50326</v>
      </c>
      <c r="Y58" s="41">
        <v>50631</v>
      </c>
      <c r="Z58" s="41">
        <v>50856</v>
      </c>
      <c r="AA58" s="41">
        <v>51318</v>
      </c>
      <c r="AB58" s="41">
        <v>51787</v>
      </c>
      <c r="AC58" s="41">
        <v>52289</v>
      </c>
      <c r="AD58" s="41">
        <v>52795</v>
      </c>
      <c r="AE58" s="41">
        <v>53299</v>
      </c>
      <c r="AF58" s="41">
        <v>53801</v>
      </c>
      <c r="AG58" s="41">
        <v>54307</v>
      </c>
      <c r="AH58" s="41">
        <v>54814</v>
      </c>
      <c r="AI58" s="41">
        <v>55335</v>
      </c>
      <c r="AJ58" s="41">
        <v>55869</v>
      </c>
      <c r="AK58" s="41">
        <v>56399</v>
      </c>
      <c r="AL58" s="41">
        <v>56951</v>
      </c>
      <c r="AM58" s="41">
        <v>57506</v>
      </c>
      <c r="AN58" s="41">
        <v>58065</v>
      </c>
      <c r="AO58" s="41">
        <v>58625</v>
      </c>
      <c r="AP58" s="41">
        <v>59177</v>
      </c>
      <c r="AQ58" s="41">
        <v>59729</v>
      </c>
      <c r="AR58" s="41">
        <v>60265</v>
      </c>
      <c r="AS58" s="41">
        <v>60790</v>
      </c>
      <c r="AT58" s="41">
        <v>61301</v>
      </c>
      <c r="AU58" s="41">
        <v>61805</v>
      </c>
      <c r="AV58" s="41">
        <v>62324</v>
      </c>
      <c r="AW58" s="41">
        <v>62843</v>
      </c>
      <c r="AX58" s="41">
        <v>63348</v>
      </c>
      <c r="AY58" s="41">
        <v>63833</v>
      </c>
    </row>
    <row r="59" spans="1:51">
      <c r="A59" s="38" t="s">
        <v>233</v>
      </c>
      <c r="B59" s="38" t="s">
        <v>234</v>
      </c>
      <c r="C59" s="41">
        <v>37529</v>
      </c>
      <c r="D59" s="41">
        <v>37749</v>
      </c>
      <c r="E59" s="41">
        <v>37940</v>
      </c>
      <c r="F59" s="41">
        <v>38082</v>
      </c>
      <c r="G59" s="41">
        <v>38461</v>
      </c>
      <c r="H59" s="41">
        <v>38688</v>
      </c>
      <c r="I59" s="41">
        <v>39287</v>
      </c>
      <c r="J59" s="41">
        <v>39707</v>
      </c>
      <c r="K59" s="41">
        <v>40057</v>
      </c>
      <c r="L59" s="41">
        <v>40687</v>
      </c>
      <c r="M59" s="41">
        <v>41112</v>
      </c>
      <c r="N59" s="41">
        <v>41535</v>
      </c>
      <c r="O59" s="41">
        <v>42066</v>
      </c>
      <c r="P59" s="41">
        <v>42424</v>
      </c>
      <c r="Q59" s="41">
        <v>42737</v>
      </c>
      <c r="R59" s="41">
        <v>43098</v>
      </c>
      <c r="S59" s="41">
        <v>43480</v>
      </c>
      <c r="T59" s="41">
        <v>43893</v>
      </c>
      <c r="U59" s="41">
        <v>44186</v>
      </c>
      <c r="V59" s="41">
        <v>44678</v>
      </c>
      <c r="W59" s="41">
        <v>45112</v>
      </c>
      <c r="X59" s="41">
        <v>45813</v>
      </c>
      <c r="Y59" s="41">
        <v>46482</v>
      </c>
      <c r="Z59" s="41">
        <v>46998</v>
      </c>
      <c r="AA59" s="41">
        <v>47625</v>
      </c>
      <c r="AB59" s="41">
        <v>48254</v>
      </c>
      <c r="AC59" s="41">
        <v>48880</v>
      </c>
      <c r="AD59" s="41">
        <v>49477</v>
      </c>
      <c r="AE59" s="41">
        <v>50049</v>
      </c>
      <c r="AF59" s="41">
        <v>50611</v>
      </c>
      <c r="AG59" s="41">
        <v>51169</v>
      </c>
      <c r="AH59" s="41">
        <v>51692</v>
      </c>
      <c r="AI59" s="41">
        <v>52194</v>
      </c>
      <c r="AJ59" s="41">
        <v>52688</v>
      </c>
      <c r="AK59" s="41">
        <v>53167</v>
      </c>
      <c r="AL59" s="41">
        <v>53667</v>
      </c>
      <c r="AM59" s="41">
        <v>54146</v>
      </c>
      <c r="AN59" s="41">
        <v>54602</v>
      </c>
      <c r="AO59" s="41">
        <v>55032</v>
      </c>
      <c r="AP59" s="41">
        <v>55446</v>
      </c>
      <c r="AQ59" s="41">
        <v>55872</v>
      </c>
      <c r="AR59" s="41">
        <v>56248</v>
      </c>
      <c r="AS59" s="41">
        <v>56616</v>
      </c>
      <c r="AT59" s="41">
        <v>56975</v>
      </c>
      <c r="AU59" s="41">
        <v>57313</v>
      </c>
      <c r="AV59" s="41">
        <v>57664</v>
      </c>
      <c r="AW59" s="41">
        <v>57988</v>
      </c>
      <c r="AX59" s="41">
        <v>58287</v>
      </c>
      <c r="AY59" s="41">
        <v>58566</v>
      </c>
    </row>
    <row r="60" spans="1:51">
      <c r="A60" s="38" t="s">
        <v>235</v>
      </c>
      <c r="B60" s="38" t="s">
        <v>236</v>
      </c>
      <c r="C60" s="38" t="s">
        <v>843</v>
      </c>
      <c r="D60" s="38" t="s">
        <v>843</v>
      </c>
      <c r="E60" s="38" t="s">
        <v>843</v>
      </c>
      <c r="F60" s="38" t="s">
        <v>843</v>
      </c>
      <c r="G60" s="38" t="s">
        <v>843</v>
      </c>
      <c r="H60" s="38" t="s">
        <v>843</v>
      </c>
      <c r="I60" s="38" t="s">
        <v>843</v>
      </c>
      <c r="J60" s="38" t="s">
        <v>843</v>
      </c>
      <c r="K60" s="38" t="s">
        <v>843</v>
      </c>
      <c r="L60" s="38" t="s">
        <v>843</v>
      </c>
      <c r="M60" s="38" t="s">
        <v>843</v>
      </c>
      <c r="N60" s="38" t="s">
        <v>843</v>
      </c>
      <c r="O60" s="38" t="s">
        <v>843</v>
      </c>
      <c r="P60" s="38" t="s">
        <v>843</v>
      </c>
      <c r="Q60" s="38" t="s">
        <v>843</v>
      </c>
      <c r="R60" s="38" t="s">
        <v>843</v>
      </c>
      <c r="S60" s="38" t="s">
        <v>843</v>
      </c>
      <c r="T60" s="38" t="s">
        <v>843</v>
      </c>
      <c r="U60" s="38" t="s">
        <v>843</v>
      </c>
      <c r="V60" s="38" t="s">
        <v>843</v>
      </c>
      <c r="W60" s="38" t="s">
        <v>843</v>
      </c>
      <c r="X60" s="38" t="s">
        <v>843</v>
      </c>
      <c r="Y60" s="38" t="s">
        <v>843</v>
      </c>
      <c r="Z60" s="38" t="s">
        <v>843</v>
      </c>
      <c r="AA60" s="38" t="s">
        <v>843</v>
      </c>
      <c r="AB60" s="38" t="s">
        <v>843</v>
      </c>
      <c r="AC60" s="38" t="s">
        <v>843</v>
      </c>
      <c r="AD60" s="38" t="s">
        <v>843</v>
      </c>
      <c r="AE60" s="38" t="s">
        <v>843</v>
      </c>
      <c r="AF60" s="38" t="s">
        <v>843</v>
      </c>
      <c r="AG60" s="38" t="s">
        <v>843</v>
      </c>
      <c r="AH60" s="38" t="s">
        <v>843</v>
      </c>
      <c r="AI60" s="38" t="s">
        <v>843</v>
      </c>
      <c r="AJ60" s="38" t="s">
        <v>843</v>
      </c>
      <c r="AK60" s="38" t="s">
        <v>843</v>
      </c>
      <c r="AL60" s="38" t="s">
        <v>843</v>
      </c>
      <c r="AM60" s="38" t="s">
        <v>843</v>
      </c>
      <c r="AN60" s="38" t="s">
        <v>843</v>
      </c>
      <c r="AO60" s="38" t="s">
        <v>843</v>
      </c>
      <c r="AP60" s="38" t="s">
        <v>843</v>
      </c>
      <c r="AQ60" s="38" t="s">
        <v>843</v>
      </c>
      <c r="AR60" s="38" t="s">
        <v>843</v>
      </c>
      <c r="AS60" s="38" t="s">
        <v>843</v>
      </c>
      <c r="AT60" s="38" t="s">
        <v>843</v>
      </c>
      <c r="AU60" s="38" t="s">
        <v>843</v>
      </c>
      <c r="AV60" s="38" t="s">
        <v>843</v>
      </c>
      <c r="AW60" s="38" t="s">
        <v>843</v>
      </c>
      <c r="AX60" s="38" t="s">
        <v>843</v>
      </c>
      <c r="AY60" s="38" t="s">
        <v>843</v>
      </c>
    </row>
    <row r="61" spans="1:51">
      <c r="A61" s="38" t="s">
        <v>237</v>
      </c>
      <c r="B61" s="38" t="s">
        <v>238</v>
      </c>
      <c r="C61" s="41">
        <v>57619</v>
      </c>
      <c r="D61" s="41">
        <v>58854</v>
      </c>
      <c r="E61" s="41">
        <v>59230</v>
      </c>
      <c r="F61" s="41">
        <v>59048</v>
      </c>
      <c r="G61" s="41">
        <v>59418</v>
      </c>
      <c r="H61" s="41">
        <v>60647</v>
      </c>
      <c r="I61" s="41">
        <v>61232</v>
      </c>
      <c r="J61" s="41">
        <v>61117</v>
      </c>
      <c r="K61" s="41">
        <v>62525</v>
      </c>
      <c r="L61" s="41">
        <v>63046</v>
      </c>
      <c r="M61" s="41">
        <v>63851</v>
      </c>
      <c r="N61" s="41">
        <v>64260</v>
      </c>
      <c r="O61" s="41">
        <v>64852</v>
      </c>
      <c r="P61" s="41">
        <v>65380</v>
      </c>
      <c r="Q61" s="41">
        <v>66835</v>
      </c>
      <c r="R61" s="41">
        <v>67612</v>
      </c>
      <c r="S61" s="41">
        <v>68289</v>
      </c>
      <c r="T61" s="41">
        <v>69401</v>
      </c>
      <c r="U61" s="41">
        <v>70080</v>
      </c>
      <c r="V61" s="41">
        <v>71050</v>
      </c>
      <c r="W61" s="41">
        <v>71789</v>
      </c>
      <c r="X61" s="41">
        <v>72756</v>
      </c>
      <c r="Y61" s="41">
        <v>73593</v>
      </c>
      <c r="Z61" s="41">
        <v>74902</v>
      </c>
      <c r="AA61" s="41">
        <v>75823</v>
      </c>
      <c r="AB61" s="41">
        <v>76816</v>
      </c>
      <c r="AC61" s="41">
        <v>77744</v>
      </c>
      <c r="AD61" s="41">
        <v>78653</v>
      </c>
      <c r="AE61" s="41">
        <v>79540</v>
      </c>
      <c r="AF61" s="41">
        <v>80381</v>
      </c>
      <c r="AG61" s="41">
        <v>81257</v>
      </c>
      <c r="AH61" s="41">
        <v>82077</v>
      </c>
      <c r="AI61" s="41">
        <v>82880</v>
      </c>
      <c r="AJ61" s="41">
        <v>83689</v>
      </c>
      <c r="AK61" s="41">
        <v>84472</v>
      </c>
      <c r="AL61" s="41">
        <v>85277</v>
      </c>
      <c r="AM61" s="41">
        <v>86058</v>
      </c>
      <c r="AN61" s="41">
        <v>86839</v>
      </c>
      <c r="AO61" s="41">
        <v>87617</v>
      </c>
      <c r="AP61" s="41">
        <v>88388</v>
      </c>
      <c r="AQ61" s="41">
        <v>89171</v>
      </c>
      <c r="AR61" s="41">
        <v>89942</v>
      </c>
      <c r="AS61" s="41">
        <v>90698</v>
      </c>
      <c r="AT61" s="41">
        <v>91423</v>
      </c>
      <c r="AU61" s="41">
        <v>92127</v>
      </c>
      <c r="AV61" s="41">
        <v>92832</v>
      </c>
      <c r="AW61" s="41">
        <v>93525</v>
      </c>
      <c r="AX61" s="41">
        <v>94204</v>
      </c>
      <c r="AY61" s="41">
        <v>94858</v>
      </c>
    </row>
    <row r="62" spans="1:51">
      <c r="A62" s="38" t="s">
        <v>239</v>
      </c>
      <c r="B62" s="38" t="s">
        <v>240</v>
      </c>
      <c r="C62" s="41">
        <v>28520</v>
      </c>
      <c r="D62" s="41">
        <v>28592</v>
      </c>
      <c r="E62" s="41">
        <v>28589</v>
      </c>
      <c r="F62" s="41">
        <v>28709</v>
      </c>
      <c r="G62" s="41">
        <v>28832</v>
      </c>
      <c r="H62" s="41">
        <v>29013</v>
      </c>
      <c r="I62" s="41">
        <v>29154</v>
      </c>
      <c r="J62" s="41">
        <v>29124</v>
      </c>
      <c r="K62" s="41">
        <v>29166</v>
      </c>
      <c r="L62" s="41">
        <v>29245</v>
      </c>
      <c r="M62" s="41">
        <v>29388</v>
      </c>
      <c r="N62" s="41">
        <v>29444</v>
      </c>
      <c r="O62" s="41">
        <v>29573</v>
      </c>
      <c r="P62" s="41">
        <v>29758</v>
      </c>
      <c r="Q62" s="41">
        <v>29971</v>
      </c>
      <c r="R62" s="41">
        <v>30160</v>
      </c>
      <c r="S62" s="41">
        <v>30353</v>
      </c>
      <c r="T62" s="41">
        <v>30452</v>
      </c>
      <c r="U62" s="41">
        <v>30475</v>
      </c>
      <c r="V62" s="41">
        <v>30529</v>
      </c>
      <c r="W62" s="41">
        <v>30549</v>
      </c>
      <c r="X62" s="41">
        <v>30565</v>
      </c>
      <c r="Y62" s="41">
        <v>30525</v>
      </c>
      <c r="Z62" s="41">
        <v>30548</v>
      </c>
      <c r="AA62" s="41">
        <v>30567</v>
      </c>
      <c r="AB62" s="41">
        <v>30613</v>
      </c>
      <c r="AC62" s="41">
        <v>30684</v>
      </c>
      <c r="AD62" s="41">
        <v>30742</v>
      </c>
      <c r="AE62" s="41">
        <v>30782</v>
      </c>
      <c r="AF62" s="41">
        <v>30809</v>
      </c>
      <c r="AG62" s="41">
        <v>30850</v>
      </c>
      <c r="AH62" s="41">
        <v>30885</v>
      </c>
      <c r="AI62" s="41">
        <v>30908</v>
      </c>
      <c r="AJ62" s="41">
        <v>30908</v>
      </c>
      <c r="AK62" s="41">
        <v>30906</v>
      </c>
      <c r="AL62" s="41">
        <v>30928</v>
      </c>
      <c r="AM62" s="41">
        <v>30940</v>
      </c>
      <c r="AN62" s="41">
        <v>30947</v>
      </c>
      <c r="AO62" s="41">
        <v>30933</v>
      </c>
      <c r="AP62" s="41">
        <v>30922</v>
      </c>
      <c r="AQ62" s="41">
        <v>30934</v>
      </c>
      <c r="AR62" s="41">
        <v>30926</v>
      </c>
      <c r="AS62" s="41">
        <v>30908</v>
      </c>
      <c r="AT62" s="41">
        <v>30879</v>
      </c>
      <c r="AU62" s="41">
        <v>30848</v>
      </c>
      <c r="AV62" s="41">
        <v>30837</v>
      </c>
      <c r="AW62" s="41">
        <v>30827</v>
      </c>
      <c r="AX62" s="41">
        <v>30815</v>
      </c>
      <c r="AY62" s="41">
        <v>30779</v>
      </c>
    </row>
    <row r="63" spans="1:51">
      <c r="A63" s="38" t="s">
        <v>241</v>
      </c>
      <c r="B63" s="38" t="s">
        <v>242</v>
      </c>
      <c r="C63" s="41">
        <v>20578</v>
      </c>
      <c r="D63" s="41">
        <v>20638</v>
      </c>
      <c r="E63" s="41">
        <v>20717</v>
      </c>
      <c r="F63" s="41">
        <v>20947</v>
      </c>
      <c r="G63" s="41">
        <v>21040</v>
      </c>
      <c r="H63" s="41">
        <v>21263</v>
      </c>
      <c r="I63" s="41">
        <v>21341</v>
      </c>
      <c r="J63" s="41">
        <v>21489</v>
      </c>
      <c r="K63" s="41">
        <v>21495</v>
      </c>
      <c r="L63" s="41">
        <v>21681</v>
      </c>
      <c r="M63" s="41">
        <v>21948</v>
      </c>
      <c r="N63" s="41">
        <v>21988</v>
      </c>
      <c r="O63" s="41">
        <v>22067</v>
      </c>
      <c r="P63" s="41">
        <v>22139</v>
      </c>
      <c r="Q63" s="41">
        <v>22454</v>
      </c>
      <c r="R63" s="41">
        <v>22875</v>
      </c>
      <c r="S63" s="41">
        <v>23428</v>
      </c>
      <c r="T63" s="41">
        <v>23888</v>
      </c>
      <c r="U63" s="41">
        <v>24360</v>
      </c>
      <c r="V63" s="41">
        <v>24791</v>
      </c>
      <c r="W63" s="41">
        <v>25308</v>
      </c>
      <c r="X63" s="41">
        <v>25866</v>
      </c>
      <c r="Y63" s="41">
        <v>26357</v>
      </c>
      <c r="Z63" s="41">
        <v>26868</v>
      </c>
      <c r="AA63" s="41">
        <v>27357</v>
      </c>
      <c r="AB63" s="41">
        <v>27821</v>
      </c>
      <c r="AC63" s="41">
        <v>28290</v>
      </c>
      <c r="AD63" s="41">
        <v>28748</v>
      </c>
      <c r="AE63" s="41">
        <v>29201</v>
      </c>
      <c r="AF63" s="41">
        <v>29640</v>
      </c>
      <c r="AG63" s="41">
        <v>30072</v>
      </c>
      <c r="AH63" s="41">
        <v>30490</v>
      </c>
      <c r="AI63" s="41">
        <v>30912</v>
      </c>
      <c r="AJ63" s="41">
        <v>31340</v>
      </c>
      <c r="AK63" s="41">
        <v>31752</v>
      </c>
      <c r="AL63" s="41">
        <v>32178</v>
      </c>
      <c r="AM63" s="41">
        <v>32602</v>
      </c>
      <c r="AN63" s="41">
        <v>33021</v>
      </c>
      <c r="AO63" s="41">
        <v>33447</v>
      </c>
      <c r="AP63" s="41">
        <v>33863</v>
      </c>
      <c r="AQ63" s="41">
        <v>34285</v>
      </c>
      <c r="AR63" s="41">
        <v>34702</v>
      </c>
      <c r="AS63" s="41">
        <v>35115</v>
      </c>
      <c r="AT63" s="41">
        <v>35526</v>
      </c>
      <c r="AU63" s="41">
        <v>35925</v>
      </c>
      <c r="AV63" s="41">
        <v>36325</v>
      </c>
      <c r="AW63" s="41">
        <v>36705</v>
      </c>
      <c r="AX63" s="41">
        <v>37082</v>
      </c>
      <c r="AY63" s="41">
        <v>37453</v>
      </c>
    </row>
    <row r="64" spans="1:51">
      <c r="A64" s="38" t="s">
        <v>243</v>
      </c>
      <c r="B64" s="38" t="s">
        <v>244</v>
      </c>
      <c r="C64" s="41">
        <v>191401</v>
      </c>
      <c r="D64" s="41">
        <v>193110</v>
      </c>
      <c r="E64" s="41">
        <v>194694</v>
      </c>
      <c r="F64" s="41">
        <v>197052</v>
      </c>
      <c r="G64" s="41">
        <v>199817</v>
      </c>
      <c r="H64" s="41">
        <v>201455</v>
      </c>
      <c r="I64" s="41">
        <v>204373</v>
      </c>
      <c r="J64" s="41">
        <v>206812</v>
      </c>
      <c r="K64" s="41">
        <v>209923</v>
      </c>
      <c r="L64" s="41">
        <v>213098</v>
      </c>
      <c r="M64" s="41">
        <v>216282</v>
      </c>
      <c r="N64" s="41">
        <v>218905</v>
      </c>
      <c r="O64" s="41">
        <v>220895</v>
      </c>
      <c r="P64" s="41">
        <v>222621</v>
      </c>
      <c r="Q64" s="41">
        <v>224337</v>
      </c>
      <c r="R64" s="41">
        <v>225827</v>
      </c>
      <c r="S64" s="41">
        <v>227477</v>
      </c>
      <c r="T64" s="41">
        <v>228930</v>
      </c>
      <c r="U64" s="41">
        <v>229436</v>
      </c>
      <c r="V64" s="41">
        <v>230629</v>
      </c>
      <c r="W64" s="41">
        <v>232056</v>
      </c>
      <c r="X64" s="41">
        <v>234127</v>
      </c>
      <c r="Y64" s="41">
        <v>235978</v>
      </c>
      <c r="Z64" s="41">
        <v>237965</v>
      </c>
      <c r="AA64" s="41">
        <v>239987</v>
      </c>
      <c r="AB64" s="41">
        <v>242268</v>
      </c>
      <c r="AC64" s="41">
        <v>244535</v>
      </c>
      <c r="AD64" s="41">
        <v>246752</v>
      </c>
      <c r="AE64" s="41">
        <v>248985</v>
      </c>
      <c r="AF64" s="41">
        <v>251150</v>
      </c>
      <c r="AG64" s="41">
        <v>253380</v>
      </c>
      <c r="AH64" s="41">
        <v>255539</v>
      </c>
      <c r="AI64" s="41">
        <v>257672</v>
      </c>
      <c r="AJ64" s="41">
        <v>259853</v>
      </c>
      <c r="AK64" s="41">
        <v>261979</v>
      </c>
      <c r="AL64" s="41">
        <v>264208</v>
      </c>
      <c r="AM64" s="41">
        <v>266417</v>
      </c>
      <c r="AN64" s="41">
        <v>268520</v>
      </c>
      <c r="AO64" s="41">
        <v>270600</v>
      </c>
      <c r="AP64" s="41">
        <v>272612</v>
      </c>
      <c r="AQ64" s="41">
        <v>274648</v>
      </c>
      <c r="AR64" s="41">
        <v>276564</v>
      </c>
      <c r="AS64" s="41">
        <v>278398</v>
      </c>
      <c r="AT64" s="41">
        <v>280165</v>
      </c>
      <c r="AU64" s="41">
        <v>281846</v>
      </c>
      <c r="AV64" s="41">
        <v>283587</v>
      </c>
      <c r="AW64" s="41">
        <v>285295</v>
      </c>
      <c r="AX64" s="41">
        <v>286907</v>
      </c>
      <c r="AY64" s="41">
        <v>288444</v>
      </c>
    </row>
    <row r="65" spans="1:51">
      <c r="A65" s="38" t="s">
        <v>245</v>
      </c>
      <c r="B65" s="38" t="s">
        <v>246</v>
      </c>
      <c r="C65" s="41">
        <v>30852</v>
      </c>
      <c r="D65" s="41">
        <v>31198</v>
      </c>
      <c r="E65" s="41">
        <v>32374</v>
      </c>
      <c r="F65" s="41">
        <v>33066</v>
      </c>
      <c r="G65" s="41">
        <v>33251</v>
      </c>
      <c r="H65" s="41">
        <v>33350</v>
      </c>
      <c r="I65" s="41">
        <v>33590</v>
      </c>
      <c r="J65" s="41">
        <v>33696</v>
      </c>
      <c r="K65" s="41">
        <v>34167</v>
      </c>
      <c r="L65" s="41">
        <v>34428</v>
      </c>
      <c r="M65" s="41">
        <v>34456</v>
      </c>
      <c r="N65" s="41">
        <v>34552</v>
      </c>
      <c r="O65" s="41">
        <v>34895</v>
      </c>
      <c r="P65" s="41">
        <v>35181</v>
      </c>
      <c r="Q65" s="41">
        <v>35414</v>
      </c>
      <c r="R65" s="41">
        <v>35686</v>
      </c>
      <c r="S65" s="41">
        <v>35970</v>
      </c>
      <c r="T65" s="41">
        <v>36051</v>
      </c>
      <c r="U65" s="41">
        <v>36085</v>
      </c>
      <c r="V65" s="41">
        <v>36128</v>
      </c>
      <c r="W65" s="41">
        <v>36362</v>
      </c>
      <c r="X65" s="41">
        <v>36660</v>
      </c>
      <c r="Y65" s="41">
        <v>36929</v>
      </c>
      <c r="Z65" s="41">
        <v>37170</v>
      </c>
      <c r="AA65" s="41">
        <v>37450</v>
      </c>
      <c r="AB65" s="41">
        <v>37724</v>
      </c>
      <c r="AC65" s="41">
        <v>38004</v>
      </c>
      <c r="AD65" s="41">
        <v>38304</v>
      </c>
      <c r="AE65" s="41">
        <v>38610</v>
      </c>
      <c r="AF65" s="41">
        <v>38918</v>
      </c>
      <c r="AG65" s="41">
        <v>39204</v>
      </c>
      <c r="AH65" s="41">
        <v>39501</v>
      </c>
      <c r="AI65" s="41">
        <v>39802</v>
      </c>
      <c r="AJ65" s="41">
        <v>40110</v>
      </c>
      <c r="AK65" s="41">
        <v>40422</v>
      </c>
      <c r="AL65" s="41">
        <v>40729</v>
      </c>
      <c r="AM65" s="41">
        <v>41041</v>
      </c>
      <c r="AN65" s="41">
        <v>41352</v>
      </c>
      <c r="AO65" s="41">
        <v>41666</v>
      </c>
      <c r="AP65" s="41">
        <v>41976</v>
      </c>
      <c r="AQ65" s="41">
        <v>42280</v>
      </c>
      <c r="AR65" s="41">
        <v>42574</v>
      </c>
      <c r="AS65" s="41">
        <v>42849</v>
      </c>
      <c r="AT65" s="41">
        <v>43112</v>
      </c>
      <c r="AU65" s="41">
        <v>43370</v>
      </c>
      <c r="AV65" s="41">
        <v>43623</v>
      </c>
      <c r="AW65" s="41">
        <v>43870</v>
      </c>
      <c r="AX65" s="41">
        <v>44098</v>
      </c>
      <c r="AY65" s="41">
        <v>44310</v>
      </c>
    </row>
    <row r="66" spans="1:51">
      <c r="A66" s="38" t="s">
        <v>247</v>
      </c>
      <c r="B66" s="38" t="s">
        <v>248</v>
      </c>
      <c r="C66" s="41">
        <v>120744</v>
      </c>
      <c r="D66" s="41">
        <v>120721</v>
      </c>
      <c r="E66" s="41">
        <v>121078</v>
      </c>
      <c r="F66" s="41">
        <v>120342</v>
      </c>
      <c r="G66" s="41">
        <v>120808</v>
      </c>
      <c r="H66" s="41">
        <v>121875</v>
      </c>
      <c r="I66" s="41">
        <v>121364</v>
      </c>
      <c r="J66" s="41">
        <v>121862</v>
      </c>
      <c r="K66" s="41">
        <v>122049</v>
      </c>
      <c r="L66" s="41">
        <v>121902</v>
      </c>
      <c r="M66" s="41">
        <v>122356</v>
      </c>
      <c r="N66" s="41">
        <v>122415</v>
      </c>
      <c r="O66" s="41">
        <v>122636</v>
      </c>
      <c r="P66" s="41">
        <v>122137</v>
      </c>
      <c r="Q66" s="41">
        <v>122804</v>
      </c>
      <c r="R66" s="41">
        <v>123479</v>
      </c>
      <c r="S66" s="41">
        <v>123920</v>
      </c>
      <c r="T66" s="41">
        <v>125142</v>
      </c>
      <c r="U66" s="41">
        <v>125946</v>
      </c>
      <c r="V66" s="41">
        <v>127180</v>
      </c>
      <c r="W66" s="41">
        <v>128470</v>
      </c>
      <c r="X66" s="41">
        <v>130690</v>
      </c>
      <c r="Y66" s="41">
        <v>133466</v>
      </c>
      <c r="Z66" s="41">
        <v>136343</v>
      </c>
      <c r="AA66" s="41">
        <v>139033</v>
      </c>
      <c r="AB66" s="41">
        <v>141609</v>
      </c>
      <c r="AC66" s="41">
        <v>143914</v>
      </c>
      <c r="AD66" s="41">
        <v>146199</v>
      </c>
      <c r="AE66" s="41">
        <v>148437</v>
      </c>
      <c r="AF66" s="41">
        <v>150596</v>
      </c>
      <c r="AG66" s="41">
        <v>152730</v>
      </c>
      <c r="AH66" s="41">
        <v>154763</v>
      </c>
      <c r="AI66" s="41">
        <v>156830</v>
      </c>
      <c r="AJ66" s="41">
        <v>158929</v>
      </c>
      <c r="AK66" s="41">
        <v>161008</v>
      </c>
      <c r="AL66" s="41">
        <v>163160</v>
      </c>
      <c r="AM66" s="41">
        <v>165288</v>
      </c>
      <c r="AN66" s="41">
        <v>167430</v>
      </c>
      <c r="AO66" s="41">
        <v>169520</v>
      </c>
      <c r="AP66" s="41">
        <v>171622</v>
      </c>
      <c r="AQ66" s="41">
        <v>173730</v>
      </c>
      <c r="AR66" s="41">
        <v>175801</v>
      </c>
      <c r="AS66" s="41">
        <v>177788</v>
      </c>
      <c r="AT66" s="41">
        <v>179714</v>
      </c>
      <c r="AU66" s="41">
        <v>181658</v>
      </c>
      <c r="AV66" s="41">
        <v>183639</v>
      </c>
      <c r="AW66" s="41">
        <v>185645</v>
      </c>
      <c r="AX66" s="41">
        <v>187620</v>
      </c>
      <c r="AY66" s="41">
        <v>189562</v>
      </c>
    </row>
    <row r="67" spans="1:51">
      <c r="A67" s="38" t="s">
        <v>249</v>
      </c>
      <c r="B67" s="38" t="s">
        <v>250</v>
      </c>
      <c r="C67" s="41">
        <v>20858</v>
      </c>
      <c r="D67" s="41">
        <v>21075</v>
      </c>
      <c r="E67" s="41">
        <v>21198</v>
      </c>
      <c r="F67" s="41">
        <v>21343</v>
      </c>
      <c r="G67" s="41">
        <v>21449</v>
      </c>
      <c r="H67" s="41">
        <v>21662</v>
      </c>
      <c r="I67" s="41">
        <v>21988</v>
      </c>
      <c r="J67" s="41">
        <v>22124</v>
      </c>
      <c r="K67" s="41">
        <v>22328</v>
      </c>
      <c r="L67" s="41">
        <v>22447</v>
      </c>
      <c r="M67" s="41">
        <v>22745</v>
      </c>
      <c r="N67" s="41">
        <v>22928</v>
      </c>
      <c r="O67" s="41">
        <v>23118</v>
      </c>
      <c r="P67" s="41">
        <v>23347</v>
      </c>
      <c r="Q67" s="41">
        <v>23635</v>
      </c>
      <c r="R67" s="41">
        <v>23866</v>
      </c>
      <c r="S67" s="41">
        <v>24119</v>
      </c>
      <c r="T67" s="41">
        <v>24346</v>
      </c>
      <c r="U67" s="41">
        <v>24402</v>
      </c>
      <c r="V67" s="41">
        <v>24526</v>
      </c>
      <c r="W67" s="41">
        <v>24606</v>
      </c>
      <c r="X67" s="41">
        <v>24670</v>
      </c>
      <c r="Y67" s="41">
        <v>24750</v>
      </c>
      <c r="Z67" s="41">
        <v>24902</v>
      </c>
      <c r="AA67" s="41">
        <v>24989</v>
      </c>
      <c r="AB67" s="41">
        <v>25116</v>
      </c>
      <c r="AC67" s="41">
        <v>25235</v>
      </c>
      <c r="AD67" s="41">
        <v>25354</v>
      </c>
      <c r="AE67" s="41">
        <v>25467</v>
      </c>
      <c r="AF67" s="41">
        <v>25588</v>
      </c>
      <c r="AG67" s="41">
        <v>25718</v>
      </c>
      <c r="AH67" s="41">
        <v>25837</v>
      </c>
      <c r="AI67" s="41">
        <v>25957</v>
      </c>
      <c r="AJ67" s="41">
        <v>26075</v>
      </c>
      <c r="AK67" s="41">
        <v>26201</v>
      </c>
      <c r="AL67" s="41">
        <v>26339</v>
      </c>
      <c r="AM67" s="41">
        <v>26461</v>
      </c>
      <c r="AN67" s="41">
        <v>26577</v>
      </c>
      <c r="AO67" s="41">
        <v>26691</v>
      </c>
      <c r="AP67" s="41">
        <v>26814</v>
      </c>
      <c r="AQ67" s="41">
        <v>26929</v>
      </c>
      <c r="AR67" s="41">
        <v>27030</v>
      </c>
      <c r="AS67" s="41">
        <v>27121</v>
      </c>
      <c r="AT67" s="41">
        <v>27207</v>
      </c>
      <c r="AU67" s="41">
        <v>27292</v>
      </c>
      <c r="AV67" s="41">
        <v>27375</v>
      </c>
      <c r="AW67" s="41">
        <v>27449</v>
      </c>
      <c r="AX67" s="41">
        <v>27511</v>
      </c>
      <c r="AY67" s="41">
        <v>27566</v>
      </c>
    </row>
    <row r="68" spans="1:51">
      <c r="A68" s="38" t="s">
        <v>251</v>
      </c>
      <c r="B68" s="38" t="s">
        <v>252</v>
      </c>
      <c r="C68" s="41">
        <v>34136</v>
      </c>
      <c r="D68" s="41">
        <v>34456</v>
      </c>
      <c r="E68" s="41">
        <v>34998</v>
      </c>
      <c r="F68" s="41">
        <v>35566</v>
      </c>
      <c r="G68" s="41">
        <v>36481</v>
      </c>
      <c r="H68" s="41">
        <v>37199</v>
      </c>
      <c r="I68" s="41">
        <v>38177</v>
      </c>
      <c r="J68" s="41">
        <v>38850</v>
      </c>
      <c r="K68" s="41">
        <v>39629</v>
      </c>
      <c r="L68" s="41">
        <v>40023</v>
      </c>
      <c r="M68" s="41">
        <v>40316</v>
      </c>
      <c r="N68" s="41">
        <v>39943</v>
      </c>
      <c r="O68" s="41">
        <v>39823</v>
      </c>
      <c r="P68" s="41">
        <v>39846</v>
      </c>
      <c r="Q68" s="41">
        <v>40162</v>
      </c>
      <c r="R68" s="41">
        <v>40591</v>
      </c>
      <c r="S68" s="41">
        <v>40902</v>
      </c>
      <c r="T68" s="41">
        <v>41371</v>
      </c>
      <c r="U68" s="41">
        <v>41787</v>
      </c>
      <c r="V68" s="41">
        <v>42318</v>
      </c>
      <c r="W68" s="41">
        <v>42873</v>
      </c>
      <c r="X68" s="41">
        <v>43587</v>
      </c>
      <c r="Y68" s="41">
        <v>43890</v>
      </c>
      <c r="Z68" s="41">
        <v>44365</v>
      </c>
      <c r="AA68" s="41">
        <v>44964</v>
      </c>
      <c r="AB68" s="41">
        <v>45587</v>
      </c>
      <c r="AC68" s="41">
        <v>46192</v>
      </c>
      <c r="AD68" s="41">
        <v>46786</v>
      </c>
      <c r="AE68" s="41">
        <v>47386</v>
      </c>
      <c r="AF68" s="41">
        <v>47944</v>
      </c>
      <c r="AG68" s="41">
        <v>48516</v>
      </c>
      <c r="AH68" s="41">
        <v>49081</v>
      </c>
      <c r="AI68" s="41">
        <v>49653</v>
      </c>
      <c r="AJ68" s="41">
        <v>50227</v>
      </c>
      <c r="AK68" s="41">
        <v>50780</v>
      </c>
      <c r="AL68" s="41">
        <v>51361</v>
      </c>
      <c r="AM68" s="41">
        <v>51935</v>
      </c>
      <c r="AN68" s="41">
        <v>52508</v>
      </c>
      <c r="AO68" s="41">
        <v>53083</v>
      </c>
      <c r="AP68" s="41">
        <v>53650</v>
      </c>
      <c r="AQ68" s="41">
        <v>54218</v>
      </c>
      <c r="AR68" s="41">
        <v>54779</v>
      </c>
      <c r="AS68" s="41">
        <v>55333</v>
      </c>
      <c r="AT68" s="41">
        <v>55879</v>
      </c>
      <c r="AU68" s="41">
        <v>56414</v>
      </c>
      <c r="AV68" s="41">
        <v>56954</v>
      </c>
      <c r="AW68" s="41">
        <v>57485</v>
      </c>
      <c r="AX68" s="41">
        <v>58006</v>
      </c>
      <c r="AY68" s="41">
        <v>58513</v>
      </c>
    </row>
    <row r="69" spans="1:51">
      <c r="A69" s="38" t="s">
        <v>253</v>
      </c>
      <c r="B69" s="38" t="s">
        <v>254</v>
      </c>
      <c r="C69" s="41">
        <v>126766</v>
      </c>
      <c r="D69" s="41">
        <v>127409</v>
      </c>
      <c r="E69" s="41">
        <v>128467</v>
      </c>
      <c r="F69" s="41">
        <v>130107</v>
      </c>
      <c r="G69" s="41">
        <v>131957</v>
      </c>
      <c r="H69" s="41">
        <v>133272</v>
      </c>
      <c r="I69" s="41">
        <v>134173</v>
      </c>
      <c r="J69" s="41">
        <v>135440</v>
      </c>
      <c r="K69" s="41">
        <v>135899</v>
      </c>
      <c r="L69" s="41">
        <v>137662</v>
      </c>
      <c r="M69" s="41">
        <v>139146</v>
      </c>
      <c r="N69" s="41">
        <v>139197</v>
      </c>
      <c r="O69" s="41">
        <v>139004</v>
      </c>
      <c r="P69" s="41">
        <v>138896</v>
      </c>
      <c r="Q69" s="41">
        <v>139275</v>
      </c>
      <c r="R69" s="41">
        <v>139429</v>
      </c>
      <c r="S69" s="41">
        <v>139973</v>
      </c>
      <c r="T69" s="41">
        <v>141465</v>
      </c>
      <c r="U69" s="41">
        <v>142526</v>
      </c>
      <c r="V69" s="41">
        <v>143829</v>
      </c>
      <c r="W69" s="41">
        <v>145639</v>
      </c>
      <c r="X69" s="41">
        <v>147818</v>
      </c>
      <c r="Y69" s="41">
        <v>149943</v>
      </c>
      <c r="Z69" s="41">
        <v>152009</v>
      </c>
      <c r="AA69" s="41">
        <v>154564</v>
      </c>
      <c r="AB69" s="41">
        <v>157169</v>
      </c>
      <c r="AC69" s="41">
        <v>159689</v>
      </c>
      <c r="AD69" s="41">
        <v>162231</v>
      </c>
      <c r="AE69" s="41">
        <v>164763</v>
      </c>
      <c r="AF69" s="41">
        <v>167274</v>
      </c>
      <c r="AG69" s="41">
        <v>169817</v>
      </c>
      <c r="AH69" s="41">
        <v>172292</v>
      </c>
      <c r="AI69" s="41">
        <v>174768</v>
      </c>
      <c r="AJ69" s="41">
        <v>177231</v>
      </c>
      <c r="AK69" s="41">
        <v>179696</v>
      </c>
      <c r="AL69" s="41">
        <v>182187</v>
      </c>
      <c r="AM69" s="41">
        <v>184650</v>
      </c>
      <c r="AN69" s="41">
        <v>187085</v>
      </c>
      <c r="AO69" s="41">
        <v>189489</v>
      </c>
      <c r="AP69" s="41">
        <v>191859</v>
      </c>
      <c r="AQ69" s="41">
        <v>194220</v>
      </c>
      <c r="AR69" s="41">
        <v>196528</v>
      </c>
      <c r="AS69" s="41">
        <v>198812</v>
      </c>
      <c r="AT69" s="41">
        <v>201098</v>
      </c>
      <c r="AU69" s="41">
        <v>203367</v>
      </c>
      <c r="AV69" s="41">
        <v>205663</v>
      </c>
      <c r="AW69" s="41">
        <v>207959</v>
      </c>
      <c r="AX69" s="41">
        <v>210209</v>
      </c>
      <c r="AY69" s="41">
        <v>212406</v>
      </c>
    </row>
    <row r="70" spans="1:51">
      <c r="A70" s="38" t="s">
        <v>255</v>
      </c>
      <c r="B70" s="38" t="s">
        <v>256</v>
      </c>
      <c r="C70" s="41">
        <v>52727</v>
      </c>
      <c r="D70" s="41">
        <v>53191</v>
      </c>
      <c r="E70" s="41">
        <v>53340</v>
      </c>
      <c r="F70" s="41">
        <v>53619</v>
      </c>
      <c r="G70" s="41">
        <v>53949</v>
      </c>
      <c r="H70" s="41">
        <v>54191</v>
      </c>
      <c r="I70" s="41">
        <v>54744</v>
      </c>
      <c r="J70" s="41">
        <v>55201</v>
      </c>
      <c r="K70" s="41">
        <v>55391</v>
      </c>
      <c r="L70" s="41">
        <v>55713</v>
      </c>
      <c r="M70" s="41">
        <v>56032</v>
      </c>
      <c r="N70" s="41">
        <v>56272</v>
      </c>
      <c r="O70" s="41">
        <v>56598</v>
      </c>
      <c r="P70" s="41">
        <v>56774</v>
      </c>
      <c r="Q70" s="41">
        <v>57079</v>
      </c>
      <c r="R70" s="41">
        <v>57426</v>
      </c>
      <c r="S70" s="41">
        <v>57662</v>
      </c>
      <c r="T70" s="41">
        <v>58235</v>
      </c>
      <c r="U70" s="41">
        <v>58777</v>
      </c>
      <c r="V70" s="41">
        <v>59438</v>
      </c>
      <c r="W70" s="41">
        <v>60148</v>
      </c>
      <c r="X70" s="41">
        <v>60760</v>
      </c>
      <c r="Y70" s="41">
        <v>61456</v>
      </c>
      <c r="Z70" s="41">
        <v>62285</v>
      </c>
      <c r="AA70" s="41">
        <v>63038</v>
      </c>
      <c r="AB70" s="41">
        <v>63822</v>
      </c>
      <c r="AC70" s="41">
        <v>64588</v>
      </c>
      <c r="AD70" s="41">
        <v>65360</v>
      </c>
      <c r="AE70" s="41">
        <v>66156</v>
      </c>
      <c r="AF70" s="41">
        <v>66908</v>
      </c>
      <c r="AG70" s="41">
        <v>67664</v>
      </c>
      <c r="AH70" s="41">
        <v>68401</v>
      </c>
      <c r="AI70" s="41">
        <v>69134</v>
      </c>
      <c r="AJ70" s="41">
        <v>69859</v>
      </c>
      <c r="AK70" s="41">
        <v>70577</v>
      </c>
      <c r="AL70" s="41">
        <v>71317</v>
      </c>
      <c r="AM70" s="41">
        <v>72032</v>
      </c>
      <c r="AN70" s="41">
        <v>72753</v>
      </c>
      <c r="AO70" s="41">
        <v>73480</v>
      </c>
      <c r="AP70" s="41">
        <v>74213</v>
      </c>
      <c r="AQ70" s="41">
        <v>74953</v>
      </c>
      <c r="AR70" s="41">
        <v>75675</v>
      </c>
      <c r="AS70" s="41">
        <v>76401</v>
      </c>
      <c r="AT70" s="41">
        <v>77114</v>
      </c>
      <c r="AU70" s="41">
        <v>77828</v>
      </c>
      <c r="AV70" s="41">
        <v>78541</v>
      </c>
      <c r="AW70" s="41">
        <v>79241</v>
      </c>
      <c r="AX70" s="41">
        <v>79928</v>
      </c>
      <c r="AY70" s="41">
        <v>80595</v>
      </c>
    </row>
    <row r="71" spans="1:51">
      <c r="A71" s="38" t="s">
        <v>257</v>
      </c>
      <c r="B71" s="38" t="s">
        <v>258</v>
      </c>
      <c r="C71" s="41">
        <v>40437</v>
      </c>
      <c r="D71" s="41">
        <v>40588</v>
      </c>
      <c r="E71" s="41">
        <v>40700</v>
      </c>
      <c r="F71" s="41">
        <v>40925</v>
      </c>
      <c r="G71" s="41">
        <v>41176</v>
      </c>
      <c r="H71" s="41">
        <v>41595</v>
      </c>
      <c r="I71" s="41">
        <v>41716</v>
      </c>
      <c r="J71" s="41">
        <v>42000</v>
      </c>
      <c r="K71" s="41">
        <v>41778</v>
      </c>
      <c r="L71" s="41">
        <v>42078</v>
      </c>
      <c r="M71" s="41">
        <v>42303</v>
      </c>
      <c r="N71" s="41">
        <v>42589</v>
      </c>
      <c r="O71" s="41">
        <v>42857</v>
      </c>
      <c r="P71" s="41">
        <v>43159</v>
      </c>
      <c r="Q71" s="41">
        <v>43621</v>
      </c>
      <c r="R71" s="41">
        <v>44214</v>
      </c>
      <c r="S71" s="41">
        <v>44818</v>
      </c>
      <c r="T71" s="41">
        <v>45443</v>
      </c>
      <c r="U71" s="41">
        <v>45845</v>
      </c>
      <c r="V71" s="41">
        <v>46270</v>
      </c>
      <c r="W71" s="41">
        <v>46657</v>
      </c>
      <c r="X71" s="41">
        <v>46690</v>
      </c>
      <c r="Y71" s="41">
        <v>46806</v>
      </c>
      <c r="Z71" s="41">
        <v>46924</v>
      </c>
      <c r="AA71" s="41">
        <v>47071</v>
      </c>
      <c r="AB71" s="41">
        <v>47266</v>
      </c>
      <c r="AC71" s="41">
        <v>47461</v>
      </c>
      <c r="AD71" s="41">
        <v>47621</v>
      </c>
      <c r="AE71" s="41">
        <v>47808</v>
      </c>
      <c r="AF71" s="41">
        <v>47984</v>
      </c>
      <c r="AG71" s="41">
        <v>48168</v>
      </c>
      <c r="AH71" s="41">
        <v>48339</v>
      </c>
      <c r="AI71" s="41">
        <v>48479</v>
      </c>
      <c r="AJ71" s="41">
        <v>48634</v>
      </c>
      <c r="AK71" s="41">
        <v>48783</v>
      </c>
      <c r="AL71" s="41">
        <v>48944</v>
      </c>
      <c r="AM71" s="41">
        <v>49100</v>
      </c>
      <c r="AN71" s="41">
        <v>49251</v>
      </c>
      <c r="AO71" s="41">
        <v>49393</v>
      </c>
      <c r="AP71" s="41">
        <v>49541</v>
      </c>
      <c r="AQ71" s="41">
        <v>49687</v>
      </c>
      <c r="AR71" s="41">
        <v>49823</v>
      </c>
      <c r="AS71" s="41">
        <v>49948</v>
      </c>
      <c r="AT71" s="41">
        <v>50070</v>
      </c>
      <c r="AU71" s="41">
        <v>50195</v>
      </c>
      <c r="AV71" s="41">
        <v>50324</v>
      </c>
      <c r="AW71" s="41">
        <v>50442</v>
      </c>
      <c r="AX71" s="41">
        <v>50544</v>
      </c>
      <c r="AY71" s="41">
        <v>50635</v>
      </c>
    </row>
    <row r="72" spans="1:51">
      <c r="A72" s="38" t="s">
        <v>260</v>
      </c>
      <c r="B72" s="38" t="s">
        <v>261</v>
      </c>
      <c r="C72" s="41">
        <v>31770</v>
      </c>
      <c r="D72" s="41">
        <v>32241</v>
      </c>
      <c r="E72" s="41">
        <v>32657</v>
      </c>
      <c r="F72" s="41">
        <v>33166</v>
      </c>
      <c r="G72" s="41">
        <v>33401</v>
      </c>
      <c r="H72" s="41">
        <v>33676</v>
      </c>
      <c r="I72" s="41">
        <v>34070</v>
      </c>
      <c r="J72" s="41">
        <v>34480</v>
      </c>
      <c r="K72" s="41">
        <v>34695</v>
      </c>
      <c r="L72" s="41">
        <v>34943</v>
      </c>
      <c r="M72" s="41">
        <v>35261</v>
      </c>
      <c r="N72" s="41">
        <v>35474</v>
      </c>
      <c r="O72" s="41">
        <v>35675</v>
      </c>
      <c r="P72" s="41">
        <v>36087</v>
      </c>
      <c r="Q72" s="41">
        <v>36790</v>
      </c>
      <c r="R72" s="41">
        <v>37317</v>
      </c>
      <c r="S72" s="41">
        <v>37795</v>
      </c>
      <c r="T72" s="41">
        <v>38473</v>
      </c>
      <c r="U72" s="41">
        <v>39045</v>
      </c>
      <c r="V72" s="41">
        <v>39652</v>
      </c>
      <c r="W72" s="41">
        <v>40189</v>
      </c>
      <c r="X72" s="41">
        <v>40775</v>
      </c>
      <c r="Y72" s="41">
        <v>41488</v>
      </c>
      <c r="Z72" s="41">
        <v>42130</v>
      </c>
      <c r="AA72" s="41">
        <v>42774</v>
      </c>
      <c r="AB72" s="41">
        <v>43408</v>
      </c>
      <c r="AC72" s="41">
        <v>44007</v>
      </c>
      <c r="AD72" s="41">
        <v>44632</v>
      </c>
      <c r="AE72" s="41">
        <v>45277</v>
      </c>
      <c r="AF72" s="41">
        <v>45896</v>
      </c>
      <c r="AG72" s="41">
        <v>46509</v>
      </c>
      <c r="AH72" s="41">
        <v>47095</v>
      </c>
      <c r="AI72" s="41">
        <v>47693</v>
      </c>
      <c r="AJ72" s="41">
        <v>48280</v>
      </c>
      <c r="AK72" s="41">
        <v>48865</v>
      </c>
      <c r="AL72" s="41">
        <v>49447</v>
      </c>
      <c r="AM72" s="41">
        <v>50007</v>
      </c>
      <c r="AN72" s="41">
        <v>50585</v>
      </c>
      <c r="AO72" s="41">
        <v>51161</v>
      </c>
      <c r="AP72" s="41">
        <v>51746</v>
      </c>
      <c r="AQ72" s="41">
        <v>52339</v>
      </c>
      <c r="AR72" s="41">
        <v>52936</v>
      </c>
      <c r="AS72" s="41">
        <v>53537</v>
      </c>
      <c r="AT72" s="41">
        <v>54124</v>
      </c>
      <c r="AU72" s="41">
        <v>54711</v>
      </c>
      <c r="AV72" s="41">
        <v>55300</v>
      </c>
      <c r="AW72" s="41">
        <v>55899</v>
      </c>
      <c r="AX72" s="41">
        <v>56478</v>
      </c>
      <c r="AY72" s="41">
        <v>57050</v>
      </c>
    </row>
    <row r="73" spans="1:51">
      <c r="A73" s="38" t="s">
        <v>262</v>
      </c>
      <c r="B73" s="38" t="s">
        <v>263</v>
      </c>
      <c r="C73" s="41">
        <v>24332</v>
      </c>
      <c r="D73" s="41">
        <v>24578</v>
      </c>
      <c r="E73" s="41">
        <v>24832</v>
      </c>
      <c r="F73" s="41">
        <v>25156</v>
      </c>
      <c r="G73" s="41">
        <v>25588</v>
      </c>
      <c r="H73" s="41">
        <v>25927</v>
      </c>
      <c r="I73" s="41">
        <v>26440</v>
      </c>
      <c r="J73" s="41">
        <v>26992</v>
      </c>
      <c r="K73" s="41">
        <v>27277</v>
      </c>
      <c r="L73" s="41">
        <v>27863</v>
      </c>
      <c r="M73" s="41">
        <v>28838</v>
      </c>
      <c r="N73" s="41">
        <v>29399</v>
      </c>
      <c r="O73" s="41">
        <v>29853</v>
      </c>
      <c r="P73" s="41">
        <v>30125</v>
      </c>
      <c r="Q73" s="41">
        <v>30393</v>
      </c>
      <c r="R73" s="41">
        <v>30793</v>
      </c>
      <c r="S73" s="41">
        <v>30982</v>
      </c>
      <c r="T73" s="41">
        <v>31144</v>
      </c>
      <c r="U73" s="41">
        <v>31416</v>
      </c>
      <c r="V73" s="41">
        <v>31577</v>
      </c>
      <c r="W73" s="41">
        <v>31760</v>
      </c>
      <c r="X73" s="41">
        <v>31930</v>
      </c>
      <c r="Y73" s="41">
        <v>32144</v>
      </c>
      <c r="Z73" s="41">
        <v>32464</v>
      </c>
      <c r="AA73" s="41">
        <v>32742</v>
      </c>
      <c r="AB73" s="41">
        <v>33042</v>
      </c>
      <c r="AC73" s="41">
        <v>33325</v>
      </c>
      <c r="AD73" s="41">
        <v>33617</v>
      </c>
      <c r="AE73" s="41">
        <v>33918</v>
      </c>
      <c r="AF73" s="41">
        <v>34212</v>
      </c>
      <c r="AG73" s="41">
        <v>34499</v>
      </c>
      <c r="AH73" s="41">
        <v>34767</v>
      </c>
      <c r="AI73" s="41">
        <v>35033</v>
      </c>
      <c r="AJ73" s="41">
        <v>35306</v>
      </c>
      <c r="AK73" s="41">
        <v>35572</v>
      </c>
      <c r="AL73" s="41">
        <v>35843</v>
      </c>
      <c r="AM73" s="41">
        <v>36098</v>
      </c>
      <c r="AN73" s="41">
        <v>36349</v>
      </c>
      <c r="AO73" s="41">
        <v>36593</v>
      </c>
      <c r="AP73" s="41">
        <v>36834</v>
      </c>
      <c r="AQ73" s="41">
        <v>37075</v>
      </c>
      <c r="AR73" s="41">
        <v>37293</v>
      </c>
      <c r="AS73" s="41">
        <v>37506</v>
      </c>
      <c r="AT73" s="41">
        <v>37717</v>
      </c>
      <c r="AU73" s="41">
        <v>37917</v>
      </c>
      <c r="AV73" s="41">
        <v>38125</v>
      </c>
      <c r="AW73" s="41">
        <v>38323</v>
      </c>
      <c r="AX73" s="41">
        <v>38511</v>
      </c>
      <c r="AY73" s="41">
        <v>38685</v>
      </c>
    </row>
    <row r="74" spans="1:51">
      <c r="A74" s="38" t="s">
        <v>264</v>
      </c>
      <c r="B74" s="38" t="s">
        <v>265</v>
      </c>
      <c r="C74" s="41">
        <v>88825</v>
      </c>
      <c r="D74" s="41">
        <v>89624</v>
      </c>
      <c r="E74" s="41">
        <v>90308</v>
      </c>
      <c r="F74" s="41">
        <v>91178</v>
      </c>
      <c r="G74" s="41">
        <v>91789</v>
      </c>
      <c r="H74" s="41">
        <v>92718</v>
      </c>
      <c r="I74" s="41">
        <v>93453</v>
      </c>
      <c r="J74" s="41">
        <v>94093</v>
      </c>
      <c r="K74" s="41">
        <v>94308</v>
      </c>
      <c r="L74" s="41">
        <v>94672</v>
      </c>
      <c r="M74" s="41">
        <v>95348</v>
      </c>
      <c r="N74" s="41">
        <v>96158</v>
      </c>
      <c r="O74" s="41">
        <v>96761</v>
      </c>
      <c r="P74" s="41">
        <v>97311</v>
      </c>
      <c r="Q74" s="41">
        <v>98316</v>
      </c>
      <c r="R74" s="41">
        <v>99058</v>
      </c>
      <c r="S74" s="41">
        <v>99595</v>
      </c>
      <c r="T74" s="41">
        <v>100206</v>
      </c>
      <c r="U74" s="41">
        <v>100852</v>
      </c>
      <c r="V74" s="41">
        <v>101751</v>
      </c>
      <c r="W74" s="41">
        <v>102303</v>
      </c>
      <c r="X74" s="41">
        <v>102829</v>
      </c>
      <c r="Y74" s="41">
        <v>103402</v>
      </c>
      <c r="Z74" s="41">
        <v>103975</v>
      </c>
      <c r="AA74" s="41">
        <v>104872</v>
      </c>
      <c r="AB74" s="41">
        <v>105837</v>
      </c>
      <c r="AC74" s="41">
        <v>106722</v>
      </c>
      <c r="AD74" s="41">
        <v>107632</v>
      </c>
      <c r="AE74" s="41">
        <v>108514</v>
      </c>
      <c r="AF74" s="41">
        <v>109391</v>
      </c>
      <c r="AG74" s="41">
        <v>110274</v>
      </c>
      <c r="AH74" s="41">
        <v>111098</v>
      </c>
      <c r="AI74" s="41">
        <v>111933</v>
      </c>
      <c r="AJ74" s="41">
        <v>112791</v>
      </c>
      <c r="AK74" s="41">
        <v>113637</v>
      </c>
      <c r="AL74" s="41">
        <v>114511</v>
      </c>
      <c r="AM74" s="41">
        <v>115399</v>
      </c>
      <c r="AN74" s="41">
        <v>116303</v>
      </c>
      <c r="AO74" s="41">
        <v>117200</v>
      </c>
      <c r="AP74" s="41">
        <v>118081</v>
      </c>
      <c r="AQ74" s="41">
        <v>118939</v>
      </c>
      <c r="AR74" s="41">
        <v>119807</v>
      </c>
      <c r="AS74" s="41">
        <v>120650</v>
      </c>
      <c r="AT74" s="41">
        <v>121459</v>
      </c>
      <c r="AU74" s="41">
        <v>122228</v>
      </c>
      <c r="AV74" s="41">
        <v>123013</v>
      </c>
      <c r="AW74" s="41">
        <v>123807</v>
      </c>
      <c r="AX74" s="41">
        <v>124584</v>
      </c>
      <c r="AY74" s="41">
        <v>125340</v>
      </c>
    </row>
    <row r="75" spans="1:51">
      <c r="A75" s="38" t="s">
        <v>266</v>
      </c>
      <c r="B75" s="38" t="s">
        <v>267</v>
      </c>
      <c r="C75" s="41">
        <v>27186</v>
      </c>
      <c r="D75" s="41">
        <v>27415</v>
      </c>
      <c r="E75" s="41">
        <v>27506</v>
      </c>
      <c r="F75" s="41">
        <v>27612</v>
      </c>
      <c r="G75" s="41">
        <v>27941</v>
      </c>
      <c r="H75" s="41">
        <v>28234</v>
      </c>
      <c r="I75" s="41">
        <v>28417</v>
      </c>
      <c r="J75" s="41">
        <v>28723</v>
      </c>
      <c r="K75" s="41">
        <v>28889</v>
      </c>
      <c r="L75" s="41">
        <v>29045</v>
      </c>
      <c r="M75" s="41">
        <v>29022</v>
      </c>
      <c r="N75" s="41">
        <v>29173</v>
      </c>
      <c r="O75" s="41">
        <v>29290</v>
      </c>
      <c r="P75" s="41">
        <v>29433</v>
      </c>
      <c r="Q75" s="41">
        <v>29537</v>
      </c>
      <c r="R75" s="41">
        <v>29672</v>
      </c>
      <c r="S75" s="41">
        <v>29843</v>
      </c>
      <c r="T75" s="41">
        <v>30197</v>
      </c>
      <c r="U75" s="41">
        <v>30391</v>
      </c>
      <c r="V75" s="41">
        <v>30620</v>
      </c>
      <c r="W75" s="41">
        <v>30760</v>
      </c>
      <c r="X75" s="41">
        <v>30955</v>
      </c>
      <c r="Y75" s="41">
        <v>31028</v>
      </c>
      <c r="Z75" s="41">
        <v>31138</v>
      </c>
      <c r="AA75" s="41">
        <v>31292</v>
      </c>
      <c r="AB75" s="41">
        <v>31485</v>
      </c>
      <c r="AC75" s="41">
        <v>31653</v>
      </c>
      <c r="AD75" s="41">
        <v>31837</v>
      </c>
      <c r="AE75" s="41">
        <v>32009</v>
      </c>
      <c r="AF75" s="41">
        <v>32188</v>
      </c>
      <c r="AG75" s="41">
        <v>32377</v>
      </c>
      <c r="AH75" s="41">
        <v>32552</v>
      </c>
      <c r="AI75" s="41">
        <v>32735</v>
      </c>
      <c r="AJ75" s="41">
        <v>32906</v>
      </c>
      <c r="AK75" s="41">
        <v>33070</v>
      </c>
      <c r="AL75" s="41">
        <v>33250</v>
      </c>
      <c r="AM75" s="41">
        <v>33415</v>
      </c>
      <c r="AN75" s="41">
        <v>33582</v>
      </c>
      <c r="AO75" s="41">
        <v>33738</v>
      </c>
      <c r="AP75" s="41">
        <v>33888</v>
      </c>
      <c r="AQ75" s="41">
        <v>34043</v>
      </c>
      <c r="AR75" s="41">
        <v>34171</v>
      </c>
      <c r="AS75" s="41">
        <v>34298</v>
      </c>
      <c r="AT75" s="41">
        <v>34412</v>
      </c>
      <c r="AU75" s="41">
        <v>34520</v>
      </c>
      <c r="AV75" s="41">
        <v>34625</v>
      </c>
      <c r="AW75" s="41">
        <v>34717</v>
      </c>
      <c r="AX75" s="41">
        <v>34802</v>
      </c>
      <c r="AY75" s="41">
        <v>34875</v>
      </c>
    </row>
    <row r="76" spans="1:51">
      <c r="A76" s="38" t="s">
        <v>268</v>
      </c>
      <c r="B76" s="38" t="s">
        <v>269</v>
      </c>
      <c r="C76" s="41">
        <v>115154</v>
      </c>
      <c r="D76" s="41">
        <v>115610</v>
      </c>
      <c r="E76" s="41">
        <v>115692</v>
      </c>
      <c r="F76" s="41">
        <v>116228</v>
      </c>
      <c r="G76" s="41">
        <v>117136</v>
      </c>
      <c r="H76" s="41">
        <v>117225</v>
      </c>
      <c r="I76" s="41">
        <v>117664</v>
      </c>
      <c r="J76" s="41">
        <v>117631</v>
      </c>
      <c r="K76" s="41">
        <v>117846</v>
      </c>
      <c r="L76" s="41">
        <v>118229</v>
      </c>
      <c r="M76" s="41">
        <v>118730</v>
      </c>
      <c r="N76" s="41">
        <v>119531</v>
      </c>
      <c r="O76" s="41">
        <v>120239</v>
      </c>
      <c r="P76" s="41">
        <v>120529</v>
      </c>
      <c r="Q76" s="41">
        <v>121231</v>
      </c>
      <c r="R76" s="41">
        <v>122249</v>
      </c>
      <c r="S76" s="41">
        <v>123217</v>
      </c>
      <c r="T76" s="41">
        <v>124245</v>
      </c>
      <c r="U76" s="41">
        <v>125082</v>
      </c>
      <c r="V76" s="41">
        <v>125875</v>
      </c>
      <c r="W76" s="41">
        <v>126549</v>
      </c>
      <c r="X76" s="41">
        <v>127153</v>
      </c>
      <c r="Y76" s="41">
        <v>127727</v>
      </c>
      <c r="Z76" s="41">
        <v>128322</v>
      </c>
      <c r="AA76" s="41">
        <v>128905</v>
      </c>
      <c r="AB76" s="41">
        <v>129574</v>
      </c>
      <c r="AC76" s="41">
        <v>130144</v>
      </c>
      <c r="AD76" s="41">
        <v>130752</v>
      </c>
      <c r="AE76" s="41">
        <v>131355</v>
      </c>
      <c r="AF76" s="41">
        <v>131913</v>
      </c>
      <c r="AG76" s="41">
        <v>132481</v>
      </c>
      <c r="AH76" s="41">
        <v>132987</v>
      </c>
      <c r="AI76" s="41">
        <v>133505</v>
      </c>
      <c r="AJ76" s="41">
        <v>134023</v>
      </c>
      <c r="AK76" s="41">
        <v>134526</v>
      </c>
      <c r="AL76" s="41">
        <v>135057</v>
      </c>
      <c r="AM76" s="41">
        <v>135550</v>
      </c>
      <c r="AN76" s="41">
        <v>136071</v>
      </c>
      <c r="AO76" s="41">
        <v>136591</v>
      </c>
      <c r="AP76" s="41">
        <v>137085</v>
      </c>
      <c r="AQ76" s="41">
        <v>137577</v>
      </c>
      <c r="AR76" s="41">
        <v>138038</v>
      </c>
      <c r="AS76" s="41">
        <v>138515</v>
      </c>
      <c r="AT76" s="41">
        <v>138968</v>
      </c>
      <c r="AU76" s="41">
        <v>139358</v>
      </c>
      <c r="AV76" s="41">
        <v>139747</v>
      </c>
      <c r="AW76" s="41">
        <v>140112</v>
      </c>
      <c r="AX76" s="41">
        <v>140455</v>
      </c>
      <c r="AY76" s="41">
        <v>140768</v>
      </c>
    </row>
    <row r="77" spans="1:51">
      <c r="A77" s="38" t="s">
        <v>270</v>
      </c>
      <c r="B77" s="38" t="s">
        <v>271</v>
      </c>
      <c r="C77" s="41">
        <v>133627</v>
      </c>
      <c r="D77" s="41">
        <v>134877</v>
      </c>
      <c r="E77" s="41">
        <v>135691</v>
      </c>
      <c r="F77" s="41">
        <v>137381</v>
      </c>
      <c r="G77" s="41">
        <v>139272</v>
      </c>
      <c r="H77" s="41">
        <v>140740</v>
      </c>
      <c r="I77" s="41">
        <v>142096</v>
      </c>
      <c r="J77" s="41">
        <v>142835</v>
      </c>
      <c r="K77" s="41">
        <v>144355</v>
      </c>
      <c r="L77" s="41">
        <v>146524</v>
      </c>
      <c r="M77" s="41">
        <v>147869</v>
      </c>
      <c r="N77" s="41">
        <v>149858</v>
      </c>
      <c r="O77" s="41">
        <v>151312</v>
      </c>
      <c r="P77" s="41">
        <v>152282</v>
      </c>
      <c r="Q77" s="41">
        <v>153584</v>
      </c>
      <c r="R77" s="41">
        <v>154941</v>
      </c>
      <c r="S77" s="41">
        <v>156533</v>
      </c>
      <c r="T77" s="41">
        <v>157228</v>
      </c>
      <c r="U77" s="41">
        <v>157403</v>
      </c>
      <c r="V77" s="41">
        <v>158076</v>
      </c>
      <c r="W77" s="41">
        <v>159143</v>
      </c>
      <c r="X77" s="41">
        <v>160275</v>
      </c>
      <c r="Y77" s="41">
        <v>161168</v>
      </c>
      <c r="Z77" s="41">
        <v>162045</v>
      </c>
      <c r="AA77" s="41">
        <v>163073</v>
      </c>
      <c r="AB77" s="41">
        <v>164194</v>
      </c>
      <c r="AC77" s="41">
        <v>165340</v>
      </c>
      <c r="AD77" s="41">
        <v>166565</v>
      </c>
      <c r="AE77" s="41">
        <v>167806</v>
      </c>
      <c r="AF77" s="41">
        <v>169070</v>
      </c>
      <c r="AG77" s="41">
        <v>170289</v>
      </c>
      <c r="AH77" s="41">
        <v>171530</v>
      </c>
      <c r="AI77" s="41">
        <v>172799</v>
      </c>
      <c r="AJ77" s="41">
        <v>174100</v>
      </c>
      <c r="AK77" s="41">
        <v>175410</v>
      </c>
      <c r="AL77" s="41">
        <v>176723</v>
      </c>
      <c r="AM77" s="41">
        <v>178088</v>
      </c>
      <c r="AN77" s="41">
        <v>179424</v>
      </c>
      <c r="AO77" s="41">
        <v>180751</v>
      </c>
      <c r="AP77" s="41">
        <v>182073</v>
      </c>
      <c r="AQ77" s="41">
        <v>183359</v>
      </c>
      <c r="AR77" s="41">
        <v>184590</v>
      </c>
      <c r="AS77" s="41">
        <v>185772</v>
      </c>
      <c r="AT77" s="41">
        <v>186907</v>
      </c>
      <c r="AU77" s="41">
        <v>187989</v>
      </c>
      <c r="AV77" s="41">
        <v>189048</v>
      </c>
      <c r="AW77" s="41">
        <v>190104</v>
      </c>
      <c r="AX77" s="41">
        <v>191087</v>
      </c>
      <c r="AY77" s="41">
        <v>192020</v>
      </c>
    </row>
    <row r="78" spans="1:51">
      <c r="A78" s="38" t="s">
        <v>272</v>
      </c>
      <c r="B78" s="38" t="s">
        <v>273</v>
      </c>
      <c r="C78" s="41">
        <v>42772</v>
      </c>
      <c r="D78" s="41">
        <v>42898</v>
      </c>
      <c r="E78" s="41">
        <v>42813</v>
      </c>
      <c r="F78" s="41">
        <v>43040</v>
      </c>
      <c r="G78" s="41">
        <v>43120</v>
      </c>
      <c r="H78" s="41">
        <v>43060</v>
      </c>
      <c r="I78" s="41">
        <v>42957</v>
      </c>
      <c r="J78" s="41">
        <v>43271</v>
      </c>
      <c r="K78" s="41">
        <v>43535</v>
      </c>
      <c r="L78" s="41">
        <v>43975</v>
      </c>
      <c r="M78" s="41">
        <v>44372</v>
      </c>
      <c r="N78" s="41">
        <v>44594</v>
      </c>
      <c r="O78" s="41">
        <v>45028</v>
      </c>
      <c r="P78" s="41">
        <v>45509</v>
      </c>
      <c r="Q78" s="41">
        <v>45860</v>
      </c>
      <c r="R78" s="41">
        <v>46285</v>
      </c>
      <c r="S78" s="41">
        <v>46797</v>
      </c>
      <c r="T78" s="41">
        <v>47300</v>
      </c>
      <c r="U78" s="41">
        <v>47509</v>
      </c>
      <c r="V78" s="41">
        <v>48080</v>
      </c>
      <c r="W78" s="41">
        <v>48399</v>
      </c>
      <c r="X78" s="41">
        <v>48590</v>
      </c>
      <c r="Y78" s="41">
        <v>48972</v>
      </c>
      <c r="Z78" s="41">
        <v>49486</v>
      </c>
      <c r="AA78" s="41">
        <v>49905</v>
      </c>
      <c r="AB78" s="41">
        <v>50371</v>
      </c>
      <c r="AC78" s="41">
        <v>50827</v>
      </c>
      <c r="AD78" s="41">
        <v>51312</v>
      </c>
      <c r="AE78" s="41">
        <v>51803</v>
      </c>
      <c r="AF78" s="41">
        <v>52275</v>
      </c>
      <c r="AG78" s="41">
        <v>52756</v>
      </c>
      <c r="AH78" s="41">
        <v>53238</v>
      </c>
      <c r="AI78" s="41">
        <v>53715</v>
      </c>
      <c r="AJ78" s="41">
        <v>54196</v>
      </c>
      <c r="AK78" s="41">
        <v>54666</v>
      </c>
      <c r="AL78" s="41">
        <v>55159</v>
      </c>
      <c r="AM78" s="41">
        <v>55640</v>
      </c>
      <c r="AN78" s="41">
        <v>56103</v>
      </c>
      <c r="AO78" s="41">
        <v>56555</v>
      </c>
      <c r="AP78" s="41">
        <v>56988</v>
      </c>
      <c r="AQ78" s="41">
        <v>57435</v>
      </c>
      <c r="AR78" s="41">
        <v>57838</v>
      </c>
      <c r="AS78" s="41">
        <v>58235</v>
      </c>
      <c r="AT78" s="41">
        <v>58632</v>
      </c>
      <c r="AU78" s="41">
        <v>59031</v>
      </c>
      <c r="AV78" s="41">
        <v>59446</v>
      </c>
      <c r="AW78" s="41">
        <v>59847</v>
      </c>
      <c r="AX78" s="41">
        <v>60228</v>
      </c>
      <c r="AY78" s="41">
        <v>60595</v>
      </c>
    </row>
    <row r="79" spans="1:51">
      <c r="A79" s="38" t="s">
        <v>274</v>
      </c>
      <c r="B79" s="38" t="s">
        <v>275</v>
      </c>
      <c r="C79" s="41">
        <v>121163</v>
      </c>
      <c r="D79" s="41">
        <v>122076</v>
      </c>
      <c r="E79" s="41">
        <v>122533</v>
      </c>
      <c r="F79" s="41">
        <v>123143</v>
      </c>
      <c r="G79" s="41">
        <v>123691</v>
      </c>
      <c r="H79" s="41">
        <v>123896</v>
      </c>
      <c r="I79" s="41">
        <v>124054</v>
      </c>
      <c r="J79" s="41">
        <v>124273</v>
      </c>
      <c r="K79" s="41">
        <v>124343</v>
      </c>
      <c r="L79" s="41">
        <v>124605</v>
      </c>
      <c r="M79" s="41">
        <v>125111</v>
      </c>
      <c r="N79" s="41">
        <v>125505</v>
      </c>
      <c r="O79" s="41">
        <v>125534</v>
      </c>
      <c r="P79" s="41">
        <v>125923</v>
      </c>
      <c r="Q79" s="41">
        <v>126467</v>
      </c>
      <c r="R79" s="41">
        <v>126986</v>
      </c>
      <c r="S79" s="41">
        <v>127385</v>
      </c>
      <c r="T79" s="41">
        <v>128191</v>
      </c>
      <c r="U79" s="41">
        <v>128751</v>
      </c>
      <c r="V79" s="41">
        <v>129262</v>
      </c>
      <c r="W79" s="41">
        <v>130011</v>
      </c>
      <c r="X79" s="41">
        <v>130487</v>
      </c>
      <c r="Y79" s="41">
        <v>130728</v>
      </c>
      <c r="Z79" s="41">
        <v>131327</v>
      </c>
      <c r="AA79" s="41">
        <v>131684</v>
      </c>
      <c r="AB79" s="41">
        <v>132192</v>
      </c>
      <c r="AC79" s="41">
        <v>132714</v>
      </c>
      <c r="AD79" s="41">
        <v>133181</v>
      </c>
      <c r="AE79" s="41">
        <v>133733</v>
      </c>
      <c r="AF79" s="41">
        <v>134254</v>
      </c>
      <c r="AG79" s="41">
        <v>134789</v>
      </c>
      <c r="AH79" s="41">
        <v>135331</v>
      </c>
      <c r="AI79" s="41">
        <v>135840</v>
      </c>
      <c r="AJ79" s="41">
        <v>136404</v>
      </c>
      <c r="AK79" s="41">
        <v>136958</v>
      </c>
      <c r="AL79" s="41">
        <v>137558</v>
      </c>
      <c r="AM79" s="41">
        <v>138136</v>
      </c>
      <c r="AN79" s="41">
        <v>138674</v>
      </c>
      <c r="AO79" s="41">
        <v>139239</v>
      </c>
      <c r="AP79" s="41">
        <v>139791</v>
      </c>
      <c r="AQ79" s="41">
        <v>140360</v>
      </c>
      <c r="AR79" s="41">
        <v>140896</v>
      </c>
      <c r="AS79" s="41">
        <v>141444</v>
      </c>
      <c r="AT79" s="41">
        <v>141980</v>
      </c>
      <c r="AU79" s="41">
        <v>142508</v>
      </c>
      <c r="AV79" s="41">
        <v>143054</v>
      </c>
      <c r="AW79" s="41">
        <v>143623</v>
      </c>
      <c r="AX79" s="41">
        <v>144175</v>
      </c>
      <c r="AY79" s="41">
        <v>144715</v>
      </c>
    </row>
    <row r="80" spans="1:51">
      <c r="A80" s="38" t="s">
        <v>276</v>
      </c>
      <c r="B80" s="38" t="s">
        <v>277</v>
      </c>
      <c r="C80" s="41">
        <v>202205</v>
      </c>
      <c r="D80" s="41">
        <v>202906</v>
      </c>
      <c r="E80" s="41">
        <v>203435</v>
      </c>
      <c r="F80" s="41">
        <v>204102</v>
      </c>
      <c r="G80" s="41">
        <v>204906</v>
      </c>
      <c r="H80" s="41">
        <v>205601</v>
      </c>
      <c r="I80" s="41">
        <v>206233</v>
      </c>
      <c r="J80" s="41">
        <v>206475</v>
      </c>
      <c r="K80" s="41">
        <v>206545</v>
      </c>
      <c r="L80" s="41">
        <v>207006</v>
      </c>
      <c r="M80" s="41">
        <v>207451</v>
      </c>
      <c r="N80" s="41">
        <v>208165</v>
      </c>
      <c r="O80" s="41">
        <v>209094</v>
      </c>
      <c r="P80" s="41">
        <v>210292</v>
      </c>
      <c r="Q80" s="41">
        <v>212036</v>
      </c>
      <c r="R80" s="41">
        <v>213884</v>
      </c>
      <c r="S80" s="41">
        <v>216054</v>
      </c>
      <c r="T80" s="41">
        <v>218029</v>
      </c>
      <c r="U80" s="41">
        <v>219623</v>
      </c>
      <c r="V80" s="41">
        <v>221716</v>
      </c>
      <c r="W80" s="41">
        <v>223589</v>
      </c>
      <c r="X80" s="41">
        <v>224589</v>
      </c>
      <c r="Y80" s="41">
        <v>225555</v>
      </c>
      <c r="Z80" s="41">
        <v>226752</v>
      </c>
      <c r="AA80" s="41">
        <v>228089</v>
      </c>
      <c r="AB80" s="41">
        <v>229685</v>
      </c>
      <c r="AC80" s="41">
        <v>231176</v>
      </c>
      <c r="AD80" s="41">
        <v>232552</v>
      </c>
      <c r="AE80" s="41">
        <v>233930</v>
      </c>
      <c r="AF80" s="41">
        <v>235318</v>
      </c>
      <c r="AG80" s="41">
        <v>236693</v>
      </c>
      <c r="AH80" s="41">
        <v>237926</v>
      </c>
      <c r="AI80" s="41">
        <v>239144</v>
      </c>
      <c r="AJ80" s="41">
        <v>240363</v>
      </c>
      <c r="AK80" s="41">
        <v>241592</v>
      </c>
      <c r="AL80" s="41">
        <v>242908</v>
      </c>
      <c r="AM80" s="41">
        <v>244141</v>
      </c>
      <c r="AN80" s="41">
        <v>245338</v>
      </c>
      <c r="AO80" s="41">
        <v>246442</v>
      </c>
      <c r="AP80" s="41">
        <v>247561</v>
      </c>
      <c r="AQ80" s="41">
        <v>248670</v>
      </c>
      <c r="AR80" s="41">
        <v>249661</v>
      </c>
      <c r="AS80" s="41">
        <v>250619</v>
      </c>
      <c r="AT80" s="41">
        <v>251491</v>
      </c>
      <c r="AU80" s="41">
        <v>252349</v>
      </c>
      <c r="AV80" s="41">
        <v>253230</v>
      </c>
      <c r="AW80" s="41">
        <v>254072</v>
      </c>
      <c r="AX80" s="41">
        <v>254889</v>
      </c>
      <c r="AY80" s="41">
        <v>255612</v>
      </c>
    </row>
    <row r="81" spans="1:51">
      <c r="A81" s="38" t="s">
        <v>278</v>
      </c>
      <c r="B81" s="38" t="s">
        <v>279</v>
      </c>
      <c r="C81" s="41">
        <v>109419</v>
      </c>
      <c r="D81" s="41">
        <v>109584</v>
      </c>
      <c r="E81" s="41">
        <v>109736</v>
      </c>
      <c r="F81" s="41">
        <v>109715</v>
      </c>
      <c r="G81" s="41">
        <v>110203</v>
      </c>
      <c r="H81" s="41">
        <v>111507</v>
      </c>
      <c r="I81" s="41">
        <v>111765</v>
      </c>
      <c r="J81" s="41">
        <v>112583</v>
      </c>
      <c r="K81" s="41">
        <v>114936</v>
      </c>
      <c r="L81" s="41">
        <v>116612</v>
      </c>
      <c r="M81" s="41">
        <v>118119</v>
      </c>
      <c r="N81" s="41">
        <v>118830</v>
      </c>
      <c r="O81" s="41">
        <v>118124</v>
      </c>
      <c r="P81" s="41">
        <v>118134</v>
      </c>
      <c r="Q81" s="41">
        <v>118599</v>
      </c>
      <c r="R81" s="41">
        <v>118927</v>
      </c>
      <c r="S81" s="41">
        <v>119346</v>
      </c>
      <c r="T81" s="41">
        <v>120437</v>
      </c>
      <c r="U81" s="41">
        <v>122229</v>
      </c>
      <c r="V81" s="41">
        <v>123108</v>
      </c>
      <c r="W81" s="41">
        <v>124395</v>
      </c>
      <c r="X81" s="41">
        <v>125654</v>
      </c>
      <c r="Y81" s="41">
        <v>127101</v>
      </c>
      <c r="Z81" s="41">
        <v>128107</v>
      </c>
      <c r="AA81" s="41">
        <v>130094</v>
      </c>
      <c r="AB81" s="41">
        <v>132059</v>
      </c>
      <c r="AC81" s="41">
        <v>133836</v>
      </c>
      <c r="AD81" s="41">
        <v>135637</v>
      </c>
      <c r="AE81" s="41">
        <v>137400</v>
      </c>
      <c r="AF81" s="41">
        <v>139127</v>
      </c>
      <c r="AG81" s="41">
        <v>140904</v>
      </c>
      <c r="AH81" s="41">
        <v>142599</v>
      </c>
      <c r="AI81" s="41">
        <v>144304</v>
      </c>
      <c r="AJ81" s="41">
        <v>146002</v>
      </c>
      <c r="AK81" s="41">
        <v>147686</v>
      </c>
      <c r="AL81" s="41">
        <v>149433</v>
      </c>
      <c r="AM81" s="41">
        <v>151115</v>
      </c>
      <c r="AN81" s="41">
        <v>152765</v>
      </c>
      <c r="AO81" s="41">
        <v>154395</v>
      </c>
      <c r="AP81" s="41">
        <v>155995</v>
      </c>
      <c r="AQ81" s="41">
        <v>157603</v>
      </c>
      <c r="AR81" s="41">
        <v>159150</v>
      </c>
      <c r="AS81" s="41">
        <v>160664</v>
      </c>
      <c r="AT81" s="41">
        <v>162155</v>
      </c>
      <c r="AU81" s="41">
        <v>163637</v>
      </c>
      <c r="AV81" s="41">
        <v>165131</v>
      </c>
      <c r="AW81" s="41">
        <v>166604</v>
      </c>
      <c r="AX81" s="41">
        <v>168063</v>
      </c>
      <c r="AY81" s="41">
        <v>169474</v>
      </c>
    </row>
    <row r="82" spans="1:51">
      <c r="A82" s="38" t="s">
        <v>280</v>
      </c>
      <c r="B82" s="38" t="s">
        <v>281</v>
      </c>
      <c r="C82" s="41">
        <v>24385</v>
      </c>
      <c r="D82" s="41">
        <v>24654</v>
      </c>
      <c r="E82" s="41">
        <v>24935</v>
      </c>
      <c r="F82" s="41">
        <v>25432</v>
      </c>
      <c r="G82" s="41">
        <v>26097</v>
      </c>
      <c r="H82" s="41">
        <v>27002</v>
      </c>
      <c r="I82" s="41">
        <v>27893</v>
      </c>
      <c r="J82" s="41">
        <v>28987</v>
      </c>
      <c r="K82" s="41">
        <v>29100</v>
      </c>
      <c r="L82" s="41">
        <v>29637</v>
      </c>
      <c r="M82" s="41">
        <v>29937</v>
      </c>
      <c r="N82" s="41">
        <v>30397</v>
      </c>
      <c r="O82" s="41">
        <v>31449</v>
      </c>
      <c r="P82" s="41">
        <v>31199</v>
      </c>
      <c r="Q82" s="41">
        <v>31697</v>
      </c>
      <c r="R82" s="41">
        <v>32195</v>
      </c>
      <c r="S82" s="41">
        <v>32851</v>
      </c>
      <c r="T82" s="41">
        <v>33325</v>
      </c>
      <c r="U82" s="41">
        <v>33939</v>
      </c>
      <c r="V82" s="41">
        <v>34344</v>
      </c>
      <c r="W82" s="41">
        <v>34760</v>
      </c>
      <c r="X82" s="41">
        <v>35102</v>
      </c>
      <c r="Y82" s="41">
        <v>35476</v>
      </c>
      <c r="Z82" s="41">
        <v>35839</v>
      </c>
      <c r="AA82" s="41">
        <v>36307</v>
      </c>
      <c r="AB82" s="41">
        <v>36769</v>
      </c>
      <c r="AC82" s="41">
        <v>37230</v>
      </c>
      <c r="AD82" s="41">
        <v>37709</v>
      </c>
      <c r="AE82" s="41">
        <v>38175</v>
      </c>
      <c r="AF82" s="41">
        <v>38631</v>
      </c>
      <c r="AG82" s="41">
        <v>39066</v>
      </c>
      <c r="AH82" s="41">
        <v>39503</v>
      </c>
      <c r="AI82" s="41">
        <v>39948</v>
      </c>
      <c r="AJ82" s="41">
        <v>40388</v>
      </c>
      <c r="AK82" s="41">
        <v>40815</v>
      </c>
      <c r="AL82" s="41">
        <v>41226</v>
      </c>
      <c r="AM82" s="41">
        <v>41651</v>
      </c>
      <c r="AN82" s="41">
        <v>42075</v>
      </c>
      <c r="AO82" s="41">
        <v>42503</v>
      </c>
      <c r="AP82" s="41">
        <v>42924</v>
      </c>
      <c r="AQ82" s="41">
        <v>43327</v>
      </c>
      <c r="AR82" s="41">
        <v>43738</v>
      </c>
      <c r="AS82" s="41">
        <v>44130</v>
      </c>
      <c r="AT82" s="41">
        <v>44513</v>
      </c>
      <c r="AU82" s="41">
        <v>44886</v>
      </c>
      <c r="AV82" s="41">
        <v>45260</v>
      </c>
      <c r="AW82" s="41">
        <v>45625</v>
      </c>
      <c r="AX82" s="41">
        <v>45989</v>
      </c>
      <c r="AY82" s="41">
        <v>46332</v>
      </c>
    </row>
    <row r="83" spans="1:51">
      <c r="A83" s="38" t="s">
        <v>282</v>
      </c>
      <c r="B83" s="38" t="s">
        <v>283</v>
      </c>
      <c r="C83" s="41">
        <v>50240</v>
      </c>
      <c r="D83" s="41">
        <v>50776</v>
      </c>
      <c r="E83" s="41">
        <v>51185</v>
      </c>
      <c r="F83" s="41">
        <v>52129</v>
      </c>
      <c r="G83" s="41">
        <v>52478</v>
      </c>
      <c r="H83" s="41">
        <v>52321</v>
      </c>
      <c r="I83" s="41">
        <v>52760</v>
      </c>
      <c r="J83" s="41">
        <v>52946</v>
      </c>
      <c r="K83" s="41">
        <v>53800</v>
      </c>
      <c r="L83" s="41">
        <v>54673</v>
      </c>
      <c r="M83" s="41">
        <v>55203</v>
      </c>
      <c r="N83" s="41">
        <v>55669</v>
      </c>
      <c r="O83" s="41">
        <v>56028</v>
      </c>
      <c r="P83" s="41">
        <v>56629</v>
      </c>
      <c r="Q83" s="41">
        <v>57182</v>
      </c>
      <c r="R83" s="41">
        <v>57615</v>
      </c>
      <c r="S83" s="41">
        <v>58254</v>
      </c>
      <c r="T83" s="41">
        <v>58618</v>
      </c>
      <c r="U83" s="41">
        <v>58766</v>
      </c>
      <c r="V83" s="41">
        <v>59051</v>
      </c>
      <c r="W83" s="41">
        <v>59445</v>
      </c>
      <c r="X83" s="41">
        <v>59936</v>
      </c>
      <c r="Y83" s="41">
        <v>60263</v>
      </c>
      <c r="Z83" s="41">
        <v>60972</v>
      </c>
      <c r="AA83" s="41">
        <v>61408</v>
      </c>
      <c r="AB83" s="41">
        <v>61952</v>
      </c>
      <c r="AC83" s="41">
        <v>62530</v>
      </c>
      <c r="AD83" s="41">
        <v>63129</v>
      </c>
      <c r="AE83" s="41">
        <v>63727</v>
      </c>
      <c r="AF83" s="41">
        <v>64330</v>
      </c>
      <c r="AG83" s="41">
        <v>64953</v>
      </c>
      <c r="AH83" s="41">
        <v>65594</v>
      </c>
      <c r="AI83" s="41">
        <v>66244</v>
      </c>
      <c r="AJ83" s="41">
        <v>66905</v>
      </c>
      <c r="AK83" s="41">
        <v>67565</v>
      </c>
      <c r="AL83" s="41">
        <v>68251</v>
      </c>
      <c r="AM83" s="41">
        <v>68938</v>
      </c>
      <c r="AN83" s="41">
        <v>69613</v>
      </c>
      <c r="AO83" s="41">
        <v>70285</v>
      </c>
      <c r="AP83" s="41">
        <v>70940</v>
      </c>
      <c r="AQ83" s="41">
        <v>71590</v>
      </c>
      <c r="AR83" s="41">
        <v>72206</v>
      </c>
      <c r="AS83" s="41">
        <v>72813</v>
      </c>
      <c r="AT83" s="41">
        <v>73408</v>
      </c>
      <c r="AU83" s="41">
        <v>73976</v>
      </c>
      <c r="AV83" s="41">
        <v>74541</v>
      </c>
      <c r="AW83" s="41">
        <v>75098</v>
      </c>
      <c r="AX83" s="41">
        <v>75630</v>
      </c>
      <c r="AY83" s="41">
        <v>76147</v>
      </c>
    </row>
    <row r="84" spans="1:51">
      <c r="A84" s="38" t="s">
        <v>284</v>
      </c>
      <c r="B84" s="38" t="s">
        <v>285</v>
      </c>
      <c r="C84" s="41">
        <v>40144</v>
      </c>
      <c r="D84" s="41">
        <v>40341</v>
      </c>
      <c r="E84" s="41">
        <v>41088</v>
      </c>
      <c r="F84" s="41">
        <v>41730</v>
      </c>
      <c r="G84" s="41">
        <v>42310</v>
      </c>
      <c r="H84" s="41">
        <v>42701</v>
      </c>
      <c r="I84" s="41">
        <v>42834</v>
      </c>
      <c r="J84" s="41">
        <v>42585</v>
      </c>
      <c r="K84" s="41">
        <v>43132</v>
      </c>
      <c r="L84" s="41">
        <v>43289</v>
      </c>
      <c r="M84" s="41">
        <v>43758</v>
      </c>
      <c r="N84" s="41">
        <v>43921</v>
      </c>
      <c r="O84" s="41">
        <v>44072</v>
      </c>
      <c r="P84" s="41">
        <v>44261</v>
      </c>
      <c r="Q84" s="41">
        <v>44560</v>
      </c>
      <c r="R84" s="41">
        <v>44990</v>
      </c>
      <c r="S84" s="41">
        <v>45473</v>
      </c>
      <c r="T84" s="41">
        <v>45961</v>
      </c>
      <c r="U84" s="41">
        <v>46510</v>
      </c>
      <c r="V84" s="41">
        <v>47049</v>
      </c>
      <c r="W84" s="41">
        <v>47474</v>
      </c>
      <c r="X84" s="41">
        <v>47772</v>
      </c>
      <c r="Y84" s="41">
        <v>48124</v>
      </c>
      <c r="Z84" s="41">
        <v>48388</v>
      </c>
      <c r="AA84" s="41">
        <v>48773</v>
      </c>
      <c r="AB84" s="41">
        <v>49161</v>
      </c>
      <c r="AC84" s="41">
        <v>49561</v>
      </c>
      <c r="AD84" s="41">
        <v>49990</v>
      </c>
      <c r="AE84" s="41">
        <v>50404</v>
      </c>
      <c r="AF84" s="41">
        <v>50817</v>
      </c>
      <c r="AG84" s="41">
        <v>51219</v>
      </c>
      <c r="AH84" s="41">
        <v>51628</v>
      </c>
      <c r="AI84" s="41">
        <v>52029</v>
      </c>
      <c r="AJ84" s="41">
        <v>52433</v>
      </c>
      <c r="AK84" s="41">
        <v>52825</v>
      </c>
      <c r="AL84" s="41">
        <v>53222</v>
      </c>
      <c r="AM84" s="41">
        <v>53611</v>
      </c>
      <c r="AN84" s="41">
        <v>53991</v>
      </c>
      <c r="AO84" s="41">
        <v>54370</v>
      </c>
      <c r="AP84" s="41">
        <v>54740</v>
      </c>
      <c r="AQ84" s="41">
        <v>55102</v>
      </c>
      <c r="AR84" s="41">
        <v>55442</v>
      </c>
      <c r="AS84" s="41">
        <v>55776</v>
      </c>
      <c r="AT84" s="41">
        <v>56111</v>
      </c>
      <c r="AU84" s="41">
        <v>56431</v>
      </c>
      <c r="AV84" s="41">
        <v>56753</v>
      </c>
      <c r="AW84" s="41">
        <v>57075</v>
      </c>
      <c r="AX84" s="41">
        <v>57373</v>
      </c>
      <c r="AY84" s="41">
        <v>57656</v>
      </c>
    </row>
    <row r="85" spans="1:51">
      <c r="A85" s="38" t="s">
        <v>286</v>
      </c>
      <c r="B85" s="38" t="s">
        <v>287</v>
      </c>
      <c r="C85" s="41">
        <v>45688</v>
      </c>
      <c r="D85" s="41">
        <v>46154</v>
      </c>
      <c r="E85" s="41">
        <v>46923</v>
      </c>
      <c r="F85" s="41">
        <v>47788</v>
      </c>
      <c r="G85" s="41">
        <v>48383</v>
      </c>
      <c r="H85" s="41">
        <v>48930</v>
      </c>
      <c r="I85" s="41">
        <v>49873</v>
      </c>
      <c r="J85" s="41">
        <v>50526</v>
      </c>
      <c r="K85" s="41">
        <v>51024</v>
      </c>
      <c r="L85" s="41">
        <v>51483</v>
      </c>
      <c r="M85" s="41">
        <v>52129</v>
      </c>
      <c r="N85" s="41">
        <v>52530</v>
      </c>
      <c r="O85" s="41">
        <v>52759</v>
      </c>
      <c r="P85" s="41">
        <v>53005</v>
      </c>
      <c r="Q85" s="41">
        <v>53487</v>
      </c>
      <c r="R85" s="41">
        <v>53999</v>
      </c>
      <c r="S85" s="41">
        <v>54570</v>
      </c>
      <c r="T85" s="41">
        <v>55273</v>
      </c>
      <c r="U85" s="41">
        <v>55902</v>
      </c>
      <c r="V85" s="41">
        <v>56303</v>
      </c>
      <c r="W85" s="41">
        <v>56810</v>
      </c>
      <c r="X85" s="41">
        <v>57614</v>
      </c>
      <c r="Y85" s="41">
        <v>58388</v>
      </c>
      <c r="Z85" s="41">
        <v>59414</v>
      </c>
      <c r="AA85" s="41">
        <v>60216</v>
      </c>
      <c r="AB85" s="41">
        <v>61030</v>
      </c>
      <c r="AC85" s="41">
        <v>61866</v>
      </c>
      <c r="AD85" s="41">
        <v>62723</v>
      </c>
      <c r="AE85" s="41">
        <v>63609</v>
      </c>
      <c r="AF85" s="41">
        <v>64422</v>
      </c>
      <c r="AG85" s="41">
        <v>65195</v>
      </c>
      <c r="AH85" s="41">
        <v>65969</v>
      </c>
      <c r="AI85" s="41">
        <v>66730</v>
      </c>
      <c r="AJ85" s="41">
        <v>67495</v>
      </c>
      <c r="AK85" s="41">
        <v>68237</v>
      </c>
      <c r="AL85" s="41">
        <v>68969</v>
      </c>
      <c r="AM85" s="41">
        <v>69706</v>
      </c>
      <c r="AN85" s="41">
        <v>70426</v>
      </c>
      <c r="AO85" s="41">
        <v>71168</v>
      </c>
      <c r="AP85" s="41">
        <v>71897</v>
      </c>
      <c r="AQ85" s="41">
        <v>72628</v>
      </c>
      <c r="AR85" s="41">
        <v>73343</v>
      </c>
      <c r="AS85" s="41">
        <v>74053</v>
      </c>
      <c r="AT85" s="41">
        <v>74763</v>
      </c>
      <c r="AU85" s="41">
        <v>75460</v>
      </c>
      <c r="AV85" s="41">
        <v>76160</v>
      </c>
      <c r="AW85" s="41">
        <v>76859</v>
      </c>
      <c r="AX85" s="41">
        <v>77531</v>
      </c>
      <c r="AY85" s="41">
        <v>78187</v>
      </c>
    </row>
    <row r="86" spans="1:51">
      <c r="A86" s="38" t="s">
        <v>288</v>
      </c>
      <c r="B86" s="38" t="s">
        <v>289</v>
      </c>
      <c r="C86" s="41">
        <v>48477</v>
      </c>
      <c r="D86" s="41">
        <v>49488</v>
      </c>
      <c r="E86" s="41">
        <v>50067</v>
      </c>
      <c r="F86" s="41">
        <v>50477</v>
      </c>
      <c r="G86" s="41">
        <v>51123</v>
      </c>
      <c r="H86" s="41">
        <v>51568</v>
      </c>
      <c r="I86" s="41">
        <v>52238</v>
      </c>
      <c r="J86" s="41">
        <v>52639</v>
      </c>
      <c r="K86" s="41">
        <v>53512</v>
      </c>
      <c r="L86" s="41">
        <v>54793</v>
      </c>
      <c r="M86" s="41">
        <v>55714</v>
      </c>
      <c r="N86" s="41">
        <v>56762</v>
      </c>
      <c r="O86" s="41">
        <v>57676</v>
      </c>
      <c r="P86" s="41">
        <v>58678</v>
      </c>
      <c r="Q86" s="41">
        <v>59209</v>
      </c>
      <c r="R86" s="41">
        <v>59629</v>
      </c>
      <c r="S86" s="41">
        <v>60303</v>
      </c>
      <c r="T86" s="41">
        <v>60827</v>
      </c>
      <c r="U86" s="41">
        <v>60880</v>
      </c>
      <c r="V86" s="41">
        <v>61051</v>
      </c>
      <c r="W86" s="41">
        <v>61007</v>
      </c>
      <c r="X86" s="41">
        <v>61077</v>
      </c>
      <c r="Y86" s="41">
        <v>61194</v>
      </c>
      <c r="Z86" s="41">
        <v>61811</v>
      </c>
      <c r="AA86" s="41">
        <v>62048</v>
      </c>
      <c r="AB86" s="41">
        <v>62345</v>
      </c>
      <c r="AC86" s="41">
        <v>62647</v>
      </c>
      <c r="AD86" s="41">
        <v>62985</v>
      </c>
      <c r="AE86" s="41">
        <v>63339</v>
      </c>
      <c r="AF86" s="41">
        <v>63675</v>
      </c>
      <c r="AG86" s="41">
        <v>64017</v>
      </c>
      <c r="AH86" s="41">
        <v>64337</v>
      </c>
      <c r="AI86" s="41">
        <v>64686</v>
      </c>
      <c r="AJ86" s="41">
        <v>65043</v>
      </c>
      <c r="AK86" s="41">
        <v>65405</v>
      </c>
      <c r="AL86" s="41">
        <v>65799</v>
      </c>
      <c r="AM86" s="41">
        <v>66169</v>
      </c>
      <c r="AN86" s="41">
        <v>66562</v>
      </c>
      <c r="AO86" s="41">
        <v>66935</v>
      </c>
      <c r="AP86" s="41">
        <v>67315</v>
      </c>
      <c r="AQ86" s="41">
        <v>67687</v>
      </c>
      <c r="AR86" s="41">
        <v>68022</v>
      </c>
      <c r="AS86" s="41">
        <v>68360</v>
      </c>
      <c r="AT86" s="41">
        <v>68683</v>
      </c>
      <c r="AU86" s="41">
        <v>68996</v>
      </c>
      <c r="AV86" s="41">
        <v>69304</v>
      </c>
      <c r="AW86" s="41">
        <v>69600</v>
      </c>
      <c r="AX86" s="41">
        <v>69879</v>
      </c>
      <c r="AY86" s="41">
        <v>70146</v>
      </c>
    </row>
    <row r="87" spans="1:51">
      <c r="A87" s="38" t="s">
        <v>290</v>
      </c>
      <c r="B87" s="38" t="s">
        <v>291</v>
      </c>
      <c r="C87" s="41">
        <v>26821</v>
      </c>
      <c r="D87" s="41">
        <v>27063</v>
      </c>
      <c r="E87" s="41">
        <v>27249</v>
      </c>
      <c r="F87" s="41">
        <v>27596</v>
      </c>
      <c r="G87" s="41">
        <v>27873</v>
      </c>
      <c r="H87" s="41">
        <v>28140</v>
      </c>
      <c r="I87" s="41">
        <v>28647</v>
      </c>
      <c r="J87" s="41">
        <v>29254</v>
      </c>
      <c r="K87" s="41">
        <v>29815</v>
      </c>
      <c r="L87" s="41">
        <v>30597</v>
      </c>
      <c r="M87" s="41">
        <v>31365</v>
      </c>
      <c r="N87" s="41">
        <v>31949</v>
      </c>
      <c r="O87" s="41">
        <v>32652</v>
      </c>
      <c r="P87" s="41">
        <v>33086</v>
      </c>
      <c r="Q87" s="41">
        <v>33513</v>
      </c>
      <c r="R87" s="41">
        <v>34137</v>
      </c>
      <c r="S87" s="41">
        <v>34662</v>
      </c>
      <c r="T87" s="41">
        <v>35019</v>
      </c>
      <c r="U87" s="41">
        <v>35208</v>
      </c>
      <c r="V87" s="41">
        <v>35497</v>
      </c>
      <c r="W87" s="41">
        <v>35733</v>
      </c>
      <c r="X87" s="41">
        <v>36008</v>
      </c>
      <c r="Y87" s="41">
        <v>36406</v>
      </c>
      <c r="Z87" s="41">
        <v>36879</v>
      </c>
      <c r="AA87" s="41">
        <v>37260</v>
      </c>
      <c r="AB87" s="41">
        <v>37619</v>
      </c>
      <c r="AC87" s="41">
        <v>37992</v>
      </c>
      <c r="AD87" s="41">
        <v>38383</v>
      </c>
      <c r="AE87" s="41">
        <v>38761</v>
      </c>
      <c r="AF87" s="41">
        <v>39152</v>
      </c>
      <c r="AG87" s="41">
        <v>39511</v>
      </c>
      <c r="AH87" s="41">
        <v>39875</v>
      </c>
      <c r="AI87" s="41">
        <v>40239</v>
      </c>
      <c r="AJ87" s="41">
        <v>40604</v>
      </c>
      <c r="AK87" s="41">
        <v>40973</v>
      </c>
      <c r="AL87" s="41">
        <v>41344</v>
      </c>
      <c r="AM87" s="41">
        <v>41719</v>
      </c>
      <c r="AN87" s="41">
        <v>42093</v>
      </c>
      <c r="AO87" s="41">
        <v>42461</v>
      </c>
      <c r="AP87" s="41">
        <v>42824</v>
      </c>
      <c r="AQ87" s="41">
        <v>43191</v>
      </c>
      <c r="AR87" s="41">
        <v>43545</v>
      </c>
      <c r="AS87" s="41">
        <v>43886</v>
      </c>
      <c r="AT87" s="41">
        <v>44218</v>
      </c>
      <c r="AU87" s="41">
        <v>44541</v>
      </c>
      <c r="AV87" s="41">
        <v>44852</v>
      </c>
      <c r="AW87" s="41">
        <v>45153</v>
      </c>
      <c r="AX87" s="41">
        <v>45437</v>
      </c>
      <c r="AY87" s="41">
        <v>45706</v>
      </c>
    </row>
    <row r="88" spans="1:51">
      <c r="A88" s="38" t="s">
        <v>292</v>
      </c>
      <c r="B88" s="38" t="s">
        <v>293</v>
      </c>
      <c r="C88" s="41">
        <v>118224</v>
      </c>
      <c r="D88" s="41">
        <v>119297</v>
      </c>
      <c r="E88" s="41">
        <v>120958</v>
      </c>
      <c r="F88" s="41">
        <v>122408</v>
      </c>
      <c r="G88" s="41">
        <v>123807</v>
      </c>
      <c r="H88" s="41">
        <v>124443</v>
      </c>
      <c r="I88" s="41">
        <v>125482</v>
      </c>
      <c r="J88" s="41">
        <v>126639</v>
      </c>
      <c r="K88" s="41">
        <v>127792</v>
      </c>
      <c r="L88" s="41">
        <v>129440</v>
      </c>
      <c r="M88" s="41">
        <v>131337</v>
      </c>
      <c r="N88" s="41">
        <v>133458</v>
      </c>
      <c r="O88" s="41">
        <v>135177</v>
      </c>
      <c r="P88" s="41">
        <v>136979</v>
      </c>
      <c r="Q88" s="41">
        <v>138377</v>
      </c>
      <c r="R88" s="41">
        <v>139325</v>
      </c>
      <c r="S88" s="41">
        <v>140682</v>
      </c>
      <c r="T88" s="41">
        <v>141738</v>
      </c>
      <c r="U88" s="41">
        <v>142221</v>
      </c>
      <c r="V88" s="41">
        <v>142730</v>
      </c>
      <c r="W88" s="41">
        <v>143268</v>
      </c>
      <c r="X88" s="41">
        <v>144056</v>
      </c>
      <c r="Y88" s="41">
        <v>144516</v>
      </c>
      <c r="Z88" s="41">
        <v>145411</v>
      </c>
      <c r="AA88" s="41">
        <v>146103</v>
      </c>
      <c r="AB88" s="41">
        <v>146987</v>
      </c>
      <c r="AC88" s="41">
        <v>147941</v>
      </c>
      <c r="AD88" s="41">
        <v>148884</v>
      </c>
      <c r="AE88" s="41">
        <v>149789</v>
      </c>
      <c r="AF88" s="41">
        <v>150645</v>
      </c>
      <c r="AG88" s="41">
        <v>151505</v>
      </c>
      <c r="AH88" s="41">
        <v>152350</v>
      </c>
      <c r="AI88" s="41">
        <v>153173</v>
      </c>
      <c r="AJ88" s="41">
        <v>153966</v>
      </c>
      <c r="AK88" s="41">
        <v>154746</v>
      </c>
      <c r="AL88" s="41">
        <v>155560</v>
      </c>
      <c r="AM88" s="41">
        <v>156355</v>
      </c>
      <c r="AN88" s="41">
        <v>157114</v>
      </c>
      <c r="AO88" s="41">
        <v>157819</v>
      </c>
      <c r="AP88" s="41">
        <v>158502</v>
      </c>
      <c r="AQ88" s="41">
        <v>159182</v>
      </c>
      <c r="AR88" s="41">
        <v>159790</v>
      </c>
      <c r="AS88" s="41">
        <v>160376</v>
      </c>
      <c r="AT88" s="41">
        <v>160895</v>
      </c>
      <c r="AU88" s="41">
        <v>161360</v>
      </c>
      <c r="AV88" s="41">
        <v>161797</v>
      </c>
      <c r="AW88" s="41">
        <v>162191</v>
      </c>
      <c r="AX88" s="41">
        <v>162531</v>
      </c>
      <c r="AY88" s="41">
        <v>162824</v>
      </c>
    </row>
    <row r="89" spans="1:51">
      <c r="A89" s="38" t="s">
        <v>294</v>
      </c>
      <c r="B89" s="38" t="s">
        <v>295</v>
      </c>
      <c r="C89" s="41">
        <v>38674</v>
      </c>
      <c r="D89" s="41">
        <v>38767</v>
      </c>
      <c r="E89" s="41">
        <v>38919</v>
      </c>
      <c r="F89" s="41">
        <v>39314</v>
      </c>
      <c r="G89" s="41">
        <v>40028</v>
      </c>
      <c r="H89" s="41">
        <v>40258</v>
      </c>
      <c r="I89" s="41">
        <v>40996</v>
      </c>
      <c r="J89" s="41">
        <v>41771</v>
      </c>
      <c r="K89" s="41">
        <v>41728</v>
      </c>
      <c r="L89" s="41">
        <v>42190</v>
      </c>
      <c r="M89" s="41">
        <v>42708</v>
      </c>
      <c r="N89" s="41">
        <v>42907</v>
      </c>
      <c r="O89" s="41">
        <v>43894</v>
      </c>
      <c r="P89" s="41">
        <v>44179</v>
      </c>
      <c r="Q89" s="41">
        <v>44545</v>
      </c>
      <c r="R89" s="41">
        <v>44950</v>
      </c>
      <c r="S89" s="41">
        <v>45458</v>
      </c>
      <c r="T89" s="41">
        <v>46153</v>
      </c>
      <c r="U89" s="41">
        <v>46491</v>
      </c>
      <c r="V89" s="41">
        <v>46937</v>
      </c>
      <c r="W89" s="41">
        <v>47374</v>
      </c>
      <c r="X89" s="41">
        <v>47769</v>
      </c>
      <c r="Y89" s="41">
        <v>48026</v>
      </c>
      <c r="Z89" s="41">
        <v>48463</v>
      </c>
      <c r="AA89" s="41">
        <v>48920</v>
      </c>
      <c r="AB89" s="41">
        <v>49356</v>
      </c>
      <c r="AC89" s="41">
        <v>49788</v>
      </c>
      <c r="AD89" s="41">
        <v>50179</v>
      </c>
      <c r="AE89" s="41">
        <v>50575</v>
      </c>
      <c r="AF89" s="41">
        <v>50983</v>
      </c>
      <c r="AG89" s="41">
        <v>51360</v>
      </c>
      <c r="AH89" s="41">
        <v>51736</v>
      </c>
      <c r="AI89" s="41">
        <v>52096</v>
      </c>
      <c r="AJ89" s="41">
        <v>52462</v>
      </c>
      <c r="AK89" s="41">
        <v>52836</v>
      </c>
      <c r="AL89" s="41">
        <v>53211</v>
      </c>
      <c r="AM89" s="41">
        <v>53582</v>
      </c>
      <c r="AN89" s="41">
        <v>53943</v>
      </c>
      <c r="AO89" s="41">
        <v>54316</v>
      </c>
      <c r="AP89" s="41">
        <v>54683</v>
      </c>
      <c r="AQ89" s="41">
        <v>55049</v>
      </c>
      <c r="AR89" s="41">
        <v>55405</v>
      </c>
      <c r="AS89" s="41">
        <v>55750</v>
      </c>
      <c r="AT89" s="41">
        <v>56095</v>
      </c>
      <c r="AU89" s="41">
        <v>56416</v>
      </c>
      <c r="AV89" s="41">
        <v>56728</v>
      </c>
      <c r="AW89" s="41">
        <v>57039</v>
      </c>
      <c r="AX89" s="41">
        <v>57330</v>
      </c>
      <c r="AY89" s="41">
        <v>57610</v>
      </c>
    </row>
    <row r="90" spans="1:51">
      <c r="A90" s="38" t="s">
        <v>296</v>
      </c>
      <c r="B90" s="38" t="s">
        <v>297</v>
      </c>
      <c r="C90" s="41">
        <v>89314</v>
      </c>
      <c r="D90" s="41">
        <v>88384</v>
      </c>
      <c r="E90" s="41">
        <v>88345</v>
      </c>
      <c r="F90" s="41">
        <v>89692</v>
      </c>
      <c r="G90" s="41">
        <v>91179</v>
      </c>
      <c r="H90" s="41">
        <v>92480</v>
      </c>
      <c r="I90" s="41">
        <v>93815</v>
      </c>
      <c r="J90" s="41">
        <v>94194</v>
      </c>
      <c r="K90" s="41">
        <v>95241</v>
      </c>
      <c r="L90" s="41">
        <v>96695</v>
      </c>
      <c r="M90" s="41">
        <v>97690</v>
      </c>
      <c r="N90" s="41">
        <v>98519</v>
      </c>
      <c r="O90" s="41">
        <v>99482</v>
      </c>
      <c r="P90" s="41">
        <v>100581</v>
      </c>
      <c r="Q90" s="41">
        <v>101731</v>
      </c>
      <c r="R90" s="41">
        <v>102504</v>
      </c>
      <c r="S90" s="41">
        <v>103536</v>
      </c>
      <c r="T90" s="41">
        <v>104088</v>
      </c>
      <c r="U90" s="41">
        <v>104267</v>
      </c>
      <c r="V90" s="41">
        <v>104538</v>
      </c>
      <c r="W90" s="41">
        <v>104657</v>
      </c>
      <c r="X90" s="41">
        <v>105135</v>
      </c>
      <c r="Y90" s="41">
        <v>105619</v>
      </c>
      <c r="Z90" s="41">
        <v>105968</v>
      </c>
      <c r="AA90" s="41">
        <v>106459</v>
      </c>
      <c r="AB90" s="41">
        <v>107074</v>
      </c>
      <c r="AC90" s="41">
        <v>107744</v>
      </c>
      <c r="AD90" s="41">
        <v>108422</v>
      </c>
      <c r="AE90" s="41">
        <v>109126</v>
      </c>
      <c r="AF90" s="41">
        <v>109794</v>
      </c>
      <c r="AG90" s="41">
        <v>110452</v>
      </c>
      <c r="AH90" s="41">
        <v>111142</v>
      </c>
      <c r="AI90" s="41">
        <v>111817</v>
      </c>
      <c r="AJ90" s="41">
        <v>112525</v>
      </c>
      <c r="AK90" s="41">
        <v>113222</v>
      </c>
      <c r="AL90" s="41">
        <v>113923</v>
      </c>
      <c r="AM90" s="41">
        <v>114657</v>
      </c>
      <c r="AN90" s="41">
        <v>115365</v>
      </c>
      <c r="AO90" s="41">
        <v>116080</v>
      </c>
      <c r="AP90" s="41">
        <v>116771</v>
      </c>
      <c r="AQ90" s="41">
        <v>117472</v>
      </c>
      <c r="AR90" s="41">
        <v>118141</v>
      </c>
      <c r="AS90" s="41">
        <v>118799</v>
      </c>
      <c r="AT90" s="41">
        <v>119446</v>
      </c>
      <c r="AU90" s="41">
        <v>120055</v>
      </c>
      <c r="AV90" s="41">
        <v>120675</v>
      </c>
      <c r="AW90" s="41">
        <v>121265</v>
      </c>
      <c r="AX90" s="41">
        <v>121823</v>
      </c>
      <c r="AY90" s="41">
        <v>122358</v>
      </c>
    </row>
    <row r="91" spans="1:51">
      <c r="A91" s="38" t="s">
        <v>298</v>
      </c>
      <c r="B91" s="38" t="s">
        <v>299</v>
      </c>
      <c r="C91" s="41">
        <v>37866</v>
      </c>
      <c r="D91" s="41">
        <v>38112</v>
      </c>
      <c r="E91" s="41">
        <v>38527</v>
      </c>
      <c r="F91" s="41">
        <v>39015</v>
      </c>
      <c r="G91" s="41">
        <v>39103</v>
      </c>
      <c r="H91" s="41">
        <v>39254</v>
      </c>
      <c r="I91" s="41">
        <v>39532</v>
      </c>
      <c r="J91" s="41">
        <v>39785</v>
      </c>
      <c r="K91" s="41">
        <v>40135</v>
      </c>
      <c r="L91" s="41">
        <v>40571</v>
      </c>
      <c r="M91" s="41">
        <v>41057</v>
      </c>
      <c r="N91" s="41">
        <v>41397</v>
      </c>
      <c r="O91" s="41">
        <v>41930</v>
      </c>
      <c r="P91" s="41">
        <v>42592</v>
      </c>
      <c r="Q91" s="41">
        <v>43235</v>
      </c>
      <c r="R91" s="41">
        <v>43694</v>
      </c>
      <c r="S91" s="41">
        <v>44085</v>
      </c>
      <c r="T91" s="41">
        <v>44465</v>
      </c>
      <c r="U91" s="41">
        <v>44448</v>
      </c>
      <c r="V91" s="41">
        <v>44624</v>
      </c>
      <c r="W91" s="41">
        <v>44962</v>
      </c>
      <c r="X91" s="41">
        <v>45427</v>
      </c>
      <c r="Y91" s="41">
        <v>45693</v>
      </c>
      <c r="Z91" s="41">
        <v>46277</v>
      </c>
      <c r="AA91" s="41">
        <v>46710</v>
      </c>
      <c r="AB91" s="41">
        <v>47179</v>
      </c>
      <c r="AC91" s="41">
        <v>47652</v>
      </c>
      <c r="AD91" s="41">
        <v>48130</v>
      </c>
      <c r="AE91" s="41">
        <v>48619</v>
      </c>
      <c r="AF91" s="41">
        <v>49102</v>
      </c>
      <c r="AG91" s="41">
        <v>49600</v>
      </c>
      <c r="AH91" s="41">
        <v>50089</v>
      </c>
      <c r="AI91" s="41">
        <v>50588</v>
      </c>
      <c r="AJ91" s="41">
        <v>51115</v>
      </c>
      <c r="AK91" s="41">
        <v>51642</v>
      </c>
      <c r="AL91" s="41">
        <v>52200</v>
      </c>
      <c r="AM91" s="41">
        <v>52762</v>
      </c>
      <c r="AN91" s="41">
        <v>53317</v>
      </c>
      <c r="AO91" s="41">
        <v>53888</v>
      </c>
      <c r="AP91" s="41">
        <v>54460</v>
      </c>
      <c r="AQ91" s="41">
        <v>55035</v>
      </c>
      <c r="AR91" s="41">
        <v>55602</v>
      </c>
      <c r="AS91" s="41">
        <v>56158</v>
      </c>
      <c r="AT91" s="41">
        <v>56701</v>
      </c>
      <c r="AU91" s="41">
        <v>57236</v>
      </c>
      <c r="AV91" s="41">
        <v>57772</v>
      </c>
      <c r="AW91" s="41">
        <v>58298</v>
      </c>
      <c r="AX91" s="41">
        <v>58803</v>
      </c>
      <c r="AY91" s="41">
        <v>59285</v>
      </c>
    </row>
    <row r="92" spans="1:51">
      <c r="A92" s="38" t="s">
        <v>300</v>
      </c>
      <c r="B92" s="38" t="s">
        <v>301</v>
      </c>
      <c r="C92" s="41">
        <v>42027</v>
      </c>
      <c r="D92" s="41">
        <v>42591</v>
      </c>
      <c r="E92" s="41">
        <v>43213</v>
      </c>
      <c r="F92" s="41">
        <v>43743</v>
      </c>
      <c r="G92" s="41">
        <v>44054</v>
      </c>
      <c r="H92" s="41">
        <v>44304</v>
      </c>
      <c r="I92" s="41">
        <v>44541</v>
      </c>
      <c r="J92" s="41">
        <v>44687</v>
      </c>
      <c r="K92" s="41">
        <v>46113</v>
      </c>
      <c r="L92" s="41">
        <v>46774</v>
      </c>
      <c r="M92" s="41">
        <v>47101</v>
      </c>
      <c r="N92" s="41">
        <v>47401</v>
      </c>
      <c r="O92" s="41">
        <v>47646</v>
      </c>
      <c r="P92" s="41">
        <v>48018</v>
      </c>
      <c r="Q92" s="41">
        <v>48646</v>
      </c>
      <c r="R92" s="41">
        <v>49387</v>
      </c>
      <c r="S92" s="41">
        <v>49883</v>
      </c>
      <c r="T92" s="41">
        <v>50318</v>
      </c>
      <c r="U92" s="41">
        <v>50908</v>
      </c>
      <c r="V92" s="41">
        <v>51688</v>
      </c>
      <c r="W92" s="41">
        <v>52382</v>
      </c>
      <c r="X92" s="41">
        <v>52862</v>
      </c>
      <c r="Y92" s="41">
        <v>53242</v>
      </c>
      <c r="Z92" s="41">
        <v>53781</v>
      </c>
      <c r="AA92" s="41">
        <v>54365</v>
      </c>
      <c r="AB92" s="41">
        <v>54941</v>
      </c>
      <c r="AC92" s="41">
        <v>55515</v>
      </c>
      <c r="AD92" s="41">
        <v>56077</v>
      </c>
      <c r="AE92" s="41">
        <v>56653</v>
      </c>
      <c r="AF92" s="41">
        <v>57206</v>
      </c>
      <c r="AG92" s="41">
        <v>57742</v>
      </c>
      <c r="AH92" s="41">
        <v>58269</v>
      </c>
      <c r="AI92" s="41">
        <v>58792</v>
      </c>
      <c r="AJ92" s="41">
        <v>59319</v>
      </c>
      <c r="AK92" s="41">
        <v>59817</v>
      </c>
      <c r="AL92" s="41">
        <v>60317</v>
      </c>
      <c r="AM92" s="41">
        <v>60811</v>
      </c>
      <c r="AN92" s="41">
        <v>61299</v>
      </c>
      <c r="AO92" s="41">
        <v>61792</v>
      </c>
      <c r="AP92" s="41">
        <v>62270</v>
      </c>
      <c r="AQ92" s="41">
        <v>62753</v>
      </c>
      <c r="AR92" s="41">
        <v>63204</v>
      </c>
      <c r="AS92" s="41">
        <v>63655</v>
      </c>
      <c r="AT92" s="41">
        <v>64097</v>
      </c>
      <c r="AU92" s="41">
        <v>64529</v>
      </c>
      <c r="AV92" s="41">
        <v>64950</v>
      </c>
      <c r="AW92" s="41">
        <v>65351</v>
      </c>
      <c r="AX92" s="41">
        <v>65731</v>
      </c>
      <c r="AY92" s="41">
        <v>66100</v>
      </c>
    </row>
    <row r="93" spans="1:51">
      <c r="A93" s="38" t="s">
        <v>302</v>
      </c>
      <c r="B93" s="38" t="s">
        <v>303</v>
      </c>
      <c r="C93" s="41">
        <v>18504</v>
      </c>
      <c r="D93" s="41">
        <v>18727</v>
      </c>
      <c r="E93" s="41">
        <v>18913</v>
      </c>
      <c r="F93" s="41">
        <v>19183</v>
      </c>
      <c r="G93" s="41">
        <v>19501</v>
      </c>
      <c r="H93" s="41">
        <v>19825</v>
      </c>
      <c r="I93" s="41">
        <v>20186</v>
      </c>
      <c r="J93" s="41">
        <v>20496</v>
      </c>
      <c r="K93" s="41">
        <v>20745</v>
      </c>
      <c r="L93" s="41">
        <v>20936</v>
      </c>
      <c r="M93" s="41">
        <v>21234</v>
      </c>
      <c r="N93" s="41">
        <v>21483</v>
      </c>
      <c r="O93" s="41">
        <v>21782</v>
      </c>
      <c r="P93" s="41">
        <v>22125</v>
      </c>
      <c r="Q93" s="41">
        <v>22313</v>
      </c>
      <c r="R93" s="41">
        <v>22466</v>
      </c>
      <c r="S93" s="41">
        <v>22620</v>
      </c>
      <c r="T93" s="41">
        <v>22759</v>
      </c>
      <c r="U93" s="41">
        <v>22960</v>
      </c>
      <c r="V93" s="41">
        <v>23028</v>
      </c>
      <c r="W93" s="41">
        <v>23019</v>
      </c>
      <c r="X93" s="41">
        <v>23165</v>
      </c>
      <c r="Y93" s="41">
        <v>23195</v>
      </c>
      <c r="Z93" s="41">
        <v>23292</v>
      </c>
      <c r="AA93" s="41">
        <v>23355</v>
      </c>
      <c r="AB93" s="41">
        <v>23443</v>
      </c>
      <c r="AC93" s="41">
        <v>23550</v>
      </c>
      <c r="AD93" s="41">
        <v>23633</v>
      </c>
      <c r="AE93" s="41">
        <v>23731</v>
      </c>
      <c r="AF93" s="41">
        <v>23818</v>
      </c>
      <c r="AG93" s="41">
        <v>23906</v>
      </c>
      <c r="AH93" s="41">
        <v>23998</v>
      </c>
      <c r="AI93" s="41">
        <v>24070</v>
      </c>
      <c r="AJ93" s="41">
        <v>24148</v>
      </c>
      <c r="AK93" s="41">
        <v>24226</v>
      </c>
      <c r="AL93" s="41">
        <v>24301</v>
      </c>
      <c r="AM93" s="41">
        <v>24377</v>
      </c>
      <c r="AN93" s="41">
        <v>24450</v>
      </c>
      <c r="AO93" s="41">
        <v>24516</v>
      </c>
      <c r="AP93" s="41">
        <v>24580</v>
      </c>
      <c r="AQ93" s="41">
        <v>24640</v>
      </c>
      <c r="AR93" s="41">
        <v>24686</v>
      </c>
      <c r="AS93" s="41">
        <v>24733</v>
      </c>
      <c r="AT93" s="41">
        <v>24770</v>
      </c>
      <c r="AU93" s="41">
        <v>24803</v>
      </c>
      <c r="AV93" s="41">
        <v>24833</v>
      </c>
      <c r="AW93" s="41">
        <v>24864</v>
      </c>
      <c r="AX93" s="41">
        <v>24899</v>
      </c>
      <c r="AY93" s="41">
        <v>24926</v>
      </c>
    </row>
    <row r="94" spans="1:51">
      <c r="A94" s="38" t="s">
        <v>304</v>
      </c>
      <c r="B94" s="38" t="s">
        <v>305</v>
      </c>
      <c r="C94" s="41">
        <v>45742</v>
      </c>
      <c r="D94" s="41">
        <v>45669</v>
      </c>
      <c r="E94" s="41">
        <v>46283</v>
      </c>
      <c r="F94" s="41">
        <v>46976</v>
      </c>
      <c r="G94" s="41">
        <v>47607</v>
      </c>
      <c r="H94" s="41">
        <v>48162</v>
      </c>
      <c r="I94" s="41">
        <v>48798</v>
      </c>
      <c r="J94" s="41">
        <v>49066</v>
      </c>
      <c r="K94" s="41">
        <v>49902</v>
      </c>
      <c r="L94" s="41">
        <v>50324</v>
      </c>
      <c r="M94" s="41">
        <v>50649</v>
      </c>
      <c r="N94" s="41">
        <v>50996</v>
      </c>
      <c r="O94" s="41">
        <v>51416</v>
      </c>
      <c r="P94" s="41">
        <v>51578</v>
      </c>
      <c r="Q94" s="41">
        <v>52112</v>
      </c>
      <c r="R94" s="41">
        <v>52620</v>
      </c>
      <c r="S94" s="41">
        <v>52839</v>
      </c>
      <c r="T94" s="41">
        <v>52886</v>
      </c>
      <c r="U94" s="41">
        <v>52842</v>
      </c>
      <c r="V94" s="41">
        <v>53123</v>
      </c>
      <c r="W94" s="41">
        <v>53121</v>
      </c>
      <c r="X94" s="41">
        <v>53174</v>
      </c>
      <c r="Y94" s="41">
        <v>53360</v>
      </c>
      <c r="Z94" s="41">
        <v>53525</v>
      </c>
      <c r="AA94" s="41">
        <v>53880</v>
      </c>
      <c r="AB94" s="41">
        <v>54254</v>
      </c>
      <c r="AC94" s="41">
        <v>54653</v>
      </c>
      <c r="AD94" s="41">
        <v>55092</v>
      </c>
      <c r="AE94" s="41">
        <v>55541</v>
      </c>
      <c r="AF94" s="41">
        <v>55969</v>
      </c>
      <c r="AG94" s="41">
        <v>56395</v>
      </c>
      <c r="AH94" s="41">
        <v>56822</v>
      </c>
      <c r="AI94" s="41">
        <v>57268</v>
      </c>
      <c r="AJ94" s="41">
        <v>57714</v>
      </c>
      <c r="AK94" s="41">
        <v>58165</v>
      </c>
      <c r="AL94" s="41">
        <v>58623</v>
      </c>
      <c r="AM94" s="41">
        <v>59079</v>
      </c>
      <c r="AN94" s="41">
        <v>59543</v>
      </c>
      <c r="AO94" s="41">
        <v>60012</v>
      </c>
      <c r="AP94" s="41">
        <v>60488</v>
      </c>
      <c r="AQ94" s="41">
        <v>60971</v>
      </c>
      <c r="AR94" s="41">
        <v>61440</v>
      </c>
      <c r="AS94" s="41">
        <v>61914</v>
      </c>
      <c r="AT94" s="41">
        <v>62375</v>
      </c>
      <c r="AU94" s="41">
        <v>62832</v>
      </c>
      <c r="AV94" s="41">
        <v>63289</v>
      </c>
      <c r="AW94" s="41">
        <v>63742</v>
      </c>
      <c r="AX94" s="41">
        <v>64190</v>
      </c>
      <c r="AY94" s="41">
        <v>64628</v>
      </c>
    </row>
    <row r="95" spans="1:51">
      <c r="A95" s="38" t="s">
        <v>306</v>
      </c>
      <c r="B95" s="38" t="s">
        <v>307</v>
      </c>
      <c r="C95" s="41">
        <v>102196</v>
      </c>
      <c r="D95" s="41">
        <v>102415</v>
      </c>
      <c r="E95" s="41">
        <v>102591</v>
      </c>
      <c r="F95" s="41">
        <v>102304</v>
      </c>
      <c r="G95" s="41">
        <v>103298</v>
      </c>
      <c r="H95" s="41">
        <v>104095</v>
      </c>
      <c r="I95" s="41">
        <v>105248</v>
      </c>
      <c r="J95" s="41">
        <v>105647</v>
      </c>
      <c r="K95" s="41">
        <v>107665</v>
      </c>
      <c r="L95" s="41">
        <v>109151</v>
      </c>
      <c r="M95" s="41">
        <v>110563</v>
      </c>
      <c r="N95" s="41">
        <v>111974</v>
      </c>
      <c r="O95" s="41">
        <v>112202</v>
      </c>
      <c r="P95" s="41">
        <v>112027</v>
      </c>
      <c r="Q95" s="41">
        <v>112710</v>
      </c>
      <c r="R95" s="41">
        <v>113138</v>
      </c>
      <c r="S95" s="41">
        <v>113957</v>
      </c>
      <c r="T95" s="41">
        <v>115534</v>
      </c>
      <c r="U95" s="41">
        <v>116786</v>
      </c>
      <c r="V95" s="41">
        <v>118327</v>
      </c>
      <c r="W95" s="41">
        <v>120452</v>
      </c>
      <c r="X95" s="41">
        <v>122190</v>
      </c>
      <c r="Y95" s="41">
        <v>124056</v>
      </c>
      <c r="Z95" s="41">
        <v>126022</v>
      </c>
      <c r="AA95" s="41">
        <v>128473</v>
      </c>
      <c r="AB95" s="41">
        <v>130896</v>
      </c>
      <c r="AC95" s="41">
        <v>133360</v>
      </c>
      <c r="AD95" s="41">
        <v>135754</v>
      </c>
      <c r="AE95" s="41">
        <v>138141</v>
      </c>
      <c r="AF95" s="41">
        <v>140552</v>
      </c>
      <c r="AG95" s="41">
        <v>142939</v>
      </c>
      <c r="AH95" s="41">
        <v>145310</v>
      </c>
      <c r="AI95" s="41">
        <v>147641</v>
      </c>
      <c r="AJ95" s="41">
        <v>149972</v>
      </c>
      <c r="AK95" s="41">
        <v>152312</v>
      </c>
      <c r="AL95" s="41">
        <v>154679</v>
      </c>
      <c r="AM95" s="41">
        <v>156986</v>
      </c>
      <c r="AN95" s="41">
        <v>159265</v>
      </c>
      <c r="AO95" s="41">
        <v>161551</v>
      </c>
      <c r="AP95" s="41">
        <v>163819</v>
      </c>
      <c r="AQ95" s="41">
        <v>166078</v>
      </c>
      <c r="AR95" s="41">
        <v>168292</v>
      </c>
      <c r="AS95" s="41">
        <v>170471</v>
      </c>
      <c r="AT95" s="41">
        <v>172649</v>
      </c>
      <c r="AU95" s="41">
        <v>174797</v>
      </c>
      <c r="AV95" s="41">
        <v>176947</v>
      </c>
      <c r="AW95" s="41">
        <v>179102</v>
      </c>
      <c r="AX95" s="41">
        <v>181225</v>
      </c>
      <c r="AY95" s="41">
        <v>183309</v>
      </c>
    </row>
    <row r="96" spans="1:51">
      <c r="A96" s="38" t="s">
        <v>308</v>
      </c>
      <c r="B96" s="38" t="s">
        <v>309</v>
      </c>
      <c r="C96" s="41">
        <v>46641</v>
      </c>
      <c r="D96" s="41">
        <v>47295</v>
      </c>
      <c r="E96" s="41">
        <v>47619</v>
      </c>
      <c r="F96" s="41">
        <v>48021</v>
      </c>
      <c r="G96" s="41">
        <v>48553</v>
      </c>
      <c r="H96" s="41">
        <v>49076</v>
      </c>
      <c r="I96" s="41">
        <v>49370</v>
      </c>
      <c r="J96" s="41">
        <v>49614</v>
      </c>
      <c r="K96" s="41">
        <v>50119</v>
      </c>
      <c r="L96" s="41">
        <v>50293</v>
      </c>
      <c r="M96" s="41">
        <v>50656</v>
      </c>
      <c r="N96" s="41">
        <v>50868</v>
      </c>
      <c r="O96" s="41">
        <v>50802</v>
      </c>
      <c r="P96" s="41">
        <v>50851</v>
      </c>
      <c r="Q96" s="41">
        <v>50867</v>
      </c>
      <c r="R96" s="41">
        <v>51147</v>
      </c>
      <c r="S96" s="41">
        <v>51241</v>
      </c>
      <c r="T96" s="41">
        <v>51433</v>
      </c>
      <c r="U96" s="41">
        <v>51666</v>
      </c>
      <c r="V96" s="41">
        <v>51873</v>
      </c>
      <c r="W96" s="41">
        <v>52083</v>
      </c>
      <c r="X96" s="41">
        <v>52593</v>
      </c>
      <c r="Y96" s="41">
        <v>53075</v>
      </c>
      <c r="Z96" s="41">
        <v>53663</v>
      </c>
      <c r="AA96" s="41">
        <v>54248</v>
      </c>
      <c r="AB96" s="41">
        <v>54867</v>
      </c>
      <c r="AC96" s="41">
        <v>55501</v>
      </c>
      <c r="AD96" s="41">
        <v>56168</v>
      </c>
      <c r="AE96" s="41">
        <v>56821</v>
      </c>
      <c r="AF96" s="41">
        <v>57476</v>
      </c>
      <c r="AG96" s="41">
        <v>58127</v>
      </c>
      <c r="AH96" s="41">
        <v>58784</v>
      </c>
      <c r="AI96" s="41">
        <v>59447</v>
      </c>
      <c r="AJ96" s="41">
        <v>60107</v>
      </c>
      <c r="AK96" s="41">
        <v>60781</v>
      </c>
      <c r="AL96" s="41">
        <v>61458</v>
      </c>
      <c r="AM96" s="41">
        <v>62172</v>
      </c>
      <c r="AN96" s="41">
        <v>62862</v>
      </c>
      <c r="AO96" s="41">
        <v>63564</v>
      </c>
      <c r="AP96" s="41">
        <v>64283</v>
      </c>
      <c r="AQ96" s="41">
        <v>65006</v>
      </c>
      <c r="AR96" s="41">
        <v>65735</v>
      </c>
      <c r="AS96" s="41">
        <v>66457</v>
      </c>
      <c r="AT96" s="41">
        <v>67176</v>
      </c>
      <c r="AU96" s="41">
        <v>67896</v>
      </c>
      <c r="AV96" s="41">
        <v>68630</v>
      </c>
      <c r="AW96" s="41">
        <v>69372</v>
      </c>
      <c r="AX96" s="41">
        <v>70104</v>
      </c>
      <c r="AY96" s="41">
        <v>70807</v>
      </c>
    </row>
    <row r="97" spans="1:51">
      <c r="A97" s="38" t="s">
        <v>310</v>
      </c>
      <c r="B97" s="38" t="s">
        <v>311</v>
      </c>
      <c r="C97" s="41">
        <v>25954</v>
      </c>
      <c r="D97" s="41">
        <v>26187</v>
      </c>
      <c r="E97" s="41">
        <v>26227</v>
      </c>
      <c r="F97" s="41">
        <v>26407</v>
      </c>
      <c r="G97" s="41">
        <v>26503</v>
      </c>
      <c r="H97" s="41">
        <v>26544</v>
      </c>
      <c r="I97" s="41">
        <v>26678</v>
      </c>
      <c r="J97" s="41">
        <v>26877</v>
      </c>
      <c r="K97" s="41">
        <v>27235</v>
      </c>
      <c r="L97" s="41">
        <v>27372</v>
      </c>
      <c r="M97" s="41">
        <v>27415</v>
      </c>
      <c r="N97" s="41">
        <v>27506</v>
      </c>
      <c r="O97" s="41">
        <v>27486</v>
      </c>
      <c r="P97" s="41">
        <v>27678</v>
      </c>
      <c r="Q97" s="41">
        <v>27950</v>
      </c>
      <c r="R97" s="41">
        <v>28188</v>
      </c>
      <c r="S97" s="41">
        <v>28553</v>
      </c>
      <c r="T97" s="41">
        <v>28983</v>
      </c>
      <c r="U97" s="41">
        <v>29156</v>
      </c>
      <c r="V97" s="41">
        <v>29507</v>
      </c>
      <c r="W97" s="41">
        <v>29831</v>
      </c>
      <c r="X97" s="41">
        <v>30183</v>
      </c>
      <c r="Y97" s="41">
        <v>30576</v>
      </c>
      <c r="Z97" s="41">
        <v>30931</v>
      </c>
      <c r="AA97" s="41">
        <v>31359</v>
      </c>
      <c r="AB97" s="41">
        <v>31764</v>
      </c>
      <c r="AC97" s="41">
        <v>32181</v>
      </c>
      <c r="AD97" s="41">
        <v>32602</v>
      </c>
      <c r="AE97" s="41">
        <v>33011</v>
      </c>
      <c r="AF97" s="41">
        <v>33438</v>
      </c>
      <c r="AG97" s="41">
        <v>33845</v>
      </c>
      <c r="AH97" s="41">
        <v>34251</v>
      </c>
      <c r="AI97" s="41">
        <v>34665</v>
      </c>
      <c r="AJ97" s="41">
        <v>35070</v>
      </c>
      <c r="AK97" s="41">
        <v>35487</v>
      </c>
      <c r="AL97" s="41">
        <v>35897</v>
      </c>
      <c r="AM97" s="41">
        <v>36311</v>
      </c>
      <c r="AN97" s="41">
        <v>36725</v>
      </c>
      <c r="AO97" s="41">
        <v>37141</v>
      </c>
      <c r="AP97" s="41">
        <v>37558</v>
      </c>
      <c r="AQ97" s="41">
        <v>37967</v>
      </c>
      <c r="AR97" s="41">
        <v>38366</v>
      </c>
      <c r="AS97" s="41">
        <v>38756</v>
      </c>
      <c r="AT97" s="41">
        <v>39136</v>
      </c>
      <c r="AU97" s="41">
        <v>39513</v>
      </c>
      <c r="AV97" s="41">
        <v>39889</v>
      </c>
      <c r="AW97" s="41">
        <v>40264</v>
      </c>
      <c r="AX97" s="41">
        <v>40629</v>
      </c>
      <c r="AY97" s="41">
        <v>40985</v>
      </c>
    </row>
    <row r="98" spans="1:51">
      <c r="A98" s="38" t="s">
        <v>312</v>
      </c>
      <c r="B98" s="38" t="s">
        <v>313</v>
      </c>
      <c r="C98" s="41">
        <v>43025</v>
      </c>
      <c r="D98" s="41">
        <v>43281</v>
      </c>
      <c r="E98" s="41">
        <v>43461</v>
      </c>
      <c r="F98" s="41">
        <v>43769</v>
      </c>
      <c r="G98" s="41">
        <v>43961</v>
      </c>
      <c r="H98" s="41">
        <v>44326</v>
      </c>
      <c r="I98" s="41">
        <v>44630</v>
      </c>
      <c r="J98" s="41">
        <v>45188</v>
      </c>
      <c r="K98" s="41">
        <v>45315</v>
      </c>
      <c r="L98" s="41">
        <v>45714</v>
      </c>
      <c r="M98" s="41">
        <v>46241</v>
      </c>
      <c r="N98" s="41">
        <v>46470</v>
      </c>
      <c r="O98" s="41">
        <v>46516</v>
      </c>
      <c r="P98" s="41">
        <v>46678</v>
      </c>
      <c r="Q98" s="41">
        <v>46885</v>
      </c>
      <c r="R98" s="41">
        <v>46990</v>
      </c>
      <c r="S98" s="41">
        <v>47284</v>
      </c>
      <c r="T98" s="41">
        <v>47632</v>
      </c>
      <c r="U98" s="41">
        <v>47969</v>
      </c>
      <c r="V98" s="41">
        <v>48401</v>
      </c>
      <c r="W98" s="41">
        <v>48743</v>
      </c>
      <c r="X98" s="41">
        <v>49120</v>
      </c>
      <c r="Y98" s="41">
        <v>49340</v>
      </c>
      <c r="Z98" s="41">
        <v>49858</v>
      </c>
      <c r="AA98" s="41">
        <v>50233</v>
      </c>
      <c r="AB98" s="41">
        <v>50628</v>
      </c>
      <c r="AC98" s="41">
        <v>51012</v>
      </c>
      <c r="AD98" s="41">
        <v>51404</v>
      </c>
      <c r="AE98" s="41">
        <v>51798</v>
      </c>
      <c r="AF98" s="41">
        <v>52189</v>
      </c>
      <c r="AG98" s="41">
        <v>52566</v>
      </c>
      <c r="AH98" s="41">
        <v>52921</v>
      </c>
      <c r="AI98" s="41">
        <v>53266</v>
      </c>
      <c r="AJ98" s="41">
        <v>53626</v>
      </c>
      <c r="AK98" s="41">
        <v>53962</v>
      </c>
      <c r="AL98" s="41">
        <v>54300</v>
      </c>
      <c r="AM98" s="41">
        <v>54643</v>
      </c>
      <c r="AN98" s="41">
        <v>54973</v>
      </c>
      <c r="AO98" s="41">
        <v>55315</v>
      </c>
      <c r="AP98" s="41">
        <v>55638</v>
      </c>
      <c r="AQ98" s="41">
        <v>55972</v>
      </c>
      <c r="AR98" s="41">
        <v>56298</v>
      </c>
      <c r="AS98" s="41">
        <v>56618</v>
      </c>
      <c r="AT98" s="41">
        <v>56940</v>
      </c>
      <c r="AU98" s="41">
        <v>57247</v>
      </c>
      <c r="AV98" s="41">
        <v>57567</v>
      </c>
      <c r="AW98" s="41">
        <v>57891</v>
      </c>
      <c r="AX98" s="41">
        <v>58198</v>
      </c>
      <c r="AY98" s="41">
        <v>58498</v>
      </c>
    </row>
    <row r="99" spans="1:51">
      <c r="A99" s="38" t="s">
        <v>314</v>
      </c>
      <c r="B99" s="38" t="s">
        <v>315</v>
      </c>
      <c r="C99" s="41">
        <v>42574</v>
      </c>
      <c r="D99" s="41">
        <v>43186</v>
      </c>
      <c r="E99" s="41">
        <v>42946</v>
      </c>
      <c r="F99" s="41">
        <v>42684</v>
      </c>
      <c r="G99" s="41">
        <v>43419</v>
      </c>
      <c r="H99" s="41">
        <v>43978</v>
      </c>
      <c r="I99" s="41">
        <v>44606</v>
      </c>
      <c r="J99" s="41">
        <v>45455</v>
      </c>
      <c r="K99" s="41">
        <v>45454</v>
      </c>
      <c r="L99" s="41">
        <v>46116</v>
      </c>
      <c r="M99" s="41">
        <v>46727</v>
      </c>
      <c r="N99" s="41">
        <v>46640</v>
      </c>
      <c r="O99" s="41">
        <v>46936</v>
      </c>
      <c r="P99" s="41">
        <v>46928</v>
      </c>
      <c r="Q99" s="41">
        <v>47713</v>
      </c>
      <c r="R99" s="41">
        <v>47856</v>
      </c>
      <c r="S99" s="41">
        <v>48316</v>
      </c>
      <c r="T99" s="41">
        <v>48327</v>
      </c>
      <c r="U99" s="41">
        <v>48380</v>
      </c>
      <c r="V99" s="41">
        <v>48641</v>
      </c>
      <c r="W99" s="41">
        <v>48947</v>
      </c>
      <c r="X99" s="41">
        <v>49837</v>
      </c>
      <c r="Y99" s="41">
        <v>50809</v>
      </c>
      <c r="Z99" s="41">
        <v>51837</v>
      </c>
      <c r="AA99" s="41">
        <v>52606</v>
      </c>
      <c r="AB99" s="41">
        <v>53359</v>
      </c>
      <c r="AC99" s="41">
        <v>53994</v>
      </c>
      <c r="AD99" s="41">
        <v>54511</v>
      </c>
      <c r="AE99" s="41">
        <v>55040</v>
      </c>
      <c r="AF99" s="41">
        <v>55578</v>
      </c>
      <c r="AG99" s="41">
        <v>56098</v>
      </c>
      <c r="AH99" s="41">
        <v>56567</v>
      </c>
      <c r="AI99" s="41">
        <v>57013</v>
      </c>
      <c r="AJ99" s="41">
        <v>57492</v>
      </c>
      <c r="AK99" s="41">
        <v>57981</v>
      </c>
      <c r="AL99" s="41">
        <v>58484</v>
      </c>
      <c r="AM99" s="41">
        <v>58992</v>
      </c>
      <c r="AN99" s="41">
        <v>59489</v>
      </c>
      <c r="AO99" s="41">
        <v>59977</v>
      </c>
      <c r="AP99" s="41">
        <v>60471</v>
      </c>
      <c r="AQ99" s="41">
        <v>60972</v>
      </c>
      <c r="AR99" s="41">
        <v>61465</v>
      </c>
      <c r="AS99" s="41">
        <v>61916</v>
      </c>
      <c r="AT99" s="41">
        <v>62348</v>
      </c>
      <c r="AU99" s="41">
        <v>62784</v>
      </c>
      <c r="AV99" s="41">
        <v>63239</v>
      </c>
      <c r="AW99" s="41">
        <v>63702</v>
      </c>
      <c r="AX99" s="41">
        <v>64141</v>
      </c>
      <c r="AY99" s="41">
        <v>64558</v>
      </c>
    </row>
    <row r="100" spans="1:51">
      <c r="A100" s="38" t="s">
        <v>316</v>
      </c>
      <c r="B100" s="38" t="s">
        <v>317</v>
      </c>
      <c r="C100" s="41">
        <v>38941</v>
      </c>
      <c r="D100" s="41">
        <v>39622</v>
      </c>
      <c r="E100" s="41">
        <v>39784</v>
      </c>
      <c r="F100" s="41">
        <v>40195</v>
      </c>
      <c r="G100" s="41">
        <v>40652</v>
      </c>
      <c r="H100" s="41">
        <v>41323</v>
      </c>
      <c r="I100" s="41">
        <v>41969</v>
      </c>
      <c r="J100" s="41">
        <v>42349</v>
      </c>
      <c r="K100" s="41">
        <v>42719</v>
      </c>
      <c r="L100" s="41">
        <v>43121</v>
      </c>
      <c r="M100" s="41">
        <v>43694</v>
      </c>
      <c r="N100" s="41">
        <v>43994</v>
      </c>
      <c r="O100" s="41">
        <v>44277</v>
      </c>
      <c r="P100" s="41">
        <v>44411</v>
      </c>
      <c r="Q100" s="41">
        <v>44441</v>
      </c>
      <c r="R100" s="41">
        <v>44822</v>
      </c>
      <c r="S100" s="41">
        <v>45310</v>
      </c>
      <c r="T100" s="41">
        <v>45811</v>
      </c>
      <c r="U100" s="41">
        <v>46102</v>
      </c>
      <c r="V100" s="41">
        <v>46414</v>
      </c>
      <c r="W100" s="41">
        <v>46735</v>
      </c>
      <c r="X100" s="41">
        <v>47129</v>
      </c>
      <c r="Y100" s="41">
        <v>47484</v>
      </c>
      <c r="Z100" s="41">
        <v>47923</v>
      </c>
      <c r="AA100" s="41">
        <v>48301</v>
      </c>
      <c r="AB100" s="41">
        <v>48707</v>
      </c>
      <c r="AC100" s="41">
        <v>49084</v>
      </c>
      <c r="AD100" s="41">
        <v>49494</v>
      </c>
      <c r="AE100" s="41">
        <v>49909</v>
      </c>
      <c r="AF100" s="41">
        <v>50315</v>
      </c>
      <c r="AG100" s="41">
        <v>50729</v>
      </c>
      <c r="AH100" s="41">
        <v>51118</v>
      </c>
      <c r="AI100" s="41">
        <v>51511</v>
      </c>
      <c r="AJ100" s="41">
        <v>51919</v>
      </c>
      <c r="AK100" s="41">
        <v>52308</v>
      </c>
      <c r="AL100" s="41">
        <v>52713</v>
      </c>
      <c r="AM100" s="41">
        <v>53099</v>
      </c>
      <c r="AN100" s="41">
        <v>53471</v>
      </c>
      <c r="AO100" s="41">
        <v>53845</v>
      </c>
      <c r="AP100" s="41">
        <v>54212</v>
      </c>
      <c r="AQ100" s="41">
        <v>54584</v>
      </c>
      <c r="AR100" s="41">
        <v>54925</v>
      </c>
      <c r="AS100" s="41">
        <v>55253</v>
      </c>
      <c r="AT100" s="41">
        <v>55577</v>
      </c>
      <c r="AU100" s="41">
        <v>55896</v>
      </c>
      <c r="AV100" s="41">
        <v>56224</v>
      </c>
      <c r="AW100" s="41">
        <v>56538</v>
      </c>
      <c r="AX100" s="41">
        <v>56831</v>
      </c>
      <c r="AY100" s="41">
        <v>57109</v>
      </c>
    </row>
    <row r="101" spans="1:51">
      <c r="A101" s="38" t="s">
        <v>318</v>
      </c>
      <c r="B101" s="38" t="s">
        <v>319</v>
      </c>
      <c r="C101" s="41">
        <v>30827</v>
      </c>
      <c r="D101" s="41">
        <v>31640</v>
      </c>
      <c r="E101" s="41">
        <v>32229</v>
      </c>
      <c r="F101" s="41">
        <v>32556</v>
      </c>
      <c r="G101" s="41">
        <v>32870</v>
      </c>
      <c r="H101" s="41">
        <v>33113</v>
      </c>
      <c r="I101" s="41">
        <v>33598</v>
      </c>
      <c r="J101" s="41">
        <v>34094</v>
      </c>
      <c r="K101" s="41">
        <v>34537</v>
      </c>
      <c r="L101" s="41">
        <v>34931</v>
      </c>
      <c r="M101" s="41">
        <v>35283</v>
      </c>
      <c r="N101" s="41">
        <v>35752</v>
      </c>
      <c r="O101" s="41">
        <v>36424</v>
      </c>
      <c r="P101" s="41">
        <v>37148</v>
      </c>
      <c r="Q101" s="41">
        <v>37668</v>
      </c>
      <c r="R101" s="41">
        <v>38459</v>
      </c>
      <c r="S101" s="41">
        <v>39320</v>
      </c>
      <c r="T101" s="41">
        <v>39699</v>
      </c>
      <c r="U101" s="41">
        <v>40122</v>
      </c>
      <c r="V101" s="41">
        <v>40500</v>
      </c>
      <c r="W101" s="41">
        <v>40719</v>
      </c>
      <c r="X101" s="41">
        <v>41038</v>
      </c>
      <c r="Y101" s="41">
        <v>41442</v>
      </c>
      <c r="Z101" s="41">
        <v>41950</v>
      </c>
      <c r="AA101" s="41">
        <v>42422</v>
      </c>
      <c r="AB101" s="41">
        <v>42909</v>
      </c>
      <c r="AC101" s="41">
        <v>43356</v>
      </c>
      <c r="AD101" s="41">
        <v>43819</v>
      </c>
      <c r="AE101" s="41">
        <v>44294</v>
      </c>
      <c r="AF101" s="41">
        <v>44731</v>
      </c>
      <c r="AG101" s="41">
        <v>45170</v>
      </c>
      <c r="AH101" s="41">
        <v>45581</v>
      </c>
      <c r="AI101" s="41">
        <v>46002</v>
      </c>
      <c r="AJ101" s="41">
        <v>46444</v>
      </c>
      <c r="AK101" s="41">
        <v>46869</v>
      </c>
      <c r="AL101" s="41">
        <v>47308</v>
      </c>
      <c r="AM101" s="41">
        <v>47747</v>
      </c>
      <c r="AN101" s="41">
        <v>48177</v>
      </c>
      <c r="AO101" s="41">
        <v>48597</v>
      </c>
      <c r="AP101" s="41">
        <v>49013</v>
      </c>
      <c r="AQ101" s="41">
        <v>49431</v>
      </c>
      <c r="AR101" s="41">
        <v>49836</v>
      </c>
      <c r="AS101" s="41">
        <v>50237</v>
      </c>
      <c r="AT101" s="41">
        <v>50632</v>
      </c>
      <c r="AU101" s="41">
        <v>51018</v>
      </c>
      <c r="AV101" s="41">
        <v>51404</v>
      </c>
      <c r="AW101" s="41">
        <v>51791</v>
      </c>
      <c r="AX101" s="41">
        <v>52163</v>
      </c>
      <c r="AY101" s="41">
        <v>52515</v>
      </c>
    </row>
    <row r="102" spans="1:51">
      <c r="A102" s="38" t="s">
        <v>320</v>
      </c>
      <c r="B102" s="38" t="s">
        <v>321</v>
      </c>
      <c r="C102" s="41">
        <v>39292</v>
      </c>
      <c r="D102" s="41">
        <v>39430</v>
      </c>
      <c r="E102" s="41">
        <v>39312</v>
      </c>
      <c r="F102" s="41">
        <v>39740</v>
      </c>
      <c r="G102" s="41">
        <v>39596</v>
      </c>
      <c r="H102" s="41">
        <v>40053</v>
      </c>
      <c r="I102" s="41">
        <v>40054</v>
      </c>
      <c r="J102" s="41">
        <v>40027</v>
      </c>
      <c r="K102" s="41">
        <v>40569</v>
      </c>
      <c r="L102" s="41">
        <v>41020</v>
      </c>
      <c r="M102" s="41">
        <v>41311</v>
      </c>
      <c r="N102" s="41">
        <v>41855</v>
      </c>
      <c r="O102" s="41">
        <v>42465</v>
      </c>
      <c r="P102" s="41">
        <v>43116</v>
      </c>
      <c r="Q102" s="41">
        <v>43781</v>
      </c>
      <c r="R102" s="41">
        <v>44370</v>
      </c>
      <c r="S102" s="41">
        <v>45091</v>
      </c>
      <c r="T102" s="41">
        <v>45631</v>
      </c>
      <c r="U102" s="41">
        <v>46173</v>
      </c>
      <c r="V102" s="41">
        <v>46757</v>
      </c>
      <c r="W102" s="41">
        <v>47500</v>
      </c>
      <c r="X102" s="41">
        <v>48008</v>
      </c>
      <c r="Y102" s="41">
        <v>48366</v>
      </c>
      <c r="Z102" s="41">
        <v>48901</v>
      </c>
      <c r="AA102" s="41">
        <v>49366</v>
      </c>
      <c r="AB102" s="41">
        <v>49910</v>
      </c>
      <c r="AC102" s="41">
        <v>50442</v>
      </c>
      <c r="AD102" s="41">
        <v>50971</v>
      </c>
      <c r="AE102" s="41">
        <v>51515</v>
      </c>
      <c r="AF102" s="41">
        <v>52043</v>
      </c>
      <c r="AG102" s="41">
        <v>52595</v>
      </c>
      <c r="AH102" s="41">
        <v>53142</v>
      </c>
      <c r="AI102" s="41">
        <v>53686</v>
      </c>
      <c r="AJ102" s="41">
        <v>54244</v>
      </c>
      <c r="AK102" s="41">
        <v>54783</v>
      </c>
      <c r="AL102" s="41">
        <v>55363</v>
      </c>
      <c r="AM102" s="41">
        <v>55944</v>
      </c>
      <c r="AN102" s="41">
        <v>56508</v>
      </c>
      <c r="AO102" s="41">
        <v>57079</v>
      </c>
      <c r="AP102" s="41">
        <v>57633</v>
      </c>
      <c r="AQ102" s="41">
        <v>58200</v>
      </c>
      <c r="AR102" s="41">
        <v>58723</v>
      </c>
      <c r="AS102" s="41">
        <v>59241</v>
      </c>
      <c r="AT102" s="41">
        <v>59763</v>
      </c>
      <c r="AU102" s="41">
        <v>60264</v>
      </c>
      <c r="AV102" s="41">
        <v>60768</v>
      </c>
      <c r="AW102" s="41">
        <v>61268</v>
      </c>
      <c r="AX102" s="41">
        <v>61752</v>
      </c>
      <c r="AY102" s="41">
        <v>62225</v>
      </c>
    </row>
    <row r="103" spans="1:51">
      <c r="A103" s="38" t="s">
        <v>322</v>
      </c>
      <c r="B103" s="38" t="s">
        <v>323</v>
      </c>
      <c r="C103" s="41">
        <v>29566</v>
      </c>
      <c r="D103" s="41">
        <v>29749</v>
      </c>
      <c r="E103" s="41">
        <v>29988</v>
      </c>
      <c r="F103" s="41">
        <v>30136</v>
      </c>
      <c r="G103" s="41">
        <v>30310</v>
      </c>
      <c r="H103" s="41">
        <v>30840</v>
      </c>
      <c r="I103" s="41">
        <v>31409</v>
      </c>
      <c r="J103" s="41">
        <v>31825</v>
      </c>
      <c r="K103" s="41">
        <v>32202</v>
      </c>
      <c r="L103" s="41">
        <v>32432</v>
      </c>
      <c r="M103" s="41">
        <v>32619</v>
      </c>
      <c r="N103" s="41">
        <v>32726</v>
      </c>
      <c r="O103" s="41">
        <v>32992</v>
      </c>
      <c r="P103" s="41">
        <v>33191</v>
      </c>
      <c r="Q103" s="41">
        <v>33429</v>
      </c>
      <c r="R103" s="41">
        <v>33623</v>
      </c>
      <c r="S103" s="41">
        <v>33775</v>
      </c>
      <c r="T103" s="41">
        <v>33936</v>
      </c>
      <c r="U103" s="41">
        <v>34022</v>
      </c>
      <c r="V103" s="41">
        <v>34100</v>
      </c>
      <c r="W103" s="41">
        <v>34283</v>
      </c>
      <c r="X103" s="41">
        <v>34593</v>
      </c>
      <c r="Y103" s="41">
        <v>34831</v>
      </c>
      <c r="Z103" s="41">
        <v>35245</v>
      </c>
      <c r="AA103" s="41">
        <v>35527</v>
      </c>
      <c r="AB103" s="41">
        <v>35809</v>
      </c>
      <c r="AC103" s="41">
        <v>36079</v>
      </c>
      <c r="AD103" s="41">
        <v>36375</v>
      </c>
      <c r="AE103" s="41">
        <v>36686</v>
      </c>
      <c r="AF103" s="41">
        <v>37004</v>
      </c>
      <c r="AG103" s="41">
        <v>37303</v>
      </c>
      <c r="AH103" s="41">
        <v>37593</v>
      </c>
      <c r="AI103" s="41">
        <v>37887</v>
      </c>
      <c r="AJ103" s="41">
        <v>38178</v>
      </c>
      <c r="AK103" s="41">
        <v>38462</v>
      </c>
      <c r="AL103" s="41">
        <v>38743</v>
      </c>
      <c r="AM103" s="41">
        <v>39001</v>
      </c>
      <c r="AN103" s="41">
        <v>39257</v>
      </c>
      <c r="AO103" s="41">
        <v>39510</v>
      </c>
      <c r="AP103" s="41">
        <v>39765</v>
      </c>
      <c r="AQ103" s="41">
        <v>40015</v>
      </c>
      <c r="AR103" s="41">
        <v>40240</v>
      </c>
      <c r="AS103" s="41">
        <v>40451</v>
      </c>
      <c r="AT103" s="41">
        <v>40650</v>
      </c>
      <c r="AU103" s="41">
        <v>40849</v>
      </c>
      <c r="AV103" s="41">
        <v>41044</v>
      </c>
      <c r="AW103" s="41">
        <v>41231</v>
      </c>
      <c r="AX103" s="41">
        <v>41406</v>
      </c>
      <c r="AY103" s="41">
        <v>41564</v>
      </c>
    </row>
    <row r="104" spans="1:51">
      <c r="A104" s="38" t="s">
        <v>324</v>
      </c>
      <c r="B104" s="38" t="s">
        <v>325</v>
      </c>
      <c r="C104" s="41">
        <v>30410</v>
      </c>
      <c r="D104" s="41">
        <v>30668</v>
      </c>
      <c r="E104" s="41">
        <v>30962</v>
      </c>
      <c r="F104" s="41">
        <v>31172</v>
      </c>
      <c r="G104" s="41">
        <v>31421</v>
      </c>
      <c r="H104" s="41">
        <v>31665</v>
      </c>
      <c r="I104" s="41">
        <v>31688</v>
      </c>
      <c r="J104" s="41">
        <v>31978</v>
      </c>
      <c r="K104" s="41">
        <v>31959</v>
      </c>
      <c r="L104" s="41">
        <v>32319</v>
      </c>
      <c r="M104" s="41">
        <v>32464</v>
      </c>
      <c r="N104" s="41">
        <v>32794</v>
      </c>
      <c r="O104" s="41">
        <v>33289</v>
      </c>
      <c r="P104" s="41">
        <v>33646</v>
      </c>
      <c r="Q104" s="41">
        <v>33849</v>
      </c>
      <c r="R104" s="41">
        <v>33932</v>
      </c>
      <c r="S104" s="41">
        <v>34237</v>
      </c>
      <c r="T104" s="41">
        <v>34363</v>
      </c>
      <c r="U104" s="41">
        <v>34561</v>
      </c>
      <c r="V104" s="41">
        <v>34710</v>
      </c>
      <c r="W104" s="41">
        <v>35031</v>
      </c>
      <c r="X104" s="41">
        <v>35134</v>
      </c>
      <c r="Y104" s="41">
        <v>35439</v>
      </c>
      <c r="Z104" s="41">
        <v>35823</v>
      </c>
      <c r="AA104" s="41">
        <v>36067</v>
      </c>
      <c r="AB104" s="41">
        <v>36338</v>
      </c>
      <c r="AC104" s="41">
        <v>36628</v>
      </c>
      <c r="AD104" s="41">
        <v>36908</v>
      </c>
      <c r="AE104" s="41">
        <v>37181</v>
      </c>
      <c r="AF104" s="41">
        <v>37454</v>
      </c>
      <c r="AG104" s="41">
        <v>37719</v>
      </c>
      <c r="AH104" s="41">
        <v>37989</v>
      </c>
      <c r="AI104" s="41">
        <v>38248</v>
      </c>
      <c r="AJ104" s="41">
        <v>38500</v>
      </c>
      <c r="AK104" s="41">
        <v>38757</v>
      </c>
      <c r="AL104" s="41">
        <v>39011</v>
      </c>
      <c r="AM104" s="41">
        <v>39256</v>
      </c>
      <c r="AN104" s="41">
        <v>39493</v>
      </c>
      <c r="AO104" s="41">
        <v>39714</v>
      </c>
      <c r="AP104" s="41">
        <v>39953</v>
      </c>
      <c r="AQ104" s="41">
        <v>40190</v>
      </c>
      <c r="AR104" s="41">
        <v>40407</v>
      </c>
      <c r="AS104" s="41">
        <v>40628</v>
      </c>
      <c r="AT104" s="41">
        <v>40827</v>
      </c>
      <c r="AU104" s="41">
        <v>41028</v>
      </c>
      <c r="AV104" s="41">
        <v>41229</v>
      </c>
      <c r="AW104" s="41">
        <v>41422</v>
      </c>
      <c r="AX104" s="41">
        <v>41599</v>
      </c>
      <c r="AY104" s="41">
        <v>41756</v>
      </c>
    </row>
    <row r="105" spans="1:51">
      <c r="A105" s="38" t="s">
        <v>326</v>
      </c>
      <c r="B105" s="38" t="s">
        <v>327</v>
      </c>
      <c r="C105" s="41">
        <v>84597</v>
      </c>
      <c r="D105" s="41">
        <v>84756</v>
      </c>
      <c r="E105" s="41">
        <v>84895</v>
      </c>
      <c r="F105" s="41">
        <v>84953</v>
      </c>
      <c r="G105" s="41">
        <v>85062</v>
      </c>
      <c r="H105" s="41">
        <v>85075</v>
      </c>
      <c r="I105" s="41">
        <v>85004</v>
      </c>
      <c r="J105" s="41">
        <v>84641</v>
      </c>
      <c r="K105" s="41">
        <v>84397</v>
      </c>
      <c r="L105" s="41">
        <v>84165</v>
      </c>
      <c r="M105" s="41">
        <v>84141</v>
      </c>
      <c r="N105" s="41">
        <v>84365</v>
      </c>
      <c r="O105" s="41">
        <v>84610</v>
      </c>
      <c r="P105" s="41">
        <v>84797</v>
      </c>
      <c r="Q105" s="41">
        <v>85288</v>
      </c>
      <c r="R105" s="41">
        <v>85734</v>
      </c>
      <c r="S105" s="41">
        <v>86445</v>
      </c>
      <c r="T105" s="41">
        <v>87021</v>
      </c>
      <c r="U105" s="41">
        <v>87822</v>
      </c>
      <c r="V105" s="41">
        <v>88534</v>
      </c>
      <c r="W105" s="41">
        <v>89227</v>
      </c>
      <c r="X105" s="41">
        <v>89347</v>
      </c>
      <c r="Y105" s="41">
        <v>89588</v>
      </c>
      <c r="Z105" s="41">
        <v>89916</v>
      </c>
      <c r="AA105" s="41">
        <v>90227</v>
      </c>
      <c r="AB105" s="41">
        <v>90688</v>
      </c>
      <c r="AC105" s="41">
        <v>91162</v>
      </c>
      <c r="AD105" s="41">
        <v>91637</v>
      </c>
      <c r="AE105" s="41">
        <v>92089</v>
      </c>
      <c r="AF105" s="41">
        <v>92538</v>
      </c>
      <c r="AG105" s="41">
        <v>93024</v>
      </c>
      <c r="AH105" s="41">
        <v>93469</v>
      </c>
      <c r="AI105" s="41">
        <v>93882</v>
      </c>
      <c r="AJ105" s="41">
        <v>94276</v>
      </c>
      <c r="AK105" s="41">
        <v>94665</v>
      </c>
      <c r="AL105" s="41">
        <v>95089</v>
      </c>
      <c r="AM105" s="41">
        <v>95494</v>
      </c>
      <c r="AN105" s="41">
        <v>95865</v>
      </c>
      <c r="AO105" s="41">
        <v>96239</v>
      </c>
      <c r="AP105" s="41">
        <v>96631</v>
      </c>
      <c r="AQ105" s="41">
        <v>97049</v>
      </c>
      <c r="AR105" s="41">
        <v>97444</v>
      </c>
      <c r="AS105" s="41">
        <v>97821</v>
      </c>
      <c r="AT105" s="41">
        <v>98204</v>
      </c>
      <c r="AU105" s="41">
        <v>98581</v>
      </c>
      <c r="AV105" s="41">
        <v>98968</v>
      </c>
      <c r="AW105" s="41">
        <v>99353</v>
      </c>
      <c r="AX105" s="41">
        <v>99693</v>
      </c>
      <c r="AY105" s="41">
        <v>99995</v>
      </c>
    </row>
    <row r="106" spans="1:51">
      <c r="A106" s="38" t="s">
        <v>328</v>
      </c>
      <c r="B106" s="38" t="s">
        <v>329</v>
      </c>
      <c r="C106" s="41">
        <v>44611</v>
      </c>
      <c r="D106" s="41">
        <v>45105</v>
      </c>
      <c r="E106" s="41">
        <v>45589</v>
      </c>
      <c r="F106" s="41">
        <v>45831</v>
      </c>
      <c r="G106" s="41">
        <v>46069</v>
      </c>
      <c r="H106" s="41">
        <v>46757</v>
      </c>
      <c r="I106" s="41">
        <v>46734</v>
      </c>
      <c r="J106" s="41">
        <v>47108</v>
      </c>
      <c r="K106" s="41">
        <v>47240</v>
      </c>
      <c r="L106" s="41">
        <v>47341</v>
      </c>
      <c r="M106" s="41">
        <v>47631</v>
      </c>
      <c r="N106" s="41">
        <v>47863</v>
      </c>
      <c r="O106" s="41">
        <v>47967</v>
      </c>
      <c r="P106" s="41">
        <v>48107</v>
      </c>
      <c r="Q106" s="41">
        <v>48289</v>
      </c>
      <c r="R106" s="41">
        <v>48426</v>
      </c>
      <c r="S106" s="41">
        <v>48533</v>
      </c>
      <c r="T106" s="41">
        <v>48742</v>
      </c>
      <c r="U106" s="41">
        <v>48965</v>
      </c>
      <c r="V106" s="41">
        <v>49184</v>
      </c>
      <c r="W106" s="41">
        <v>49481</v>
      </c>
      <c r="X106" s="41">
        <v>49722</v>
      </c>
      <c r="Y106" s="41">
        <v>50068</v>
      </c>
      <c r="Z106" s="41">
        <v>50558</v>
      </c>
      <c r="AA106" s="41">
        <v>50898</v>
      </c>
      <c r="AB106" s="41">
        <v>51318</v>
      </c>
      <c r="AC106" s="41">
        <v>51736</v>
      </c>
      <c r="AD106" s="41">
        <v>52143</v>
      </c>
      <c r="AE106" s="41">
        <v>52586</v>
      </c>
      <c r="AF106" s="41">
        <v>52989</v>
      </c>
      <c r="AG106" s="41">
        <v>53412</v>
      </c>
      <c r="AH106" s="41">
        <v>53817</v>
      </c>
      <c r="AI106" s="41">
        <v>54217</v>
      </c>
      <c r="AJ106" s="41">
        <v>54628</v>
      </c>
      <c r="AK106" s="41">
        <v>55024</v>
      </c>
      <c r="AL106" s="41">
        <v>55433</v>
      </c>
      <c r="AM106" s="41">
        <v>55828</v>
      </c>
      <c r="AN106" s="41">
        <v>56217</v>
      </c>
      <c r="AO106" s="41">
        <v>56609</v>
      </c>
      <c r="AP106" s="41">
        <v>57001</v>
      </c>
      <c r="AQ106" s="41">
        <v>57397</v>
      </c>
      <c r="AR106" s="41">
        <v>57774</v>
      </c>
      <c r="AS106" s="41">
        <v>58137</v>
      </c>
      <c r="AT106" s="41">
        <v>58500</v>
      </c>
      <c r="AU106" s="41">
        <v>58851</v>
      </c>
      <c r="AV106" s="41">
        <v>59200</v>
      </c>
      <c r="AW106" s="41">
        <v>59541</v>
      </c>
      <c r="AX106" s="41">
        <v>59866</v>
      </c>
      <c r="AY106" s="41">
        <v>60193</v>
      </c>
    </row>
    <row r="107" spans="1:51">
      <c r="A107" s="38" t="s">
        <v>330</v>
      </c>
      <c r="B107" s="38" t="s">
        <v>331</v>
      </c>
      <c r="C107" s="41">
        <v>41072</v>
      </c>
      <c r="D107" s="41">
        <v>41585</v>
      </c>
      <c r="E107" s="41">
        <v>41650</v>
      </c>
      <c r="F107" s="41">
        <v>41816</v>
      </c>
      <c r="G107" s="41">
        <v>42713</v>
      </c>
      <c r="H107" s="41">
        <v>43419</v>
      </c>
      <c r="I107" s="41">
        <v>43875</v>
      </c>
      <c r="J107" s="41">
        <v>43895</v>
      </c>
      <c r="K107" s="41">
        <v>45237</v>
      </c>
      <c r="L107" s="41">
        <v>45817</v>
      </c>
      <c r="M107" s="41">
        <v>45761</v>
      </c>
      <c r="N107" s="41">
        <v>45971</v>
      </c>
      <c r="O107" s="41">
        <v>46283</v>
      </c>
      <c r="P107" s="41">
        <v>46740</v>
      </c>
      <c r="Q107" s="41">
        <v>47234</v>
      </c>
      <c r="R107" s="41">
        <v>47883</v>
      </c>
      <c r="S107" s="41">
        <v>48521</v>
      </c>
      <c r="T107" s="41">
        <v>49049</v>
      </c>
      <c r="U107" s="41">
        <v>49568</v>
      </c>
      <c r="V107" s="41">
        <v>49971</v>
      </c>
      <c r="W107" s="41">
        <v>50431</v>
      </c>
      <c r="X107" s="41">
        <v>51212</v>
      </c>
      <c r="Y107" s="41">
        <v>51725</v>
      </c>
      <c r="Z107" s="41">
        <v>52347</v>
      </c>
      <c r="AA107" s="41">
        <v>52931</v>
      </c>
      <c r="AB107" s="41">
        <v>53525</v>
      </c>
      <c r="AC107" s="41">
        <v>54126</v>
      </c>
      <c r="AD107" s="41">
        <v>54727</v>
      </c>
      <c r="AE107" s="41">
        <v>55354</v>
      </c>
      <c r="AF107" s="41">
        <v>55930</v>
      </c>
      <c r="AG107" s="41">
        <v>56515</v>
      </c>
      <c r="AH107" s="41">
        <v>57079</v>
      </c>
      <c r="AI107" s="41">
        <v>57634</v>
      </c>
      <c r="AJ107" s="41">
        <v>58207</v>
      </c>
      <c r="AK107" s="41">
        <v>58753</v>
      </c>
      <c r="AL107" s="41">
        <v>59318</v>
      </c>
      <c r="AM107" s="41">
        <v>59863</v>
      </c>
      <c r="AN107" s="41">
        <v>60427</v>
      </c>
      <c r="AO107" s="41">
        <v>60975</v>
      </c>
      <c r="AP107" s="41">
        <v>61514</v>
      </c>
      <c r="AQ107" s="41">
        <v>62071</v>
      </c>
      <c r="AR107" s="41">
        <v>62619</v>
      </c>
      <c r="AS107" s="41">
        <v>63161</v>
      </c>
      <c r="AT107" s="41">
        <v>63666</v>
      </c>
      <c r="AU107" s="41">
        <v>64167</v>
      </c>
      <c r="AV107" s="41">
        <v>64690</v>
      </c>
      <c r="AW107" s="41">
        <v>65215</v>
      </c>
      <c r="AX107" s="41">
        <v>65727</v>
      </c>
      <c r="AY107" s="41">
        <v>66198</v>
      </c>
    </row>
    <row r="108" spans="1:51">
      <c r="A108" s="38" t="s">
        <v>332</v>
      </c>
      <c r="B108" s="38" t="s">
        <v>333</v>
      </c>
      <c r="C108" s="41">
        <v>30598</v>
      </c>
      <c r="D108" s="41">
        <v>30697</v>
      </c>
      <c r="E108" s="41">
        <v>30277</v>
      </c>
      <c r="F108" s="41">
        <v>29641</v>
      </c>
      <c r="G108" s="41">
        <v>29693</v>
      </c>
      <c r="H108" s="41">
        <v>30467</v>
      </c>
      <c r="I108" s="41">
        <v>30621</v>
      </c>
      <c r="J108" s="41">
        <v>30530</v>
      </c>
      <c r="K108" s="41">
        <v>30732</v>
      </c>
      <c r="L108" s="41">
        <v>31133</v>
      </c>
      <c r="M108" s="41">
        <v>31351</v>
      </c>
      <c r="N108" s="41">
        <v>31674</v>
      </c>
      <c r="O108" s="41">
        <v>32257</v>
      </c>
      <c r="P108" s="41">
        <v>32662</v>
      </c>
      <c r="Q108" s="41">
        <v>33079</v>
      </c>
      <c r="R108" s="41">
        <v>33622</v>
      </c>
      <c r="S108" s="41">
        <v>34105</v>
      </c>
      <c r="T108" s="41">
        <v>34734</v>
      </c>
      <c r="U108" s="41">
        <v>35000</v>
      </c>
      <c r="V108" s="41">
        <v>35243</v>
      </c>
      <c r="W108" s="41">
        <v>35447</v>
      </c>
      <c r="X108" s="41">
        <v>35838</v>
      </c>
      <c r="Y108" s="41">
        <v>36085</v>
      </c>
      <c r="Z108" s="41">
        <v>36586</v>
      </c>
      <c r="AA108" s="41">
        <v>36826</v>
      </c>
      <c r="AB108" s="41">
        <v>37075</v>
      </c>
      <c r="AC108" s="41">
        <v>37322</v>
      </c>
      <c r="AD108" s="41">
        <v>37567</v>
      </c>
      <c r="AE108" s="41">
        <v>37852</v>
      </c>
      <c r="AF108" s="41">
        <v>38130</v>
      </c>
      <c r="AG108" s="41">
        <v>38397</v>
      </c>
      <c r="AH108" s="41">
        <v>38651</v>
      </c>
      <c r="AI108" s="41">
        <v>38907</v>
      </c>
      <c r="AJ108" s="41">
        <v>39195</v>
      </c>
      <c r="AK108" s="41">
        <v>39477</v>
      </c>
      <c r="AL108" s="41">
        <v>39770</v>
      </c>
      <c r="AM108" s="41">
        <v>40070</v>
      </c>
      <c r="AN108" s="41">
        <v>40360</v>
      </c>
      <c r="AO108" s="41">
        <v>40660</v>
      </c>
      <c r="AP108" s="41">
        <v>40951</v>
      </c>
      <c r="AQ108" s="41">
        <v>41216</v>
      </c>
      <c r="AR108" s="41">
        <v>41463</v>
      </c>
      <c r="AS108" s="41">
        <v>41693</v>
      </c>
      <c r="AT108" s="41">
        <v>41916</v>
      </c>
      <c r="AU108" s="41">
        <v>42140</v>
      </c>
      <c r="AV108" s="41">
        <v>42356</v>
      </c>
      <c r="AW108" s="41">
        <v>42569</v>
      </c>
      <c r="AX108" s="41">
        <v>42766</v>
      </c>
      <c r="AY108" s="41">
        <v>42946</v>
      </c>
    </row>
    <row r="109" spans="1:51">
      <c r="A109" s="38" t="s">
        <v>334</v>
      </c>
      <c r="B109" s="38" t="s">
        <v>335</v>
      </c>
      <c r="C109" s="41">
        <v>35840</v>
      </c>
      <c r="D109" s="41">
        <v>36128</v>
      </c>
      <c r="E109" s="41">
        <v>36294</v>
      </c>
      <c r="F109" s="41">
        <v>36570</v>
      </c>
      <c r="G109" s="41">
        <v>36797</v>
      </c>
      <c r="H109" s="41">
        <v>36899</v>
      </c>
      <c r="I109" s="41">
        <v>37141</v>
      </c>
      <c r="J109" s="41">
        <v>37446</v>
      </c>
      <c r="K109" s="41">
        <v>37638</v>
      </c>
      <c r="L109" s="41">
        <v>38011</v>
      </c>
      <c r="M109" s="41">
        <v>38374</v>
      </c>
      <c r="N109" s="41">
        <v>38357</v>
      </c>
      <c r="O109" s="41">
        <v>38400</v>
      </c>
      <c r="P109" s="41">
        <v>38478</v>
      </c>
      <c r="Q109" s="41">
        <v>38770</v>
      </c>
      <c r="R109" s="41">
        <v>39031</v>
      </c>
      <c r="S109" s="41">
        <v>39284</v>
      </c>
      <c r="T109" s="41">
        <v>39622</v>
      </c>
      <c r="U109" s="41">
        <v>39957</v>
      </c>
      <c r="V109" s="41">
        <v>40206</v>
      </c>
      <c r="W109" s="41">
        <v>40460</v>
      </c>
      <c r="X109" s="41">
        <v>40972</v>
      </c>
      <c r="Y109" s="41">
        <v>41418</v>
      </c>
      <c r="Z109" s="41">
        <v>42050</v>
      </c>
      <c r="AA109" s="41">
        <v>42578</v>
      </c>
      <c r="AB109" s="41">
        <v>43106</v>
      </c>
      <c r="AC109" s="41">
        <v>43650</v>
      </c>
      <c r="AD109" s="41">
        <v>44183</v>
      </c>
      <c r="AE109" s="41">
        <v>44709</v>
      </c>
      <c r="AF109" s="41">
        <v>45231</v>
      </c>
      <c r="AG109" s="41">
        <v>45749</v>
      </c>
      <c r="AH109" s="41">
        <v>46270</v>
      </c>
      <c r="AI109" s="41">
        <v>46780</v>
      </c>
      <c r="AJ109" s="41">
        <v>47284</v>
      </c>
      <c r="AK109" s="41">
        <v>47782</v>
      </c>
      <c r="AL109" s="41">
        <v>48298</v>
      </c>
      <c r="AM109" s="41">
        <v>48812</v>
      </c>
      <c r="AN109" s="41">
        <v>49319</v>
      </c>
      <c r="AO109" s="41">
        <v>49816</v>
      </c>
      <c r="AP109" s="41">
        <v>50315</v>
      </c>
      <c r="AQ109" s="41">
        <v>50819</v>
      </c>
      <c r="AR109" s="41">
        <v>51319</v>
      </c>
      <c r="AS109" s="41">
        <v>51810</v>
      </c>
      <c r="AT109" s="41">
        <v>52297</v>
      </c>
      <c r="AU109" s="41">
        <v>52778</v>
      </c>
      <c r="AV109" s="41">
        <v>53272</v>
      </c>
      <c r="AW109" s="41">
        <v>53774</v>
      </c>
      <c r="AX109" s="41">
        <v>54261</v>
      </c>
      <c r="AY109" s="41">
        <v>54747</v>
      </c>
    </row>
    <row r="110" spans="1:51">
      <c r="A110" s="38" t="s">
        <v>336</v>
      </c>
      <c r="B110" s="38" t="s">
        <v>337</v>
      </c>
      <c r="C110" s="41">
        <v>36212</v>
      </c>
      <c r="D110" s="41">
        <v>36435</v>
      </c>
      <c r="E110" s="41">
        <v>36547</v>
      </c>
      <c r="F110" s="41">
        <v>36769</v>
      </c>
      <c r="G110" s="41">
        <v>37110</v>
      </c>
      <c r="H110" s="41">
        <v>37493</v>
      </c>
      <c r="I110" s="41">
        <v>37700</v>
      </c>
      <c r="J110" s="41">
        <v>37989</v>
      </c>
      <c r="K110" s="41">
        <v>38439</v>
      </c>
      <c r="L110" s="41">
        <v>38877</v>
      </c>
      <c r="M110" s="41">
        <v>39446</v>
      </c>
      <c r="N110" s="41">
        <v>39634</v>
      </c>
      <c r="O110" s="41">
        <v>40141</v>
      </c>
      <c r="P110" s="41">
        <v>40417</v>
      </c>
      <c r="Q110" s="41">
        <v>40727</v>
      </c>
      <c r="R110" s="41">
        <v>40958</v>
      </c>
      <c r="S110" s="41">
        <v>41167</v>
      </c>
      <c r="T110" s="41">
        <v>41435</v>
      </c>
      <c r="U110" s="41">
        <v>41711</v>
      </c>
      <c r="V110" s="41">
        <v>41994</v>
      </c>
      <c r="W110" s="41">
        <v>42177</v>
      </c>
      <c r="X110" s="41">
        <v>42392</v>
      </c>
      <c r="Y110" s="41">
        <v>42633</v>
      </c>
      <c r="Z110" s="41">
        <v>42910</v>
      </c>
      <c r="AA110" s="41">
        <v>43233</v>
      </c>
      <c r="AB110" s="41">
        <v>43579</v>
      </c>
      <c r="AC110" s="41">
        <v>43895</v>
      </c>
      <c r="AD110" s="41">
        <v>44194</v>
      </c>
      <c r="AE110" s="41">
        <v>44523</v>
      </c>
      <c r="AF110" s="41">
        <v>44852</v>
      </c>
      <c r="AG110" s="41">
        <v>45182</v>
      </c>
      <c r="AH110" s="41">
        <v>45480</v>
      </c>
      <c r="AI110" s="41">
        <v>45775</v>
      </c>
      <c r="AJ110" s="41">
        <v>46087</v>
      </c>
      <c r="AK110" s="41">
        <v>46400</v>
      </c>
      <c r="AL110" s="41">
        <v>46718</v>
      </c>
      <c r="AM110" s="41">
        <v>47045</v>
      </c>
      <c r="AN110" s="41">
        <v>47360</v>
      </c>
      <c r="AO110" s="41">
        <v>47659</v>
      </c>
      <c r="AP110" s="41">
        <v>47972</v>
      </c>
      <c r="AQ110" s="41">
        <v>48268</v>
      </c>
      <c r="AR110" s="41">
        <v>48558</v>
      </c>
      <c r="AS110" s="41">
        <v>48845</v>
      </c>
      <c r="AT110" s="41">
        <v>49130</v>
      </c>
      <c r="AU110" s="41">
        <v>49410</v>
      </c>
      <c r="AV110" s="41">
        <v>49687</v>
      </c>
      <c r="AW110" s="41">
        <v>49967</v>
      </c>
      <c r="AX110" s="41">
        <v>50247</v>
      </c>
      <c r="AY110" s="41">
        <v>50513</v>
      </c>
    </row>
    <row r="111" spans="1:51">
      <c r="A111" s="38" t="s">
        <v>338</v>
      </c>
      <c r="B111" s="38" t="s">
        <v>339</v>
      </c>
      <c r="C111" s="41">
        <v>85610</v>
      </c>
      <c r="D111" s="41">
        <v>86348</v>
      </c>
      <c r="E111" s="41">
        <v>86423</v>
      </c>
      <c r="F111" s="41">
        <v>85956</v>
      </c>
      <c r="G111" s="41">
        <v>86036</v>
      </c>
      <c r="H111" s="41">
        <v>86520</v>
      </c>
      <c r="I111" s="41">
        <v>87344</v>
      </c>
      <c r="J111" s="41">
        <v>88289</v>
      </c>
      <c r="K111" s="41">
        <v>89060</v>
      </c>
      <c r="L111" s="41">
        <v>90841</v>
      </c>
      <c r="M111" s="41">
        <v>93010</v>
      </c>
      <c r="N111" s="41">
        <v>94118</v>
      </c>
      <c r="O111" s="41">
        <v>94586</v>
      </c>
      <c r="P111" s="41">
        <v>95048</v>
      </c>
      <c r="Q111" s="41">
        <v>95594</v>
      </c>
      <c r="R111" s="41">
        <v>96156</v>
      </c>
      <c r="S111" s="41">
        <v>96300</v>
      </c>
      <c r="T111" s="41">
        <v>97049</v>
      </c>
      <c r="U111" s="41">
        <v>98072</v>
      </c>
      <c r="V111" s="41">
        <v>99621</v>
      </c>
      <c r="W111" s="41">
        <v>101438</v>
      </c>
      <c r="X111" s="41">
        <v>103630</v>
      </c>
      <c r="Y111" s="41">
        <v>105776</v>
      </c>
      <c r="Z111" s="41">
        <v>108473</v>
      </c>
      <c r="AA111" s="41">
        <v>110965</v>
      </c>
      <c r="AB111" s="41">
        <v>113367</v>
      </c>
      <c r="AC111" s="41">
        <v>115617</v>
      </c>
      <c r="AD111" s="41">
        <v>117937</v>
      </c>
      <c r="AE111" s="41">
        <v>120178</v>
      </c>
      <c r="AF111" s="41">
        <v>122359</v>
      </c>
      <c r="AG111" s="41">
        <v>124527</v>
      </c>
      <c r="AH111" s="41">
        <v>126593</v>
      </c>
      <c r="AI111" s="41">
        <v>128676</v>
      </c>
      <c r="AJ111" s="41">
        <v>130726</v>
      </c>
      <c r="AK111" s="41">
        <v>132764</v>
      </c>
      <c r="AL111" s="41">
        <v>134820</v>
      </c>
      <c r="AM111" s="41">
        <v>136809</v>
      </c>
      <c r="AN111" s="41">
        <v>138786</v>
      </c>
      <c r="AO111" s="41">
        <v>140705</v>
      </c>
      <c r="AP111" s="41">
        <v>142583</v>
      </c>
      <c r="AQ111" s="41">
        <v>144458</v>
      </c>
      <c r="AR111" s="41">
        <v>146288</v>
      </c>
      <c r="AS111" s="41">
        <v>148085</v>
      </c>
      <c r="AT111" s="41">
        <v>149838</v>
      </c>
      <c r="AU111" s="41">
        <v>151578</v>
      </c>
      <c r="AV111" s="41">
        <v>153332</v>
      </c>
      <c r="AW111" s="41">
        <v>155081</v>
      </c>
      <c r="AX111" s="41">
        <v>156819</v>
      </c>
      <c r="AY111" s="41">
        <v>158524</v>
      </c>
    </row>
    <row r="112" spans="1:51">
      <c r="A112" s="38" t="s">
        <v>340</v>
      </c>
      <c r="B112" s="38" t="s">
        <v>341</v>
      </c>
      <c r="C112" s="41">
        <v>49342</v>
      </c>
      <c r="D112" s="41">
        <v>49854</v>
      </c>
      <c r="E112" s="41">
        <v>49870</v>
      </c>
      <c r="F112" s="41">
        <v>49929</v>
      </c>
      <c r="G112" s="41">
        <v>49698</v>
      </c>
      <c r="H112" s="41">
        <v>49722</v>
      </c>
      <c r="I112" s="41">
        <v>50553</v>
      </c>
      <c r="J112" s="41">
        <v>50684</v>
      </c>
      <c r="K112" s="41">
        <v>51498</v>
      </c>
      <c r="L112" s="41">
        <v>51894</v>
      </c>
      <c r="M112" s="41">
        <v>52426</v>
      </c>
      <c r="N112" s="41">
        <v>52290</v>
      </c>
      <c r="O112" s="41">
        <v>52029</v>
      </c>
      <c r="P112" s="41">
        <v>52055</v>
      </c>
      <c r="Q112" s="41">
        <v>52285</v>
      </c>
      <c r="R112" s="41">
        <v>52759</v>
      </c>
      <c r="S112" s="41">
        <v>52987</v>
      </c>
      <c r="T112" s="41">
        <v>52916</v>
      </c>
      <c r="U112" s="41">
        <v>53271</v>
      </c>
      <c r="V112" s="41">
        <v>53816</v>
      </c>
      <c r="W112" s="41">
        <v>54116</v>
      </c>
      <c r="X112" s="41">
        <v>54652</v>
      </c>
      <c r="Y112" s="41">
        <v>55325</v>
      </c>
      <c r="Z112" s="41">
        <v>56054</v>
      </c>
      <c r="AA112" s="41">
        <v>56843</v>
      </c>
      <c r="AB112" s="41">
        <v>57583</v>
      </c>
      <c r="AC112" s="41">
        <v>58213</v>
      </c>
      <c r="AD112" s="41">
        <v>58862</v>
      </c>
      <c r="AE112" s="41">
        <v>59479</v>
      </c>
      <c r="AF112" s="41">
        <v>60063</v>
      </c>
      <c r="AG112" s="41">
        <v>60625</v>
      </c>
      <c r="AH112" s="41">
        <v>61146</v>
      </c>
      <c r="AI112" s="41">
        <v>61670</v>
      </c>
      <c r="AJ112" s="41">
        <v>62198</v>
      </c>
      <c r="AK112" s="41">
        <v>62703</v>
      </c>
      <c r="AL112" s="41">
        <v>63222</v>
      </c>
      <c r="AM112" s="41">
        <v>63720</v>
      </c>
      <c r="AN112" s="41">
        <v>64230</v>
      </c>
      <c r="AO112" s="41">
        <v>64741</v>
      </c>
      <c r="AP112" s="41">
        <v>65243</v>
      </c>
      <c r="AQ112" s="41">
        <v>65755</v>
      </c>
      <c r="AR112" s="41">
        <v>66242</v>
      </c>
      <c r="AS112" s="41">
        <v>66723</v>
      </c>
      <c r="AT112" s="41">
        <v>67196</v>
      </c>
      <c r="AU112" s="41">
        <v>67665</v>
      </c>
      <c r="AV112" s="41">
        <v>68140</v>
      </c>
      <c r="AW112" s="41">
        <v>68610</v>
      </c>
      <c r="AX112" s="41">
        <v>69067</v>
      </c>
      <c r="AY112" s="41">
        <v>69505</v>
      </c>
    </row>
    <row r="113" spans="1:51">
      <c r="A113" s="38" t="s">
        <v>342</v>
      </c>
      <c r="B113" s="38" t="s">
        <v>343</v>
      </c>
      <c r="C113" s="41">
        <v>75711</v>
      </c>
      <c r="D113" s="41">
        <v>76197</v>
      </c>
      <c r="E113" s="41">
        <v>76710</v>
      </c>
      <c r="F113" s="41">
        <v>77409</v>
      </c>
      <c r="G113" s="41">
        <v>78437</v>
      </c>
      <c r="H113" s="41">
        <v>78688</v>
      </c>
      <c r="I113" s="41">
        <v>78126</v>
      </c>
      <c r="J113" s="41">
        <v>79487</v>
      </c>
      <c r="K113" s="41">
        <v>81654</v>
      </c>
      <c r="L113" s="41">
        <v>83936</v>
      </c>
      <c r="M113" s="41">
        <v>86118</v>
      </c>
      <c r="N113" s="41">
        <v>87215</v>
      </c>
      <c r="O113" s="41">
        <v>87614</v>
      </c>
      <c r="P113" s="41">
        <v>87799</v>
      </c>
      <c r="Q113" s="41">
        <v>88776</v>
      </c>
      <c r="R113" s="41">
        <v>90175</v>
      </c>
      <c r="S113" s="41">
        <v>91968</v>
      </c>
      <c r="T113" s="41">
        <v>94819</v>
      </c>
      <c r="U113" s="41">
        <v>97326</v>
      </c>
      <c r="V113" s="41">
        <v>99584</v>
      </c>
      <c r="W113" s="41">
        <v>102124</v>
      </c>
      <c r="X113" s="41">
        <v>104611</v>
      </c>
      <c r="Y113" s="41">
        <v>107154</v>
      </c>
      <c r="Z113" s="41">
        <v>110294</v>
      </c>
      <c r="AA113" s="41">
        <v>112994</v>
      </c>
      <c r="AB113" s="41">
        <v>115543</v>
      </c>
      <c r="AC113" s="41">
        <v>118029</v>
      </c>
      <c r="AD113" s="41">
        <v>120501</v>
      </c>
      <c r="AE113" s="41">
        <v>122890</v>
      </c>
      <c r="AF113" s="41">
        <v>125303</v>
      </c>
      <c r="AG113" s="41">
        <v>127653</v>
      </c>
      <c r="AH113" s="41">
        <v>129943</v>
      </c>
      <c r="AI113" s="41">
        <v>132211</v>
      </c>
      <c r="AJ113" s="41">
        <v>134383</v>
      </c>
      <c r="AK113" s="41">
        <v>136581</v>
      </c>
      <c r="AL113" s="41">
        <v>138762</v>
      </c>
      <c r="AM113" s="41">
        <v>140863</v>
      </c>
      <c r="AN113" s="41">
        <v>142892</v>
      </c>
      <c r="AO113" s="41">
        <v>144845</v>
      </c>
      <c r="AP113" s="41">
        <v>146763</v>
      </c>
      <c r="AQ113" s="41">
        <v>148677</v>
      </c>
      <c r="AR113" s="41">
        <v>150544</v>
      </c>
      <c r="AS113" s="41">
        <v>152355</v>
      </c>
      <c r="AT113" s="41">
        <v>154127</v>
      </c>
      <c r="AU113" s="41">
        <v>155884</v>
      </c>
      <c r="AV113" s="41">
        <v>157618</v>
      </c>
      <c r="AW113" s="41">
        <v>159333</v>
      </c>
      <c r="AX113" s="41">
        <v>161054</v>
      </c>
      <c r="AY113" s="41">
        <v>162737</v>
      </c>
    </row>
    <row r="114" spans="1:51">
      <c r="A114" s="38" t="s">
        <v>344</v>
      </c>
      <c r="B114" s="38" t="s">
        <v>345</v>
      </c>
      <c r="C114" s="41">
        <v>46812</v>
      </c>
      <c r="D114" s="41">
        <v>46870</v>
      </c>
      <c r="E114" s="41">
        <v>46995</v>
      </c>
      <c r="F114" s="41">
        <v>47009</v>
      </c>
      <c r="G114" s="41">
        <v>47252</v>
      </c>
      <c r="H114" s="41">
        <v>47555</v>
      </c>
      <c r="I114" s="41">
        <v>47617</v>
      </c>
      <c r="J114" s="41">
        <v>47647</v>
      </c>
      <c r="K114" s="41">
        <v>47636</v>
      </c>
      <c r="L114" s="41">
        <v>47847</v>
      </c>
      <c r="M114" s="41">
        <v>47938</v>
      </c>
      <c r="N114" s="41">
        <v>48272</v>
      </c>
      <c r="O114" s="41">
        <v>48657</v>
      </c>
      <c r="P114" s="41">
        <v>49206</v>
      </c>
      <c r="Q114" s="41">
        <v>49588</v>
      </c>
      <c r="R114" s="41">
        <v>50187</v>
      </c>
      <c r="S114" s="41">
        <v>50711</v>
      </c>
      <c r="T114" s="41">
        <v>51282</v>
      </c>
      <c r="U114" s="41">
        <v>51832</v>
      </c>
      <c r="V114" s="41">
        <v>52568</v>
      </c>
      <c r="W114" s="41">
        <v>53283</v>
      </c>
      <c r="X114" s="41">
        <v>53578</v>
      </c>
      <c r="Y114" s="41">
        <v>53801</v>
      </c>
      <c r="Z114" s="41">
        <v>54155</v>
      </c>
      <c r="AA114" s="41">
        <v>54439</v>
      </c>
      <c r="AB114" s="41">
        <v>54770</v>
      </c>
      <c r="AC114" s="41">
        <v>55102</v>
      </c>
      <c r="AD114" s="41">
        <v>55417</v>
      </c>
      <c r="AE114" s="41">
        <v>55728</v>
      </c>
      <c r="AF114" s="41">
        <v>56013</v>
      </c>
      <c r="AG114" s="41">
        <v>56297</v>
      </c>
      <c r="AH114" s="41">
        <v>56550</v>
      </c>
      <c r="AI114" s="41">
        <v>56783</v>
      </c>
      <c r="AJ114" s="41">
        <v>57028</v>
      </c>
      <c r="AK114" s="41">
        <v>57264</v>
      </c>
      <c r="AL114" s="41">
        <v>57500</v>
      </c>
      <c r="AM114" s="41">
        <v>57722</v>
      </c>
      <c r="AN114" s="41">
        <v>57939</v>
      </c>
      <c r="AO114" s="41">
        <v>58140</v>
      </c>
      <c r="AP114" s="41">
        <v>58352</v>
      </c>
      <c r="AQ114" s="41">
        <v>58545</v>
      </c>
      <c r="AR114" s="41">
        <v>58710</v>
      </c>
      <c r="AS114" s="41">
        <v>58866</v>
      </c>
      <c r="AT114" s="41">
        <v>58994</v>
      </c>
      <c r="AU114" s="41">
        <v>59114</v>
      </c>
      <c r="AV114" s="41">
        <v>59237</v>
      </c>
      <c r="AW114" s="41">
        <v>59339</v>
      </c>
      <c r="AX114" s="41">
        <v>59430</v>
      </c>
      <c r="AY114" s="41">
        <v>59497</v>
      </c>
    </row>
    <row r="115" spans="1:51">
      <c r="A115" s="38" t="s">
        <v>346</v>
      </c>
      <c r="B115" s="38" t="s">
        <v>347</v>
      </c>
      <c r="C115" s="41">
        <v>31067</v>
      </c>
      <c r="D115" s="41">
        <v>31766</v>
      </c>
      <c r="E115" s="41">
        <v>31932</v>
      </c>
      <c r="F115" s="41">
        <v>32417</v>
      </c>
      <c r="G115" s="41">
        <v>32921</v>
      </c>
      <c r="H115" s="41">
        <v>33152</v>
      </c>
      <c r="I115" s="41">
        <v>33231</v>
      </c>
      <c r="J115" s="41">
        <v>33505</v>
      </c>
      <c r="K115" s="41">
        <v>34022</v>
      </c>
      <c r="L115" s="41">
        <v>34418</v>
      </c>
      <c r="M115" s="41">
        <v>34701</v>
      </c>
      <c r="N115" s="41">
        <v>35108</v>
      </c>
      <c r="O115" s="41">
        <v>35460</v>
      </c>
      <c r="P115" s="41">
        <v>35705</v>
      </c>
      <c r="Q115" s="41">
        <v>35981</v>
      </c>
      <c r="R115" s="41">
        <v>36524</v>
      </c>
      <c r="S115" s="41">
        <v>36862</v>
      </c>
      <c r="T115" s="41">
        <v>37357</v>
      </c>
      <c r="U115" s="41">
        <v>37680</v>
      </c>
      <c r="V115" s="41">
        <v>37973</v>
      </c>
      <c r="W115" s="41">
        <v>38358</v>
      </c>
      <c r="X115" s="41">
        <v>38632</v>
      </c>
      <c r="Y115" s="41">
        <v>38835</v>
      </c>
      <c r="Z115" s="41">
        <v>38936</v>
      </c>
      <c r="AA115" s="41">
        <v>39120</v>
      </c>
      <c r="AB115" s="41">
        <v>39316</v>
      </c>
      <c r="AC115" s="41">
        <v>39485</v>
      </c>
      <c r="AD115" s="41">
        <v>39672</v>
      </c>
      <c r="AE115" s="41">
        <v>39872</v>
      </c>
      <c r="AF115" s="41">
        <v>40070</v>
      </c>
      <c r="AG115" s="41">
        <v>40253</v>
      </c>
      <c r="AH115" s="41">
        <v>40417</v>
      </c>
      <c r="AI115" s="41">
        <v>40575</v>
      </c>
      <c r="AJ115" s="41">
        <v>40729</v>
      </c>
      <c r="AK115" s="41">
        <v>40893</v>
      </c>
      <c r="AL115" s="41">
        <v>41047</v>
      </c>
      <c r="AM115" s="41">
        <v>41186</v>
      </c>
      <c r="AN115" s="41">
        <v>41318</v>
      </c>
      <c r="AO115" s="41">
        <v>41435</v>
      </c>
      <c r="AP115" s="41">
        <v>41564</v>
      </c>
      <c r="AQ115" s="41">
        <v>41678</v>
      </c>
      <c r="AR115" s="41">
        <v>41768</v>
      </c>
      <c r="AS115" s="41">
        <v>41855</v>
      </c>
      <c r="AT115" s="41">
        <v>41924</v>
      </c>
      <c r="AU115" s="41">
        <v>41995</v>
      </c>
      <c r="AV115" s="41">
        <v>42051</v>
      </c>
      <c r="AW115" s="41">
        <v>42095</v>
      </c>
      <c r="AX115" s="41">
        <v>42136</v>
      </c>
      <c r="AY115" s="41">
        <v>42166</v>
      </c>
    </row>
    <row r="116" spans="1:51">
      <c r="A116" s="38" t="s">
        <v>348</v>
      </c>
      <c r="B116" s="38" t="s">
        <v>349</v>
      </c>
      <c r="C116" s="41">
        <v>69641</v>
      </c>
      <c r="D116" s="41">
        <v>69523</v>
      </c>
      <c r="E116" s="41">
        <v>69195</v>
      </c>
      <c r="F116" s="41">
        <v>69320</v>
      </c>
      <c r="G116" s="41">
        <v>68886</v>
      </c>
      <c r="H116" s="41">
        <v>69193</v>
      </c>
      <c r="I116" s="41">
        <v>69015</v>
      </c>
      <c r="J116" s="41">
        <v>69041</v>
      </c>
      <c r="K116" s="41">
        <v>71103</v>
      </c>
      <c r="L116" s="41">
        <v>73220</v>
      </c>
      <c r="M116" s="41">
        <v>75601</v>
      </c>
      <c r="N116" s="41">
        <v>76744</v>
      </c>
      <c r="O116" s="41">
        <v>76399</v>
      </c>
      <c r="P116" s="41">
        <v>76496</v>
      </c>
      <c r="Q116" s="41">
        <v>76858</v>
      </c>
      <c r="R116" s="41">
        <v>77386</v>
      </c>
      <c r="S116" s="41">
        <v>77865</v>
      </c>
      <c r="T116" s="41">
        <v>77794</v>
      </c>
      <c r="U116" s="41">
        <v>79376</v>
      </c>
      <c r="V116" s="41">
        <v>79769</v>
      </c>
      <c r="W116" s="41">
        <v>80582</v>
      </c>
      <c r="X116" s="41">
        <v>80189</v>
      </c>
      <c r="Y116" s="41">
        <v>80405</v>
      </c>
      <c r="Z116" s="41">
        <v>80715</v>
      </c>
      <c r="AA116" s="41">
        <v>81734</v>
      </c>
      <c r="AB116" s="41">
        <v>82623</v>
      </c>
      <c r="AC116" s="41">
        <v>83415</v>
      </c>
      <c r="AD116" s="41">
        <v>84209</v>
      </c>
      <c r="AE116" s="41">
        <v>84945</v>
      </c>
      <c r="AF116" s="41">
        <v>85642</v>
      </c>
      <c r="AG116" s="41">
        <v>86340</v>
      </c>
      <c r="AH116" s="41">
        <v>87003</v>
      </c>
      <c r="AI116" s="41">
        <v>87656</v>
      </c>
      <c r="AJ116" s="41">
        <v>88301</v>
      </c>
      <c r="AK116" s="41">
        <v>88936</v>
      </c>
      <c r="AL116" s="41">
        <v>89626</v>
      </c>
      <c r="AM116" s="41">
        <v>90280</v>
      </c>
      <c r="AN116" s="41">
        <v>90914</v>
      </c>
      <c r="AO116" s="41">
        <v>91551</v>
      </c>
      <c r="AP116" s="41">
        <v>92176</v>
      </c>
      <c r="AQ116" s="41">
        <v>92819</v>
      </c>
      <c r="AR116" s="41">
        <v>93460</v>
      </c>
      <c r="AS116" s="41">
        <v>94061</v>
      </c>
      <c r="AT116" s="41">
        <v>94665</v>
      </c>
      <c r="AU116" s="41">
        <v>95241</v>
      </c>
      <c r="AV116" s="41">
        <v>95810</v>
      </c>
      <c r="AW116" s="41">
        <v>96353</v>
      </c>
      <c r="AX116" s="41">
        <v>96879</v>
      </c>
      <c r="AY116" s="41">
        <v>97377</v>
      </c>
    </row>
    <row r="117" spans="1:51">
      <c r="A117" s="38" t="s">
        <v>350</v>
      </c>
      <c r="B117" s="38" t="s">
        <v>351</v>
      </c>
      <c r="C117" s="41">
        <v>26459</v>
      </c>
      <c r="D117" s="41">
        <v>26858</v>
      </c>
      <c r="E117" s="41">
        <v>27169</v>
      </c>
      <c r="F117" s="41">
        <v>27535</v>
      </c>
      <c r="G117" s="41">
        <v>28052</v>
      </c>
      <c r="H117" s="41">
        <v>28711</v>
      </c>
      <c r="I117" s="41">
        <v>29029</v>
      </c>
      <c r="J117" s="41">
        <v>29301</v>
      </c>
      <c r="K117" s="41">
        <v>29781</v>
      </c>
      <c r="L117" s="41">
        <v>30383</v>
      </c>
      <c r="M117" s="41">
        <v>30998</v>
      </c>
      <c r="N117" s="41">
        <v>31591</v>
      </c>
      <c r="O117" s="41">
        <v>31982</v>
      </c>
      <c r="P117" s="41">
        <v>32353</v>
      </c>
      <c r="Q117" s="41">
        <v>32649</v>
      </c>
      <c r="R117" s="41">
        <v>33077</v>
      </c>
      <c r="S117" s="41">
        <v>33494</v>
      </c>
      <c r="T117" s="41">
        <v>33898</v>
      </c>
      <c r="U117" s="41">
        <v>34251</v>
      </c>
      <c r="V117" s="41">
        <v>34636</v>
      </c>
      <c r="W117" s="41">
        <v>35070</v>
      </c>
      <c r="X117" s="41">
        <v>35403</v>
      </c>
      <c r="Y117" s="41">
        <v>35910</v>
      </c>
      <c r="Z117" s="41">
        <v>36289</v>
      </c>
      <c r="AA117" s="41">
        <v>36725</v>
      </c>
      <c r="AB117" s="41">
        <v>37179</v>
      </c>
      <c r="AC117" s="41">
        <v>37614</v>
      </c>
      <c r="AD117" s="41">
        <v>38047</v>
      </c>
      <c r="AE117" s="41">
        <v>38491</v>
      </c>
      <c r="AF117" s="41">
        <v>38931</v>
      </c>
      <c r="AG117" s="41">
        <v>39345</v>
      </c>
      <c r="AH117" s="41">
        <v>39733</v>
      </c>
      <c r="AI117" s="41">
        <v>40126</v>
      </c>
      <c r="AJ117" s="41">
        <v>40525</v>
      </c>
      <c r="AK117" s="41">
        <v>40919</v>
      </c>
      <c r="AL117" s="41">
        <v>41306</v>
      </c>
      <c r="AM117" s="41">
        <v>41679</v>
      </c>
      <c r="AN117" s="41">
        <v>42051</v>
      </c>
      <c r="AO117" s="41">
        <v>42425</v>
      </c>
      <c r="AP117" s="41">
        <v>42788</v>
      </c>
      <c r="AQ117" s="41">
        <v>43158</v>
      </c>
      <c r="AR117" s="41">
        <v>43501</v>
      </c>
      <c r="AS117" s="41">
        <v>43846</v>
      </c>
      <c r="AT117" s="41">
        <v>44178</v>
      </c>
      <c r="AU117" s="41">
        <v>44492</v>
      </c>
      <c r="AV117" s="41">
        <v>44797</v>
      </c>
      <c r="AW117" s="41">
        <v>45091</v>
      </c>
      <c r="AX117" s="41">
        <v>45377</v>
      </c>
      <c r="AY117" s="41">
        <v>45659</v>
      </c>
    </row>
    <row r="118" spans="1:51">
      <c r="A118" s="38" t="s">
        <v>352</v>
      </c>
      <c r="B118" s="38" t="s">
        <v>353</v>
      </c>
      <c r="C118" s="41">
        <v>86640</v>
      </c>
      <c r="D118" s="41">
        <v>86233</v>
      </c>
      <c r="E118" s="41">
        <v>86237</v>
      </c>
      <c r="F118" s="41">
        <v>86056</v>
      </c>
      <c r="G118" s="41">
        <v>86221</v>
      </c>
      <c r="H118" s="41">
        <v>87036</v>
      </c>
      <c r="I118" s="41">
        <v>88078</v>
      </c>
      <c r="J118" s="41">
        <v>88676</v>
      </c>
      <c r="K118" s="41">
        <v>89650</v>
      </c>
      <c r="L118" s="41">
        <v>90849</v>
      </c>
      <c r="M118" s="41">
        <v>92187</v>
      </c>
      <c r="N118" s="41">
        <v>93315</v>
      </c>
      <c r="O118" s="41">
        <v>93174</v>
      </c>
      <c r="P118" s="41">
        <v>93173</v>
      </c>
      <c r="Q118" s="41">
        <v>93800</v>
      </c>
      <c r="R118" s="41">
        <v>94881</v>
      </c>
      <c r="S118" s="41">
        <v>95740</v>
      </c>
      <c r="T118" s="41">
        <v>98071</v>
      </c>
      <c r="U118" s="41">
        <v>100330</v>
      </c>
      <c r="V118" s="41">
        <v>101287</v>
      </c>
      <c r="W118" s="41">
        <v>102355</v>
      </c>
      <c r="X118" s="41">
        <v>104597</v>
      </c>
      <c r="Y118" s="41">
        <v>107342</v>
      </c>
      <c r="Z118" s="41">
        <v>109737</v>
      </c>
      <c r="AA118" s="41">
        <v>112329</v>
      </c>
      <c r="AB118" s="41">
        <v>114706</v>
      </c>
      <c r="AC118" s="41">
        <v>116963</v>
      </c>
      <c r="AD118" s="41">
        <v>119221</v>
      </c>
      <c r="AE118" s="41">
        <v>121366</v>
      </c>
      <c r="AF118" s="41">
        <v>123468</v>
      </c>
      <c r="AG118" s="41">
        <v>125551</v>
      </c>
      <c r="AH118" s="41">
        <v>127588</v>
      </c>
      <c r="AI118" s="41">
        <v>129596</v>
      </c>
      <c r="AJ118" s="41">
        <v>131573</v>
      </c>
      <c r="AK118" s="41">
        <v>133532</v>
      </c>
      <c r="AL118" s="41">
        <v>135509</v>
      </c>
      <c r="AM118" s="41">
        <v>137415</v>
      </c>
      <c r="AN118" s="41">
        <v>139289</v>
      </c>
      <c r="AO118" s="41">
        <v>141112</v>
      </c>
      <c r="AP118" s="41">
        <v>142915</v>
      </c>
      <c r="AQ118" s="41">
        <v>144689</v>
      </c>
      <c r="AR118" s="41">
        <v>146407</v>
      </c>
      <c r="AS118" s="41">
        <v>148074</v>
      </c>
      <c r="AT118" s="41">
        <v>149726</v>
      </c>
      <c r="AU118" s="41">
        <v>151366</v>
      </c>
      <c r="AV118" s="41">
        <v>153023</v>
      </c>
      <c r="AW118" s="41">
        <v>154670</v>
      </c>
      <c r="AX118" s="41">
        <v>156285</v>
      </c>
      <c r="AY118" s="41">
        <v>157856</v>
      </c>
    </row>
    <row r="119" spans="1:51">
      <c r="A119" s="38" t="s">
        <v>354</v>
      </c>
      <c r="B119" s="38" t="s">
        <v>355</v>
      </c>
      <c r="C119" s="41">
        <v>30183</v>
      </c>
      <c r="D119" s="41">
        <v>30150</v>
      </c>
      <c r="E119" s="41">
        <v>30002</v>
      </c>
      <c r="F119" s="41">
        <v>30085</v>
      </c>
      <c r="G119" s="41">
        <v>30380</v>
      </c>
      <c r="H119" s="41">
        <v>30798</v>
      </c>
      <c r="I119" s="41">
        <v>31390</v>
      </c>
      <c r="J119" s="41">
        <v>32155</v>
      </c>
      <c r="K119" s="41">
        <v>32470</v>
      </c>
      <c r="L119" s="41">
        <v>32890</v>
      </c>
      <c r="M119" s="41">
        <v>33204</v>
      </c>
      <c r="N119" s="41">
        <v>33186</v>
      </c>
      <c r="O119" s="41">
        <v>33192</v>
      </c>
      <c r="P119" s="41">
        <v>33132</v>
      </c>
      <c r="Q119" s="41">
        <v>33319</v>
      </c>
      <c r="R119" s="41">
        <v>33501</v>
      </c>
      <c r="S119" s="41">
        <v>33680</v>
      </c>
      <c r="T119" s="41">
        <v>33868</v>
      </c>
      <c r="U119" s="41">
        <v>34191</v>
      </c>
      <c r="V119" s="41">
        <v>34466</v>
      </c>
      <c r="W119" s="41">
        <v>34695</v>
      </c>
      <c r="X119" s="41">
        <v>34902</v>
      </c>
      <c r="Y119" s="41">
        <v>35123</v>
      </c>
      <c r="Z119" s="41">
        <v>35528</v>
      </c>
      <c r="AA119" s="41">
        <v>35852</v>
      </c>
      <c r="AB119" s="41">
        <v>36198</v>
      </c>
      <c r="AC119" s="41">
        <v>36538</v>
      </c>
      <c r="AD119" s="41">
        <v>36896</v>
      </c>
      <c r="AE119" s="41">
        <v>37275</v>
      </c>
      <c r="AF119" s="41">
        <v>37619</v>
      </c>
      <c r="AG119" s="41">
        <v>37952</v>
      </c>
      <c r="AH119" s="41">
        <v>38285</v>
      </c>
      <c r="AI119" s="41">
        <v>38633</v>
      </c>
      <c r="AJ119" s="41">
        <v>39003</v>
      </c>
      <c r="AK119" s="41">
        <v>39357</v>
      </c>
      <c r="AL119" s="41">
        <v>39713</v>
      </c>
      <c r="AM119" s="41">
        <v>40070</v>
      </c>
      <c r="AN119" s="41">
        <v>40449</v>
      </c>
      <c r="AO119" s="41">
        <v>40821</v>
      </c>
      <c r="AP119" s="41">
        <v>41195</v>
      </c>
      <c r="AQ119" s="41">
        <v>41567</v>
      </c>
      <c r="AR119" s="41">
        <v>41953</v>
      </c>
      <c r="AS119" s="41">
        <v>42348</v>
      </c>
      <c r="AT119" s="41">
        <v>42733</v>
      </c>
      <c r="AU119" s="41">
        <v>43123</v>
      </c>
      <c r="AV119" s="41">
        <v>43523</v>
      </c>
      <c r="AW119" s="41">
        <v>43924</v>
      </c>
      <c r="AX119" s="41">
        <v>44339</v>
      </c>
      <c r="AY119" s="41">
        <v>44728</v>
      </c>
    </row>
    <row r="120" spans="1:51">
      <c r="A120" s="38" t="s">
        <v>356</v>
      </c>
      <c r="B120" s="38" t="s">
        <v>357</v>
      </c>
      <c r="C120" s="41">
        <v>56782</v>
      </c>
      <c r="D120" s="41">
        <v>57361</v>
      </c>
      <c r="E120" s="41">
        <v>57620</v>
      </c>
      <c r="F120" s="41">
        <v>58379</v>
      </c>
      <c r="G120" s="41">
        <v>59058</v>
      </c>
      <c r="H120" s="41">
        <v>59651</v>
      </c>
      <c r="I120" s="41">
        <v>60047</v>
      </c>
      <c r="J120" s="41">
        <v>60520</v>
      </c>
      <c r="K120" s="41">
        <v>61510</v>
      </c>
      <c r="L120" s="41">
        <v>62259</v>
      </c>
      <c r="M120" s="41">
        <v>63202</v>
      </c>
      <c r="N120" s="41">
        <v>63426</v>
      </c>
      <c r="O120" s="41">
        <v>63481</v>
      </c>
      <c r="P120" s="41">
        <v>64060</v>
      </c>
      <c r="Q120" s="41">
        <v>64635</v>
      </c>
      <c r="R120" s="41">
        <v>65083</v>
      </c>
      <c r="S120" s="41">
        <v>65873</v>
      </c>
      <c r="T120" s="41">
        <v>66073</v>
      </c>
      <c r="U120" s="41">
        <v>66366</v>
      </c>
      <c r="V120" s="41">
        <v>67094</v>
      </c>
      <c r="W120" s="41">
        <v>67585</v>
      </c>
      <c r="X120" s="41">
        <v>67889</v>
      </c>
      <c r="Y120" s="41">
        <v>68014</v>
      </c>
      <c r="Z120" s="41">
        <v>67882</v>
      </c>
      <c r="AA120" s="41">
        <v>68180</v>
      </c>
      <c r="AB120" s="41">
        <v>68507</v>
      </c>
      <c r="AC120" s="41">
        <v>68844</v>
      </c>
      <c r="AD120" s="41">
        <v>69141</v>
      </c>
      <c r="AE120" s="41">
        <v>69377</v>
      </c>
      <c r="AF120" s="41">
        <v>69675</v>
      </c>
      <c r="AG120" s="41">
        <v>69971</v>
      </c>
      <c r="AH120" s="41">
        <v>70266</v>
      </c>
      <c r="AI120" s="41">
        <v>70536</v>
      </c>
      <c r="AJ120" s="41">
        <v>70785</v>
      </c>
      <c r="AK120" s="41">
        <v>71072</v>
      </c>
      <c r="AL120" s="41">
        <v>71379</v>
      </c>
      <c r="AM120" s="41">
        <v>71666</v>
      </c>
      <c r="AN120" s="41">
        <v>71931</v>
      </c>
      <c r="AO120" s="41">
        <v>72177</v>
      </c>
      <c r="AP120" s="41">
        <v>72445</v>
      </c>
      <c r="AQ120" s="41">
        <v>72714</v>
      </c>
      <c r="AR120" s="41">
        <v>72946</v>
      </c>
      <c r="AS120" s="41">
        <v>73173</v>
      </c>
      <c r="AT120" s="41">
        <v>73388</v>
      </c>
      <c r="AU120" s="41">
        <v>73600</v>
      </c>
      <c r="AV120" s="41">
        <v>73812</v>
      </c>
      <c r="AW120" s="41">
        <v>74006</v>
      </c>
      <c r="AX120" s="41">
        <v>74172</v>
      </c>
      <c r="AY120" s="41">
        <v>74320</v>
      </c>
    </row>
    <row r="121" spans="1:51">
      <c r="A121" s="38" t="s">
        <v>358</v>
      </c>
      <c r="B121" s="38" t="s">
        <v>359</v>
      </c>
      <c r="C121" s="41">
        <v>75946</v>
      </c>
      <c r="D121" s="41">
        <v>76158</v>
      </c>
      <c r="E121" s="41">
        <v>76899</v>
      </c>
      <c r="F121" s="41">
        <v>77262</v>
      </c>
      <c r="G121" s="41">
        <v>77221</v>
      </c>
      <c r="H121" s="41">
        <v>77289</v>
      </c>
      <c r="I121" s="41">
        <v>77122</v>
      </c>
      <c r="J121" s="41">
        <v>77089</v>
      </c>
      <c r="K121" s="41">
        <v>77822</v>
      </c>
      <c r="L121" s="41">
        <v>78671</v>
      </c>
      <c r="M121" s="41">
        <v>79473</v>
      </c>
      <c r="N121" s="41">
        <v>79949</v>
      </c>
      <c r="O121" s="41">
        <v>80029</v>
      </c>
      <c r="P121" s="41">
        <v>80152</v>
      </c>
      <c r="Q121" s="41">
        <v>81216</v>
      </c>
      <c r="R121" s="41">
        <v>81620</v>
      </c>
      <c r="S121" s="41">
        <v>81898</v>
      </c>
      <c r="T121" s="41">
        <v>82619</v>
      </c>
      <c r="U121" s="41">
        <v>83563</v>
      </c>
      <c r="V121" s="41">
        <v>84334</v>
      </c>
      <c r="W121" s="41">
        <v>84861</v>
      </c>
      <c r="X121" s="41">
        <v>85927</v>
      </c>
      <c r="Y121" s="41">
        <v>86972</v>
      </c>
      <c r="Z121" s="41">
        <v>88385</v>
      </c>
      <c r="AA121" s="41">
        <v>89901</v>
      </c>
      <c r="AB121" s="41">
        <v>91347</v>
      </c>
      <c r="AC121" s="41">
        <v>92773</v>
      </c>
      <c r="AD121" s="41">
        <v>94250</v>
      </c>
      <c r="AE121" s="41">
        <v>95708</v>
      </c>
      <c r="AF121" s="41">
        <v>97134</v>
      </c>
      <c r="AG121" s="41">
        <v>98516</v>
      </c>
      <c r="AH121" s="41">
        <v>99865</v>
      </c>
      <c r="AI121" s="41">
        <v>101254</v>
      </c>
      <c r="AJ121" s="41">
        <v>102636</v>
      </c>
      <c r="AK121" s="41">
        <v>103991</v>
      </c>
      <c r="AL121" s="41">
        <v>105343</v>
      </c>
      <c r="AM121" s="41">
        <v>106667</v>
      </c>
      <c r="AN121" s="41">
        <v>107979</v>
      </c>
      <c r="AO121" s="41">
        <v>109284</v>
      </c>
      <c r="AP121" s="41">
        <v>110562</v>
      </c>
      <c r="AQ121" s="41">
        <v>111814</v>
      </c>
      <c r="AR121" s="41">
        <v>113038</v>
      </c>
      <c r="AS121" s="41">
        <v>114239</v>
      </c>
      <c r="AT121" s="41">
        <v>115439</v>
      </c>
      <c r="AU121" s="41">
        <v>116630</v>
      </c>
      <c r="AV121" s="41">
        <v>117823</v>
      </c>
      <c r="AW121" s="41">
        <v>119010</v>
      </c>
      <c r="AX121" s="41">
        <v>120184</v>
      </c>
      <c r="AY121" s="41">
        <v>121341</v>
      </c>
    </row>
    <row r="122" spans="1:51">
      <c r="A122" s="38" t="s">
        <v>360</v>
      </c>
      <c r="B122" s="38" t="s">
        <v>361</v>
      </c>
      <c r="C122" s="41">
        <v>29638</v>
      </c>
      <c r="D122" s="41">
        <v>30265</v>
      </c>
      <c r="E122" s="41">
        <v>30577</v>
      </c>
      <c r="F122" s="41">
        <v>30869</v>
      </c>
      <c r="G122" s="41">
        <v>31410</v>
      </c>
      <c r="H122" s="41">
        <v>32304</v>
      </c>
      <c r="I122" s="41">
        <v>32274</v>
      </c>
      <c r="J122" s="41">
        <v>32441</v>
      </c>
      <c r="K122" s="41">
        <v>32422</v>
      </c>
      <c r="L122" s="41">
        <v>32533</v>
      </c>
      <c r="M122" s="41">
        <v>32541</v>
      </c>
      <c r="N122" s="41">
        <v>32866</v>
      </c>
      <c r="O122" s="41">
        <v>33342</v>
      </c>
      <c r="P122" s="41">
        <v>33752</v>
      </c>
      <c r="Q122" s="41">
        <v>34228</v>
      </c>
      <c r="R122" s="41">
        <v>34748</v>
      </c>
      <c r="S122" s="41">
        <v>35121</v>
      </c>
      <c r="T122" s="41">
        <v>35400</v>
      </c>
      <c r="U122" s="41">
        <v>35504</v>
      </c>
      <c r="V122" s="41">
        <v>35645</v>
      </c>
      <c r="W122" s="41">
        <v>35781</v>
      </c>
      <c r="X122" s="41">
        <v>36074</v>
      </c>
      <c r="Y122" s="41">
        <v>36266</v>
      </c>
      <c r="Z122" s="41">
        <v>36644</v>
      </c>
      <c r="AA122" s="41">
        <v>36864</v>
      </c>
      <c r="AB122" s="41">
        <v>37096</v>
      </c>
      <c r="AC122" s="41">
        <v>37303</v>
      </c>
      <c r="AD122" s="41">
        <v>37512</v>
      </c>
      <c r="AE122" s="41">
        <v>37728</v>
      </c>
      <c r="AF122" s="41">
        <v>37948</v>
      </c>
      <c r="AG122" s="41">
        <v>38160</v>
      </c>
      <c r="AH122" s="41">
        <v>38354</v>
      </c>
      <c r="AI122" s="41">
        <v>38557</v>
      </c>
      <c r="AJ122" s="41">
        <v>38765</v>
      </c>
      <c r="AK122" s="41">
        <v>38973</v>
      </c>
      <c r="AL122" s="41">
        <v>39185</v>
      </c>
      <c r="AM122" s="41">
        <v>39379</v>
      </c>
      <c r="AN122" s="41">
        <v>39578</v>
      </c>
      <c r="AO122" s="41">
        <v>39775</v>
      </c>
      <c r="AP122" s="41">
        <v>39972</v>
      </c>
      <c r="AQ122" s="41">
        <v>40174</v>
      </c>
      <c r="AR122" s="41">
        <v>40367</v>
      </c>
      <c r="AS122" s="41">
        <v>40566</v>
      </c>
      <c r="AT122" s="41">
        <v>40757</v>
      </c>
      <c r="AU122" s="41">
        <v>40942</v>
      </c>
      <c r="AV122" s="41">
        <v>41128</v>
      </c>
      <c r="AW122" s="41">
        <v>41305</v>
      </c>
      <c r="AX122" s="41">
        <v>41476</v>
      </c>
      <c r="AY122" s="41">
        <v>41641</v>
      </c>
    </row>
    <row r="123" spans="1:51">
      <c r="A123" s="38" t="s">
        <v>362</v>
      </c>
      <c r="B123" s="38" t="s">
        <v>363</v>
      </c>
      <c r="C123" s="41">
        <v>36256</v>
      </c>
      <c r="D123" s="41">
        <v>36447</v>
      </c>
      <c r="E123" s="41">
        <v>36557</v>
      </c>
      <c r="F123" s="41">
        <v>36724</v>
      </c>
      <c r="G123" s="41">
        <v>36844</v>
      </c>
      <c r="H123" s="41">
        <v>36997</v>
      </c>
      <c r="I123" s="41">
        <v>37047</v>
      </c>
      <c r="J123" s="41">
        <v>37202</v>
      </c>
      <c r="K123" s="41">
        <v>37223</v>
      </c>
      <c r="L123" s="41">
        <v>37451</v>
      </c>
      <c r="M123" s="41">
        <v>37776</v>
      </c>
      <c r="N123" s="41">
        <v>37912</v>
      </c>
      <c r="O123" s="41">
        <v>38101</v>
      </c>
      <c r="P123" s="41">
        <v>38358</v>
      </c>
      <c r="Q123" s="41">
        <v>38611</v>
      </c>
      <c r="R123" s="41">
        <v>38871</v>
      </c>
      <c r="S123" s="41">
        <v>39141</v>
      </c>
      <c r="T123" s="41">
        <v>39471</v>
      </c>
      <c r="U123" s="41">
        <v>39738</v>
      </c>
      <c r="V123" s="41">
        <v>40079</v>
      </c>
      <c r="W123" s="41">
        <v>40445</v>
      </c>
      <c r="X123" s="41">
        <v>40709</v>
      </c>
      <c r="Y123" s="41">
        <v>41095</v>
      </c>
      <c r="Z123" s="41">
        <v>41272</v>
      </c>
      <c r="AA123" s="41">
        <v>41529</v>
      </c>
      <c r="AB123" s="41">
        <v>41798</v>
      </c>
      <c r="AC123" s="41">
        <v>42079</v>
      </c>
      <c r="AD123" s="41">
        <v>42314</v>
      </c>
      <c r="AE123" s="41">
        <v>42545</v>
      </c>
      <c r="AF123" s="41">
        <v>42785</v>
      </c>
      <c r="AG123" s="41">
        <v>43006</v>
      </c>
      <c r="AH123" s="41">
        <v>43197</v>
      </c>
      <c r="AI123" s="41">
        <v>43354</v>
      </c>
      <c r="AJ123" s="41">
        <v>43504</v>
      </c>
      <c r="AK123" s="41">
        <v>43674</v>
      </c>
      <c r="AL123" s="41">
        <v>43861</v>
      </c>
      <c r="AM123" s="41">
        <v>44028</v>
      </c>
      <c r="AN123" s="41">
        <v>44181</v>
      </c>
      <c r="AO123" s="41">
        <v>44335</v>
      </c>
      <c r="AP123" s="41">
        <v>44483</v>
      </c>
      <c r="AQ123" s="41">
        <v>44649</v>
      </c>
      <c r="AR123" s="41">
        <v>44798</v>
      </c>
      <c r="AS123" s="41">
        <v>44933</v>
      </c>
      <c r="AT123" s="41">
        <v>45053</v>
      </c>
      <c r="AU123" s="41">
        <v>45166</v>
      </c>
      <c r="AV123" s="41">
        <v>45288</v>
      </c>
      <c r="AW123" s="41">
        <v>45395</v>
      </c>
      <c r="AX123" s="41">
        <v>45483</v>
      </c>
      <c r="AY123" s="41">
        <v>45559</v>
      </c>
    </row>
    <row r="124" spans="1:51">
      <c r="A124" s="38" t="s">
        <v>364</v>
      </c>
      <c r="B124" s="38" t="s">
        <v>365</v>
      </c>
      <c r="C124" s="41">
        <v>35401</v>
      </c>
      <c r="D124" s="41">
        <v>35723</v>
      </c>
      <c r="E124" s="41">
        <v>35580</v>
      </c>
      <c r="F124" s="41">
        <v>35691</v>
      </c>
      <c r="G124" s="41">
        <v>35931</v>
      </c>
      <c r="H124" s="41">
        <v>35872</v>
      </c>
      <c r="I124" s="41">
        <v>36118</v>
      </c>
      <c r="J124" s="41">
        <v>36050</v>
      </c>
      <c r="K124" s="41">
        <v>36929</v>
      </c>
      <c r="L124" s="41">
        <v>37353</v>
      </c>
      <c r="M124" s="41">
        <v>37802</v>
      </c>
      <c r="N124" s="41">
        <v>38060</v>
      </c>
      <c r="O124" s="41">
        <v>38437</v>
      </c>
      <c r="P124" s="41">
        <v>38687</v>
      </c>
      <c r="Q124" s="41">
        <v>39143</v>
      </c>
      <c r="R124" s="41">
        <v>39253</v>
      </c>
      <c r="S124" s="41">
        <v>39535</v>
      </c>
      <c r="T124" s="41">
        <v>39935</v>
      </c>
      <c r="U124" s="41">
        <v>40380</v>
      </c>
      <c r="V124" s="41">
        <v>40699</v>
      </c>
      <c r="W124" s="41">
        <v>41147</v>
      </c>
      <c r="X124" s="41">
        <v>41338</v>
      </c>
      <c r="Y124" s="41">
        <v>41595</v>
      </c>
      <c r="Z124" s="41">
        <v>41784</v>
      </c>
      <c r="AA124" s="41">
        <v>42033</v>
      </c>
      <c r="AB124" s="41">
        <v>42341</v>
      </c>
      <c r="AC124" s="41">
        <v>42655</v>
      </c>
      <c r="AD124" s="41">
        <v>42959</v>
      </c>
      <c r="AE124" s="41">
        <v>43261</v>
      </c>
      <c r="AF124" s="41">
        <v>43552</v>
      </c>
      <c r="AG124" s="41">
        <v>43874</v>
      </c>
      <c r="AH124" s="41">
        <v>44187</v>
      </c>
      <c r="AI124" s="41">
        <v>44500</v>
      </c>
      <c r="AJ124" s="41">
        <v>44826</v>
      </c>
      <c r="AK124" s="41">
        <v>45147</v>
      </c>
      <c r="AL124" s="41">
        <v>45504</v>
      </c>
      <c r="AM124" s="41">
        <v>45856</v>
      </c>
      <c r="AN124" s="41">
        <v>46214</v>
      </c>
      <c r="AO124" s="41">
        <v>46566</v>
      </c>
      <c r="AP124" s="41">
        <v>46912</v>
      </c>
      <c r="AQ124" s="41">
        <v>47281</v>
      </c>
      <c r="AR124" s="41">
        <v>47624</v>
      </c>
      <c r="AS124" s="41">
        <v>47974</v>
      </c>
      <c r="AT124" s="41">
        <v>48326</v>
      </c>
      <c r="AU124" s="41">
        <v>48665</v>
      </c>
      <c r="AV124" s="41">
        <v>49022</v>
      </c>
      <c r="AW124" s="41">
        <v>49383</v>
      </c>
      <c r="AX124" s="41">
        <v>49728</v>
      </c>
      <c r="AY124" s="41">
        <v>50055</v>
      </c>
    </row>
    <row r="125" spans="1:51">
      <c r="A125" s="38" t="s">
        <v>366</v>
      </c>
      <c r="B125" s="38" t="s">
        <v>367</v>
      </c>
      <c r="C125" s="41">
        <v>46618</v>
      </c>
      <c r="D125" s="41">
        <v>46335</v>
      </c>
      <c r="E125" s="41">
        <v>46243</v>
      </c>
      <c r="F125" s="41">
        <v>47189</v>
      </c>
      <c r="G125" s="41">
        <v>47058</v>
      </c>
      <c r="H125" s="41">
        <v>47125</v>
      </c>
      <c r="I125" s="41">
        <v>47563</v>
      </c>
      <c r="J125" s="41">
        <v>47889</v>
      </c>
      <c r="K125" s="41">
        <v>48286</v>
      </c>
      <c r="L125" s="41">
        <v>48413</v>
      </c>
      <c r="M125" s="41">
        <v>48516</v>
      </c>
      <c r="N125" s="41">
        <v>48829</v>
      </c>
      <c r="O125" s="41">
        <v>48956</v>
      </c>
      <c r="P125" s="41">
        <v>49060</v>
      </c>
      <c r="Q125" s="41">
        <v>49238</v>
      </c>
      <c r="R125" s="41">
        <v>49552</v>
      </c>
      <c r="S125" s="41">
        <v>49889</v>
      </c>
      <c r="T125" s="41">
        <v>50325</v>
      </c>
      <c r="U125" s="41">
        <v>50547</v>
      </c>
      <c r="V125" s="41">
        <v>50960</v>
      </c>
      <c r="W125" s="41">
        <v>51349</v>
      </c>
      <c r="X125" s="41">
        <v>51691</v>
      </c>
      <c r="Y125" s="41">
        <v>51849</v>
      </c>
      <c r="Z125" s="41">
        <v>52216</v>
      </c>
      <c r="AA125" s="41">
        <v>52532</v>
      </c>
      <c r="AB125" s="41">
        <v>52884</v>
      </c>
      <c r="AC125" s="41">
        <v>53227</v>
      </c>
      <c r="AD125" s="41">
        <v>53559</v>
      </c>
      <c r="AE125" s="41">
        <v>53923</v>
      </c>
      <c r="AF125" s="41">
        <v>54276</v>
      </c>
      <c r="AG125" s="41">
        <v>54635</v>
      </c>
      <c r="AH125" s="41">
        <v>54976</v>
      </c>
      <c r="AI125" s="41">
        <v>55316</v>
      </c>
      <c r="AJ125" s="41">
        <v>55686</v>
      </c>
      <c r="AK125" s="41">
        <v>56054</v>
      </c>
      <c r="AL125" s="41">
        <v>56434</v>
      </c>
      <c r="AM125" s="41">
        <v>56798</v>
      </c>
      <c r="AN125" s="41">
        <v>57165</v>
      </c>
      <c r="AO125" s="41">
        <v>57550</v>
      </c>
      <c r="AP125" s="41">
        <v>57948</v>
      </c>
      <c r="AQ125" s="41">
        <v>58339</v>
      </c>
      <c r="AR125" s="41">
        <v>58700</v>
      </c>
      <c r="AS125" s="41">
        <v>59054</v>
      </c>
      <c r="AT125" s="41">
        <v>59415</v>
      </c>
      <c r="AU125" s="41">
        <v>59769</v>
      </c>
      <c r="AV125" s="41">
        <v>60123</v>
      </c>
      <c r="AW125" s="41">
        <v>60466</v>
      </c>
      <c r="AX125" s="41">
        <v>60795</v>
      </c>
      <c r="AY125" s="41">
        <v>61121</v>
      </c>
    </row>
    <row r="126" spans="1:51">
      <c r="A126" s="38" t="s">
        <v>368</v>
      </c>
      <c r="B126" s="38" t="s">
        <v>369</v>
      </c>
      <c r="C126" s="41">
        <v>89568</v>
      </c>
      <c r="D126" s="41">
        <v>89415</v>
      </c>
      <c r="E126" s="41">
        <v>90061</v>
      </c>
      <c r="F126" s="41">
        <v>90460</v>
      </c>
      <c r="G126" s="41">
        <v>90480</v>
      </c>
      <c r="H126" s="41">
        <v>90774</v>
      </c>
      <c r="I126" s="41">
        <v>90789</v>
      </c>
      <c r="J126" s="41">
        <v>90371</v>
      </c>
      <c r="K126" s="41">
        <v>91335</v>
      </c>
      <c r="L126" s="41">
        <v>91546</v>
      </c>
      <c r="M126" s="41">
        <v>91861</v>
      </c>
      <c r="N126" s="41">
        <v>92182</v>
      </c>
      <c r="O126" s="41">
        <v>92339</v>
      </c>
      <c r="P126" s="41">
        <v>92601</v>
      </c>
      <c r="Q126" s="41">
        <v>93007</v>
      </c>
      <c r="R126" s="41">
        <v>93593</v>
      </c>
      <c r="S126" s="41">
        <v>94113</v>
      </c>
      <c r="T126" s="41">
        <v>94898</v>
      </c>
      <c r="U126" s="41">
        <v>95741</v>
      </c>
      <c r="V126" s="41">
        <v>96661</v>
      </c>
      <c r="W126" s="41">
        <v>97466</v>
      </c>
      <c r="X126" s="41">
        <v>98194</v>
      </c>
      <c r="Y126" s="41">
        <v>98826</v>
      </c>
      <c r="Z126" s="41">
        <v>100164</v>
      </c>
      <c r="AA126" s="41">
        <v>101272</v>
      </c>
      <c r="AB126" s="41">
        <v>102436</v>
      </c>
      <c r="AC126" s="41">
        <v>103596</v>
      </c>
      <c r="AD126" s="41">
        <v>104802</v>
      </c>
      <c r="AE126" s="41">
        <v>106092</v>
      </c>
      <c r="AF126" s="41">
        <v>107424</v>
      </c>
      <c r="AG126" s="41">
        <v>108735</v>
      </c>
      <c r="AH126" s="41">
        <v>110047</v>
      </c>
      <c r="AI126" s="41">
        <v>111364</v>
      </c>
      <c r="AJ126" s="41">
        <v>112717</v>
      </c>
      <c r="AK126" s="41">
        <v>114074</v>
      </c>
      <c r="AL126" s="41">
        <v>115446</v>
      </c>
      <c r="AM126" s="41">
        <v>116821</v>
      </c>
      <c r="AN126" s="41">
        <v>118221</v>
      </c>
      <c r="AO126" s="41">
        <v>119648</v>
      </c>
      <c r="AP126" s="41">
        <v>121070</v>
      </c>
      <c r="AQ126" s="41">
        <v>122530</v>
      </c>
      <c r="AR126" s="41">
        <v>124002</v>
      </c>
      <c r="AS126" s="41">
        <v>125473</v>
      </c>
      <c r="AT126" s="41">
        <v>126970</v>
      </c>
      <c r="AU126" s="41">
        <v>128460</v>
      </c>
      <c r="AV126" s="41">
        <v>129984</v>
      </c>
      <c r="AW126" s="41">
        <v>131563</v>
      </c>
      <c r="AX126" s="41">
        <v>133115</v>
      </c>
      <c r="AY126" s="41">
        <v>134655</v>
      </c>
    </row>
    <row r="127" spans="1:51">
      <c r="A127" s="38" t="s">
        <v>370</v>
      </c>
      <c r="B127" s="38" t="s">
        <v>371</v>
      </c>
      <c r="C127" s="41">
        <v>64057</v>
      </c>
      <c r="D127" s="41">
        <v>65044</v>
      </c>
      <c r="E127" s="41">
        <v>66001</v>
      </c>
      <c r="F127" s="41">
        <v>67034</v>
      </c>
      <c r="G127" s="41">
        <v>67963</v>
      </c>
      <c r="H127" s="41">
        <v>68711</v>
      </c>
      <c r="I127" s="41">
        <v>69863</v>
      </c>
      <c r="J127" s="41">
        <v>71110</v>
      </c>
      <c r="K127" s="41">
        <v>72148</v>
      </c>
      <c r="L127" s="41">
        <v>73301</v>
      </c>
      <c r="M127" s="41">
        <v>74248</v>
      </c>
      <c r="N127" s="41">
        <v>74527</v>
      </c>
      <c r="O127" s="41">
        <v>74776</v>
      </c>
      <c r="P127" s="41">
        <v>75109</v>
      </c>
      <c r="Q127" s="41">
        <v>75392</v>
      </c>
      <c r="R127" s="41">
        <v>76128</v>
      </c>
      <c r="S127" s="41">
        <v>76769</v>
      </c>
      <c r="T127" s="41">
        <v>77584</v>
      </c>
      <c r="U127" s="41">
        <v>77769</v>
      </c>
      <c r="V127" s="41">
        <v>78117</v>
      </c>
      <c r="W127" s="41">
        <v>78454</v>
      </c>
      <c r="X127" s="41">
        <v>79215</v>
      </c>
      <c r="Y127" s="41">
        <v>79829</v>
      </c>
      <c r="Z127" s="41">
        <v>80526</v>
      </c>
      <c r="AA127" s="41">
        <v>81244</v>
      </c>
      <c r="AB127" s="41">
        <v>81961</v>
      </c>
      <c r="AC127" s="41">
        <v>82653</v>
      </c>
      <c r="AD127" s="41">
        <v>83388</v>
      </c>
      <c r="AE127" s="41">
        <v>84122</v>
      </c>
      <c r="AF127" s="41">
        <v>84827</v>
      </c>
      <c r="AG127" s="41">
        <v>85510</v>
      </c>
      <c r="AH127" s="41">
        <v>86173</v>
      </c>
      <c r="AI127" s="41">
        <v>86845</v>
      </c>
      <c r="AJ127" s="41">
        <v>87518</v>
      </c>
      <c r="AK127" s="41">
        <v>88168</v>
      </c>
      <c r="AL127" s="41">
        <v>88813</v>
      </c>
      <c r="AM127" s="41">
        <v>89431</v>
      </c>
      <c r="AN127" s="41">
        <v>90035</v>
      </c>
      <c r="AO127" s="41">
        <v>90617</v>
      </c>
      <c r="AP127" s="41">
        <v>91182</v>
      </c>
      <c r="AQ127" s="41">
        <v>91731</v>
      </c>
      <c r="AR127" s="41">
        <v>92226</v>
      </c>
      <c r="AS127" s="41">
        <v>92717</v>
      </c>
      <c r="AT127" s="41">
        <v>93182</v>
      </c>
      <c r="AU127" s="41">
        <v>93635</v>
      </c>
      <c r="AV127" s="41">
        <v>94090</v>
      </c>
      <c r="AW127" s="41">
        <v>94528</v>
      </c>
      <c r="AX127" s="41">
        <v>94950</v>
      </c>
      <c r="AY127" s="41">
        <v>95332</v>
      </c>
    </row>
    <row r="128" spans="1:51">
      <c r="A128" s="38" t="s">
        <v>372</v>
      </c>
      <c r="B128" s="38" t="s">
        <v>373</v>
      </c>
      <c r="C128" s="41">
        <v>34910</v>
      </c>
      <c r="D128" s="41">
        <v>35343</v>
      </c>
      <c r="E128" s="41">
        <v>35811</v>
      </c>
      <c r="F128" s="41">
        <v>36380</v>
      </c>
      <c r="G128" s="41">
        <v>36683</v>
      </c>
      <c r="H128" s="41">
        <v>36588</v>
      </c>
      <c r="I128" s="41">
        <v>36777</v>
      </c>
      <c r="J128" s="41">
        <v>37143</v>
      </c>
      <c r="K128" s="41">
        <v>37427</v>
      </c>
      <c r="L128" s="41">
        <v>37729</v>
      </c>
      <c r="M128" s="41">
        <v>37885</v>
      </c>
      <c r="N128" s="41">
        <v>37863</v>
      </c>
      <c r="O128" s="41">
        <v>37863</v>
      </c>
      <c r="P128" s="41">
        <v>37553</v>
      </c>
      <c r="Q128" s="41">
        <v>37746</v>
      </c>
      <c r="R128" s="41">
        <v>38092</v>
      </c>
      <c r="S128" s="41">
        <v>38332</v>
      </c>
      <c r="T128" s="41">
        <v>38863</v>
      </c>
      <c r="U128" s="41">
        <v>39277</v>
      </c>
      <c r="V128" s="41">
        <v>39602</v>
      </c>
      <c r="W128" s="41">
        <v>39907</v>
      </c>
      <c r="X128" s="41">
        <v>40028</v>
      </c>
      <c r="Y128" s="41">
        <v>40408</v>
      </c>
      <c r="Z128" s="41">
        <v>40898</v>
      </c>
      <c r="AA128" s="41">
        <v>41321</v>
      </c>
      <c r="AB128" s="41">
        <v>41785</v>
      </c>
      <c r="AC128" s="41">
        <v>42251</v>
      </c>
      <c r="AD128" s="41">
        <v>42760</v>
      </c>
      <c r="AE128" s="41">
        <v>43279</v>
      </c>
      <c r="AF128" s="41">
        <v>43788</v>
      </c>
      <c r="AG128" s="41">
        <v>44290</v>
      </c>
      <c r="AH128" s="41">
        <v>44792</v>
      </c>
      <c r="AI128" s="41">
        <v>45302</v>
      </c>
      <c r="AJ128" s="41">
        <v>45813</v>
      </c>
      <c r="AK128" s="41">
        <v>46321</v>
      </c>
      <c r="AL128" s="41">
        <v>46836</v>
      </c>
      <c r="AM128" s="41">
        <v>47347</v>
      </c>
      <c r="AN128" s="41">
        <v>47860</v>
      </c>
      <c r="AO128" s="41">
        <v>48380</v>
      </c>
      <c r="AP128" s="41">
        <v>48905</v>
      </c>
      <c r="AQ128" s="41">
        <v>49437</v>
      </c>
      <c r="AR128" s="41">
        <v>49960</v>
      </c>
      <c r="AS128" s="41">
        <v>50490</v>
      </c>
      <c r="AT128" s="41">
        <v>51031</v>
      </c>
      <c r="AU128" s="41">
        <v>51572</v>
      </c>
      <c r="AV128" s="41">
        <v>52120</v>
      </c>
      <c r="AW128" s="41">
        <v>52678</v>
      </c>
      <c r="AX128" s="41">
        <v>53229</v>
      </c>
      <c r="AY128" s="41">
        <v>53771</v>
      </c>
    </row>
    <row r="129" spans="1:51">
      <c r="A129" s="38" t="s">
        <v>374</v>
      </c>
      <c r="B129" s="38" t="s">
        <v>375</v>
      </c>
      <c r="C129" s="41">
        <v>33717</v>
      </c>
      <c r="D129" s="41">
        <v>34115</v>
      </c>
      <c r="E129" s="41">
        <v>34425</v>
      </c>
      <c r="F129" s="41">
        <v>34722</v>
      </c>
      <c r="G129" s="41">
        <v>35165</v>
      </c>
      <c r="H129" s="41">
        <v>35486</v>
      </c>
      <c r="I129" s="41">
        <v>35820</v>
      </c>
      <c r="J129" s="41">
        <v>36070</v>
      </c>
      <c r="K129" s="41">
        <v>36353</v>
      </c>
      <c r="L129" s="41">
        <v>36777</v>
      </c>
      <c r="M129" s="41">
        <v>37117</v>
      </c>
      <c r="N129" s="41">
        <v>37236</v>
      </c>
      <c r="O129" s="41">
        <v>37395</v>
      </c>
      <c r="P129" s="41">
        <v>37556</v>
      </c>
      <c r="Q129" s="41">
        <v>37807</v>
      </c>
      <c r="R129" s="41">
        <v>38021</v>
      </c>
      <c r="S129" s="41">
        <v>38277</v>
      </c>
      <c r="T129" s="41">
        <v>38551</v>
      </c>
      <c r="U129" s="41">
        <v>38728</v>
      </c>
      <c r="V129" s="41">
        <v>38912</v>
      </c>
      <c r="W129" s="41">
        <v>38983</v>
      </c>
      <c r="X129" s="41">
        <v>39210</v>
      </c>
      <c r="Y129" s="41">
        <v>39350</v>
      </c>
      <c r="Z129" s="41">
        <v>39641</v>
      </c>
      <c r="AA129" s="41">
        <v>39839</v>
      </c>
      <c r="AB129" s="41">
        <v>40068</v>
      </c>
      <c r="AC129" s="41">
        <v>40330</v>
      </c>
      <c r="AD129" s="41">
        <v>40583</v>
      </c>
      <c r="AE129" s="41">
        <v>40840</v>
      </c>
      <c r="AF129" s="41">
        <v>41074</v>
      </c>
      <c r="AG129" s="41">
        <v>41312</v>
      </c>
      <c r="AH129" s="41">
        <v>41547</v>
      </c>
      <c r="AI129" s="41">
        <v>41780</v>
      </c>
      <c r="AJ129" s="41">
        <v>42007</v>
      </c>
      <c r="AK129" s="41">
        <v>42221</v>
      </c>
      <c r="AL129" s="41">
        <v>42433</v>
      </c>
      <c r="AM129" s="41">
        <v>42642</v>
      </c>
      <c r="AN129" s="41">
        <v>42848</v>
      </c>
      <c r="AO129" s="41">
        <v>43052</v>
      </c>
      <c r="AP129" s="41">
        <v>43237</v>
      </c>
      <c r="AQ129" s="41">
        <v>43426</v>
      </c>
      <c r="AR129" s="41">
        <v>43599</v>
      </c>
      <c r="AS129" s="41">
        <v>43756</v>
      </c>
      <c r="AT129" s="41">
        <v>43900</v>
      </c>
      <c r="AU129" s="41">
        <v>44034</v>
      </c>
      <c r="AV129" s="41">
        <v>44156</v>
      </c>
      <c r="AW129" s="41">
        <v>44265</v>
      </c>
      <c r="AX129" s="41">
        <v>44371</v>
      </c>
      <c r="AY129" s="41">
        <v>44473</v>
      </c>
    </row>
    <row r="130" spans="1:51">
      <c r="A130" s="38" t="s">
        <v>376</v>
      </c>
      <c r="B130" s="38" t="s">
        <v>377</v>
      </c>
      <c r="C130" s="41">
        <v>91944</v>
      </c>
      <c r="D130" s="41">
        <v>92028</v>
      </c>
      <c r="E130" s="41">
        <v>92475</v>
      </c>
      <c r="F130" s="41">
        <v>93323</v>
      </c>
      <c r="G130" s="41">
        <v>93685</v>
      </c>
      <c r="H130" s="41">
        <v>94194</v>
      </c>
      <c r="I130" s="41">
        <v>94428</v>
      </c>
      <c r="J130" s="41">
        <v>94889</v>
      </c>
      <c r="K130" s="41">
        <v>95613</v>
      </c>
      <c r="L130" s="41">
        <v>96266</v>
      </c>
      <c r="M130" s="41">
        <v>96776</v>
      </c>
      <c r="N130" s="41">
        <v>96804</v>
      </c>
      <c r="O130" s="41">
        <v>96602</v>
      </c>
      <c r="P130" s="41">
        <v>96150</v>
      </c>
      <c r="Q130" s="41">
        <v>96589</v>
      </c>
      <c r="R130" s="41">
        <v>96974</v>
      </c>
      <c r="S130" s="41">
        <v>97199</v>
      </c>
      <c r="T130" s="41">
        <v>97933</v>
      </c>
      <c r="U130" s="41">
        <v>98756</v>
      </c>
      <c r="V130" s="41">
        <v>99378</v>
      </c>
      <c r="W130" s="41">
        <v>100738</v>
      </c>
      <c r="X130" s="41">
        <v>102951</v>
      </c>
      <c r="Y130" s="41">
        <v>105030</v>
      </c>
      <c r="Z130" s="41">
        <v>107342</v>
      </c>
      <c r="AA130" s="41">
        <v>109573</v>
      </c>
      <c r="AB130" s="41">
        <v>111711</v>
      </c>
      <c r="AC130" s="41">
        <v>113744</v>
      </c>
      <c r="AD130" s="41">
        <v>115763</v>
      </c>
      <c r="AE130" s="41">
        <v>117748</v>
      </c>
      <c r="AF130" s="41">
        <v>119722</v>
      </c>
      <c r="AG130" s="41">
        <v>121685</v>
      </c>
      <c r="AH130" s="41">
        <v>123612</v>
      </c>
      <c r="AI130" s="41">
        <v>125548</v>
      </c>
      <c r="AJ130" s="41">
        <v>127459</v>
      </c>
      <c r="AK130" s="41">
        <v>129391</v>
      </c>
      <c r="AL130" s="41">
        <v>131358</v>
      </c>
      <c r="AM130" s="41">
        <v>133311</v>
      </c>
      <c r="AN130" s="41">
        <v>135266</v>
      </c>
      <c r="AO130" s="41">
        <v>137156</v>
      </c>
      <c r="AP130" s="41">
        <v>139040</v>
      </c>
      <c r="AQ130" s="41">
        <v>140890</v>
      </c>
      <c r="AR130" s="41">
        <v>142705</v>
      </c>
      <c r="AS130" s="41">
        <v>144473</v>
      </c>
      <c r="AT130" s="41">
        <v>146197</v>
      </c>
      <c r="AU130" s="41">
        <v>147908</v>
      </c>
      <c r="AV130" s="41">
        <v>149636</v>
      </c>
      <c r="AW130" s="41">
        <v>151364</v>
      </c>
      <c r="AX130" s="41">
        <v>153062</v>
      </c>
      <c r="AY130" s="41">
        <v>154702</v>
      </c>
    </row>
    <row r="131" spans="1:51">
      <c r="A131" s="38" t="s">
        <v>378</v>
      </c>
      <c r="B131" s="38" t="s">
        <v>379</v>
      </c>
      <c r="C131" s="41">
        <v>37907</v>
      </c>
      <c r="D131" s="41">
        <v>38481</v>
      </c>
      <c r="E131" s="41">
        <v>38707</v>
      </c>
      <c r="F131" s="41">
        <v>38966</v>
      </c>
      <c r="G131" s="41">
        <v>39270</v>
      </c>
      <c r="H131" s="41">
        <v>39717</v>
      </c>
      <c r="I131" s="41">
        <v>40154</v>
      </c>
      <c r="J131" s="41">
        <v>40274</v>
      </c>
      <c r="K131" s="41">
        <v>40701</v>
      </c>
      <c r="L131" s="41">
        <v>40841</v>
      </c>
      <c r="M131" s="41">
        <v>41171</v>
      </c>
      <c r="N131" s="41">
        <v>41545</v>
      </c>
      <c r="O131" s="41">
        <v>42016</v>
      </c>
      <c r="P131" s="41">
        <v>42534</v>
      </c>
      <c r="Q131" s="41">
        <v>43010</v>
      </c>
      <c r="R131" s="41">
        <v>43491</v>
      </c>
      <c r="S131" s="41">
        <v>43866</v>
      </c>
      <c r="T131" s="41">
        <v>44366</v>
      </c>
      <c r="U131" s="41">
        <v>44724</v>
      </c>
      <c r="V131" s="41">
        <v>45060</v>
      </c>
      <c r="W131" s="41">
        <v>45498</v>
      </c>
      <c r="X131" s="41">
        <v>45822</v>
      </c>
      <c r="Y131" s="41">
        <v>46038</v>
      </c>
      <c r="Z131" s="41">
        <v>46636</v>
      </c>
      <c r="AA131" s="41">
        <v>47001</v>
      </c>
      <c r="AB131" s="41">
        <v>47397</v>
      </c>
      <c r="AC131" s="41">
        <v>47765</v>
      </c>
      <c r="AD131" s="41">
        <v>48167</v>
      </c>
      <c r="AE131" s="41">
        <v>48586</v>
      </c>
      <c r="AF131" s="41">
        <v>48985</v>
      </c>
      <c r="AG131" s="41">
        <v>49382</v>
      </c>
      <c r="AH131" s="41">
        <v>49750</v>
      </c>
      <c r="AI131" s="41">
        <v>50139</v>
      </c>
      <c r="AJ131" s="41">
        <v>50541</v>
      </c>
      <c r="AK131" s="41">
        <v>50921</v>
      </c>
      <c r="AL131" s="41">
        <v>51309</v>
      </c>
      <c r="AM131" s="41">
        <v>51672</v>
      </c>
      <c r="AN131" s="41">
        <v>52037</v>
      </c>
      <c r="AO131" s="41">
        <v>52406</v>
      </c>
      <c r="AP131" s="41">
        <v>52762</v>
      </c>
      <c r="AQ131" s="41">
        <v>53113</v>
      </c>
      <c r="AR131" s="41">
        <v>53455</v>
      </c>
      <c r="AS131" s="41">
        <v>53781</v>
      </c>
      <c r="AT131" s="41">
        <v>54076</v>
      </c>
      <c r="AU131" s="41">
        <v>54351</v>
      </c>
      <c r="AV131" s="41">
        <v>54617</v>
      </c>
      <c r="AW131" s="41">
        <v>54868</v>
      </c>
      <c r="AX131" s="41">
        <v>55112</v>
      </c>
      <c r="AY131" s="41">
        <v>55334</v>
      </c>
    </row>
    <row r="132" spans="1:51">
      <c r="A132" s="38" t="s">
        <v>380</v>
      </c>
      <c r="B132" s="38" t="s">
        <v>381</v>
      </c>
      <c r="C132" s="41">
        <v>43773</v>
      </c>
      <c r="D132" s="41">
        <v>43936</v>
      </c>
      <c r="E132" s="41">
        <v>44536</v>
      </c>
      <c r="F132" s="41">
        <v>45359</v>
      </c>
      <c r="G132" s="41">
        <v>46178</v>
      </c>
      <c r="H132" s="41">
        <v>47150</v>
      </c>
      <c r="I132" s="41">
        <v>48116</v>
      </c>
      <c r="J132" s="41">
        <v>48368</v>
      </c>
      <c r="K132" s="41">
        <v>49332</v>
      </c>
      <c r="L132" s="41">
        <v>49753</v>
      </c>
      <c r="M132" s="41">
        <v>50165</v>
      </c>
      <c r="N132" s="41">
        <v>50445</v>
      </c>
      <c r="O132" s="41">
        <v>50889</v>
      </c>
      <c r="P132" s="41">
        <v>51438</v>
      </c>
      <c r="Q132" s="41">
        <v>52015</v>
      </c>
      <c r="R132" s="41">
        <v>52663</v>
      </c>
      <c r="S132" s="41">
        <v>53192</v>
      </c>
      <c r="T132" s="41">
        <v>53618</v>
      </c>
      <c r="U132" s="41">
        <v>54113</v>
      </c>
      <c r="V132" s="41">
        <v>54661</v>
      </c>
      <c r="W132" s="41">
        <v>55036</v>
      </c>
      <c r="X132" s="41">
        <v>55412</v>
      </c>
      <c r="Y132" s="41">
        <v>55973</v>
      </c>
      <c r="Z132" s="41">
        <v>56624</v>
      </c>
      <c r="AA132" s="41">
        <v>57202</v>
      </c>
      <c r="AB132" s="41">
        <v>57805</v>
      </c>
      <c r="AC132" s="41">
        <v>58433</v>
      </c>
      <c r="AD132" s="41">
        <v>59086</v>
      </c>
      <c r="AE132" s="41">
        <v>59734</v>
      </c>
      <c r="AF132" s="41">
        <v>60364</v>
      </c>
      <c r="AG132" s="41">
        <v>60969</v>
      </c>
      <c r="AH132" s="41">
        <v>61577</v>
      </c>
      <c r="AI132" s="41">
        <v>62186</v>
      </c>
      <c r="AJ132" s="41">
        <v>62794</v>
      </c>
      <c r="AK132" s="41">
        <v>63388</v>
      </c>
      <c r="AL132" s="41">
        <v>63974</v>
      </c>
      <c r="AM132" s="41">
        <v>64548</v>
      </c>
      <c r="AN132" s="41">
        <v>65125</v>
      </c>
      <c r="AO132" s="41">
        <v>65706</v>
      </c>
      <c r="AP132" s="41">
        <v>66280</v>
      </c>
      <c r="AQ132" s="41">
        <v>66854</v>
      </c>
      <c r="AR132" s="41">
        <v>67424</v>
      </c>
      <c r="AS132" s="41">
        <v>67972</v>
      </c>
      <c r="AT132" s="41">
        <v>68515</v>
      </c>
      <c r="AU132" s="41">
        <v>69047</v>
      </c>
      <c r="AV132" s="41">
        <v>69573</v>
      </c>
      <c r="AW132" s="41">
        <v>70090</v>
      </c>
      <c r="AX132" s="41">
        <v>70576</v>
      </c>
      <c r="AY132" s="41">
        <v>71048</v>
      </c>
    </row>
    <row r="133" spans="1:51">
      <c r="A133" s="38" t="s">
        <v>382</v>
      </c>
      <c r="B133" s="38" t="s">
        <v>383</v>
      </c>
      <c r="C133" s="41">
        <v>78790</v>
      </c>
      <c r="D133" s="41">
        <v>77986</v>
      </c>
      <c r="E133" s="41">
        <v>77961</v>
      </c>
      <c r="F133" s="41">
        <v>77760</v>
      </c>
      <c r="G133" s="41">
        <v>78267</v>
      </c>
      <c r="H133" s="41">
        <v>78918</v>
      </c>
      <c r="I133" s="41">
        <v>80208</v>
      </c>
      <c r="J133" s="41">
        <v>81065</v>
      </c>
      <c r="K133" s="41">
        <v>82160</v>
      </c>
      <c r="L133" s="41">
        <v>82997</v>
      </c>
      <c r="M133" s="41">
        <v>84143</v>
      </c>
      <c r="N133" s="41">
        <v>84500</v>
      </c>
      <c r="O133" s="41">
        <v>84258</v>
      </c>
      <c r="P133" s="41">
        <v>84886</v>
      </c>
      <c r="Q133" s="41">
        <v>86239</v>
      </c>
      <c r="R133" s="41">
        <v>87364</v>
      </c>
      <c r="S133" s="41">
        <v>88789</v>
      </c>
      <c r="T133" s="41">
        <v>89991</v>
      </c>
      <c r="U133" s="41">
        <v>91828</v>
      </c>
      <c r="V133" s="41">
        <v>93508</v>
      </c>
      <c r="W133" s="41">
        <v>95248</v>
      </c>
      <c r="X133" s="41">
        <v>97389</v>
      </c>
      <c r="Y133" s="41">
        <v>99382</v>
      </c>
      <c r="Z133" s="41">
        <v>101206</v>
      </c>
      <c r="AA133" s="41">
        <v>103639</v>
      </c>
      <c r="AB133" s="41">
        <v>105895</v>
      </c>
      <c r="AC133" s="41">
        <v>108015</v>
      </c>
      <c r="AD133" s="41">
        <v>110144</v>
      </c>
      <c r="AE133" s="41">
        <v>112173</v>
      </c>
      <c r="AF133" s="41">
        <v>114158</v>
      </c>
      <c r="AG133" s="41">
        <v>116097</v>
      </c>
      <c r="AH133" s="41">
        <v>117965</v>
      </c>
      <c r="AI133" s="41">
        <v>119834</v>
      </c>
      <c r="AJ133" s="41">
        <v>121659</v>
      </c>
      <c r="AK133" s="41">
        <v>123455</v>
      </c>
      <c r="AL133" s="41">
        <v>125259</v>
      </c>
      <c r="AM133" s="41">
        <v>127013</v>
      </c>
      <c r="AN133" s="41">
        <v>128737</v>
      </c>
      <c r="AO133" s="41">
        <v>130411</v>
      </c>
      <c r="AP133" s="41">
        <v>132047</v>
      </c>
      <c r="AQ133" s="41">
        <v>133666</v>
      </c>
      <c r="AR133" s="41">
        <v>135249</v>
      </c>
      <c r="AS133" s="41">
        <v>136799</v>
      </c>
      <c r="AT133" s="41">
        <v>138314</v>
      </c>
      <c r="AU133" s="41">
        <v>139820</v>
      </c>
      <c r="AV133" s="41">
        <v>141337</v>
      </c>
      <c r="AW133" s="41">
        <v>142855</v>
      </c>
      <c r="AX133" s="41">
        <v>144353</v>
      </c>
      <c r="AY133" s="41">
        <v>145798</v>
      </c>
    </row>
    <row r="134" spans="1:51">
      <c r="A134" s="38" t="s">
        <v>384</v>
      </c>
      <c r="B134" s="38" t="s">
        <v>385</v>
      </c>
      <c r="C134" s="41">
        <v>55492</v>
      </c>
      <c r="D134" s="41">
        <v>56902</v>
      </c>
      <c r="E134" s="41">
        <v>57133</v>
      </c>
      <c r="F134" s="41">
        <v>57889</v>
      </c>
      <c r="G134" s="41">
        <v>58144</v>
      </c>
      <c r="H134" s="41">
        <v>59746</v>
      </c>
      <c r="I134" s="41">
        <v>60978</v>
      </c>
      <c r="J134" s="41">
        <v>61385</v>
      </c>
      <c r="K134" s="41">
        <v>61813</v>
      </c>
      <c r="L134" s="41">
        <v>62754</v>
      </c>
      <c r="M134" s="41">
        <v>63265</v>
      </c>
      <c r="N134" s="41">
        <v>63950</v>
      </c>
      <c r="O134" s="41">
        <v>64492</v>
      </c>
      <c r="P134" s="41">
        <v>65523</v>
      </c>
      <c r="Q134" s="41">
        <v>66058</v>
      </c>
      <c r="R134" s="41">
        <v>66662</v>
      </c>
      <c r="S134" s="41">
        <v>67112</v>
      </c>
      <c r="T134" s="41">
        <v>67906</v>
      </c>
      <c r="U134" s="41">
        <v>68393</v>
      </c>
      <c r="V134" s="41">
        <v>68856</v>
      </c>
      <c r="W134" s="41">
        <v>69582</v>
      </c>
      <c r="X134" s="41">
        <v>70253</v>
      </c>
      <c r="Y134" s="41">
        <v>70898</v>
      </c>
      <c r="Z134" s="41">
        <v>71995</v>
      </c>
      <c r="AA134" s="41">
        <v>72880</v>
      </c>
      <c r="AB134" s="41">
        <v>73760</v>
      </c>
      <c r="AC134" s="41">
        <v>74626</v>
      </c>
      <c r="AD134" s="41">
        <v>75489</v>
      </c>
      <c r="AE134" s="41">
        <v>76346</v>
      </c>
      <c r="AF134" s="41">
        <v>77169</v>
      </c>
      <c r="AG134" s="41">
        <v>77962</v>
      </c>
      <c r="AH134" s="41">
        <v>78758</v>
      </c>
      <c r="AI134" s="41">
        <v>79524</v>
      </c>
      <c r="AJ134" s="41">
        <v>80282</v>
      </c>
      <c r="AK134" s="41">
        <v>81018</v>
      </c>
      <c r="AL134" s="41">
        <v>81744</v>
      </c>
      <c r="AM134" s="41">
        <v>82463</v>
      </c>
      <c r="AN134" s="41">
        <v>83142</v>
      </c>
      <c r="AO134" s="41">
        <v>83827</v>
      </c>
      <c r="AP134" s="41">
        <v>84496</v>
      </c>
      <c r="AQ134" s="41">
        <v>85146</v>
      </c>
      <c r="AR134" s="41">
        <v>85791</v>
      </c>
      <c r="AS134" s="41">
        <v>86416</v>
      </c>
      <c r="AT134" s="41">
        <v>87022</v>
      </c>
      <c r="AU134" s="41">
        <v>87605</v>
      </c>
      <c r="AV134" s="41">
        <v>88167</v>
      </c>
      <c r="AW134" s="41">
        <v>88731</v>
      </c>
      <c r="AX134" s="41">
        <v>89264</v>
      </c>
      <c r="AY134" s="41">
        <v>89776</v>
      </c>
    </row>
    <row r="135" spans="1:51">
      <c r="A135" s="38" t="s">
        <v>386</v>
      </c>
      <c r="B135" s="38" t="s">
        <v>387</v>
      </c>
      <c r="C135" s="41">
        <v>31286</v>
      </c>
      <c r="D135" s="41">
        <v>31426</v>
      </c>
      <c r="E135" s="41">
        <v>31578</v>
      </c>
      <c r="F135" s="41">
        <v>31929</v>
      </c>
      <c r="G135" s="41">
        <v>32326</v>
      </c>
      <c r="H135" s="41">
        <v>32446</v>
      </c>
      <c r="I135" s="41">
        <v>32543</v>
      </c>
      <c r="J135" s="41">
        <v>32639</v>
      </c>
      <c r="K135" s="41">
        <v>32540</v>
      </c>
      <c r="L135" s="41">
        <v>32701</v>
      </c>
      <c r="M135" s="41">
        <v>32996</v>
      </c>
      <c r="N135" s="41">
        <v>33054</v>
      </c>
      <c r="O135" s="41">
        <v>33124</v>
      </c>
      <c r="P135" s="41">
        <v>33254</v>
      </c>
      <c r="Q135" s="41">
        <v>33454</v>
      </c>
      <c r="R135" s="41">
        <v>33725</v>
      </c>
      <c r="S135" s="41">
        <v>33869</v>
      </c>
      <c r="T135" s="41">
        <v>33915</v>
      </c>
      <c r="U135" s="41">
        <v>33981</v>
      </c>
      <c r="V135" s="41">
        <v>34154</v>
      </c>
      <c r="W135" s="41">
        <v>34254</v>
      </c>
      <c r="X135" s="41">
        <v>34244</v>
      </c>
      <c r="Y135" s="41">
        <v>34239</v>
      </c>
      <c r="Z135" s="41">
        <v>34354</v>
      </c>
      <c r="AA135" s="41">
        <v>34391</v>
      </c>
      <c r="AB135" s="41">
        <v>34482</v>
      </c>
      <c r="AC135" s="41">
        <v>34531</v>
      </c>
      <c r="AD135" s="41">
        <v>34587</v>
      </c>
      <c r="AE135" s="41">
        <v>34668</v>
      </c>
      <c r="AF135" s="41">
        <v>34737</v>
      </c>
      <c r="AG135" s="41">
        <v>34806</v>
      </c>
      <c r="AH135" s="41">
        <v>34853</v>
      </c>
      <c r="AI135" s="41">
        <v>34906</v>
      </c>
      <c r="AJ135" s="41">
        <v>34955</v>
      </c>
      <c r="AK135" s="41">
        <v>35018</v>
      </c>
      <c r="AL135" s="41">
        <v>35075</v>
      </c>
      <c r="AM135" s="41">
        <v>35126</v>
      </c>
      <c r="AN135" s="41">
        <v>35186</v>
      </c>
      <c r="AO135" s="41">
        <v>35240</v>
      </c>
      <c r="AP135" s="41">
        <v>35300</v>
      </c>
      <c r="AQ135" s="41">
        <v>35344</v>
      </c>
      <c r="AR135" s="41">
        <v>35379</v>
      </c>
      <c r="AS135" s="41">
        <v>35418</v>
      </c>
      <c r="AT135" s="41">
        <v>35454</v>
      </c>
      <c r="AU135" s="41">
        <v>35486</v>
      </c>
      <c r="AV135" s="41">
        <v>35512</v>
      </c>
      <c r="AW135" s="41">
        <v>35537</v>
      </c>
      <c r="AX135" s="41">
        <v>35569</v>
      </c>
      <c r="AY135" s="41">
        <v>35590</v>
      </c>
    </row>
    <row r="136" spans="1:51">
      <c r="A136" s="38" t="s">
        <v>388</v>
      </c>
      <c r="B136" s="38" t="s">
        <v>389</v>
      </c>
      <c r="C136" s="41">
        <v>48543</v>
      </c>
      <c r="D136" s="41">
        <v>47903</v>
      </c>
      <c r="E136" s="41">
        <v>47730</v>
      </c>
      <c r="F136" s="41">
        <v>47755</v>
      </c>
      <c r="G136" s="41">
        <v>48152</v>
      </c>
      <c r="H136" s="41">
        <v>48314</v>
      </c>
      <c r="I136" s="41">
        <v>48296</v>
      </c>
      <c r="J136" s="41">
        <v>48866</v>
      </c>
      <c r="K136" s="41">
        <v>49161</v>
      </c>
      <c r="L136" s="41">
        <v>49533</v>
      </c>
      <c r="M136" s="41">
        <v>49852</v>
      </c>
      <c r="N136" s="41">
        <v>50291</v>
      </c>
      <c r="O136" s="41">
        <v>50917</v>
      </c>
      <c r="P136" s="41">
        <v>51647</v>
      </c>
      <c r="Q136" s="41">
        <v>53055</v>
      </c>
      <c r="R136" s="41">
        <v>53526</v>
      </c>
      <c r="S136" s="41">
        <v>53961</v>
      </c>
      <c r="T136" s="41">
        <v>54783</v>
      </c>
      <c r="U136" s="41">
        <v>55602</v>
      </c>
      <c r="V136" s="41">
        <v>56646</v>
      </c>
      <c r="W136" s="41">
        <v>57455</v>
      </c>
      <c r="X136" s="41">
        <v>57875</v>
      </c>
      <c r="Y136" s="41">
        <v>58178</v>
      </c>
      <c r="Z136" s="41">
        <v>58469</v>
      </c>
      <c r="AA136" s="41">
        <v>58910</v>
      </c>
      <c r="AB136" s="41">
        <v>59358</v>
      </c>
      <c r="AC136" s="41">
        <v>59854</v>
      </c>
      <c r="AD136" s="41">
        <v>60275</v>
      </c>
      <c r="AE136" s="41">
        <v>60672</v>
      </c>
      <c r="AF136" s="41">
        <v>61074</v>
      </c>
      <c r="AG136" s="41">
        <v>61455</v>
      </c>
      <c r="AH136" s="41">
        <v>61843</v>
      </c>
      <c r="AI136" s="41">
        <v>62189</v>
      </c>
      <c r="AJ136" s="41">
        <v>62565</v>
      </c>
      <c r="AK136" s="41">
        <v>62943</v>
      </c>
      <c r="AL136" s="41">
        <v>63321</v>
      </c>
      <c r="AM136" s="41">
        <v>63696</v>
      </c>
      <c r="AN136" s="41">
        <v>64068</v>
      </c>
      <c r="AO136" s="41">
        <v>64454</v>
      </c>
      <c r="AP136" s="41">
        <v>64853</v>
      </c>
      <c r="AQ136" s="41">
        <v>65254</v>
      </c>
      <c r="AR136" s="41">
        <v>65651</v>
      </c>
      <c r="AS136" s="41">
        <v>66039</v>
      </c>
      <c r="AT136" s="41">
        <v>66423</v>
      </c>
      <c r="AU136" s="41">
        <v>66791</v>
      </c>
      <c r="AV136" s="41">
        <v>67156</v>
      </c>
      <c r="AW136" s="41">
        <v>67512</v>
      </c>
      <c r="AX136" s="41">
        <v>67845</v>
      </c>
      <c r="AY136" s="41">
        <v>68163</v>
      </c>
    </row>
    <row r="137" spans="1:51">
      <c r="A137" s="38" t="s">
        <v>390</v>
      </c>
      <c r="B137" s="38" t="s">
        <v>391</v>
      </c>
      <c r="C137" s="41">
        <v>51991</v>
      </c>
      <c r="D137" s="41">
        <v>52128</v>
      </c>
      <c r="E137" s="41">
        <v>52232</v>
      </c>
      <c r="F137" s="41">
        <v>52601</v>
      </c>
      <c r="G137" s="41">
        <v>53237</v>
      </c>
      <c r="H137" s="41">
        <v>53736</v>
      </c>
      <c r="I137" s="41">
        <v>54218</v>
      </c>
      <c r="J137" s="41">
        <v>54974</v>
      </c>
      <c r="K137" s="41">
        <v>55768</v>
      </c>
      <c r="L137" s="41">
        <v>56701</v>
      </c>
      <c r="M137" s="41">
        <v>57560</v>
      </c>
      <c r="N137" s="41">
        <v>58063</v>
      </c>
      <c r="O137" s="41">
        <v>58595</v>
      </c>
      <c r="P137" s="41">
        <v>59088</v>
      </c>
      <c r="Q137" s="41">
        <v>59756</v>
      </c>
      <c r="R137" s="41">
        <v>60104</v>
      </c>
      <c r="S137" s="41">
        <v>60495</v>
      </c>
      <c r="T137" s="41">
        <v>60794</v>
      </c>
      <c r="U137" s="41">
        <v>60896</v>
      </c>
      <c r="V137" s="41">
        <v>61006</v>
      </c>
      <c r="W137" s="41">
        <v>61187</v>
      </c>
      <c r="X137" s="41">
        <v>61547</v>
      </c>
      <c r="Y137" s="41">
        <v>61538</v>
      </c>
      <c r="Z137" s="41">
        <v>62132</v>
      </c>
      <c r="AA137" s="41">
        <v>62518</v>
      </c>
      <c r="AB137" s="41">
        <v>63038</v>
      </c>
      <c r="AC137" s="41">
        <v>63517</v>
      </c>
      <c r="AD137" s="41">
        <v>64016</v>
      </c>
      <c r="AE137" s="41">
        <v>64559</v>
      </c>
      <c r="AF137" s="41">
        <v>65056</v>
      </c>
      <c r="AG137" s="41">
        <v>65609</v>
      </c>
      <c r="AH137" s="41">
        <v>66108</v>
      </c>
      <c r="AI137" s="41">
        <v>66628</v>
      </c>
      <c r="AJ137" s="41">
        <v>67181</v>
      </c>
      <c r="AK137" s="41">
        <v>67711</v>
      </c>
      <c r="AL137" s="41">
        <v>68290</v>
      </c>
      <c r="AM137" s="41">
        <v>68831</v>
      </c>
      <c r="AN137" s="41">
        <v>69364</v>
      </c>
      <c r="AO137" s="41">
        <v>69886</v>
      </c>
      <c r="AP137" s="41">
        <v>70409</v>
      </c>
      <c r="AQ137" s="41">
        <v>70940</v>
      </c>
      <c r="AR137" s="41">
        <v>71417</v>
      </c>
      <c r="AS137" s="41">
        <v>71890</v>
      </c>
      <c r="AT137" s="41">
        <v>72351</v>
      </c>
      <c r="AU137" s="41">
        <v>72795</v>
      </c>
      <c r="AV137" s="41">
        <v>73254</v>
      </c>
      <c r="AW137" s="41">
        <v>73703</v>
      </c>
      <c r="AX137" s="41">
        <v>74127</v>
      </c>
      <c r="AY137" s="41">
        <v>74535</v>
      </c>
    </row>
    <row r="138" spans="1:51">
      <c r="A138" s="38" t="s">
        <v>392</v>
      </c>
      <c r="B138" s="38" t="s">
        <v>393</v>
      </c>
      <c r="C138" s="38" t="s">
        <v>843</v>
      </c>
      <c r="D138" s="38" t="s">
        <v>843</v>
      </c>
      <c r="E138" s="38" t="s">
        <v>843</v>
      </c>
      <c r="F138" s="38" t="s">
        <v>843</v>
      </c>
      <c r="G138" s="38" t="s">
        <v>843</v>
      </c>
      <c r="H138" s="38" t="s">
        <v>843</v>
      </c>
      <c r="I138" s="38" t="s">
        <v>843</v>
      </c>
      <c r="J138" s="38" t="s">
        <v>843</v>
      </c>
      <c r="K138" s="38" t="s">
        <v>843</v>
      </c>
      <c r="L138" s="38" t="s">
        <v>843</v>
      </c>
      <c r="M138" s="38" t="s">
        <v>843</v>
      </c>
      <c r="N138" s="38" t="s">
        <v>843</v>
      </c>
      <c r="O138" s="38" t="s">
        <v>843</v>
      </c>
      <c r="P138" s="38" t="s">
        <v>843</v>
      </c>
      <c r="Q138" s="38" t="s">
        <v>843</v>
      </c>
      <c r="R138" s="38" t="s">
        <v>843</v>
      </c>
      <c r="S138" s="38" t="s">
        <v>843</v>
      </c>
      <c r="T138" s="38" t="s">
        <v>843</v>
      </c>
      <c r="U138" s="38" t="s">
        <v>843</v>
      </c>
      <c r="V138" s="38" t="s">
        <v>843</v>
      </c>
      <c r="W138" s="38" t="s">
        <v>843</v>
      </c>
      <c r="X138" s="38" t="s">
        <v>843</v>
      </c>
      <c r="Y138" s="38" t="s">
        <v>843</v>
      </c>
      <c r="Z138" s="38" t="s">
        <v>843</v>
      </c>
      <c r="AA138" s="38" t="s">
        <v>843</v>
      </c>
      <c r="AB138" s="38" t="s">
        <v>843</v>
      </c>
      <c r="AC138" s="38" t="s">
        <v>843</v>
      </c>
      <c r="AD138" s="38" t="s">
        <v>843</v>
      </c>
      <c r="AE138" s="38" t="s">
        <v>843</v>
      </c>
      <c r="AF138" s="38" t="s">
        <v>843</v>
      </c>
      <c r="AG138" s="38" t="s">
        <v>843</v>
      </c>
      <c r="AH138" s="38" t="s">
        <v>843</v>
      </c>
      <c r="AI138" s="38" t="s">
        <v>843</v>
      </c>
      <c r="AJ138" s="38" t="s">
        <v>843</v>
      </c>
      <c r="AK138" s="38" t="s">
        <v>843</v>
      </c>
      <c r="AL138" s="38" t="s">
        <v>843</v>
      </c>
      <c r="AM138" s="38" t="s">
        <v>843</v>
      </c>
      <c r="AN138" s="38" t="s">
        <v>843</v>
      </c>
      <c r="AO138" s="38" t="s">
        <v>843</v>
      </c>
      <c r="AP138" s="38" t="s">
        <v>843</v>
      </c>
      <c r="AQ138" s="38" t="s">
        <v>843</v>
      </c>
      <c r="AR138" s="38" t="s">
        <v>843</v>
      </c>
      <c r="AS138" s="38" t="s">
        <v>843</v>
      </c>
      <c r="AT138" s="38" t="s">
        <v>843</v>
      </c>
      <c r="AU138" s="38" t="s">
        <v>843</v>
      </c>
      <c r="AV138" s="38" t="s">
        <v>843</v>
      </c>
      <c r="AW138" s="38" t="s">
        <v>843</v>
      </c>
      <c r="AX138" s="38" t="s">
        <v>843</v>
      </c>
      <c r="AY138" s="38" t="s">
        <v>843</v>
      </c>
    </row>
    <row r="139" spans="1:51">
      <c r="A139" s="38" t="s">
        <v>394</v>
      </c>
      <c r="B139" s="38" t="s">
        <v>395</v>
      </c>
      <c r="C139" s="41">
        <v>76037</v>
      </c>
      <c r="D139" s="41">
        <v>76506</v>
      </c>
      <c r="E139" s="41">
        <v>76790</v>
      </c>
      <c r="F139" s="41">
        <v>76794</v>
      </c>
      <c r="G139" s="41">
        <v>76737</v>
      </c>
      <c r="H139" s="41">
        <v>77518</v>
      </c>
      <c r="I139" s="41">
        <v>78209</v>
      </c>
      <c r="J139" s="41">
        <v>79525</v>
      </c>
      <c r="K139" s="41">
        <v>79384</v>
      </c>
      <c r="L139" s="41">
        <v>80982</v>
      </c>
      <c r="M139" s="41">
        <v>82296</v>
      </c>
      <c r="N139" s="41">
        <v>82681</v>
      </c>
      <c r="O139" s="41">
        <v>83076</v>
      </c>
      <c r="P139" s="41">
        <v>82918</v>
      </c>
      <c r="Q139" s="41">
        <v>83994</v>
      </c>
      <c r="R139" s="41">
        <v>84562</v>
      </c>
      <c r="S139" s="41">
        <v>85759</v>
      </c>
      <c r="T139" s="41">
        <v>87272</v>
      </c>
      <c r="U139" s="41">
        <v>89451</v>
      </c>
      <c r="V139" s="41">
        <v>90947</v>
      </c>
      <c r="W139" s="41">
        <v>93665</v>
      </c>
      <c r="X139" s="41">
        <v>96103</v>
      </c>
      <c r="Y139" s="41">
        <v>98247</v>
      </c>
      <c r="Z139" s="41">
        <v>100416</v>
      </c>
      <c r="AA139" s="41">
        <v>103288</v>
      </c>
      <c r="AB139" s="41">
        <v>105771</v>
      </c>
      <c r="AC139" s="41">
        <v>108001</v>
      </c>
      <c r="AD139" s="41">
        <v>110139</v>
      </c>
      <c r="AE139" s="41">
        <v>112123</v>
      </c>
      <c r="AF139" s="41">
        <v>114017</v>
      </c>
      <c r="AG139" s="41">
        <v>115846</v>
      </c>
      <c r="AH139" s="41">
        <v>117578</v>
      </c>
      <c r="AI139" s="41">
        <v>119265</v>
      </c>
      <c r="AJ139" s="41">
        <v>120911</v>
      </c>
      <c r="AK139" s="41">
        <v>122551</v>
      </c>
      <c r="AL139" s="41">
        <v>124224</v>
      </c>
      <c r="AM139" s="41">
        <v>125845</v>
      </c>
      <c r="AN139" s="41">
        <v>127427</v>
      </c>
      <c r="AO139" s="41">
        <v>128973</v>
      </c>
      <c r="AP139" s="41">
        <v>130509</v>
      </c>
      <c r="AQ139" s="41">
        <v>132059</v>
      </c>
      <c r="AR139" s="41">
        <v>133599</v>
      </c>
      <c r="AS139" s="41">
        <v>135096</v>
      </c>
      <c r="AT139" s="41">
        <v>136549</v>
      </c>
      <c r="AU139" s="41">
        <v>137977</v>
      </c>
      <c r="AV139" s="41">
        <v>139404</v>
      </c>
      <c r="AW139" s="41">
        <v>140793</v>
      </c>
      <c r="AX139" s="41">
        <v>142154</v>
      </c>
      <c r="AY139" s="41">
        <v>143481</v>
      </c>
    </row>
    <row r="140" spans="1:51">
      <c r="A140" s="38" t="s">
        <v>396</v>
      </c>
      <c r="B140" s="38" t="s">
        <v>397</v>
      </c>
      <c r="C140" s="41">
        <v>69064</v>
      </c>
      <c r="D140" s="41">
        <v>69467</v>
      </c>
      <c r="E140" s="41">
        <v>69612</v>
      </c>
      <c r="F140" s="41">
        <v>68237</v>
      </c>
      <c r="G140" s="41">
        <v>68557</v>
      </c>
      <c r="H140" s="41">
        <v>68829</v>
      </c>
      <c r="I140" s="41">
        <v>69237</v>
      </c>
      <c r="J140" s="41">
        <v>69786</v>
      </c>
      <c r="K140" s="41">
        <v>72204</v>
      </c>
      <c r="L140" s="41">
        <v>75919</v>
      </c>
      <c r="M140" s="41">
        <v>79306</v>
      </c>
      <c r="N140" s="41">
        <v>80088</v>
      </c>
      <c r="O140" s="41">
        <v>80673</v>
      </c>
      <c r="P140" s="41">
        <v>80832</v>
      </c>
      <c r="Q140" s="41">
        <v>81900</v>
      </c>
      <c r="R140" s="41">
        <v>80636</v>
      </c>
      <c r="S140" s="41">
        <v>79809</v>
      </c>
      <c r="T140" s="41">
        <v>79929</v>
      </c>
      <c r="U140" s="41">
        <v>79903</v>
      </c>
      <c r="V140" s="41">
        <v>79182</v>
      </c>
      <c r="W140" s="41">
        <v>78297</v>
      </c>
      <c r="X140" s="41">
        <v>77662</v>
      </c>
      <c r="Y140" s="41">
        <v>77915</v>
      </c>
      <c r="Z140" s="41">
        <v>78416</v>
      </c>
      <c r="AA140" s="41">
        <v>78848</v>
      </c>
      <c r="AB140" s="41">
        <v>79188</v>
      </c>
      <c r="AC140" s="41">
        <v>79404</v>
      </c>
      <c r="AD140" s="41">
        <v>79676</v>
      </c>
      <c r="AE140" s="41">
        <v>79930</v>
      </c>
      <c r="AF140" s="41">
        <v>80130</v>
      </c>
      <c r="AG140" s="41">
        <v>80366</v>
      </c>
      <c r="AH140" s="41">
        <v>80578</v>
      </c>
      <c r="AI140" s="41">
        <v>80844</v>
      </c>
      <c r="AJ140" s="41">
        <v>81140</v>
      </c>
      <c r="AK140" s="41">
        <v>81438</v>
      </c>
      <c r="AL140" s="41">
        <v>81798</v>
      </c>
      <c r="AM140" s="41">
        <v>82144</v>
      </c>
      <c r="AN140" s="41">
        <v>82499</v>
      </c>
      <c r="AO140" s="41">
        <v>82869</v>
      </c>
      <c r="AP140" s="41">
        <v>83223</v>
      </c>
      <c r="AQ140" s="41">
        <v>83602</v>
      </c>
      <c r="AR140" s="41">
        <v>83974</v>
      </c>
      <c r="AS140" s="41">
        <v>84323</v>
      </c>
      <c r="AT140" s="41">
        <v>84679</v>
      </c>
      <c r="AU140" s="41">
        <v>85018</v>
      </c>
      <c r="AV140" s="41">
        <v>85354</v>
      </c>
      <c r="AW140" s="41">
        <v>85683</v>
      </c>
      <c r="AX140" s="41">
        <v>86006</v>
      </c>
      <c r="AY140" s="41">
        <v>86336</v>
      </c>
    </row>
    <row r="141" spans="1:51">
      <c r="A141" s="38" t="s">
        <v>398</v>
      </c>
      <c r="B141" s="38" t="s">
        <v>399</v>
      </c>
      <c r="C141" s="41">
        <v>30722</v>
      </c>
      <c r="D141" s="41">
        <v>31145</v>
      </c>
      <c r="E141" s="41">
        <v>31315</v>
      </c>
      <c r="F141" s="41">
        <v>31678</v>
      </c>
      <c r="G141" s="41">
        <v>32052</v>
      </c>
      <c r="H141" s="41">
        <v>32457</v>
      </c>
      <c r="I141" s="41">
        <v>32698</v>
      </c>
      <c r="J141" s="41">
        <v>33106</v>
      </c>
      <c r="K141" s="41">
        <v>33473</v>
      </c>
      <c r="L141" s="41">
        <v>33929</v>
      </c>
      <c r="M141" s="41">
        <v>34487</v>
      </c>
      <c r="N141" s="41">
        <v>34887</v>
      </c>
      <c r="O141" s="41">
        <v>35526</v>
      </c>
      <c r="P141" s="41">
        <v>35997</v>
      </c>
      <c r="Q141" s="41">
        <v>36535</v>
      </c>
      <c r="R141" s="41">
        <v>37162</v>
      </c>
      <c r="S141" s="41">
        <v>37962</v>
      </c>
      <c r="T141" s="41">
        <v>38624</v>
      </c>
      <c r="U141" s="41">
        <v>39087</v>
      </c>
      <c r="V141" s="41">
        <v>39402</v>
      </c>
      <c r="W141" s="41">
        <v>39822</v>
      </c>
      <c r="X141" s="41">
        <v>40316</v>
      </c>
      <c r="Y141" s="41">
        <v>40716</v>
      </c>
      <c r="Z141" s="41">
        <v>41266</v>
      </c>
      <c r="AA141" s="41">
        <v>41701</v>
      </c>
      <c r="AB141" s="41">
        <v>42182</v>
      </c>
      <c r="AC141" s="41">
        <v>42647</v>
      </c>
      <c r="AD141" s="41">
        <v>43109</v>
      </c>
      <c r="AE141" s="41">
        <v>43590</v>
      </c>
      <c r="AF141" s="41">
        <v>44049</v>
      </c>
      <c r="AG141" s="41">
        <v>44512</v>
      </c>
      <c r="AH141" s="41">
        <v>44963</v>
      </c>
      <c r="AI141" s="41">
        <v>45387</v>
      </c>
      <c r="AJ141" s="41">
        <v>45824</v>
      </c>
      <c r="AK141" s="41">
        <v>46255</v>
      </c>
      <c r="AL141" s="41">
        <v>46689</v>
      </c>
      <c r="AM141" s="41">
        <v>47119</v>
      </c>
      <c r="AN141" s="41">
        <v>47537</v>
      </c>
      <c r="AO141" s="41">
        <v>47959</v>
      </c>
      <c r="AP141" s="41">
        <v>48379</v>
      </c>
      <c r="AQ141" s="41">
        <v>48800</v>
      </c>
      <c r="AR141" s="41">
        <v>49213</v>
      </c>
      <c r="AS141" s="41">
        <v>49622</v>
      </c>
      <c r="AT141" s="41">
        <v>50023</v>
      </c>
      <c r="AU141" s="41">
        <v>50418</v>
      </c>
      <c r="AV141" s="41">
        <v>50798</v>
      </c>
      <c r="AW141" s="41">
        <v>51169</v>
      </c>
      <c r="AX141" s="41">
        <v>51526</v>
      </c>
      <c r="AY141" s="41">
        <v>51872</v>
      </c>
    </row>
    <row r="142" spans="1:51">
      <c r="A142" s="38" t="s">
        <v>400</v>
      </c>
      <c r="B142" s="38" t="s">
        <v>401</v>
      </c>
      <c r="C142" s="41">
        <v>53348</v>
      </c>
      <c r="D142" s="41">
        <v>54124</v>
      </c>
      <c r="E142" s="41">
        <v>54497</v>
      </c>
      <c r="F142" s="41">
        <v>54498</v>
      </c>
      <c r="G142" s="41">
        <v>55092</v>
      </c>
      <c r="H142" s="41">
        <v>55488</v>
      </c>
      <c r="I142" s="41">
        <v>55939</v>
      </c>
      <c r="J142" s="41">
        <v>56779</v>
      </c>
      <c r="K142" s="41">
        <v>56940</v>
      </c>
      <c r="L142" s="41">
        <v>57787</v>
      </c>
      <c r="M142" s="41">
        <v>58453</v>
      </c>
      <c r="N142" s="41">
        <v>58947</v>
      </c>
      <c r="O142" s="41">
        <v>59468</v>
      </c>
      <c r="P142" s="41">
        <v>59887</v>
      </c>
      <c r="Q142" s="41">
        <v>60406</v>
      </c>
      <c r="R142" s="41">
        <v>61234</v>
      </c>
      <c r="S142" s="41">
        <v>61699</v>
      </c>
      <c r="T142" s="41">
        <v>62184</v>
      </c>
      <c r="U142" s="41">
        <v>62531</v>
      </c>
      <c r="V142" s="41">
        <v>62833</v>
      </c>
      <c r="W142" s="41">
        <v>63214</v>
      </c>
      <c r="X142" s="41">
        <v>63523</v>
      </c>
      <c r="Y142" s="41">
        <v>63829</v>
      </c>
      <c r="Z142" s="41">
        <v>64249</v>
      </c>
      <c r="AA142" s="41">
        <v>64646</v>
      </c>
      <c r="AB142" s="41">
        <v>65082</v>
      </c>
      <c r="AC142" s="41">
        <v>65486</v>
      </c>
      <c r="AD142" s="41">
        <v>65961</v>
      </c>
      <c r="AE142" s="41">
        <v>66396</v>
      </c>
      <c r="AF142" s="41">
        <v>66831</v>
      </c>
      <c r="AG142" s="41">
        <v>67274</v>
      </c>
      <c r="AH142" s="41">
        <v>67709</v>
      </c>
      <c r="AI142" s="41">
        <v>68165</v>
      </c>
      <c r="AJ142" s="41">
        <v>68606</v>
      </c>
      <c r="AK142" s="41">
        <v>69047</v>
      </c>
      <c r="AL142" s="41">
        <v>69508</v>
      </c>
      <c r="AM142" s="41">
        <v>69968</v>
      </c>
      <c r="AN142" s="41">
        <v>70426</v>
      </c>
      <c r="AO142" s="41">
        <v>70858</v>
      </c>
      <c r="AP142" s="41">
        <v>71279</v>
      </c>
      <c r="AQ142" s="41">
        <v>71701</v>
      </c>
      <c r="AR142" s="41">
        <v>72110</v>
      </c>
      <c r="AS142" s="41">
        <v>72518</v>
      </c>
      <c r="AT142" s="41">
        <v>72899</v>
      </c>
      <c r="AU142" s="41">
        <v>73262</v>
      </c>
      <c r="AV142" s="41">
        <v>73633</v>
      </c>
      <c r="AW142" s="41">
        <v>74002</v>
      </c>
      <c r="AX142" s="41">
        <v>74363</v>
      </c>
      <c r="AY142" s="41">
        <v>74703</v>
      </c>
    </row>
    <row r="143" spans="1:51">
      <c r="A143" s="38" t="s">
        <v>402</v>
      </c>
      <c r="B143" s="38" t="s">
        <v>403</v>
      </c>
      <c r="C143" s="41">
        <v>106293</v>
      </c>
      <c r="D143" s="41">
        <v>107625</v>
      </c>
      <c r="E143" s="41">
        <v>108117</v>
      </c>
      <c r="F143" s="41">
        <v>108842</v>
      </c>
      <c r="G143" s="41">
        <v>109153</v>
      </c>
      <c r="H143" s="41">
        <v>109039</v>
      </c>
      <c r="I143" s="41">
        <v>108344</v>
      </c>
      <c r="J143" s="41">
        <v>108082</v>
      </c>
      <c r="K143" s="41">
        <v>107416</v>
      </c>
      <c r="L143" s="41">
        <v>106979</v>
      </c>
      <c r="M143" s="41">
        <v>106978</v>
      </c>
      <c r="N143" s="41">
        <v>107087</v>
      </c>
      <c r="O143" s="41">
        <v>107762</v>
      </c>
      <c r="P143" s="41">
        <v>109041</v>
      </c>
      <c r="Q143" s="41">
        <v>110277</v>
      </c>
      <c r="R143" s="41">
        <v>110684</v>
      </c>
      <c r="S143" s="41">
        <v>111000</v>
      </c>
      <c r="T143" s="41">
        <v>111617</v>
      </c>
      <c r="U143" s="41">
        <v>111744</v>
      </c>
      <c r="V143" s="41">
        <v>112178</v>
      </c>
      <c r="W143" s="41">
        <v>112456</v>
      </c>
      <c r="X143" s="41">
        <v>112981</v>
      </c>
      <c r="Y143" s="41">
        <v>113356</v>
      </c>
      <c r="Z143" s="41">
        <v>113657</v>
      </c>
      <c r="AA143" s="41">
        <v>114158</v>
      </c>
      <c r="AB143" s="41">
        <v>114818</v>
      </c>
      <c r="AC143" s="41">
        <v>115360</v>
      </c>
      <c r="AD143" s="41">
        <v>115820</v>
      </c>
      <c r="AE143" s="41">
        <v>116271</v>
      </c>
      <c r="AF143" s="41">
        <v>116620</v>
      </c>
      <c r="AG143" s="41">
        <v>117057</v>
      </c>
      <c r="AH143" s="41">
        <v>117451</v>
      </c>
      <c r="AI143" s="41">
        <v>117786</v>
      </c>
      <c r="AJ143" s="41">
        <v>118164</v>
      </c>
      <c r="AK143" s="41">
        <v>118488</v>
      </c>
      <c r="AL143" s="41">
        <v>118896</v>
      </c>
      <c r="AM143" s="41">
        <v>119317</v>
      </c>
      <c r="AN143" s="41">
        <v>119724</v>
      </c>
      <c r="AO143" s="41">
        <v>120128</v>
      </c>
      <c r="AP143" s="41">
        <v>120504</v>
      </c>
      <c r="AQ143" s="41">
        <v>120914</v>
      </c>
      <c r="AR143" s="41">
        <v>121354</v>
      </c>
      <c r="AS143" s="41">
        <v>121734</v>
      </c>
      <c r="AT143" s="41">
        <v>122093</v>
      </c>
      <c r="AU143" s="41">
        <v>122397</v>
      </c>
      <c r="AV143" s="41">
        <v>122736</v>
      </c>
      <c r="AW143" s="41">
        <v>123087</v>
      </c>
      <c r="AX143" s="41">
        <v>123389</v>
      </c>
      <c r="AY143" s="41">
        <v>123651</v>
      </c>
    </row>
    <row r="144" spans="1:51">
      <c r="A144" s="38" t="s">
        <v>404</v>
      </c>
      <c r="B144" s="38" t="s">
        <v>405</v>
      </c>
      <c r="C144" s="41">
        <v>56510</v>
      </c>
      <c r="D144" s="41">
        <v>56681</v>
      </c>
      <c r="E144" s="41">
        <v>56808</v>
      </c>
      <c r="F144" s="41">
        <v>56374</v>
      </c>
      <c r="G144" s="41">
        <v>56633</v>
      </c>
      <c r="H144" s="41">
        <v>56988</v>
      </c>
      <c r="I144" s="41">
        <v>57557</v>
      </c>
      <c r="J144" s="41">
        <v>58384</v>
      </c>
      <c r="K144" s="41">
        <v>59846</v>
      </c>
      <c r="L144" s="41">
        <v>60600</v>
      </c>
      <c r="M144" s="41">
        <v>61507</v>
      </c>
      <c r="N144" s="41">
        <v>61719</v>
      </c>
      <c r="O144" s="41">
        <v>61728</v>
      </c>
      <c r="P144" s="41">
        <v>61876</v>
      </c>
      <c r="Q144" s="41">
        <v>62312</v>
      </c>
      <c r="R144" s="41">
        <v>62565</v>
      </c>
      <c r="S144" s="41">
        <v>62367</v>
      </c>
      <c r="T144" s="41">
        <v>62867</v>
      </c>
      <c r="U144" s="41">
        <v>63205</v>
      </c>
      <c r="V144" s="41">
        <v>63501</v>
      </c>
      <c r="W144" s="41">
        <v>63750</v>
      </c>
      <c r="X144" s="41">
        <v>64997</v>
      </c>
      <c r="Y144" s="41">
        <v>66159</v>
      </c>
      <c r="Z144" s="41">
        <v>67507</v>
      </c>
      <c r="AA144" s="41">
        <v>68815</v>
      </c>
      <c r="AB144" s="41">
        <v>70076</v>
      </c>
      <c r="AC144" s="41">
        <v>71242</v>
      </c>
      <c r="AD144" s="41">
        <v>72365</v>
      </c>
      <c r="AE144" s="41">
        <v>73464</v>
      </c>
      <c r="AF144" s="41">
        <v>74540</v>
      </c>
      <c r="AG144" s="41">
        <v>75616</v>
      </c>
      <c r="AH144" s="41">
        <v>76659</v>
      </c>
      <c r="AI144" s="41">
        <v>77715</v>
      </c>
      <c r="AJ144" s="41">
        <v>78791</v>
      </c>
      <c r="AK144" s="41">
        <v>79870</v>
      </c>
      <c r="AL144" s="41">
        <v>80984</v>
      </c>
      <c r="AM144" s="41">
        <v>82083</v>
      </c>
      <c r="AN144" s="41">
        <v>83176</v>
      </c>
      <c r="AO144" s="41">
        <v>84263</v>
      </c>
      <c r="AP144" s="41">
        <v>85324</v>
      </c>
      <c r="AQ144" s="41">
        <v>86393</v>
      </c>
      <c r="AR144" s="41">
        <v>87426</v>
      </c>
      <c r="AS144" s="41">
        <v>88418</v>
      </c>
      <c r="AT144" s="41">
        <v>89378</v>
      </c>
      <c r="AU144" s="41">
        <v>90317</v>
      </c>
      <c r="AV144" s="41">
        <v>91250</v>
      </c>
      <c r="AW144" s="41">
        <v>92174</v>
      </c>
      <c r="AX144" s="41">
        <v>93064</v>
      </c>
      <c r="AY144" s="41">
        <v>93930</v>
      </c>
    </row>
    <row r="145" spans="1:51">
      <c r="A145" s="38" t="s">
        <v>406</v>
      </c>
      <c r="B145" s="38" t="s">
        <v>407</v>
      </c>
      <c r="C145" s="41">
        <v>150064</v>
      </c>
      <c r="D145" s="41">
        <v>151073</v>
      </c>
      <c r="E145" s="41">
        <v>152396</v>
      </c>
      <c r="F145" s="41">
        <v>153064</v>
      </c>
      <c r="G145" s="41">
        <v>153660</v>
      </c>
      <c r="H145" s="41">
        <v>154301</v>
      </c>
      <c r="I145" s="41">
        <v>154757</v>
      </c>
      <c r="J145" s="41">
        <v>155716</v>
      </c>
      <c r="K145" s="41">
        <v>156438</v>
      </c>
      <c r="L145" s="41">
        <v>157707</v>
      </c>
      <c r="M145" s="41">
        <v>159449</v>
      </c>
      <c r="N145" s="41">
        <v>160611</v>
      </c>
      <c r="O145" s="41">
        <v>161605</v>
      </c>
      <c r="P145" s="41">
        <v>162967</v>
      </c>
      <c r="Q145" s="41">
        <v>164410</v>
      </c>
      <c r="R145" s="41">
        <v>165853</v>
      </c>
      <c r="S145" s="41">
        <v>167412</v>
      </c>
      <c r="T145" s="41">
        <v>168946</v>
      </c>
      <c r="U145" s="41">
        <v>170235</v>
      </c>
      <c r="V145" s="41">
        <v>171787</v>
      </c>
      <c r="W145" s="41">
        <v>173759</v>
      </c>
      <c r="X145" s="41">
        <v>174912</v>
      </c>
      <c r="Y145" s="41">
        <v>176328</v>
      </c>
      <c r="Z145" s="41">
        <v>177733</v>
      </c>
      <c r="AA145" s="41">
        <v>179278</v>
      </c>
      <c r="AB145" s="41">
        <v>180987</v>
      </c>
      <c r="AC145" s="41">
        <v>182589</v>
      </c>
      <c r="AD145" s="41">
        <v>184201</v>
      </c>
      <c r="AE145" s="41">
        <v>185762</v>
      </c>
      <c r="AF145" s="41">
        <v>187303</v>
      </c>
      <c r="AG145" s="41">
        <v>188895</v>
      </c>
      <c r="AH145" s="41">
        <v>190442</v>
      </c>
      <c r="AI145" s="41">
        <v>191969</v>
      </c>
      <c r="AJ145" s="41">
        <v>193458</v>
      </c>
      <c r="AK145" s="41">
        <v>194926</v>
      </c>
      <c r="AL145" s="41">
        <v>196465</v>
      </c>
      <c r="AM145" s="41">
        <v>197960</v>
      </c>
      <c r="AN145" s="41">
        <v>199430</v>
      </c>
      <c r="AO145" s="41">
        <v>200867</v>
      </c>
      <c r="AP145" s="41">
        <v>202237</v>
      </c>
      <c r="AQ145" s="41">
        <v>203649</v>
      </c>
      <c r="AR145" s="41">
        <v>204967</v>
      </c>
      <c r="AS145" s="41">
        <v>206267</v>
      </c>
      <c r="AT145" s="41">
        <v>207529</v>
      </c>
      <c r="AU145" s="41">
        <v>208712</v>
      </c>
      <c r="AV145" s="41">
        <v>209929</v>
      </c>
      <c r="AW145" s="41">
        <v>211107</v>
      </c>
      <c r="AX145" s="41">
        <v>212268</v>
      </c>
      <c r="AY145" s="41">
        <v>213383</v>
      </c>
    </row>
    <row r="146" spans="1:51">
      <c r="A146" s="38" t="s">
        <v>408</v>
      </c>
      <c r="B146" s="38" t="s">
        <v>409</v>
      </c>
      <c r="C146" s="41">
        <v>57223</v>
      </c>
      <c r="D146" s="41">
        <v>57247</v>
      </c>
      <c r="E146" s="41">
        <v>57670</v>
      </c>
      <c r="F146" s="41">
        <v>57848</v>
      </c>
      <c r="G146" s="41">
        <v>58381</v>
      </c>
      <c r="H146" s="41">
        <v>58883</v>
      </c>
      <c r="I146" s="41">
        <v>59279</v>
      </c>
      <c r="J146" s="41">
        <v>59901</v>
      </c>
      <c r="K146" s="41">
        <v>59777</v>
      </c>
      <c r="L146" s="41">
        <v>59997</v>
      </c>
      <c r="M146" s="41">
        <v>60506</v>
      </c>
      <c r="N146" s="41">
        <v>60581</v>
      </c>
      <c r="O146" s="41">
        <v>60501</v>
      </c>
      <c r="P146" s="41">
        <v>60595</v>
      </c>
      <c r="Q146" s="41">
        <v>60773</v>
      </c>
      <c r="R146" s="41">
        <v>60984</v>
      </c>
      <c r="S146" s="41">
        <v>61015</v>
      </c>
      <c r="T146" s="41">
        <v>61113</v>
      </c>
      <c r="U146" s="41">
        <v>61238</v>
      </c>
      <c r="V146" s="41">
        <v>61275</v>
      </c>
      <c r="W146" s="41">
        <v>61328</v>
      </c>
      <c r="X146" s="41">
        <v>61665</v>
      </c>
      <c r="Y146" s="41">
        <v>61921</v>
      </c>
      <c r="Z146" s="41">
        <v>62350</v>
      </c>
      <c r="AA146" s="41">
        <v>62611</v>
      </c>
      <c r="AB146" s="41">
        <v>62930</v>
      </c>
      <c r="AC146" s="41">
        <v>63255</v>
      </c>
      <c r="AD146" s="41">
        <v>63515</v>
      </c>
      <c r="AE146" s="41">
        <v>63820</v>
      </c>
      <c r="AF146" s="41">
        <v>64113</v>
      </c>
      <c r="AG146" s="41">
        <v>64398</v>
      </c>
      <c r="AH146" s="41">
        <v>64644</v>
      </c>
      <c r="AI146" s="41">
        <v>64884</v>
      </c>
      <c r="AJ146" s="41">
        <v>65118</v>
      </c>
      <c r="AK146" s="41">
        <v>65365</v>
      </c>
      <c r="AL146" s="41">
        <v>65626</v>
      </c>
      <c r="AM146" s="41">
        <v>65857</v>
      </c>
      <c r="AN146" s="41">
        <v>66088</v>
      </c>
      <c r="AO146" s="41">
        <v>66312</v>
      </c>
      <c r="AP146" s="41">
        <v>66554</v>
      </c>
      <c r="AQ146" s="41">
        <v>66807</v>
      </c>
      <c r="AR146" s="41">
        <v>67039</v>
      </c>
      <c r="AS146" s="41">
        <v>67258</v>
      </c>
      <c r="AT146" s="41">
        <v>67473</v>
      </c>
      <c r="AU146" s="41">
        <v>67699</v>
      </c>
      <c r="AV146" s="41">
        <v>67940</v>
      </c>
      <c r="AW146" s="41">
        <v>68185</v>
      </c>
      <c r="AX146" s="41">
        <v>68408</v>
      </c>
      <c r="AY146" s="41">
        <v>68613</v>
      </c>
    </row>
    <row r="147" spans="1:51">
      <c r="A147" s="38" t="s">
        <v>410</v>
      </c>
      <c r="B147" s="38" t="s">
        <v>411</v>
      </c>
      <c r="C147" s="41">
        <v>110532</v>
      </c>
      <c r="D147" s="41">
        <v>110601</v>
      </c>
      <c r="E147" s="41">
        <v>109866</v>
      </c>
      <c r="F147" s="41">
        <v>110069</v>
      </c>
      <c r="G147" s="41">
        <v>109974</v>
      </c>
      <c r="H147" s="41">
        <v>110807</v>
      </c>
      <c r="I147" s="41">
        <v>110725</v>
      </c>
      <c r="J147" s="41">
        <v>112243</v>
      </c>
      <c r="K147" s="41">
        <v>114276</v>
      </c>
      <c r="L147" s="41">
        <v>116349</v>
      </c>
      <c r="M147" s="41">
        <v>118741</v>
      </c>
      <c r="N147" s="41">
        <v>118958</v>
      </c>
      <c r="O147" s="41">
        <v>118378</v>
      </c>
      <c r="P147" s="41">
        <v>118878</v>
      </c>
      <c r="Q147" s="41">
        <v>120217</v>
      </c>
      <c r="R147" s="41">
        <v>121482</v>
      </c>
      <c r="S147" s="41">
        <v>123023</v>
      </c>
      <c r="T147" s="41">
        <v>124647</v>
      </c>
      <c r="U147" s="41">
        <v>126629</v>
      </c>
      <c r="V147" s="41">
        <v>128020</v>
      </c>
      <c r="W147" s="41">
        <v>130706</v>
      </c>
      <c r="X147" s="41">
        <v>133651</v>
      </c>
      <c r="Y147" s="41">
        <v>135937</v>
      </c>
      <c r="Z147" s="41">
        <v>138298</v>
      </c>
      <c r="AA147" s="41">
        <v>140972</v>
      </c>
      <c r="AB147" s="41">
        <v>143381</v>
      </c>
      <c r="AC147" s="41">
        <v>145561</v>
      </c>
      <c r="AD147" s="41">
        <v>147696</v>
      </c>
      <c r="AE147" s="41">
        <v>149719</v>
      </c>
      <c r="AF147" s="41">
        <v>151649</v>
      </c>
      <c r="AG147" s="41">
        <v>153571</v>
      </c>
      <c r="AH147" s="41">
        <v>155388</v>
      </c>
      <c r="AI147" s="41">
        <v>157160</v>
      </c>
      <c r="AJ147" s="41">
        <v>158882</v>
      </c>
      <c r="AK147" s="41">
        <v>160575</v>
      </c>
      <c r="AL147" s="41">
        <v>162300</v>
      </c>
      <c r="AM147" s="41">
        <v>163977</v>
      </c>
      <c r="AN147" s="41">
        <v>165620</v>
      </c>
      <c r="AO147" s="41">
        <v>167266</v>
      </c>
      <c r="AP147" s="41">
        <v>168895</v>
      </c>
      <c r="AQ147" s="41">
        <v>170581</v>
      </c>
      <c r="AR147" s="41">
        <v>172258</v>
      </c>
      <c r="AS147" s="41">
        <v>173904</v>
      </c>
      <c r="AT147" s="41">
        <v>175555</v>
      </c>
      <c r="AU147" s="41">
        <v>177177</v>
      </c>
      <c r="AV147" s="41">
        <v>178795</v>
      </c>
      <c r="AW147" s="41">
        <v>180377</v>
      </c>
      <c r="AX147" s="41">
        <v>181917</v>
      </c>
      <c r="AY147" s="41">
        <v>183412</v>
      </c>
    </row>
    <row r="148" spans="1:51">
      <c r="A148" s="38" t="s">
        <v>412</v>
      </c>
      <c r="B148" s="38" t="s">
        <v>413</v>
      </c>
      <c r="C148" s="41">
        <v>52692</v>
      </c>
      <c r="D148" s="41">
        <v>53119</v>
      </c>
      <c r="E148" s="41">
        <v>53999</v>
      </c>
      <c r="F148" s="41">
        <v>54348</v>
      </c>
      <c r="G148" s="41">
        <v>54812</v>
      </c>
      <c r="H148" s="41">
        <v>55155</v>
      </c>
      <c r="I148" s="41">
        <v>55294</v>
      </c>
      <c r="J148" s="41">
        <v>55279</v>
      </c>
      <c r="K148" s="41">
        <v>55607</v>
      </c>
      <c r="L148" s="41">
        <v>55587</v>
      </c>
      <c r="M148" s="41">
        <v>55993</v>
      </c>
      <c r="N148" s="41">
        <v>55973</v>
      </c>
      <c r="O148" s="41">
        <v>56535</v>
      </c>
      <c r="P148" s="41">
        <v>56968</v>
      </c>
      <c r="Q148" s="41">
        <v>57589</v>
      </c>
      <c r="R148" s="41">
        <v>57737</v>
      </c>
      <c r="S148" s="41">
        <v>57566</v>
      </c>
      <c r="T148" s="41">
        <v>57563</v>
      </c>
      <c r="U148" s="41">
        <v>57443</v>
      </c>
      <c r="V148" s="41">
        <v>57653</v>
      </c>
      <c r="W148" s="41">
        <v>57633</v>
      </c>
      <c r="X148" s="41">
        <v>58171</v>
      </c>
      <c r="Y148" s="41">
        <v>58682</v>
      </c>
      <c r="Z148" s="41">
        <v>59088</v>
      </c>
      <c r="AA148" s="41">
        <v>59492</v>
      </c>
      <c r="AB148" s="41">
        <v>60040</v>
      </c>
      <c r="AC148" s="41">
        <v>60533</v>
      </c>
      <c r="AD148" s="41">
        <v>60898</v>
      </c>
      <c r="AE148" s="41">
        <v>61274</v>
      </c>
      <c r="AF148" s="41">
        <v>61626</v>
      </c>
      <c r="AG148" s="41">
        <v>61986</v>
      </c>
      <c r="AH148" s="41">
        <v>62308</v>
      </c>
      <c r="AI148" s="41">
        <v>62634</v>
      </c>
      <c r="AJ148" s="41">
        <v>62995</v>
      </c>
      <c r="AK148" s="41">
        <v>63381</v>
      </c>
      <c r="AL148" s="41">
        <v>63802</v>
      </c>
      <c r="AM148" s="41">
        <v>64215</v>
      </c>
      <c r="AN148" s="41">
        <v>64619</v>
      </c>
      <c r="AO148" s="41">
        <v>64982</v>
      </c>
      <c r="AP148" s="41">
        <v>65342</v>
      </c>
      <c r="AQ148" s="41">
        <v>65729</v>
      </c>
      <c r="AR148" s="41">
        <v>66088</v>
      </c>
      <c r="AS148" s="41">
        <v>66406</v>
      </c>
      <c r="AT148" s="41">
        <v>66674</v>
      </c>
      <c r="AU148" s="41">
        <v>66944</v>
      </c>
      <c r="AV148" s="41">
        <v>67234</v>
      </c>
      <c r="AW148" s="41">
        <v>67531</v>
      </c>
      <c r="AX148" s="41">
        <v>67820</v>
      </c>
      <c r="AY148" s="41">
        <v>68088</v>
      </c>
    </row>
    <row r="149" spans="1:51">
      <c r="A149" s="38" t="s">
        <v>414</v>
      </c>
      <c r="B149" s="38" t="s">
        <v>415</v>
      </c>
      <c r="C149" s="41">
        <v>292386</v>
      </c>
      <c r="D149" s="41">
        <v>294320</v>
      </c>
      <c r="E149" s="41">
        <v>296127</v>
      </c>
      <c r="F149" s="41">
        <v>296099</v>
      </c>
      <c r="G149" s="41">
        <v>296610</v>
      </c>
      <c r="H149" s="41">
        <v>297812</v>
      </c>
      <c r="I149" s="41">
        <v>298288</v>
      </c>
      <c r="J149" s="41">
        <v>299195</v>
      </c>
      <c r="K149" s="41">
        <v>299055</v>
      </c>
      <c r="L149" s="41">
        <v>299602</v>
      </c>
      <c r="M149" s="41">
        <v>301796</v>
      </c>
      <c r="N149" s="41">
        <v>302857</v>
      </c>
      <c r="O149" s="41">
        <v>303769</v>
      </c>
      <c r="P149" s="41">
        <v>306745</v>
      </c>
      <c r="Q149" s="41">
        <v>312826</v>
      </c>
      <c r="R149" s="41">
        <v>314097</v>
      </c>
      <c r="S149" s="41">
        <v>315190</v>
      </c>
      <c r="T149" s="41">
        <v>316662</v>
      </c>
      <c r="U149" s="41">
        <v>317652</v>
      </c>
      <c r="V149" s="41">
        <v>319007</v>
      </c>
      <c r="W149" s="41">
        <v>320118</v>
      </c>
      <c r="X149" s="41">
        <v>322244</v>
      </c>
      <c r="Y149" s="41">
        <v>324356</v>
      </c>
      <c r="Z149" s="41">
        <v>326019</v>
      </c>
      <c r="AA149" s="41">
        <v>328500</v>
      </c>
      <c r="AB149" s="41">
        <v>331431</v>
      </c>
      <c r="AC149" s="41">
        <v>334142</v>
      </c>
      <c r="AD149" s="41">
        <v>336622</v>
      </c>
      <c r="AE149" s="41">
        <v>338900</v>
      </c>
      <c r="AF149" s="41">
        <v>341095</v>
      </c>
      <c r="AG149" s="41">
        <v>343430</v>
      </c>
      <c r="AH149" s="41">
        <v>345735</v>
      </c>
      <c r="AI149" s="41">
        <v>348040</v>
      </c>
      <c r="AJ149" s="41">
        <v>350392</v>
      </c>
      <c r="AK149" s="41">
        <v>352781</v>
      </c>
      <c r="AL149" s="41">
        <v>355387</v>
      </c>
      <c r="AM149" s="41">
        <v>358025</v>
      </c>
      <c r="AN149" s="41">
        <v>360601</v>
      </c>
      <c r="AO149" s="41">
        <v>363128</v>
      </c>
      <c r="AP149" s="41">
        <v>365664</v>
      </c>
      <c r="AQ149" s="41">
        <v>368254</v>
      </c>
      <c r="AR149" s="41">
        <v>370854</v>
      </c>
      <c r="AS149" s="41">
        <v>373315</v>
      </c>
      <c r="AT149" s="41">
        <v>375676</v>
      </c>
      <c r="AU149" s="41">
        <v>377982</v>
      </c>
      <c r="AV149" s="41">
        <v>380364</v>
      </c>
      <c r="AW149" s="41">
        <v>382819</v>
      </c>
      <c r="AX149" s="41">
        <v>385196</v>
      </c>
      <c r="AY149" s="41">
        <v>387475</v>
      </c>
    </row>
    <row r="150" spans="1:51">
      <c r="A150" s="38" t="s">
        <v>416</v>
      </c>
      <c r="B150" s="38" t="s">
        <v>417</v>
      </c>
      <c r="C150" s="41">
        <v>107524</v>
      </c>
      <c r="D150" s="41">
        <v>107703</v>
      </c>
      <c r="E150" s="41">
        <v>109237</v>
      </c>
      <c r="F150" s="41">
        <v>110320</v>
      </c>
      <c r="G150" s="41">
        <v>111196</v>
      </c>
      <c r="H150" s="41">
        <v>111152</v>
      </c>
      <c r="I150" s="41">
        <v>110832</v>
      </c>
      <c r="J150" s="41">
        <v>111584</v>
      </c>
      <c r="K150" s="41">
        <v>110535</v>
      </c>
      <c r="L150" s="41">
        <v>110492</v>
      </c>
      <c r="M150" s="41">
        <v>110914</v>
      </c>
      <c r="N150" s="41">
        <v>111379</v>
      </c>
      <c r="O150" s="41">
        <v>112103</v>
      </c>
      <c r="P150" s="41">
        <v>113238</v>
      </c>
      <c r="Q150" s="41">
        <v>115620</v>
      </c>
      <c r="R150" s="41">
        <v>116930</v>
      </c>
      <c r="S150" s="41">
        <v>118187</v>
      </c>
      <c r="T150" s="41">
        <v>119290</v>
      </c>
      <c r="U150" s="41">
        <v>120445</v>
      </c>
      <c r="V150" s="41">
        <v>121792</v>
      </c>
      <c r="W150" s="41">
        <v>123031</v>
      </c>
      <c r="X150" s="41">
        <v>123684</v>
      </c>
      <c r="Y150" s="41">
        <v>124784</v>
      </c>
      <c r="Z150" s="41">
        <v>126343</v>
      </c>
      <c r="AA150" s="41">
        <v>128292</v>
      </c>
      <c r="AB150" s="41">
        <v>130107</v>
      </c>
      <c r="AC150" s="41">
        <v>131752</v>
      </c>
      <c r="AD150" s="41">
        <v>133290</v>
      </c>
      <c r="AE150" s="41">
        <v>134819</v>
      </c>
      <c r="AF150" s="41">
        <v>136303</v>
      </c>
      <c r="AG150" s="41">
        <v>137767</v>
      </c>
      <c r="AH150" s="41">
        <v>139133</v>
      </c>
      <c r="AI150" s="41">
        <v>140509</v>
      </c>
      <c r="AJ150" s="41">
        <v>141951</v>
      </c>
      <c r="AK150" s="41">
        <v>143410</v>
      </c>
      <c r="AL150" s="41">
        <v>144970</v>
      </c>
      <c r="AM150" s="41">
        <v>146506</v>
      </c>
      <c r="AN150" s="41">
        <v>148046</v>
      </c>
      <c r="AO150" s="41">
        <v>149567</v>
      </c>
      <c r="AP150" s="41">
        <v>151036</v>
      </c>
      <c r="AQ150" s="41">
        <v>152549</v>
      </c>
      <c r="AR150" s="41">
        <v>154054</v>
      </c>
      <c r="AS150" s="41">
        <v>155445</v>
      </c>
      <c r="AT150" s="41">
        <v>156773</v>
      </c>
      <c r="AU150" s="41">
        <v>158061</v>
      </c>
      <c r="AV150" s="41">
        <v>159377</v>
      </c>
      <c r="AW150" s="41">
        <v>160719</v>
      </c>
      <c r="AX150" s="41">
        <v>162031</v>
      </c>
      <c r="AY150" s="41">
        <v>163325</v>
      </c>
    </row>
    <row r="151" spans="1:51">
      <c r="A151" s="38" t="s">
        <v>418</v>
      </c>
      <c r="B151" s="38" t="s">
        <v>419</v>
      </c>
      <c r="C151" s="41">
        <v>37071</v>
      </c>
      <c r="D151" s="41">
        <v>37483</v>
      </c>
      <c r="E151" s="41">
        <v>37719</v>
      </c>
      <c r="F151" s="41">
        <v>37968</v>
      </c>
      <c r="G151" s="41">
        <v>38161</v>
      </c>
      <c r="H151" s="41">
        <v>38084</v>
      </c>
      <c r="I151" s="41">
        <v>38135</v>
      </c>
      <c r="J151" s="41">
        <v>38324</v>
      </c>
      <c r="K151" s="41">
        <v>38982</v>
      </c>
      <c r="L151" s="41">
        <v>39453</v>
      </c>
      <c r="M151" s="41">
        <v>39799</v>
      </c>
      <c r="N151" s="41">
        <v>40194</v>
      </c>
      <c r="O151" s="41">
        <v>40292</v>
      </c>
      <c r="P151" s="41">
        <v>40559</v>
      </c>
      <c r="Q151" s="41">
        <v>40662</v>
      </c>
      <c r="R151" s="41">
        <v>40783</v>
      </c>
      <c r="S151" s="41">
        <v>41106</v>
      </c>
      <c r="T151" s="41">
        <v>41492</v>
      </c>
      <c r="U151" s="41">
        <v>41758</v>
      </c>
      <c r="V151" s="41">
        <v>42078</v>
      </c>
      <c r="W151" s="41">
        <v>42224</v>
      </c>
      <c r="X151" s="41">
        <v>42750</v>
      </c>
      <c r="Y151" s="41">
        <v>43079</v>
      </c>
      <c r="Z151" s="41">
        <v>43566</v>
      </c>
      <c r="AA151" s="41">
        <v>44018</v>
      </c>
      <c r="AB151" s="41">
        <v>44518</v>
      </c>
      <c r="AC151" s="41">
        <v>45034</v>
      </c>
      <c r="AD151" s="41">
        <v>45533</v>
      </c>
      <c r="AE151" s="41">
        <v>46060</v>
      </c>
      <c r="AF151" s="41">
        <v>46575</v>
      </c>
      <c r="AG151" s="41">
        <v>47114</v>
      </c>
      <c r="AH151" s="41">
        <v>47656</v>
      </c>
      <c r="AI151" s="41">
        <v>48198</v>
      </c>
      <c r="AJ151" s="41">
        <v>48751</v>
      </c>
      <c r="AK151" s="41">
        <v>49306</v>
      </c>
      <c r="AL151" s="41">
        <v>49882</v>
      </c>
      <c r="AM151" s="41">
        <v>50457</v>
      </c>
      <c r="AN151" s="41">
        <v>51014</v>
      </c>
      <c r="AO151" s="41">
        <v>51581</v>
      </c>
      <c r="AP151" s="41">
        <v>52143</v>
      </c>
      <c r="AQ151" s="41">
        <v>52702</v>
      </c>
      <c r="AR151" s="41">
        <v>53248</v>
      </c>
      <c r="AS151" s="41">
        <v>53776</v>
      </c>
      <c r="AT151" s="41">
        <v>54299</v>
      </c>
      <c r="AU151" s="41">
        <v>54815</v>
      </c>
      <c r="AV151" s="41">
        <v>55320</v>
      </c>
      <c r="AW151" s="41">
        <v>55823</v>
      </c>
      <c r="AX151" s="41">
        <v>56308</v>
      </c>
      <c r="AY151" s="41">
        <v>56782</v>
      </c>
    </row>
    <row r="152" spans="1:51">
      <c r="A152" s="38" t="s">
        <v>420</v>
      </c>
      <c r="B152" s="38" t="s">
        <v>421</v>
      </c>
      <c r="C152" s="41">
        <v>100567</v>
      </c>
      <c r="D152" s="41">
        <v>100316</v>
      </c>
      <c r="E152" s="41">
        <v>100433</v>
      </c>
      <c r="F152" s="41">
        <v>100821</v>
      </c>
      <c r="G152" s="41">
        <v>100023</v>
      </c>
      <c r="H152" s="41">
        <v>101044</v>
      </c>
      <c r="I152" s="41">
        <v>101213</v>
      </c>
      <c r="J152" s="41">
        <v>102561</v>
      </c>
      <c r="K152" s="41">
        <v>104450</v>
      </c>
      <c r="L152" s="41">
        <v>105889</v>
      </c>
      <c r="M152" s="41">
        <v>107586</v>
      </c>
      <c r="N152" s="41">
        <v>107588</v>
      </c>
      <c r="O152" s="41">
        <v>107106</v>
      </c>
      <c r="P152" s="41">
        <v>107186</v>
      </c>
      <c r="Q152" s="41">
        <v>108147</v>
      </c>
      <c r="R152" s="41">
        <v>109272</v>
      </c>
      <c r="S152" s="41">
        <v>110403</v>
      </c>
      <c r="T152" s="41">
        <v>112293</v>
      </c>
      <c r="U152" s="41">
        <v>113920</v>
      </c>
      <c r="V152" s="41">
        <v>114647</v>
      </c>
      <c r="W152" s="41">
        <v>116529</v>
      </c>
      <c r="X152" s="41">
        <v>119023</v>
      </c>
      <c r="Y152" s="41">
        <v>121566</v>
      </c>
      <c r="Z152" s="41">
        <v>124485</v>
      </c>
      <c r="AA152" s="41">
        <v>126993</v>
      </c>
      <c r="AB152" s="41">
        <v>129445</v>
      </c>
      <c r="AC152" s="41">
        <v>131815</v>
      </c>
      <c r="AD152" s="41">
        <v>134147</v>
      </c>
      <c r="AE152" s="41">
        <v>136445</v>
      </c>
      <c r="AF152" s="41">
        <v>138709</v>
      </c>
      <c r="AG152" s="41">
        <v>140989</v>
      </c>
      <c r="AH152" s="41">
        <v>143229</v>
      </c>
      <c r="AI152" s="41">
        <v>145470</v>
      </c>
      <c r="AJ152" s="41">
        <v>147697</v>
      </c>
      <c r="AK152" s="41">
        <v>149919</v>
      </c>
      <c r="AL152" s="41">
        <v>152167</v>
      </c>
      <c r="AM152" s="41">
        <v>154368</v>
      </c>
      <c r="AN152" s="41">
        <v>156555</v>
      </c>
      <c r="AO152" s="41">
        <v>158701</v>
      </c>
      <c r="AP152" s="41">
        <v>160813</v>
      </c>
      <c r="AQ152" s="41">
        <v>162931</v>
      </c>
      <c r="AR152" s="41">
        <v>165015</v>
      </c>
      <c r="AS152" s="41">
        <v>167036</v>
      </c>
      <c r="AT152" s="41">
        <v>168993</v>
      </c>
      <c r="AU152" s="41">
        <v>170914</v>
      </c>
      <c r="AV152" s="41">
        <v>172830</v>
      </c>
      <c r="AW152" s="41">
        <v>174718</v>
      </c>
      <c r="AX152" s="41">
        <v>176567</v>
      </c>
      <c r="AY152" s="41">
        <v>178383</v>
      </c>
    </row>
    <row r="153" spans="1:51">
      <c r="A153" s="38" t="s">
        <v>422</v>
      </c>
      <c r="B153" s="38" t="s">
        <v>423</v>
      </c>
      <c r="C153" s="41">
        <v>34944</v>
      </c>
      <c r="D153" s="41">
        <v>35432</v>
      </c>
      <c r="E153" s="41">
        <v>35707</v>
      </c>
      <c r="F153" s="41">
        <v>35874</v>
      </c>
      <c r="G153" s="41">
        <v>36144</v>
      </c>
      <c r="H153" s="41">
        <v>36386</v>
      </c>
      <c r="I153" s="41">
        <v>36951</v>
      </c>
      <c r="J153" s="41">
        <v>37248</v>
      </c>
      <c r="K153" s="41">
        <v>37277</v>
      </c>
      <c r="L153" s="41">
        <v>37419</v>
      </c>
      <c r="M153" s="41">
        <v>37565</v>
      </c>
      <c r="N153" s="41">
        <v>37858</v>
      </c>
      <c r="O153" s="41">
        <v>38222</v>
      </c>
      <c r="P153" s="41">
        <v>38743</v>
      </c>
      <c r="Q153" s="41">
        <v>39145</v>
      </c>
      <c r="R153" s="41">
        <v>39650</v>
      </c>
      <c r="S153" s="41">
        <v>40046</v>
      </c>
      <c r="T153" s="41">
        <v>40524</v>
      </c>
      <c r="U153" s="41">
        <v>40812</v>
      </c>
      <c r="V153" s="41">
        <v>41056</v>
      </c>
      <c r="W153" s="41">
        <v>41322</v>
      </c>
      <c r="X153" s="41">
        <v>41625</v>
      </c>
      <c r="Y153" s="41">
        <v>41996</v>
      </c>
      <c r="Z153" s="41">
        <v>42268</v>
      </c>
      <c r="AA153" s="41">
        <v>42585</v>
      </c>
      <c r="AB153" s="41">
        <v>42891</v>
      </c>
      <c r="AC153" s="41">
        <v>43192</v>
      </c>
      <c r="AD153" s="41">
        <v>43493</v>
      </c>
      <c r="AE153" s="41">
        <v>43783</v>
      </c>
      <c r="AF153" s="41">
        <v>44093</v>
      </c>
      <c r="AG153" s="41">
        <v>44376</v>
      </c>
      <c r="AH153" s="41">
        <v>44625</v>
      </c>
      <c r="AI153" s="41">
        <v>44882</v>
      </c>
      <c r="AJ153" s="41">
        <v>45130</v>
      </c>
      <c r="AK153" s="41">
        <v>45382</v>
      </c>
      <c r="AL153" s="41">
        <v>45639</v>
      </c>
      <c r="AM153" s="41">
        <v>45867</v>
      </c>
      <c r="AN153" s="41">
        <v>46095</v>
      </c>
      <c r="AO153" s="41">
        <v>46315</v>
      </c>
      <c r="AP153" s="41">
        <v>46534</v>
      </c>
      <c r="AQ153" s="41">
        <v>46757</v>
      </c>
      <c r="AR153" s="41">
        <v>46955</v>
      </c>
      <c r="AS153" s="41">
        <v>47147</v>
      </c>
      <c r="AT153" s="41">
        <v>47331</v>
      </c>
      <c r="AU153" s="41">
        <v>47510</v>
      </c>
      <c r="AV153" s="41">
        <v>47684</v>
      </c>
      <c r="AW153" s="41">
        <v>47852</v>
      </c>
      <c r="AX153" s="41">
        <v>48013</v>
      </c>
      <c r="AY153" s="41">
        <v>48163</v>
      </c>
    </row>
    <row r="154" spans="1:51">
      <c r="A154" s="38" t="s">
        <v>424</v>
      </c>
      <c r="B154" s="38" t="s">
        <v>425</v>
      </c>
      <c r="C154" s="41">
        <v>35223</v>
      </c>
      <c r="D154" s="41">
        <v>35904</v>
      </c>
      <c r="E154" s="41">
        <v>36125</v>
      </c>
      <c r="F154" s="41">
        <v>35968</v>
      </c>
      <c r="G154" s="41">
        <v>36138</v>
      </c>
      <c r="H154" s="41">
        <v>36111</v>
      </c>
      <c r="I154" s="41">
        <v>36218</v>
      </c>
      <c r="J154" s="41">
        <v>36219</v>
      </c>
      <c r="K154" s="41">
        <v>36174</v>
      </c>
      <c r="L154" s="41">
        <v>36425</v>
      </c>
      <c r="M154" s="41">
        <v>36708</v>
      </c>
      <c r="N154" s="41">
        <v>36702</v>
      </c>
      <c r="O154" s="41">
        <v>36882</v>
      </c>
      <c r="P154" s="41">
        <v>37232</v>
      </c>
      <c r="Q154" s="41">
        <v>37683</v>
      </c>
      <c r="R154" s="41">
        <v>38011</v>
      </c>
      <c r="S154" s="41">
        <v>38217</v>
      </c>
      <c r="T154" s="41">
        <v>38530</v>
      </c>
      <c r="U154" s="41">
        <v>38804</v>
      </c>
      <c r="V154" s="41">
        <v>39288</v>
      </c>
      <c r="W154" s="41">
        <v>39614</v>
      </c>
      <c r="X154" s="41">
        <v>40015</v>
      </c>
      <c r="Y154" s="41">
        <v>40650</v>
      </c>
      <c r="Z154" s="41">
        <v>40886</v>
      </c>
      <c r="AA154" s="41">
        <v>41161</v>
      </c>
      <c r="AB154" s="41">
        <v>41547</v>
      </c>
      <c r="AC154" s="41">
        <v>41873</v>
      </c>
      <c r="AD154" s="41">
        <v>42160</v>
      </c>
      <c r="AE154" s="41">
        <v>42414</v>
      </c>
      <c r="AF154" s="41">
        <v>42652</v>
      </c>
      <c r="AG154" s="41">
        <v>42890</v>
      </c>
      <c r="AH154" s="41">
        <v>43102</v>
      </c>
      <c r="AI154" s="41">
        <v>43331</v>
      </c>
      <c r="AJ154" s="41">
        <v>43589</v>
      </c>
      <c r="AK154" s="41">
        <v>43858</v>
      </c>
      <c r="AL154" s="41">
        <v>44162</v>
      </c>
      <c r="AM154" s="41">
        <v>44464</v>
      </c>
      <c r="AN154" s="41">
        <v>44767</v>
      </c>
      <c r="AO154" s="41">
        <v>45051</v>
      </c>
      <c r="AP154" s="41">
        <v>45327</v>
      </c>
      <c r="AQ154" s="41">
        <v>45624</v>
      </c>
      <c r="AR154" s="41">
        <v>45913</v>
      </c>
      <c r="AS154" s="41">
        <v>46156</v>
      </c>
      <c r="AT154" s="41">
        <v>46372</v>
      </c>
      <c r="AU154" s="41">
        <v>46591</v>
      </c>
      <c r="AV154" s="41">
        <v>46828</v>
      </c>
      <c r="AW154" s="41">
        <v>47068</v>
      </c>
      <c r="AX154" s="41">
        <v>47294</v>
      </c>
      <c r="AY154" s="41">
        <v>47501</v>
      </c>
    </row>
    <row r="155" spans="1:51">
      <c r="A155" s="38" t="s">
        <v>426</v>
      </c>
      <c r="B155" s="38" t="s">
        <v>427</v>
      </c>
      <c r="C155" s="41">
        <v>189593</v>
      </c>
      <c r="D155" s="41">
        <v>189617</v>
      </c>
      <c r="E155" s="41">
        <v>189747</v>
      </c>
      <c r="F155" s="41">
        <v>188883</v>
      </c>
      <c r="G155" s="41">
        <v>188248</v>
      </c>
      <c r="H155" s="41">
        <v>187918</v>
      </c>
      <c r="I155" s="41">
        <v>187049</v>
      </c>
      <c r="J155" s="41">
        <v>187368</v>
      </c>
      <c r="K155" s="41">
        <v>186558</v>
      </c>
      <c r="L155" s="41">
        <v>187384</v>
      </c>
      <c r="M155" s="41">
        <v>187572</v>
      </c>
      <c r="N155" s="41">
        <v>188623</v>
      </c>
      <c r="O155" s="41">
        <v>189875</v>
      </c>
      <c r="P155" s="41">
        <v>191520</v>
      </c>
      <c r="Q155" s="41">
        <v>194013</v>
      </c>
      <c r="R155" s="41">
        <v>195090</v>
      </c>
      <c r="S155" s="41">
        <v>196350</v>
      </c>
      <c r="T155" s="41">
        <v>197857</v>
      </c>
      <c r="U155" s="41">
        <v>200123</v>
      </c>
      <c r="V155" s="41">
        <v>203205</v>
      </c>
      <c r="W155" s="41">
        <v>206188</v>
      </c>
      <c r="X155" s="41">
        <v>208433</v>
      </c>
      <c r="Y155" s="41">
        <v>210049</v>
      </c>
      <c r="Z155" s="41">
        <v>212017</v>
      </c>
      <c r="AA155" s="41">
        <v>214185</v>
      </c>
      <c r="AB155" s="41">
        <v>216438</v>
      </c>
      <c r="AC155" s="41">
        <v>218410</v>
      </c>
      <c r="AD155" s="41">
        <v>220168</v>
      </c>
      <c r="AE155" s="41">
        <v>221886</v>
      </c>
      <c r="AF155" s="41">
        <v>223586</v>
      </c>
      <c r="AG155" s="41">
        <v>225220</v>
      </c>
      <c r="AH155" s="41">
        <v>226659</v>
      </c>
      <c r="AI155" s="41">
        <v>228094</v>
      </c>
      <c r="AJ155" s="41">
        <v>229584</v>
      </c>
      <c r="AK155" s="41">
        <v>231112</v>
      </c>
      <c r="AL155" s="41">
        <v>232762</v>
      </c>
      <c r="AM155" s="41">
        <v>234374</v>
      </c>
      <c r="AN155" s="41">
        <v>235933</v>
      </c>
      <c r="AO155" s="41">
        <v>237450</v>
      </c>
      <c r="AP155" s="41">
        <v>238953</v>
      </c>
      <c r="AQ155" s="41">
        <v>240534</v>
      </c>
      <c r="AR155" s="41">
        <v>242149</v>
      </c>
      <c r="AS155" s="41">
        <v>243606</v>
      </c>
      <c r="AT155" s="41">
        <v>245022</v>
      </c>
      <c r="AU155" s="41">
        <v>246388</v>
      </c>
      <c r="AV155" s="41">
        <v>247809</v>
      </c>
      <c r="AW155" s="41">
        <v>249251</v>
      </c>
      <c r="AX155" s="41">
        <v>250629</v>
      </c>
      <c r="AY155" s="41">
        <v>251981</v>
      </c>
    </row>
    <row r="156" spans="1:51">
      <c r="A156" s="38" t="s">
        <v>428</v>
      </c>
      <c r="B156" s="38" t="s">
        <v>429</v>
      </c>
      <c r="C156" s="41">
        <v>64161</v>
      </c>
      <c r="D156" s="41">
        <v>65004</v>
      </c>
      <c r="E156" s="41">
        <v>66080</v>
      </c>
      <c r="F156" s="41">
        <v>67047</v>
      </c>
      <c r="G156" s="41">
        <v>67549</v>
      </c>
      <c r="H156" s="41">
        <v>67885</v>
      </c>
      <c r="I156" s="41">
        <v>68354</v>
      </c>
      <c r="J156" s="41">
        <v>69215</v>
      </c>
      <c r="K156" s="41">
        <v>69603</v>
      </c>
      <c r="L156" s="41">
        <v>70177</v>
      </c>
      <c r="M156" s="41">
        <v>70803</v>
      </c>
      <c r="N156" s="41">
        <v>70729</v>
      </c>
      <c r="O156" s="41">
        <v>70316</v>
      </c>
      <c r="P156" s="41">
        <v>69573</v>
      </c>
      <c r="Q156" s="41">
        <v>70071</v>
      </c>
      <c r="R156" s="41">
        <v>70502</v>
      </c>
      <c r="S156" s="41">
        <v>70942</v>
      </c>
      <c r="T156" s="41">
        <v>71389</v>
      </c>
      <c r="U156" s="41">
        <v>72347</v>
      </c>
      <c r="V156" s="41">
        <v>73429</v>
      </c>
      <c r="W156" s="41">
        <v>74426</v>
      </c>
      <c r="X156" s="41">
        <v>75361</v>
      </c>
      <c r="Y156" s="41">
        <v>76412</v>
      </c>
      <c r="Z156" s="41">
        <v>77756</v>
      </c>
      <c r="AA156" s="41">
        <v>79163</v>
      </c>
      <c r="AB156" s="41">
        <v>80504</v>
      </c>
      <c r="AC156" s="41">
        <v>81762</v>
      </c>
      <c r="AD156" s="41">
        <v>83015</v>
      </c>
      <c r="AE156" s="41">
        <v>84236</v>
      </c>
      <c r="AF156" s="41">
        <v>85410</v>
      </c>
      <c r="AG156" s="41">
        <v>86574</v>
      </c>
      <c r="AH156" s="41">
        <v>87724</v>
      </c>
      <c r="AI156" s="41">
        <v>88867</v>
      </c>
      <c r="AJ156" s="41">
        <v>89982</v>
      </c>
      <c r="AK156" s="41">
        <v>91096</v>
      </c>
      <c r="AL156" s="41">
        <v>92217</v>
      </c>
      <c r="AM156" s="41">
        <v>93324</v>
      </c>
      <c r="AN156" s="41">
        <v>94454</v>
      </c>
      <c r="AO156" s="41">
        <v>95559</v>
      </c>
      <c r="AP156" s="41">
        <v>96658</v>
      </c>
      <c r="AQ156" s="41">
        <v>97762</v>
      </c>
      <c r="AR156" s="41">
        <v>98886</v>
      </c>
      <c r="AS156" s="41">
        <v>99995</v>
      </c>
      <c r="AT156" s="41">
        <v>101067</v>
      </c>
      <c r="AU156" s="41">
        <v>102111</v>
      </c>
      <c r="AV156" s="41">
        <v>103153</v>
      </c>
      <c r="AW156" s="41">
        <v>104198</v>
      </c>
      <c r="AX156" s="41">
        <v>105231</v>
      </c>
      <c r="AY156" s="41">
        <v>106236</v>
      </c>
    </row>
    <row r="157" spans="1:51">
      <c r="A157" s="38" t="s">
        <v>430</v>
      </c>
      <c r="B157" s="38" t="s">
        <v>431</v>
      </c>
      <c r="C157" s="41">
        <v>53414</v>
      </c>
      <c r="D157" s="41">
        <v>53670</v>
      </c>
      <c r="E157" s="41">
        <v>53920</v>
      </c>
      <c r="F157" s="41">
        <v>54015</v>
      </c>
      <c r="G157" s="41">
        <v>54457</v>
      </c>
      <c r="H157" s="41">
        <v>55187</v>
      </c>
      <c r="I157" s="41">
        <v>55425</v>
      </c>
      <c r="J157" s="41">
        <v>55361</v>
      </c>
      <c r="K157" s="41">
        <v>55685</v>
      </c>
      <c r="L157" s="41">
        <v>56280</v>
      </c>
      <c r="M157" s="41">
        <v>56625</v>
      </c>
      <c r="N157" s="41">
        <v>57174</v>
      </c>
      <c r="O157" s="41">
        <v>57620</v>
      </c>
      <c r="P157" s="41">
        <v>58112</v>
      </c>
      <c r="Q157" s="41">
        <v>58667</v>
      </c>
      <c r="R157" s="41">
        <v>59385</v>
      </c>
      <c r="S157" s="41">
        <v>60297</v>
      </c>
      <c r="T157" s="41">
        <v>61169</v>
      </c>
      <c r="U157" s="41">
        <v>62040</v>
      </c>
      <c r="V157" s="41">
        <v>62991</v>
      </c>
      <c r="W157" s="41">
        <v>63709</v>
      </c>
      <c r="X157" s="41">
        <v>64370</v>
      </c>
      <c r="Y157" s="41">
        <v>65304</v>
      </c>
      <c r="Z157" s="41">
        <v>66383</v>
      </c>
      <c r="AA157" s="41">
        <v>67326</v>
      </c>
      <c r="AB157" s="41">
        <v>68280</v>
      </c>
      <c r="AC157" s="41">
        <v>69255</v>
      </c>
      <c r="AD157" s="41">
        <v>70228</v>
      </c>
      <c r="AE157" s="41">
        <v>71182</v>
      </c>
      <c r="AF157" s="41">
        <v>72088</v>
      </c>
      <c r="AG157" s="41">
        <v>72973</v>
      </c>
      <c r="AH157" s="41">
        <v>73838</v>
      </c>
      <c r="AI157" s="41">
        <v>74705</v>
      </c>
      <c r="AJ157" s="41">
        <v>75567</v>
      </c>
      <c r="AK157" s="41">
        <v>76409</v>
      </c>
      <c r="AL157" s="41">
        <v>77255</v>
      </c>
      <c r="AM157" s="41">
        <v>78081</v>
      </c>
      <c r="AN157" s="41">
        <v>78908</v>
      </c>
      <c r="AO157" s="41">
        <v>79736</v>
      </c>
      <c r="AP157" s="41">
        <v>80559</v>
      </c>
      <c r="AQ157" s="41">
        <v>81388</v>
      </c>
      <c r="AR157" s="41">
        <v>82195</v>
      </c>
      <c r="AS157" s="41">
        <v>83004</v>
      </c>
      <c r="AT157" s="41">
        <v>83793</v>
      </c>
      <c r="AU157" s="41">
        <v>84577</v>
      </c>
      <c r="AV157" s="41">
        <v>85358</v>
      </c>
      <c r="AW157" s="41">
        <v>86119</v>
      </c>
      <c r="AX157" s="41">
        <v>86866</v>
      </c>
      <c r="AY157" s="41">
        <v>87585</v>
      </c>
    </row>
    <row r="158" spans="1:51">
      <c r="A158" s="38" t="s">
        <v>432</v>
      </c>
      <c r="B158" s="38" t="s">
        <v>433</v>
      </c>
      <c r="C158" s="41">
        <v>20461</v>
      </c>
      <c r="D158" s="41">
        <v>20548</v>
      </c>
      <c r="E158" s="41">
        <v>20884</v>
      </c>
      <c r="F158" s="41">
        <v>21147</v>
      </c>
      <c r="G158" s="41">
        <v>21591</v>
      </c>
      <c r="H158" s="41">
        <v>21852</v>
      </c>
      <c r="I158" s="41">
        <v>22239</v>
      </c>
      <c r="J158" s="41">
        <v>22810</v>
      </c>
      <c r="K158" s="41">
        <v>23242</v>
      </c>
      <c r="L158" s="41">
        <v>23835</v>
      </c>
      <c r="M158" s="41">
        <v>24325</v>
      </c>
      <c r="N158" s="41">
        <v>24519</v>
      </c>
      <c r="O158" s="41">
        <v>24696</v>
      </c>
      <c r="P158" s="41">
        <v>24911</v>
      </c>
      <c r="Q158" s="41">
        <v>25080</v>
      </c>
      <c r="R158" s="41">
        <v>25252</v>
      </c>
      <c r="S158" s="41">
        <v>25432</v>
      </c>
      <c r="T158" s="41">
        <v>25565</v>
      </c>
      <c r="U158" s="41">
        <v>25723</v>
      </c>
      <c r="V158" s="41">
        <v>25831</v>
      </c>
      <c r="W158" s="41">
        <v>25866</v>
      </c>
      <c r="X158" s="41">
        <v>26048</v>
      </c>
      <c r="Y158" s="41">
        <v>26247</v>
      </c>
      <c r="Z158" s="41">
        <v>26512</v>
      </c>
      <c r="AA158" s="41">
        <v>26694</v>
      </c>
      <c r="AB158" s="41">
        <v>26913</v>
      </c>
      <c r="AC158" s="41">
        <v>27117</v>
      </c>
      <c r="AD158" s="41">
        <v>27327</v>
      </c>
      <c r="AE158" s="41">
        <v>27563</v>
      </c>
      <c r="AF158" s="41">
        <v>27787</v>
      </c>
      <c r="AG158" s="41">
        <v>28009</v>
      </c>
      <c r="AH158" s="41">
        <v>28219</v>
      </c>
      <c r="AI158" s="41">
        <v>28424</v>
      </c>
      <c r="AJ158" s="41">
        <v>28644</v>
      </c>
      <c r="AK158" s="41">
        <v>28858</v>
      </c>
      <c r="AL158" s="41">
        <v>29067</v>
      </c>
      <c r="AM158" s="41">
        <v>29276</v>
      </c>
      <c r="AN158" s="41">
        <v>29470</v>
      </c>
      <c r="AO158" s="41">
        <v>29662</v>
      </c>
      <c r="AP158" s="41">
        <v>29853</v>
      </c>
      <c r="AQ158" s="41">
        <v>30040</v>
      </c>
      <c r="AR158" s="41">
        <v>30221</v>
      </c>
      <c r="AS158" s="41">
        <v>30388</v>
      </c>
      <c r="AT158" s="41">
        <v>30554</v>
      </c>
      <c r="AU158" s="41">
        <v>30718</v>
      </c>
      <c r="AV158" s="41">
        <v>30880</v>
      </c>
      <c r="AW158" s="41">
        <v>31036</v>
      </c>
      <c r="AX158" s="41">
        <v>31178</v>
      </c>
      <c r="AY158" s="41">
        <v>31316</v>
      </c>
    </row>
    <row r="159" spans="1:51">
      <c r="A159" s="38" t="s">
        <v>434</v>
      </c>
      <c r="B159" s="38" t="s">
        <v>435</v>
      </c>
      <c r="C159" s="41">
        <v>27765</v>
      </c>
      <c r="D159" s="41">
        <v>27800</v>
      </c>
      <c r="E159" s="41">
        <v>28038</v>
      </c>
      <c r="F159" s="41">
        <v>28520</v>
      </c>
      <c r="G159" s="41">
        <v>28861</v>
      </c>
      <c r="H159" s="41">
        <v>28959</v>
      </c>
      <c r="I159" s="41">
        <v>29350</v>
      </c>
      <c r="J159" s="41">
        <v>29499</v>
      </c>
      <c r="K159" s="41">
        <v>29816</v>
      </c>
      <c r="L159" s="41">
        <v>29938</v>
      </c>
      <c r="M159" s="41">
        <v>30119</v>
      </c>
      <c r="N159" s="41">
        <v>30458</v>
      </c>
      <c r="O159" s="41">
        <v>30671</v>
      </c>
      <c r="P159" s="41">
        <v>30896</v>
      </c>
      <c r="Q159" s="41">
        <v>31118</v>
      </c>
      <c r="R159" s="41">
        <v>31311</v>
      </c>
      <c r="S159" s="41">
        <v>31521</v>
      </c>
      <c r="T159" s="41">
        <v>31698</v>
      </c>
      <c r="U159" s="41">
        <v>31785</v>
      </c>
      <c r="V159" s="41">
        <v>32083</v>
      </c>
      <c r="W159" s="41">
        <v>32291</v>
      </c>
      <c r="X159" s="41">
        <v>32474</v>
      </c>
      <c r="Y159" s="41">
        <v>32670</v>
      </c>
      <c r="Z159" s="41">
        <v>33021</v>
      </c>
      <c r="AA159" s="41">
        <v>33268</v>
      </c>
      <c r="AB159" s="41">
        <v>33545</v>
      </c>
      <c r="AC159" s="41">
        <v>33815</v>
      </c>
      <c r="AD159" s="41">
        <v>34099</v>
      </c>
      <c r="AE159" s="41">
        <v>34397</v>
      </c>
      <c r="AF159" s="41">
        <v>34670</v>
      </c>
      <c r="AG159" s="41">
        <v>34936</v>
      </c>
      <c r="AH159" s="41">
        <v>35200</v>
      </c>
      <c r="AI159" s="41">
        <v>35482</v>
      </c>
      <c r="AJ159" s="41">
        <v>35762</v>
      </c>
      <c r="AK159" s="41">
        <v>36047</v>
      </c>
      <c r="AL159" s="41">
        <v>36332</v>
      </c>
      <c r="AM159" s="41">
        <v>36607</v>
      </c>
      <c r="AN159" s="41">
        <v>36889</v>
      </c>
      <c r="AO159" s="41">
        <v>37168</v>
      </c>
      <c r="AP159" s="41">
        <v>37447</v>
      </c>
      <c r="AQ159" s="41">
        <v>37717</v>
      </c>
      <c r="AR159" s="41">
        <v>37969</v>
      </c>
      <c r="AS159" s="41">
        <v>38221</v>
      </c>
      <c r="AT159" s="41">
        <v>38453</v>
      </c>
      <c r="AU159" s="41">
        <v>38676</v>
      </c>
      <c r="AV159" s="41">
        <v>38892</v>
      </c>
      <c r="AW159" s="41">
        <v>39096</v>
      </c>
      <c r="AX159" s="41">
        <v>39294</v>
      </c>
      <c r="AY159" s="41">
        <v>39480</v>
      </c>
    </row>
    <row r="160" spans="1:51">
      <c r="A160" s="38" t="s">
        <v>436</v>
      </c>
      <c r="B160" s="38" t="s">
        <v>437</v>
      </c>
      <c r="C160" s="41">
        <v>175916</v>
      </c>
      <c r="D160" s="41">
        <v>174247</v>
      </c>
      <c r="E160" s="41">
        <v>174447</v>
      </c>
      <c r="F160" s="41">
        <v>173012</v>
      </c>
      <c r="G160" s="41">
        <v>173016</v>
      </c>
      <c r="H160" s="41">
        <v>172192</v>
      </c>
      <c r="I160" s="41">
        <v>170438</v>
      </c>
      <c r="J160" s="41">
        <v>171317</v>
      </c>
      <c r="K160" s="41">
        <v>172516</v>
      </c>
      <c r="L160" s="41">
        <v>176592</v>
      </c>
      <c r="M160" s="41">
        <v>179125</v>
      </c>
      <c r="N160" s="41">
        <v>180814</v>
      </c>
      <c r="O160" s="41">
        <v>183720</v>
      </c>
      <c r="P160" s="41">
        <v>186272</v>
      </c>
      <c r="Q160" s="41">
        <v>189896</v>
      </c>
      <c r="R160" s="41">
        <v>192093</v>
      </c>
      <c r="S160" s="41">
        <v>193867</v>
      </c>
      <c r="T160" s="41">
        <v>196141</v>
      </c>
      <c r="U160" s="41">
        <v>198499</v>
      </c>
      <c r="V160" s="41">
        <v>201332</v>
      </c>
      <c r="W160" s="41">
        <v>204819</v>
      </c>
      <c r="X160" s="41">
        <v>208065</v>
      </c>
      <c r="Y160" s="41">
        <v>210552</v>
      </c>
      <c r="Z160" s="41">
        <v>213116</v>
      </c>
      <c r="AA160" s="41">
        <v>216695</v>
      </c>
      <c r="AB160" s="41">
        <v>220121</v>
      </c>
      <c r="AC160" s="41">
        <v>223092</v>
      </c>
      <c r="AD160" s="41">
        <v>225843</v>
      </c>
      <c r="AE160" s="41">
        <v>228380</v>
      </c>
      <c r="AF160" s="41">
        <v>230843</v>
      </c>
      <c r="AG160" s="41">
        <v>233259</v>
      </c>
      <c r="AH160" s="41">
        <v>235483</v>
      </c>
      <c r="AI160" s="41">
        <v>237727</v>
      </c>
      <c r="AJ160" s="41">
        <v>240007</v>
      </c>
      <c r="AK160" s="41">
        <v>242385</v>
      </c>
      <c r="AL160" s="41">
        <v>244892</v>
      </c>
      <c r="AM160" s="41">
        <v>247319</v>
      </c>
      <c r="AN160" s="41">
        <v>249669</v>
      </c>
      <c r="AO160" s="41">
        <v>251946</v>
      </c>
      <c r="AP160" s="41">
        <v>254237</v>
      </c>
      <c r="AQ160" s="41">
        <v>256599</v>
      </c>
      <c r="AR160" s="41">
        <v>258985</v>
      </c>
      <c r="AS160" s="41">
        <v>261206</v>
      </c>
      <c r="AT160" s="41">
        <v>263324</v>
      </c>
      <c r="AU160" s="41">
        <v>265406</v>
      </c>
      <c r="AV160" s="41">
        <v>267496</v>
      </c>
      <c r="AW160" s="41">
        <v>269610</v>
      </c>
      <c r="AX160" s="41">
        <v>271661</v>
      </c>
      <c r="AY160" s="41">
        <v>273662</v>
      </c>
    </row>
    <row r="161" spans="1:51">
      <c r="A161" s="38" t="s">
        <v>438</v>
      </c>
      <c r="B161" s="38" t="s">
        <v>439</v>
      </c>
      <c r="C161" s="41">
        <v>40811</v>
      </c>
      <c r="D161" s="41">
        <v>41088</v>
      </c>
      <c r="E161" s="41">
        <v>41290</v>
      </c>
      <c r="F161" s="41">
        <v>41425</v>
      </c>
      <c r="G161" s="41">
        <v>41529</v>
      </c>
      <c r="H161" s="41">
        <v>41649</v>
      </c>
      <c r="I161" s="41">
        <v>41496</v>
      </c>
      <c r="J161" s="41">
        <v>41225</v>
      </c>
      <c r="K161" s="41">
        <v>41570</v>
      </c>
      <c r="L161" s="41">
        <v>41529</v>
      </c>
      <c r="M161" s="41">
        <v>41492</v>
      </c>
      <c r="N161" s="41">
        <v>41663</v>
      </c>
      <c r="O161" s="41">
        <v>42013</v>
      </c>
      <c r="P161" s="41">
        <v>42263</v>
      </c>
      <c r="Q161" s="41">
        <v>42669</v>
      </c>
      <c r="R161" s="41">
        <v>43148</v>
      </c>
      <c r="S161" s="41">
        <v>43540</v>
      </c>
      <c r="T161" s="41">
        <v>44102</v>
      </c>
      <c r="U161" s="41">
        <v>44409</v>
      </c>
      <c r="V161" s="41">
        <v>44710</v>
      </c>
      <c r="W161" s="41">
        <v>44950</v>
      </c>
      <c r="X161" s="41">
        <v>45204</v>
      </c>
      <c r="Y161" s="41">
        <v>45583</v>
      </c>
      <c r="Z161" s="41">
        <v>45965</v>
      </c>
      <c r="AA161" s="41">
        <v>46246</v>
      </c>
      <c r="AB161" s="41">
        <v>46534</v>
      </c>
      <c r="AC161" s="41">
        <v>46810</v>
      </c>
      <c r="AD161" s="41">
        <v>47079</v>
      </c>
      <c r="AE161" s="41">
        <v>47368</v>
      </c>
      <c r="AF161" s="41">
        <v>47628</v>
      </c>
      <c r="AG161" s="41">
        <v>47877</v>
      </c>
      <c r="AH161" s="41">
        <v>48116</v>
      </c>
      <c r="AI161" s="41">
        <v>48350</v>
      </c>
      <c r="AJ161" s="41">
        <v>48601</v>
      </c>
      <c r="AK161" s="41">
        <v>48841</v>
      </c>
      <c r="AL161" s="41">
        <v>49089</v>
      </c>
      <c r="AM161" s="41">
        <v>49322</v>
      </c>
      <c r="AN161" s="41">
        <v>49548</v>
      </c>
      <c r="AO161" s="41">
        <v>49796</v>
      </c>
      <c r="AP161" s="41">
        <v>50036</v>
      </c>
      <c r="AQ161" s="41">
        <v>50277</v>
      </c>
      <c r="AR161" s="41">
        <v>50505</v>
      </c>
      <c r="AS161" s="41">
        <v>50721</v>
      </c>
      <c r="AT161" s="41">
        <v>50942</v>
      </c>
      <c r="AU161" s="41">
        <v>51144</v>
      </c>
      <c r="AV161" s="41">
        <v>51337</v>
      </c>
      <c r="AW161" s="41">
        <v>51539</v>
      </c>
      <c r="AX161" s="41">
        <v>51725</v>
      </c>
      <c r="AY161" s="41">
        <v>51907</v>
      </c>
    </row>
    <row r="162" spans="1:51">
      <c r="A162" s="38" t="s">
        <v>440</v>
      </c>
      <c r="B162" s="38" t="s">
        <v>441</v>
      </c>
      <c r="C162" s="41">
        <v>93056</v>
      </c>
      <c r="D162" s="41">
        <v>94038</v>
      </c>
      <c r="E162" s="41">
        <v>94016</v>
      </c>
      <c r="F162" s="41">
        <v>94399</v>
      </c>
      <c r="G162" s="41">
        <v>94479</v>
      </c>
      <c r="H162" s="41">
        <v>94961</v>
      </c>
      <c r="I162" s="41">
        <v>95669</v>
      </c>
      <c r="J162" s="41">
        <v>97016</v>
      </c>
      <c r="K162" s="41">
        <v>97840</v>
      </c>
      <c r="L162" s="41">
        <v>99042</v>
      </c>
      <c r="M162" s="41">
        <v>99737</v>
      </c>
      <c r="N162" s="41">
        <v>100027</v>
      </c>
      <c r="O162" s="41">
        <v>100497</v>
      </c>
      <c r="P162" s="41">
        <v>100594</v>
      </c>
      <c r="Q162" s="41">
        <v>101056</v>
      </c>
      <c r="R162" s="41">
        <v>101608</v>
      </c>
      <c r="S162" s="41">
        <v>102684</v>
      </c>
      <c r="T162" s="41">
        <v>103823</v>
      </c>
      <c r="U162" s="41">
        <v>104727</v>
      </c>
      <c r="V162" s="41">
        <v>105737</v>
      </c>
      <c r="W162" s="41">
        <v>106598</v>
      </c>
      <c r="X162" s="41">
        <v>108182</v>
      </c>
      <c r="Y162" s="41">
        <v>109736</v>
      </c>
      <c r="Z162" s="41">
        <v>111238</v>
      </c>
      <c r="AA162" s="41">
        <v>112642</v>
      </c>
      <c r="AB162" s="41">
        <v>114119</v>
      </c>
      <c r="AC162" s="41">
        <v>115571</v>
      </c>
      <c r="AD162" s="41">
        <v>116977</v>
      </c>
      <c r="AE162" s="41">
        <v>118368</v>
      </c>
      <c r="AF162" s="41">
        <v>119739</v>
      </c>
      <c r="AG162" s="41">
        <v>121122</v>
      </c>
      <c r="AH162" s="41">
        <v>122474</v>
      </c>
      <c r="AI162" s="41">
        <v>123780</v>
      </c>
      <c r="AJ162" s="41">
        <v>125066</v>
      </c>
      <c r="AK162" s="41">
        <v>126336</v>
      </c>
      <c r="AL162" s="41">
        <v>127639</v>
      </c>
      <c r="AM162" s="41">
        <v>128914</v>
      </c>
      <c r="AN162" s="41">
        <v>130188</v>
      </c>
      <c r="AO162" s="41">
        <v>131475</v>
      </c>
      <c r="AP162" s="41">
        <v>132768</v>
      </c>
      <c r="AQ162" s="41">
        <v>134089</v>
      </c>
      <c r="AR162" s="41">
        <v>135408</v>
      </c>
      <c r="AS162" s="41">
        <v>136700</v>
      </c>
      <c r="AT162" s="41">
        <v>137960</v>
      </c>
      <c r="AU162" s="41">
        <v>139201</v>
      </c>
      <c r="AV162" s="41">
        <v>140439</v>
      </c>
      <c r="AW162" s="41">
        <v>141698</v>
      </c>
      <c r="AX162" s="41">
        <v>142913</v>
      </c>
      <c r="AY162" s="41">
        <v>144103</v>
      </c>
    </row>
    <row r="163" spans="1:51">
      <c r="A163" s="38" t="s">
        <v>442</v>
      </c>
      <c r="B163" s="38" t="s">
        <v>443</v>
      </c>
      <c r="C163" s="41">
        <v>17923</v>
      </c>
      <c r="D163" s="41">
        <v>18211</v>
      </c>
      <c r="E163" s="41">
        <v>18350</v>
      </c>
      <c r="F163" s="41">
        <v>18550</v>
      </c>
      <c r="G163" s="41">
        <v>18654</v>
      </c>
      <c r="H163" s="41">
        <v>18776</v>
      </c>
      <c r="I163" s="41">
        <v>18896</v>
      </c>
      <c r="J163" s="41">
        <v>18791</v>
      </c>
      <c r="K163" s="41">
        <v>19215</v>
      </c>
      <c r="L163" s="41">
        <v>19445</v>
      </c>
      <c r="M163" s="41">
        <v>19627</v>
      </c>
      <c r="N163" s="41">
        <v>19798</v>
      </c>
      <c r="O163" s="41">
        <v>20018</v>
      </c>
      <c r="P163" s="41">
        <v>20170</v>
      </c>
      <c r="Q163" s="41">
        <v>20305</v>
      </c>
      <c r="R163" s="41">
        <v>20407</v>
      </c>
      <c r="S163" s="41">
        <v>20628</v>
      </c>
      <c r="T163" s="41">
        <v>20798</v>
      </c>
      <c r="U163" s="41">
        <v>20947</v>
      </c>
      <c r="V163" s="41">
        <v>21327</v>
      </c>
      <c r="W163" s="41">
        <v>21562</v>
      </c>
      <c r="X163" s="41">
        <v>21656</v>
      </c>
      <c r="Y163" s="41">
        <v>21777</v>
      </c>
      <c r="Z163" s="41">
        <v>21899</v>
      </c>
      <c r="AA163" s="41">
        <v>22083</v>
      </c>
      <c r="AB163" s="41">
        <v>22249</v>
      </c>
      <c r="AC163" s="41">
        <v>22417</v>
      </c>
      <c r="AD163" s="41">
        <v>22607</v>
      </c>
      <c r="AE163" s="41">
        <v>22784</v>
      </c>
      <c r="AF163" s="41">
        <v>22962</v>
      </c>
      <c r="AG163" s="41">
        <v>23128</v>
      </c>
      <c r="AH163" s="41">
        <v>23284</v>
      </c>
      <c r="AI163" s="41">
        <v>23451</v>
      </c>
      <c r="AJ163" s="41">
        <v>23616</v>
      </c>
      <c r="AK163" s="41">
        <v>23772</v>
      </c>
      <c r="AL163" s="41">
        <v>23930</v>
      </c>
      <c r="AM163" s="41">
        <v>24083</v>
      </c>
      <c r="AN163" s="41">
        <v>24234</v>
      </c>
      <c r="AO163" s="41">
        <v>24383</v>
      </c>
      <c r="AP163" s="41">
        <v>24525</v>
      </c>
      <c r="AQ163" s="41">
        <v>24668</v>
      </c>
      <c r="AR163" s="41">
        <v>24804</v>
      </c>
      <c r="AS163" s="41">
        <v>24943</v>
      </c>
      <c r="AT163" s="41">
        <v>25073</v>
      </c>
      <c r="AU163" s="41">
        <v>25197</v>
      </c>
      <c r="AV163" s="41">
        <v>25326</v>
      </c>
      <c r="AW163" s="41">
        <v>25448</v>
      </c>
      <c r="AX163" s="41">
        <v>25560</v>
      </c>
      <c r="AY163" s="41">
        <v>25665</v>
      </c>
    </row>
    <row r="164" spans="1:51">
      <c r="A164" s="38" t="s">
        <v>444</v>
      </c>
      <c r="B164" s="38" t="s">
        <v>445</v>
      </c>
      <c r="C164" s="41">
        <v>38433</v>
      </c>
      <c r="D164" s="41">
        <v>38930</v>
      </c>
      <c r="E164" s="41">
        <v>39137</v>
      </c>
      <c r="F164" s="41">
        <v>39351</v>
      </c>
      <c r="G164" s="41">
        <v>39820</v>
      </c>
      <c r="H164" s="41">
        <v>40049</v>
      </c>
      <c r="I164" s="41">
        <v>40572</v>
      </c>
      <c r="J164" s="41">
        <v>40710</v>
      </c>
      <c r="K164" s="41">
        <v>41711</v>
      </c>
      <c r="L164" s="41">
        <v>42466</v>
      </c>
      <c r="M164" s="41">
        <v>42970</v>
      </c>
      <c r="N164" s="41">
        <v>43333</v>
      </c>
      <c r="O164" s="41">
        <v>43646</v>
      </c>
      <c r="P164" s="41">
        <v>43975</v>
      </c>
      <c r="Q164" s="41">
        <v>44342</v>
      </c>
      <c r="R164" s="41">
        <v>44607</v>
      </c>
      <c r="S164" s="41">
        <v>45087</v>
      </c>
      <c r="T164" s="41">
        <v>45548</v>
      </c>
      <c r="U164" s="41">
        <v>45690</v>
      </c>
      <c r="V164" s="41">
        <v>45985</v>
      </c>
      <c r="W164" s="41">
        <v>46249</v>
      </c>
      <c r="X164" s="41">
        <v>46681</v>
      </c>
      <c r="Y164" s="41">
        <v>46876</v>
      </c>
      <c r="Z164" s="41">
        <v>47453</v>
      </c>
      <c r="AA164" s="41">
        <v>47896</v>
      </c>
      <c r="AB164" s="41">
        <v>48326</v>
      </c>
      <c r="AC164" s="41">
        <v>48776</v>
      </c>
      <c r="AD164" s="41">
        <v>49239</v>
      </c>
      <c r="AE164" s="41">
        <v>49717</v>
      </c>
      <c r="AF164" s="41">
        <v>50170</v>
      </c>
      <c r="AG164" s="41">
        <v>50584</v>
      </c>
      <c r="AH164" s="41">
        <v>51014</v>
      </c>
      <c r="AI164" s="41">
        <v>51460</v>
      </c>
      <c r="AJ164" s="41">
        <v>51909</v>
      </c>
      <c r="AK164" s="41">
        <v>52344</v>
      </c>
      <c r="AL164" s="41">
        <v>52764</v>
      </c>
      <c r="AM164" s="41">
        <v>53192</v>
      </c>
      <c r="AN164" s="41">
        <v>53617</v>
      </c>
      <c r="AO164" s="41">
        <v>54038</v>
      </c>
      <c r="AP164" s="41">
        <v>54447</v>
      </c>
      <c r="AQ164" s="41">
        <v>54832</v>
      </c>
      <c r="AR164" s="41">
        <v>55186</v>
      </c>
      <c r="AS164" s="41">
        <v>55533</v>
      </c>
      <c r="AT164" s="41">
        <v>55872</v>
      </c>
      <c r="AU164" s="41">
        <v>56205</v>
      </c>
      <c r="AV164" s="41">
        <v>56524</v>
      </c>
      <c r="AW164" s="41">
        <v>56838</v>
      </c>
      <c r="AX164" s="41">
        <v>57144</v>
      </c>
      <c r="AY164" s="41">
        <v>57433</v>
      </c>
    </row>
    <row r="165" spans="1:51">
      <c r="A165" s="38" t="s">
        <v>446</v>
      </c>
      <c r="B165" s="38" t="s">
        <v>447</v>
      </c>
      <c r="C165" s="41">
        <v>70148</v>
      </c>
      <c r="D165" s="41">
        <v>70453</v>
      </c>
      <c r="E165" s="41">
        <v>71191</v>
      </c>
      <c r="F165" s="41">
        <v>71846</v>
      </c>
      <c r="G165" s="41">
        <v>72508</v>
      </c>
      <c r="H165" s="41">
        <v>73605</v>
      </c>
      <c r="I165" s="41">
        <v>73964</v>
      </c>
      <c r="J165" s="41">
        <v>74353</v>
      </c>
      <c r="K165" s="41">
        <v>75802</v>
      </c>
      <c r="L165" s="41">
        <v>77505</v>
      </c>
      <c r="M165" s="41">
        <v>79057</v>
      </c>
      <c r="N165" s="41">
        <v>78843</v>
      </c>
      <c r="O165" s="41">
        <v>78184</v>
      </c>
      <c r="P165" s="41">
        <v>77682</v>
      </c>
      <c r="Q165" s="41">
        <v>77900</v>
      </c>
      <c r="R165" s="41">
        <v>78203</v>
      </c>
      <c r="S165" s="41">
        <v>78167</v>
      </c>
      <c r="T165" s="41">
        <v>78400</v>
      </c>
      <c r="U165" s="41">
        <v>78981</v>
      </c>
      <c r="V165" s="41">
        <v>78939</v>
      </c>
      <c r="W165" s="41">
        <v>79064</v>
      </c>
      <c r="X165" s="41">
        <v>80055</v>
      </c>
      <c r="Y165" s="41">
        <v>80912</v>
      </c>
      <c r="Z165" s="41">
        <v>81282</v>
      </c>
      <c r="AA165" s="41">
        <v>82601</v>
      </c>
      <c r="AB165" s="41">
        <v>83800</v>
      </c>
      <c r="AC165" s="41">
        <v>84996</v>
      </c>
      <c r="AD165" s="41">
        <v>86184</v>
      </c>
      <c r="AE165" s="41">
        <v>87340</v>
      </c>
      <c r="AF165" s="41">
        <v>88501</v>
      </c>
      <c r="AG165" s="41">
        <v>89636</v>
      </c>
      <c r="AH165" s="41">
        <v>90764</v>
      </c>
      <c r="AI165" s="41">
        <v>91862</v>
      </c>
      <c r="AJ165" s="41">
        <v>92947</v>
      </c>
      <c r="AK165" s="41">
        <v>94033</v>
      </c>
      <c r="AL165" s="41">
        <v>95118</v>
      </c>
      <c r="AM165" s="41">
        <v>96199</v>
      </c>
      <c r="AN165" s="41">
        <v>97255</v>
      </c>
      <c r="AO165" s="41">
        <v>98300</v>
      </c>
      <c r="AP165" s="41">
        <v>99354</v>
      </c>
      <c r="AQ165" s="41">
        <v>100391</v>
      </c>
      <c r="AR165" s="41">
        <v>101427</v>
      </c>
      <c r="AS165" s="41">
        <v>102450</v>
      </c>
      <c r="AT165" s="41">
        <v>103470</v>
      </c>
      <c r="AU165" s="41">
        <v>104512</v>
      </c>
      <c r="AV165" s="41">
        <v>105576</v>
      </c>
      <c r="AW165" s="41">
        <v>106664</v>
      </c>
      <c r="AX165" s="41">
        <v>107743</v>
      </c>
      <c r="AY165" s="41">
        <v>108785</v>
      </c>
    </row>
    <row r="166" spans="1:51">
      <c r="A166" s="38" t="s">
        <v>448</v>
      </c>
      <c r="B166" s="38" t="s">
        <v>449</v>
      </c>
      <c r="C166" s="41">
        <v>25608</v>
      </c>
      <c r="D166" s="41">
        <v>25669</v>
      </c>
      <c r="E166" s="41">
        <v>26038</v>
      </c>
      <c r="F166" s="41">
        <v>26487</v>
      </c>
      <c r="G166" s="41">
        <v>26611</v>
      </c>
      <c r="H166" s="41">
        <v>26787</v>
      </c>
      <c r="I166" s="41">
        <v>27128</v>
      </c>
      <c r="J166" s="41">
        <v>27598</v>
      </c>
      <c r="K166" s="41">
        <v>27922</v>
      </c>
      <c r="L166" s="41">
        <v>28542</v>
      </c>
      <c r="M166" s="41">
        <v>29037</v>
      </c>
      <c r="N166" s="41">
        <v>29436</v>
      </c>
      <c r="O166" s="41">
        <v>29842</v>
      </c>
      <c r="P166" s="41">
        <v>30384</v>
      </c>
      <c r="Q166" s="41">
        <v>30782</v>
      </c>
      <c r="R166" s="41">
        <v>31153</v>
      </c>
      <c r="S166" s="41">
        <v>31751</v>
      </c>
      <c r="T166" s="41">
        <v>32120</v>
      </c>
      <c r="U166" s="41">
        <v>32390</v>
      </c>
      <c r="V166" s="41">
        <v>32621</v>
      </c>
      <c r="W166" s="41">
        <v>32839</v>
      </c>
      <c r="X166" s="41">
        <v>33088</v>
      </c>
      <c r="Y166" s="41">
        <v>33259</v>
      </c>
      <c r="Z166" s="41">
        <v>33602</v>
      </c>
      <c r="AA166" s="41">
        <v>33857</v>
      </c>
      <c r="AB166" s="41">
        <v>34116</v>
      </c>
      <c r="AC166" s="41">
        <v>34383</v>
      </c>
      <c r="AD166" s="41">
        <v>34664</v>
      </c>
      <c r="AE166" s="41">
        <v>34970</v>
      </c>
      <c r="AF166" s="41">
        <v>35254</v>
      </c>
      <c r="AG166" s="41">
        <v>35539</v>
      </c>
      <c r="AH166" s="41">
        <v>35825</v>
      </c>
      <c r="AI166" s="41">
        <v>36110</v>
      </c>
      <c r="AJ166" s="41">
        <v>36392</v>
      </c>
      <c r="AK166" s="41">
        <v>36659</v>
      </c>
      <c r="AL166" s="41">
        <v>36946</v>
      </c>
      <c r="AM166" s="41">
        <v>37229</v>
      </c>
      <c r="AN166" s="41">
        <v>37495</v>
      </c>
      <c r="AO166" s="41">
        <v>37753</v>
      </c>
      <c r="AP166" s="41">
        <v>38017</v>
      </c>
      <c r="AQ166" s="41">
        <v>38274</v>
      </c>
      <c r="AR166" s="41">
        <v>38518</v>
      </c>
      <c r="AS166" s="41">
        <v>38758</v>
      </c>
      <c r="AT166" s="41">
        <v>38992</v>
      </c>
      <c r="AU166" s="41">
        <v>39228</v>
      </c>
      <c r="AV166" s="41">
        <v>39471</v>
      </c>
      <c r="AW166" s="41">
        <v>39713</v>
      </c>
      <c r="AX166" s="41">
        <v>39943</v>
      </c>
      <c r="AY166" s="41">
        <v>40160</v>
      </c>
    </row>
    <row r="167" spans="1:51">
      <c r="A167" s="38" t="s">
        <v>450</v>
      </c>
      <c r="B167" s="38" t="s">
        <v>451</v>
      </c>
      <c r="C167" s="41">
        <v>31014</v>
      </c>
      <c r="D167" s="41">
        <v>31164</v>
      </c>
      <c r="E167" s="41">
        <v>31209</v>
      </c>
      <c r="F167" s="41">
        <v>31813</v>
      </c>
      <c r="G167" s="41">
        <v>32313</v>
      </c>
      <c r="H167" s="41">
        <v>32875</v>
      </c>
      <c r="I167" s="41">
        <v>33448</v>
      </c>
      <c r="J167" s="41">
        <v>33821</v>
      </c>
      <c r="K167" s="41">
        <v>34504</v>
      </c>
      <c r="L167" s="41">
        <v>34971</v>
      </c>
      <c r="M167" s="41">
        <v>35503</v>
      </c>
      <c r="N167" s="41">
        <v>35960</v>
      </c>
      <c r="O167" s="41">
        <v>36372</v>
      </c>
      <c r="P167" s="41">
        <v>36850</v>
      </c>
      <c r="Q167" s="41">
        <v>37492</v>
      </c>
      <c r="R167" s="41">
        <v>38025</v>
      </c>
      <c r="S167" s="41">
        <v>38767</v>
      </c>
      <c r="T167" s="41">
        <v>39258</v>
      </c>
      <c r="U167" s="41">
        <v>39607</v>
      </c>
      <c r="V167" s="41">
        <v>40101</v>
      </c>
      <c r="W167" s="41">
        <v>40482</v>
      </c>
      <c r="X167" s="41">
        <v>40961</v>
      </c>
      <c r="Y167" s="41">
        <v>41279</v>
      </c>
      <c r="Z167" s="41">
        <v>41935</v>
      </c>
      <c r="AA167" s="41">
        <v>42371</v>
      </c>
      <c r="AB167" s="41">
        <v>42827</v>
      </c>
      <c r="AC167" s="41">
        <v>43300</v>
      </c>
      <c r="AD167" s="41">
        <v>43749</v>
      </c>
      <c r="AE167" s="41">
        <v>44210</v>
      </c>
      <c r="AF167" s="41">
        <v>44652</v>
      </c>
      <c r="AG167" s="41">
        <v>45096</v>
      </c>
      <c r="AH167" s="41">
        <v>45546</v>
      </c>
      <c r="AI167" s="41">
        <v>45963</v>
      </c>
      <c r="AJ167" s="41">
        <v>46388</v>
      </c>
      <c r="AK167" s="41">
        <v>46793</v>
      </c>
      <c r="AL167" s="41">
        <v>47200</v>
      </c>
      <c r="AM167" s="41">
        <v>47598</v>
      </c>
      <c r="AN167" s="41">
        <v>47970</v>
      </c>
      <c r="AO167" s="41">
        <v>48358</v>
      </c>
      <c r="AP167" s="41">
        <v>48733</v>
      </c>
      <c r="AQ167" s="41">
        <v>49108</v>
      </c>
      <c r="AR167" s="41">
        <v>49463</v>
      </c>
      <c r="AS167" s="41">
        <v>49799</v>
      </c>
      <c r="AT167" s="41">
        <v>50132</v>
      </c>
      <c r="AU167" s="41">
        <v>50452</v>
      </c>
      <c r="AV167" s="41">
        <v>50765</v>
      </c>
      <c r="AW167" s="41">
        <v>51055</v>
      </c>
      <c r="AX167" s="41">
        <v>51329</v>
      </c>
      <c r="AY167" s="41">
        <v>51604</v>
      </c>
    </row>
    <row r="168" spans="1:51">
      <c r="A168" s="38" t="s">
        <v>452</v>
      </c>
      <c r="B168" s="38" t="s">
        <v>453</v>
      </c>
      <c r="C168" s="41">
        <v>47880</v>
      </c>
      <c r="D168" s="41">
        <v>48486</v>
      </c>
      <c r="E168" s="41">
        <v>48830</v>
      </c>
      <c r="F168" s="41">
        <v>49351</v>
      </c>
      <c r="G168" s="41">
        <v>49959</v>
      </c>
      <c r="H168" s="41">
        <v>50126</v>
      </c>
      <c r="I168" s="41">
        <v>50468</v>
      </c>
      <c r="J168" s="41">
        <v>51299</v>
      </c>
      <c r="K168" s="41">
        <v>51559</v>
      </c>
      <c r="L168" s="41">
        <v>51655</v>
      </c>
      <c r="M168" s="41">
        <v>51973</v>
      </c>
      <c r="N168" s="41">
        <v>52089</v>
      </c>
      <c r="O168" s="41">
        <v>52556</v>
      </c>
      <c r="P168" s="41">
        <v>52902</v>
      </c>
      <c r="Q168" s="41">
        <v>53334</v>
      </c>
      <c r="R168" s="41">
        <v>53985</v>
      </c>
      <c r="S168" s="41">
        <v>54740</v>
      </c>
      <c r="T168" s="41">
        <v>55518</v>
      </c>
      <c r="U168" s="41">
        <v>56251</v>
      </c>
      <c r="V168" s="41">
        <v>57017</v>
      </c>
      <c r="W168" s="41">
        <v>57600</v>
      </c>
      <c r="X168" s="41">
        <v>58153</v>
      </c>
      <c r="Y168" s="41">
        <v>58907</v>
      </c>
      <c r="Z168" s="41">
        <v>59737</v>
      </c>
      <c r="AA168" s="41">
        <v>60420</v>
      </c>
      <c r="AB168" s="41">
        <v>61122</v>
      </c>
      <c r="AC168" s="41">
        <v>61838</v>
      </c>
      <c r="AD168" s="41">
        <v>62582</v>
      </c>
      <c r="AE168" s="41">
        <v>63348</v>
      </c>
      <c r="AF168" s="41">
        <v>64059</v>
      </c>
      <c r="AG168" s="41">
        <v>64776</v>
      </c>
      <c r="AH168" s="41">
        <v>65480</v>
      </c>
      <c r="AI168" s="41">
        <v>66199</v>
      </c>
      <c r="AJ168" s="41">
        <v>66944</v>
      </c>
      <c r="AK168" s="41">
        <v>67657</v>
      </c>
      <c r="AL168" s="41">
        <v>68376</v>
      </c>
      <c r="AM168" s="41">
        <v>69077</v>
      </c>
      <c r="AN168" s="41">
        <v>69782</v>
      </c>
      <c r="AO168" s="41">
        <v>70489</v>
      </c>
      <c r="AP168" s="41">
        <v>71186</v>
      </c>
      <c r="AQ168" s="41">
        <v>71876</v>
      </c>
      <c r="AR168" s="41">
        <v>72533</v>
      </c>
      <c r="AS168" s="41">
        <v>73188</v>
      </c>
      <c r="AT168" s="41">
        <v>73846</v>
      </c>
      <c r="AU168" s="41">
        <v>74502</v>
      </c>
      <c r="AV168" s="41">
        <v>75159</v>
      </c>
      <c r="AW168" s="41">
        <v>75818</v>
      </c>
      <c r="AX168" s="41">
        <v>76451</v>
      </c>
      <c r="AY168" s="41">
        <v>77069</v>
      </c>
    </row>
    <row r="169" spans="1:51">
      <c r="A169" s="38" t="s">
        <v>454</v>
      </c>
      <c r="B169" s="38" t="s">
        <v>455</v>
      </c>
      <c r="C169" s="41">
        <v>55679</v>
      </c>
      <c r="D169" s="41">
        <v>55640</v>
      </c>
      <c r="E169" s="41">
        <v>55994</v>
      </c>
      <c r="F169" s="41">
        <v>56473</v>
      </c>
      <c r="G169" s="41">
        <v>56925</v>
      </c>
      <c r="H169" s="41">
        <v>56986</v>
      </c>
      <c r="I169" s="41">
        <v>56839</v>
      </c>
      <c r="J169" s="41">
        <v>57065</v>
      </c>
      <c r="K169" s="41">
        <v>57040</v>
      </c>
      <c r="L169" s="41">
        <v>57224</v>
      </c>
      <c r="M169" s="41">
        <v>57387</v>
      </c>
      <c r="N169" s="41">
        <v>57155</v>
      </c>
      <c r="O169" s="41">
        <v>56942</v>
      </c>
      <c r="P169" s="41">
        <v>56818</v>
      </c>
      <c r="Q169" s="41">
        <v>56951</v>
      </c>
      <c r="R169" s="41">
        <v>56957</v>
      </c>
      <c r="S169" s="41">
        <v>57020</v>
      </c>
      <c r="T169" s="41">
        <v>57039</v>
      </c>
      <c r="U169" s="41">
        <v>56875</v>
      </c>
      <c r="V169" s="41">
        <v>56950</v>
      </c>
      <c r="W169" s="41">
        <v>57145</v>
      </c>
      <c r="X169" s="41">
        <v>57346</v>
      </c>
      <c r="Y169" s="41">
        <v>57510</v>
      </c>
      <c r="Z169" s="41">
        <v>57673</v>
      </c>
      <c r="AA169" s="41">
        <v>57946</v>
      </c>
      <c r="AB169" s="41">
        <v>58278</v>
      </c>
      <c r="AC169" s="41">
        <v>58589</v>
      </c>
      <c r="AD169" s="41">
        <v>58882</v>
      </c>
      <c r="AE169" s="41">
        <v>59154</v>
      </c>
      <c r="AF169" s="41">
        <v>59387</v>
      </c>
      <c r="AG169" s="41">
        <v>59641</v>
      </c>
      <c r="AH169" s="41">
        <v>59858</v>
      </c>
      <c r="AI169" s="41">
        <v>60067</v>
      </c>
      <c r="AJ169" s="41">
        <v>60287</v>
      </c>
      <c r="AK169" s="41">
        <v>60517</v>
      </c>
      <c r="AL169" s="41">
        <v>60790</v>
      </c>
      <c r="AM169" s="41">
        <v>61038</v>
      </c>
      <c r="AN169" s="41">
        <v>61292</v>
      </c>
      <c r="AO169" s="41">
        <v>61531</v>
      </c>
      <c r="AP169" s="41">
        <v>61783</v>
      </c>
      <c r="AQ169" s="41">
        <v>62063</v>
      </c>
      <c r="AR169" s="41">
        <v>62305</v>
      </c>
      <c r="AS169" s="41">
        <v>62547</v>
      </c>
      <c r="AT169" s="41">
        <v>62758</v>
      </c>
      <c r="AU169" s="41">
        <v>62970</v>
      </c>
      <c r="AV169" s="41">
        <v>63182</v>
      </c>
      <c r="AW169" s="41">
        <v>63387</v>
      </c>
      <c r="AX169" s="41">
        <v>63575</v>
      </c>
      <c r="AY169" s="41">
        <v>63736</v>
      </c>
    </row>
    <row r="170" spans="1:51">
      <c r="A170" s="38" t="s">
        <v>456</v>
      </c>
      <c r="B170" s="38" t="s">
        <v>457</v>
      </c>
      <c r="C170" s="41">
        <v>67236</v>
      </c>
      <c r="D170" s="41">
        <v>68272</v>
      </c>
      <c r="E170" s="41">
        <v>69868</v>
      </c>
      <c r="F170" s="41">
        <v>71717</v>
      </c>
      <c r="G170" s="41">
        <v>73943</v>
      </c>
      <c r="H170" s="41">
        <v>76003</v>
      </c>
      <c r="I170" s="41">
        <v>77632</v>
      </c>
      <c r="J170" s="41">
        <v>79226</v>
      </c>
      <c r="K170" s="41">
        <v>81260</v>
      </c>
      <c r="L170" s="41">
        <v>83082</v>
      </c>
      <c r="M170" s="41">
        <v>84873</v>
      </c>
      <c r="N170" s="41">
        <v>85936</v>
      </c>
      <c r="O170" s="41">
        <v>87009</v>
      </c>
      <c r="P170" s="41">
        <v>87724</v>
      </c>
      <c r="Q170" s="41">
        <v>89329</v>
      </c>
      <c r="R170" s="41">
        <v>90952</v>
      </c>
      <c r="S170" s="41">
        <v>92253</v>
      </c>
      <c r="T170" s="41">
        <v>93974</v>
      </c>
      <c r="U170" s="41">
        <v>95571</v>
      </c>
      <c r="V170" s="41">
        <v>97534</v>
      </c>
      <c r="W170" s="41">
        <v>98966</v>
      </c>
      <c r="X170" s="41">
        <v>100107</v>
      </c>
      <c r="Y170" s="41">
        <v>101512</v>
      </c>
      <c r="Z170" s="41">
        <v>103168</v>
      </c>
      <c r="AA170" s="41">
        <v>104879</v>
      </c>
      <c r="AB170" s="41">
        <v>106505</v>
      </c>
      <c r="AC170" s="41">
        <v>108090</v>
      </c>
      <c r="AD170" s="41">
        <v>109698</v>
      </c>
      <c r="AE170" s="41">
        <v>111293</v>
      </c>
      <c r="AF170" s="41">
        <v>112848</v>
      </c>
      <c r="AG170" s="41">
        <v>114347</v>
      </c>
      <c r="AH170" s="41">
        <v>115783</v>
      </c>
      <c r="AI170" s="41">
        <v>117240</v>
      </c>
      <c r="AJ170" s="41">
        <v>118668</v>
      </c>
      <c r="AK170" s="41">
        <v>120081</v>
      </c>
      <c r="AL170" s="41">
        <v>121499</v>
      </c>
      <c r="AM170" s="41">
        <v>122912</v>
      </c>
      <c r="AN170" s="41">
        <v>124318</v>
      </c>
      <c r="AO170" s="41">
        <v>125713</v>
      </c>
      <c r="AP170" s="41">
        <v>127075</v>
      </c>
      <c r="AQ170" s="41">
        <v>128426</v>
      </c>
      <c r="AR170" s="41">
        <v>129746</v>
      </c>
      <c r="AS170" s="41">
        <v>131029</v>
      </c>
      <c r="AT170" s="41">
        <v>132266</v>
      </c>
      <c r="AU170" s="41">
        <v>133457</v>
      </c>
      <c r="AV170" s="41">
        <v>134621</v>
      </c>
      <c r="AW170" s="41">
        <v>135754</v>
      </c>
      <c r="AX170" s="41">
        <v>136854</v>
      </c>
      <c r="AY170" s="41">
        <v>137911</v>
      </c>
    </row>
    <row r="171" spans="1:51">
      <c r="A171" s="38" t="s">
        <v>458</v>
      </c>
      <c r="B171" s="38" t="s">
        <v>459</v>
      </c>
      <c r="C171" s="41">
        <v>32373</v>
      </c>
      <c r="D171" s="41">
        <v>32521</v>
      </c>
      <c r="E171" s="41">
        <v>32629</v>
      </c>
      <c r="F171" s="41">
        <v>32711</v>
      </c>
      <c r="G171" s="41">
        <v>32948</v>
      </c>
      <c r="H171" s="41">
        <v>33089</v>
      </c>
      <c r="I171" s="41">
        <v>33215</v>
      </c>
      <c r="J171" s="41">
        <v>33045</v>
      </c>
      <c r="K171" s="41">
        <v>33556</v>
      </c>
      <c r="L171" s="41">
        <v>33493</v>
      </c>
      <c r="M171" s="41">
        <v>33666</v>
      </c>
      <c r="N171" s="41">
        <v>33803</v>
      </c>
      <c r="O171" s="41">
        <v>34055</v>
      </c>
      <c r="P171" s="41">
        <v>34195</v>
      </c>
      <c r="Q171" s="41">
        <v>34362</v>
      </c>
      <c r="R171" s="41">
        <v>34598</v>
      </c>
      <c r="S171" s="41">
        <v>34873</v>
      </c>
      <c r="T171" s="41">
        <v>35310</v>
      </c>
      <c r="U171" s="41">
        <v>35583</v>
      </c>
      <c r="V171" s="41">
        <v>35919</v>
      </c>
      <c r="W171" s="41">
        <v>35948</v>
      </c>
      <c r="X171" s="41">
        <v>36198</v>
      </c>
      <c r="Y171" s="41">
        <v>36379</v>
      </c>
      <c r="Z171" s="41">
        <v>36449</v>
      </c>
      <c r="AA171" s="41">
        <v>36682</v>
      </c>
      <c r="AB171" s="41">
        <v>36951</v>
      </c>
      <c r="AC171" s="41">
        <v>37246</v>
      </c>
      <c r="AD171" s="41">
        <v>37563</v>
      </c>
      <c r="AE171" s="41">
        <v>37876</v>
      </c>
      <c r="AF171" s="41">
        <v>38183</v>
      </c>
      <c r="AG171" s="41">
        <v>38495</v>
      </c>
      <c r="AH171" s="41">
        <v>38811</v>
      </c>
      <c r="AI171" s="41">
        <v>39129</v>
      </c>
      <c r="AJ171" s="41">
        <v>39449</v>
      </c>
      <c r="AK171" s="41">
        <v>39767</v>
      </c>
      <c r="AL171" s="41">
        <v>40103</v>
      </c>
      <c r="AM171" s="41">
        <v>40430</v>
      </c>
      <c r="AN171" s="41">
        <v>40754</v>
      </c>
      <c r="AO171" s="41">
        <v>41086</v>
      </c>
      <c r="AP171" s="41">
        <v>41417</v>
      </c>
      <c r="AQ171" s="41">
        <v>41754</v>
      </c>
      <c r="AR171" s="41">
        <v>42079</v>
      </c>
      <c r="AS171" s="41">
        <v>42407</v>
      </c>
      <c r="AT171" s="41">
        <v>42735</v>
      </c>
      <c r="AU171" s="41">
        <v>43057</v>
      </c>
      <c r="AV171" s="41">
        <v>43387</v>
      </c>
      <c r="AW171" s="41">
        <v>43712</v>
      </c>
      <c r="AX171" s="41">
        <v>44023</v>
      </c>
      <c r="AY171" s="41">
        <v>44326</v>
      </c>
    </row>
    <row r="172" spans="1:51">
      <c r="A172" s="38" t="s">
        <v>460</v>
      </c>
      <c r="B172" s="38" t="s">
        <v>461</v>
      </c>
      <c r="C172" s="41">
        <v>66065</v>
      </c>
      <c r="D172" s="41">
        <v>66637</v>
      </c>
      <c r="E172" s="41">
        <v>67581</v>
      </c>
      <c r="F172" s="41">
        <v>68483</v>
      </c>
      <c r="G172" s="41">
        <v>69520</v>
      </c>
      <c r="H172" s="41">
        <v>69922</v>
      </c>
      <c r="I172" s="41">
        <v>70564</v>
      </c>
      <c r="J172" s="41">
        <v>70766</v>
      </c>
      <c r="K172" s="41">
        <v>71452</v>
      </c>
      <c r="L172" s="41">
        <v>71811</v>
      </c>
      <c r="M172" s="41">
        <v>72264</v>
      </c>
      <c r="N172" s="41">
        <v>72881</v>
      </c>
      <c r="O172" s="41">
        <v>73432</v>
      </c>
      <c r="P172" s="41">
        <v>73876</v>
      </c>
      <c r="Q172" s="41">
        <v>74215</v>
      </c>
      <c r="R172" s="41">
        <v>74840</v>
      </c>
      <c r="S172" s="41">
        <v>75369</v>
      </c>
      <c r="T172" s="41">
        <v>75806</v>
      </c>
      <c r="U172" s="41">
        <v>76240</v>
      </c>
      <c r="V172" s="41">
        <v>76747</v>
      </c>
      <c r="W172" s="41">
        <v>77019</v>
      </c>
      <c r="X172" s="41">
        <v>77533</v>
      </c>
      <c r="Y172" s="41">
        <v>77957</v>
      </c>
      <c r="Z172" s="41">
        <v>78397</v>
      </c>
      <c r="AA172" s="41">
        <v>78922</v>
      </c>
      <c r="AB172" s="41">
        <v>79553</v>
      </c>
      <c r="AC172" s="41">
        <v>80182</v>
      </c>
      <c r="AD172" s="41">
        <v>80846</v>
      </c>
      <c r="AE172" s="41">
        <v>81525</v>
      </c>
      <c r="AF172" s="41">
        <v>82184</v>
      </c>
      <c r="AG172" s="41">
        <v>82876</v>
      </c>
      <c r="AH172" s="41">
        <v>83567</v>
      </c>
      <c r="AI172" s="41">
        <v>84261</v>
      </c>
      <c r="AJ172" s="41">
        <v>84991</v>
      </c>
      <c r="AK172" s="41">
        <v>85708</v>
      </c>
      <c r="AL172" s="41">
        <v>86448</v>
      </c>
      <c r="AM172" s="41">
        <v>87185</v>
      </c>
      <c r="AN172" s="41">
        <v>87908</v>
      </c>
      <c r="AO172" s="41">
        <v>88645</v>
      </c>
      <c r="AP172" s="41">
        <v>89353</v>
      </c>
      <c r="AQ172" s="41">
        <v>90059</v>
      </c>
      <c r="AR172" s="41">
        <v>90723</v>
      </c>
      <c r="AS172" s="41">
        <v>91377</v>
      </c>
      <c r="AT172" s="41">
        <v>92012</v>
      </c>
      <c r="AU172" s="41">
        <v>92628</v>
      </c>
      <c r="AV172" s="41">
        <v>93241</v>
      </c>
      <c r="AW172" s="41">
        <v>93841</v>
      </c>
      <c r="AX172" s="41">
        <v>94423</v>
      </c>
      <c r="AY172" s="41">
        <v>94978</v>
      </c>
    </row>
    <row r="173" spans="1:51">
      <c r="A173" s="38" t="s">
        <v>462</v>
      </c>
      <c r="B173" s="38" t="s">
        <v>463</v>
      </c>
      <c r="C173" s="41">
        <v>40983</v>
      </c>
      <c r="D173" s="41">
        <v>41255</v>
      </c>
      <c r="E173" s="41">
        <v>41644</v>
      </c>
      <c r="F173" s="41">
        <v>41796</v>
      </c>
      <c r="G173" s="41">
        <v>42066</v>
      </c>
      <c r="H173" s="41">
        <v>42436</v>
      </c>
      <c r="I173" s="41">
        <v>42761</v>
      </c>
      <c r="J173" s="41">
        <v>43228</v>
      </c>
      <c r="K173" s="41">
        <v>43659</v>
      </c>
      <c r="L173" s="41">
        <v>44025</v>
      </c>
      <c r="M173" s="41">
        <v>44526</v>
      </c>
      <c r="N173" s="41">
        <v>44827</v>
      </c>
      <c r="O173" s="41">
        <v>45462</v>
      </c>
      <c r="P173" s="41">
        <v>46002</v>
      </c>
      <c r="Q173" s="41">
        <v>46406</v>
      </c>
      <c r="R173" s="41">
        <v>46897</v>
      </c>
      <c r="S173" s="41">
        <v>47446</v>
      </c>
      <c r="T173" s="41">
        <v>47808</v>
      </c>
      <c r="U173" s="41">
        <v>48152</v>
      </c>
      <c r="V173" s="41">
        <v>48574</v>
      </c>
      <c r="W173" s="41">
        <v>48834</v>
      </c>
      <c r="X173" s="41">
        <v>49146</v>
      </c>
      <c r="Y173" s="41">
        <v>49724</v>
      </c>
      <c r="Z173" s="41">
        <v>50299</v>
      </c>
      <c r="AA173" s="41">
        <v>50719</v>
      </c>
      <c r="AB173" s="41">
        <v>51196</v>
      </c>
      <c r="AC173" s="41">
        <v>51714</v>
      </c>
      <c r="AD173" s="41">
        <v>52184</v>
      </c>
      <c r="AE173" s="41">
        <v>52672</v>
      </c>
      <c r="AF173" s="41">
        <v>53114</v>
      </c>
      <c r="AG173" s="41">
        <v>53550</v>
      </c>
      <c r="AH173" s="41">
        <v>53987</v>
      </c>
      <c r="AI173" s="41">
        <v>54385</v>
      </c>
      <c r="AJ173" s="41">
        <v>54797</v>
      </c>
      <c r="AK173" s="41">
        <v>55185</v>
      </c>
      <c r="AL173" s="41">
        <v>55577</v>
      </c>
      <c r="AM173" s="41">
        <v>55954</v>
      </c>
      <c r="AN173" s="41">
        <v>56316</v>
      </c>
      <c r="AO173" s="41">
        <v>56678</v>
      </c>
      <c r="AP173" s="41">
        <v>57045</v>
      </c>
      <c r="AQ173" s="41">
        <v>57403</v>
      </c>
      <c r="AR173" s="41">
        <v>57747</v>
      </c>
      <c r="AS173" s="41">
        <v>58081</v>
      </c>
      <c r="AT173" s="41">
        <v>58415</v>
      </c>
      <c r="AU173" s="41">
        <v>58741</v>
      </c>
      <c r="AV173" s="41">
        <v>59065</v>
      </c>
      <c r="AW173" s="41">
        <v>59382</v>
      </c>
      <c r="AX173" s="41">
        <v>59682</v>
      </c>
      <c r="AY173" s="41">
        <v>59966</v>
      </c>
    </row>
    <row r="174" spans="1:51">
      <c r="A174" s="38" t="s">
        <v>464</v>
      </c>
      <c r="B174" s="38" t="s">
        <v>465</v>
      </c>
      <c r="C174" s="41">
        <v>114634</v>
      </c>
      <c r="D174" s="41">
        <v>116058</v>
      </c>
      <c r="E174" s="41">
        <v>117809</v>
      </c>
      <c r="F174" s="41">
        <v>116643</v>
      </c>
      <c r="G174" s="41">
        <v>116622</v>
      </c>
      <c r="H174" s="41">
        <v>116674</v>
      </c>
      <c r="I174" s="41">
        <v>115947</v>
      </c>
      <c r="J174" s="41">
        <v>115242</v>
      </c>
      <c r="K174" s="41">
        <v>114568</v>
      </c>
      <c r="L174" s="41">
        <v>113965</v>
      </c>
      <c r="M174" s="41">
        <v>113951</v>
      </c>
      <c r="N174" s="41">
        <v>113788</v>
      </c>
      <c r="O174" s="41">
        <v>113539</v>
      </c>
      <c r="P174" s="41">
        <v>113117</v>
      </c>
      <c r="Q174" s="41">
        <v>114234</v>
      </c>
      <c r="R174" s="41">
        <v>113990</v>
      </c>
      <c r="S174" s="41">
        <v>114265</v>
      </c>
      <c r="T174" s="41">
        <v>114322</v>
      </c>
      <c r="U174" s="41">
        <v>114894</v>
      </c>
      <c r="V174" s="41">
        <v>115929</v>
      </c>
      <c r="W174" s="41">
        <v>116697</v>
      </c>
      <c r="X174" s="41">
        <v>117805</v>
      </c>
      <c r="Y174" s="41">
        <v>119695</v>
      </c>
      <c r="Z174" s="41">
        <v>120904</v>
      </c>
      <c r="AA174" s="41">
        <v>122424</v>
      </c>
      <c r="AB174" s="41">
        <v>123837</v>
      </c>
      <c r="AC174" s="41">
        <v>125070</v>
      </c>
      <c r="AD174" s="41">
        <v>126156</v>
      </c>
      <c r="AE174" s="41">
        <v>127152</v>
      </c>
      <c r="AF174" s="41">
        <v>128107</v>
      </c>
      <c r="AG174" s="41">
        <v>129001</v>
      </c>
      <c r="AH174" s="41">
        <v>129823</v>
      </c>
      <c r="AI174" s="41">
        <v>130650</v>
      </c>
      <c r="AJ174" s="41">
        <v>131523</v>
      </c>
      <c r="AK174" s="41">
        <v>132453</v>
      </c>
      <c r="AL174" s="41">
        <v>133486</v>
      </c>
      <c r="AM174" s="41">
        <v>134498</v>
      </c>
      <c r="AN174" s="41">
        <v>135519</v>
      </c>
      <c r="AO174" s="41">
        <v>136483</v>
      </c>
      <c r="AP174" s="41">
        <v>137471</v>
      </c>
      <c r="AQ174" s="41">
        <v>138482</v>
      </c>
      <c r="AR174" s="41">
        <v>139433</v>
      </c>
      <c r="AS174" s="41">
        <v>140315</v>
      </c>
      <c r="AT174" s="41">
        <v>141121</v>
      </c>
      <c r="AU174" s="41">
        <v>141920</v>
      </c>
      <c r="AV174" s="41">
        <v>142759</v>
      </c>
      <c r="AW174" s="41">
        <v>143583</v>
      </c>
      <c r="AX174" s="41">
        <v>144379</v>
      </c>
      <c r="AY174" s="41">
        <v>145134</v>
      </c>
    </row>
    <row r="175" spans="1:51">
      <c r="A175" s="38" t="s">
        <v>466</v>
      </c>
      <c r="B175" s="38" t="s">
        <v>467</v>
      </c>
      <c r="C175" s="41">
        <v>49144</v>
      </c>
      <c r="D175" s="41">
        <v>49528</v>
      </c>
      <c r="E175" s="41">
        <v>49679</v>
      </c>
      <c r="F175" s="41">
        <v>49715</v>
      </c>
      <c r="G175" s="41">
        <v>49740</v>
      </c>
      <c r="H175" s="41">
        <v>49554</v>
      </c>
      <c r="I175" s="41">
        <v>49911</v>
      </c>
      <c r="J175" s="41">
        <v>50102</v>
      </c>
      <c r="K175" s="41">
        <v>50330</v>
      </c>
      <c r="L175" s="41">
        <v>50505</v>
      </c>
      <c r="M175" s="41">
        <v>50743</v>
      </c>
      <c r="N175" s="41">
        <v>50882</v>
      </c>
      <c r="O175" s="41">
        <v>51159</v>
      </c>
      <c r="P175" s="41">
        <v>51329</v>
      </c>
      <c r="Q175" s="41">
        <v>51568</v>
      </c>
      <c r="R175" s="41">
        <v>51717</v>
      </c>
      <c r="S175" s="41">
        <v>51940</v>
      </c>
      <c r="T175" s="41">
        <v>52064</v>
      </c>
      <c r="U175" s="41">
        <v>52084</v>
      </c>
      <c r="V175" s="41">
        <v>52314</v>
      </c>
      <c r="W175" s="41">
        <v>52548</v>
      </c>
      <c r="X175" s="41">
        <v>52817</v>
      </c>
      <c r="Y175" s="41">
        <v>53163</v>
      </c>
      <c r="Z175" s="41">
        <v>53687</v>
      </c>
      <c r="AA175" s="41">
        <v>54044</v>
      </c>
      <c r="AB175" s="41">
        <v>54444</v>
      </c>
      <c r="AC175" s="41">
        <v>54796</v>
      </c>
      <c r="AD175" s="41">
        <v>55118</v>
      </c>
      <c r="AE175" s="41">
        <v>55437</v>
      </c>
      <c r="AF175" s="41">
        <v>55742</v>
      </c>
      <c r="AG175" s="41">
        <v>56048</v>
      </c>
      <c r="AH175" s="41">
        <v>56341</v>
      </c>
      <c r="AI175" s="41">
        <v>56645</v>
      </c>
      <c r="AJ175" s="41">
        <v>56962</v>
      </c>
      <c r="AK175" s="41">
        <v>57307</v>
      </c>
      <c r="AL175" s="41">
        <v>57644</v>
      </c>
      <c r="AM175" s="41">
        <v>57947</v>
      </c>
      <c r="AN175" s="41">
        <v>58264</v>
      </c>
      <c r="AO175" s="41">
        <v>58567</v>
      </c>
      <c r="AP175" s="41">
        <v>58867</v>
      </c>
      <c r="AQ175" s="41">
        <v>59169</v>
      </c>
      <c r="AR175" s="41">
        <v>59460</v>
      </c>
      <c r="AS175" s="41">
        <v>59732</v>
      </c>
      <c r="AT175" s="41">
        <v>59985</v>
      </c>
      <c r="AU175" s="41">
        <v>60226</v>
      </c>
      <c r="AV175" s="41">
        <v>60469</v>
      </c>
      <c r="AW175" s="41">
        <v>60701</v>
      </c>
      <c r="AX175" s="41">
        <v>60915</v>
      </c>
      <c r="AY175" s="41">
        <v>61112</v>
      </c>
    </row>
    <row r="176" spans="1:51">
      <c r="A176" s="38" t="s">
        <v>468</v>
      </c>
      <c r="B176" s="38" t="s">
        <v>469</v>
      </c>
      <c r="C176" s="41">
        <v>80584</v>
      </c>
      <c r="D176" s="41">
        <v>81106</v>
      </c>
      <c r="E176" s="41">
        <v>81725</v>
      </c>
      <c r="F176" s="41">
        <v>82035</v>
      </c>
      <c r="G176" s="41">
        <v>82793</v>
      </c>
      <c r="H176" s="41">
        <v>83243</v>
      </c>
      <c r="I176" s="41">
        <v>83399</v>
      </c>
      <c r="J176" s="41">
        <v>84747</v>
      </c>
      <c r="K176" s="41">
        <v>86940</v>
      </c>
      <c r="L176" s="41">
        <v>89280</v>
      </c>
      <c r="M176" s="41">
        <v>91635</v>
      </c>
      <c r="N176" s="41">
        <v>92907</v>
      </c>
      <c r="O176" s="41">
        <v>92408</v>
      </c>
      <c r="P176" s="41">
        <v>90931</v>
      </c>
      <c r="Q176" s="41">
        <v>89997</v>
      </c>
      <c r="R176" s="41">
        <v>90303</v>
      </c>
      <c r="S176" s="41">
        <v>91597</v>
      </c>
      <c r="T176" s="41">
        <v>93796</v>
      </c>
      <c r="U176" s="41">
        <v>96362</v>
      </c>
      <c r="V176" s="41">
        <v>99518</v>
      </c>
      <c r="W176" s="41">
        <v>102462</v>
      </c>
      <c r="X176" s="41">
        <v>104914</v>
      </c>
      <c r="Y176" s="41">
        <v>107657</v>
      </c>
      <c r="Z176" s="41">
        <v>111316</v>
      </c>
      <c r="AA176" s="41">
        <v>115308</v>
      </c>
      <c r="AB176" s="41">
        <v>118846</v>
      </c>
      <c r="AC176" s="41">
        <v>122066</v>
      </c>
      <c r="AD176" s="41">
        <v>125216</v>
      </c>
      <c r="AE176" s="41">
        <v>128235</v>
      </c>
      <c r="AF176" s="41">
        <v>131096</v>
      </c>
      <c r="AG176" s="41">
        <v>133858</v>
      </c>
      <c r="AH176" s="41">
        <v>136437</v>
      </c>
      <c r="AI176" s="41">
        <v>138966</v>
      </c>
      <c r="AJ176" s="41">
        <v>141455</v>
      </c>
      <c r="AK176" s="41">
        <v>143871</v>
      </c>
      <c r="AL176" s="41">
        <v>146277</v>
      </c>
      <c r="AM176" s="41">
        <v>148556</v>
      </c>
      <c r="AN176" s="41">
        <v>150785</v>
      </c>
      <c r="AO176" s="41">
        <v>152955</v>
      </c>
      <c r="AP176" s="41">
        <v>155055</v>
      </c>
      <c r="AQ176" s="41">
        <v>157131</v>
      </c>
      <c r="AR176" s="41">
        <v>159156</v>
      </c>
      <c r="AS176" s="41">
        <v>161108</v>
      </c>
      <c r="AT176" s="41">
        <v>163017</v>
      </c>
      <c r="AU176" s="41">
        <v>164881</v>
      </c>
      <c r="AV176" s="41">
        <v>166744</v>
      </c>
      <c r="AW176" s="41">
        <v>168595</v>
      </c>
      <c r="AX176" s="41">
        <v>170411</v>
      </c>
      <c r="AY176" s="41">
        <v>172175</v>
      </c>
    </row>
    <row r="177" spans="1:51">
      <c r="A177" s="38" t="s">
        <v>470</v>
      </c>
      <c r="B177" s="38" t="s">
        <v>471</v>
      </c>
      <c r="C177" s="41">
        <v>34579</v>
      </c>
      <c r="D177" s="41">
        <v>34817</v>
      </c>
      <c r="E177" s="41">
        <v>35274</v>
      </c>
      <c r="F177" s="41">
        <v>35157</v>
      </c>
      <c r="G177" s="41">
        <v>34977</v>
      </c>
      <c r="H177" s="41">
        <v>35477</v>
      </c>
      <c r="I177" s="41">
        <v>35848</v>
      </c>
      <c r="J177" s="41">
        <v>35958</v>
      </c>
      <c r="K177" s="41">
        <v>36113</v>
      </c>
      <c r="L177" s="41">
        <v>36504</v>
      </c>
      <c r="M177" s="41">
        <v>36886</v>
      </c>
      <c r="N177" s="41">
        <v>37296</v>
      </c>
      <c r="O177" s="41">
        <v>37761</v>
      </c>
      <c r="P177" s="41">
        <v>38140</v>
      </c>
      <c r="Q177" s="41">
        <v>38526</v>
      </c>
      <c r="R177" s="41">
        <v>38858</v>
      </c>
      <c r="S177" s="41">
        <v>39185</v>
      </c>
      <c r="T177" s="41">
        <v>39525</v>
      </c>
      <c r="U177" s="41">
        <v>39705</v>
      </c>
      <c r="V177" s="41">
        <v>39873</v>
      </c>
      <c r="W177" s="41">
        <v>40174</v>
      </c>
      <c r="X177" s="41">
        <v>40321</v>
      </c>
      <c r="Y177" s="41">
        <v>40424</v>
      </c>
      <c r="Z177" s="41">
        <v>40663</v>
      </c>
      <c r="AA177" s="41">
        <v>40815</v>
      </c>
      <c r="AB177" s="41">
        <v>41012</v>
      </c>
      <c r="AC177" s="41">
        <v>41224</v>
      </c>
      <c r="AD177" s="41">
        <v>41436</v>
      </c>
      <c r="AE177" s="41">
        <v>41661</v>
      </c>
      <c r="AF177" s="41">
        <v>41874</v>
      </c>
      <c r="AG177" s="41">
        <v>42096</v>
      </c>
      <c r="AH177" s="41">
        <v>42332</v>
      </c>
      <c r="AI177" s="41">
        <v>42568</v>
      </c>
      <c r="AJ177" s="41">
        <v>42814</v>
      </c>
      <c r="AK177" s="41">
        <v>43062</v>
      </c>
      <c r="AL177" s="41">
        <v>43310</v>
      </c>
      <c r="AM177" s="41">
        <v>43563</v>
      </c>
      <c r="AN177" s="41">
        <v>43804</v>
      </c>
      <c r="AO177" s="41">
        <v>44051</v>
      </c>
      <c r="AP177" s="41">
        <v>44291</v>
      </c>
      <c r="AQ177" s="41">
        <v>44533</v>
      </c>
      <c r="AR177" s="41">
        <v>44756</v>
      </c>
      <c r="AS177" s="41">
        <v>44968</v>
      </c>
      <c r="AT177" s="41">
        <v>45179</v>
      </c>
      <c r="AU177" s="41">
        <v>45380</v>
      </c>
      <c r="AV177" s="41">
        <v>45581</v>
      </c>
      <c r="AW177" s="41">
        <v>45778</v>
      </c>
      <c r="AX177" s="41">
        <v>45965</v>
      </c>
      <c r="AY177" s="41">
        <v>46144</v>
      </c>
    </row>
    <row r="178" spans="1:51">
      <c r="A178" s="38" t="s">
        <v>472</v>
      </c>
      <c r="B178" s="38" t="s">
        <v>473</v>
      </c>
      <c r="C178" s="41">
        <v>39484</v>
      </c>
      <c r="D178" s="41">
        <v>39786</v>
      </c>
      <c r="E178" s="41">
        <v>39892</v>
      </c>
      <c r="F178" s="41">
        <v>40072</v>
      </c>
      <c r="G178" s="41">
        <v>40224</v>
      </c>
      <c r="H178" s="41">
        <v>40253</v>
      </c>
      <c r="I178" s="41">
        <v>40210</v>
      </c>
      <c r="J178" s="41">
        <v>40156</v>
      </c>
      <c r="K178" s="41">
        <v>40495</v>
      </c>
      <c r="L178" s="41">
        <v>40605</v>
      </c>
      <c r="M178" s="41">
        <v>40730</v>
      </c>
      <c r="N178" s="41">
        <v>40931</v>
      </c>
      <c r="O178" s="41">
        <v>41172</v>
      </c>
      <c r="P178" s="41">
        <v>41513</v>
      </c>
      <c r="Q178" s="41">
        <v>41712</v>
      </c>
      <c r="R178" s="41">
        <v>41929</v>
      </c>
      <c r="S178" s="41">
        <v>42178</v>
      </c>
      <c r="T178" s="41">
        <v>42368</v>
      </c>
      <c r="U178" s="41">
        <v>42569</v>
      </c>
      <c r="V178" s="41">
        <v>42911</v>
      </c>
      <c r="W178" s="41">
        <v>43100</v>
      </c>
      <c r="X178" s="41">
        <v>43308</v>
      </c>
      <c r="Y178" s="41">
        <v>43420</v>
      </c>
      <c r="Z178" s="41">
        <v>43578</v>
      </c>
      <c r="AA178" s="41">
        <v>43769</v>
      </c>
      <c r="AB178" s="41">
        <v>43998</v>
      </c>
      <c r="AC178" s="41">
        <v>44223</v>
      </c>
      <c r="AD178" s="41">
        <v>44452</v>
      </c>
      <c r="AE178" s="41">
        <v>44703</v>
      </c>
      <c r="AF178" s="41">
        <v>44937</v>
      </c>
      <c r="AG178" s="41">
        <v>45185</v>
      </c>
      <c r="AH178" s="41">
        <v>45400</v>
      </c>
      <c r="AI178" s="41">
        <v>45615</v>
      </c>
      <c r="AJ178" s="41">
        <v>45847</v>
      </c>
      <c r="AK178" s="41">
        <v>46056</v>
      </c>
      <c r="AL178" s="41">
        <v>46276</v>
      </c>
      <c r="AM178" s="41">
        <v>46471</v>
      </c>
      <c r="AN178" s="41">
        <v>46656</v>
      </c>
      <c r="AO178" s="41">
        <v>46856</v>
      </c>
      <c r="AP178" s="41">
        <v>47039</v>
      </c>
      <c r="AQ178" s="41">
        <v>47211</v>
      </c>
      <c r="AR178" s="41">
        <v>47367</v>
      </c>
      <c r="AS178" s="41">
        <v>47500</v>
      </c>
      <c r="AT178" s="41">
        <v>47637</v>
      </c>
      <c r="AU178" s="41">
        <v>47764</v>
      </c>
      <c r="AV178" s="41">
        <v>47891</v>
      </c>
      <c r="AW178" s="41">
        <v>48006</v>
      </c>
      <c r="AX178" s="41">
        <v>48104</v>
      </c>
      <c r="AY178" s="41">
        <v>48202</v>
      </c>
    </row>
    <row r="179" spans="1:51">
      <c r="A179" s="38" t="s">
        <v>474</v>
      </c>
      <c r="B179" s="38" t="s">
        <v>475</v>
      </c>
      <c r="C179" s="41">
        <v>64129</v>
      </c>
      <c r="D179" s="41">
        <v>64522</v>
      </c>
      <c r="E179" s="41">
        <v>65020</v>
      </c>
      <c r="F179" s="41">
        <v>65260</v>
      </c>
      <c r="G179" s="41">
        <v>65341</v>
      </c>
      <c r="H179" s="41">
        <v>65269</v>
      </c>
      <c r="I179" s="41">
        <v>65332</v>
      </c>
      <c r="J179" s="41">
        <v>65213</v>
      </c>
      <c r="K179" s="41">
        <v>65474</v>
      </c>
      <c r="L179" s="41">
        <v>65595</v>
      </c>
      <c r="M179" s="41">
        <v>65897</v>
      </c>
      <c r="N179" s="41">
        <v>66228</v>
      </c>
      <c r="O179" s="41">
        <v>66604</v>
      </c>
      <c r="P179" s="41">
        <v>67041</v>
      </c>
      <c r="Q179" s="41">
        <v>67421</v>
      </c>
      <c r="R179" s="41">
        <v>67697</v>
      </c>
      <c r="S179" s="41">
        <v>67872</v>
      </c>
      <c r="T179" s="41">
        <v>68281</v>
      </c>
      <c r="U179" s="41">
        <v>68644</v>
      </c>
      <c r="V179" s="41">
        <v>69087</v>
      </c>
      <c r="W179" s="41">
        <v>69772</v>
      </c>
      <c r="X179" s="41">
        <v>69901</v>
      </c>
      <c r="Y179" s="41">
        <v>70124</v>
      </c>
      <c r="Z179" s="41">
        <v>70330</v>
      </c>
      <c r="AA179" s="41">
        <v>70529</v>
      </c>
      <c r="AB179" s="41">
        <v>70835</v>
      </c>
      <c r="AC179" s="41">
        <v>71107</v>
      </c>
      <c r="AD179" s="41">
        <v>71354</v>
      </c>
      <c r="AE179" s="41">
        <v>71608</v>
      </c>
      <c r="AF179" s="41">
        <v>71833</v>
      </c>
      <c r="AG179" s="41">
        <v>72072</v>
      </c>
      <c r="AH179" s="41">
        <v>72280</v>
      </c>
      <c r="AI179" s="41">
        <v>72462</v>
      </c>
      <c r="AJ179" s="41">
        <v>72653</v>
      </c>
      <c r="AK179" s="41">
        <v>72848</v>
      </c>
      <c r="AL179" s="41">
        <v>73059</v>
      </c>
      <c r="AM179" s="41">
        <v>73249</v>
      </c>
      <c r="AN179" s="41">
        <v>73421</v>
      </c>
      <c r="AO179" s="41">
        <v>73601</v>
      </c>
      <c r="AP179" s="41">
        <v>73792</v>
      </c>
      <c r="AQ179" s="41">
        <v>73997</v>
      </c>
      <c r="AR179" s="41">
        <v>74179</v>
      </c>
      <c r="AS179" s="41">
        <v>74342</v>
      </c>
      <c r="AT179" s="41">
        <v>74500</v>
      </c>
      <c r="AU179" s="41">
        <v>74640</v>
      </c>
      <c r="AV179" s="41">
        <v>74781</v>
      </c>
      <c r="AW179" s="41">
        <v>74902</v>
      </c>
      <c r="AX179" s="41">
        <v>75004</v>
      </c>
      <c r="AY179" s="41">
        <v>75104</v>
      </c>
    </row>
    <row r="180" spans="1:51">
      <c r="A180" s="38" t="s">
        <v>476</v>
      </c>
      <c r="B180" s="38" t="s">
        <v>477</v>
      </c>
      <c r="C180" s="41">
        <v>44862</v>
      </c>
      <c r="D180" s="41">
        <v>45373</v>
      </c>
      <c r="E180" s="41">
        <v>45577</v>
      </c>
      <c r="F180" s="41">
        <v>45993</v>
      </c>
      <c r="G180" s="41">
        <v>46453</v>
      </c>
      <c r="H180" s="41">
        <v>46665</v>
      </c>
      <c r="I180" s="41">
        <v>47113</v>
      </c>
      <c r="J180" s="41">
        <v>47488</v>
      </c>
      <c r="K180" s="41">
        <v>47796</v>
      </c>
      <c r="L180" s="41">
        <v>48285</v>
      </c>
      <c r="M180" s="41">
        <v>48872</v>
      </c>
      <c r="N180" s="41">
        <v>49348</v>
      </c>
      <c r="O180" s="41">
        <v>49842</v>
      </c>
      <c r="P180" s="41">
        <v>50295</v>
      </c>
      <c r="Q180" s="41">
        <v>50690</v>
      </c>
      <c r="R180" s="41">
        <v>51217</v>
      </c>
      <c r="S180" s="41">
        <v>51645</v>
      </c>
      <c r="T180" s="41">
        <v>52233</v>
      </c>
      <c r="U180" s="41">
        <v>52670</v>
      </c>
      <c r="V180" s="41">
        <v>53073</v>
      </c>
      <c r="W180" s="41">
        <v>53599</v>
      </c>
      <c r="X180" s="41">
        <v>54146</v>
      </c>
      <c r="Y180" s="41">
        <v>54685</v>
      </c>
      <c r="Z180" s="41">
        <v>55376</v>
      </c>
      <c r="AA180" s="41">
        <v>56052</v>
      </c>
      <c r="AB180" s="41">
        <v>56770</v>
      </c>
      <c r="AC180" s="41">
        <v>57499</v>
      </c>
      <c r="AD180" s="41">
        <v>58219</v>
      </c>
      <c r="AE180" s="41">
        <v>58963</v>
      </c>
      <c r="AF180" s="41">
        <v>59691</v>
      </c>
      <c r="AG180" s="41">
        <v>60405</v>
      </c>
      <c r="AH180" s="41">
        <v>61108</v>
      </c>
      <c r="AI180" s="41">
        <v>61799</v>
      </c>
      <c r="AJ180" s="41">
        <v>62506</v>
      </c>
      <c r="AK180" s="41">
        <v>63190</v>
      </c>
      <c r="AL180" s="41">
        <v>63883</v>
      </c>
      <c r="AM180" s="41">
        <v>64584</v>
      </c>
      <c r="AN180" s="41">
        <v>65277</v>
      </c>
      <c r="AO180" s="41">
        <v>65988</v>
      </c>
      <c r="AP180" s="41">
        <v>66699</v>
      </c>
      <c r="AQ180" s="41">
        <v>67397</v>
      </c>
      <c r="AR180" s="41">
        <v>68095</v>
      </c>
      <c r="AS180" s="41">
        <v>68793</v>
      </c>
      <c r="AT180" s="41">
        <v>69488</v>
      </c>
      <c r="AU180" s="41">
        <v>70177</v>
      </c>
      <c r="AV180" s="41">
        <v>70859</v>
      </c>
      <c r="AW180" s="41">
        <v>71551</v>
      </c>
      <c r="AX180" s="41">
        <v>72217</v>
      </c>
      <c r="AY180" s="41">
        <v>72858</v>
      </c>
    </row>
    <row r="181" spans="1:51">
      <c r="A181" s="38" t="s">
        <v>478</v>
      </c>
      <c r="B181" s="38" t="s">
        <v>479</v>
      </c>
      <c r="C181" s="41">
        <v>31959</v>
      </c>
      <c r="D181" s="41">
        <v>32327</v>
      </c>
      <c r="E181" s="41">
        <v>32819</v>
      </c>
      <c r="F181" s="41">
        <v>33232</v>
      </c>
      <c r="G181" s="41">
        <v>34729</v>
      </c>
      <c r="H181" s="41">
        <v>35573</v>
      </c>
      <c r="I181" s="41">
        <v>35798</v>
      </c>
      <c r="J181" s="41">
        <v>36164</v>
      </c>
      <c r="K181" s="41">
        <v>37373</v>
      </c>
      <c r="L181" s="41">
        <v>38281</v>
      </c>
      <c r="M181" s="41">
        <v>39052</v>
      </c>
      <c r="N181" s="41">
        <v>40305</v>
      </c>
      <c r="O181" s="41">
        <v>41184</v>
      </c>
      <c r="P181" s="41">
        <v>41843</v>
      </c>
      <c r="Q181" s="41">
        <v>42301</v>
      </c>
      <c r="R181" s="41">
        <v>43120</v>
      </c>
      <c r="S181" s="41">
        <v>43844</v>
      </c>
      <c r="T181" s="41">
        <v>44706</v>
      </c>
      <c r="U181" s="41">
        <v>45143</v>
      </c>
      <c r="V181" s="41">
        <v>45698</v>
      </c>
      <c r="W181" s="41">
        <v>46288</v>
      </c>
      <c r="X181" s="41">
        <v>46793</v>
      </c>
      <c r="Y181" s="41">
        <v>46999</v>
      </c>
      <c r="Z181" s="41">
        <v>47662</v>
      </c>
      <c r="AA181" s="41">
        <v>48064</v>
      </c>
      <c r="AB181" s="41">
        <v>48468</v>
      </c>
      <c r="AC181" s="41">
        <v>48912</v>
      </c>
      <c r="AD181" s="41">
        <v>49357</v>
      </c>
      <c r="AE181" s="41">
        <v>49800</v>
      </c>
      <c r="AF181" s="41">
        <v>50238</v>
      </c>
      <c r="AG181" s="41">
        <v>50640</v>
      </c>
      <c r="AH181" s="41">
        <v>51037</v>
      </c>
      <c r="AI181" s="41">
        <v>51430</v>
      </c>
      <c r="AJ181" s="41">
        <v>51817</v>
      </c>
      <c r="AK181" s="41">
        <v>52197</v>
      </c>
      <c r="AL181" s="41">
        <v>52562</v>
      </c>
      <c r="AM181" s="41">
        <v>52918</v>
      </c>
      <c r="AN181" s="41">
        <v>53272</v>
      </c>
      <c r="AO181" s="41">
        <v>53615</v>
      </c>
      <c r="AP181" s="41">
        <v>53959</v>
      </c>
      <c r="AQ181" s="41">
        <v>54299</v>
      </c>
      <c r="AR181" s="41">
        <v>54613</v>
      </c>
      <c r="AS181" s="41">
        <v>54926</v>
      </c>
      <c r="AT181" s="41">
        <v>55231</v>
      </c>
      <c r="AU181" s="41">
        <v>55523</v>
      </c>
      <c r="AV181" s="41">
        <v>55814</v>
      </c>
      <c r="AW181" s="41">
        <v>56097</v>
      </c>
      <c r="AX181" s="41">
        <v>56358</v>
      </c>
      <c r="AY181" s="41">
        <v>56612</v>
      </c>
    </row>
    <row r="182" spans="1:51">
      <c r="A182" s="38" t="s">
        <v>480</v>
      </c>
      <c r="B182" s="38" t="s">
        <v>481</v>
      </c>
      <c r="C182" s="41">
        <v>60823</v>
      </c>
      <c r="D182" s="41">
        <v>61122</v>
      </c>
      <c r="E182" s="41">
        <v>61065</v>
      </c>
      <c r="F182" s="41">
        <v>61669</v>
      </c>
      <c r="G182" s="41">
        <v>61776</v>
      </c>
      <c r="H182" s="41">
        <v>62265</v>
      </c>
      <c r="I182" s="41">
        <v>62560</v>
      </c>
      <c r="J182" s="41">
        <v>62847</v>
      </c>
      <c r="K182" s="41">
        <v>62952</v>
      </c>
      <c r="L182" s="41">
        <v>63478</v>
      </c>
      <c r="M182" s="41">
        <v>63974</v>
      </c>
      <c r="N182" s="41">
        <v>64570</v>
      </c>
      <c r="O182" s="41">
        <v>65401</v>
      </c>
      <c r="P182" s="41">
        <v>66278</v>
      </c>
      <c r="Q182" s="41">
        <v>67069</v>
      </c>
      <c r="R182" s="41">
        <v>67826</v>
      </c>
      <c r="S182" s="41">
        <v>68446</v>
      </c>
      <c r="T182" s="41">
        <v>69254</v>
      </c>
      <c r="U182" s="41">
        <v>69763</v>
      </c>
      <c r="V182" s="41">
        <v>70292</v>
      </c>
      <c r="W182" s="41">
        <v>70708</v>
      </c>
      <c r="X182" s="41">
        <v>71269</v>
      </c>
      <c r="Y182" s="41">
        <v>71559</v>
      </c>
      <c r="Z182" s="41">
        <v>71975</v>
      </c>
      <c r="AA182" s="41">
        <v>72417</v>
      </c>
      <c r="AB182" s="41">
        <v>72879</v>
      </c>
      <c r="AC182" s="41">
        <v>73321</v>
      </c>
      <c r="AD182" s="41">
        <v>73757</v>
      </c>
      <c r="AE182" s="41">
        <v>74170</v>
      </c>
      <c r="AF182" s="41">
        <v>74611</v>
      </c>
      <c r="AG182" s="41">
        <v>75028</v>
      </c>
      <c r="AH182" s="41">
        <v>75412</v>
      </c>
      <c r="AI182" s="41">
        <v>75786</v>
      </c>
      <c r="AJ182" s="41">
        <v>76151</v>
      </c>
      <c r="AK182" s="41">
        <v>76544</v>
      </c>
      <c r="AL182" s="41">
        <v>76940</v>
      </c>
      <c r="AM182" s="41">
        <v>77315</v>
      </c>
      <c r="AN182" s="41">
        <v>77677</v>
      </c>
      <c r="AO182" s="41">
        <v>78011</v>
      </c>
      <c r="AP182" s="41">
        <v>78354</v>
      </c>
      <c r="AQ182" s="41">
        <v>78679</v>
      </c>
      <c r="AR182" s="41">
        <v>78957</v>
      </c>
      <c r="AS182" s="41">
        <v>79227</v>
      </c>
      <c r="AT182" s="41">
        <v>79475</v>
      </c>
      <c r="AU182" s="41">
        <v>79715</v>
      </c>
      <c r="AV182" s="41">
        <v>79936</v>
      </c>
      <c r="AW182" s="41">
        <v>80137</v>
      </c>
      <c r="AX182" s="41">
        <v>80315</v>
      </c>
      <c r="AY182" s="41">
        <v>80485</v>
      </c>
    </row>
    <row r="183" spans="1:51">
      <c r="A183" s="38" t="s">
        <v>482</v>
      </c>
      <c r="B183" s="38" t="s">
        <v>483</v>
      </c>
      <c r="C183" s="41">
        <v>38411</v>
      </c>
      <c r="D183" s="41">
        <v>38852</v>
      </c>
      <c r="E183" s="41">
        <v>39380</v>
      </c>
      <c r="F183" s="41">
        <v>39774</v>
      </c>
      <c r="G183" s="41">
        <v>40596</v>
      </c>
      <c r="H183" s="41">
        <v>41076</v>
      </c>
      <c r="I183" s="41">
        <v>41790</v>
      </c>
      <c r="J183" s="41">
        <v>42517</v>
      </c>
      <c r="K183" s="41">
        <v>42837</v>
      </c>
      <c r="L183" s="41">
        <v>43313</v>
      </c>
      <c r="M183" s="41">
        <v>43647</v>
      </c>
      <c r="N183" s="41">
        <v>43914</v>
      </c>
      <c r="O183" s="41">
        <v>44180</v>
      </c>
      <c r="P183" s="41">
        <v>44401</v>
      </c>
      <c r="Q183" s="41">
        <v>44625</v>
      </c>
      <c r="R183" s="41">
        <v>44853</v>
      </c>
      <c r="S183" s="41">
        <v>45167</v>
      </c>
      <c r="T183" s="41">
        <v>45509</v>
      </c>
      <c r="U183" s="41">
        <v>45431</v>
      </c>
      <c r="V183" s="41">
        <v>45633</v>
      </c>
      <c r="W183" s="41">
        <v>46118</v>
      </c>
      <c r="X183" s="41">
        <v>46371</v>
      </c>
      <c r="Y183" s="41">
        <v>46655</v>
      </c>
      <c r="Z183" s="41">
        <v>47179</v>
      </c>
      <c r="AA183" s="41">
        <v>47531</v>
      </c>
      <c r="AB183" s="41">
        <v>47940</v>
      </c>
      <c r="AC183" s="41">
        <v>48329</v>
      </c>
      <c r="AD183" s="41">
        <v>48733</v>
      </c>
      <c r="AE183" s="41">
        <v>49118</v>
      </c>
      <c r="AF183" s="41">
        <v>49513</v>
      </c>
      <c r="AG183" s="41">
        <v>49915</v>
      </c>
      <c r="AH183" s="41">
        <v>50305</v>
      </c>
      <c r="AI183" s="41">
        <v>50709</v>
      </c>
      <c r="AJ183" s="41">
        <v>51111</v>
      </c>
      <c r="AK183" s="41">
        <v>51508</v>
      </c>
      <c r="AL183" s="41">
        <v>51922</v>
      </c>
      <c r="AM183" s="41">
        <v>52341</v>
      </c>
      <c r="AN183" s="41">
        <v>52753</v>
      </c>
      <c r="AO183" s="41">
        <v>53154</v>
      </c>
      <c r="AP183" s="41">
        <v>53554</v>
      </c>
      <c r="AQ183" s="41">
        <v>53946</v>
      </c>
      <c r="AR183" s="41">
        <v>54316</v>
      </c>
      <c r="AS183" s="41">
        <v>54672</v>
      </c>
      <c r="AT183" s="41">
        <v>55019</v>
      </c>
      <c r="AU183" s="41">
        <v>55355</v>
      </c>
      <c r="AV183" s="41">
        <v>55671</v>
      </c>
      <c r="AW183" s="41">
        <v>55983</v>
      </c>
      <c r="AX183" s="41">
        <v>56275</v>
      </c>
      <c r="AY183" s="41">
        <v>56555</v>
      </c>
    </row>
    <row r="184" spans="1:51">
      <c r="A184" s="38" t="s">
        <v>484</v>
      </c>
      <c r="B184" s="38" t="s">
        <v>485</v>
      </c>
      <c r="C184" s="41">
        <v>71899</v>
      </c>
      <c r="D184" s="41">
        <v>72393</v>
      </c>
      <c r="E184" s="41">
        <v>73522</v>
      </c>
      <c r="F184" s="41">
        <v>74270</v>
      </c>
      <c r="G184" s="41">
        <v>75144</v>
      </c>
      <c r="H184" s="41">
        <v>76102</v>
      </c>
      <c r="I184" s="41">
        <v>76698</v>
      </c>
      <c r="J184" s="41">
        <v>77948</v>
      </c>
      <c r="K184" s="41">
        <v>78770</v>
      </c>
      <c r="L184" s="41">
        <v>79363</v>
      </c>
      <c r="M184" s="41">
        <v>80239</v>
      </c>
      <c r="N184" s="41">
        <v>80856</v>
      </c>
      <c r="O184" s="41">
        <v>81813</v>
      </c>
      <c r="P184" s="41">
        <v>82720</v>
      </c>
      <c r="Q184" s="41">
        <v>83681</v>
      </c>
      <c r="R184" s="41">
        <v>84827</v>
      </c>
      <c r="S184" s="41">
        <v>86011</v>
      </c>
      <c r="T184" s="41">
        <v>86789</v>
      </c>
      <c r="U184" s="41">
        <v>87414</v>
      </c>
      <c r="V184" s="41">
        <v>88098</v>
      </c>
      <c r="W184" s="41">
        <v>88464</v>
      </c>
      <c r="X184" s="41">
        <v>89291</v>
      </c>
      <c r="Y184" s="41">
        <v>90089</v>
      </c>
      <c r="Z184" s="41">
        <v>91214</v>
      </c>
      <c r="AA184" s="41">
        <v>92139</v>
      </c>
      <c r="AB184" s="41">
        <v>93148</v>
      </c>
      <c r="AC184" s="41">
        <v>94192</v>
      </c>
      <c r="AD184" s="41">
        <v>95210</v>
      </c>
      <c r="AE184" s="41">
        <v>96291</v>
      </c>
      <c r="AF184" s="41">
        <v>97319</v>
      </c>
      <c r="AG184" s="41">
        <v>98354</v>
      </c>
      <c r="AH184" s="41">
        <v>99368</v>
      </c>
      <c r="AI184" s="41">
        <v>100356</v>
      </c>
      <c r="AJ184" s="41">
        <v>101384</v>
      </c>
      <c r="AK184" s="41">
        <v>102382</v>
      </c>
      <c r="AL184" s="41">
        <v>103412</v>
      </c>
      <c r="AM184" s="41">
        <v>104414</v>
      </c>
      <c r="AN184" s="41">
        <v>105409</v>
      </c>
      <c r="AO184" s="41">
        <v>106400</v>
      </c>
      <c r="AP184" s="41">
        <v>107358</v>
      </c>
      <c r="AQ184" s="41">
        <v>108329</v>
      </c>
      <c r="AR184" s="41">
        <v>109233</v>
      </c>
      <c r="AS184" s="41">
        <v>110134</v>
      </c>
      <c r="AT184" s="41">
        <v>111008</v>
      </c>
      <c r="AU184" s="41">
        <v>111857</v>
      </c>
      <c r="AV184" s="41">
        <v>112704</v>
      </c>
      <c r="AW184" s="41">
        <v>113527</v>
      </c>
      <c r="AX184" s="41">
        <v>114330</v>
      </c>
      <c r="AY184" s="41">
        <v>115106</v>
      </c>
    </row>
    <row r="185" spans="1:51">
      <c r="A185" s="38" t="s">
        <v>486</v>
      </c>
      <c r="B185" s="38" t="s">
        <v>487</v>
      </c>
      <c r="C185" s="41">
        <v>82195</v>
      </c>
      <c r="D185" s="41">
        <v>82295</v>
      </c>
      <c r="E185" s="41">
        <v>82340</v>
      </c>
      <c r="F185" s="41">
        <v>82383</v>
      </c>
      <c r="G185" s="41">
        <v>82747</v>
      </c>
      <c r="H185" s="41">
        <v>82938</v>
      </c>
      <c r="I185" s="41">
        <v>83085</v>
      </c>
      <c r="J185" s="41">
        <v>83505</v>
      </c>
      <c r="K185" s="41">
        <v>83361</v>
      </c>
      <c r="L185" s="41">
        <v>84042</v>
      </c>
      <c r="M185" s="41">
        <v>84964</v>
      </c>
      <c r="N185" s="41">
        <v>85536</v>
      </c>
      <c r="O185" s="41">
        <v>85879</v>
      </c>
      <c r="P185" s="41">
        <v>86156</v>
      </c>
      <c r="Q185" s="41">
        <v>86908</v>
      </c>
      <c r="R185" s="41">
        <v>87657</v>
      </c>
      <c r="S185" s="41">
        <v>88399</v>
      </c>
      <c r="T185" s="41">
        <v>89224</v>
      </c>
      <c r="U185" s="41">
        <v>89863</v>
      </c>
      <c r="V185" s="41">
        <v>90731</v>
      </c>
      <c r="W185" s="41">
        <v>91479</v>
      </c>
      <c r="X185" s="41">
        <v>92064</v>
      </c>
      <c r="Y185" s="41">
        <v>92563</v>
      </c>
      <c r="Z185" s="41">
        <v>93098</v>
      </c>
      <c r="AA185" s="41">
        <v>93708</v>
      </c>
      <c r="AB185" s="41">
        <v>94469</v>
      </c>
      <c r="AC185" s="41">
        <v>95201</v>
      </c>
      <c r="AD185" s="41">
        <v>95970</v>
      </c>
      <c r="AE185" s="41">
        <v>96692</v>
      </c>
      <c r="AF185" s="41">
        <v>97428</v>
      </c>
      <c r="AG185" s="41">
        <v>98189</v>
      </c>
      <c r="AH185" s="41">
        <v>98904</v>
      </c>
      <c r="AI185" s="41">
        <v>99631</v>
      </c>
      <c r="AJ185" s="41">
        <v>100335</v>
      </c>
      <c r="AK185" s="41">
        <v>101045</v>
      </c>
      <c r="AL185" s="41">
        <v>101792</v>
      </c>
      <c r="AM185" s="41">
        <v>102490</v>
      </c>
      <c r="AN185" s="41">
        <v>103199</v>
      </c>
      <c r="AO185" s="41">
        <v>103866</v>
      </c>
      <c r="AP185" s="41">
        <v>104536</v>
      </c>
      <c r="AQ185" s="41">
        <v>105209</v>
      </c>
      <c r="AR185" s="41">
        <v>105810</v>
      </c>
      <c r="AS185" s="41">
        <v>106431</v>
      </c>
      <c r="AT185" s="41">
        <v>107032</v>
      </c>
      <c r="AU185" s="41">
        <v>107608</v>
      </c>
      <c r="AV185" s="41">
        <v>108182</v>
      </c>
      <c r="AW185" s="41">
        <v>108709</v>
      </c>
      <c r="AX185" s="41">
        <v>109230</v>
      </c>
      <c r="AY185" s="41">
        <v>109722</v>
      </c>
    </row>
    <row r="186" spans="1:51">
      <c r="A186" s="38" t="s">
        <v>488</v>
      </c>
      <c r="B186" s="38" t="s">
        <v>489</v>
      </c>
      <c r="C186" s="41">
        <v>23913</v>
      </c>
      <c r="D186" s="41">
        <v>24018</v>
      </c>
      <c r="E186" s="41">
        <v>24292</v>
      </c>
      <c r="F186" s="41">
        <v>24304</v>
      </c>
      <c r="G186" s="41">
        <v>24453</v>
      </c>
      <c r="H186" s="41">
        <v>24589</v>
      </c>
      <c r="I186" s="41">
        <v>24787</v>
      </c>
      <c r="J186" s="41">
        <v>24929</v>
      </c>
      <c r="K186" s="41">
        <v>25017</v>
      </c>
      <c r="L186" s="41">
        <v>25125</v>
      </c>
      <c r="M186" s="41">
        <v>25169</v>
      </c>
      <c r="N186" s="41">
        <v>25289</v>
      </c>
      <c r="O186" s="41">
        <v>25337</v>
      </c>
      <c r="P186" s="41">
        <v>25472</v>
      </c>
      <c r="Q186" s="41">
        <v>25560</v>
      </c>
      <c r="R186" s="41">
        <v>25619</v>
      </c>
      <c r="S186" s="41">
        <v>25645</v>
      </c>
      <c r="T186" s="41">
        <v>25769</v>
      </c>
      <c r="U186" s="41">
        <v>25844</v>
      </c>
      <c r="V186" s="41">
        <v>25844</v>
      </c>
      <c r="W186" s="41">
        <v>25856</v>
      </c>
      <c r="X186" s="41">
        <v>26016</v>
      </c>
      <c r="Y186" s="41">
        <v>26055</v>
      </c>
      <c r="Z186" s="41">
        <v>26289</v>
      </c>
      <c r="AA186" s="41">
        <v>26374</v>
      </c>
      <c r="AB186" s="41">
        <v>26504</v>
      </c>
      <c r="AC186" s="41">
        <v>26638</v>
      </c>
      <c r="AD186" s="41">
        <v>26770</v>
      </c>
      <c r="AE186" s="41">
        <v>26914</v>
      </c>
      <c r="AF186" s="41">
        <v>27057</v>
      </c>
      <c r="AG186" s="41">
        <v>27201</v>
      </c>
      <c r="AH186" s="41">
        <v>27351</v>
      </c>
      <c r="AI186" s="41">
        <v>27498</v>
      </c>
      <c r="AJ186" s="41">
        <v>27644</v>
      </c>
      <c r="AK186" s="41">
        <v>27792</v>
      </c>
      <c r="AL186" s="41">
        <v>27942</v>
      </c>
      <c r="AM186" s="41">
        <v>28084</v>
      </c>
      <c r="AN186" s="41">
        <v>28218</v>
      </c>
      <c r="AO186" s="41">
        <v>28353</v>
      </c>
      <c r="AP186" s="41">
        <v>28482</v>
      </c>
      <c r="AQ186" s="41">
        <v>28611</v>
      </c>
      <c r="AR186" s="41">
        <v>28742</v>
      </c>
      <c r="AS186" s="41">
        <v>28859</v>
      </c>
      <c r="AT186" s="41">
        <v>28979</v>
      </c>
      <c r="AU186" s="41">
        <v>29090</v>
      </c>
      <c r="AV186" s="41">
        <v>29203</v>
      </c>
      <c r="AW186" s="41">
        <v>29316</v>
      </c>
      <c r="AX186" s="41">
        <v>29425</v>
      </c>
      <c r="AY186" s="41">
        <v>29530</v>
      </c>
    </row>
    <row r="187" spans="1:51">
      <c r="A187" s="38" t="s">
        <v>490</v>
      </c>
      <c r="B187" s="38" t="s">
        <v>491</v>
      </c>
      <c r="C187" s="41">
        <v>32244</v>
      </c>
      <c r="D187" s="41">
        <v>32710</v>
      </c>
      <c r="E187" s="41">
        <v>32973</v>
      </c>
      <c r="F187" s="41">
        <v>33181</v>
      </c>
      <c r="G187" s="41">
        <v>33578</v>
      </c>
      <c r="H187" s="41">
        <v>33887</v>
      </c>
      <c r="I187" s="41">
        <v>34154</v>
      </c>
      <c r="J187" s="41">
        <v>34261</v>
      </c>
      <c r="K187" s="41">
        <v>34712</v>
      </c>
      <c r="L187" s="41">
        <v>35056</v>
      </c>
      <c r="M187" s="41">
        <v>35501</v>
      </c>
      <c r="N187" s="41">
        <v>36013</v>
      </c>
      <c r="O187" s="41">
        <v>36457</v>
      </c>
      <c r="P187" s="41">
        <v>36827</v>
      </c>
      <c r="Q187" s="41">
        <v>37181</v>
      </c>
      <c r="R187" s="41">
        <v>37628</v>
      </c>
      <c r="S187" s="41">
        <v>38044</v>
      </c>
      <c r="T187" s="41">
        <v>38398</v>
      </c>
      <c r="U187" s="41">
        <v>38672</v>
      </c>
      <c r="V187" s="41">
        <v>38910</v>
      </c>
      <c r="W187" s="41">
        <v>39225</v>
      </c>
      <c r="X187" s="41">
        <v>39371</v>
      </c>
      <c r="Y187" s="41">
        <v>39673</v>
      </c>
      <c r="Z187" s="41">
        <v>40154</v>
      </c>
      <c r="AA187" s="41">
        <v>40441</v>
      </c>
      <c r="AB187" s="41">
        <v>40747</v>
      </c>
      <c r="AC187" s="41">
        <v>41044</v>
      </c>
      <c r="AD187" s="41">
        <v>41352</v>
      </c>
      <c r="AE187" s="41">
        <v>41669</v>
      </c>
      <c r="AF187" s="41">
        <v>41998</v>
      </c>
      <c r="AG187" s="41">
        <v>42305</v>
      </c>
      <c r="AH187" s="41">
        <v>42591</v>
      </c>
      <c r="AI187" s="41">
        <v>42892</v>
      </c>
      <c r="AJ187" s="41">
        <v>43206</v>
      </c>
      <c r="AK187" s="41">
        <v>43511</v>
      </c>
      <c r="AL187" s="41">
        <v>43816</v>
      </c>
      <c r="AM187" s="41">
        <v>44114</v>
      </c>
      <c r="AN187" s="41">
        <v>44411</v>
      </c>
      <c r="AO187" s="41">
        <v>44710</v>
      </c>
      <c r="AP187" s="41">
        <v>44999</v>
      </c>
      <c r="AQ187" s="41">
        <v>45297</v>
      </c>
      <c r="AR187" s="41">
        <v>45569</v>
      </c>
      <c r="AS187" s="41">
        <v>45838</v>
      </c>
      <c r="AT187" s="41">
        <v>46093</v>
      </c>
      <c r="AU187" s="41">
        <v>46332</v>
      </c>
      <c r="AV187" s="41">
        <v>46581</v>
      </c>
      <c r="AW187" s="41">
        <v>46818</v>
      </c>
      <c r="AX187" s="41">
        <v>47050</v>
      </c>
      <c r="AY187" s="41">
        <v>47261</v>
      </c>
    </row>
    <row r="188" spans="1:51">
      <c r="A188" s="38" t="s">
        <v>492</v>
      </c>
      <c r="B188" s="38" t="s">
        <v>493</v>
      </c>
      <c r="C188" s="41">
        <v>72606</v>
      </c>
      <c r="D188" s="41">
        <v>73398</v>
      </c>
      <c r="E188" s="41">
        <v>74180</v>
      </c>
      <c r="F188" s="41">
        <v>74584</v>
      </c>
      <c r="G188" s="41">
        <v>75699</v>
      </c>
      <c r="H188" s="41">
        <v>77015</v>
      </c>
      <c r="I188" s="41">
        <v>77991</v>
      </c>
      <c r="J188" s="41">
        <v>79151</v>
      </c>
      <c r="K188" s="41">
        <v>79913</v>
      </c>
      <c r="L188" s="41">
        <v>80272</v>
      </c>
      <c r="M188" s="41">
        <v>80862</v>
      </c>
      <c r="N188" s="41">
        <v>81097</v>
      </c>
      <c r="O188" s="41">
        <v>81413</v>
      </c>
      <c r="P188" s="41">
        <v>81433</v>
      </c>
      <c r="Q188" s="41">
        <v>82722</v>
      </c>
      <c r="R188" s="41">
        <v>84206</v>
      </c>
      <c r="S188" s="41">
        <v>85317</v>
      </c>
      <c r="T188" s="41">
        <v>86469</v>
      </c>
      <c r="U188" s="41">
        <v>87413</v>
      </c>
      <c r="V188" s="41">
        <v>88165</v>
      </c>
      <c r="W188" s="41">
        <v>88858</v>
      </c>
      <c r="X188" s="41">
        <v>89804</v>
      </c>
      <c r="Y188" s="41">
        <v>90884</v>
      </c>
      <c r="Z188" s="41">
        <v>92344</v>
      </c>
      <c r="AA188" s="41">
        <v>93623</v>
      </c>
      <c r="AB188" s="41">
        <v>94863</v>
      </c>
      <c r="AC188" s="41">
        <v>96059</v>
      </c>
      <c r="AD188" s="41">
        <v>97277</v>
      </c>
      <c r="AE188" s="41">
        <v>98464</v>
      </c>
      <c r="AF188" s="41">
        <v>99579</v>
      </c>
      <c r="AG188" s="41">
        <v>100694</v>
      </c>
      <c r="AH188" s="41">
        <v>101768</v>
      </c>
      <c r="AI188" s="41">
        <v>102844</v>
      </c>
      <c r="AJ188" s="41">
        <v>103926</v>
      </c>
      <c r="AK188" s="41">
        <v>104987</v>
      </c>
      <c r="AL188" s="41">
        <v>106090</v>
      </c>
      <c r="AM188" s="41">
        <v>107172</v>
      </c>
      <c r="AN188" s="41">
        <v>108275</v>
      </c>
      <c r="AO188" s="41">
        <v>109345</v>
      </c>
      <c r="AP188" s="41">
        <v>110412</v>
      </c>
      <c r="AQ188" s="41">
        <v>111499</v>
      </c>
      <c r="AR188" s="41">
        <v>112549</v>
      </c>
      <c r="AS188" s="41">
        <v>113592</v>
      </c>
      <c r="AT188" s="41">
        <v>114578</v>
      </c>
      <c r="AU188" s="41">
        <v>115533</v>
      </c>
      <c r="AV188" s="41">
        <v>116501</v>
      </c>
      <c r="AW188" s="41">
        <v>117456</v>
      </c>
      <c r="AX188" s="41">
        <v>118381</v>
      </c>
      <c r="AY188" s="41">
        <v>119260</v>
      </c>
    </row>
    <row r="189" spans="1:51">
      <c r="A189" s="38" t="s">
        <v>494</v>
      </c>
      <c r="B189" s="38" t="s">
        <v>495</v>
      </c>
      <c r="C189" s="41">
        <v>123440</v>
      </c>
      <c r="D189" s="41">
        <v>124189</v>
      </c>
      <c r="E189" s="41">
        <v>124462</v>
      </c>
      <c r="F189" s="41">
        <v>125223</v>
      </c>
      <c r="G189" s="41">
        <v>125871</v>
      </c>
      <c r="H189" s="41">
        <v>126584</v>
      </c>
      <c r="I189" s="41">
        <v>127483</v>
      </c>
      <c r="J189" s="41">
        <v>128152</v>
      </c>
      <c r="K189" s="41">
        <v>129130</v>
      </c>
      <c r="L189" s="41">
        <v>129980</v>
      </c>
      <c r="M189" s="41">
        <v>130850</v>
      </c>
      <c r="N189" s="41">
        <v>131758</v>
      </c>
      <c r="O189" s="41">
        <v>132603</v>
      </c>
      <c r="P189" s="41">
        <v>133276</v>
      </c>
      <c r="Q189" s="41">
        <v>134020</v>
      </c>
      <c r="R189" s="41">
        <v>134638</v>
      </c>
      <c r="S189" s="41">
        <v>135717</v>
      </c>
      <c r="T189" s="41">
        <v>136574</v>
      </c>
      <c r="U189" s="41">
        <v>137233</v>
      </c>
      <c r="V189" s="41">
        <v>137957</v>
      </c>
      <c r="W189" s="41">
        <v>138683</v>
      </c>
      <c r="X189" s="41">
        <v>139142</v>
      </c>
      <c r="Y189" s="41">
        <v>139533</v>
      </c>
      <c r="Z189" s="41">
        <v>140235</v>
      </c>
      <c r="AA189" s="41">
        <v>140823</v>
      </c>
      <c r="AB189" s="41">
        <v>141528</v>
      </c>
      <c r="AC189" s="41">
        <v>142218</v>
      </c>
      <c r="AD189" s="41">
        <v>142869</v>
      </c>
      <c r="AE189" s="41">
        <v>143521</v>
      </c>
      <c r="AF189" s="41">
        <v>144200</v>
      </c>
      <c r="AG189" s="41">
        <v>144860</v>
      </c>
      <c r="AH189" s="41">
        <v>145468</v>
      </c>
      <c r="AI189" s="41">
        <v>146033</v>
      </c>
      <c r="AJ189" s="41">
        <v>146599</v>
      </c>
      <c r="AK189" s="41">
        <v>147190</v>
      </c>
      <c r="AL189" s="41">
        <v>147774</v>
      </c>
      <c r="AM189" s="41">
        <v>148303</v>
      </c>
      <c r="AN189" s="41">
        <v>148839</v>
      </c>
      <c r="AO189" s="41">
        <v>149330</v>
      </c>
      <c r="AP189" s="41">
        <v>149831</v>
      </c>
      <c r="AQ189" s="41">
        <v>150317</v>
      </c>
      <c r="AR189" s="41">
        <v>150715</v>
      </c>
      <c r="AS189" s="41">
        <v>151107</v>
      </c>
      <c r="AT189" s="41">
        <v>151441</v>
      </c>
      <c r="AU189" s="41">
        <v>151763</v>
      </c>
      <c r="AV189" s="41">
        <v>152048</v>
      </c>
      <c r="AW189" s="41">
        <v>152297</v>
      </c>
      <c r="AX189" s="41">
        <v>152507</v>
      </c>
      <c r="AY189" s="41">
        <v>152675</v>
      </c>
    </row>
    <row r="190" spans="1:51">
      <c r="A190" s="38" t="s">
        <v>496</v>
      </c>
      <c r="B190" s="38" t="s">
        <v>497</v>
      </c>
      <c r="C190" s="41">
        <v>53993</v>
      </c>
      <c r="D190" s="41">
        <v>54269</v>
      </c>
      <c r="E190" s="41">
        <v>54569</v>
      </c>
      <c r="F190" s="41">
        <v>54508</v>
      </c>
      <c r="G190" s="41">
        <v>54231</v>
      </c>
      <c r="H190" s="41">
        <v>54109</v>
      </c>
      <c r="I190" s="41">
        <v>53800</v>
      </c>
      <c r="J190" s="41">
        <v>53582</v>
      </c>
      <c r="K190" s="41">
        <v>53516</v>
      </c>
      <c r="L190" s="41">
        <v>54049</v>
      </c>
      <c r="M190" s="41">
        <v>54668</v>
      </c>
      <c r="N190" s="41">
        <v>55022</v>
      </c>
      <c r="O190" s="41">
        <v>55534</v>
      </c>
      <c r="P190" s="41">
        <v>55950</v>
      </c>
      <c r="Q190" s="41">
        <v>57030</v>
      </c>
      <c r="R190" s="41">
        <v>57546</v>
      </c>
      <c r="S190" s="41">
        <v>57701</v>
      </c>
      <c r="T190" s="41">
        <v>58153</v>
      </c>
      <c r="U190" s="41">
        <v>58648</v>
      </c>
      <c r="V190" s="41">
        <v>59656</v>
      </c>
      <c r="W190" s="41">
        <v>60135</v>
      </c>
      <c r="X190" s="41">
        <v>60797</v>
      </c>
      <c r="Y190" s="41">
        <v>61446</v>
      </c>
      <c r="Z190" s="41">
        <v>62178</v>
      </c>
      <c r="AA190" s="41">
        <v>62834</v>
      </c>
      <c r="AB190" s="41">
        <v>63509</v>
      </c>
      <c r="AC190" s="41">
        <v>64143</v>
      </c>
      <c r="AD190" s="41">
        <v>64740</v>
      </c>
      <c r="AE190" s="41">
        <v>65306</v>
      </c>
      <c r="AF190" s="41">
        <v>65798</v>
      </c>
      <c r="AG190" s="41">
        <v>66289</v>
      </c>
      <c r="AH190" s="41">
        <v>66764</v>
      </c>
      <c r="AI190" s="41">
        <v>67243</v>
      </c>
      <c r="AJ190" s="41">
        <v>67751</v>
      </c>
      <c r="AK190" s="41">
        <v>68255</v>
      </c>
      <c r="AL190" s="41">
        <v>68782</v>
      </c>
      <c r="AM190" s="41">
        <v>69315</v>
      </c>
      <c r="AN190" s="41">
        <v>69838</v>
      </c>
      <c r="AO190" s="41">
        <v>70355</v>
      </c>
      <c r="AP190" s="41">
        <v>70843</v>
      </c>
      <c r="AQ190" s="41">
        <v>71344</v>
      </c>
      <c r="AR190" s="41">
        <v>71859</v>
      </c>
      <c r="AS190" s="41">
        <v>72331</v>
      </c>
      <c r="AT190" s="41">
        <v>72768</v>
      </c>
      <c r="AU190" s="41">
        <v>73202</v>
      </c>
      <c r="AV190" s="41">
        <v>73658</v>
      </c>
      <c r="AW190" s="41">
        <v>74117</v>
      </c>
      <c r="AX190" s="41">
        <v>74562</v>
      </c>
      <c r="AY190" s="41">
        <v>74989</v>
      </c>
    </row>
    <row r="191" spans="1:51">
      <c r="A191" s="38" t="s">
        <v>498</v>
      </c>
      <c r="B191" s="38" t="s">
        <v>499</v>
      </c>
      <c r="C191" s="41">
        <v>115242</v>
      </c>
      <c r="D191" s="41">
        <v>115779</v>
      </c>
      <c r="E191" s="41">
        <v>115906</v>
      </c>
      <c r="F191" s="41">
        <v>115196</v>
      </c>
      <c r="G191" s="41">
        <v>115463</v>
      </c>
      <c r="H191" s="41">
        <v>115503</v>
      </c>
      <c r="I191" s="41">
        <v>116497</v>
      </c>
      <c r="J191" s="41">
        <v>116710</v>
      </c>
      <c r="K191" s="41">
        <v>115773</v>
      </c>
      <c r="L191" s="41">
        <v>115558</v>
      </c>
      <c r="M191" s="41">
        <v>115903</v>
      </c>
      <c r="N191" s="41">
        <v>116712</v>
      </c>
      <c r="O191" s="41">
        <v>117806</v>
      </c>
      <c r="P191" s="41">
        <v>119007</v>
      </c>
      <c r="Q191" s="41">
        <v>121129</v>
      </c>
      <c r="R191" s="41">
        <v>121515</v>
      </c>
      <c r="S191" s="41">
        <v>121851</v>
      </c>
      <c r="T191" s="41">
        <v>122410</v>
      </c>
      <c r="U191" s="41">
        <v>123184</v>
      </c>
      <c r="V191" s="41">
        <v>124421</v>
      </c>
      <c r="W191" s="41">
        <v>125265</v>
      </c>
      <c r="X191" s="41">
        <v>126640</v>
      </c>
      <c r="Y191" s="41">
        <v>127674</v>
      </c>
      <c r="Z191" s="41">
        <v>129053</v>
      </c>
      <c r="AA191" s="41">
        <v>130341</v>
      </c>
      <c r="AB191" s="41">
        <v>131685</v>
      </c>
      <c r="AC191" s="41">
        <v>132813</v>
      </c>
      <c r="AD191" s="41">
        <v>133801</v>
      </c>
      <c r="AE191" s="41">
        <v>134723</v>
      </c>
      <c r="AF191" s="41">
        <v>135547</v>
      </c>
      <c r="AG191" s="41">
        <v>136385</v>
      </c>
      <c r="AH191" s="41">
        <v>137155</v>
      </c>
      <c r="AI191" s="41">
        <v>138044</v>
      </c>
      <c r="AJ191" s="41">
        <v>139068</v>
      </c>
      <c r="AK191" s="41">
        <v>140162</v>
      </c>
      <c r="AL191" s="41">
        <v>141417</v>
      </c>
      <c r="AM191" s="41">
        <v>142676</v>
      </c>
      <c r="AN191" s="41">
        <v>143964</v>
      </c>
      <c r="AO191" s="41">
        <v>145171</v>
      </c>
      <c r="AP191" s="41">
        <v>146403</v>
      </c>
      <c r="AQ191" s="41">
        <v>147695</v>
      </c>
      <c r="AR191" s="41">
        <v>148954</v>
      </c>
      <c r="AS191" s="41">
        <v>150068</v>
      </c>
      <c r="AT191" s="41">
        <v>151076</v>
      </c>
      <c r="AU191" s="41">
        <v>152054</v>
      </c>
      <c r="AV191" s="41">
        <v>153104</v>
      </c>
      <c r="AW191" s="41">
        <v>154195</v>
      </c>
      <c r="AX191" s="41">
        <v>155269</v>
      </c>
      <c r="AY191" s="41">
        <v>156308</v>
      </c>
    </row>
    <row r="192" spans="1:51">
      <c r="A192" s="38" t="s">
        <v>500</v>
      </c>
      <c r="B192" s="38" t="s">
        <v>501</v>
      </c>
      <c r="C192" s="41">
        <v>45525</v>
      </c>
      <c r="D192" s="41">
        <v>45868</v>
      </c>
      <c r="E192" s="41">
        <v>46154</v>
      </c>
      <c r="F192" s="41">
        <v>46776</v>
      </c>
      <c r="G192" s="41">
        <v>47094</v>
      </c>
      <c r="H192" s="41">
        <v>47221</v>
      </c>
      <c r="I192" s="41">
        <v>47492</v>
      </c>
      <c r="J192" s="41">
        <v>47794</v>
      </c>
      <c r="K192" s="41">
        <v>48029</v>
      </c>
      <c r="L192" s="41">
        <v>48186</v>
      </c>
      <c r="M192" s="41">
        <v>48700</v>
      </c>
      <c r="N192" s="41">
        <v>49033</v>
      </c>
      <c r="O192" s="41">
        <v>49524</v>
      </c>
      <c r="P192" s="41">
        <v>49766</v>
      </c>
      <c r="Q192" s="41">
        <v>50045</v>
      </c>
      <c r="R192" s="41">
        <v>50457</v>
      </c>
      <c r="S192" s="41">
        <v>50993</v>
      </c>
      <c r="T192" s="41">
        <v>51612</v>
      </c>
      <c r="U192" s="41">
        <v>51970</v>
      </c>
      <c r="V192" s="41">
        <v>52396</v>
      </c>
      <c r="W192" s="41">
        <v>52800</v>
      </c>
      <c r="X192" s="41">
        <v>53108</v>
      </c>
      <c r="Y192" s="41">
        <v>53294</v>
      </c>
      <c r="Z192" s="41">
        <v>53558</v>
      </c>
      <c r="AA192" s="41">
        <v>53877</v>
      </c>
      <c r="AB192" s="41">
        <v>54260</v>
      </c>
      <c r="AC192" s="41">
        <v>54616</v>
      </c>
      <c r="AD192" s="41">
        <v>54975</v>
      </c>
      <c r="AE192" s="41">
        <v>55371</v>
      </c>
      <c r="AF192" s="41">
        <v>55749</v>
      </c>
      <c r="AG192" s="41">
        <v>56155</v>
      </c>
      <c r="AH192" s="41">
        <v>56500</v>
      </c>
      <c r="AI192" s="41">
        <v>56849</v>
      </c>
      <c r="AJ192" s="41">
        <v>57222</v>
      </c>
      <c r="AK192" s="41">
        <v>57573</v>
      </c>
      <c r="AL192" s="41">
        <v>57943</v>
      </c>
      <c r="AM192" s="41">
        <v>58289</v>
      </c>
      <c r="AN192" s="41">
        <v>58630</v>
      </c>
      <c r="AO192" s="41">
        <v>58982</v>
      </c>
      <c r="AP192" s="41">
        <v>59329</v>
      </c>
      <c r="AQ192" s="41">
        <v>59691</v>
      </c>
      <c r="AR192" s="41">
        <v>60025</v>
      </c>
      <c r="AS192" s="41">
        <v>60367</v>
      </c>
      <c r="AT192" s="41">
        <v>60695</v>
      </c>
      <c r="AU192" s="41">
        <v>61024</v>
      </c>
      <c r="AV192" s="41">
        <v>61378</v>
      </c>
      <c r="AW192" s="41">
        <v>61724</v>
      </c>
      <c r="AX192" s="41">
        <v>62069</v>
      </c>
      <c r="AY192" s="41">
        <v>62389</v>
      </c>
    </row>
    <row r="193" spans="1:51">
      <c r="A193" s="38" t="s">
        <v>502</v>
      </c>
      <c r="B193" s="38" t="s">
        <v>503</v>
      </c>
      <c r="C193" s="41">
        <v>20177</v>
      </c>
      <c r="D193" s="41">
        <v>20529</v>
      </c>
      <c r="E193" s="41">
        <v>20737</v>
      </c>
      <c r="F193" s="41">
        <v>20741</v>
      </c>
      <c r="G193" s="41">
        <v>20869</v>
      </c>
      <c r="H193" s="41">
        <v>21111</v>
      </c>
      <c r="I193" s="41">
        <v>21301</v>
      </c>
      <c r="J193" s="41">
        <v>21297</v>
      </c>
      <c r="K193" s="41">
        <v>21619</v>
      </c>
      <c r="L193" s="41">
        <v>21891</v>
      </c>
      <c r="M193" s="41">
        <v>21989</v>
      </c>
      <c r="N193" s="41">
        <v>21884</v>
      </c>
      <c r="O193" s="41">
        <v>21828</v>
      </c>
      <c r="P193" s="41">
        <v>21760</v>
      </c>
      <c r="Q193" s="41">
        <v>21658</v>
      </c>
      <c r="R193" s="41">
        <v>21649</v>
      </c>
      <c r="S193" s="41">
        <v>21622</v>
      </c>
      <c r="T193" s="41">
        <v>21518</v>
      </c>
      <c r="U193" s="41">
        <v>21364</v>
      </c>
      <c r="V193" s="41">
        <v>21240</v>
      </c>
      <c r="W193" s="41">
        <v>21289</v>
      </c>
      <c r="X193" s="41">
        <v>21373</v>
      </c>
      <c r="Y193" s="41">
        <v>21407</v>
      </c>
      <c r="Z193" s="41">
        <v>21445</v>
      </c>
      <c r="AA193" s="41">
        <v>21399</v>
      </c>
      <c r="AB193" s="41">
        <v>21459</v>
      </c>
      <c r="AC193" s="41">
        <v>21571</v>
      </c>
      <c r="AD193" s="41">
        <v>21682</v>
      </c>
      <c r="AE193" s="41">
        <v>21757</v>
      </c>
      <c r="AF193" s="41">
        <v>21826</v>
      </c>
      <c r="AG193" s="41">
        <v>21909</v>
      </c>
      <c r="AH193" s="41">
        <v>22024</v>
      </c>
      <c r="AI193" s="41">
        <v>22155</v>
      </c>
      <c r="AJ193" s="41">
        <v>22279</v>
      </c>
      <c r="AK193" s="41">
        <v>22402</v>
      </c>
      <c r="AL193" s="41">
        <v>22538</v>
      </c>
      <c r="AM193" s="41">
        <v>22691</v>
      </c>
      <c r="AN193" s="41">
        <v>22836</v>
      </c>
      <c r="AO193" s="41">
        <v>22979</v>
      </c>
      <c r="AP193" s="41">
        <v>23116</v>
      </c>
      <c r="AQ193" s="41">
        <v>23256</v>
      </c>
      <c r="AR193" s="41">
        <v>23384</v>
      </c>
      <c r="AS193" s="41">
        <v>23513</v>
      </c>
      <c r="AT193" s="41">
        <v>23638</v>
      </c>
      <c r="AU193" s="41">
        <v>23762</v>
      </c>
      <c r="AV193" s="41">
        <v>23894</v>
      </c>
      <c r="AW193" s="41">
        <v>24027</v>
      </c>
      <c r="AX193" s="41">
        <v>24153</v>
      </c>
      <c r="AY193" s="41">
        <v>24282</v>
      </c>
    </row>
    <row r="194" spans="1:51">
      <c r="A194" s="38" t="s">
        <v>504</v>
      </c>
      <c r="B194" s="38" t="s">
        <v>505</v>
      </c>
      <c r="C194" s="41">
        <v>85968</v>
      </c>
      <c r="D194" s="41">
        <v>86357</v>
      </c>
      <c r="E194" s="41">
        <v>86602</v>
      </c>
      <c r="F194" s="41">
        <v>86829</v>
      </c>
      <c r="G194" s="41">
        <v>87132</v>
      </c>
      <c r="H194" s="41">
        <v>87545</v>
      </c>
      <c r="I194" s="41">
        <v>87738</v>
      </c>
      <c r="J194" s="41">
        <v>87808</v>
      </c>
      <c r="K194" s="41">
        <v>87684</v>
      </c>
      <c r="L194" s="41">
        <v>87745</v>
      </c>
      <c r="M194" s="41">
        <v>88086</v>
      </c>
      <c r="N194" s="41">
        <v>88022</v>
      </c>
      <c r="O194" s="41">
        <v>87926</v>
      </c>
      <c r="P194" s="41">
        <v>88021</v>
      </c>
      <c r="Q194" s="41">
        <v>88041</v>
      </c>
      <c r="R194" s="41">
        <v>88158</v>
      </c>
      <c r="S194" s="41">
        <v>88309</v>
      </c>
      <c r="T194" s="41">
        <v>88562</v>
      </c>
      <c r="U194" s="41">
        <v>88965</v>
      </c>
      <c r="V194" s="41">
        <v>89340</v>
      </c>
      <c r="W194" s="41">
        <v>89825</v>
      </c>
      <c r="X194" s="41">
        <v>90367</v>
      </c>
      <c r="Y194" s="41">
        <v>91132</v>
      </c>
      <c r="Z194" s="41">
        <v>91802</v>
      </c>
      <c r="AA194" s="41">
        <v>92486</v>
      </c>
      <c r="AB194" s="41">
        <v>93164</v>
      </c>
      <c r="AC194" s="41">
        <v>93865</v>
      </c>
      <c r="AD194" s="41">
        <v>94571</v>
      </c>
      <c r="AE194" s="41">
        <v>95245</v>
      </c>
      <c r="AF194" s="41">
        <v>95938</v>
      </c>
      <c r="AG194" s="41">
        <v>96600</v>
      </c>
      <c r="AH194" s="41">
        <v>97253</v>
      </c>
      <c r="AI194" s="41">
        <v>97900</v>
      </c>
      <c r="AJ194" s="41">
        <v>98522</v>
      </c>
      <c r="AK194" s="41">
        <v>99163</v>
      </c>
      <c r="AL194" s="41">
        <v>99813</v>
      </c>
      <c r="AM194" s="41">
        <v>100464</v>
      </c>
      <c r="AN194" s="41">
        <v>101103</v>
      </c>
      <c r="AO194" s="41">
        <v>101709</v>
      </c>
      <c r="AP194" s="41">
        <v>102328</v>
      </c>
      <c r="AQ194" s="41">
        <v>102929</v>
      </c>
      <c r="AR194" s="41">
        <v>103521</v>
      </c>
      <c r="AS194" s="41">
        <v>104097</v>
      </c>
      <c r="AT194" s="41">
        <v>104648</v>
      </c>
      <c r="AU194" s="41">
        <v>105183</v>
      </c>
      <c r="AV194" s="41">
        <v>105700</v>
      </c>
      <c r="AW194" s="41">
        <v>106209</v>
      </c>
      <c r="AX194" s="41">
        <v>106714</v>
      </c>
      <c r="AY194" s="41">
        <v>107178</v>
      </c>
    </row>
    <row r="195" spans="1:51">
      <c r="A195" s="38" t="s">
        <v>506</v>
      </c>
      <c r="B195" s="38" t="s">
        <v>507</v>
      </c>
      <c r="C195" s="41">
        <v>48443</v>
      </c>
      <c r="D195" s="41">
        <v>48699</v>
      </c>
      <c r="E195" s="41">
        <v>48750</v>
      </c>
      <c r="F195" s="41">
        <v>48533</v>
      </c>
      <c r="G195" s="41">
        <v>48893</v>
      </c>
      <c r="H195" s="41">
        <v>49428</v>
      </c>
      <c r="I195" s="41">
        <v>50531</v>
      </c>
      <c r="J195" s="41">
        <v>51232</v>
      </c>
      <c r="K195" s="41">
        <v>51303</v>
      </c>
      <c r="L195" s="41">
        <v>51627</v>
      </c>
      <c r="M195" s="41">
        <v>51618</v>
      </c>
      <c r="N195" s="41">
        <v>51779</v>
      </c>
      <c r="O195" s="41">
        <v>52688</v>
      </c>
      <c r="P195" s="41">
        <v>52683</v>
      </c>
      <c r="Q195" s="41">
        <v>53767</v>
      </c>
      <c r="R195" s="41">
        <v>53397</v>
      </c>
      <c r="S195" s="41">
        <v>53187</v>
      </c>
      <c r="T195" s="41">
        <v>53265</v>
      </c>
      <c r="U195" s="41">
        <v>53741</v>
      </c>
      <c r="V195" s="41">
        <v>54307</v>
      </c>
      <c r="W195" s="41">
        <v>54812</v>
      </c>
      <c r="X195" s="41">
        <v>55599</v>
      </c>
      <c r="Y195" s="41">
        <v>56596</v>
      </c>
      <c r="Z195" s="41">
        <v>57781</v>
      </c>
      <c r="AA195" s="41">
        <v>58615</v>
      </c>
      <c r="AB195" s="41">
        <v>59373</v>
      </c>
      <c r="AC195" s="41">
        <v>60019</v>
      </c>
      <c r="AD195" s="41">
        <v>60597</v>
      </c>
      <c r="AE195" s="41">
        <v>61129</v>
      </c>
      <c r="AF195" s="41">
        <v>61621</v>
      </c>
      <c r="AG195" s="41">
        <v>62094</v>
      </c>
      <c r="AH195" s="41">
        <v>62530</v>
      </c>
      <c r="AI195" s="41">
        <v>63000</v>
      </c>
      <c r="AJ195" s="41">
        <v>63533</v>
      </c>
      <c r="AK195" s="41">
        <v>64094</v>
      </c>
      <c r="AL195" s="41">
        <v>64701</v>
      </c>
      <c r="AM195" s="41">
        <v>65304</v>
      </c>
      <c r="AN195" s="41">
        <v>65903</v>
      </c>
      <c r="AO195" s="41">
        <v>66477</v>
      </c>
      <c r="AP195" s="41">
        <v>67046</v>
      </c>
      <c r="AQ195" s="41">
        <v>67649</v>
      </c>
      <c r="AR195" s="41">
        <v>68225</v>
      </c>
      <c r="AS195" s="41">
        <v>68729</v>
      </c>
      <c r="AT195" s="41">
        <v>69195</v>
      </c>
      <c r="AU195" s="41">
        <v>69667</v>
      </c>
      <c r="AV195" s="41">
        <v>70177</v>
      </c>
      <c r="AW195" s="41">
        <v>70702</v>
      </c>
      <c r="AX195" s="41">
        <v>71219</v>
      </c>
      <c r="AY195" s="41">
        <v>71717</v>
      </c>
    </row>
    <row r="196" spans="1:51">
      <c r="A196" s="38" t="s">
        <v>508</v>
      </c>
      <c r="B196" s="38" t="s">
        <v>509</v>
      </c>
      <c r="C196" s="41">
        <v>34176</v>
      </c>
      <c r="D196" s="41">
        <v>34362</v>
      </c>
      <c r="E196" s="41">
        <v>34644</v>
      </c>
      <c r="F196" s="41">
        <v>34810</v>
      </c>
      <c r="G196" s="41">
        <v>34966</v>
      </c>
      <c r="H196" s="41">
        <v>34886</v>
      </c>
      <c r="I196" s="41">
        <v>34998</v>
      </c>
      <c r="J196" s="41">
        <v>34997</v>
      </c>
      <c r="K196" s="41">
        <v>35401</v>
      </c>
      <c r="L196" s="41">
        <v>35700</v>
      </c>
      <c r="M196" s="41">
        <v>36069</v>
      </c>
      <c r="N196" s="41">
        <v>36066</v>
      </c>
      <c r="O196" s="41">
        <v>36090</v>
      </c>
      <c r="P196" s="41">
        <v>36149</v>
      </c>
      <c r="Q196" s="41">
        <v>36318</v>
      </c>
      <c r="R196" s="41">
        <v>36622</v>
      </c>
      <c r="S196" s="41">
        <v>36756</v>
      </c>
      <c r="T196" s="41">
        <v>36957</v>
      </c>
      <c r="U196" s="41">
        <v>37119</v>
      </c>
      <c r="V196" s="41">
        <v>37244</v>
      </c>
      <c r="W196" s="41">
        <v>37401</v>
      </c>
      <c r="X196" s="41">
        <v>37575</v>
      </c>
      <c r="Y196" s="41">
        <v>37851</v>
      </c>
      <c r="Z196" s="41">
        <v>37921</v>
      </c>
      <c r="AA196" s="41">
        <v>38107</v>
      </c>
      <c r="AB196" s="41">
        <v>38315</v>
      </c>
      <c r="AC196" s="41">
        <v>38522</v>
      </c>
      <c r="AD196" s="41">
        <v>38697</v>
      </c>
      <c r="AE196" s="41">
        <v>38885</v>
      </c>
      <c r="AF196" s="41">
        <v>39045</v>
      </c>
      <c r="AG196" s="41">
        <v>39229</v>
      </c>
      <c r="AH196" s="41">
        <v>39402</v>
      </c>
      <c r="AI196" s="41">
        <v>39536</v>
      </c>
      <c r="AJ196" s="41">
        <v>39692</v>
      </c>
      <c r="AK196" s="41">
        <v>39822</v>
      </c>
      <c r="AL196" s="41">
        <v>39967</v>
      </c>
      <c r="AM196" s="41">
        <v>40101</v>
      </c>
      <c r="AN196" s="41">
        <v>40223</v>
      </c>
      <c r="AO196" s="41">
        <v>40349</v>
      </c>
      <c r="AP196" s="41">
        <v>40467</v>
      </c>
      <c r="AQ196" s="41">
        <v>40584</v>
      </c>
      <c r="AR196" s="41">
        <v>40692</v>
      </c>
      <c r="AS196" s="41">
        <v>40798</v>
      </c>
      <c r="AT196" s="41">
        <v>40896</v>
      </c>
      <c r="AU196" s="41">
        <v>40995</v>
      </c>
      <c r="AV196" s="41">
        <v>41093</v>
      </c>
      <c r="AW196" s="41">
        <v>41192</v>
      </c>
      <c r="AX196" s="41">
        <v>41290</v>
      </c>
      <c r="AY196" s="41">
        <v>41371</v>
      </c>
    </row>
    <row r="197" spans="1:51">
      <c r="A197" s="38" t="s">
        <v>510</v>
      </c>
      <c r="B197" s="38" t="s">
        <v>511</v>
      </c>
      <c r="C197" s="41">
        <v>60797</v>
      </c>
      <c r="D197" s="41">
        <v>61634</v>
      </c>
      <c r="E197" s="41">
        <v>61911</v>
      </c>
      <c r="F197" s="41">
        <v>63043</v>
      </c>
      <c r="G197" s="41">
        <v>63809</v>
      </c>
      <c r="H197" s="41">
        <v>63981</v>
      </c>
      <c r="I197" s="41">
        <v>63712</v>
      </c>
      <c r="J197" s="41">
        <v>63769</v>
      </c>
      <c r="K197" s="41">
        <v>64455</v>
      </c>
      <c r="L197" s="41">
        <v>64893</v>
      </c>
      <c r="M197" s="41">
        <v>65536</v>
      </c>
      <c r="N197" s="41">
        <v>66162</v>
      </c>
      <c r="O197" s="41">
        <v>66934</v>
      </c>
      <c r="P197" s="41">
        <v>67680</v>
      </c>
      <c r="Q197" s="41">
        <v>69080</v>
      </c>
      <c r="R197" s="41">
        <v>69982</v>
      </c>
      <c r="S197" s="41">
        <v>70642</v>
      </c>
      <c r="T197" s="41">
        <v>71873</v>
      </c>
      <c r="U197" s="41">
        <v>72718</v>
      </c>
      <c r="V197" s="41">
        <v>73621</v>
      </c>
      <c r="W197" s="41">
        <v>74356</v>
      </c>
      <c r="X197" s="41">
        <v>75170</v>
      </c>
      <c r="Y197" s="41">
        <v>76059</v>
      </c>
      <c r="Z197" s="41">
        <v>76920</v>
      </c>
      <c r="AA197" s="41">
        <v>78027</v>
      </c>
      <c r="AB197" s="41">
        <v>79103</v>
      </c>
      <c r="AC197" s="41">
        <v>80053</v>
      </c>
      <c r="AD197" s="41">
        <v>80990</v>
      </c>
      <c r="AE197" s="41">
        <v>81901</v>
      </c>
      <c r="AF197" s="41">
        <v>82768</v>
      </c>
      <c r="AG197" s="41">
        <v>83617</v>
      </c>
      <c r="AH197" s="41">
        <v>84417</v>
      </c>
      <c r="AI197" s="41">
        <v>85181</v>
      </c>
      <c r="AJ197" s="41">
        <v>85968</v>
      </c>
      <c r="AK197" s="41">
        <v>86727</v>
      </c>
      <c r="AL197" s="41">
        <v>87509</v>
      </c>
      <c r="AM197" s="41">
        <v>88310</v>
      </c>
      <c r="AN197" s="41">
        <v>89092</v>
      </c>
      <c r="AO197" s="41">
        <v>89882</v>
      </c>
      <c r="AP197" s="41">
        <v>90669</v>
      </c>
      <c r="AQ197" s="41">
        <v>91463</v>
      </c>
      <c r="AR197" s="41">
        <v>92278</v>
      </c>
      <c r="AS197" s="41">
        <v>93069</v>
      </c>
      <c r="AT197" s="41">
        <v>93841</v>
      </c>
      <c r="AU197" s="41">
        <v>94573</v>
      </c>
      <c r="AV197" s="41">
        <v>95283</v>
      </c>
      <c r="AW197" s="41">
        <v>95984</v>
      </c>
      <c r="AX197" s="41">
        <v>96654</v>
      </c>
      <c r="AY197" s="41">
        <v>97302</v>
      </c>
    </row>
    <row r="198" spans="1:51">
      <c r="A198" s="38" t="s">
        <v>512</v>
      </c>
      <c r="B198" s="38" t="s">
        <v>513</v>
      </c>
      <c r="C198" s="41">
        <v>99796</v>
      </c>
      <c r="D198" s="41">
        <v>101929</v>
      </c>
      <c r="E198" s="41">
        <v>103182</v>
      </c>
      <c r="F198" s="41">
        <v>101435</v>
      </c>
      <c r="G198" s="41">
        <v>102275</v>
      </c>
      <c r="H198" s="41">
        <v>101462</v>
      </c>
      <c r="I198" s="41">
        <v>101509</v>
      </c>
      <c r="J198" s="41">
        <v>101457</v>
      </c>
      <c r="K198" s="41">
        <v>101399</v>
      </c>
      <c r="L198" s="41">
        <v>102121</v>
      </c>
      <c r="M198" s="41">
        <v>102645</v>
      </c>
      <c r="N198" s="41">
        <v>103542</v>
      </c>
      <c r="O198" s="41">
        <v>104135</v>
      </c>
      <c r="P198" s="41">
        <v>104323</v>
      </c>
      <c r="Q198" s="41">
        <v>105627</v>
      </c>
      <c r="R198" s="41">
        <v>106185</v>
      </c>
      <c r="S198" s="41">
        <v>107168</v>
      </c>
      <c r="T198" s="41">
        <v>107897</v>
      </c>
      <c r="U198" s="41">
        <v>108243</v>
      </c>
      <c r="V198" s="41">
        <v>108761</v>
      </c>
      <c r="W198" s="41">
        <v>109408</v>
      </c>
      <c r="X198" s="41">
        <v>109826</v>
      </c>
      <c r="Y198" s="41">
        <v>110526</v>
      </c>
      <c r="Z198" s="41">
        <v>111987</v>
      </c>
      <c r="AA198" s="41">
        <v>112589</v>
      </c>
      <c r="AB198" s="41">
        <v>113339</v>
      </c>
      <c r="AC198" s="41">
        <v>114008</v>
      </c>
      <c r="AD198" s="41">
        <v>114652</v>
      </c>
      <c r="AE198" s="41">
        <v>115264</v>
      </c>
      <c r="AF198" s="41">
        <v>115798</v>
      </c>
      <c r="AG198" s="41">
        <v>116329</v>
      </c>
      <c r="AH198" s="41">
        <v>116822</v>
      </c>
      <c r="AI198" s="41">
        <v>117333</v>
      </c>
      <c r="AJ198" s="41">
        <v>117876</v>
      </c>
      <c r="AK198" s="41">
        <v>118402</v>
      </c>
      <c r="AL198" s="41">
        <v>119009</v>
      </c>
      <c r="AM198" s="41">
        <v>119632</v>
      </c>
      <c r="AN198" s="41">
        <v>120245</v>
      </c>
      <c r="AO198" s="41">
        <v>120825</v>
      </c>
      <c r="AP198" s="41">
        <v>121392</v>
      </c>
      <c r="AQ198" s="41">
        <v>122017</v>
      </c>
      <c r="AR198" s="41">
        <v>122636</v>
      </c>
      <c r="AS198" s="41">
        <v>123168</v>
      </c>
      <c r="AT198" s="41">
        <v>123646</v>
      </c>
      <c r="AU198" s="41">
        <v>124103</v>
      </c>
      <c r="AV198" s="41">
        <v>124609</v>
      </c>
      <c r="AW198" s="41">
        <v>125134</v>
      </c>
      <c r="AX198" s="41">
        <v>125612</v>
      </c>
      <c r="AY198" s="41">
        <v>126068</v>
      </c>
    </row>
    <row r="199" spans="1:51">
      <c r="A199" s="38" t="s">
        <v>514</v>
      </c>
      <c r="B199" s="38" t="s">
        <v>515</v>
      </c>
      <c r="C199" s="41">
        <v>76648</v>
      </c>
      <c r="D199" s="41">
        <v>76990</v>
      </c>
      <c r="E199" s="41">
        <v>77293</v>
      </c>
      <c r="F199" s="41">
        <v>77462</v>
      </c>
      <c r="G199" s="41">
        <v>77846</v>
      </c>
      <c r="H199" s="41">
        <v>78237</v>
      </c>
      <c r="I199" s="41">
        <v>78162</v>
      </c>
      <c r="J199" s="41">
        <v>78274</v>
      </c>
      <c r="K199" s="41">
        <v>78002</v>
      </c>
      <c r="L199" s="41">
        <v>78400</v>
      </c>
      <c r="M199" s="41">
        <v>78771</v>
      </c>
      <c r="N199" s="41">
        <v>79248</v>
      </c>
      <c r="O199" s="41">
        <v>80104</v>
      </c>
      <c r="P199" s="41">
        <v>80993</v>
      </c>
      <c r="Q199" s="41">
        <v>82186</v>
      </c>
      <c r="R199" s="41">
        <v>82274</v>
      </c>
      <c r="S199" s="41">
        <v>81985</v>
      </c>
      <c r="T199" s="41">
        <v>82469</v>
      </c>
      <c r="U199" s="41">
        <v>83608</v>
      </c>
      <c r="V199" s="41">
        <v>84843</v>
      </c>
      <c r="W199" s="41">
        <v>85662</v>
      </c>
      <c r="X199" s="41">
        <v>86328</v>
      </c>
      <c r="Y199" s="41">
        <v>86988</v>
      </c>
      <c r="Z199" s="41">
        <v>87858</v>
      </c>
      <c r="AA199" s="41">
        <v>88647</v>
      </c>
      <c r="AB199" s="41">
        <v>89527</v>
      </c>
      <c r="AC199" s="41">
        <v>90384</v>
      </c>
      <c r="AD199" s="41">
        <v>91132</v>
      </c>
      <c r="AE199" s="41">
        <v>91821</v>
      </c>
      <c r="AF199" s="41">
        <v>92532</v>
      </c>
      <c r="AG199" s="41">
        <v>93229</v>
      </c>
      <c r="AH199" s="41">
        <v>93899</v>
      </c>
      <c r="AI199" s="41">
        <v>94566</v>
      </c>
      <c r="AJ199" s="41">
        <v>95268</v>
      </c>
      <c r="AK199" s="41">
        <v>95987</v>
      </c>
      <c r="AL199" s="41">
        <v>96764</v>
      </c>
      <c r="AM199" s="41">
        <v>97559</v>
      </c>
      <c r="AN199" s="41">
        <v>98319</v>
      </c>
      <c r="AO199" s="41">
        <v>99059</v>
      </c>
      <c r="AP199" s="41">
        <v>99815</v>
      </c>
      <c r="AQ199" s="41">
        <v>100573</v>
      </c>
      <c r="AR199" s="41">
        <v>101318</v>
      </c>
      <c r="AS199" s="41">
        <v>102015</v>
      </c>
      <c r="AT199" s="41">
        <v>102677</v>
      </c>
      <c r="AU199" s="41">
        <v>103347</v>
      </c>
      <c r="AV199" s="41">
        <v>104036</v>
      </c>
      <c r="AW199" s="41">
        <v>104737</v>
      </c>
      <c r="AX199" s="41">
        <v>105423</v>
      </c>
      <c r="AY199" s="41">
        <v>106083</v>
      </c>
    </row>
    <row r="200" spans="1:51">
      <c r="A200" s="38" t="s">
        <v>516</v>
      </c>
      <c r="B200" s="38" t="s">
        <v>517</v>
      </c>
      <c r="C200" s="41">
        <v>50745</v>
      </c>
      <c r="D200" s="41">
        <v>50657</v>
      </c>
      <c r="E200" s="41">
        <v>50976</v>
      </c>
      <c r="F200" s="41">
        <v>51232</v>
      </c>
      <c r="G200" s="41">
        <v>51663</v>
      </c>
      <c r="H200" s="41">
        <v>51931</v>
      </c>
      <c r="I200" s="41">
        <v>52195</v>
      </c>
      <c r="J200" s="41">
        <v>52252</v>
      </c>
      <c r="K200" s="41">
        <v>52603</v>
      </c>
      <c r="L200" s="41">
        <v>52917</v>
      </c>
      <c r="M200" s="41">
        <v>53033</v>
      </c>
      <c r="N200" s="41">
        <v>53389</v>
      </c>
      <c r="O200" s="41">
        <v>53934</v>
      </c>
      <c r="P200" s="41">
        <v>54604</v>
      </c>
      <c r="Q200" s="41">
        <v>55309</v>
      </c>
      <c r="R200" s="41">
        <v>55954</v>
      </c>
      <c r="S200" s="41">
        <v>56272</v>
      </c>
      <c r="T200" s="41">
        <v>56695</v>
      </c>
      <c r="U200" s="41">
        <v>56733</v>
      </c>
      <c r="V200" s="41">
        <v>57114</v>
      </c>
      <c r="W200" s="41">
        <v>57478</v>
      </c>
      <c r="X200" s="41">
        <v>57718</v>
      </c>
      <c r="Y200" s="41">
        <v>57856</v>
      </c>
      <c r="Z200" s="41">
        <v>57936</v>
      </c>
      <c r="AA200" s="41">
        <v>58162</v>
      </c>
      <c r="AB200" s="41">
        <v>58439</v>
      </c>
      <c r="AC200" s="41">
        <v>58710</v>
      </c>
      <c r="AD200" s="41">
        <v>58940</v>
      </c>
      <c r="AE200" s="41">
        <v>59133</v>
      </c>
      <c r="AF200" s="41">
        <v>59323</v>
      </c>
      <c r="AG200" s="41">
        <v>59514</v>
      </c>
      <c r="AH200" s="41">
        <v>59706</v>
      </c>
      <c r="AI200" s="41">
        <v>59887</v>
      </c>
      <c r="AJ200" s="41">
        <v>60091</v>
      </c>
      <c r="AK200" s="41">
        <v>60314</v>
      </c>
      <c r="AL200" s="41">
        <v>60579</v>
      </c>
      <c r="AM200" s="41">
        <v>60851</v>
      </c>
      <c r="AN200" s="41">
        <v>61118</v>
      </c>
      <c r="AO200" s="41">
        <v>61379</v>
      </c>
      <c r="AP200" s="41">
        <v>61632</v>
      </c>
      <c r="AQ200" s="41">
        <v>61888</v>
      </c>
      <c r="AR200" s="41">
        <v>62128</v>
      </c>
      <c r="AS200" s="41">
        <v>62358</v>
      </c>
      <c r="AT200" s="41">
        <v>62576</v>
      </c>
      <c r="AU200" s="41">
        <v>62773</v>
      </c>
      <c r="AV200" s="41">
        <v>62992</v>
      </c>
      <c r="AW200" s="41">
        <v>63212</v>
      </c>
      <c r="AX200" s="41">
        <v>63434</v>
      </c>
      <c r="AY200" s="41">
        <v>63635</v>
      </c>
    </row>
    <row r="201" spans="1:51">
      <c r="A201" s="38" t="s">
        <v>518</v>
      </c>
      <c r="B201" s="38" t="s">
        <v>519</v>
      </c>
      <c r="C201" s="41">
        <v>53345</v>
      </c>
      <c r="D201" s="41">
        <v>53642</v>
      </c>
      <c r="E201" s="41">
        <v>53806</v>
      </c>
      <c r="F201" s="41">
        <v>54119</v>
      </c>
      <c r="G201" s="41">
        <v>54956</v>
      </c>
      <c r="H201" s="41">
        <v>55364</v>
      </c>
      <c r="I201" s="41">
        <v>56250</v>
      </c>
      <c r="J201" s="41">
        <v>57068</v>
      </c>
      <c r="K201" s="41">
        <v>56928</v>
      </c>
      <c r="L201" s="41">
        <v>57364</v>
      </c>
      <c r="M201" s="41">
        <v>57956</v>
      </c>
      <c r="N201" s="41">
        <v>57726</v>
      </c>
      <c r="O201" s="41">
        <v>57841</v>
      </c>
      <c r="P201" s="41">
        <v>57955</v>
      </c>
      <c r="Q201" s="41">
        <v>58912</v>
      </c>
      <c r="R201" s="41">
        <v>59602</v>
      </c>
      <c r="S201" s="41">
        <v>60095</v>
      </c>
      <c r="T201" s="41">
        <v>60673</v>
      </c>
      <c r="U201" s="41">
        <v>61316</v>
      </c>
      <c r="V201" s="41">
        <v>62149</v>
      </c>
      <c r="W201" s="41">
        <v>62697</v>
      </c>
      <c r="X201" s="41">
        <v>63368</v>
      </c>
      <c r="Y201" s="41">
        <v>64048</v>
      </c>
      <c r="Z201" s="41">
        <v>64741</v>
      </c>
      <c r="AA201" s="41">
        <v>65509</v>
      </c>
      <c r="AB201" s="41">
        <v>66130</v>
      </c>
      <c r="AC201" s="41">
        <v>66629</v>
      </c>
      <c r="AD201" s="41">
        <v>67081</v>
      </c>
      <c r="AE201" s="41">
        <v>67546</v>
      </c>
      <c r="AF201" s="41">
        <v>68050</v>
      </c>
      <c r="AG201" s="41">
        <v>68529</v>
      </c>
      <c r="AH201" s="41">
        <v>68971</v>
      </c>
      <c r="AI201" s="41">
        <v>69418</v>
      </c>
      <c r="AJ201" s="41">
        <v>69904</v>
      </c>
      <c r="AK201" s="41">
        <v>70402</v>
      </c>
      <c r="AL201" s="41">
        <v>70922</v>
      </c>
      <c r="AM201" s="41">
        <v>71430</v>
      </c>
      <c r="AN201" s="41">
        <v>71953</v>
      </c>
      <c r="AO201" s="41">
        <v>72464</v>
      </c>
      <c r="AP201" s="41">
        <v>72980</v>
      </c>
      <c r="AQ201" s="41">
        <v>73488</v>
      </c>
      <c r="AR201" s="41">
        <v>73990</v>
      </c>
      <c r="AS201" s="41">
        <v>74485</v>
      </c>
      <c r="AT201" s="41">
        <v>74946</v>
      </c>
      <c r="AU201" s="41">
        <v>75413</v>
      </c>
      <c r="AV201" s="41">
        <v>75901</v>
      </c>
      <c r="AW201" s="41">
        <v>76407</v>
      </c>
      <c r="AX201" s="41">
        <v>76907</v>
      </c>
      <c r="AY201" s="41">
        <v>77381</v>
      </c>
    </row>
    <row r="202" spans="1:51">
      <c r="A202" s="38" t="s">
        <v>520</v>
      </c>
      <c r="B202" s="38" t="s">
        <v>521</v>
      </c>
      <c r="C202" s="41">
        <v>85539</v>
      </c>
      <c r="D202" s="41">
        <v>85798</v>
      </c>
      <c r="E202" s="41">
        <v>86071</v>
      </c>
      <c r="F202" s="41">
        <v>86561</v>
      </c>
      <c r="G202" s="41">
        <v>87018</v>
      </c>
      <c r="H202" s="41">
        <v>88258</v>
      </c>
      <c r="I202" s="41">
        <v>88804</v>
      </c>
      <c r="J202" s="41">
        <v>89174</v>
      </c>
      <c r="K202" s="41">
        <v>90282</v>
      </c>
      <c r="L202" s="41">
        <v>91255</v>
      </c>
      <c r="M202" s="41">
        <v>92525</v>
      </c>
      <c r="N202" s="41">
        <v>93142</v>
      </c>
      <c r="O202" s="41">
        <v>93773</v>
      </c>
      <c r="P202" s="41">
        <v>93703</v>
      </c>
      <c r="Q202" s="41">
        <v>94062</v>
      </c>
      <c r="R202" s="41">
        <v>94644</v>
      </c>
      <c r="S202" s="41">
        <v>95170</v>
      </c>
      <c r="T202" s="41">
        <v>96300</v>
      </c>
      <c r="U202" s="41">
        <v>97525</v>
      </c>
      <c r="V202" s="41">
        <v>98548</v>
      </c>
      <c r="W202" s="41">
        <v>99963</v>
      </c>
      <c r="X202" s="41">
        <v>101382</v>
      </c>
      <c r="Y202" s="41">
        <v>103029</v>
      </c>
      <c r="Z202" s="41">
        <v>105212</v>
      </c>
      <c r="AA202" s="41">
        <v>107481</v>
      </c>
      <c r="AB202" s="41">
        <v>109632</v>
      </c>
      <c r="AC202" s="41">
        <v>111772</v>
      </c>
      <c r="AD202" s="41">
        <v>114011</v>
      </c>
      <c r="AE202" s="41">
        <v>116180</v>
      </c>
      <c r="AF202" s="41">
        <v>118386</v>
      </c>
      <c r="AG202" s="41">
        <v>120522</v>
      </c>
      <c r="AH202" s="41">
        <v>122637</v>
      </c>
      <c r="AI202" s="41">
        <v>124765</v>
      </c>
      <c r="AJ202" s="41">
        <v>126824</v>
      </c>
      <c r="AK202" s="41">
        <v>128890</v>
      </c>
      <c r="AL202" s="41">
        <v>130926</v>
      </c>
      <c r="AM202" s="41">
        <v>132952</v>
      </c>
      <c r="AN202" s="41">
        <v>134946</v>
      </c>
      <c r="AO202" s="41">
        <v>136894</v>
      </c>
      <c r="AP202" s="41">
        <v>138822</v>
      </c>
      <c r="AQ202" s="41">
        <v>140726</v>
      </c>
      <c r="AR202" s="41">
        <v>142613</v>
      </c>
      <c r="AS202" s="41">
        <v>144470</v>
      </c>
      <c r="AT202" s="41">
        <v>146303</v>
      </c>
      <c r="AU202" s="41">
        <v>148126</v>
      </c>
      <c r="AV202" s="41">
        <v>149964</v>
      </c>
      <c r="AW202" s="41">
        <v>151837</v>
      </c>
      <c r="AX202" s="41">
        <v>153679</v>
      </c>
      <c r="AY202" s="41">
        <v>155473</v>
      </c>
    </row>
    <row r="203" spans="1:51">
      <c r="A203" s="38" t="s">
        <v>522</v>
      </c>
      <c r="B203" s="38" t="s">
        <v>523</v>
      </c>
      <c r="C203" s="41">
        <v>57204</v>
      </c>
      <c r="D203" s="41">
        <v>57475</v>
      </c>
      <c r="E203" s="41">
        <v>57232</v>
      </c>
      <c r="F203" s="41">
        <v>57256</v>
      </c>
      <c r="G203" s="41">
        <v>57276</v>
      </c>
      <c r="H203" s="41">
        <v>57217</v>
      </c>
      <c r="I203" s="41">
        <v>57309</v>
      </c>
      <c r="J203" s="41">
        <v>57357</v>
      </c>
      <c r="K203" s="41">
        <v>57235</v>
      </c>
      <c r="L203" s="41">
        <v>57371</v>
      </c>
      <c r="M203" s="41">
        <v>57543</v>
      </c>
      <c r="N203" s="41">
        <v>57645</v>
      </c>
      <c r="O203" s="41">
        <v>57940</v>
      </c>
      <c r="P203" s="41">
        <v>58244</v>
      </c>
      <c r="Q203" s="41">
        <v>58433</v>
      </c>
      <c r="R203" s="41">
        <v>58599</v>
      </c>
      <c r="S203" s="41">
        <v>58738</v>
      </c>
      <c r="T203" s="41">
        <v>58914</v>
      </c>
      <c r="U203" s="41">
        <v>59042</v>
      </c>
      <c r="V203" s="41">
        <v>59331</v>
      </c>
      <c r="W203" s="41">
        <v>59587</v>
      </c>
      <c r="X203" s="41">
        <v>59820</v>
      </c>
      <c r="Y203" s="41">
        <v>59836</v>
      </c>
      <c r="Z203" s="41">
        <v>60106</v>
      </c>
      <c r="AA203" s="41">
        <v>60211</v>
      </c>
      <c r="AB203" s="41">
        <v>60374</v>
      </c>
      <c r="AC203" s="41">
        <v>60555</v>
      </c>
      <c r="AD203" s="41">
        <v>60691</v>
      </c>
      <c r="AE203" s="41">
        <v>60869</v>
      </c>
      <c r="AF203" s="41">
        <v>61009</v>
      </c>
      <c r="AG203" s="41">
        <v>61155</v>
      </c>
      <c r="AH203" s="41">
        <v>61301</v>
      </c>
      <c r="AI203" s="41">
        <v>61399</v>
      </c>
      <c r="AJ203" s="41">
        <v>61506</v>
      </c>
      <c r="AK203" s="41">
        <v>61588</v>
      </c>
      <c r="AL203" s="41">
        <v>61691</v>
      </c>
      <c r="AM203" s="41">
        <v>61747</v>
      </c>
      <c r="AN203" s="41">
        <v>61784</v>
      </c>
      <c r="AO203" s="41">
        <v>61818</v>
      </c>
      <c r="AP203" s="41">
        <v>61843</v>
      </c>
      <c r="AQ203" s="41">
        <v>61889</v>
      </c>
      <c r="AR203" s="41">
        <v>61918</v>
      </c>
      <c r="AS203" s="41">
        <v>61937</v>
      </c>
      <c r="AT203" s="41">
        <v>61933</v>
      </c>
      <c r="AU203" s="41">
        <v>61937</v>
      </c>
      <c r="AV203" s="41">
        <v>61951</v>
      </c>
      <c r="AW203" s="41">
        <v>61957</v>
      </c>
      <c r="AX203" s="41">
        <v>61945</v>
      </c>
      <c r="AY203" s="41">
        <v>61911</v>
      </c>
    </row>
    <row r="204" spans="1:51">
      <c r="A204" s="38" t="s">
        <v>524</v>
      </c>
      <c r="B204" s="38" t="s">
        <v>525</v>
      </c>
      <c r="C204" s="41">
        <v>29426</v>
      </c>
      <c r="D204" s="41">
        <v>29566</v>
      </c>
      <c r="E204" s="41">
        <v>29830</v>
      </c>
      <c r="F204" s="41">
        <v>30068</v>
      </c>
      <c r="G204" s="41">
        <v>30172</v>
      </c>
      <c r="H204" s="41">
        <v>30278</v>
      </c>
      <c r="I204" s="41">
        <v>30475</v>
      </c>
      <c r="J204" s="41">
        <v>30716</v>
      </c>
      <c r="K204" s="41">
        <v>30984</v>
      </c>
      <c r="L204" s="41">
        <v>31333</v>
      </c>
      <c r="M204" s="41">
        <v>31681</v>
      </c>
      <c r="N204" s="41">
        <v>31955</v>
      </c>
      <c r="O204" s="41">
        <v>32237</v>
      </c>
      <c r="P204" s="41">
        <v>32433</v>
      </c>
      <c r="Q204" s="41">
        <v>32633</v>
      </c>
      <c r="R204" s="41">
        <v>33134</v>
      </c>
      <c r="S204" s="41">
        <v>33487</v>
      </c>
      <c r="T204" s="41">
        <v>33939</v>
      </c>
      <c r="U204" s="41">
        <v>34235</v>
      </c>
      <c r="V204" s="41">
        <v>34494</v>
      </c>
      <c r="W204" s="41">
        <v>34742</v>
      </c>
      <c r="X204" s="41">
        <v>34849</v>
      </c>
      <c r="Y204" s="41">
        <v>35013</v>
      </c>
      <c r="Z204" s="41">
        <v>35223</v>
      </c>
      <c r="AA204" s="41">
        <v>35400</v>
      </c>
      <c r="AB204" s="41">
        <v>35559</v>
      </c>
      <c r="AC204" s="41">
        <v>35716</v>
      </c>
      <c r="AD204" s="41">
        <v>35882</v>
      </c>
      <c r="AE204" s="41">
        <v>36049</v>
      </c>
      <c r="AF204" s="41">
        <v>36216</v>
      </c>
      <c r="AG204" s="41">
        <v>36365</v>
      </c>
      <c r="AH204" s="41">
        <v>36517</v>
      </c>
      <c r="AI204" s="41">
        <v>36651</v>
      </c>
      <c r="AJ204" s="41">
        <v>36800</v>
      </c>
      <c r="AK204" s="41">
        <v>36952</v>
      </c>
      <c r="AL204" s="41">
        <v>37084</v>
      </c>
      <c r="AM204" s="41">
        <v>37225</v>
      </c>
      <c r="AN204" s="41">
        <v>37341</v>
      </c>
      <c r="AO204" s="41">
        <v>37461</v>
      </c>
      <c r="AP204" s="41">
        <v>37577</v>
      </c>
      <c r="AQ204" s="41">
        <v>37681</v>
      </c>
      <c r="AR204" s="41">
        <v>37790</v>
      </c>
      <c r="AS204" s="41">
        <v>37877</v>
      </c>
      <c r="AT204" s="41">
        <v>37953</v>
      </c>
      <c r="AU204" s="41">
        <v>38021</v>
      </c>
      <c r="AV204" s="41">
        <v>38083</v>
      </c>
      <c r="AW204" s="41">
        <v>38157</v>
      </c>
      <c r="AX204" s="41">
        <v>38216</v>
      </c>
      <c r="AY204" s="41">
        <v>38267</v>
      </c>
    </row>
    <row r="205" spans="1:51">
      <c r="A205" s="38" t="s">
        <v>526</v>
      </c>
      <c r="B205" s="38" t="s">
        <v>527</v>
      </c>
      <c r="C205" s="41">
        <v>47125</v>
      </c>
      <c r="D205" s="41">
        <v>47472</v>
      </c>
      <c r="E205" s="41">
        <v>47857</v>
      </c>
      <c r="F205" s="41">
        <v>48013</v>
      </c>
      <c r="G205" s="41">
        <v>48433</v>
      </c>
      <c r="H205" s="41">
        <v>49093</v>
      </c>
      <c r="I205" s="41">
        <v>49690</v>
      </c>
      <c r="J205" s="41">
        <v>49982</v>
      </c>
      <c r="K205" s="41">
        <v>50674</v>
      </c>
      <c r="L205" s="41">
        <v>51202</v>
      </c>
      <c r="M205" s="41">
        <v>51777</v>
      </c>
      <c r="N205" s="41">
        <v>51555</v>
      </c>
      <c r="O205" s="41">
        <v>51688</v>
      </c>
      <c r="P205" s="41">
        <v>51800</v>
      </c>
      <c r="Q205" s="41">
        <v>51993</v>
      </c>
      <c r="R205" s="41">
        <v>52471</v>
      </c>
      <c r="S205" s="41">
        <v>53145</v>
      </c>
      <c r="T205" s="41">
        <v>53633</v>
      </c>
      <c r="U205" s="41">
        <v>54456</v>
      </c>
      <c r="V205" s="41">
        <v>55141</v>
      </c>
      <c r="W205" s="41">
        <v>55629</v>
      </c>
      <c r="X205" s="41">
        <v>56304</v>
      </c>
      <c r="Y205" s="41">
        <v>56935</v>
      </c>
      <c r="Z205" s="41">
        <v>57803</v>
      </c>
      <c r="AA205" s="41">
        <v>58647</v>
      </c>
      <c r="AB205" s="41">
        <v>59501</v>
      </c>
      <c r="AC205" s="41">
        <v>60362</v>
      </c>
      <c r="AD205" s="41">
        <v>61243</v>
      </c>
      <c r="AE205" s="41">
        <v>62121</v>
      </c>
      <c r="AF205" s="41">
        <v>62986</v>
      </c>
      <c r="AG205" s="41">
        <v>63820</v>
      </c>
      <c r="AH205" s="41">
        <v>64644</v>
      </c>
      <c r="AI205" s="41">
        <v>65462</v>
      </c>
      <c r="AJ205" s="41">
        <v>66286</v>
      </c>
      <c r="AK205" s="41">
        <v>67106</v>
      </c>
      <c r="AL205" s="41">
        <v>67914</v>
      </c>
      <c r="AM205" s="41">
        <v>68716</v>
      </c>
      <c r="AN205" s="41">
        <v>69516</v>
      </c>
      <c r="AO205" s="41">
        <v>70322</v>
      </c>
      <c r="AP205" s="41">
        <v>71119</v>
      </c>
      <c r="AQ205" s="41">
        <v>71917</v>
      </c>
      <c r="AR205" s="41">
        <v>72695</v>
      </c>
      <c r="AS205" s="41">
        <v>73481</v>
      </c>
      <c r="AT205" s="41">
        <v>74276</v>
      </c>
      <c r="AU205" s="41">
        <v>75060</v>
      </c>
      <c r="AV205" s="41">
        <v>75845</v>
      </c>
      <c r="AW205" s="41">
        <v>76634</v>
      </c>
      <c r="AX205" s="41">
        <v>77402</v>
      </c>
      <c r="AY205" s="41">
        <v>78147</v>
      </c>
    </row>
    <row r="206" spans="1:51">
      <c r="A206" s="38" t="s">
        <v>528</v>
      </c>
      <c r="B206" s="38" t="s">
        <v>529</v>
      </c>
      <c r="C206" s="41">
        <v>20017</v>
      </c>
      <c r="D206" s="41">
        <v>19936</v>
      </c>
      <c r="E206" s="41">
        <v>20066</v>
      </c>
      <c r="F206" s="41">
        <v>20191</v>
      </c>
      <c r="G206" s="41">
        <v>20422</v>
      </c>
      <c r="H206" s="41">
        <v>20787</v>
      </c>
      <c r="I206" s="41">
        <v>21013</v>
      </c>
      <c r="J206" s="41">
        <v>21156</v>
      </c>
      <c r="K206" s="41">
        <v>21658</v>
      </c>
      <c r="L206" s="41">
        <v>21958</v>
      </c>
      <c r="M206" s="41">
        <v>22247</v>
      </c>
      <c r="N206" s="41">
        <v>22590</v>
      </c>
      <c r="O206" s="41">
        <v>23002</v>
      </c>
      <c r="P206" s="41">
        <v>23287</v>
      </c>
      <c r="Q206" s="41">
        <v>23491</v>
      </c>
      <c r="R206" s="41">
        <v>23684</v>
      </c>
      <c r="S206" s="41">
        <v>23793</v>
      </c>
      <c r="T206" s="41">
        <v>23967</v>
      </c>
      <c r="U206" s="41">
        <v>23998</v>
      </c>
      <c r="V206" s="41">
        <v>24123</v>
      </c>
      <c r="W206" s="41">
        <v>24149</v>
      </c>
      <c r="X206" s="41">
        <v>24381</v>
      </c>
      <c r="Y206" s="41">
        <v>24592</v>
      </c>
      <c r="Z206" s="41">
        <v>24823</v>
      </c>
      <c r="AA206" s="41">
        <v>24975</v>
      </c>
      <c r="AB206" s="41">
        <v>25140</v>
      </c>
      <c r="AC206" s="41">
        <v>25305</v>
      </c>
      <c r="AD206" s="41">
        <v>25480</v>
      </c>
      <c r="AE206" s="41">
        <v>25644</v>
      </c>
      <c r="AF206" s="41">
        <v>25798</v>
      </c>
      <c r="AG206" s="41">
        <v>25944</v>
      </c>
      <c r="AH206" s="41">
        <v>26080</v>
      </c>
      <c r="AI206" s="41">
        <v>26211</v>
      </c>
      <c r="AJ206" s="41">
        <v>26338</v>
      </c>
      <c r="AK206" s="41">
        <v>26460</v>
      </c>
      <c r="AL206" s="41">
        <v>26578</v>
      </c>
      <c r="AM206" s="41">
        <v>26692</v>
      </c>
      <c r="AN206" s="41">
        <v>26795</v>
      </c>
      <c r="AO206" s="41">
        <v>26903</v>
      </c>
      <c r="AP206" s="41">
        <v>27003</v>
      </c>
      <c r="AQ206" s="41">
        <v>27101</v>
      </c>
      <c r="AR206" s="41">
        <v>27186</v>
      </c>
      <c r="AS206" s="41">
        <v>27264</v>
      </c>
      <c r="AT206" s="41">
        <v>27342</v>
      </c>
      <c r="AU206" s="41">
        <v>27418</v>
      </c>
      <c r="AV206" s="41">
        <v>27486</v>
      </c>
      <c r="AW206" s="41">
        <v>27546</v>
      </c>
      <c r="AX206" s="41">
        <v>27599</v>
      </c>
      <c r="AY206" s="41">
        <v>27641</v>
      </c>
    </row>
    <row r="207" spans="1:51">
      <c r="A207" s="38" t="s">
        <v>530</v>
      </c>
      <c r="B207" s="38" t="s">
        <v>531</v>
      </c>
      <c r="C207" s="41">
        <v>72737</v>
      </c>
      <c r="D207" s="41">
        <v>72490</v>
      </c>
      <c r="E207" s="41">
        <v>72442</v>
      </c>
      <c r="F207" s="41">
        <v>72438</v>
      </c>
      <c r="G207" s="41">
        <v>72979</v>
      </c>
      <c r="H207" s="41">
        <v>73629</v>
      </c>
      <c r="I207" s="41">
        <v>74031</v>
      </c>
      <c r="J207" s="41">
        <v>73970</v>
      </c>
      <c r="K207" s="41">
        <v>75411</v>
      </c>
      <c r="L207" s="41">
        <v>75733</v>
      </c>
      <c r="M207" s="41">
        <v>76343</v>
      </c>
      <c r="N207" s="41">
        <v>76764</v>
      </c>
      <c r="O207" s="41">
        <v>77112</v>
      </c>
      <c r="P207" s="41">
        <v>77736</v>
      </c>
      <c r="Q207" s="41">
        <v>78585</v>
      </c>
      <c r="R207" s="41">
        <v>78882</v>
      </c>
      <c r="S207" s="41">
        <v>78728</v>
      </c>
      <c r="T207" s="41">
        <v>78955</v>
      </c>
      <c r="U207" s="41">
        <v>79352</v>
      </c>
      <c r="V207" s="41">
        <v>79785</v>
      </c>
      <c r="W207" s="41">
        <v>80018</v>
      </c>
      <c r="X207" s="41">
        <v>80723</v>
      </c>
      <c r="Y207" s="41">
        <v>81702</v>
      </c>
      <c r="Z207" s="41">
        <v>82641</v>
      </c>
      <c r="AA207" s="41">
        <v>83825</v>
      </c>
      <c r="AB207" s="41">
        <v>85027</v>
      </c>
      <c r="AC207" s="41">
        <v>86247</v>
      </c>
      <c r="AD207" s="41">
        <v>87494</v>
      </c>
      <c r="AE207" s="41">
        <v>88765</v>
      </c>
      <c r="AF207" s="41">
        <v>89981</v>
      </c>
      <c r="AG207" s="41">
        <v>91198</v>
      </c>
      <c r="AH207" s="41">
        <v>92406</v>
      </c>
      <c r="AI207" s="41">
        <v>93623</v>
      </c>
      <c r="AJ207" s="41">
        <v>94841</v>
      </c>
      <c r="AK207" s="41">
        <v>96035</v>
      </c>
      <c r="AL207" s="41">
        <v>97236</v>
      </c>
      <c r="AM207" s="41">
        <v>98438</v>
      </c>
      <c r="AN207" s="41">
        <v>99626</v>
      </c>
      <c r="AO207" s="41">
        <v>100803</v>
      </c>
      <c r="AP207" s="41">
        <v>101955</v>
      </c>
      <c r="AQ207" s="41">
        <v>103103</v>
      </c>
      <c r="AR207" s="41">
        <v>104234</v>
      </c>
      <c r="AS207" s="41">
        <v>105333</v>
      </c>
      <c r="AT207" s="41">
        <v>106410</v>
      </c>
      <c r="AU207" s="41">
        <v>107466</v>
      </c>
      <c r="AV207" s="41">
        <v>108504</v>
      </c>
      <c r="AW207" s="41">
        <v>109542</v>
      </c>
      <c r="AX207" s="41">
        <v>110546</v>
      </c>
      <c r="AY207" s="41">
        <v>111524</v>
      </c>
    </row>
    <row r="208" spans="1:51">
      <c r="A208" s="38" t="s">
        <v>532</v>
      </c>
      <c r="B208" s="38" t="s">
        <v>533</v>
      </c>
      <c r="C208" s="41">
        <v>17032</v>
      </c>
      <c r="D208" s="41">
        <v>17230</v>
      </c>
      <c r="E208" s="41">
        <v>16605</v>
      </c>
      <c r="F208" s="41">
        <v>16120</v>
      </c>
      <c r="G208" s="41">
        <v>16691</v>
      </c>
      <c r="H208" s="41">
        <v>16932</v>
      </c>
      <c r="I208" s="41">
        <v>16845</v>
      </c>
      <c r="J208" s="41">
        <v>17166</v>
      </c>
      <c r="K208" s="41">
        <v>17370</v>
      </c>
      <c r="L208" s="41">
        <v>17932</v>
      </c>
      <c r="M208" s="41">
        <v>18163</v>
      </c>
      <c r="N208" s="41">
        <v>18339</v>
      </c>
      <c r="O208" s="41">
        <v>18602</v>
      </c>
      <c r="P208" s="41">
        <v>18737</v>
      </c>
      <c r="Q208" s="41">
        <v>19172</v>
      </c>
      <c r="R208" s="41">
        <v>19498</v>
      </c>
      <c r="S208" s="41">
        <v>19787</v>
      </c>
      <c r="T208" s="41">
        <v>20092</v>
      </c>
      <c r="U208" s="41">
        <v>20145</v>
      </c>
      <c r="V208" s="41">
        <v>20430</v>
      </c>
      <c r="W208" s="41">
        <v>20738</v>
      </c>
      <c r="X208" s="41">
        <v>21258</v>
      </c>
      <c r="Y208" s="41">
        <v>21496</v>
      </c>
      <c r="Z208" s="41">
        <v>21390</v>
      </c>
      <c r="AA208" s="41">
        <v>21379</v>
      </c>
      <c r="AB208" s="41">
        <v>21415</v>
      </c>
      <c r="AC208" s="41">
        <v>21447</v>
      </c>
      <c r="AD208" s="41">
        <v>21449</v>
      </c>
      <c r="AE208" s="41">
        <v>21453</v>
      </c>
      <c r="AF208" s="41">
        <v>21458</v>
      </c>
      <c r="AG208" s="41">
        <v>21489</v>
      </c>
      <c r="AH208" s="41">
        <v>21517</v>
      </c>
      <c r="AI208" s="41">
        <v>21518</v>
      </c>
      <c r="AJ208" s="41">
        <v>21519</v>
      </c>
      <c r="AK208" s="41">
        <v>21520</v>
      </c>
      <c r="AL208" s="41">
        <v>21531</v>
      </c>
      <c r="AM208" s="41">
        <v>21539</v>
      </c>
      <c r="AN208" s="41">
        <v>21542</v>
      </c>
      <c r="AO208" s="41">
        <v>21549</v>
      </c>
      <c r="AP208" s="41">
        <v>21558</v>
      </c>
      <c r="AQ208" s="41">
        <v>21566</v>
      </c>
      <c r="AR208" s="41">
        <v>21564</v>
      </c>
      <c r="AS208" s="41">
        <v>21560</v>
      </c>
      <c r="AT208" s="41">
        <v>21550</v>
      </c>
      <c r="AU208" s="41">
        <v>21544</v>
      </c>
      <c r="AV208" s="41">
        <v>21536</v>
      </c>
      <c r="AW208" s="41">
        <v>21524</v>
      </c>
      <c r="AX208" s="41">
        <v>21510</v>
      </c>
      <c r="AY208" s="41">
        <v>21494</v>
      </c>
    </row>
    <row r="209" spans="1:51">
      <c r="A209" s="38" t="s">
        <v>534</v>
      </c>
      <c r="B209" s="38" t="s">
        <v>535</v>
      </c>
      <c r="C209" s="41">
        <v>79436</v>
      </c>
      <c r="D209" s="41">
        <v>79868</v>
      </c>
      <c r="E209" s="41">
        <v>80298</v>
      </c>
      <c r="F209" s="41">
        <v>80629</v>
      </c>
      <c r="G209" s="41">
        <v>81139</v>
      </c>
      <c r="H209" s="41">
        <v>81383</v>
      </c>
      <c r="I209" s="41">
        <v>81464</v>
      </c>
      <c r="J209" s="41">
        <v>81858</v>
      </c>
      <c r="K209" s="41">
        <v>82167</v>
      </c>
      <c r="L209" s="41">
        <v>83033</v>
      </c>
      <c r="M209" s="41">
        <v>83565</v>
      </c>
      <c r="N209" s="41">
        <v>83861</v>
      </c>
      <c r="O209" s="41">
        <v>84384</v>
      </c>
      <c r="P209" s="41">
        <v>84547</v>
      </c>
      <c r="Q209" s="41">
        <v>84668</v>
      </c>
      <c r="R209" s="41">
        <v>85083</v>
      </c>
      <c r="S209" s="41">
        <v>85434</v>
      </c>
      <c r="T209" s="41">
        <v>86157</v>
      </c>
      <c r="U209" s="41">
        <v>86608</v>
      </c>
      <c r="V209" s="41">
        <v>86947</v>
      </c>
      <c r="W209" s="41">
        <v>87678</v>
      </c>
      <c r="X209" s="41">
        <v>87960</v>
      </c>
      <c r="Y209" s="41">
        <v>88348</v>
      </c>
      <c r="Z209" s="41">
        <v>88880</v>
      </c>
      <c r="AA209" s="41">
        <v>89334</v>
      </c>
      <c r="AB209" s="41">
        <v>89822</v>
      </c>
      <c r="AC209" s="41">
        <v>90313</v>
      </c>
      <c r="AD209" s="41">
        <v>90826</v>
      </c>
      <c r="AE209" s="41">
        <v>91303</v>
      </c>
      <c r="AF209" s="41">
        <v>91787</v>
      </c>
      <c r="AG209" s="41">
        <v>92262</v>
      </c>
      <c r="AH209" s="41">
        <v>92723</v>
      </c>
      <c r="AI209" s="41">
        <v>93176</v>
      </c>
      <c r="AJ209" s="41">
        <v>93614</v>
      </c>
      <c r="AK209" s="41">
        <v>94066</v>
      </c>
      <c r="AL209" s="41">
        <v>94555</v>
      </c>
      <c r="AM209" s="41">
        <v>95030</v>
      </c>
      <c r="AN209" s="41">
        <v>95493</v>
      </c>
      <c r="AO209" s="41">
        <v>95927</v>
      </c>
      <c r="AP209" s="41">
        <v>96381</v>
      </c>
      <c r="AQ209" s="41">
        <v>96844</v>
      </c>
      <c r="AR209" s="41">
        <v>97288</v>
      </c>
      <c r="AS209" s="41">
        <v>97723</v>
      </c>
      <c r="AT209" s="41">
        <v>98115</v>
      </c>
      <c r="AU209" s="41">
        <v>98504</v>
      </c>
      <c r="AV209" s="41">
        <v>98899</v>
      </c>
      <c r="AW209" s="41">
        <v>99285</v>
      </c>
      <c r="AX209" s="41">
        <v>99654</v>
      </c>
      <c r="AY209" s="41">
        <v>99982</v>
      </c>
    </row>
    <row r="210" spans="1:51">
      <c r="A210" s="38" t="s">
        <v>536</v>
      </c>
      <c r="B210" s="38" t="s">
        <v>537</v>
      </c>
      <c r="C210" s="41">
        <v>29264</v>
      </c>
      <c r="D210" s="41">
        <v>29427</v>
      </c>
      <c r="E210" s="41">
        <v>29606</v>
      </c>
      <c r="F210" s="41">
        <v>29715</v>
      </c>
      <c r="G210" s="41">
        <v>29970</v>
      </c>
      <c r="H210" s="41">
        <v>30305</v>
      </c>
      <c r="I210" s="41">
        <v>30610</v>
      </c>
      <c r="J210" s="41">
        <v>30912</v>
      </c>
      <c r="K210" s="41">
        <v>31316</v>
      </c>
      <c r="L210" s="41">
        <v>31712</v>
      </c>
      <c r="M210" s="41">
        <v>32021</v>
      </c>
      <c r="N210" s="41">
        <v>32247</v>
      </c>
      <c r="O210" s="41">
        <v>32324</v>
      </c>
      <c r="P210" s="41">
        <v>32538</v>
      </c>
      <c r="Q210" s="41">
        <v>32785</v>
      </c>
      <c r="R210" s="41">
        <v>32966</v>
      </c>
      <c r="S210" s="41">
        <v>33206</v>
      </c>
      <c r="T210" s="41">
        <v>33526</v>
      </c>
      <c r="U210" s="41">
        <v>33577</v>
      </c>
      <c r="V210" s="41">
        <v>33640</v>
      </c>
      <c r="W210" s="41">
        <v>33598</v>
      </c>
      <c r="X210" s="41">
        <v>33907</v>
      </c>
      <c r="Y210" s="41">
        <v>33946</v>
      </c>
      <c r="Z210" s="41">
        <v>34306</v>
      </c>
      <c r="AA210" s="41">
        <v>34507</v>
      </c>
      <c r="AB210" s="41">
        <v>34735</v>
      </c>
      <c r="AC210" s="41">
        <v>35003</v>
      </c>
      <c r="AD210" s="41">
        <v>35256</v>
      </c>
      <c r="AE210" s="41">
        <v>35535</v>
      </c>
      <c r="AF210" s="41">
        <v>35793</v>
      </c>
      <c r="AG210" s="41">
        <v>36039</v>
      </c>
      <c r="AH210" s="41">
        <v>36300</v>
      </c>
      <c r="AI210" s="41">
        <v>36560</v>
      </c>
      <c r="AJ210" s="41">
        <v>36827</v>
      </c>
      <c r="AK210" s="41">
        <v>37077</v>
      </c>
      <c r="AL210" s="41">
        <v>37323</v>
      </c>
      <c r="AM210" s="41">
        <v>37588</v>
      </c>
      <c r="AN210" s="41">
        <v>37850</v>
      </c>
      <c r="AO210" s="41">
        <v>38112</v>
      </c>
      <c r="AP210" s="41">
        <v>38369</v>
      </c>
      <c r="AQ210" s="41">
        <v>38624</v>
      </c>
      <c r="AR210" s="41">
        <v>38874</v>
      </c>
      <c r="AS210" s="41">
        <v>39125</v>
      </c>
      <c r="AT210" s="41">
        <v>39368</v>
      </c>
      <c r="AU210" s="41">
        <v>39595</v>
      </c>
      <c r="AV210" s="41">
        <v>39821</v>
      </c>
      <c r="AW210" s="41">
        <v>40046</v>
      </c>
      <c r="AX210" s="41">
        <v>40264</v>
      </c>
      <c r="AY210" s="41">
        <v>40485</v>
      </c>
    </row>
    <row r="211" spans="1:51">
      <c r="A211" s="38" t="s">
        <v>538</v>
      </c>
      <c r="B211" s="38" t="s">
        <v>539</v>
      </c>
      <c r="C211" s="41">
        <v>26316</v>
      </c>
      <c r="D211" s="41">
        <v>26372</v>
      </c>
      <c r="E211" s="41">
        <v>26430</v>
      </c>
      <c r="F211" s="41">
        <v>26510</v>
      </c>
      <c r="G211" s="41">
        <v>26615</v>
      </c>
      <c r="H211" s="41">
        <v>26641</v>
      </c>
      <c r="I211" s="41">
        <v>26717</v>
      </c>
      <c r="J211" s="41">
        <v>26767</v>
      </c>
      <c r="K211" s="41">
        <v>26800</v>
      </c>
      <c r="L211" s="41">
        <v>26896</v>
      </c>
      <c r="M211" s="41">
        <v>27116</v>
      </c>
      <c r="N211" s="41">
        <v>27220</v>
      </c>
      <c r="O211" s="41">
        <v>27389</v>
      </c>
      <c r="P211" s="41">
        <v>27513</v>
      </c>
      <c r="Q211" s="41">
        <v>27711</v>
      </c>
      <c r="R211" s="41">
        <v>27903</v>
      </c>
      <c r="S211" s="41">
        <v>28168</v>
      </c>
      <c r="T211" s="41">
        <v>28437</v>
      </c>
      <c r="U211" s="41">
        <v>28682</v>
      </c>
      <c r="V211" s="41">
        <v>28900</v>
      </c>
      <c r="W211" s="41">
        <v>29074</v>
      </c>
      <c r="X211" s="41">
        <v>29287</v>
      </c>
      <c r="Y211" s="41">
        <v>29505</v>
      </c>
      <c r="Z211" s="41">
        <v>29735</v>
      </c>
      <c r="AA211" s="41">
        <v>29924</v>
      </c>
      <c r="AB211" s="41">
        <v>30115</v>
      </c>
      <c r="AC211" s="41">
        <v>30309</v>
      </c>
      <c r="AD211" s="41">
        <v>30526</v>
      </c>
      <c r="AE211" s="41">
        <v>30722</v>
      </c>
      <c r="AF211" s="41">
        <v>30924</v>
      </c>
      <c r="AG211" s="41">
        <v>31101</v>
      </c>
      <c r="AH211" s="41">
        <v>31277</v>
      </c>
      <c r="AI211" s="41">
        <v>31462</v>
      </c>
      <c r="AJ211" s="41">
        <v>31633</v>
      </c>
      <c r="AK211" s="41">
        <v>31816</v>
      </c>
      <c r="AL211" s="41">
        <v>31984</v>
      </c>
      <c r="AM211" s="41">
        <v>32159</v>
      </c>
      <c r="AN211" s="41">
        <v>32330</v>
      </c>
      <c r="AO211" s="41">
        <v>32488</v>
      </c>
      <c r="AP211" s="41">
        <v>32652</v>
      </c>
      <c r="AQ211" s="41">
        <v>32806</v>
      </c>
      <c r="AR211" s="41">
        <v>32950</v>
      </c>
      <c r="AS211" s="41">
        <v>33091</v>
      </c>
      <c r="AT211" s="41">
        <v>33215</v>
      </c>
      <c r="AU211" s="41">
        <v>33335</v>
      </c>
      <c r="AV211" s="41">
        <v>33452</v>
      </c>
      <c r="AW211" s="41">
        <v>33570</v>
      </c>
      <c r="AX211" s="41">
        <v>33679</v>
      </c>
      <c r="AY211" s="41">
        <v>33777</v>
      </c>
    </row>
    <row r="212" spans="1:51">
      <c r="A212" s="38" t="s">
        <v>540</v>
      </c>
      <c r="B212" s="38" t="s">
        <v>541</v>
      </c>
      <c r="C212" s="41">
        <v>36272</v>
      </c>
      <c r="D212" s="41">
        <v>36234</v>
      </c>
      <c r="E212" s="41">
        <v>36498</v>
      </c>
      <c r="F212" s="41">
        <v>36749</v>
      </c>
      <c r="G212" s="41">
        <v>37029</v>
      </c>
      <c r="H212" s="41">
        <v>37699</v>
      </c>
      <c r="I212" s="41">
        <v>37720</v>
      </c>
      <c r="J212" s="41">
        <v>38038</v>
      </c>
      <c r="K212" s="41">
        <v>38134</v>
      </c>
      <c r="L212" s="41">
        <v>38196</v>
      </c>
      <c r="M212" s="41">
        <v>38139</v>
      </c>
      <c r="N212" s="41">
        <v>38574</v>
      </c>
      <c r="O212" s="41">
        <v>38861</v>
      </c>
      <c r="P212" s="41">
        <v>39092</v>
      </c>
      <c r="Q212" s="41">
        <v>39336</v>
      </c>
      <c r="R212" s="41">
        <v>39653</v>
      </c>
      <c r="S212" s="41">
        <v>40150</v>
      </c>
      <c r="T212" s="41">
        <v>40586</v>
      </c>
      <c r="U212" s="41">
        <v>40658</v>
      </c>
      <c r="V212" s="41">
        <v>40914</v>
      </c>
      <c r="W212" s="41">
        <v>40986</v>
      </c>
      <c r="X212" s="41">
        <v>41170</v>
      </c>
      <c r="Y212" s="41">
        <v>41280</v>
      </c>
      <c r="Z212" s="41">
        <v>41926</v>
      </c>
      <c r="AA212" s="41">
        <v>42270</v>
      </c>
      <c r="AB212" s="41">
        <v>42663</v>
      </c>
      <c r="AC212" s="41">
        <v>43091</v>
      </c>
      <c r="AD212" s="41">
        <v>43540</v>
      </c>
      <c r="AE212" s="41">
        <v>44016</v>
      </c>
      <c r="AF212" s="41">
        <v>44486</v>
      </c>
      <c r="AG212" s="41">
        <v>44981</v>
      </c>
      <c r="AH212" s="41">
        <v>45489</v>
      </c>
      <c r="AI212" s="41">
        <v>46005</v>
      </c>
      <c r="AJ212" s="41">
        <v>46529</v>
      </c>
      <c r="AK212" s="41">
        <v>47052</v>
      </c>
      <c r="AL212" s="41">
        <v>47591</v>
      </c>
      <c r="AM212" s="41">
        <v>48143</v>
      </c>
      <c r="AN212" s="41">
        <v>48679</v>
      </c>
      <c r="AO212" s="41">
        <v>49209</v>
      </c>
      <c r="AP212" s="41">
        <v>49741</v>
      </c>
      <c r="AQ212" s="41">
        <v>50265</v>
      </c>
      <c r="AR212" s="41">
        <v>50755</v>
      </c>
      <c r="AS212" s="41">
        <v>51239</v>
      </c>
      <c r="AT212" s="41">
        <v>51720</v>
      </c>
      <c r="AU212" s="41">
        <v>52196</v>
      </c>
      <c r="AV212" s="41">
        <v>52672</v>
      </c>
      <c r="AW212" s="41">
        <v>53145</v>
      </c>
      <c r="AX212" s="41">
        <v>53603</v>
      </c>
      <c r="AY212" s="41">
        <v>54051</v>
      </c>
    </row>
    <row r="213" spans="1:51">
      <c r="A213" s="38" t="s">
        <v>542</v>
      </c>
      <c r="B213" s="38" t="s">
        <v>543</v>
      </c>
      <c r="C213" s="41">
        <v>100148</v>
      </c>
      <c r="D213" s="41">
        <v>100567</v>
      </c>
      <c r="E213" s="41">
        <v>101008</v>
      </c>
      <c r="F213" s="41">
        <v>101320</v>
      </c>
      <c r="G213" s="41">
        <v>101701</v>
      </c>
      <c r="H213" s="41">
        <v>101856</v>
      </c>
      <c r="I213" s="41">
        <v>102061</v>
      </c>
      <c r="J213" s="41">
        <v>101996</v>
      </c>
      <c r="K213" s="41">
        <v>101758</v>
      </c>
      <c r="L213" s="41">
        <v>101712</v>
      </c>
      <c r="M213" s="41">
        <v>102451</v>
      </c>
      <c r="N213" s="41">
        <v>103291</v>
      </c>
      <c r="O213" s="41">
        <v>103995</v>
      </c>
      <c r="P213" s="41">
        <v>104636</v>
      </c>
      <c r="Q213" s="41">
        <v>105296</v>
      </c>
      <c r="R213" s="41">
        <v>105891</v>
      </c>
      <c r="S213" s="41">
        <v>106306</v>
      </c>
      <c r="T213" s="41">
        <v>106835</v>
      </c>
      <c r="U213" s="41">
        <v>107371</v>
      </c>
      <c r="V213" s="41">
        <v>107916</v>
      </c>
      <c r="W213" s="41">
        <v>108510</v>
      </c>
      <c r="X213" s="41">
        <v>108884</v>
      </c>
      <c r="Y213" s="41">
        <v>109207</v>
      </c>
      <c r="Z213" s="41">
        <v>109850</v>
      </c>
      <c r="AA213" s="41">
        <v>110361</v>
      </c>
      <c r="AB213" s="41">
        <v>110930</v>
      </c>
      <c r="AC213" s="41">
        <v>111486</v>
      </c>
      <c r="AD213" s="41">
        <v>112069</v>
      </c>
      <c r="AE213" s="41">
        <v>112641</v>
      </c>
      <c r="AF213" s="41">
        <v>113237</v>
      </c>
      <c r="AG213" s="41">
        <v>113792</v>
      </c>
      <c r="AH213" s="41">
        <v>114329</v>
      </c>
      <c r="AI213" s="41">
        <v>114868</v>
      </c>
      <c r="AJ213" s="41">
        <v>115378</v>
      </c>
      <c r="AK213" s="41">
        <v>115900</v>
      </c>
      <c r="AL213" s="41">
        <v>116427</v>
      </c>
      <c r="AM213" s="41">
        <v>116949</v>
      </c>
      <c r="AN213" s="41">
        <v>117473</v>
      </c>
      <c r="AO213" s="41">
        <v>117987</v>
      </c>
      <c r="AP213" s="41">
        <v>118463</v>
      </c>
      <c r="AQ213" s="41">
        <v>118950</v>
      </c>
      <c r="AR213" s="41">
        <v>119427</v>
      </c>
      <c r="AS213" s="41">
        <v>119899</v>
      </c>
      <c r="AT213" s="41">
        <v>120346</v>
      </c>
      <c r="AU213" s="41">
        <v>120740</v>
      </c>
      <c r="AV213" s="41">
        <v>121144</v>
      </c>
      <c r="AW213" s="41">
        <v>121532</v>
      </c>
      <c r="AX213" s="41">
        <v>121916</v>
      </c>
      <c r="AY213" s="41">
        <v>122260</v>
      </c>
    </row>
    <row r="214" spans="1:51">
      <c r="A214" s="38" t="s">
        <v>544</v>
      </c>
      <c r="B214" s="38" t="s">
        <v>545</v>
      </c>
      <c r="C214" s="41">
        <v>34010</v>
      </c>
      <c r="D214" s="41">
        <v>34519</v>
      </c>
      <c r="E214" s="41">
        <v>34479</v>
      </c>
      <c r="F214" s="41">
        <v>34717</v>
      </c>
      <c r="G214" s="41">
        <v>35012</v>
      </c>
      <c r="H214" s="41">
        <v>35066</v>
      </c>
      <c r="I214" s="41">
        <v>35230</v>
      </c>
      <c r="J214" s="41">
        <v>35416</v>
      </c>
      <c r="K214" s="41">
        <v>35675</v>
      </c>
      <c r="L214" s="41">
        <v>35900</v>
      </c>
      <c r="M214" s="41">
        <v>36462</v>
      </c>
      <c r="N214" s="41">
        <v>36890</v>
      </c>
      <c r="O214" s="41">
        <v>37147</v>
      </c>
      <c r="P214" s="41">
        <v>37497</v>
      </c>
      <c r="Q214" s="41">
        <v>38097</v>
      </c>
      <c r="R214" s="41">
        <v>38864</v>
      </c>
      <c r="S214" s="41">
        <v>39592</v>
      </c>
      <c r="T214" s="41">
        <v>40368</v>
      </c>
      <c r="U214" s="41">
        <v>40880</v>
      </c>
      <c r="V214" s="41">
        <v>41486</v>
      </c>
      <c r="W214" s="41">
        <v>42085</v>
      </c>
      <c r="X214" s="41">
        <v>42274</v>
      </c>
      <c r="Y214" s="41">
        <v>42576</v>
      </c>
      <c r="Z214" s="41">
        <v>43030</v>
      </c>
      <c r="AA214" s="41">
        <v>43516</v>
      </c>
      <c r="AB214" s="41">
        <v>43973</v>
      </c>
      <c r="AC214" s="41">
        <v>44447</v>
      </c>
      <c r="AD214" s="41">
        <v>44901</v>
      </c>
      <c r="AE214" s="41">
        <v>45376</v>
      </c>
      <c r="AF214" s="41">
        <v>45837</v>
      </c>
      <c r="AG214" s="41">
        <v>46281</v>
      </c>
      <c r="AH214" s="41">
        <v>46728</v>
      </c>
      <c r="AI214" s="41">
        <v>47162</v>
      </c>
      <c r="AJ214" s="41">
        <v>47602</v>
      </c>
      <c r="AK214" s="41">
        <v>48019</v>
      </c>
      <c r="AL214" s="41">
        <v>48441</v>
      </c>
      <c r="AM214" s="41">
        <v>48851</v>
      </c>
      <c r="AN214" s="41">
        <v>49268</v>
      </c>
      <c r="AO214" s="41">
        <v>49698</v>
      </c>
      <c r="AP214" s="41">
        <v>50113</v>
      </c>
      <c r="AQ214" s="41">
        <v>50542</v>
      </c>
      <c r="AR214" s="41">
        <v>50968</v>
      </c>
      <c r="AS214" s="41">
        <v>51387</v>
      </c>
      <c r="AT214" s="41">
        <v>51807</v>
      </c>
      <c r="AU214" s="41">
        <v>52211</v>
      </c>
      <c r="AV214" s="41">
        <v>52630</v>
      </c>
      <c r="AW214" s="41">
        <v>53049</v>
      </c>
      <c r="AX214" s="41">
        <v>53449</v>
      </c>
      <c r="AY214" s="41">
        <v>53842</v>
      </c>
    </row>
    <row r="215" spans="1:51">
      <c r="A215" s="38" t="s">
        <v>546</v>
      </c>
      <c r="B215" s="38" t="s">
        <v>547</v>
      </c>
      <c r="C215" s="41">
        <v>29449</v>
      </c>
      <c r="D215" s="41">
        <v>29708</v>
      </c>
      <c r="E215" s="41">
        <v>29971</v>
      </c>
      <c r="F215" s="41">
        <v>30150</v>
      </c>
      <c r="G215" s="41">
        <v>30492</v>
      </c>
      <c r="H215" s="41">
        <v>30855</v>
      </c>
      <c r="I215" s="41">
        <v>30985</v>
      </c>
      <c r="J215" s="41">
        <v>31462</v>
      </c>
      <c r="K215" s="41">
        <v>31340</v>
      </c>
      <c r="L215" s="41">
        <v>31614</v>
      </c>
      <c r="M215" s="41">
        <v>31738</v>
      </c>
      <c r="N215" s="41">
        <v>31859</v>
      </c>
      <c r="O215" s="41">
        <v>31851</v>
      </c>
      <c r="P215" s="41">
        <v>31549</v>
      </c>
      <c r="Q215" s="41">
        <v>31667</v>
      </c>
      <c r="R215" s="41">
        <v>31704</v>
      </c>
      <c r="S215" s="41">
        <v>32134</v>
      </c>
      <c r="T215" s="41">
        <v>32328</v>
      </c>
      <c r="U215" s="41">
        <v>32511</v>
      </c>
      <c r="V215" s="41">
        <v>32687</v>
      </c>
      <c r="W215" s="41">
        <v>32677</v>
      </c>
      <c r="X215" s="41">
        <v>33070</v>
      </c>
      <c r="Y215" s="41">
        <v>33561</v>
      </c>
      <c r="Z215" s="41">
        <v>34019</v>
      </c>
      <c r="AA215" s="41">
        <v>34486</v>
      </c>
      <c r="AB215" s="41">
        <v>34946</v>
      </c>
      <c r="AC215" s="41">
        <v>35379</v>
      </c>
      <c r="AD215" s="41">
        <v>35802</v>
      </c>
      <c r="AE215" s="41">
        <v>36222</v>
      </c>
      <c r="AF215" s="41">
        <v>36614</v>
      </c>
      <c r="AG215" s="41">
        <v>36996</v>
      </c>
      <c r="AH215" s="41">
        <v>37363</v>
      </c>
      <c r="AI215" s="41">
        <v>37743</v>
      </c>
      <c r="AJ215" s="41">
        <v>38135</v>
      </c>
      <c r="AK215" s="41">
        <v>38518</v>
      </c>
      <c r="AL215" s="41">
        <v>38922</v>
      </c>
      <c r="AM215" s="41">
        <v>39318</v>
      </c>
      <c r="AN215" s="41">
        <v>39718</v>
      </c>
      <c r="AO215" s="41">
        <v>40113</v>
      </c>
      <c r="AP215" s="41">
        <v>40503</v>
      </c>
      <c r="AQ215" s="41">
        <v>40896</v>
      </c>
      <c r="AR215" s="41">
        <v>41287</v>
      </c>
      <c r="AS215" s="41">
        <v>41661</v>
      </c>
      <c r="AT215" s="41">
        <v>42019</v>
      </c>
      <c r="AU215" s="41">
        <v>42377</v>
      </c>
      <c r="AV215" s="41">
        <v>42736</v>
      </c>
      <c r="AW215" s="41">
        <v>43097</v>
      </c>
      <c r="AX215" s="41">
        <v>43448</v>
      </c>
      <c r="AY215" s="41">
        <v>43785</v>
      </c>
    </row>
    <row r="216" spans="1:51">
      <c r="A216" s="38" t="s">
        <v>548</v>
      </c>
      <c r="B216" s="38" t="s">
        <v>549</v>
      </c>
      <c r="C216" s="41">
        <v>39833</v>
      </c>
      <c r="D216" s="41">
        <v>40428</v>
      </c>
      <c r="E216" s="41">
        <v>40891</v>
      </c>
      <c r="F216" s="41">
        <v>41316</v>
      </c>
      <c r="G216" s="41">
        <v>41435</v>
      </c>
      <c r="H216" s="41">
        <v>41583</v>
      </c>
      <c r="I216" s="41">
        <v>42091</v>
      </c>
      <c r="J216" s="41">
        <v>42756</v>
      </c>
      <c r="K216" s="41">
        <v>42866</v>
      </c>
      <c r="L216" s="41">
        <v>43288</v>
      </c>
      <c r="M216" s="41">
        <v>43773</v>
      </c>
      <c r="N216" s="41">
        <v>44019</v>
      </c>
      <c r="O216" s="41">
        <v>44226</v>
      </c>
      <c r="P216" s="41">
        <v>44410</v>
      </c>
      <c r="Q216" s="41">
        <v>44518</v>
      </c>
      <c r="R216" s="41">
        <v>44998</v>
      </c>
      <c r="S216" s="41">
        <v>45124</v>
      </c>
      <c r="T216" s="41">
        <v>45390</v>
      </c>
      <c r="U216" s="41">
        <v>45652</v>
      </c>
      <c r="V216" s="41">
        <v>45799</v>
      </c>
      <c r="W216" s="41">
        <v>45875</v>
      </c>
      <c r="X216" s="41">
        <v>46189</v>
      </c>
      <c r="Y216" s="41">
        <v>46679</v>
      </c>
      <c r="Z216" s="41">
        <v>47169</v>
      </c>
      <c r="AA216" s="41">
        <v>47607</v>
      </c>
      <c r="AB216" s="41">
        <v>48098</v>
      </c>
      <c r="AC216" s="41">
        <v>48571</v>
      </c>
      <c r="AD216" s="41">
        <v>49040</v>
      </c>
      <c r="AE216" s="41">
        <v>49512</v>
      </c>
      <c r="AF216" s="41">
        <v>49967</v>
      </c>
      <c r="AG216" s="41">
        <v>50419</v>
      </c>
      <c r="AH216" s="41">
        <v>50865</v>
      </c>
      <c r="AI216" s="41">
        <v>51308</v>
      </c>
      <c r="AJ216" s="41">
        <v>51769</v>
      </c>
      <c r="AK216" s="41">
        <v>52217</v>
      </c>
      <c r="AL216" s="41">
        <v>52674</v>
      </c>
      <c r="AM216" s="41">
        <v>53136</v>
      </c>
      <c r="AN216" s="41">
        <v>53586</v>
      </c>
      <c r="AO216" s="41">
        <v>54038</v>
      </c>
      <c r="AP216" s="41">
        <v>54473</v>
      </c>
      <c r="AQ216" s="41">
        <v>54906</v>
      </c>
      <c r="AR216" s="41">
        <v>55323</v>
      </c>
      <c r="AS216" s="41">
        <v>55728</v>
      </c>
      <c r="AT216" s="41">
        <v>56124</v>
      </c>
      <c r="AU216" s="41">
        <v>56502</v>
      </c>
      <c r="AV216" s="41">
        <v>56878</v>
      </c>
      <c r="AW216" s="41">
        <v>57242</v>
      </c>
      <c r="AX216" s="41">
        <v>57594</v>
      </c>
      <c r="AY216" s="41">
        <v>57927</v>
      </c>
    </row>
    <row r="217" spans="1:51">
      <c r="A217" s="38" t="s">
        <v>550</v>
      </c>
      <c r="B217" s="38" t="s">
        <v>551</v>
      </c>
      <c r="C217" s="41">
        <v>31900</v>
      </c>
      <c r="D217" s="41">
        <v>32620</v>
      </c>
      <c r="E217" s="41">
        <v>32042</v>
      </c>
      <c r="F217" s="41">
        <v>32560</v>
      </c>
      <c r="G217" s="41">
        <v>32969</v>
      </c>
      <c r="H217" s="41">
        <v>32928</v>
      </c>
      <c r="I217" s="41">
        <v>32918</v>
      </c>
      <c r="J217" s="41">
        <v>33840</v>
      </c>
      <c r="K217" s="41">
        <v>34836</v>
      </c>
      <c r="L217" s="41">
        <v>34461</v>
      </c>
      <c r="M217" s="41">
        <v>35305</v>
      </c>
      <c r="N217" s="41">
        <v>35036</v>
      </c>
      <c r="O217" s="41">
        <v>34981</v>
      </c>
      <c r="P217" s="41">
        <v>34853</v>
      </c>
      <c r="Q217" s="41">
        <v>35106</v>
      </c>
      <c r="R217" s="41">
        <v>35409</v>
      </c>
      <c r="S217" s="41">
        <v>35581</v>
      </c>
      <c r="T217" s="41">
        <v>35903</v>
      </c>
      <c r="U217" s="41">
        <v>36014</v>
      </c>
      <c r="V217" s="41">
        <v>36243</v>
      </c>
      <c r="W217" s="41">
        <v>36565</v>
      </c>
      <c r="X217" s="41">
        <v>37043</v>
      </c>
      <c r="Y217" s="41">
        <v>37343</v>
      </c>
      <c r="Z217" s="41">
        <v>37636</v>
      </c>
      <c r="AA217" s="41">
        <v>37888</v>
      </c>
      <c r="AB217" s="41">
        <v>38123</v>
      </c>
      <c r="AC217" s="41">
        <v>38359</v>
      </c>
      <c r="AD217" s="41">
        <v>38589</v>
      </c>
      <c r="AE217" s="41">
        <v>38802</v>
      </c>
      <c r="AF217" s="41">
        <v>39041</v>
      </c>
      <c r="AG217" s="41">
        <v>39263</v>
      </c>
      <c r="AH217" s="41">
        <v>39477</v>
      </c>
      <c r="AI217" s="41">
        <v>39683</v>
      </c>
      <c r="AJ217" s="41">
        <v>39885</v>
      </c>
      <c r="AK217" s="41">
        <v>40106</v>
      </c>
      <c r="AL217" s="41">
        <v>40321</v>
      </c>
      <c r="AM217" s="41">
        <v>40526</v>
      </c>
      <c r="AN217" s="41">
        <v>40716</v>
      </c>
      <c r="AO217" s="41">
        <v>40908</v>
      </c>
      <c r="AP217" s="41">
        <v>41113</v>
      </c>
      <c r="AQ217" s="41">
        <v>41318</v>
      </c>
      <c r="AR217" s="41">
        <v>41511</v>
      </c>
      <c r="AS217" s="41">
        <v>41702</v>
      </c>
      <c r="AT217" s="41">
        <v>41893</v>
      </c>
      <c r="AU217" s="41">
        <v>42083</v>
      </c>
      <c r="AV217" s="41">
        <v>42271</v>
      </c>
      <c r="AW217" s="41">
        <v>42459</v>
      </c>
      <c r="AX217" s="41">
        <v>42633</v>
      </c>
      <c r="AY217" s="41">
        <v>42800</v>
      </c>
    </row>
    <row r="218" spans="1:51">
      <c r="A218" s="38" t="s">
        <v>552</v>
      </c>
      <c r="B218" s="38" t="s">
        <v>553</v>
      </c>
      <c r="C218" s="41">
        <v>12346</v>
      </c>
      <c r="D218" s="41">
        <v>12248</v>
      </c>
      <c r="E218" s="41">
        <v>12082</v>
      </c>
      <c r="F218" s="41">
        <v>12086</v>
      </c>
      <c r="G218" s="41">
        <v>12366</v>
      </c>
      <c r="H218" s="41">
        <v>12498</v>
      </c>
      <c r="I218" s="41">
        <v>12481</v>
      </c>
      <c r="J218" s="41">
        <v>12408</v>
      </c>
      <c r="K218" s="41">
        <v>13025</v>
      </c>
      <c r="L218" s="41">
        <v>13332</v>
      </c>
      <c r="M218" s="41">
        <v>13506</v>
      </c>
      <c r="N218" s="41">
        <v>13780</v>
      </c>
      <c r="O218" s="41">
        <v>13925</v>
      </c>
      <c r="P218" s="41">
        <v>14089</v>
      </c>
      <c r="Q218" s="41">
        <v>14401</v>
      </c>
      <c r="R218" s="41">
        <v>14628</v>
      </c>
      <c r="S218" s="41">
        <v>14808</v>
      </c>
      <c r="T218" s="41">
        <v>15010</v>
      </c>
      <c r="U218" s="41">
        <v>15047</v>
      </c>
      <c r="V218" s="41">
        <v>15220</v>
      </c>
      <c r="W218" s="41">
        <v>15159</v>
      </c>
      <c r="X218" s="41">
        <v>14965</v>
      </c>
      <c r="Y218" s="41">
        <v>15281</v>
      </c>
      <c r="Z218" s="41">
        <v>15617</v>
      </c>
      <c r="AA218" s="41">
        <v>15694</v>
      </c>
      <c r="AB218" s="41">
        <v>15781</v>
      </c>
      <c r="AC218" s="41">
        <v>15861</v>
      </c>
      <c r="AD218" s="41">
        <v>15972</v>
      </c>
      <c r="AE218" s="41">
        <v>16087</v>
      </c>
      <c r="AF218" s="41">
        <v>16176</v>
      </c>
      <c r="AG218" s="41">
        <v>16263</v>
      </c>
      <c r="AH218" s="41">
        <v>16349</v>
      </c>
      <c r="AI218" s="41">
        <v>16443</v>
      </c>
      <c r="AJ218" s="41">
        <v>16543</v>
      </c>
      <c r="AK218" s="41">
        <v>16635</v>
      </c>
      <c r="AL218" s="41">
        <v>16731</v>
      </c>
      <c r="AM218" s="41">
        <v>16824</v>
      </c>
      <c r="AN218" s="41">
        <v>16920</v>
      </c>
      <c r="AO218" s="41">
        <v>17016</v>
      </c>
      <c r="AP218" s="41">
        <v>17111</v>
      </c>
      <c r="AQ218" s="41">
        <v>17204</v>
      </c>
      <c r="AR218" s="41">
        <v>17291</v>
      </c>
      <c r="AS218" s="41">
        <v>17376</v>
      </c>
      <c r="AT218" s="41">
        <v>17459</v>
      </c>
      <c r="AU218" s="41">
        <v>17539</v>
      </c>
      <c r="AV218" s="41">
        <v>17621</v>
      </c>
      <c r="AW218" s="41">
        <v>17699</v>
      </c>
      <c r="AX218" s="41">
        <v>17773</v>
      </c>
      <c r="AY218" s="41">
        <v>17838</v>
      </c>
    </row>
    <row r="219" spans="1:51">
      <c r="A219" s="38" t="s">
        <v>554</v>
      </c>
      <c r="B219" s="38" t="s">
        <v>555</v>
      </c>
      <c r="C219" s="41">
        <v>18899</v>
      </c>
      <c r="D219" s="41">
        <v>19200</v>
      </c>
      <c r="E219" s="41">
        <v>19463</v>
      </c>
      <c r="F219" s="41">
        <v>20056</v>
      </c>
      <c r="G219" s="41">
        <v>20239</v>
      </c>
      <c r="H219" s="41">
        <v>20514</v>
      </c>
      <c r="I219" s="41">
        <v>20639</v>
      </c>
      <c r="J219" s="41">
        <v>20893</v>
      </c>
      <c r="K219" s="41">
        <v>21022</v>
      </c>
      <c r="L219" s="41">
        <v>21187</v>
      </c>
      <c r="M219" s="41">
        <v>21490</v>
      </c>
      <c r="N219" s="41">
        <v>21503</v>
      </c>
      <c r="O219" s="41">
        <v>21708</v>
      </c>
      <c r="P219" s="41">
        <v>21953</v>
      </c>
      <c r="Q219" s="41">
        <v>22201</v>
      </c>
      <c r="R219" s="41">
        <v>22245</v>
      </c>
      <c r="S219" s="41">
        <v>22366</v>
      </c>
      <c r="T219" s="41">
        <v>22432</v>
      </c>
      <c r="U219" s="41">
        <v>22562</v>
      </c>
      <c r="V219" s="41">
        <v>22570</v>
      </c>
      <c r="W219" s="41">
        <v>22621</v>
      </c>
      <c r="X219" s="41">
        <v>22802</v>
      </c>
      <c r="Y219" s="41">
        <v>22885</v>
      </c>
      <c r="Z219" s="41">
        <v>23131</v>
      </c>
      <c r="AA219" s="41">
        <v>23252</v>
      </c>
      <c r="AB219" s="41">
        <v>23384</v>
      </c>
      <c r="AC219" s="41">
        <v>23519</v>
      </c>
      <c r="AD219" s="41">
        <v>23662</v>
      </c>
      <c r="AE219" s="41">
        <v>23815</v>
      </c>
      <c r="AF219" s="41">
        <v>23960</v>
      </c>
      <c r="AG219" s="41">
        <v>24097</v>
      </c>
      <c r="AH219" s="41">
        <v>24235</v>
      </c>
      <c r="AI219" s="41">
        <v>24372</v>
      </c>
      <c r="AJ219" s="41">
        <v>24521</v>
      </c>
      <c r="AK219" s="41">
        <v>24666</v>
      </c>
      <c r="AL219" s="41">
        <v>24814</v>
      </c>
      <c r="AM219" s="41">
        <v>24960</v>
      </c>
      <c r="AN219" s="41">
        <v>25097</v>
      </c>
      <c r="AO219" s="41">
        <v>25232</v>
      </c>
      <c r="AP219" s="41">
        <v>25367</v>
      </c>
      <c r="AQ219" s="41">
        <v>25498</v>
      </c>
      <c r="AR219" s="41">
        <v>25617</v>
      </c>
      <c r="AS219" s="41">
        <v>25727</v>
      </c>
      <c r="AT219" s="41">
        <v>25830</v>
      </c>
      <c r="AU219" s="41">
        <v>25925</v>
      </c>
      <c r="AV219" s="41">
        <v>26022</v>
      </c>
      <c r="AW219" s="41">
        <v>26117</v>
      </c>
      <c r="AX219" s="41">
        <v>26198</v>
      </c>
      <c r="AY219" s="41">
        <v>26273</v>
      </c>
    </row>
    <row r="220" spans="1:51">
      <c r="A220" s="38" t="s">
        <v>556</v>
      </c>
      <c r="B220" s="38" t="s">
        <v>557</v>
      </c>
      <c r="C220" s="41">
        <v>95343</v>
      </c>
      <c r="D220" s="41">
        <v>95321</v>
      </c>
      <c r="E220" s="41">
        <v>95303</v>
      </c>
      <c r="F220" s="41">
        <v>95062</v>
      </c>
      <c r="G220" s="41">
        <v>95092</v>
      </c>
      <c r="H220" s="41">
        <v>94892</v>
      </c>
      <c r="I220" s="41">
        <v>94522</v>
      </c>
      <c r="J220" s="41">
        <v>94171</v>
      </c>
      <c r="K220" s="41">
        <v>93752</v>
      </c>
      <c r="L220" s="41">
        <v>93841</v>
      </c>
      <c r="M220" s="41">
        <v>93909</v>
      </c>
      <c r="N220" s="41">
        <v>94034</v>
      </c>
      <c r="O220" s="41">
        <v>94672</v>
      </c>
      <c r="P220" s="41">
        <v>95173</v>
      </c>
      <c r="Q220" s="41">
        <v>96171</v>
      </c>
      <c r="R220" s="41">
        <v>97386</v>
      </c>
      <c r="S220" s="41">
        <v>98423</v>
      </c>
      <c r="T220" s="41">
        <v>99850</v>
      </c>
      <c r="U220" s="41">
        <v>101029</v>
      </c>
      <c r="V220" s="41">
        <v>102384</v>
      </c>
      <c r="W220" s="41">
        <v>103757</v>
      </c>
      <c r="X220" s="41">
        <v>105068</v>
      </c>
      <c r="Y220" s="41">
        <v>106391</v>
      </c>
      <c r="Z220" s="41">
        <v>107909</v>
      </c>
      <c r="AA220" s="41">
        <v>109481</v>
      </c>
      <c r="AB220" s="41">
        <v>111088</v>
      </c>
      <c r="AC220" s="41">
        <v>112614</v>
      </c>
      <c r="AD220" s="41">
        <v>114037</v>
      </c>
      <c r="AE220" s="41">
        <v>115390</v>
      </c>
      <c r="AF220" s="41">
        <v>116717</v>
      </c>
      <c r="AG220" s="41">
        <v>118029</v>
      </c>
      <c r="AH220" s="41">
        <v>119302</v>
      </c>
      <c r="AI220" s="41">
        <v>120493</v>
      </c>
      <c r="AJ220" s="41">
        <v>121654</v>
      </c>
      <c r="AK220" s="41">
        <v>122842</v>
      </c>
      <c r="AL220" s="41">
        <v>124076</v>
      </c>
      <c r="AM220" s="41">
        <v>125291</v>
      </c>
      <c r="AN220" s="41">
        <v>126492</v>
      </c>
      <c r="AO220" s="41">
        <v>127674</v>
      </c>
      <c r="AP220" s="41">
        <v>128883</v>
      </c>
      <c r="AQ220" s="41">
        <v>130151</v>
      </c>
      <c r="AR220" s="41">
        <v>131414</v>
      </c>
      <c r="AS220" s="41">
        <v>132656</v>
      </c>
      <c r="AT220" s="41">
        <v>133851</v>
      </c>
      <c r="AU220" s="41">
        <v>135009</v>
      </c>
      <c r="AV220" s="41">
        <v>136174</v>
      </c>
      <c r="AW220" s="41">
        <v>137329</v>
      </c>
      <c r="AX220" s="41">
        <v>138455</v>
      </c>
      <c r="AY220" s="41">
        <v>139555</v>
      </c>
    </row>
    <row r="221" spans="1:51">
      <c r="A221" s="38" t="s">
        <v>558</v>
      </c>
      <c r="B221" s="38" t="s">
        <v>559</v>
      </c>
      <c r="C221" s="41">
        <v>115414</v>
      </c>
      <c r="D221" s="41">
        <v>115198</v>
      </c>
      <c r="E221" s="41">
        <v>115259</v>
      </c>
      <c r="F221" s="41">
        <v>115355</v>
      </c>
      <c r="G221" s="41">
        <v>115721</v>
      </c>
      <c r="H221" s="41">
        <v>115388</v>
      </c>
      <c r="I221" s="41">
        <v>115203</v>
      </c>
      <c r="J221" s="41">
        <v>115142</v>
      </c>
      <c r="K221" s="41">
        <v>115067</v>
      </c>
      <c r="L221" s="41">
        <v>115013</v>
      </c>
      <c r="M221" s="41">
        <v>115302</v>
      </c>
      <c r="N221" s="41">
        <v>115481</v>
      </c>
      <c r="O221" s="41">
        <v>115908</v>
      </c>
      <c r="P221" s="41">
        <v>116274</v>
      </c>
      <c r="Q221" s="41">
        <v>116790</v>
      </c>
      <c r="R221" s="41">
        <v>117336</v>
      </c>
      <c r="S221" s="41">
        <v>117685</v>
      </c>
      <c r="T221" s="41">
        <v>118712</v>
      </c>
      <c r="U221" s="41">
        <v>119802</v>
      </c>
      <c r="V221" s="41">
        <v>121057</v>
      </c>
      <c r="W221" s="41">
        <v>121882</v>
      </c>
      <c r="X221" s="41">
        <v>122746</v>
      </c>
      <c r="Y221" s="41">
        <v>123826</v>
      </c>
      <c r="Z221" s="41">
        <v>124965</v>
      </c>
      <c r="AA221" s="41">
        <v>126218</v>
      </c>
      <c r="AB221" s="41">
        <v>127538</v>
      </c>
      <c r="AC221" s="41">
        <v>128844</v>
      </c>
      <c r="AD221" s="41">
        <v>130147</v>
      </c>
      <c r="AE221" s="41">
        <v>131440</v>
      </c>
      <c r="AF221" s="41">
        <v>132756</v>
      </c>
      <c r="AG221" s="41">
        <v>134074</v>
      </c>
      <c r="AH221" s="41">
        <v>135414</v>
      </c>
      <c r="AI221" s="41">
        <v>136759</v>
      </c>
      <c r="AJ221" s="41">
        <v>138077</v>
      </c>
      <c r="AK221" s="41">
        <v>139404</v>
      </c>
      <c r="AL221" s="41">
        <v>140742</v>
      </c>
      <c r="AM221" s="41">
        <v>142094</v>
      </c>
      <c r="AN221" s="41">
        <v>143453</v>
      </c>
      <c r="AO221" s="41">
        <v>144797</v>
      </c>
      <c r="AP221" s="41">
        <v>146116</v>
      </c>
      <c r="AQ221" s="41">
        <v>147425</v>
      </c>
      <c r="AR221" s="41">
        <v>148753</v>
      </c>
      <c r="AS221" s="41">
        <v>150097</v>
      </c>
      <c r="AT221" s="41">
        <v>151406</v>
      </c>
      <c r="AU221" s="41">
        <v>152724</v>
      </c>
      <c r="AV221" s="41">
        <v>154053</v>
      </c>
      <c r="AW221" s="41">
        <v>155429</v>
      </c>
      <c r="AX221" s="41">
        <v>156815</v>
      </c>
      <c r="AY221" s="41">
        <v>158135</v>
      </c>
    </row>
    <row r="222" spans="1:51">
      <c r="A222" s="38" t="s">
        <v>560</v>
      </c>
      <c r="B222" s="38" t="s">
        <v>561</v>
      </c>
      <c r="C222" s="41">
        <v>46079</v>
      </c>
      <c r="D222" s="41">
        <v>46151</v>
      </c>
      <c r="E222" s="41">
        <v>45955</v>
      </c>
      <c r="F222" s="41">
        <v>46012</v>
      </c>
      <c r="G222" s="41">
        <v>46299</v>
      </c>
      <c r="H222" s="41">
        <v>46130</v>
      </c>
      <c r="I222" s="41">
        <v>46439</v>
      </c>
      <c r="J222" s="41">
        <v>46263</v>
      </c>
      <c r="K222" s="41">
        <v>46573</v>
      </c>
      <c r="L222" s="41">
        <v>46572</v>
      </c>
      <c r="M222" s="41">
        <v>46731</v>
      </c>
      <c r="N222" s="41">
        <v>47232</v>
      </c>
      <c r="O222" s="41">
        <v>47682</v>
      </c>
      <c r="P222" s="41">
        <v>48120</v>
      </c>
      <c r="Q222" s="41">
        <v>48359</v>
      </c>
      <c r="R222" s="41">
        <v>48561</v>
      </c>
      <c r="S222" s="41">
        <v>48669</v>
      </c>
      <c r="T222" s="41">
        <v>48955</v>
      </c>
      <c r="U222" s="41">
        <v>49107</v>
      </c>
      <c r="V222" s="41">
        <v>49314</v>
      </c>
      <c r="W222" s="41">
        <v>49413</v>
      </c>
      <c r="X222" s="41">
        <v>49556</v>
      </c>
      <c r="Y222" s="41">
        <v>49442</v>
      </c>
      <c r="Z222" s="41">
        <v>49596</v>
      </c>
      <c r="AA222" s="41">
        <v>49642</v>
      </c>
      <c r="AB222" s="41">
        <v>49778</v>
      </c>
      <c r="AC222" s="41">
        <v>49920</v>
      </c>
      <c r="AD222" s="41">
        <v>50056</v>
      </c>
      <c r="AE222" s="41">
        <v>50206</v>
      </c>
      <c r="AF222" s="41">
        <v>50333</v>
      </c>
      <c r="AG222" s="41">
        <v>50468</v>
      </c>
      <c r="AH222" s="41">
        <v>50611</v>
      </c>
      <c r="AI222" s="41">
        <v>50749</v>
      </c>
      <c r="AJ222" s="41">
        <v>50896</v>
      </c>
      <c r="AK222" s="41">
        <v>51045</v>
      </c>
      <c r="AL222" s="41">
        <v>51213</v>
      </c>
      <c r="AM222" s="41">
        <v>51390</v>
      </c>
      <c r="AN222" s="41">
        <v>51547</v>
      </c>
      <c r="AO222" s="41">
        <v>51696</v>
      </c>
      <c r="AP222" s="41">
        <v>51844</v>
      </c>
      <c r="AQ222" s="41">
        <v>51997</v>
      </c>
      <c r="AR222" s="41">
        <v>52137</v>
      </c>
      <c r="AS222" s="41">
        <v>52250</v>
      </c>
      <c r="AT222" s="41">
        <v>52356</v>
      </c>
      <c r="AU222" s="41">
        <v>52440</v>
      </c>
      <c r="AV222" s="41">
        <v>52530</v>
      </c>
      <c r="AW222" s="41">
        <v>52607</v>
      </c>
      <c r="AX222" s="41">
        <v>52665</v>
      </c>
      <c r="AY222" s="41">
        <v>52718</v>
      </c>
    </row>
    <row r="223" spans="1:51">
      <c r="A223" s="38" t="s">
        <v>562</v>
      </c>
      <c r="B223" s="38" t="s">
        <v>563</v>
      </c>
      <c r="C223" s="41">
        <v>39628</v>
      </c>
      <c r="D223" s="41">
        <v>40177</v>
      </c>
      <c r="E223" s="41">
        <v>40709</v>
      </c>
      <c r="F223" s="41">
        <v>41254</v>
      </c>
      <c r="G223" s="41">
        <v>41523</v>
      </c>
      <c r="H223" s="41">
        <v>42049</v>
      </c>
      <c r="I223" s="41">
        <v>42806</v>
      </c>
      <c r="J223" s="41">
        <v>43344</v>
      </c>
      <c r="K223" s="41">
        <v>43667</v>
      </c>
      <c r="L223" s="41">
        <v>44064</v>
      </c>
      <c r="M223" s="41">
        <v>44588</v>
      </c>
      <c r="N223" s="41">
        <v>45089</v>
      </c>
      <c r="O223" s="41">
        <v>45445</v>
      </c>
      <c r="P223" s="41">
        <v>45974</v>
      </c>
      <c r="Q223" s="41">
        <v>46474</v>
      </c>
      <c r="R223" s="41">
        <v>46950</v>
      </c>
      <c r="S223" s="41">
        <v>47589</v>
      </c>
      <c r="T223" s="41">
        <v>47978</v>
      </c>
      <c r="U223" s="41">
        <v>48084</v>
      </c>
      <c r="V223" s="41">
        <v>48423</v>
      </c>
      <c r="W223" s="41">
        <v>48950</v>
      </c>
      <c r="X223" s="41">
        <v>49582</v>
      </c>
      <c r="Y223" s="41">
        <v>50205</v>
      </c>
      <c r="Z223" s="41">
        <v>50921</v>
      </c>
      <c r="AA223" s="41">
        <v>51534</v>
      </c>
      <c r="AB223" s="41">
        <v>52137</v>
      </c>
      <c r="AC223" s="41">
        <v>52760</v>
      </c>
      <c r="AD223" s="41">
        <v>53381</v>
      </c>
      <c r="AE223" s="41">
        <v>53993</v>
      </c>
      <c r="AF223" s="41">
        <v>54594</v>
      </c>
      <c r="AG223" s="41">
        <v>55171</v>
      </c>
      <c r="AH223" s="41">
        <v>55750</v>
      </c>
      <c r="AI223" s="41">
        <v>56337</v>
      </c>
      <c r="AJ223" s="41">
        <v>56908</v>
      </c>
      <c r="AK223" s="41">
        <v>57478</v>
      </c>
      <c r="AL223" s="41">
        <v>58047</v>
      </c>
      <c r="AM223" s="41">
        <v>58604</v>
      </c>
      <c r="AN223" s="41">
        <v>59174</v>
      </c>
      <c r="AO223" s="41">
        <v>59736</v>
      </c>
      <c r="AP223" s="41">
        <v>60288</v>
      </c>
      <c r="AQ223" s="41">
        <v>60831</v>
      </c>
      <c r="AR223" s="41">
        <v>61349</v>
      </c>
      <c r="AS223" s="41">
        <v>61873</v>
      </c>
      <c r="AT223" s="41">
        <v>62377</v>
      </c>
      <c r="AU223" s="41">
        <v>62856</v>
      </c>
      <c r="AV223" s="41">
        <v>63325</v>
      </c>
      <c r="AW223" s="41">
        <v>63774</v>
      </c>
      <c r="AX223" s="41">
        <v>64212</v>
      </c>
      <c r="AY223" s="41">
        <v>64624</v>
      </c>
    </row>
    <row r="224" spans="1:51">
      <c r="A224" s="38" t="s">
        <v>564</v>
      </c>
      <c r="B224" s="38" t="s">
        <v>565</v>
      </c>
      <c r="C224" s="41">
        <v>114606</v>
      </c>
      <c r="D224" s="41">
        <v>115116</v>
      </c>
      <c r="E224" s="41">
        <v>115463</v>
      </c>
      <c r="F224" s="41">
        <v>115503</v>
      </c>
      <c r="G224" s="41">
        <v>115803</v>
      </c>
      <c r="H224" s="41">
        <v>115977</v>
      </c>
      <c r="I224" s="41">
        <v>116179</v>
      </c>
      <c r="J224" s="41">
        <v>116300</v>
      </c>
      <c r="K224" s="41">
        <v>116264</v>
      </c>
      <c r="L224" s="41">
        <v>116547</v>
      </c>
      <c r="M224" s="41">
        <v>116874</v>
      </c>
      <c r="N224" s="41">
        <v>116655</v>
      </c>
      <c r="O224" s="41">
        <v>116693</v>
      </c>
      <c r="P224" s="41">
        <v>116608</v>
      </c>
      <c r="Q224" s="41">
        <v>116365</v>
      </c>
      <c r="R224" s="41">
        <v>116421</v>
      </c>
      <c r="S224" s="41">
        <v>116577</v>
      </c>
      <c r="T224" s="41">
        <v>116952</v>
      </c>
      <c r="U224" s="41">
        <v>117267</v>
      </c>
      <c r="V224" s="41">
        <v>117659</v>
      </c>
      <c r="W224" s="41">
        <v>118048</v>
      </c>
      <c r="X224" s="41">
        <v>118591</v>
      </c>
      <c r="Y224" s="41">
        <v>118776</v>
      </c>
      <c r="Z224" s="41">
        <v>119460</v>
      </c>
      <c r="AA224" s="41">
        <v>119959</v>
      </c>
      <c r="AB224" s="41">
        <v>120561</v>
      </c>
      <c r="AC224" s="41">
        <v>121136</v>
      </c>
      <c r="AD224" s="41">
        <v>121726</v>
      </c>
      <c r="AE224" s="41">
        <v>122323</v>
      </c>
      <c r="AF224" s="41">
        <v>122930</v>
      </c>
      <c r="AG224" s="41">
        <v>123520</v>
      </c>
      <c r="AH224" s="41">
        <v>124045</v>
      </c>
      <c r="AI224" s="41">
        <v>124568</v>
      </c>
      <c r="AJ224" s="41">
        <v>125095</v>
      </c>
      <c r="AK224" s="41">
        <v>125622</v>
      </c>
      <c r="AL224" s="41">
        <v>126188</v>
      </c>
      <c r="AM224" s="41">
        <v>126764</v>
      </c>
      <c r="AN224" s="41">
        <v>127293</v>
      </c>
      <c r="AO224" s="41">
        <v>127789</v>
      </c>
      <c r="AP224" s="41">
        <v>128296</v>
      </c>
      <c r="AQ224" s="41">
        <v>128807</v>
      </c>
      <c r="AR224" s="41">
        <v>129231</v>
      </c>
      <c r="AS224" s="41">
        <v>129671</v>
      </c>
      <c r="AT224" s="41">
        <v>130121</v>
      </c>
      <c r="AU224" s="41">
        <v>130570</v>
      </c>
      <c r="AV224" s="41">
        <v>131038</v>
      </c>
      <c r="AW224" s="41">
        <v>131490</v>
      </c>
      <c r="AX224" s="41">
        <v>131914</v>
      </c>
      <c r="AY224" s="41">
        <v>132289</v>
      </c>
    </row>
    <row r="225" spans="1:51">
      <c r="A225" s="38" t="s">
        <v>566</v>
      </c>
      <c r="B225" s="38" t="s">
        <v>567</v>
      </c>
      <c r="C225" s="41">
        <v>27704</v>
      </c>
      <c r="D225" s="41">
        <v>28064</v>
      </c>
      <c r="E225" s="41">
        <v>28325</v>
      </c>
      <c r="F225" s="41">
        <v>28581</v>
      </c>
      <c r="G225" s="41">
        <v>28867</v>
      </c>
      <c r="H225" s="41">
        <v>29171</v>
      </c>
      <c r="I225" s="41">
        <v>29240</v>
      </c>
      <c r="J225" s="41">
        <v>29481</v>
      </c>
      <c r="K225" s="41">
        <v>29919</v>
      </c>
      <c r="L225" s="41">
        <v>30430</v>
      </c>
      <c r="M225" s="41">
        <v>30933</v>
      </c>
      <c r="N225" s="41">
        <v>31223</v>
      </c>
      <c r="O225" s="41">
        <v>31369</v>
      </c>
      <c r="P225" s="41">
        <v>31678</v>
      </c>
      <c r="Q225" s="41">
        <v>31941</v>
      </c>
      <c r="R225" s="41">
        <v>32394</v>
      </c>
      <c r="S225" s="41">
        <v>32928</v>
      </c>
      <c r="T225" s="41">
        <v>33457</v>
      </c>
      <c r="U225" s="41">
        <v>33807</v>
      </c>
      <c r="V225" s="41">
        <v>34268</v>
      </c>
      <c r="W225" s="41">
        <v>34611</v>
      </c>
      <c r="X225" s="41">
        <v>34976</v>
      </c>
      <c r="Y225" s="41">
        <v>35225</v>
      </c>
      <c r="Z225" s="41">
        <v>35611</v>
      </c>
      <c r="AA225" s="41">
        <v>35970</v>
      </c>
      <c r="AB225" s="41">
        <v>36315</v>
      </c>
      <c r="AC225" s="41">
        <v>36661</v>
      </c>
      <c r="AD225" s="41">
        <v>37005</v>
      </c>
      <c r="AE225" s="41">
        <v>37379</v>
      </c>
      <c r="AF225" s="41">
        <v>37724</v>
      </c>
      <c r="AG225" s="41">
        <v>38041</v>
      </c>
      <c r="AH225" s="41">
        <v>38357</v>
      </c>
      <c r="AI225" s="41">
        <v>38663</v>
      </c>
      <c r="AJ225" s="41">
        <v>38974</v>
      </c>
      <c r="AK225" s="41">
        <v>39269</v>
      </c>
      <c r="AL225" s="41">
        <v>39552</v>
      </c>
      <c r="AM225" s="41">
        <v>39839</v>
      </c>
      <c r="AN225" s="41">
        <v>40117</v>
      </c>
      <c r="AO225" s="41">
        <v>40388</v>
      </c>
      <c r="AP225" s="41">
        <v>40650</v>
      </c>
      <c r="AQ225" s="41">
        <v>40907</v>
      </c>
      <c r="AR225" s="41">
        <v>41152</v>
      </c>
      <c r="AS225" s="41">
        <v>41387</v>
      </c>
      <c r="AT225" s="41">
        <v>41615</v>
      </c>
      <c r="AU225" s="41">
        <v>41826</v>
      </c>
      <c r="AV225" s="41">
        <v>42027</v>
      </c>
      <c r="AW225" s="41">
        <v>42220</v>
      </c>
      <c r="AX225" s="41">
        <v>42402</v>
      </c>
      <c r="AY225" s="41">
        <v>42564</v>
      </c>
    </row>
    <row r="226" spans="1:51">
      <c r="A226" s="38" t="s">
        <v>568</v>
      </c>
      <c r="B226" s="38" t="s">
        <v>569</v>
      </c>
      <c r="C226" s="41">
        <v>42277</v>
      </c>
      <c r="D226" s="41">
        <v>42322</v>
      </c>
      <c r="E226" s="41">
        <v>42500</v>
      </c>
      <c r="F226" s="41">
        <v>42820</v>
      </c>
      <c r="G226" s="41">
        <v>42885</v>
      </c>
      <c r="H226" s="41">
        <v>43239</v>
      </c>
      <c r="I226" s="41">
        <v>43691</v>
      </c>
      <c r="J226" s="41">
        <v>43802</v>
      </c>
      <c r="K226" s="41">
        <v>44165</v>
      </c>
      <c r="L226" s="41">
        <v>44304</v>
      </c>
      <c r="M226" s="41">
        <v>44430</v>
      </c>
      <c r="N226" s="41">
        <v>44430</v>
      </c>
      <c r="O226" s="41">
        <v>44518</v>
      </c>
      <c r="P226" s="41">
        <v>44837</v>
      </c>
      <c r="Q226" s="41">
        <v>45303</v>
      </c>
      <c r="R226" s="41">
        <v>45821</v>
      </c>
      <c r="S226" s="41">
        <v>46067</v>
      </c>
      <c r="T226" s="41">
        <v>46203</v>
      </c>
      <c r="U226" s="41">
        <v>46473</v>
      </c>
      <c r="V226" s="41">
        <v>46804</v>
      </c>
      <c r="W226" s="41">
        <v>47214</v>
      </c>
      <c r="X226" s="41">
        <v>47693</v>
      </c>
      <c r="Y226" s="41">
        <v>47956</v>
      </c>
      <c r="Z226" s="41">
        <v>48374</v>
      </c>
      <c r="AA226" s="41">
        <v>48801</v>
      </c>
      <c r="AB226" s="41">
        <v>49274</v>
      </c>
      <c r="AC226" s="41">
        <v>49745</v>
      </c>
      <c r="AD226" s="41">
        <v>50229</v>
      </c>
      <c r="AE226" s="41">
        <v>50744</v>
      </c>
      <c r="AF226" s="41">
        <v>51228</v>
      </c>
      <c r="AG226" s="41">
        <v>51716</v>
      </c>
      <c r="AH226" s="41">
        <v>52207</v>
      </c>
      <c r="AI226" s="41">
        <v>52704</v>
      </c>
      <c r="AJ226" s="41">
        <v>53225</v>
      </c>
      <c r="AK226" s="41">
        <v>53733</v>
      </c>
      <c r="AL226" s="41">
        <v>54257</v>
      </c>
      <c r="AM226" s="41">
        <v>54778</v>
      </c>
      <c r="AN226" s="41">
        <v>55284</v>
      </c>
      <c r="AO226" s="41">
        <v>55795</v>
      </c>
      <c r="AP226" s="41">
        <v>56310</v>
      </c>
      <c r="AQ226" s="41">
        <v>56822</v>
      </c>
      <c r="AR226" s="41">
        <v>57310</v>
      </c>
      <c r="AS226" s="41">
        <v>57789</v>
      </c>
      <c r="AT226" s="41">
        <v>58256</v>
      </c>
      <c r="AU226" s="41">
        <v>58720</v>
      </c>
      <c r="AV226" s="41">
        <v>59178</v>
      </c>
      <c r="AW226" s="41">
        <v>59632</v>
      </c>
      <c r="AX226" s="41">
        <v>60072</v>
      </c>
      <c r="AY226" s="41">
        <v>60509</v>
      </c>
    </row>
    <row r="227" spans="1:51">
      <c r="A227" s="38" t="s">
        <v>570</v>
      </c>
      <c r="B227" s="38" t="s">
        <v>571</v>
      </c>
      <c r="C227" s="41">
        <v>218850</v>
      </c>
      <c r="D227" s="41">
        <v>219406</v>
      </c>
      <c r="E227" s="41">
        <v>219931</v>
      </c>
      <c r="F227" s="41">
        <v>218630</v>
      </c>
      <c r="G227" s="41">
        <v>217875</v>
      </c>
      <c r="H227" s="41">
        <v>218328</v>
      </c>
      <c r="I227" s="41">
        <v>217994</v>
      </c>
      <c r="J227" s="41">
        <v>218533</v>
      </c>
      <c r="K227" s="41">
        <v>217728</v>
      </c>
      <c r="L227" s="41">
        <v>217579</v>
      </c>
      <c r="M227" s="41">
        <v>217718</v>
      </c>
      <c r="N227" s="41">
        <v>217862</v>
      </c>
      <c r="O227" s="41">
        <v>217899</v>
      </c>
      <c r="P227" s="41">
        <v>219418</v>
      </c>
      <c r="Q227" s="41">
        <v>221832</v>
      </c>
      <c r="R227" s="41">
        <v>222430</v>
      </c>
      <c r="S227" s="41">
        <v>223040</v>
      </c>
      <c r="T227" s="41">
        <v>224439</v>
      </c>
      <c r="U227" s="41">
        <v>225703</v>
      </c>
      <c r="V227" s="41">
        <v>227333</v>
      </c>
      <c r="W227" s="41">
        <v>229494</v>
      </c>
      <c r="X227" s="41">
        <v>231498</v>
      </c>
      <c r="Y227" s="41">
        <v>233148</v>
      </c>
      <c r="Z227" s="41">
        <v>234940</v>
      </c>
      <c r="AA227" s="41">
        <v>237089</v>
      </c>
      <c r="AB227" s="41">
        <v>239467</v>
      </c>
      <c r="AC227" s="41">
        <v>241738</v>
      </c>
      <c r="AD227" s="41">
        <v>243802</v>
      </c>
      <c r="AE227" s="41">
        <v>245739</v>
      </c>
      <c r="AF227" s="41">
        <v>247611</v>
      </c>
      <c r="AG227" s="41">
        <v>249478</v>
      </c>
      <c r="AH227" s="41">
        <v>251264</v>
      </c>
      <c r="AI227" s="41">
        <v>253055</v>
      </c>
      <c r="AJ227" s="41">
        <v>254943</v>
      </c>
      <c r="AK227" s="41">
        <v>256873</v>
      </c>
      <c r="AL227" s="41">
        <v>258918</v>
      </c>
      <c r="AM227" s="41">
        <v>260956</v>
      </c>
      <c r="AN227" s="41">
        <v>262971</v>
      </c>
      <c r="AO227" s="41">
        <v>264938</v>
      </c>
      <c r="AP227" s="41">
        <v>266931</v>
      </c>
      <c r="AQ227" s="41">
        <v>268950</v>
      </c>
      <c r="AR227" s="41">
        <v>270982</v>
      </c>
      <c r="AS227" s="41">
        <v>272863</v>
      </c>
      <c r="AT227" s="41">
        <v>274618</v>
      </c>
      <c r="AU227" s="41">
        <v>276360</v>
      </c>
      <c r="AV227" s="41">
        <v>278165</v>
      </c>
      <c r="AW227" s="41">
        <v>280016</v>
      </c>
      <c r="AX227" s="41">
        <v>281821</v>
      </c>
      <c r="AY227" s="41">
        <v>283572</v>
      </c>
    </row>
    <row r="228" spans="1:51">
      <c r="A228" s="38" t="s">
        <v>572</v>
      </c>
      <c r="B228" s="38" t="s">
        <v>573</v>
      </c>
      <c r="C228" s="41">
        <v>107286</v>
      </c>
      <c r="D228" s="41">
        <v>108132</v>
      </c>
      <c r="E228" s="41">
        <v>108799</v>
      </c>
      <c r="F228" s="41">
        <v>110506</v>
      </c>
      <c r="G228" s="41">
        <v>111720</v>
      </c>
      <c r="H228" s="41">
        <v>112851</v>
      </c>
      <c r="I228" s="41">
        <v>112696</v>
      </c>
      <c r="J228" s="41">
        <v>113876</v>
      </c>
      <c r="K228" s="41">
        <v>115298</v>
      </c>
      <c r="L228" s="41">
        <v>116355</v>
      </c>
      <c r="M228" s="41">
        <v>117374</v>
      </c>
      <c r="N228" s="41">
        <v>118437</v>
      </c>
      <c r="O228" s="41">
        <v>119537</v>
      </c>
      <c r="P228" s="41">
        <v>120833</v>
      </c>
      <c r="Q228" s="41">
        <v>122314</v>
      </c>
      <c r="R228" s="41">
        <v>123886</v>
      </c>
      <c r="S228" s="41">
        <v>125421</v>
      </c>
      <c r="T228" s="41">
        <v>126633</v>
      </c>
      <c r="U228" s="41">
        <v>127443</v>
      </c>
      <c r="V228" s="41">
        <v>128686</v>
      </c>
      <c r="W228" s="41">
        <v>130206</v>
      </c>
      <c r="X228" s="41">
        <v>131432</v>
      </c>
      <c r="Y228" s="41">
        <v>132056</v>
      </c>
      <c r="Z228" s="41">
        <v>133357</v>
      </c>
      <c r="AA228" s="41">
        <v>134383</v>
      </c>
      <c r="AB228" s="41">
        <v>135511</v>
      </c>
      <c r="AC228" s="41">
        <v>136620</v>
      </c>
      <c r="AD228" s="41">
        <v>137727</v>
      </c>
      <c r="AE228" s="41">
        <v>138844</v>
      </c>
      <c r="AF228" s="41">
        <v>139903</v>
      </c>
      <c r="AG228" s="41">
        <v>140949</v>
      </c>
      <c r="AH228" s="41">
        <v>141944</v>
      </c>
      <c r="AI228" s="41">
        <v>142944</v>
      </c>
      <c r="AJ228" s="41">
        <v>143925</v>
      </c>
      <c r="AK228" s="41">
        <v>144890</v>
      </c>
      <c r="AL228" s="41">
        <v>145844</v>
      </c>
      <c r="AM228" s="41">
        <v>146748</v>
      </c>
      <c r="AN228" s="41">
        <v>147635</v>
      </c>
      <c r="AO228" s="41">
        <v>148490</v>
      </c>
      <c r="AP228" s="41">
        <v>149333</v>
      </c>
      <c r="AQ228" s="41">
        <v>150158</v>
      </c>
      <c r="AR228" s="41">
        <v>150899</v>
      </c>
      <c r="AS228" s="41">
        <v>151620</v>
      </c>
      <c r="AT228" s="41">
        <v>152298</v>
      </c>
      <c r="AU228" s="41">
        <v>152942</v>
      </c>
      <c r="AV228" s="41">
        <v>153558</v>
      </c>
      <c r="AW228" s="41">
        <v>154120</v>
      </c>
      <c r="AX228" s="41">
        <v>154647</v>
      </c>
      <c r="AY228" s="41">
        <v>155140</v>
      </c>
    </row>
    <row r="229" spans="1:51">
      <c r="A229" s="38" t="s">
        <v>574</v>
      </c>
      <c r="B229" s="38" t="s">
        <v>575</v>
      </c>
      <c r="C229" s="41">
        <v>38853</v>
      </c>
      <c r="D229" s="41">
        <v>39367</v>
      </c>
      <c r="E229" s="41">
        <v>39961</v>
      </c>
      <c r="F229" s="41">
        <v>40726</v>
      </c>
      <c r="G229" s="41">
        <v>41424</v>
      </c>
      <c r="H229" s="41">
        <v>42217</v>
      </c>
      <c r="I229" s="41">
        <v>42828</v>
      </c>
      <c r="J229" s="41">
        <v>43376</v>
      </c>
      <c r="K229" s="41">
        <v>43998</v>
      </c>
      <c r="L229" s="41">
        <v>44601</v>
      </c>
      <c r="M229" s="41">
        <v>45119</v>
      </c>
      <c r="N229" s="41">
        <v>45347</v>
      </c>
      <c r="O229" s="41">
        <v>45354</v>
      </c>
      <c r="P229" s="41">
        <v>45225</v>
      </c>
      <c r="Q229" s="41">
        <v>45719</v>
      </c>
      <c r="R229" s="41">
        <v>46404</v>
      </c>
      <c r="S229" s="41">
        <v>47128</v>
      </c>
      <c r="T229" s="41">
        <v>48119</v>
      </c>
      <c r="U229" s="41">
        <v>49255</v>
      </c>
      <c r="V229" s="41">
        <v>50125</v>
      </c>
      <c r="W229" s="41">
        <v>50909</v>
      </c>
      <c r="X229" s="41">
        <v>51549</v>
      </c>
      <c r="Y229" s="41">
        <v>52303</v>
      </c>
      <c r="Z229" s="41">
        <v>53137</v>
      </c>
      <c r="AA229" s="41">
        <v>53973</v>
      </c>
      <c r="AB229" s="41">
        <v>54782</v>
      </c>
      <c r="AC229" s="41">
        <v>55535</v>
      </c>
      <c r="AD229" s="41">
        <v>56285</v>
      </c>
      <c r="AE229" s="41">
        <v>57036</v>
      </c>
      <c r="AF229" s="41">
        <v>57753</v>
      </c>
      <c r="AG229" s="41">
        <v>58464</v>
      </c>
      <c r="AH229" s="41">
        <v>59144</v>
      </c>
      <c r="AI229" s="41">
        <v>59806</v>
      </c>
      <c r="AJ229" s="41">
        <v>60468</v>
      </c>
      <c r="AK229" s="41">
        <v>61115</v>
      </c>
      <c r="AL229" s="41">
        <v>61782</v>
      </c>
      <c r="AM229" s="41">
        <v>62436</v>
      </c>
      <c r="AN229" s="41">
        <v>63075</v>
      </c>
      <c r="AO229" s="41">
        <v>63715</v>
      </c>
      <c r="AP229" s="41">
        <v>64344</v>
      </c>
      <c r="AQ229" s="41">
        <v>64980</v>
      </c>
      <c r="AR229" s="41">
        <v>65601</v>
      </c>
      <c r="AS229" s="41">
        <v>66208</v>
      </c>
      <c r="AT229" s="41">
        <v>66797</v>
      </c>
      <c r="AU229" s="41">
        <v>67383</v>
      </c>
      <c r="AV229" s="41">
        <v>67977</v>
      </c>
      <c r="AW229" s="41">
        <v>68574</v>
      </c>
      <c r="AX229" s="41">
        <v>69166</v>
      </c>
      <c r="AY229" s="41">
        <v>69732</v>
      </c>
    </row>
    <row r="230" spans="1:51">
      <c r="A230" s="38" t="s">
        <v>576</v>
      </c>
      <c r="B230" s="38" t="s">
        <v>577</v>
      </c>
      <c r="C230" s="41">
        <v>78102</v>
      </c>
      <c r="D230" s="41">
        <v>78245</v>
      </c>
      <c r="E230" s="41">
        <v>78239</v>
      </c>
      <c r="F230" s="41">
        <v>78989</v>
      </c>
      <c r="G230" s="41">
        <v>79556</v>
      </c>
      <c r="H230" s="41">
        <v>80058</v>
      </c>
      <c r="I230" s="41">
        <v>80631</v>
      </c>
      <c r="J230" s="41">
        <v>80942</v>
      </c>
      <c r="K230" s="41">
        <v>80837</v>
      </c>
      <c r="L230" s="41">
        <v>80673</v>
      </c>
      <c r="M230" s="41">
        <v>81002</v>
      </c>
      <c r="N230" s="41">
        <v>81374</v>
      </c>
      <c r="O230" s="41">
        <v>81735</v>
      </c>
      <c r="P230" s="41">
        <v>82181</v>
      </c>
      <c r="Q230" s="41">
        <v>82668</v>
      </c>
      <c r="R230" s="41">
        <v>83263</v>
      </c>
      <c r="S230" s="41">
        <v>83624</v>
      </c>
      <c r="T230" s="41">
        <v>84395</v>
      </c>
      <c r="U230" s="41">
        <v>85061</v>
      </c>
      <c r="V230" s="41">
        <v>85744</v>
      </c>
      <c r="W230" s="41">
        <v>86160</v>
      </c>
      <c r="X230" s="41">
        <v>86409</v>
      </c>
      <c r="Y230" s="41">
        <v>87111</v>
      </c>
      <c r="Z230" s="41">
        <v>87587</v>
      </c>
      <c r="AA230" s="41">
        <v>88102</v>
      </c>
      <c r="AB230" s="41">
        <v>88664</v>
      </c>
      <c r="AC230" s="41">
        <v>89205</v>
      </c>
      <c r="AD230" s="41">
        <v>89743</v>
      </c>
      <c r="AE230" s="41">
        <v>90329</v>
      </c>
      <c r="AF230" s="41">
        <v>90937</v>
      </c>
      <c r="AG230" s="41">
        <v>91529</v>
      </c>
      <c r="AH230" s="41">
        <v>92121</v>
      </c>
      <c r="AI230" s="41">
        <v>92729</v>
      </c>
      <c r="AJ230" s="41">
        <v>93376</v>
      </c>
      <c r="AK230" s="41">
        <v>94006</v>
      </c>
      <c r="AL230" s="41">
        <v>94655</v>
      </c>
      <c r="AM230" s="41">
        <v>95308</v>
      </c>
      <c r="AN230" s="41">
        <v>95948</v>
      </c>
      <c r="AO230" s="41">
        <v>96615</v>
      </c>
      <c r="AP230" s="41">
        <v>97259</v>
      </c>
      <c r="AQ230" s="41">
        <v>97909</v>
      </c>
      <c r="AR230" s="41">
        <v>98567</v>
      </c>
      <c r="AS230" s="41">
        <v>99194</v>
      </c>
      <c r="AT230" s="41">
        <v>99835</v>
      </c>
      <c r="AU230" s="41">
        <v>100442</v>
      </c>
      <c r="AV230" s="41">
        <v>101053</v>
      </c>
      <c r="AW230" s="41">
        <v>101684</v>
      </c>
      <c r="AX230" s="41">
        <v>102291</v>
      </c>
      <c r="AY230" s="41">
        <v>102891</v>
      </c>
    </row>
    <row r="231" spans="1:51">
      <c r="A231" s="38" t="s">
        <v>578</v>
      </c>
      <c r="B231" s="38" t="s">
        <v>579</v>
      </c>
      <c r="C231" s="41">
        <v>52760</v>
      </c>
      <c r="D231" s="41">
        <v>53786</v>
      </c>
      <c r="E231" s="41">
        <v>53981</v>
      </c>
      <c r="F231" s="41">
        <v>54774</v>
      </c>
      <c r="G231" s="41">
        <v>55494</v>
      </c>
      <c r="H231" s="41">
        <v>56141</v>
      </c>
      <c r="I231" s="41">
        <v>56507</v>
      </c>
      <c r="J231" s="41">
        <v>57041</v>
      </c>
      <c r="K231" s="41">
        <v>57644</v>
      </c>
      <c r="L231" s="41">
        <v>58218</v>
      </c>
      <c r="M231" s="41">
        <v>59618</v>
      </c>
      <c r="N231" s="41">
        <v>60244</v>
      </c>
      <c r="O231" s="41">
        <v>60710</v>
      </c>
      <c r="P231" s="41">
        <v>61030</v>
      </c>
      <c r="Q231" s="41">
        <v>61318</v>
      </c>
      <c r="R231" s="41">
        <v>61552</v>
      </c>
      <c r="S231" s="41">
        <v>61936</v>
      </c>
      <c r="T231" s="41">
        <v>62251</v>
      </c>
      <c r="U231" s="41">
        <v>62330</v>
      </c>
      <c r="V231" s="41">
        <v>62593</v>
      </c>
      <c r="W231" s="41">
        <v>62685</v>
      </c>
      <c r="X231" s="41">
        <v>63390</v>
      </c>
      <c r="Y231" s="41">
        <v>63870</v>
      </c>
      <c r="Z231" s="41">
        <v>64394</v>
      </c>
      <c r="AA231" s="41">
        <v>64897</v>
      </c>
      <c r="AB231" s="41">
        <v>65463</v>
      </c>
      <c r="AC231" s="41">
        <v>66036</v>
      </c>
      <c r="AD231" s="41">
        <v>66596</v>
      </c>
      <c r="AE231" s="41">
        <v>67198</v>
      </c>
      <c r="AF231" s="41">
        <v>67763</v>
      </c>
      <c r="AG231" s="41">
        <v>68334</v>
      </c>
      <c r="AH231" s="41">
        <v>68888</v>
      </c>
      <c r="AI231" s="41">
        <v>69437</v>
      </c>
      <c r="AJ231" s="41">
        <v>69998</v>
      </c>
      <c r="AK231" s="41">
        <v>70549</v>
      </c>
      <c r="AL231" s="41">
        <v>71116</v>
      </c>
      <c r="AM231" s="41">
        <v>71681</v>
      </c>
      <c r="AN231" s="41">
        <v>72229</v>
      </c>
      <c r="AO231" s="41">
        <v>72781</v>
      </c>
      <c r="AP231" s="41">
        <v>73316</v>
      </c>
      <c r="AQ231" s="41">
        <v>73858</v>
      </c>
      <c r="AR231" s="41">
        <v>74378</v>
      </c>
      <c r="AS231" s="41">
        <v>74874</v>
      </c>
      <c r="AT231" s="41">
        <v>75375</v>
      </c>
      <c r="AU231" s="41">
        <v>75851</v>
      </c>
      <c r="AV231" s="41">
        <v>76329</v>
      </c>
      <c r="AW231" s="41">
        <v>76808</v>
      </c>
      <c r="AX231" s="41">
        <v>77243</v>
      </c>
      <c r="AY231" s="41">
        <v>77651</v>
      </c>
    </row>
    <row r="232" spans="1:51">
      <c r="A232" s="38" t="s">
        <v>580</v>
      </c>
      <c r="B232" s="38" t="s">
        <v>581</v>
      </c>
      <c r="C232" s="41">
        <v>46638</v>
      </c>
      <c r="D232" s="41">
        <v>46809</v>
      </c>
      <c r="E232" s="41">
        <v>47203</v>
      </c>
      <c r="F232" s="41">
        <v>47150</v>
      </c>
      <c r="G232" s="41">
        <v>48424</v>
      </c>
      <c r="H232" s="41">
        <v>49131</v>
      </c>
      <c r="I232" s="41">
        <v>50222</v>
      </c>
      <c r="J232" s="41">
        <v>50770</v>
      </c>
      <c r="K232" s="41">
        <v>51224</v>
      </c>
      <c r="L232" s="41">
        <v>51433</v>
      </c>
      <c r="M232" s="41">
        <v>52342</v>
      </c>
      <c r="N232" s="41">
        <v>53034</v>
      </c>
      <c r="O232" s="41">
        <v>53813</v>
      </c>
      <c r="P232" s="41">
        <v>54457</v>
      </c>
      <c r="Q232" s="41">
        <v>55219</v>
      </c>
      <c r="R232" s="41">
        <v>56094</v>
      </c>
      <c r="S232" s="41">
        <v>56904</v>
      </c>
      <c r="T232" s="41">
        <v>57840</v>
      </c>
      <c r="U232" s="41">
        <v>58559</v>
      </c>
      <c r="V232" s="41">
        <v>59503</v>
      </c>
      <c r="W232" s="41">
        <v>60391</v>
      </c>
      <c r="X232" s="41">
        <v>61197</v>
      </c>
      <c r="Y232" s="41">
        <v>61460</v>
      </c>
      <c r="Z232" s="41">
        <v>62341</v>
      </c>
      <c r="AA232" s="41">
        <v>63294</v>
      </c>
      <c r="AB232" s="41">
        <v>64255</v>
      </c>
      <c r="AC232" s="41">
        <v>65192</v>
      </c>
      <c r="AD232" s="41">
        <v>66097</v>
      </c>
      <c r="AE232" s="41">
        <v>67002</v>
      </c>
      <c r="AF232" s="41">
        <v>67872</v>
      </c>
      <c r="AG232" s="41">
        <v>68728</v>
      </c>
      <c r="AH232" s="41">
        <v>69571</v>
      </c>
      <c r="AI232" s="41">
        <v>70398</v>
      </c>
      <c r="AJ232" s="41">
        <v>71222</v>
      </c>
      <c r="AK232" s="41">
        <v>72012</v>
      </c>
      <c r="AL232" s="41">
        <v>72802</v>
      </c>
      <c r="AM232" s="41">
        <v>73595</v>
      </c>
      <c r="AN232" s="41">
        <v>74358</v>
      </c>
      <c r="AO232" s="41">
        <v>75117</v>
      </c>
      <c r="AP232" s="41">
        <v>75839</v>
      </c>
      <c r="AQ232" s="41">
        <v>76558</v>
      </c>
      <c r="AR232" s="41">
        <v>77265</v>
      </c>
      <c r="AS232" s="41">
        <v>77943</v>
      </c>
      <c r="AT232" s="41">
        <v>78603</v>
      </c>
      <c r="AU232" s="41">
        <v>79223</v>
      </c>
      <c r="AV232" s="41">
        <v>79836</v>
      </c>
      <c r="AW232" s="41">
        <v>80431</v>
      </c>
      <c r="AX232" s="41">
        <v>81000</v>
      </c>
      <c r="AY232" s="41">
        <v>81557</v>
      </c>
    </row>
    <row r="233" spans="1:51">
      <c r="A233" s="38" t="s">
        <v>582</v>
      </c>
      <c r="B233" s="38" t="s">
        <v>583</v>
      </c>
      <c r="C233" s="41">
        <v>28106</v>
      </c>
      <c r="D233" s="41">
        <v>28440</v>
      </c>
      <c r="E233" s="41">
        <v>28742</v>
      </c>
      <c r="F233" s="41">
        <v>29141</v>
      </c>
      <c r="G233" s="41">
        <v>29662</v>
      </c>
      <c r="H233" s="41">
        <v>30278</v>
      </c>
      <c r="I233" s="41">
        <v>30830</v>
      </c>
      <c r="J233" s="41">
        <v>31458</v>
      </c>
      <c r="K233" s="41">
        <v>31902</v>
      </c>
      <c r="L233" s="41">
        <v>32398</v>
      </c>
      <c r="M233" s="41">
        <v>33088</v>
      </c>
      <c r="N233" s="41">
        <v>33822</v>
      </c>
      <c r="O233" s="41">
        <v>34607</v>
      </c>
      <c r="P233" s="41">
        <v>35154</v>
      </c>
      <c r="Q233" s="41">
        <v>35795</v>
      </c>
      <c r="R233" s="41">
        <v>36393</v>
      </c>
      <c r="S233" s="41">
        <v>36944</v>
      </c>
      <c r="T233" s="41">
        <v>37577</v>
      </c>
      <c r="U233" s="41">
        <v>38075</v>
      </c>
      <c r="V233" s="41">
        <v>38580</v>
      </c>
      <c r="W233" s="41">
        <v>39137</v>
      </c>
      <c r="X233" s="41">
        <v>39756</v>
      </c>
      <c r="Y233" s="41">
        <v>40244</v>
      </c>
      <c r="Z233" s="41">
        <v>40845</v>
      </c>
      <c r="AA233" s="41">
        <v>41396</v>
      </c>
      <c r="AB233" s="41">
        <v>41935</v>
      </c>
      <c r="AC233" s="41">
        <v>42467</v>
      </c>
      <c r="AD233" s="41">
        <v>42999</v>
      </c>
      <c r="AE233" s="41">
        <v>43528</v>
      </c>
      <c r="AF233" s="41">
        <v>44046</v>
      </c>
      <c r="AG233" s="41">
        <v>44536</v>
      </c>
      <c r="AH233" s="41">
        <v>45011</v>
      </c>
      <c r="AI233" s="41">
        <v>45488</v>
      </c>
      <c r="AJ233" s="41">
        <v>45959</v>
      </c>
      <c r="AK233" s="41">
        <v>46417</v>
      </c>
      <c r="AL233" s="41">
        <v>46872</v>
      </c>
      <c r="AM233" s="41">
        <v>47316</v>
      </c>
      <c r="AN233" s="41">
        <v>47760</v>
      </c>
      <c r="AO233" s="41">
        <v>48188</v>
      </c>
      <c r="AP233" s="41">
        <v>48620</v>
      </c>
      <c r="AQ233" s="41">
        <v>49037</v>
      </c>
      <c r="AR233" s="41">
        <v>49441</v>
      </c>
      <c r="AS233" s="41">
        <v>49838</v>
      </c>
      <c r="AT233" s="41">
        <v>50211</v>
      </c>
      <c r="AU233" s="41">
        <v>50568</v>
      </c>
      <c r="AV233" s="41">
        <v>50911</v>
      </c>
      <c r="AW233" s="41">
        <v>51249</v>
      </c>
      <c r="AX233" s="41">
        <v>51564</v>
      </c>
      <c r="AY233" s="41">
        <v>51876</v>
      </c>
    </row>
    <row r="234" spans="1:51">
      <c r="A234" s="38" t="s">
        <v>584</v>
      </c>
      <c r="B234" s="38" t="s">
        <v>585</v>
      </c>
      <c r="C234" s="41">
        <v>86080</v>
      </c>
      <c r="D234" s="41">
        <v>87883</v>
      </c>
      <c r="E234" s="41">
        <v>89505</v>
      </c>
      <c r="F234" s="41">
        <v>90849</v>
      </c>
      <c r="G234" s="41">
        <v>91491</v>
      </c>
      <c r="H234" s="41">
        <v>92636</v>
      </c>
      <c r="I234" s="41">
        <v>94227</v>
      </c>
      <c r="J234" s="41">
        <v>95427</v>
      </c>
      <c r="K234" s="41">
        <v>96855</v>
      </c>
      <c r="L234" s="41">
        <v>98390</v>
      </c>
      <c r="M234" s="41">
        <v>99289</v>
      </c>
      <c r="N234" s="41">
        <v>100329</v>
      </c>
      <c r="O234" s="41">
        <v>101134</v>
      </c>
      <c r="P234" s="41">
        <v>102166</v>
      </c>
      <c r="Q234" s="41">
        <v>103205</v>
      </c>
      <c r="R234" s="41">
        <v>104047</v>
      </c>
      <c r="S234" s="41">
        <v>104834</v>
      </c>
      <c r="T234" s="41">
        <v>105588</v>
      </c>
      <c r="U234" s="41">
        <v>106469</v>
      </c>
      <c r="V234" s="41">
        <v>107179</v>
      </c>
      <c r="W234" s="41">
        <v>107784</v>
      </c>
      <c r="X234" s="41">
        <v>109137</v>
      </c>
      <c r="Y234" s="41">
        <v>110522</v>
      </c>
      <c r="Z234" s="41">
        <v>112128</v>
      </c>
      <c r="AA234" s="41">
        <v>113366</v>
      </c>
      <c r="AB234" s="41">
        <v>114595</v>
      </c>
      <c r="AC234" s="41">
        <v>115869</v>
      </c>
      <c r="AD234" s="41">
        <v>117094</v>
      </c>
      <c r="AE234" s="41">
        <v>118346</v>
      </c>
      <c r="AF234" s="41">
        <v>119539</v>
      </c>
      <c r="AG234" s="41">
        <v>120693</v>
      </c>
      <c r="AH234" s="41">
        <v>121814</v>
      </c>
      <c r="AI234" s="41">
        <v>122926</v>
      </c>
      <c r="AJ234" s="41">
        <v>124042</v>
      </c>
      <c r="AK234" s="41">
        <v>125124</v>
      </c>
      <c r="AL234" s="41">
        <v>126204</v>
      </c>
      <c r="AM234" s="41">
        <v>127257</v>
      </c>
      <c r="AN234" s="41">
        <v>128323</v>
      </c>
      <c r="AO234" s="41">
        <v>129376</v>
      </c>
      <c r="AP234" s="41">
        <v>130417</v>
      </c>
      <c r="AQ234" s="41">
        <v>131467</v>
      </c>
      <c r="AR234" s="41">
        <v>132482</v>
      </c>
      <c r="AS234" s="41">
        <v>133497</v>
      </c>
      <c r="AT234" s="41">
        <v>134477</v>
      </c>
      <c r="AU234" s="41">
        <v>135432</v>
      </c>
      <c r="AV234" s="41">
        <v>136396</v>
      </c>
      <c r="AW234" s="41">
        <v>137353</v>
      </c>
      <c r="AX234" s="41">
        <v>138283</v>
      </c>
      <c r="AY234" s="41">
        <v>139186</v>
      </c>
    </row>
    <row r="235" spans="1:51">
      <c r="A235" s="38" t="s">
        <v>586</v>
      </c>
      <c r="B235" s="38" t="s">
        <v>587</v>
      </c>
      <c r="C235" s="41">
        <v>31818</v>
      </c>
      <c r="D235" s="41">
        <v>32106</v>
      </c>
      <c r="E235" s="41">
        <v>32193</v>
      </c>
      <c r="F235" s="41">
        <v>32753</v>
      </c>
      <c r="G235" s="41">
        <v>32942</v>
      </c>
      <c r="H235" s="41">
        <v>33203</v>
      </c>
      <c r="I235" s="41">
        <v>33543</v>
      </c>
      <c r="J235" s="41">
        <v>33807</v>
      </c>
      <c r="K235" s="41">
        <v>34384</v>
      </c>
      <c r="L235" s="41">
        <v>34890</v>
      </c>
      <c r="M235" s="41">
        <v>34892</v>
      </c>
      <c r="N235" s="41">
        <v>35154</v>
      </c>
      <c r="O235" s="41">
        <v>35219</v>
      </c>
      <c r="P235" s="41">
        <v>35379</v>
      </c>
      <c r="Q235" s="41">
        <v>35688</v>
      </c>
      <c r="R235" s="41">
        <v>36006</v>
      </c>
      <c r="S235" s="41">
        <v>36301</v>
      </c>
      <c r="T235" s="41">
        <v>36556</v>
      </c>
      <c r="U235" s="41">
        <v>36672</v>
      </c>
      <c r="V235" s="41">
        <v>36967</v>
      </c>
      <c r="W235" s="41">
        <v>37053</v>
      </c>
      <c r="X235" s="41">
        <v>37264</v>
      </c>
      <c r="Y235" s="41">
        <v>37442</v>
      </c>
      <c r="Z235" s="41">
        <v>37690</v>
      </c>
      <c r="AA235" s="41">
        <v>37842</v>
      </c>
      <c r="AB235" s="41">
        <v>38053</v>
      </c>
      <c r="AC235" s="41">
        <v>38265</v>
      </c>
      <c r="AD235" s="41">
        <v>38482</v>
      </c>
      <c r="AE235" s="41">
        <v>38707</v>
      </c>
      <c r="AF235" s="41">
        <v>38936</v>
      </c>
      <c r="AG235" s="41">
        <v>39182</v>
      </c>
      <c r="AH235" s="41">
        <v>39426</v>
      </c>
      <c r="AI235" s="41">
        <v>39670</v>
      </c>
      <c r="AJ235" s="41">
        <v>39908</v>
      </c>
      <c r="AK235" s="41">
        <v>40154</v>
      </c>
      <c r="AL235" s="41">
        <v>40411</v>
      </c>
      <c r="AM235" s="41">
        <v>40669</v>
      </c>
      <c r="AN235" s="41">
        <v>40905</v>
      </c>
      <c r="AO235" s="41">
        <v>41118</v>
      </c>
      <c r="AP235" s="41">
        <v>41338</v>
      </c>
      <c r="AQ235" s="41">
        <v>41545</v>
      </c>
      <c r="AR235" s="41">
        <v>41731</v>
      </c>
      <c r="AS235" s="41">
        <v>41910</v>
      </c>
      <c r="AT235" s="41">
        <v>42076</v>
      </c>
      <c r="AU235" s="41">
        <v>42248</v>
      </c>
      <c r="AV235" s="41">
        <v>42416</v>
      </c>
      <c r="AW235" s="41">
        <v>42589</v>
      </c>
      <c r="AX235" s="41">
        <v>42747</v>
      </c>
      <c r="AY235" s="41">
        <v>42897</v>
      </c>
    </row>
    <row r="236" spans="1:51">
      <c r="A236" s="38" t="s">
        <v>588</v>
      </c>
      <c r="B236" s="38" t="s">
        <v>589</v>
      </c>
      <c r="C236" s="41">
        <v>27941</v>
      </c>
      <c r="D236" s="41">
        <v>28495</v>
      </c>
      <c r="E236" s="41">
        <v>28924</v>
      </c>
      <c r="F236" s="41">
        <v>29430</v>
      </c>
      <c r="G236" s="41">
        <v>29918</v>
      </c>
      <c r="H236" s="41">
        <v>30202</v>
      </c>
      <c r="I236" s="41">
        <v>30683</v>
      </c>
      <c r="J236" s="41">
        <v>31245</v>
      </c>
      <c r="K236" s="41">
        <v>31702</v>
      </c>
      <c r="L236" s="41">
        <v>32275</v>
      </c>
      <c r="M236" s="41">
        <v>32797</v>
      </c>
      <c r="N236" s="41">
        <v>33281</v>
      </c>
      <c r="O236" s="41">
        <v>33827</v>
      </c>
      <c r="P236" s="41">
        <v>34420</v>
      </c>
      <c r="Q236" s="41">
        <v>34748</v>
      </c>
      <c r="R236" s="41">
        <v>35319</v>
      </c>
      <c r="S236" s="41">
        <v>35772</v>
      </c>
      <c r="T236" s="41">
        <v>36310</v>
      </c>
      <c r="U236" s="41">
        <v>36703</v>
      </c>
      <c r="V236" s="41">
        <v>37080</v>
      </c>
      <c r="W236" s="41">
        <v>37320</v>
      </c>
      <c r="X236" s="41">
        <v>37427</v>
      </c>
      <c r="Y236" s="41">
        <v>37701</v>
      </c>
      <c r="Z236" s="41">
        <v>38127</v>
      </c>
      <c r="AA236" s="41">
        <v>38525</v>
      </c>
      <c r="AB236" s="41">
        <v>38890</v>
      </c>
      <c r="AC236" s="41">
        <v>39255</v>
      </c>
      <c r="AD236" s="41">
        <v>39621</v>
      </c>
      <c r="AE236" s="41">
        <v>39979</v>
      </c>
      <c r="AF236" s="41">
        <v>40343</v>
      </c>
      <c r="AG236" s="41">
        <v>40688</v>
      </c>
      <c r="AH236" s="41">
        <v>41027</v>
      </c>
      <c r="AI236" s="41">
        <v>41363</v>
      </c>
      <c r="AJ236" s="41">
        <v>41701</v>
      </c>
      <c r="AK236" s="41">
        <v>42038</v>
      </c>
      <c r="AL236" s="41">
        <v>42391</v>
      </c>
      <c r="AM236" s="41">
        <v>42749</v>
      </c>
      <c r="AN236" s="41">
        <v>43104</v>
      </c>
      <c r="AO236" s="41">
        <v>43443</v>
      </c>
      <c r="AP236" s="41">
        <v>43790</v>
      </c>
      <c r="AQ236" s="41">
        <v>44135</v>
      </c>
      <c r="AR236" s="41">
        <v>44469</v>
      </c>
      <c r="AS236" s="41">
        <v>44810</v>
      </c>
      <c r="AT236" s="41">
        <v>45140</v>
      </c>
      <c r="AU236" s="41">
        <v>45462</v>
      </c>
      <c r="AV236" s="41">
        <v>45787</v>
      </c>
      <c r="AW236" s="41">
        <v>46118</v>
      </c>
      <c r="AX236" s="41">
        <v>46435</v>
      </c>
      <c r="AY236" s="41">
        <v>46734</v>
      </c>
    </row>
    <row r="237" spans="1:51">
      <c r="A237" s="38" t="s">
        <v>590</v>
      </c>
      <c r="B237" s="38" t="s">
        <v>591</v>
      </c>
      <c r="C237" s="41">
        <v>43448</v>
      </c>
      <c r="D237" s="41">
        <v>44265</v>
      </c>
      <c r="E237" s="41">
        <v>45030</v>
      </c>
      <c r="F237" s="41">
        <v>46136</v>
      </c>
      <c r="G237" s="41">
        <v>47351</v>
      </c>
      <c r="H237" s="41">
        <v>48477</v>
      </c>
      <c r="I237" s="41">
        <v>49406</v>
      </c>
      <c r="J237" s="41">
        <v>49995</v>
      </c>
      <c r="K237" s="41">
        <v>50642</v>
      </c>
      <c r="L237" s="41">
        <v>51093</v>
      </c>
      <c r="M237" s="41">
        <v>51587</v>
      </c>
      <c r="N237" s="41">
        <v>52174</v>
      </c>
      <c r="O237" s="41">
        <v>52809</v>
      </c>
      <c r="P237" s="41">
        <v>53482</v>
      </c>
      <c r="Q237" s="41">
        <v>53927</v>
      </c>
      <c r="R237" s="41">
        <v>54583</v>
      </c>
      <c r="S237" s="41">
        <v>55233</v>
      </c>
      <c r="T237" s="41">
        <v>55742</v>
      </c>
      <c r="U237" s="41">
        <v>56341</v>
      </c>
      <c r="V237" s="41">
        <v>56992</v>
      </c>
      <c r="W237" s="41">
        <v>57521</v>
      </c>
      <c r="X237" s="41">
        <v>58061</v>
      </c>
      <c r="Y237" s="41">
        <v>58714</v>
      </c>
      <c r="Z237" s="41">
        <v>59495</v>
      </c>
      <c r="AA237" s="41">
        <v>60158</v>
      </c>
      <c r="AB237" s="41">
        <v>60835</v>
      </c>
      <c r="AC237" s="41">
        <v>61513</v>
      </c>
      <c r="AD237" s="41">
        <v>62166</v>
      </c>
      <c r="AE237" s="41">
        <v>62840</v>
      </c>
      <c r="AF237" s="41">
        <v>63487</v>
      </c>
      <c r="AG237" s="41">
        <v>64111</v>
      </c>
      <c r="AH237" s="41">
        <v>64727</v>
      </c>
      <c r="AI237" s="41">
        <v>65311</v>
      </c>
      <c r="AJ237" s="41">
        <v>65894</v>
      </c>
      <c r="AK237" s="41">
        <v>66459</v>
      </c>
      <c r="AL237" s="41">
        <v>67022</v>
      </c>
      <c r="AM237" s="41">
        <v>67587</v>
      </c>
      <c r="AN237" s="41">
        <v>68138</v>
      </c>
      <c r="AO237" s="41">
        <v>68681</v>
      </c>
      <c r="AP237" s="41">
        <v>69225</v>
      </c>
      <c r="AQ237" s="41">
        <v>69758</v>
      </c>
      <c r="AR237" s="41">
        <v>70266</v>
      </c>
      <c r="AS237" s="41">
        <v>70770</v>
      </c>
      <c r="AT237" s="41">
        <v>71262</v>
      </c>
      <c r="AU237" s="41">
        <v>71736</v>
      </c>
      <c r="AV237" s="41">
        <v>72191</v>
      </c>
      <c r="AW237" s="41">
        <v>72636</v>
      </c>
      <c r="AX237" s="41">
        <v>73050</v>
      </c>
      <c r="AY237" s="41">
        <v>73451</v>
      </c>
    </row>
    <row r="238" spans="1:51">
      <c r="A238" s="38" t="s">
        <v>592</v>
      </c>
      <c r="B238" s="38" t="s">
        <v>593</v>
      </c>
      <c r="C238" s="41">
        <v>40363</v>
      </c>
      <c r="D238" s="41">
        <v>40553</v>
      </c>
      <c r="E238" s="41">
        <v>40950</v>
      </c>
      <c r="F238" s="41">
        <v>41359</v>
      </c>
      <c r="G238" s="41">
        <v>41613</v>
      </c>
      <c r="H238" s="41">
        <v>41939</v>
      </c>
      <c r="I238" s="41">
        <v>42519</v>
      </c>
      <c r="J238" s="41">
        <v>43011</v>
      </c>
      <c r="K238" s="41">
        <v>43274</v>
      </c>
      <c r="L238" s="41">
        <v>43875</v>
      </c>
      <c r="M238" s="41">
        <v>44232</v>
      </c>
      <c r="N238" s="41">
        <v>44421</v>
      </c>
      <c r="O238" s="41">
        <v>44850</v>
      </c>
      <c r="P238" s="41">
        <v>45363</v>
      </c>
      <c r="Q238" s="41">
        <v>45754</v>
      </c>
      <c r="R238" s="41">
        <v>46057</v>
      </c>
      <c r="S238" s="41">
        <v>46307</v>
      </c>
      <c r="T238" s="41">
        <v>46473</v>
      </c>
      <c r="U238" s="41">
        <v>46585</v>
      </c>
      <c r="V238" s="41">
        <v>46623</v>
      </c>
      <c r="W238" s="41">
        <v>46645</v>
      </c>
      <c r="X238" s="41">
        <v>46691</v>
      </c>
      <c r="Y238" s="41">
        <v>46842</v>
      </c>
      <c r="Z238" s="41">
        <v>46907</v>
      </c>
      <c r="AA238" s="41">
        <v>46995</v>
      </c>
      <c r="AB238" s="41">
        <v>47145</v>
      </c>
      <c r="AC238" s="41">
        <v>47303</v>
      </c>
      <c r="AD238" s="41">
        <v>47459</v>
      </c>
      <c r="AE238" s="41">
        <v>47644</v>
      </c>
      <c r="AF238" s="41">
        <v>47800</v>
      </c>
      <c r="AG238" s="41">
        <v>47960</v>
      </c>
      <c r="AH238" s="41">
        <v>48125</v>
      </c>
      <c r="AI238" s="41">
        <v>48274</v>
      </c>
      <c r="AJ238" s="41">
        <v>48445</v>
      </c>
      <c r="AK238" s="41">
        <v>48598</v>
      </c>
      <c r="AL238" s="41">
        <v>48743</v>
      </c>
      <c r="AM238" s="41">
        <v>48899</v>
      </c>
      <c r="AN238" s="41">
        <v>49023</v>
      </c>
      <c r="AO238" s="41">
        <v>49157</v>
      </c>
      <c r="AP238" s="41">
        <v>49275</v>
      </c>
      <c r="AQ238" s="41">
        <v>49371</v>
      </c>
      <c r="AR238" s="41">
        <v>49454</v>
      </c>
      <c r="AS238" s="41">
        <v>49531</v>
      </c>
      <c r="AT238" s="41">
        <v>49603</v>
      </c>
      <c r="AU238" s="41">
        <v>49673</v>
      </c>
      <c r="AV238" s="41">
        <v>49740</v>
      </c>
      <c r="AW238" s="41">
        <v>49812</v>
      </c>
      <c r="AX238" s="41">
        <v>49864</v>
      </c>
      <c r="AY238" s="41">
        <v>49905</v>
      </c>
    </row>
    <row r="239" spans="1:51">
      <c r="A239" s="38" t="s">
        <v>594</v>
      </c>
      <c r="B239" s="38" t="s">
        <v>595</v>
      </c>
      <c r="C239" s="41">
        <v>41749</v>
      </c>
      <c r="D239" s="41">
        <v>42105</v>
      </c>
      <c r="E239" s="41">
        <v>42213</v>
      </c>
      <c r="F239" s="41">
        <v>42702</v>
      </c>
      <c r="G239" s="41">
        <v>43319</v>
      </c>
      <c r="H239" s="41">
        <v>43761</v>
      </c>
      <c r="I239" s="41">
        <v>44330</v>
      </c>
      <c r="J239" s="41">
        <v>44926</v>
      </c>
      <c r="K239" s="41">
        <v>45515</v>
      </c>
      <c r="L239" s="41">
        <v>46246</v>
      </c>
      <c r="M239" s="41">
        <v>46694</v>
      </c>
      <c r="N239" s="41">
        <v>47451</v>
      </c>
      <c r="O239" s="41">
        <v>48120</v>
      </c>
      <c r="P239" s="41">
        <v>48622</v>
      </c>
      <c r="Q239" s="41">
        <v>49130</v>
      </c>
      <c r="R239" s="41">
        <v>49607</v>
      </c>
      <c r="S239" s="41">
        <v>50045</v>
      </c>
      <c r="T239" s="41">
        <v>50742</v>
      </c>
      <c r="U239" s="41">
        <v>51439</v>
      </c>
      <c r="V239" s="41">
        <v>52247</v>
      </c>
      <c r="W239" s="41">
        <v>53028</v>
      </c>
      <c r="X239" s="41">
        <v>53749</v>
      </c>
      <c r="Y239" s="41">
        <v>54388</v>
      </c>
      <c r="Z239" s="41">
        <v>55174</v>
      </c>
      <c r="AA239" s="41">
        <v>55904</v>
      </c>
      <c r="AB239" s="41">
        <v>56660</v>
      </c>
      <c r="AC239" s="41">
        <v>57441</v>
      </c>
      <c r="AD239" s="41">
        <v>58214</v>
      </c>
      <c r="AE239" s="41">
        <v>58992</v>
      </c>
      <c r="AF239" s="41">
        <v>59724</v>
      </c>
      <c r="AG239" s="41">
        <v>60439</v>
      </c>
      <c r="AH239" s="41">
        <v>61163</v>
      </c>
      <c r="AI239" s="41">
        <v>61867</v>
      </c>
      <c r="AJ239" s="41">
        <v>62571</v>
      </c>
      <c r="AK239" s="41">
        <v>63252</v>
      </c>
      <c r="AL239" s="41">
        <v>63923</v>
      </c>
      <c r="AM239" s="41">
        <v>64607</v>
      </c>
      <c r="AN239" s="41">
        <v>65254</v>
      </c>
      <c r="AO239" s="41">
        <v>65900</v>
      </c>
      <c r="AP239" s="41">
        <v>66523</v>
      </c>
      <c r="AQ239" s="41">
        <v>67138</v>
      </c>
      <c r="AR239" s="41">
        <v>67729</v>
      </c>
      <c r="AS239" s="41">
        <v>68305</v>
      </c>
      <c r="AT239" s="41">
        <v>68863</v>
      </c>
      <c r="AU239" s="41">
        <v>69407</v>
      </c>
      <c r="AV239" s="41">
        <v>69938</v>
      </c>
      <c r="AW239" s="41">
        <v>70453</v>
      </c>
      <c r="AX239" s="41">
        <v>70949</v>
      </c>
      <c r="AY239" s="41">
        <v>71438</v>
      </c>
    </row>
    <row r="240" spans="1:51">
      <c r="A240" s="38" t="s">
        <v>596</v>
      </c>
      <c r="B240" s="38" t="s">
        <v>597</v>
      </c>
      <c r="C240" s="41">
        <v>26887</v>
      </c>
      <c r="D240" s="41">
        <v>27390</v>
      </c>
      <c r="E240" s="41">
        <v>27576</v>
      </c>
      <c r="F240" s="41">
        <v>28078</v>
      </c>
      <c r="G240" s="41">
        <v>28595</v>
      </c>
      <c r="H240" s="41">
        <v>29137</v>
      </c>
      <c r="I240" s="41">
        <v>29865</v>
      </c>
      <c r="J240" s="41">
        <v>30151</v>
      </c>
      <c r="K240" s="41">
        <v>30825</v>
      </c>
      <c r="L240" s="41">
        <v>31282</v>
      </c>
      <c r="M240" s="41">
        <v>31796</v>
      </c>
      <c r="N240" s="41">
        <v>32541</v>
      </c>
      <c r="O240" s="41">
        <v>32966</v>
      </c>
      <c r="P240" s="41">
        <v>33399</v>
      </c>
      <c r="Q240" s="41">
        <v>34135</v>
      </c>
      <c r="R240" s="41">
        <v>34435</v>
      </c>
      <c r="S240" s="41">
        <v>34649</v>
      </c>
      <c r="T240" s="41">
        <v>34654</v>
      </c>
      <c r="U240" s="41">
        <v>34715</v>
      </c>
      <c r="V240" s="41">
        <v>34832</v>
      </c>
      <c r="W240" s="41">
        <v>34826</v>
      </c>
      <c r="X240" s="41">
        <v>35240</v>
      </c>
      <c r="Y240" s="41">
        <v>35568</v>
      </c>
      <c r="Z240" s="41">
        <v>36062</v>
      </c>
      <c r="AA240" s="41">
        <v>36404</v>
      </c>
      <c r="AB240" s="41">
        <v>36782</v>
      </c>
      <c r="AC240" s="41">
        <v>37172</v>
      </c>
      <c r="AD240" s="41">
        <v>37554</v>
      </c>
      <c r="AE240" s="41">
        <v>37947</v>
      </c>
      <c r="AF240" s="41">
        <v>38321</v>
      </c>
      <c r="AG240" s="41">
        <v>38688</v>
      </c>
      <c r="AH240" s="41">
        <v>39058</v>
      </c>
      <c r="AI240" s="41">
        <v>39429</v>
      </c>
      <c r="AJ240" s="41">
        <v>39812</v>
      </c>
      <c r="AK240" s="41">
        <v>40178</v>
      </c>
      <c r="AL240" s="41">
        <v>40540</v>
      </c>
      <c r="AM240" s="41">
        <v>40907</v>
      </c>
      <c r="AN240" s="41">
        <v>41274</v>
      </c>
      <c r="AO240" s="41">
        <v>41636</v>
      </c>
      <c r="AP240" s="41">
        <v>41983</v>
      </c>
      <c r="AQ240" s="41">
        <v>42322</v>
      </c>
      <c r="AR240" s="41">
        <v>42658</v>
      </c>
      <c r="AS240" s="41">
        <v>42993</v>
      </c>
      <c r="AT240" s="41">
        <v>43320</v>
      </c>
      <c r="AU240" s="41">
        <v>43638</v>
      </c>
      <c r="AV240" s="41">
        <v>43962</v>
      </c>
      <c r="AW240" s="41">
        <v>44281</v>
      </c>
      <c r="AX240" s="41">
        <v>44587</v>
      </c>
      <c r="AY240" s="41">
        <v>44872</v>
      </c>
    </row>
    <row r="241" spans="1:51">
      <c r="A241" s="38" t="s">
        <v>598</v>
      </c>
      <c r="B241" s="38" t="s">
        <v>599</v>
      </c>
      <c r="C241" s="41">
        <v>46601</v>
      </c>
      <c r="D241" s="41">
        <v>47301</v>
      </c>
      <c r="E241" s="41">
        <v>47655</v>
      </c>
      <c r="F241" s="41">
        <v>47817</v>
      </c>
      <c r="G241" s="41">
        <v>48493</v>
      </c>
      <c r="H241" s="41">
        <v>49126</v>
      </c>
      <c r="I241" s="41">
        <v>49733</v>
      </c>
      <c r="J241" s="41">
        <v>50432</v>
      </c>
      <c r="K241" s="41">
        <v>51200</v>
      </c>
      <c r="L241" s="41">
        <v>51592</v>
      </c>
      <c r="M241" s="41">
        <v>52160</v>
      </c>
      <c r="N241" s="41">
        <v>52296</v>
      </c>
      <c r="O241" s="41">
        <v>52251</v>
      </c>
      <c r="P241" s="41">
        <v>52381</v>
      </c>
      <c r="Q241" s="41">
        <v>52610</v>
      </c>
      <c r="R241" s="41">
        <v>52790</v>
      </c>
      <c r="S241" s="41">
        <v>53105</v>
      </c>
      <c r="T241" s="41">
        <v>53530</v>
      </c>
      <c r="U241" s="41">
        <v>53898</v>
      </c>
      <c r="V241" s="41">
        <v>54052</v>
      </c>
      <c r="W241" s="41">
        <v>54395</v>
      </c>
      <c r="X241" s="41">
        <v>54849</v>
      </c>
      <c r="Y241" s="41">
        <v>55131</v>
      </c>
      <c r="Z241" s="41">
        <v>55721</v>
      </c>
      <c r="AA241" s="41">
        <v>56108</v>
      </c>
      <c r="AB241" s="41">
        <v>56520</v>
      </c>
      <c r="AC241" s="41">
        <v>56925</v>
      </c>
      <c r="AD241" s="41">
        <v>57361</v>
      </c>
      <c r="AE241" s="41">
        <v>57819</v>
      </c>
      <c r="AF241" s="41">
        <v>58246</v>
      </c>
      <c r="AG241" s="41">
        <v>58666</v>
      </c>
      <c r="AH241" s="41">
        <v>59088</v>
      </c>
      <c r="AI241" s="41">
        <v>59509</v>
      </c>
      <c r="AJ241" s="41">
        <v>59934</v>
      </c>
      <c r="AK241" s="41">
        <v>60344</v>
      </c>
      <c r="AL241" s="41">
        <v>60763</v>
      </c>
      <c r="AM241" s="41">
        <v>61167</v>
      </c>
      <c r="AN241" s="41">
        <v>61564</v>
      </c>
      <c r="AO241" s="41">
        <v>61968</v>
      </c>
      <c r="AP241" s="41">
        <v>62369</v>
      </c>
      <c r="AQ241" s="41">
        <v>62787</v>
      </c>
      <c r="AR241" s="41">
        <v>63179</v>
      </c>
      <c r="AS241" s="41">
        <v>63570</v>
      </c>
      <c r="AT241" s="41">
        <v>63962</v>
      </c>
      <c r="AU241" s="41">
        <v>64352</v>
      </c>
      <c r="AV241" s="41">
        <v>64749</v>
      </c>
      <c r="AW241" s="41">
        <v>65139</v>
      </c>
      <c r="AX241" s="41">
        <v>65506</v>
      </c>
      <c r="AY241" s="41">
        <v>65857</v>
      </c>
    </row>
    <row r="242" spans="1:51">
      <c r="A242" s="38" t="s">
        <v>600</v>
      </c>
      <c r="B242" s="38" t="s">
        <v>601</v>
      </c>
      <c r="C242" s="41">
        <v>39630</v>
      </c>
      <c r="D242" s="41">
        <v>39785</v>
      </c>
      <c r="E242" s="41">
        <v>40249</v>
      </c>
      <c r="F242" s="41">
        <v>40548</v>
      </c>
      <c r="G242" s="41">
        <v>40706</v>
      </c>
      <c r="H242" s="41">
        <v>40951</v>
      </c>
      <c r="I242" s="41">
        <v>41272</v>
      </c>
      <c r="J242" s="41">
        <v>41536</v>
      </c>
      <c r="K242" s="41">
        <v>42029</v>
      </c>
      <c r="L242" s="41">
        <v>42470</v>
      </c>
      <c r="M242" s="41">
        <v>42768</v>
      </c>
      <c r="N242" s="41">
        <v>43107</v>
      </c>
      <c r="O242" s="41">
        <v>43538</v>
      </c>
      <c r="P242" s="41">
        <v>43848</v>
      </c>
      <c r="Q242" s="41">
        <v>44150</v>
      </c>
      <c r="R242" s="41">
        <v>44574</v>
      </c>
      <c r="S242" s="41">
        <v>44905</v>
      </c>
      <c r="T242" s="41">
        <v>45345</v>
      </c>
      <c r="U242" s="41">
        <v>45660</v>
      </c>
      <c r="V242" s="41">
        <v>45893</v>
      </c>
      <c r="W242" s="41">
        <v>46134</v>
      </c>
      <c r="X242" s="41">
        <v>46283</v>
      </c>
      <c r="Y242" s="41">
        <v>46428</v>
      </c>
      <c r="Z242" s="41">
        <v>46704</v>
      </c>
      <c r="AA242" s="41">
        <v>46882</v>
      </c>
      <c r="AB242" s="41">
        <v>47099</v>
      </c>
      <c r="AC242" s="41">
        <v>47329</v>
      </c>
      <c r="AD242" s="41">
        <v>47564</v>
      </c>
      <c r="AE242" s="41">
        <v>47790</v>
      </c>
      <c r="AF242" s="41">
        <v>47995</v>
      </c>
      <c r="AG242" s="41">
        <v>48196</v>
      </c>
      <c r="AH242" s="41">
        <v>48394</v>
      </c>
      <c r="AI242" s="41">
        <v>48572</v>
      </c>
      <c r="AJ242" s="41">
        <v>48756</v>
      </c>
      <c r="AK242" s="41">
        <v>48918</v>
      </c>
      <c r="AL242" s="41">
        <v>49091</v>
      </c>
      <c r="AM242" s="41">
        <v>49260</v>
      </c>
      <c r="AN242" s="41">
        <v>49409</v>
      </c>
      <c r="AO242" s="41">
        <v>49569</v>
      </c>
      <c r="AP242" s="41">
        <v>49712</v>
      </c>
      <c r="AQ242" s="41">
        <v>49868</v>
      </c>
      <c r="AR242" s="41">
        <v>50008</v>
      </c>
      <c r="AS242" s="41">
        <v>50138</v>
      </c>
      <c r="AT242" s="41">
        <v>50266</v>
      </c>
      <c r="AU242" s="41">
        <v>50377</v>
      </c>
      <c r="AV242" s="41">
        <v>50494</v>
      </c>
      <c r="AW242" s="41">
        <v>50601</v>
      </c>
      <c r="AX242" s="41">
        <v>50693</v>
      </c>
      <c r="AY242" s="41">
        <v>50775</v>
      </c>
    </row>
    <row r="243" spans="1:51">
      <c r="A243" s="38" t="s">
        <v>602</v>
      </c>
      <c r="B243" s="38" t="s">
        <v>603</v>
      </c>
      <c r="C243" s="41">
        <v>57860</v>
      </c>
      <c r="D243" s="41">
        <v>58695</v>
      </c>
      <c r="E243" s="41">
        <v>59164</v>
      </c>
      <c r="F243" s="41">
        <v>60170</v>
      </c>
      <c r="G243" s="41">
        <v>61020</v>
      </c>
      <c r="H243" s="41">
        <v>61203</v>
      </c>
      <c r="I243" s="41">
        <v>61698</v>
      </c>
      <c r="J243" s="41">
        <v>62101</v>
      </c>
      <c r="K243" s="41">
        <v>63013</v>
      </c>
      <c r="L243" s="41">
        <v>63480</v>
      </c>
      <c r="M243" s="41">
        <v>63904</v>
      </c>
      <c r="N243" s="41">
        <v>64508</v>
      </c>
      <c r="O243" s="41">
        <v>65268</v>
      </c>
      <c r="P243" s="41">
        <v>66047</v>
      </c>
      <c r="Q243" s="41">
        <v>66737</v>
      </c>
      <c r="R243" s="41">
        <v>67384</v>
      </c>
      <c r="S243" s="41">
        <v>68122</v>
      </c>
      <c r="T243" s="41">
        <v>68822</v>
      </c>
      <c r="U243" s="41">
        <v>69117</v>
      </c>
      <c r="V243" s="41">
        <v>69323</v>
      </c>
      <c r="W243" s="41">
        <v>69883</v>
      </c>
      <c r="X243" s="41">
        <v>70518</v>
      </c>
      <c r="Y243" s="41">
        <v>71105</v>
      </c>
      <c r="Z243" s="41">
        <v>71585</v>
      </c>
      <c r="AA243" s="41">
        <v>72143</v>
      </c>
      <c r="AB243" s="41">
        <v>72712</v>
      </c>
      <c r="AC243" s="41">
        <v>73322</v>
      </c>
      <c r="AD243" s="41">
        <v>73953</v>
      </c>
      <c r="AE243" s="41">
        <v>74559</v>
      </c>
      <c r="AF243" s="41">
        <v>75160</v>
      </c>
      <c r="AG243" s="41">
        <v>75727</v>
      </c>
      <c r="AH243" s="41">
        <v>76315</v>
      </c>
      <c r="AI243" s="41">
        <v>76904</v>
      </c>
      <c r="AJ243" s="41">
        <v>77472</v>
      </c>
      <c r="AK243" s="41">
        <v>78044</v>
      </c>
      <c r="AL243" s="41">
        <v>78601</v>
      </c>
      <c r="AM243" s="41">
        <v>79156</v>
      </c>
      <c r="AN243" s="41">
        <v>79711</v>
      </c>
      <c r="AO243" s="41">
        <v>80234</v>
      </c>
      <c r="AP243" s="41">
        <v>80765</v>
      </c>
      <c r="AQ243" s="41">
        <v>81274</v>
      </c>
      <c r="AR243" s="41">
        <v>81763</v>
      </c>
      <c r="AS243" s="41">
        <v>82239</v>
      </c>
      <c r="AT243" s="41">
        <v>82693</v>
      </c>
      <c r="AU243" s="41">
        <v>83133</v>
      </c>
      <c r="AV243" s="41">
        <v>83578</v>
      </c>
      <c r="AW243" s="41">
        <v>84020</v>
      </c>
      <c r="AX243" s="41">
        <v>84437</v>
      </c>
      <c r="AY243" s="41">
        <v>84824</v>
      </c>
    </row>
    <row r="244" spans="1:51">
      <c r="A244" s="38" t="s">
        <v>604</v>
      </c>
      <c r="B244" s="38" t="s">
        <v>605</v>
      </c>
      <c r="C244" s="41">
        <v>39661</v>
      </c>
      <c r="D244" s="41">
        <v>39863</v>
      </c>
      <c r="E244" s="41">
        <v>40089</v>
      </c>
      <c r="F244" s="41">
        <v>40395</v>
      </c>
      <c r="G244" s="41">
        <v>40803</v>
      </c>
      <c r="H244" s="41">
        <v>40922</v>
      </c>
      <c r="I244" s="41">
        <v>41288</v>
      </c>
      <c r="J244" s="41">
        <v>41384</v>
      </c>
      <c r="K244" s="41">
        <v>41526</v>
      </c>
      <c r="L244" s="41">
        <v>41735</v>
      </c>
      <c r="M244" s="41">
        <v>42072</v>
      </c>
      <c r="N244" s="41">
        <v>42311</v>
      </c>
      <c r="O244" s="41">
        <v>42533</v>
      </c>
      <c r="P244" s="41">
        <v>42782</v>
      </c>
      <c r="Q244" s="41">
        <v>43020</v>
      </c>
      <c r="R244" s="41">
        <v>43244</v>
      </c>
      <c r="S244" s="41">
        <v>43485</v>
      </c>
      <c r="T244" s="41">
        <v>43783</v>
      </c>
      <c r="U244" s="41">
        <v>43965</v>
      </c>
      <c r="V244" s="41">
        <v>44270</v>
      </c>
      <c r="W244" s="41">
        <v>44533</v>
      </c>
      <c r="X244" s="41">
        <v>44716</v>
      </c>
      <c r="Y244" s="41">
        <v>45831</v>
      </c>
      <c r="Z244" s="41">
        <v>46173</v>
      </c>
      <c r="AA244" s="41">
        <v>46409</v>
      </c>
      <c r="AB244" s="41">
        <v>46676</v>
      </c>
      <c r="AC244" s="41">
        <v>46937</v>
      </c>
      <c r="AD244" s="41">
        <v>47203</v>
      </c>
      <c r="AE244" s="41">
        <v>47476</v>
      </c>
      <c r="AF244" s="41">
        <v>47740</v>
      </c>
      <c r="AG244" s="41">
        <v>47972</v>
      </c>
      <c r="AH244" s="41">
        <v>48188</v>
      </c>
      <c r="AI244" s="41">
        <v>48409</v>
      </c>
      <c r="AJ244" s="41">
        <v>48621</v>
      </c>
      <c r="AK244" s="41">
        <v>48832</v>
      </c>
      <c r="AL244" s="41">
        <v>49031</v>
      </c>
      <c r="AM244" s="41">
        <v>49217</v>
      </c>
      <c r="AN244" s="41">
        <v>49393</v>
      </c>
      <c r="AO244" s="41">
        <v>49569</v>
      </c>
      <c r="AP244" s="41">
        <v>49752</v>
      </c>
      <c r="AQ244" s="41">
        <v>49926</v>
      </c>
      <c r="AR244" s="41">
        <v>50076</v>
      </c>
      <c r="AS244" s="41">
        <v>50217</v>
      </c>
      <c r="AT244" s="41">
        <v>50348</v>
      </c>
      <c r="AU244" s="41">
        <v>50478</v>
      </c>
      <c r="AV244" s="41">
        <v>50610</v>
      </c>
      <c r="AW244" s="41">
        <v>50745</v>
      </c>
      <c r="AX244" s="41">
        <v>50863</v>
      </c>
      <c r="AY244" s="41">
        <v>50972</v>
      </c>
    </row>
    <row r="245" spans="1:51">
      <c r="A245" s="38" t="s">
        <v>606</v>
      </c>
      <c r="B245" s="38" t="s">
        <v>607</v>
      </c>
      <c r="C245" s="41">
        <v>65120</v>
      </c>
      <c r="D245" s="41">
        <v>65258</v>
      </c>
      <c r="E245" s="41">
        <v>65359</v>
      </c>
      <c r="F245" s="41">
        <v>65410</v>
      </c>
      <c r="G245" s="41">
        <v>65721</v>
      </c>
      <c r="H245" s="41">
        <v>65959</v>
      </c>
      <c r="I245" s="41">
        <v>66011</v>
      </c>
      <c r="J245" s="41">
        <v>65998</v>
      </c>
      <c r="K245" s="41">
        <v>65792</v>
      </c>
      <c r="L245" s="41">
        <v>65882</v>
      </c>
      <c r="M245" s="41">
        <v>66126</v>
      </c>
      <c r="N245" s="41">
        <v>66232</v>
      </c>
      <c r="O245" s="41">
        <v>66161</v>
      </c>
      <c r="P245" s="41">
        <v>66038</v>
      </c>
      <c r="Q245" s="41">
        <v>66071</v>
      </c>
      <c r="R245" s="41">
        <v>66070</v>
      </c>
      <c r="S245" s="41">
        <v>66213</v>
      </c>
      <c r="T245" s="41">
        <v>66432</v>
      </c>
      <c r="U245" s="41">
        <v>66700</v>
      </c>
      <c r="V245" s="41">
        <v>66989</v>
      </c>
      <c r="W245" s="41">
        <v>67186</v>
      </c>
      <c r="X245" s="41">
        <v>67570</v>
      </c>
      <c r="Y245" s="41">
        <v>67758</v>
      </c>
      <c r="Z245" s="41">
        <v>68068</v>
      </c>
      <c r="AA245" s="41">
        <v>68355</v>
      </c>
      <c r="AB245" s="41">
        <v>68716</v>
      </c>
      <c r="AC245" s="41">
        <v>69080</v>
      </c>
      <c r="AD245" s="41">
        <v>69432</v>
      </c>
      <c r="AE245" s="41">
        <v>69768</v>
      </c>
      <c r="AF245" s="41">
        <v>70096</v>
      </c>
      <c r="AG245" s="41">
        <v>70438</v>
      </c>
      <c r="AH245" s="41">
        <v>70754</v>
      </c>
      <c r="AI245" s="41">
        <v>71074</v>
      </c>
      <c r="AJ245" s="41">
        <v>71379</v>
      </c>
      <c r="AK245" s="41">
        <v>71678</v>
      </c>
      <c r="AL245" s="41">
        <v>72001</v>
      </c>
      <c r="AM245" s="41">
        <v>72312</v>
      </c>
      <c r="AN245" s="41">
        <v>72630</v>
      </c>
      <c r="AO245" s="41">
        <v>72918</v>
      </c>
      <c r="AP245" s="41">
        <v>73199</v>
      </c>
      <c r="AQ245" s="41">
        <v>73473</v>
      </c>
      <c r="AR245" s="41">
        <v>73735</v>
      </c>
      <c r="AS245" s="41">
        <v>73989</v>
      </c>
      <c r="AT245" s="41">
        <v>74249</v>
      </c>
      <c r="AU245" s="41">
        <v>74481</v>
      </c>
      <c r="AV245" s="41">
        <v>74713</v>
      </c>
      <c r="AW245" s="41">
        <v>74941</v>
      </c>
      <c r="AX245" s="41">
        <v>75146</v>
      </c>
      <c r="AY245" s="41">
        <v>75337</v>
      </c>
    </row>
    <row r="246" spans="1:51">
      <c r="A246" s="38" t="s">
        <v>608</v>
      </c>
      <c r="B246" s="38" t="s">
        <v>609</v>
      </c>
      <c r="C246" s="41">
        <v>83583</v>
      </c>
      <c r="D246" s="41">
        <v>84134</v>
      </c>
      <c r="E246" s="41">
        <v>84822</v>
      </c>
      <c r="F246" s="41">
        <v>85660</v>
      </c>
      <c r="G246" s="41">
        <v>86568</v>
      </c>
      <c r="H246" s="41">
        <v>87494</v>
      </c>
      <c r="I246" s="41">
        <v>87995</v>
      </c>
      <c r="J246" s="41">
        <v>89208</v>
      </c>
      <c r="K246" s="41">
        <v>88996</v>
      </c>
      <c r="L246" s="41">
        <v>89718</v>
      </c>
      <c r="M246" s="41">
        <v>91147</v>
      </c>
      <c r="N246" s="41">
        <v>91972</v>
      </c>
      <c r="O246" s="41">
        <v>92710</v>
      </c>
      <c r="P246" s="41">
        <v>93399</v>
      </c>
      <c r="Q246" s="41">
        <v>94878</v>
      </c>
      <c r="R246" s="41">
        <v>94944</v>
      </c>
      <c r="S246" s="41">
        <v>95273</v>
      </c>
      <c r="T246" s="41">
        <v>95665</v>
      </c>
      <c r="U246" s="41">
        <v>96096</v>
      </c>
      <c r="V246" s="41">
        <v>97066</v>
      </c>
      <c r="W246" s="41">
        <v>97704</v>
      </c>
      <c r="X246" s="41">
        <v>98576</v>
      </c>
      <c r="Y246" s="41">
        <v>99897</v>
      </c>
      <c r="Z246" s="41">
        <v>101130</v>
      </c>
      <c r="AA246" s="41">
        <v>102225</v>
      </c>
      <c r="AB246" s="41">
        <v>103301</v>
      </c>
      <c r="AC246" s="41">
        <v>104317</v>
      </c>
      <c r="AD246" s="41">
        <v>105205</v>
      </c>
      <c r="AE246" s="41">
        <v>105986</v>
      </c>
      <c r="AF246" s="41">
        <v>106758</v>
      </c>
      <c r="AG246" s="41">
        <v>107484</v>
      </c>
      <c r="AH246" s="41">
        <v>108203</v>
      </c>
      <c r="AI246" s="41">
        <v>108959</v>
      </c>
      <c r="AJ246" s="41">
        <v>109756</v>
      </c>
      <c r="AK246" s="41">
        <v>110601</v>
      </c>
      <c r="AL246" s="41">
        <v>111508</v>
      </c>
      <c r="AM246" s="41">
        <v>112444</v>
      </c>
      <c r="AN246" s="41">
        <v>113410</v>
      </c>
      <c r="AO246" s="41">
        <v>114341</v>
      </c>
      <c r="AP246" s="41">
        <v>115271</v>
      </c>
      <c r="AQ246" s="41">
        <v>116249</v>
      </c>
      <c r="AR246" s="41">
        <v>117225</v>
      </c>
      <c r="AS246" s="41">
        <v>118111</v>
      </c>
      <c r="AT246" s="41">
        <v>118920</v>
      </c>
      <c r="AU246" s="41">
        <v>119720</v>
      </c>
      <c r="AV246" s="41">
        <v>120543</v>
      </c>
      <c r="AW246" s="41">
        <v>121366</v>
      </c>
      <c r="AX246" s="41">
        <v>122158</v>
      </c>
      <c r="AY246" s="41">
        <v>122910</v>
      </c>
    </row>
    <row r="247" spans="1:51">
      <c r="A247" s="38" t="s">
        <v>610</v>
      </c>
      <c r="B247" s="38" t="s">
        <v>611</v>
      </c>
      <c r="C247" s="41">
        <v>68152</v>
      </c>
      <c r="D247" s="41">
        <v>68882</v>
      </c>
      <c r="E247" s="41">
        <v>69551</v>
      </c>
      <c r="F247" s="41">
        <v>70188</v>
      </c>
      <c r="G247" s="41">
        <v>70453</v>
      </c>
      <c r="H247" s="41">
        <v>70543</v>
      </c>
      <c r="I247" s="41">
        <v>71461</v>
      </c>
      <c r="J247" s="41">
        <v>71160</v>
      </c>
      <c r="K247" s="41">
        <v>71257</v>
      </c>
      <c r="L247" s="41">
        <v>71163</v>
      </c>
      <c r="M247" s="41">
        <v>71041</v>
      </c>
      <c r="N247" s="41">
        <v>71091</v>
      </c>
      <c r="O247" s="41">
        <v>71020</v>
      </c>
      <c r="P247" s="41">
        <v>70886</v>
      </c>
      <c r="Q247" s="41">
        <v>71289</v>
      </c>
      <c r="R247" s="41">
        <v>71602</v>
      </c>
      <c r="S247" s="41">
        <v>71962</v>
      </c>
      <c r="T247" s="41">
        <v>72940</v>
      </c>
      <c r="U247" s="41">
        <v>73522</v>
      </c>
      <c r="V247" s="41">
        <v>74289</v>
      </c>
      <c r="W247" s="41">
        <v>74958</v>
      </c>
      <c r="X247" s="41">
        <v>75372</v>
      </c>
      <c r="Y247" s="41">
        <v>75914</v>
      </c>
      <c r="Z247" s="41">
        <v>76881</v>
      </c>
      <c r="AA247" s="41">
        <v>77627</v>
      </c>
      <c r="AB247" s="41">
        <v>78426</v>
      </c>
      <c r="AC247" s="41">
        <v>79270</v>
      </c>
      <c r="AD247" s="41">
        <v>80113</v>
      </c>
      <c r="AE247" s="41">
        <v>80980</v>
      </c>
      <c r="AF247" s="41">
        <v>81835</v>
      </c>
      <c r="AG247" s="41">
        <v>82668</v>
      </c>
      <c r="AH247" s="41">
        <v>83522</v>
      </c>
      <c r="AI247" s="41">
        <v>84361</v>
      </c>
      <c r="AJ247" s="41">
        <v>85218</v>
      </c>
      <c r="AK247" s="41">
        <v>86059</v>
      </c>
      <c r="AL247" s="41">
        <v>86893</v>
      </c>
      <c r="AM247" s="41">
        <v>87738</v>
      </c>
      <c r="AN247" s="41">
        <v>88589</v>
      </c>
      <c r="AO247" s="41">
        <v>89439</v>
      </c>
      <c r="AP247" s="41">
        <v>90268</v>
      </c>
      <c r="AQ247" s="41">
        <v>91100</v>
      </c>
      <c r="AR247" s="41">
        <v>91927</v>
      </c>
      <c r="AS247" s="41">
        <v>92758</v>
      </c>
      <c r="AT247" s="41">
        <v>93595</v>
      </c>
      <c r="AU247" s="41">
        <v>94399</v>
      </c>
      <c r="AV247" s="41">
        <v>95211</v>
      </c>
      <c r="AW247" s="41">
        <v>96034</v>
      </c>
      <c r="AX247" s="41">
        <v>96846</v>
      </c>
      <c r="AY247" s="41">
        <v>97649</v>
      </c>
    </row>
    <row r="248" spans="1:51">
      <c r="A248" s="38" t="s">
        <v>612</v>
      </c>
      <c r="B248" s="38" t="s">
        <v>613</v>
      </c>
      <c r="C248" s="41">
        <v>96560</v>
      </c>
      <c r="D248" s="41">
        <v>96845</v>
      </c>
      <c r="E248" s="41">
        <v>97856</v>
      </c>
      <c r="F248" s="41">
        <v>97618</v>
      </c>
      <c r="G248" s="41">
        <v>99295</v>
      </c>
      <c r="H248" s="41">
        <v>99205</v>
      </c>
      <c r="I248" s="41">
        <v>99885</v>
      </c>
      <c r="J248" s="41">
        <v>101250</v>
      </c>
      <c r="K248" s="41">
        <v>104029</v>
      </c>
      <c r="L248" s="41">
        <v>106680</v>
      </c>
      <c r="M248" s="41">
        <v>109204</v>
      </c>
      <c r="N248" s="41">
        <v>109166</v>
      </c>
      <c r="O248" s="41">
        <v>108738</v>
      </c>
      <c r="P248" s="41">
        <v>109262</v>
      </c>
      <c r="Q248" s="41">
        <v>111032</v>
      </c>
      <c r="R248" s="41">
        <v>113099</v>
      </c>
      <c r="S248" s="41">
        <v>114682</v>
      </c>
      <c r="T248" s="41">
        <v>116432</v>
      </c>
      <c r="U248" s="41">
        <v>118041</v>
      </c>
      <c r="V248" s="41">
        <v>119034</v>
      </c>
      <c r="W248" s="41">
        <v>120621</v>
      </c>
      <c r="X248" s="41">
        <v>123049</v>
      </c>
      <c r="Y248" s="41">
        <v>125359</v>
      </c>
      <c r="Z248" s="41">
        <v>127764</v>
      </c>
      <c r="AA248" s="41">
        <v>130767</v>
      </c>
      <c r="AB248" s="41">
        <v>133464</v>
      </c>
      <c r="AC248" s="41">
        <v>135972</v>
      </c>
      <c r="AD248" s="41">
        <v>138398</v>
      </c>
      <c r="AE248" s="41">
        <v>140742</v>
      </c>
      <c r="AF248" s="41">
        <v>143000</v>
      </c>
      <c r="AG248" s="41">
        <v>145189</v>
      </c>
      <c r="AH248" s="41">
        <v>147306</v>
      </c>
      <c r="AI248" s="41">
        <v>149385</v>
      </c>
      <c r="AJ248" s="41">
        <v>151436</v>
      </c>
      <c r="AK248" s="41">
        <v>153483</v>
      </c>
      <c r="AL248" s="41">
        <v>155526</v>
      </c>
      <c r="AM248" s="41">
        <v>157534</v>
      </c>
      <c r="AN248" s="41">
        <v>159513</v>
      </c>
      <c r="AO248" s="41">
        <v>161459</v>
      </c>
      <c r="AP248" s="41">
        <v>163386</v>
      </c>
      <c r="AQ248" s="41">
        <v>165328</v>
      </c>
      <c r="AR248" s="41">
        <v>167258</v>
      </c>
      <c r="AS248" s="41">
        <v>169119</v>
      </c>
      <c r="AT248" s="41">
        <v>170941</v>
      </c>
      <c r="AU248" s="41">
        <v>172739</v>
      </c>
      <c r="AV248" s="41">
        <v>174530</v>
      </c>
      <c r="AW248" s="41">
        <v>176299</v>
      </c>
      <c r="AX248" s="41">
        <v>178029</v>
      </c>
      <c r="AY248" s="41">
        <v>179711</v>
      </c>
    </row>
    <row r="249" spans="1:51">
      <c r="A249" s="38" t="s">
        <v>614</v>
      </c>
      <c r="B249" s="38" t="s">
        <v>615</v>
      </c>
      <c r="C249" s="41">
        <v>35950</v>
      </c>
      <c r="D249" s="41">
        <v>36431</v>
      </c>
      <c r="E249" s="41">
        <v>36665</v>
      </c>
      <c r="F249" s="41">
        <v>37000</v>
      </c>
      <c r="G249" s="41">
        <v>37216</v>
      </c>
      <c r="H249" s="41">
        <v>37424</v>
      </c>
      <c r="I249" s="41">
        <v>37626</v>
      </c>
      <c r="J249" s="41">
        <v>37699</v>
      </c>
      <c r="K249" s="41">
        <v>38162</v>
      </c>
      <c r="L249" s="41">
        <v>38250</v>
      </c>
      <c r="M249" s="41">
        <v>38380</v>
      </c>
      <c r="N249" s="41">
        <v>38266</v>
      </c>
      <c r="O249" s="41">
        <v>38151</v>
      </c>
      <c r="P249" s="41">
        <v>38048</v>
      </c>
      <c r="Q249" s="41">
        <v>38082</v>
      </c>
      <c r="R249" s="41">
        <v>38247</v>
      </c>
      <c r="S249" s="41">
        <v>38506</v>
      </c>
      <c r="T249" s="41">
        <v>38845</v>
      </c>
      <c r="U249" s="41">
        <v>39104</v>
      </c>
      <c r="V249" s="41">
        <v>39340</v>
      </c>
      <c r="W249" s="41">
        <v>39610</v>
      </c>
      <c r="X249" s="41">
        <v>40050</v>
      </c>
      <c r="Y249" s="41">
        <v>40329</v>
      </c>
      <c r="Z249" s="41">
        <v>40626</v>
      </c>
      <c r="AA249" s="41">
        <v>41014</v>
      </c>
      <c r="AB249" s="41">
        <v>41415</v>
      </c>
      <c r="AC249" s="41">
        <v>41826</v>
      </c>
      <c r="AD249" s="41">
        <v>42235</v>
      </c>
      <c r="AE249" s="41">
        <v>42654</v>
      </c>
      <c r="AF249" s="41">
        <v>43087</v>
      </c>
      <c r="AG249" s="41">
        <v>43510</v>
      </c>
      <c r="AH249" s="41">
        <v>43925</v>
      </c>
      <c r="AI249" s="41">
        <v>44348</v>
      </c>
      <c r="AJ249" s="41">
        <v>44769</v>
      </c>
      <c r="AK249" s="41">
        <v>45201</v>
      </c>
      <c r="AL249" s="41">
        <v>45631</v>
      </c>
      <c r="AM249" s="41">
        <v>46063</v>
      </c>
      <c r="AN249" s="41">
        <v>46510</v>
      </c>
      <c r="AO249" s="41">
        <v>46963</v>
      </c>
      <c r="AP249" s="41">
        <v>47416</v>
      </c>
      <c r="AQ249" s="41">
        <v>47875</v>
      </c>
      <c r="AR249" s="41">
        <v>48340</v>
      </c>
      <c r="AS249" s="41">
        <v>48811</v>
      </c>
      <c r="AT249" s="41">
        <v>49274</v>
      </c>
      <c r="AU249" s="41">
        <v>49736</v>
      </c>
      <c r="AV249" s="41">
        <v>50200</v>
      </c>
      <c r="AW249" s="41">
        <v>50672</v>
      </c>
      <c r="AX249" s="41">
        <v>51139</v>
      </c>
      <c r="AY249" s="41">
        <v>51590</v>
      </c>
    </row>
    <row r="250" spans="1:51">
      <c r="A250" s="38" t="s">
        <v>616</v>
      </c>
      <c r="B250" s="38" t="s">
        <v>617</v>
      </c>
      <c r="C250" s="41">
        <v>49049</v>
      </c>
      <c r="D250" s="41">
        <v>49208</v>
      </c>
      <c r="E250" s="41">
        <v>49505</v>
      </c>
      <c r="F250" s="41">
        <v>49887</v>
      </c>
      <c r="G250" s="41">
        <v>50221</v>
      </c>
      <c r="H250" s="41">
        <v>50570</v>
      </c>
      <c r="I250" s="41">
        <v>50707</v>
      </c>
      <c r="J250" s="41">
        <v>50878</v>
      </c>
      <c r="K250" s="41">
        <v>51765</v>
      </c>
      <c r="L250" s="41">
        <v>52307</v>
      </c>
      <c r="M250" s="41">
        <v>52792</v>
      </c>
      <c r="N250" s="41">
        <v>53163</v>
      </c>
      <c r="O250" s="41">
        <v>53408</v>
      </c>
      <c r="P250" s="41">
        <v>53319</v>
      </c>
      <c r="Q250" s="41">
        <v>53565</v>
      </c>
      <c r="R250" s="41">
        <v>53903</v>
      </c>
      <c r="S250" s="41">
        <v>54228</v>
      </c>
      <c r="T250" s="41">
        <v>54822</v>
      </c>
      <c r="U250" s="41">
        <v>55427</v>
      </c>
      <c r="V250" s="41">
        <v>55910</v>
      </c>
      <c r="W250" s="41">
        <v>56350</v>
      </c>
      <c r="X250" s="41">
        <v>56683</v>
      </c>
      <c r="Y250" s="41">
        <v>57157</v>
      </c>
      <c r="Z250" s="41">
        <v>57805</v>
      </c>
      <c r="AA250" s="41">
        <v>58408</v>
      </c>
      <c r="AB250" s="41">
        <v>59043</v>
      </c>
      <c r="AC250" s="41">
        <v>59703</v>
      </c>
      <c r="AD250" s="41">
        <v>60383</v>
      </c>
      <c r="AE250" s="41">
        <v>61063</v>
      </c>
      <c r="AF250" s="41">
        <v>61719</v>
      </c>
      <c r="AG250" s="41">
        <v>62367</v>
      </c>
      <c r="AH250" s="41">
        <v>63008</v>
      </c>
      <c r="AI250" s="41">
        <v>63651</v>
      </c>
      <c r="AJ250" s="41">
        <v>64294</v>
      </c>
      <c r="AK250" s="41">
        <v>64923</v>
      </c>
      <c r="AL250" s="41">
        <v>65565</v>
      </c>
      <c r="AM250" s="41">
        <v>66197</v>
      </c>
      <c r="AN250" s="41">
        <v>66827</v>
      </c>
      <c r="AO250" s="41">
        <v>67462</v>
      </c>
      <c r="AP250" s="41">
        <v>68097</v>
      </c>
      <c r="AQ250" s="41">
        <v>68738</v>
      </c>
      <c r="AR250" s="41">
        <v>69367</v>
      </c>
      <c r="AS250" s="41">
        <v>69990</v>
      </c>
      <c r="AT250" s="41">
        <v>70612</v>
      </c>
      <c r="AU250" s="41">
        <v>71226</v>
      </c>
      <c r="AV250" s="41">
        <v>71848</v>
      </c>
      <c r="AW250" s="41">
        <v>72471</v>
      </c>
      <c r="AX250" s="41">
        <v>73076</v>
      </c>
      <c r="AY250" s="41">
        <v>73666</v>
      </c>
    </row>
    <row r="251" spans="1:51">
      <c r="A251" s="38" t="s">
        <v>618</v>
      </c>
      <c r="B251" s="38" t="s">
        <v>619</v>
      </c>
      <c r="C251" s="41">
        <v>70683</v>
      </c>
      <c r="D251" s="41">
        <v>70932</v>
      </c>
      <c r="E251" s="41">
        <v>70913</v>
      </c>
      <c r="F251" s="41">
        <v>71339</v>
      </c>
      <c r="G251" s="41">
        <v>71392</v>
      </c>
      <c r="H251" s="41">
        <v>71576</v>
      </c>
      <c r="I251" s="41">
        <v>71682</v>
      </c>
      <c r="J251" s="41">
        <v>71736</v>
      </c>
      <c r="K251" s="41">
        <v>71966</v>
      </c>
      <c r="L251" s="41">
        <v>72313</v>
      </c>
      <c r="M251" s="41">
        <v>72542</v>
      </c>
      <c r="N251" s="41">
        <v>72720</v>
      </c>
      <c r="O251" s="41">
        <v>73062</v>
      </c>
      <c r="P251" s="41">
        <v>73342</v>
      </c>
      <c r="Q251" s="41">
        <v>73549</v>
      </c>
      <c r="R251" s="41">
        <v>73807</v>
      </c>
      <c r="S251" s="41">
        <v>74045</v>
      </c>
      <c r="T251" s="41">
        <v>74485</v>
      </c>
      <c r="U251" s="41">
        <v>74848</v>
      </c>
      <c r="V251" s="41">
        <v>75245</v>
      </c>
      <c r="W251" s="41">
        <v>75755</v>
      </c>
      <c r="X251" s="41">
        <v>76357</v>
      </c>
      <c r="Y251" s="41">
        <v>76681</v>
      </c>
      <c r="Z251" s="41">
        <v>77170</v>
      </c>
      <c r="AA251" s="41">
        <v>77603</v>
      </c>
      <c r="AB251" s="41">
        <v>78156</v>
      </c>
      <c r="AC251" s="41">
        <v>78700</v>
      </c>
      <c r="AD251" s="41">
        <v>79227</v>
      </c>
      <c r="AE251" s="41">
        <v>79723</v>
      </c>
      <c r="AF251" s="41">
        <v>80208</v>
      </c>
      <c r="AG251" s="41">
        <v>80705</v>
      </c>
      <c r="AH251" s="41">
        <v>81158</v>
      </c>
      <c r="AI251" s="41">
        <v>81597</v>
      </c>
      <c r="AJ251" s="41">
        <v>82026</v>
      </c>
      <c r="AK251" s="41">
        <v>82423</v>
      </c>
      <c r="AL251" s="41">
        <v>82841</v>
      </c>
      <c r="AM251" s="41">
        <v>83238</v>
      </c>
      <c r="AN251" s="41">
        <v>83612</v>
      </c>
      <c r="AO251" s="41">
        <v>83977</v>
      </c>
      <c r="AP251" s="41">
        <v>84320</v>
      </c>
      <c r="AQ251" s="41">
        <v>84662</v>
      </c>
      <c r="AR251" s="41">
        <v>84983</v>
      </c>
      <c r="AS251" s="41">
        <v>85278</v>
      </c>
      <c r="AT251" s="41">
        <v>85582</v>
      </c>
      <c r="AU251" s="41">
        <v>85857</v>
      </c>
      <c r="AV251" s="41">
        <v>86150</v>
      </c>
      <c r="AW251" s="41">
        <v>86425</v>
      </c>
      <c r="AX251" s="41">
        <v>86693</v>
      </c>
      <c r="AY251" s="41">
        <v>86952</v>
      </c>
    </row>
    <row r="252" spans="1:51">
      <c r="A252" s="38" t="s">
        <v>620</v>
      </c>
      <c r="B252" s="38" t="s">
        <v>621</v>
      </c>
      <c r="C252" s="41">
        <v>46586</v>
      </c>
      <c r="D252" s="41">
        <v>46981</v>
      </c>
      <c r="E252" s="41">
        <v>47395</v>
      </c>
      <c r="F252" s="41">
        <v>47737</v>
      </c>
      <c r="G252" s="41">
        <v>48163</v>
      </c>
      <c r="H252" s="41">
        <v>48656</v>
      </c>
      <c r="I252" s="41">
        <v>49333</v>
      </c>
      <c r="J252" s="41">
        <v>49570</v>
      </c>
      <c r="K252" s="41">
        <v>49605</v>
      </c>
      <c r="L252" s="41">
        <v>49852</v>
      </c>
      <c r="M252" s="41">
        <v>50106</v>
      </c>
      <c r="N252" s="41">
        <v>50551</v>
      </c>
      <c r="O252" s="41">
        <v>51198</v>
      </c>
      <c r="P252" s="41">
        <v>51756</v>
      </c>
      <c r="Q252" s="41">
        <v>52338</v>
      </c>
      <c r="R252" s="41">
        <v>53000</v>
      </c>
      <c r="S252" s="41">
        <v>53631</v>
      </c>
      <c r="T252" s="41">
        <v>54318</v>
      </c>
      <c r="U252" s="41">
        <v>54804</v>
      </c>
      <c r="V252" s="41">
        <v>55280</v>
      </c>
      <c r="W252" s="41">
        <v>55743</v>
      </c>
      <c r="X252" s="41">
        <v>56177</v>
      </c>
      <c r="Y252" s="41">
        <v>56553</v>
      </c>
      <c r="Z252" s="41">
        <v>56881</v>
      </c>
      <c r="AA252" s="41">
        <v>57228</v>
      </c>
      <c r="AB252" s="41">
        <v>57651</v>
      </c>
      <c r="AC252" s="41">
        <v>58066</v>
      </c>
      <c r="AD252" s="41">
        <v>58483</v>
      </c>
      <c r="AE252" s="41">
        <v>58860</v>
      </c>
      <c r="AF252" s="41">
        <v>59207</v>
      </c>
      <c r="AG252" s="41">
        <v>59564</v>
      </c>
      <c r="AH252" s="41">
        <v>59907</v>
      </c>
      <c r="AI252" s="41">
        <v>60264</v>
      </c>
      <c r="AJ252" s="41">
        <v>60625</v>
      </c>
      <c r="AK252" s="41">
        <v>60954</v>
      </c>
      <c r="AL252" s="41">
        <v>61289</v>
      </c>
      <c r="AM252" s="41">
        <v>61600</v>
      </c>
      <c r="AN252" s="41">
        <v>61917</v>
      </c>
      <c r="AO252" s="41">
        <v>62228</v>
      </c>
      <c r="AP252" s="41">
        <v>62513</v>
      </c>
      <c r="AQ252" s="41">
        <v>62802</v>
      </c>
      <c r="AR252" s="41">
        <v>63077</v>
      </c>
      <c r="AS252" s="41">
        <v>63351</v>
      </c>
      <c r="AT252" s="41">
        <v>63593</v>
      </c>
      <c r="AU252" s="41">
        <v>63813</v>
      </c>
      <c r="AV252" s="41">
        <v>64029</v>
      </c>
      <c r="AW252" s="41">
        <v>64236</v>
      </c>
      <c r="AX252" s="41">
        <v>64433</v>
      </c>
      <c r="AY252" s="41">
        <v>64615</v>
      </c>
    </row>
    <row r="253" spans="1:51">
      <c r="A253" s="38" t="s">
        <v>622</v>
      </c>
      <c r="B253" s="38" t="s">
        <v>623</v>
      </c>
      <c r="C253" s="41">
        <v>37277</v>
      </c>
      <c r="D253" s="41">
        <v>37357</v>
      </c>
      <c r="E253" s="41">
        <v>37435</v>
      </c>
      <c r="F253" s="41">
        <v>37392</v>
      </c>
      <c r="G253" s="41">
        <v>37507</v>
      </c>
      <c r="H253" s="41">
        <v>37611</v>
      </c>
      <c r="I253" s="41">
        <v>37803</v>
      </c>
      <c r="J253" s="41">
        <v>37972</v>
      </c>
      <c r="K253" s="41">
        <v>38129</v>
      </c>
      <c r="L253" s="41">
        <v>38490</v>
      </c>
      <c r="M253" s="41">
        <v>38875</v>
      </c>
      <c r="N253" s="41">
        <v>39292</v>
      </c>
      <c r="O253" s="41">
        <v>39484</v>
      </c>
      <c r="P253" s="41">
        <v>39714</v>
      </c>
      <c r="Q253" s="41">
        <v>40026</v>
      </c>
      <c r="R253" s="41">
        <v>40377</v>
      </c>
      <c r="S253" s="41">
        <v>40740</v>
      </c>
      <c r="T253" s="41">
        <v>41091</v>
      </c>
      <c r="U253" s="41">
        <v>41315</v>
      </c>
      <c r="V253" s="41">
        <v>41518</v>
      </c>
      <c r="W253" s="41">
        <v>41817</v>
      </c>
      <c r="X253" s="41">
        <v>41968</v>
      </c>
      <c r="Y253" s="41">
        <v>42097</v>
      </c>
      <c r="Z253" s="41">
        <v>42335</v>
      </c>
      <c r="AA253" s="41">
        <v>42464</v>
      </c>
      <c r="AB253" s="41">
        <v>42654</v>
      </c>
      <c r="AC253" s="41">
        <v>42816</v>
      </c>
      <c r="AD253" s="41">
        <v>42976</v>
      </c>
      <c r="AE253" s="41">
        <v>43148</v>
      </c>
      <c r="AF253" s="41">
        <v>43324</v>
      </c>
      <c r="AG253" s="41">
        <v>43508</v>
      </c>
      <c r="AH253" s="41">
        <v>43685</v>
      </c>
      <c r="AI253" s="41">
        <v>43848</v>
      </c>
      <c r="AJ253" s="41">
        <v>44022</v>
      </c>
      <c r="AK253" s="41">
        <v>44191</v>
      </c>
      <c r="AL253" s="41">
        <v>44369</v>
      </c>
      <c r="AM253" s="41">
        <v>44544</v>
      </c>
      <c r="AN253" s="41">
        <v>44693</v>
      </c>
      <c r="AO253" s="41">
        <v>44835</v>
      </c>
      <c r="AP253" s="41">
        <v>44983</v>
      </c>
      <c r="AQ253" s="41">
        <v>45114</v>
      </c>
      <c r="AR253" s="41">
        <v>45229</v>
      </c>
      <c r="AS253" s="41">
        <v>45331</v>
      </c>
      <c r="AT253" s="41">
        <v>45420</v>
      </c>
      <c r="AU253" s="41">
        <v>45504</v>
      </c>
      <c r="AV253" s="41">
        <v>45582</v>
      </c>
      <c r="AW253" s="41">
        <v>45645</v>
      </c>
      <c r="AX253" s="41">
        <v>45705</v>
      </c>
      <c r="AY253" s="41">
        <v>45755</v>
      </c>
    </row>
    <row r="254" spans="1:51">
      <c r="A254" s="38" t="s">
        <v>624</v>
      </c>
      <c r="B254" s="38" t="s">
        <v>625</v>
      </c>
      <c r="C254" s="41">
        <v>29716</v>
      </c>
      <c r="D254" s="41">
        <v>29720</v>
      </c>
      <c r="E254" s="41">
        <v>29835</v>
      </c>
      <c r="F254" s="41">
        <v>30053</v>
      </c>
      <c r="G254" s="41">
        <v>30264</v>
      </c>
      <c r="H254" s="41">
        <v>30646</v>
      </c>
      <c r="I254" s="41">
        <v>31237</v>
      </c>
      <c r="J254" s="41">
        <v>31422</v>
      </c>
      <c r="K254" s="41">
        <v>31933</v>
      </c>
      <c r="L254" s="41">
        <v>32348</v>
      </c>
      <c r="M254" s="41">
        <v>32790</v>
      </c>
      <c r="N254" s="41">
        <v>33017</v>
      </c>
      <c r="O254" s="41">
        <v>33165</v>
      </c>
      <c r="P254" s="41">
        <v>33031</v>
      </c>
      <c r="Q254" s="41">
        <v>33203</v>
      </c>
      <c r="R254" s="41">
        <v>33271</v>
      </c>
      <c r="S254" s="41">
        <v>33452</v>
      </c>
      <c r="T254" s="41">
        <v>33865</v>
      </c>
      <c r="U254" s="41">
        <v>34188</v>
      </c>
      <c r="V254" s="41">
        <v>34523</v>
      </c>
      <c r="W254" s="41">
        <v>35015</v>
      </c>
      <c r="X254" s="41">
        <v>35421</v>
      </c>
      <c r="Y254" s="41">
        <v>35828</v>
      </c>
      <c r="Z254" s="41">
        <v>36170</v>
      </c>
      <c r="AA254" s="41">
        <v>36588</v>
      </c>
      <c r="AB254" s="41">
        <v>36976</v>
      </c>
      <c r="AC254" s="41">
        <v>37340</v>
      </c>
      <c r="AD254" s="41">
        <v>37737</v>
      </c>
      <c r="AE254" s="41">
        <v>38107</v>
      </c>
      <c r="AF254" s="41">
        <v>38496</v>
      </c>
      <c r="AG254" s="41">
        <v>38853</v>
      </c>
      <c r="AH254" s="41">
        <v>39202</v>
      </c>
      <c r="AI254" s="41">
        <v>39565</v>
      </c>
      <c r="AJ254" s="41">
        <v>39911</v>
      </c>
      <c r="AK254" s="41">
        <v>40272</v>
      </c>
      <c r="AL254" s="41">
        <v>40628</v>
      </c>
      <c r="AM254" s="41">
        <v>40996</v>
      </c>
      <c r="AN254" s="41">
        <v>41371</v>
      </c>
      <c r="AO254" s="41">
        <v>41733</v>
      </c>
      <c r="AP254" s="41">
        <v>42116</v>
      </c>
      <c r="AQ254" s="41">
        <v>42506</v>
      </c>
      <c r="AR254" s="41">
        <v>42900</v>
      </c>
      <c r="AS254" s="41">
        <v>43291</v>
      </c>
      <c r="AT254" s="41">
        <v>43665</v>
      </c>
      <c r="AU254" s="41">
        <v>44060</v>
      </c>
      <c r="AV254" s="41">
        <v>44458</v>
      </c>
      <c r="AW254" s="41">
        <v>44854</v>
      </c>
      <c r="AX254" s="41">
        <v>45246</v>
      </c>
      <c r="AY254" s="41">
        <v>45618</v>
      </c>
    </row>
    <row r="255" spans="1:51">
      <c r="A255" s="38" t="s">
        <v>626</v>
      </c>
      <c r="B255" s="38" t="s">
        <v>627</v>
      </c>
      <c r="C255" s="41">
        <v>116589</v>
      </c>
      <c r="D255" s="41">
        <v>117103</v>
      </c>
      <c r="E255" s="41">
        <v>117501</v>
      </c>
      <c r="F255" s="41">
        <v>118133</v>
      </c>
      <c r="G255" s="41">
        <v>118599</v>
      </c>
      <c r="H255" s="41">
        <v>119044</v>
      </c>
      <c r="I255" s="41">
        <v>119325</v>
      </c>
      <c r="J255" s="41">
        <v>119698</v>
      </c>
      <c r="K255" s="41">
        <v>120060</v>
      </c>
      <c r="L255" s="41">
        <v>119971</v>
      </c>
      <c r="M255" s="41">
        <v>120530</v>
      </c>
      <c r="N255" s="41">
        <v>120348</v>
      </c>
      <c r="O255" s="41">
        <v>120408</v>
      </c>
      <c r="P255" s="41">
        <v>120336</v>
      </c>
      <c r="Q255" s="41">
        <v>120103</v>
      </c>
      <c r="R255" s="41">
        <v>120107</v>
      </c>
      <c r="S255" s="41">
        <v>120400</v>
      </c>
      <c r="T255" s="41">
        <v>120815</v>
      </c>
      <c r="U255" s="41">
        <v>121239</v>
      </c>
      <c r="V255" s="41">
        <v>121594</v>
      </c>
      <c r="W255" s="41">
        <v>121929</v>
      </c>
      <c r="X255" s="41">
        <v>122569</v>
      </c>
      <c r="Y255" s="41">
        <v>123232</v>
      </c>
      <c r="Z255" s="41">
        <v>124181</v>
      </c>
      <c r="AA255" s="41">
        <v>125019</v>
      </c>
      <c r="AB255" s="41">
        <v>125949</v>
      </c>
      <c r="AC255" s="41">
        <v>126905</v>
      </c>
      <c r="AD255" s="41">
        <v>127799</v>
      </c>
      <c r="AE255" s="41">
        <v>128715</v>
      </c>
      <c r="AF255" s="41">
        <v>129648</v>
      </c>
      <c r="AG255" s="41">
        <v>130550</v>
      </c>
      <c r="AH255" s="41">
        <v>131465</v>
      </c>
      <c r="AI255" s="41">
        <v>132322</v>
      </c>
      <c r="AJ255" s="41">
        <v>133172</v>
      </c>
      <c r="AK255" s="41">
        <v>134057</v>
      </c>
      <c r="AL255" s="41">
        <v>134947</v>
      </c>
      <c r="AM255" s="41">
        <v>135855</v>
      </c>
      <c r="AN255" s="41">
        <v>136694</v>
      </c>
      <c r="AO255" s="41">
        <v>137535</v>
      </c>
      <c r="AP255" s="41">
        <v>138390</v>
      </c>
      <c r="AQ255" s="41">
        <v>139238</v>
      </c>
      <c r="AR255" s="41">
        <v>140084</v>
      </c>
      <c r="AS255" s="41">
        <v>140888</v>
      </c>
      <c r="AT255" s="41">
        <v>141668</v>
      </c>
      <c r="AU255" s="41">
        <v>142439</v>
      </c>
      <c r="AV255" s="41">
        <v>143203</v>
      </c>
      <c r="AW255" s="41">
        <v>143975</v>
      </c>
      <c r="AX255" s="41">
        <v>144699</v>
      </c>
      <c r="AY255" s="41">
        <v>145399</v>
      </c>
    </row>
    <row r="256" spans="1:51">
      <c r="A256" s="38" t="s">
        <v>628</v>
      </c>
      <c r="B256" s="38" t="s">
        <v>629</v>
      </c>
      <c r="C256" s="41">
        <v>68087</v>
      </c>
      <c r="D256" s="41">
        <v>68694</v>
      </c>
      <c r="E256" s="41">
        <v>69261</v>
      </c>
      <c r="F256" s="41">
        <v>69639</v>
      </c>
      <c r="G256" s="41">
        <v>70019</v>
      </c>
      <c r="H256" s="41">
        <v>70704</v>
      </c>
      <c r="I256" s="41">
        <v>71221</v>
      </c>
      <c r="J256" s="41">
        <v>72034</v>
      </c>
      <c r="K256" s="41">
        <v>72753</v>
      </c>
      <c r="L256" s="41">
        <v>73751</v>
      </c>
      <c r="M256" s="41">
        <v>74638</v>
      </c>
      <c r="N256" s="41">
        <v>75295</v>
      </c>
      <c r="O256" s="41">
        <v>75843</v>
      </c>
      <c r="P256" s="41">
        <v>76004</v>
      </c>
      <c r="Q256" s="41">
        <v>76567</v>
      </c>
      <c r="R256" s="41">
        <v>76956</v>
      </c>
      <c r="S256" s="41">
        <v>77325</v>
      </c>
      <c r="T256" s="41">
        <v>77805</v>
      </c>
      <c r="U256" s="41">
        <v>78212</v>
      </c>
      <c r="V256" s="41">
        <v>78770</v>
      </c>
      <c r="W256" s="41">
        <v>79218</v>
      </c>
      <c r="X256" s="41">
        <v>79749</v>
      </c>
      <c r="Y256" s="41">
        <v>80257</v>
      </c>
      <c r="Z256" s="41">
        <v>80810</v>
      </c>
      <c r="AA256" s="41">
        <v>81386</v>
      </c>
      <c r="AB256" s="41">
        <v>81979</v>
      </c>
      <c r="AC256" s="41">
        <v>82601</v>
      </c>
      <c r="AD256" s="41">
        <v>83159</v>
      </c>
      <c r="AE256" s="41">
        <v>83706</v>
      </c>
      <c r="AF256" s="41">
        <v>84240</v>
      </c>
      <c r="AG256" s="41">
        <v>84730</v>
      </c>
      <c r="AH256" s="41">
        <v>85215</v>
      </c>
      <c r="AI256" s="41">
        <v>85668</v>
      </c>
      <c r="AJ256" s="41">
        <v>86109</v>
      </c>
      <c r="AK256" s="41">
        <v>86546</v>
      </c>
      <c r="AL256" s="41">
        <v>86993</v>
      </c>
      <c r="AM256" s="41">
        <v>87441</v>
      </c>
      <c r="AN256" s="41">
        <v>87877</v>
      </c>
      <c r="AO256" s="41">
        <v>88274</v>
      </c>
      <c r="AP256" s="41">
        <v>88679</v>
      </c>
      <c r="AQ256" s="41">
        <v>89091</v>
      </c>
      <c r="AR256" s="41">
        <v>89465</v>
      </c>
      <c r="AS256" s="41">
        <v>89845</v>
      </c>
      <c r="AT256" s="41">
        <v>90185</v>
      </c>
      <c r="AU256" s="41">
        <v>90528</v>
      </c>
      <c r="AV256" s="41">
        <v>90871</v>
      </c>
      <c r="AW256" s="41">
        <v>91191</v>
      </c>
      <c r="AX256" s="41">
        <v>91496</v>
      </c>
      <c r="AY256" s="41">
        <v>91768</v>
      </c>
    </row>
    <row r="257" spans="1:51">
      <c r="A257" s="38" t="s">
        <v>630</v>
      </c>
      <c r="B257" s="38" t="s">
        <v>631</v>
      </c>
      <c r="C257" s="41">
        <v>101546</v>
      </c>
      <c r="D257" s="41">
        <v>101889</v>
      </c>
      <c r="E257" s="41">
        <v>102292</v>
      </c>
      <c r="F257" s="41">
        <v>103023</v>
      </c>
      <c r="G257" s="41">
        <v>103298</v>
      </c>
      <c r="H257" s="41">
        <v>103572</v>
      </c>
      <c r="I257" s="41">
        <v>103297</v>
      </c>
      <c r="J257" s="41">
        <v>103063</v>
      </c>
      <c r="K257" s="41">
        <v>103028</v>
      </c>
      <c r="L257" s="41">
        <v>102823</v>
      </c>
      <c r="M257" s="41">
        <v>102858</v>
      </c>
      <c r="N257" s="41">
        <v>102983</v>
      </c>
      <c r="O257" s="41">
        <v>103193</v>
      </c>
      <c r="P257" s="41">
        <v>103617</v>
      </c>
      <c r="Q257" s="41">
        <v>104062</v>
      </c>
      <c r="R257" s="41">
        <v>104736</v>
      </c>
      <c r="S257" s="41">
        <v>105051</v>
      </c>
      <c r="T257" s="41">
        <v>105614</v>
      </c>
      <c r="U257" s="41">
        <v>105906</v>
      </c>
      <c r="V257" s="41">
        <v>106681</v>
      </c>
      <c r="W257" s="41">
        <v>107394</v>
      </c>
      <c r="X257" s="41">
        <v>107788</v>
      </c>
      <c r="Y257" s="41">
        <v>107958</v>
      </c>
      <c r="Z257" s="41">
        <v>108387</v>
      </c>
      <c r="AA257" s="41">
        <v>108802</v>
      </c>
      <c r="AB257" s="41">
        <v>109311</v>
      </c>
      <c r="AC257" s="41">
        <v>109849</v>
      </c>
      <c r="AD257" s="41">
        <v>110370</v>
      </c>
      <c r="AE257" s="41">
        <v>110839</v>
      </c>
      <c r="AF257" s="41">
        <v>111326</v>
      </c>
      <c r="AG257" s="41">
        <v>111760</v>
      </c>
      <c r="AH257" s="41">
        <v>112186</v>
      </c>
      <c r="AI257" s="41">
        <v>112640</v>
      </c>
      <c r="AJ257" s="41">
        <v>113103</v>
      </c>
      <c r="AK257" s="41">
        <v>113608</v>
      </c>
      <c r="AL257" s="41">
        <v>114117</v>
      </c>
      <c r="AM257" s="41">
        <v>114632</v>
      </c>
      <c r="AN257" s="41">
        <v>115179</v>
      </c>
      <c r="AO257" s="41">
        <v>115670</v>
      </c>
      <c r="AP257" s="41">
        <v>116170</v>
      </c>
      <c r="AQ257" s="41">
        <v>116673</v>
      </c>
      <c r="AR257" s="41">
        <v>117189</v>
      </c>
      <c r="AS257" s="41">
        <v>117682</v>
      </c>
      <c r="AT257" s="41">
        <v>118140</v>
      </c>
      <c r="AU257" s="41">
        <v>118578</v>
      </c>
      <c r="AV257" s="41">
        <v>119009</v>
      </c>
      <c r="AW257" s="41">
        <v>119435</v>
      </c>
      <c r="AX257" s="41">
        <v>119849</v>
      </c>
      <c r="AY257" s="41">
        <v>120239</v>
      </c>
    </row>
    <row r="258" spans="1:51">
      <c r="A258" s="38" t="s">
        <v>632</v>
      </c>
      <c r="B258" s="38" t="s">
        <v>633</v>
      </c>
      <c r="C258" s="41">
        <v>42541</v>
      </c>
      <c r="D258" s="41">
        <v>43195</v>
      </c>
      <c r="E258" s="41">
        <v>43805</v>
      </c>
      <c r="F258" s="41">
        <v>44286</v>
      </c>
      <c r="G258" s="41">
        <v>44742</v>
      </c>
      <c r="H258" s="41">
        <v>45079</v>
      </c>
      <c r="I258" s="41">
        <v>45789</v>
      </c>
      <c r="J258" s="41">
        <v>46324</v>
      </c>
      <c r="K258" s="41">
        <v>46427</v>
      </c>
      <c r="L258" s="41">
        <v>46810</v>
      </c>
      <c r="M258" s="41">
        <v>47272</v>
      </c>
      <c r="N258" s="41">
        <v>47619</v>
      </c>
      <c r="O258" s="41">
        <v>48061</v>
      </c>
      <c r="P258" s="41">
        <v>48343</v>
      </c>
      <c r="Q258" s="41">
        <v>48957</v>
      </c>
      <c r="R258" s="41">
        <v>49826</v>
      </c>
      <c r="S258" s="41">
        <v>50496</v>
      </c>
      <c r="T258" s="41">
        <v>51103</v>
      </c>
      <c r="U258" s="41">
        <v>51278</v>
      </c>
      <c r="V258" s="41">
        <v>51671</v>
      </c>
      <c r="W258" s="41">
        <v>52090</v>
      </c>
      <c r="X258" s="41">
        <v>52332</v>
      </c>
      <c r="Y258" s="41">
        <v>52528</v>
      </c>
      <c r="Z258" s="41">
        <v>52776</v>
      </c>
      <c r="AA258" s="41">
        <v>53226</v>
      </c>
      <c r="AB258" s="41">
        <v>53700</v>
      </c>
      <c r="AC258" s="41">
        <v>54172</v>
      </c>
      <c r="AD258" s="41">
        <v>54624</v>
      </c>
      <c r="AE258" s="41">
        <v>55084</v>
      </c>
      <c r="AF258" s="41">
        <v>55545</v>
      </c>
      <c r="AG258" s="41">
        <v>55997</v>
      </c>
      <c r="AH258" s="41">
        <v>56445</v>
      </c>
      <c r="AI258" s="41">
        <v>56864</v>
      </c>
      <c r="AJ258" s="41">
        <v>57300</v>
      </c>
      <c r="AK258" s="41">
        <v>57713</v>
      </c>
      <c r="AL258" s="41">
        <v>58127</v>
      </c>
      <c r="AM258" s="41">
        <v>58530</v>
      </c>
      <c r="AN258" s="41">
        <v>58916</v>
      </c>
      <c r="AO258" s="41">
        <v>59310</v>
      </c>
      <c r="AP258" s="41">
        <v>59693</v>
      </c>
      <c r="AQ258" s="41">
        <v>60075</v>
      </c>
      <c r="AR258" s="41">
        <v>60435</v>
      </c>
      <c r="AS258" s="41">
        <v>60784</v>
      </c>
      <c r="AT258" s="41">
        <v>61122</v>
      </c>
      <c r="AU258" s="41">
        <v>61444</v>
      </c>
      <c r="AV258" s="41">
        <v>61776</v>
      </c>
      <c r="AW258" s="41">
        <v>62105</v>
      </c>
      <c r="AX258" s="41">
        <v>62419</v>
      </c>
      <c r="AY258" s="41">
        <v>62720</v>
      </c>
    </row>
    <row r="259" spans="1:51">
      <c r="A259" s="38" t="s">
        <v>634</v>
      </c>
      <c r="B259" s="38" t="s">
        <v>635</v>
      </c>
      <c r="C259" s="41">
        <v>41411</v>
      </c>
      <c r="D259" s="41">
        <v>41937</v>
      </c>
      <c r="E259" s="41">
        <v>42093</v>
      </c>
      <c r="F259" s="41">
        <v>42499</v>
      </c>
      <c r="G259" s="41">
        <v>43070</v>
      </c>
      <c r="H259" s="41">
        <v>43458</v>
      </c>
      <c r="I259" s="41">
        <v>43810</v>
      </c>
      <c r="J259" s="41">
        <v>44066</v>
      </c>
      <c r="K259" s="41">
        <v>44214</v>
      </c>
      <c r="L259" s="41">
        <v>44459</v>
      </c>
      <c r="M259" s="41">
        <v>44672</v>
      </c>
      <c r="N259" s="41">
        <v>44900</v>
      </c>
      <c r="O259" s="41">
        <v>45221</v>
      </c>
      <c r="P259" s="41">
        <v>45589</v>
      </c>
      <c r="Q259" s="41">
        <v>45979</v>
      </c>
      <c r="R259" s="41">
        <v>46210</v>
      </c>
      <c r="S259" s="41">
        <v>46545</v>
      </c>
      <c r="T259" s="41">
        <v>46759</v>
      </c>
      <c r="U259" s="41">
        <v>47115</v>
      </c>
      <c r="V259" s="41">
        <v>47543</v>
      </c>
      <c r="W259" s="41">
        <v>47942</v>
      </c>
      <c r="X259" s="41">
        <v>48307</v>
      </c>
      <c r="Y259" s="41">
        <v>48702</v>
      </c>
      <c r="Z259" s="41">
        <v>49296</v>
      </c>
      <c r="AA259" s="41">
        <v>49763</v>
      </c>
      <c r="AB259" s="41">
        <v>50253</v>
      </c>
      <c r="AC259" s="41">
        <v>50732</v>
      </c>
      <c r="AD259" s="41">
        <v>51227</v>
      </c>
      <c r="AE259" s="41">
        <v>51756</v>
      </c>
      <c r="AF259" s="41">
        <v>52268</v>
      </c>
      <c r="AG259" s="41">
        <v>52769</v>
      </c>
      <c r="AH259" s="41">
        <v>53273</v>
      </c>
      <c r="AI259" s="41">
        <v>53772</v>
      </c>
      <c r="AJ259" s="41">
        <v>54287</v>
      </c>
      <c r="AK259" s="41">
        <v>54782</v>
      </c>
      <c r="AL259" s="41">
        <v>55276</v>
      </c>
      <c r="AM259" s="41">
        <v>55764</v>
      </c>
      <c r="AN259" s="41">
        <v>56237</v>
      </c>
      <c r="AO259" s="41">
        <v>56718</v>
      </c>
      <c r="AP259" s="41">
        <v>57181</v>
      </c>
      <c r="AQ259" s="41">
        <v>57647</v>
      </c>
      <c r="AR259" s="41">
        <v>58096</v>
      </c>
      <c r="AS259" s="41">
        <v>58517</v>
      </c>
      <c r="AT259" s="41">
        <v>58924</v>
      </c>
      <c r="AU259" s="41">
        <v>59314</v>
      </c>
      <c r="AV259" s="41">
        <v>59706</v>
      </c>
      <c r="AW259" s="41">
        <v>60091</v>
      </c>
      <c r="AX259" s="41">
        <v>60450</v>
      </c>
      <c r="AY259" s="41">
        <v>60794</v>
      </c>
    </row>
    <row r="260" spans="1:51">
      <c r="A260" s="38" t="s">
        <v>636</v>
      </c>
      <c r="B260" s="38" t="s">
        <v>637</v>
      </c>
      <c r="C260" s="41">
        <v>115889</v>
      </c>
      <c r="D260" s="41">
        <v>116485</v>
      </c>
      <c r="E260" s="41">
        <v>117200</v>
      </c>
      <c r="F260" s="41">
        <v>116881</v>
      </c>
      <c r="G260" s="41">
        <v>116809</v>
      </c>
      <c r="H260" s="41">
        <v>116891</v>
      </c>
      <c r="I260" s="41">
        <v>116920</v>
      </c>
      <c r="J260" s="41">
        <v>117302</v>
      </c>
      <c r="K260" s="41">
        <v>117190</v>
      </c>
      <c r="L260" s="41">
        <v>117491</v>
      </c>
      <c r="M260" s="41">
        <v>118017</v>
      </c>
      <c r="N260" s="41">
        <v>118030</v>
      </c>
      <c r="O260" s="41">
        <v>117956</v>
      </c>
      <c r="P260" s="41">
        <v>118154</v>
      </c>
      <c r="Q260" s="41">
        <v>118497</v>
      </c>
      <c r="R260" s="41">
        <v>118692</v>
      </c>
      <c r="S260" s="41">
        <v>118802</v>
      </c>
      <c r="T260" s="41">
        <v>118807</v>
      </c>
      <c r="U260" s="41">
        <v>119056</v>
      </c>
      <c r="V260" s="41">
        <v>119457</v>
      </c>
      <c r="W260" s="41">
        <v>119726</v>
      </c>
      <c r="X260" s="41">
        <v>120126</v>
      </c>
      <c r="Y260" s="41">
        <v>120621</v>
      </c>
      <c r="Z260" s="41">
        <v>121278</v>
      </c>
      <c r="AA260" s="41">
        <v>121842</v>
      </c>
      <c r="AB260" s="41">
        <v>122549</v>
      </c>
      <c r="AC260" s="41">
        <v>123214</v>
      </c>
      <c r="AD260" s="41">
        <v>123829</v>
      </c>
      <c r="AE260" s="41">
        <v>124438</v>
      </c>
      <c r="AF260" s="41">
        <v>125041</v>
      </c>
      <c r="AG260" s="41">
        <v>125647</v>
      </c>
      <c r="AH260" s="41">
        <v>126206</v>
      </c>
      <c r="AI260" s="41">
        <v>126719</v>
      </c>
      <c r="AJ260" s="41">
        <v>127236</v>
      </c>
      <c r="AK260" s="41">
        <v>127745</v>
      </c>
      <c r="AL260" s="41">
        <v>128297</v>
      </c>
      <c r="AM260" s="41">
        <v>128862</v>
      </c>
      <c r="AN260" s="41">
        <v>129372</v>
      </c>
      <c r="AO260" s="41">
        <v>129878</v>
      </c>
      <c r="AP260" s="41">
        <v>130354</v>
      </c>
      <c r="AQ260" s="41">
        <v>130847</v>
      </c>
      <c r="AR260" s="41">
        <v>131363</v>
      </c>
      <c r="AS260" s="41">
        <v>131805</v>
      </c>
      <c r="AT260" s="41">
        <v>132229</v>
      </c>
      <c r="AU260" s="41">
        <v>132618</v>
      </c>
      <c r="AV260" s="41">
        <v>133017</v>
      </c>
      <c r="AW260" s="41">
        <v>133434</v>
      </c>
      <c r="AX260" s="41">
        <v>133789</v>
      </c>
      <c r="AY260" s="41">
        <v>134091</v>
      </c>
    </row>
    <row r="261" spans="1:51">
      <c r="A261" s="38" t="s">
        <v>638</v>
      </c>
      <c r="B261" s="38" t="s">
        <v>639</v>
      </c>
      <c r="C261" s="41">
        <v>29801</v>
      </c>
      <c r="D261" s="41">
        <v>30242</v>
      </c>
      <c r="E261" s="41">
        <v>30479</v>
      </c>
      <c r="F261" s="41">
        <v>30763</v>
      </c>
      <c r="G261" s="41">
        <v>30804</v>
      </c>
      <c r="H261" s="41">
        <v>30836</v>
      </c>
      <c r="I261" s="41">
        <v>31167</v>
      </c>
      <c r="J261" s="41">
        <v>31270</v>
      </c>
      <c r="K261" s="41">
        <v>31878</v>
      </c>
      <c r="L261" s="41">
        <v>31825</v>
      </c>
      <c r="M261" s="41">
        <v>31779</v>
      </c>
      <c r="N261" s="41">
        <v>31670</v>
      </c>
      <c r="O261" s="41">
        <v>31810</v>
      </c>
      <c r="P261" s="41">
        <v>31925</v>
      </c>
      <c r="Q261" s="41">
        <v>32250</v>
      </c>
      <c r="R261" s="41">
        <v>32616</v>
      </c>
      <c r="S261" s="41">
        <v>32929</v>
      </c>
      <c r="T261" s="41">
        <v>32947</v>
      </c>
      <c r="U261" s="41">
        <v>33198</v>
      </c>
      <c r="V261" s="41">
        <v>33491</v>
      </c>
      <c r="W261" s="41">
        <v>33664</v>
      </c>
      <c r="X261" s="41">
        <v>33884</v>
      </c>
      <c r="Y261" s="41">
        <v>34152</v>
      </c>
      <c r="Z261" s="41">
        <v>34402</v>
      </c>
      <c r="AA261" s="41">
        <v>34671</v>
      </c>
      <c r="AB261" s="41">
        <v>34926</v>
      </c>
      <c r="AC261" s="41">
        <v>35204</v>
      </c>
      <c r="AD261" s="41">
        <v>35494</v>
      </c>
      <c r="AE261" s="41">
        <v>35753</v>
      </c>
      <c r="AF261" s="41">
        <v>36024</v>
      </c>
      <c r="AG261" s="41">
        <v>36259</v>
      </c>
      <c r="AH261" s="41">
        <v>36503</v>
      </c>
      <c r="AI261" s="41">
        <v>36743</v>
      </c>
      <c r="AJ261" s="41">
        <v>36976</v>
      </c>
      <c r="AK261" s="41">
        <v>37213</v>
      </c>
      <c r="AL261" s="41">
        <v>37438</v>
      </c>
      <c r="AM261" s="41">
        <v>37670</v>
      </c>
      <c r="AN261" s="41">
        <v>37897</v>
      </c>
      <c r="AO261" s="41">
        <v>38125</v>
      </c>
      <c r="AP261" s="41">
        <v>38364</v>
      </c>
      <c r="AQ261" s="41">
        <v>38593</v>
      </c>
      <c r="AR261" s="41">
        <v>38815</v>
      </c>
      <c r="AS261" s="41">
        <v>39037</v>
      </c>
      <c r="AT261" s="41">
        <v>39260</v>
      </c>
      <c r="AU261" s="41">
        <v>39492</v>
      </c>
      <c r="AV261" s="41">
        <v>39726</v>
      </c>
      <c r="AW261" s="41">
        <v>39959</v>
      </c>
      <c r="AX261" s="41">
        <v>40183</v>
      </c>
      <c r="AY261" s="41">
        <v>40395</v>
      </c>
    </row>
    <row r="262" spans="1:51">
      <c r="A262" s="38" t="s">
        <v>640</v>
      </c>
      <c r="B262" s="38" t="s">
        <v>641</v>
      </c>
      <c r="C262" s="41">
        <v>70239</v>
      </c>
      <c r="D262" s="41">
        <v>70702</v>
      </c>
      <c r="E262" s="41">
        <v>71397</v>
      </c>
      <c r="F262" s="41">
        <v>71581</v>
      </c>
      <c r="G262" s="41">
        <v>72106</v>
      </c>
      <c r="H262" s="41">
        <v>72732</v>
      </c>
      <c r="I262" s="41">
        <v>73320</v>
      </c>
      <c r="J262" s="41">
        <v>73717</v>
      </c>
      <c r="K262" s="41">
        <v>74959</v>
      </c>
      <c r="L262" s="41">
        <v>75736</v>
      </c>
      <c r="M262" s="41">
        <v>76466</v>
      </c>
      <c r="N262" s="41">
        <v>76472</v>
      </c>
      <c r="O262" s="41">
        <v>76437</v>
      </c>
      <c r="P262" s="41">
        <v>76232</v>
      </c>
      <c r="Q262" s="41">
        <v>76459</v>
      </c>
      <c r="R262" s="41">
        <v>76488</v>
      </c>
      <c r="S262" s="41">
        <v>76598</v>
      </c>
      <c r="T262" s="41">
        <v>77021</v>
      </c>
      <c r="U262" s="41">
        <v>77740</v>
      </c>
      <c r="V262" s="41">
        <v>78014</v>
      </c>
      <c r="W262" s="41">
        <v>78575</v>
      </c>
      <c r="X262" s="41">
        <v>79797</v>
      </c>
      <c r="Y262" s="41">
        <v>80870</v>
      </c>
      <c r="Z262" s="41">
        <v>81934</v>
      </c>
      <c r="AA262" s="41">
        <v>83187</v>
      </c>
      <c r="AB262" s="41">
        <v>84434</v>
      </c>
      <c r="AC262" s="41">
        <v>85719</v>
      </c>
      <c r="AD262" s="41">
        <v>87000</v>
      </c>
      <c r="AE262" s="41">
        <v>88283</v>
      </c>
      <c r="AF262" s="41">
        <v>89567</v>
      </c>
      <c r="AG262" s="41">
        <v>90828</v>
      </c>
      <c r="AH262" s="41">
        <v>92091</v>
      </c>
      <c r="AI262" s="41">
        <v>93347</v>
      </c>
      <c r="AJ262" s="41">
        <v>94603</v>
      </c>
      <c r="AK262" s="41">
        <v>95857</v>
      </c>
      <c r="AL262" s="41">
        <v>97104</v>
      </c>
      <c r="AM262" s="41">
        <v>98367</v>
      </c>
      <c r="AN262" s="41">
        <v>99607</v>
      </c>
      <c r="AO262" s="41">
        <v>100840</v>
      </c>
      <c r="AP262" s="41">
        <v>102079</v>
      </c>
      <c r="AQ262" s="41">
        <v>103308</v>
      </c>
      <c r="AR262" s="41">
        <v>104541</v>
      </c>
      <c r="AS262" s="41">
        <v>105749</v>
      </c>
      <c r="AT262" s="41">
        <v>106943</v>
      </c>
      <c r="AU262" s="41">
        <v>108151</v>
      </c>
      <c r="AV262" s="41">
        <v>109369</v>
      </c>
      <c r="AW262" s="41">
        <v>110615</v>
      </c>
      <c r="AX262" s="41">
        <v>111828</v>
      </c>
      <c r="AY262" s="41">
        <v>113016</v>
      </c>
    </row>
    <row r="263" spans="1:51">
      <c r="A263" s="38" t="s">
        <v>642</v>
      </c>
      <c r="B263" s="38" t="s">
        <v>643</v>
      </c>
      <c r="C263" s="41">
        <v>45318</v>
      </c>
      <c r="D263" s="41">
        <v>45524</v>
      </c>
      <c r="E263" s="41">
        <v>45759</v>
      </c>
      <c r="F263" s="41">
        <v>46089</v>
      </c>
      <c r="G263" s="41">
        <v>46600</v>
      </c>
      <c r="H263" s="41">
        <v>46720</v>
      </c>
      <c r="I263" s="41">
        <v>47259</v>
      </c>
      <c r="J263" s="41">
        <v>47626</v>
      </c>
      <c r="K263" s="41">
        <v>48068</v>
      </c>
      <c r="L263" s="41">
        <v>48793</v>
      </c>
      <c r="M263" s="41">
        <v>49368</v>
      </c>
      <c r="N263" s="41">
        <v>49893</v>
      </c>
      <c r="O263" s="41">
        <v>50500</v>
      </c>
      <c r="P263" s="41">
        <v>50858</v>
      </c>
      <c r="Q263" s="41">
        <v>51292</v>
      </c>
      <c r="R263" s="41">
        <v>51913</v>
      </c>
      <c r="S263" s="41">
        <v>52764</v>
      </c>
      <c r="T263" s="41">
        <v>53572</v>
      </c>
      <c r="U263" s="41">
        <v>54212</v>
      </c>
      <c r="V263" s="41">
        <v>55150</v>
      </c>
      <c r="W263" s="41">
        <v>55784</v>
      </c>
      <c r="X263" s="41">
        <v>56520</v>
      </c>
      <c r="Y263" s="41">
        <v>57171</v>
      </c>
      <c r="Z263" s="41">
        <v>57959</v>
      </c>
      <c r="AA263" s="41">
        <v>58837</v>
      </c>
      <c r="AB263" s="41">
        <v>59689</v>
      </c>
      <c r="AC263" s="41">
        <v>60565</v>
      </c>
      <c r="AD263" s="41">
        <v>61418</v>
      </c>
      <c r="AE263" s="41">
        <v>62263</v>
      </c>
      <c r="AF263" s="41">
        <v>63117</v>
      </c>
      <c r="AG263" s="41">
        <v>63931</v>
      </c>
      <c r="AH263" s="41">
        <v>64747</v>
      </c>
      <c r="AI263" s="41">
        <v>65534</v>
      </c>
      <c r="AJ263" s="41">
        <v>66323</v>
      </c>
      <c r="AK263" s="41">
        <v>67118</v>
      </c>
      <c r="AL263" s="41">
        <v>67910</v>
      </c>
      <c r="AM263" s="41">
        <v>68698</v>
      </c>
      <c r="AN263" s="41">
        <v>69466</v>
      </c>
      <c r="AO263" s="41">
        <v>70238</v>
      </c>
      <c r="AP263" s="41">
        <v>71014</v>
      </c>
      <c r="AQ263" s="41">
        <v>71793</v>
      </c>
      <c r="AR263" s="41">
        <v>72553</v>
      </c>
      <c r="AS263" s="41">
        <v>73297</v>
      </c>
      <c r="AT263" s="41">
        <v>74025</v>
      </c>
      <c r="AU263" s="41">
        <v>74741</v>
      </c>
      <c r="AV263" s="41">
        <v>75445</v>
      </c>
      <c r="AW263" s="41">
        <v>76140</v>
      </c>
      <c r="AX263" s="41">
        <v>76814</v>
      </c>
      <c r="AY263" s="41">
        <v>77475</v>
      </c>
    </row>
    <row r="264" spans="1:51">
      <c r="A264" s="38" t="s">
        <v>644</v>
      </c>
      <c r="B264" s="38" t="s">
        <v>645</v>
      </c>
      <c r="C264" s="41">
        <v>67812</v>
      </c>
      <c r="D264" s="41">
        <v>68481</v>
      </c>
      <c r="E264" s="41">
        <v>68930</v>
      </c>
      <c r="F264" s="41">
        <v>69278</v>
      </c>
      <c r="G264" s="41">
        <v>69822</v>
      </c>
      <c r="H264" s="41">
        <v>70458</v>
      </c>
      <c r="I264" s="41">
        <v>71773</v>
      </c>
      <c r="J264" s="41">
        <v>73097</v>
      </c>
      <c r="K264" s="41">
        <v>74037</v>
      </c>
      <c r="L264" s="41">
        <v>74630</v>
      </c>
      <c r="M264" s="41">
        <v>75296</v>
      </c>
      <c r="N264" s="41">
        <v>76301</v>
      </c>
      <c r="O264" s="41">
        <v>77313</v>
      </c>
      <c r="P264" s="41">
        <v>78263</v>
      </c>
      <c r="Q264" s="41">
        <v>79707</v>
      </c>
      <c r="R264" s="41">
        <v>80853</v>
      </c>
      <c r="S264" s="41">
        <v>82810</v>
      </c>
      <c r="T264" s="41">
        <v>84808</v>
      </c>
      <c r="U264" s="41">
        <v>86156</v>
      </c>
      <c r="V264" s="41">
        <v>87344</v>
      </c>
      <c r="W264" s="41">
        <v>88616</v>
      </c>
      <c r="X264" s="41">
        <v>89697</v>
      </c>
      <c r="Y264" s="41">
        <v>90700</v>
      </c>
      <c r="Z264" s="41">
        <v>91571</v>
      </c>
      <c r="AA264" s="41">
        <v>92575</v>
      </c>
      <c r="AB264" s="41">
        <v>93540</v>
      </c>
      <c r="AC264" s="41">
        <v>94492</v>
      </c>
      <c r="AD264" s="41">
        <v>95427</v>
      </c>
      <c r="AE264" s="41">
        <v>96368</v>
      </c>
      <c r="AF264" s="41">
        <v>97278</v>
      </c>
      <c r="AG264" s="41">
        <v>98166</v>
      </c>
      <c r="AH264" s="41">
        <v>99038</v>
      </c>
      <c r="AI264" s="41">
        <v>99894</v>
      </c>
      <c r="AJ264" s="41">
        <v>100730</v>
      </c>
      <c r="AK264" s="41">
        <v>101550</v>
      </c>
      <c r="AL264" s="41">
        <v>102384</v>
      </c>
      <c r="AM264" s="41">
        <v>103197</v>
      </c>
      <c r="AN264" s="41">
        <v>104039</v>
      </c>
      <c r="AO264" s="41">
        <v>104846</v>
      </c>
      <c r="AP264" s="41">
        <v>105665</v>
      </c>
      <c r="AQ264" s="41">
        <v>106505</v>
      </c>
      <c r="AR264" s="41">
        <v>107361</v>
      </c>
      <c r="AS264" s="41">
        <v>108205</v>
      </c>
      <c r="AT264" s="41">
        <v>109004</v>
      </c>
      <c r="AU264" s="41">
        <v>109785</v>
      </c>
      <c r="AV264" s="41">
        <v>110569</v>
      </c>
      <c r="AW264" s="41">
        <v>111362</v>
      </c>
      <c r="AX264" s="41">
        <v>112113</v>
      </c>
      <c r="AY264" s="41">
        <v>112802</v>
      </c>
    </row>
    <row r="265" spans="1:51">
      <c r="A265" s="38" t="s">
        <v>646</v>
      </c>
      <c r="B265" s="38" t="s">
        <v>647</v>
      </c>
      <c r="C265" s="41">
        <v>87659</v>
      </c>
      <c r="D265" s="41">
        <v>88234</v>
      </c>
      <c r="E265" s="41">
        <v>88594</v>
      </c>
      <c r="F265" s="41">
        <v>88954</v>
      </c>
      <c r="G265" s="41">
        <v>89192</v>
      </c>
      <c r="H265" s="41">
        <v>89164</v>
      </c>
      <c r="I265" s="41">
        <v>89716</v>
      </c>
      <c r="J265" s="41">
        <v>89611</v>
      </c>
      <c r="K265" s="41">
        <v>89312</v>
      </c>
      <c r="L265" s="41">
        <v>89442</v>
      </c>
      <c r="M265" s="41">
        <v>89938</v>
      </c>
      <c r="N265" s="41">
        <v>90182</v>
      </c>
      <c r="O265" s="41">
        <v>90541</v>
      </c>
      <c r="P265" s="41">
        <v>90864</v>
      </c>
      <c r="Q265" s="41">
        <v>91120</v>
      </c>
      <c r="R265" s="41">
        <v>91706</v>
      </c>
      <c r="S265" s="41">
        <v>92139</v>
      </c>
      <c r="T265" s="41">
        <v>92930</v>
      </c>
      <c r="U265" s="41">
        <v>93607</v>
      </c>
      <c r="V265" s="41">
        <v>94396</v>
      </c>
      <c r="W265" s="41">
        <v>95116</v>
      </c>
      <c r="X265" s="41">
        <v>95728</v>
      </c>
      <c r="Y265" s="41">
        <v>96041</v>
      </c>
      <c r="Z265" s="41">
        <v>96349</v>
      </c>
      <c r="AA265" s="41">
        <v>96856</v>
      </c>
      <c r="AB265" s="41">
        <v>97490</v>
      </c>
      <c r="AC265" s="41">
        <v>98179</v>
      </c>
      <c r="AD265" s="41">
        <v>98781</v>
      </c>
      <c r="AE265" s="41">
        <v>99393</v>
      </c>
      <c r="AF265" s="41">
        <v>99965</v>
      </c>
      <c r="AG265" s="41">
        <v>100583</v>
      </c>
      <c r="AH265" s="41">
        <v>101184</v>
      </c>
      <c r="AI265" s="41">
        <v>101729</v>
      </c>
      <c r="AJ265" s="41">
        <v>102287</v>
      </c>
      <c r="AK265" s="41">
        <v>102824</v>
      </c>
      <c r="AL265" s="41">
        <v>103412</v>
      </c>
      <c r="AM265" s="41">
        <v>103989</v>
      </c>
      <c r="AN265" s="41">
        <v>104547</v>
      </c>
      <c r="AO265" s="41">
        <v>105109</v>
      </c>
      <c r="AP265" s="41">
        <v>105670</v>
      </c>
      <c r="AQ265" s="41">
        <v>106263</v>
      </c>
      <c r="AR265" s="41">
        <v>106838</v>
      </c>
      <c r="AS265" s="41">
        <v>107398</v>
      </c>
      <c r="AT265" s="41">
        <v>107930</v>
      </c>
      <c r="AU265" s="41">
        <v>108449</v>
      </c>
      <c r="AV265" s="41">
        <v>108972</v>
      </c>
      <c r="AW265" s="41">
        <v>109480</v>
      </c>
      <c r="AX265" s="41">
        <v>109974</v>
      </c>
      <c r="AY265" s="41">
        <v>110434</v>
      </c>
    </row>
    <row r="266" spans="1:51">
      <c r="A266" s="38" t="s">
        <v>648</v>
      </c>
      <c r="B266" s="38" t="s">
        <v>649</v>
      </c>
      <c r="C266" s="41">
        <v>26120</v>
      </c>
      <c r="D266" s="41">
        <v>26396</v>
      </c>
      <c r="E266" s="41">
        <v>26808</v>
      </c>
      <c r="F266" s="41">
        <v>27131</v>
      </c>
      <c r="G266" s="41">
        <v>27524</v>
      </c>
      <c r="H266" s="41">
        <v>27834</v>
      </c>
      <c r="I266" s="41">
        <v>28310</v>
      </c>
      <c r="J266" s="41">
        <v>28719</v>
      </c>
      <c r="K266" s="41">
        <v>28986</v>
      </c>
      <c r="L266" s="41">
        <v>29166</v>
      </c>
      <c r="M266" s="41">
        <v>29488</v>
      </c>
      <c r="N266" s="41">
        <v>29605</v>
      </c>
      <c r="O266" s="41">
        <v>29750</v>
      </c>
      <c r="P266" s="41">
        <v>29908</v>
      </c>
      <c r="Q266" s="41">
        <v>30172</v>
      </c>
      <c r="R266" s="41">
        <v>30410</v>
      </c>
      <c r="S266" s="41">
        <v>30679</v>
      </c>
      <c r="T266" s="41">
        <v>31009</v>
      </c>
      <c r="U266" s="41">
        <v>31242</v>
      </c>
      <c r="V266" s="41">
        <v>31455</v>
      </c>
      <c r="W266" s="41">
        <v>31644</v>
      </c>
      <c r="X266" s="41">
        <v>31843</v>
      </c>
      <c r="Y266" s="41">
        <v>32013</v>
      </c>
      <c r="Z266" s="41">
        <v>32109</v>
      </c>
      <c r="AA266" s="41">
        <v>32255</v>
      </c>
      <c r="AB266" s="41">
        <v>32405</v>
      </c>
      <c r="AC266" s="41">
        <v>32559</v>
      </c>
      <c r="AD266" s="41">
        <v>32718</v>
      </c>
      <c r="AE266" s="41">
        <v>32866</v>
      </c>
      <c r="AF266" s="41">
        <v>33014</v>
      </c>
      <c r="AG266" s="41">
        <v>33150</v>
      </c>
      <c r="AH266" s="41">
        <v>33274</v>
      </c>
      <c r="AI266" s="41">
        <v>33404</v>
      </c>
      <c r="AJ266" s="41">
        <v>33529</v>
      </c>
      <c r="AK266" s="41">
        <v>33643</v>
      </c>
      <c r="AL266" s="41">
        <v>33759</v>
      </c>
      <c r="AM266" s="41">
        <v>33857</v>
      </c>
      <c r="AN266" s="41">
        <v>33970</v>
      </c>
      <c r="AO266" s="41">
        <v>34084</v>
      </c>
      <c r="AP266" s="41">
        <v>34188</v>
      </c>
      <c r="AQ266" s="41">
        <v>34282</v>
      </c>
      <c r="AR266" s="41">
        <v>34367</v>
      </c>
      <c r="AS266" s="41">
        <v>34468</v>
      </c>
      <c r="AT266" s="41">
        <v>34545</v>
      </c>
      <c r="AU266" s="41">
        <v>34616</v>
      </c>
      <c r="AV266" s="41">
        <v>34679</v>
      </c>
      <c r="AW266" s="41">
        <v>34729</v>
      </c>
      <c r="AX266" s="41">
        <v>34783</v>
      </c>
      <c r="AY266" s="41">
        <v>34823</v>
      </c>
    </row>
    <row r="267" spans="1:51">
      <c r="A267" s="38" t="s">
        <v>650</v>
      </c>
      <c r="B267" s="38" t="s">
        <v>651</v>
      </c>
      <c r="C267" s="41">
        <v>28552</v>
      </c>
      <c r="D267" s="41">
        <v>28825</v>
      </c>
      <c r="E267" s="41">
        <v>29148</v>
      </c>
      <c r="F267" s="41">
        <v>29431</v>
      </c>
      <c r="G267" s="41">
        <v>29672</v>
      </c>
      <c r="H267" s="41">
        <v>29980</v>
      </c>
      <c r="I267" s="41">
        <v>30435</v>
      </c>
      <c r="J267" s="41">
        <v>30748</v>
      </c>
      <c r="K267" s="41">
        <v>31224</v>
      </c>
      <c r="L267" s="41">
        <v>31522</v>
      </c>
      <c r="M267" s="41">
        <v>31730</v>
      </c>
      <c r="N267" s="41">
        <v>31553</v>
      </c>
      <c r="O267" s="41">
        <v>31504</v>
      </c>
      <c r="P267" s="41">
        <v>31549</v>
      </c>
      <c r="Q267" s="41">
        <v>31745</v>
      </c>
      <c r="R267" s="41">
        <v>31949</v>
      </c>
      <c r="S267" s="41">
        <v>32323</v>
      </c>
      <c r="T267" s="41">
        <v>32572</v>
      </c>
      <c r="U267" s="41">
        <v>32834</v>
      </c>
      <c r="V267" s="41">
        <v>33230</v>
      </c>
      <c r="W267" s="41">
        <v>33435</v>
      </c>
      <c r="X267" s="41">
        <v>33768</v>
      </c>
      <c r="Y267" s="41">
        <v>34251</v>
      </c>
      <c r="Z267" s="41">
        <v>34670</v>
      </c>
      <c r="AA267" s="41">
        <v>35103</v>
      </c>
      <c r="AB267" s="41">
        <v>35534</v>
      </c>
      <c r="AC267" s="41">
        <v>35964</v>
      </c>
      <c r="AD267" s="41">
        <v>36424</v>
      </c>
      <c r="AE267" s="41">
        <v>36895</v>
      </c>
      <c r="AF267" s="41">
        <v>37360</v>
      </c>
      <c r="AG267" s="41">
        <v>37825</v>
      </c>
      <c r="AH267" s="41">
        <v>38284</v>
      </c>
      <c r="AI267" s="41">
        <v>38747</v>
      </c>
      <c r="AJ267" s="41">
        <v>39219</v>
      </c>
      <c r="AK267" s="41">
        <v>39675</v>
      </c>
      <c r="AL267" s="41">
        <v>40144</v>
      </c>
      <c r="AM267" s="41">
        <v>40603</v>
      </c>
      <c r="AN267" s="41">
        <v>41060</v>
      </c>
      <c r="AO267" s="41">
        <v>41525</v>
      </c>
      <c r="AP267" s="41">
        <v>41973</v>
      </c>
      <c r="AQ267" s="41">
        <v>42426</v>
      </c>
      <c r="AR267" s="41">
        <v>42870</v>
      </c>
      <c r="AS267" s="41">
        <v>43308</v>
      </c>
      <c r="AT267" s="41">
        <v>43750</v>
      </c>
      <c r="AU267" s="41">
        <v>44180</v>
      </c>
      <c r="AV267" s="41">
        <v>44611</v>
      </c>
      <c r="AW267" s="41">
        <v>45041</v>
      </c>
      <c r="AX267" s="41">
        <v>45460</v>
      </c>
      <c r="AY267" s="41">
        <v>45868</v>
      </c>
    </row>
    <row r="268" spans="1:51">
      <c r="A268" s="38" t="s">
        <v>652</v>
      </c>
      <c r="B268" s="38" t="s">
        <v>653</v>
      </c>
      <c r="C268" s="41">
        <v>45153</v>
      </c>
      <c r="D268" s="41">
        <v>45817</v>
      </c>
      <c r="E268" s="41">
        <v>46141</v>
      </c>
      <c r="F268" s="41">
        <v>47069</v>
      </c>
      <c r="G268" s="41">
        <v>47597</v>
      </c>
      <c r="H268" s="41">
        <v>48508</v>
      </c>
      <c r="I268" s="41">
        <v>49048</v>
      </c>
      <c r="J268" s="41">
        <v>49866</v>
      </c>
      <c r="K268" s="41">
        <v>50400</v>
      </c>
      <c r="L268" s="41">
        <v>51101</v>
      </c>
      <c r="M268" s="41">
        <v>51628</v>
      </c>
      <c r="N268" s="41">
        <v>52030</v>
      </c>
      <c r="O268" s="41">
        <v>52365</v>
      </c>
      <c r="P268" s="41">
        <v>52740</v>
      </c>
      <c r="Q268" s="41">
        <v>53047</v>
      </c>
      <c r="R268" s="41">
        <v>53228</v>
      </c>
      <c r="S268" s="41">
        <v>53506</v>
      </c>
      <c r="T268" s="41">
        <v>53761</v>
      </c>
      <c r="U268" s="41">
        <v>53955</v>
      </c>
      <c r="V268" s="41">
        <v>53983</v>
      </c>
      <c r="W268" s="41">
        <v>54052</v>
      </c>
      <c r="X268" s="41">
        <v>54622</v>
      </c>
      <c r="Y268" s="41">
        <v>55116</v>
      </c>
      <c r="Z268" s="41">
        <v>55788</v>
      </c>
      <c r="AA268" s="41">
        <v>56215</v>
      </c>
      <c r="AB268" s="41">
        <v>56734</v>
      </c>
      <c r="AC268" s="41">
        <v>57286</v>
      </c>
      <c r="AD268" s="41">
        <v>57854</v>
      </c>
      <c r="AE268" s="41">
        <v>58414</v>
      </c>
      <c r="AF268" s="41">
        <v>58931</v>
      </c>
      <c r="AG268" s="41">
        <v>59492</v>
      </c>
      <c r="AH268" s="41">
        <v>60045</v>
      </c>
      <c r="AI268" s="41">
        <v>60607</v>
      </c>
      <c r="AJ268" s="41">
        <v>61162</v>
      </c>
      <c r="AK268" s="41">
        <v>61694</v>
      </c>
      <c r="AL268" s="41">
        <v>62245</v>
      </c>
      <c r="AM268" s="41">
        <v>62779</v>
      </c>
      <c r="AN268" s="41">
        <v>63311</v>
      </c>
      <c r="AO268" s="41">
        <v>63817</v>
      </c>
      <c r="AP268" s="41">
        <v>64316</v>
      </c>
      <c r="AQ268" s="41">
        <v>64808</v>
      </c>
      <c r="AR268" s="41">
        <v>65266</v>
      </c>
      <c r="AS268" s="41">
        <v>65732</v>
      </c>
      <c r="AT268" s="41">
        <v>66175</v>
      </c>
      <c r="AU268" s="41">
        <v>66613</v>
      </c>
      <c r="AV268" s="41">
        <v>67049</v>
      </c>
      <c r="AW268" s="41">
        <v>67488</v>
      </c>
      <c r="AX268" s="41">
        <v>67909</v>
      </c>
      <c r="AY268" s="41">
        <v>68303</v>
      </c>
    </row>
    <row r="269" spans="1:51">
      <c r="A269" s="38" t="s">
        <v>654</v>
      </c>
      <c r="B269" s="38" t="s">
        <v>655</v>
      </c>
      <c r="C269" s="41">
        <v>53783</v>
      </c>
      <c r="D269" s="41">
        <v>54514</v>
      </c>
      <c r="E269" s="41">
        <v>55281</v>
      </c>
      <c r="F269" s="41">
        <v>56166</v>
      </c>
      <c r="G269" s="41">
        <v>57285</v>
      </c>
      <c r="H269" s="41">
        <v>57835</v>
      </c>
      <c r="I269" s="41">
        <v>59418</v>
      </c>
      <c r="J269" s="41">
        <v>60791</v>
      </c>
      <c r="K269" s="41">
        <v>61291</v>
      </c>
      <c r="L269" s="41">
        <v>62454</v>
      </c>
      <c r="M269" s="41">
        <v>63819</v>
      </c>
      <c r="N269" s="41">
        <v>64134</v>
      </c>
      <c r="O269" s="41">
        <v>64374</v>
      </c>
      <c r="P269" s="41">
        <v>64640</v>
      </c>
      <c r="Q269" s="41">
        <v>65027</v>
      </c>
      <c r="R269" s="41">
        <v>65481</v>
      </c>
      <c r="S269" s="41">
        <v>65593</v>
      </c>
      <c r="T269" s="41">
        <v>65958</v>
      </c>
      <c r="U269" s="41">
        <v>66215</v>
      </c>
      <c r="V269" s="41">
        <v>66482</v>
      </c>
      <c r="W269" s="41">
        <v>66670</v>
      </c>
      <c r="X269" s="41">
        <v>67166</v>
      </c>
      <c r="Y269" s="41">
        <v>67655</v>
      </c>
      <c r="Z269" s="41">
        <v>68300</v>
      </c>
      <c r="AA269" s="41">
        <v>68844</v>
      </c>
      <c r="AB269" s="41">
        <v>69400</v>
      </c>
      <c r="AC269" s="41">
        <v>69948</v>
      </c>
      <c r="AD269" s="41">
        <v>70450</v>
      </c>
      <c r="AE269" s="41">
        <v>70978</v>
      </c>
      <c r="AF269" s="41">
        <v>71499</v>
      </c>
      <c r="AG269" s="41">
        <v>72014</v>
      </c>
      <c r="AH269" s="41">
        <v>72497</v>
      </c>
      <c r="AI269" s="41">
        <v>72937</v>
      </c>
      <c r="AJ269" s="41">
        <v>73398</v>
      </c>
      <c r="AK269" s="41">
        <v>73854</v>
      </c>
      <c r="AL269" s="41">
        <v>74331</v>
      </c>
      <c r="AM269" s="41">
        <v>74788</v>
      </c>
      <c r="AN269" s="41">
        <v>75199</v>
      </c>
      <c r="AO269" s="41">
        <v>75611</v>
      </c>
      <c r="AP269" s="41">
        <v>76022</v>
      </c>
      <c r="AQ269" s="41">
        <v>76402</v>
      </c>
      <c r="AR269" s="41">
        <v>76745</v>
      </c>
      <c r="AS269" s="41">
        <v>77060</v>
      </c>
      <c r="AT269" s="41">
        <v>77372</v>
      </c>
      <c r="AU269" s="41">
        <v>77684</v>
      </c>
      <c r="AV269" s="41">
        <v>77980</v>
      </c>
      <c r="AW269" s="41">
        <v>78263</v>
      </c>
      <c r="AX269" s="41">
        <v>78548</v>
      </c>
      <c r="AY269" s="41">
        <v>78806</v>
      </c>
    </row>
    <row r="270" spans="1:51">
      <c r="A270" s="38" t="s">
        <v>656</v>
      </c>
      <c r="B270" s="38" t="s">
        <v>657</v>
      </c>
      <c r="C270" s="41">
        <v>54166</v>
      </c>
      <c r="D270" s="41">
        <v>54841</v>
      </c>
      <c r="E270" s="41">
        <v>55264</v>
      </c>
      <c r="F270" s="41">
        <v>56407</v>
      </c>
      <c r="G270" s="41">
        <v>57011</v>
      </c>
      <c r="H270" s="41">
        <v>57501</v>
      </c>
      <c r="I270" s="41">
        <v>58113</v>
      </c>
      <c r="J270" s="41">
        <v>59302</v>
      </c>
      <c r="K270" s="41">
        <v>59716</v>
      </c>
      <c r="L270" s="41">
        <v>60763</v>
      </c>
      <c r="M270" s="41">
        <v>61608</v>
      </c>
      <c r="N270" s="41">
        <v>62008</v>
      </c>
      <c r="O270" s="41">
        <v>62357</v>
      </c>
      <c r="P270" s="41">
        <v>62618</v>
      </c>
      <c r="Q270" s="41">
        <v>62743</v>
      </c>
      <c r="R270" s="41">
        <v>62846</v>
      </c>
      <c r="S270" s="41">
        <v>62990</v>
      </c>
      <c r="T270" s="41">
        <v>63057</v>
      </c>
      <c r="U270" s="41">
        <v>62709</v>
      </c>
      <c r="V270" s="41">
        <v>62513</v>
      </c>
      <c r="W270" s="41">
        <v>62164</v>
      </c>
      <c r="X270" s="41">
        <v>62320</v>
      </c>
      <c r="Y270" s="41">
        <v>62500</v>
      </c>
      <c r="Z270" s="41">
        <v>63051</v>
      </c>
      <c r="AA270" s="41">
        <v>63385</v>
      </c>
      <c r="AB270" s="41">
        <v>63832</v>
      </c>
      <c r="AC270" s="41">
        <v>64347</v>
      </c>
      <c r="AD270" s="41">
        <v>64880</v>
      </c>
      <c r="AE270" s="41">
        <v>65448</v>
      </c>
      <c r="AF270" s="41">
        <v>66014</v>
      </c>
      <c r="AG270" s="41">
        <v>66605</v>
      </c>
      <c r="AH270" s="41">
        <v>67211</v>
      </c>
      <c r="AI270" s="41">
        <v>67844</v>
      </c>
      <c r="AJ270" s="41">
        <v>68513</v>
      </c>
      <c r="AK270" s="41">
        <v>69173</v>
      </c>
      <c r="AL270" s="41">
        <v>69868</v>
      </c>
      <c r="AM270" s="41">
        <v>70579</v>
      </c>
      <c r="AN270" s="41">
        <v>71279</v>
      </c>
      <c r="AO270" s="41">
        <v>71995</v>
      </c>
      <c r="AP270" s="41">
        <v>72699</v>
      </c>
      <c r="AQ270" s="41">
        <v>73401</v>
      </c>
      <c r="AR270" s="41">
        <v>74099</v>
      </c>
      <c r="AS270" s="41">
        <v>74778</v>
      </c>
      <c r="AT270" s="41">
        <v>75471</v>
      </c>
      <c r="AU270" s="41">
        <v>76148</v>
      </c>
      <c r="AV270" s="41">
        <v>76825</v>
      </c>
      <c r="AW270" s="41">
        <v>77508</v>
      </c>
      <c r="AX270" s="41">
        <v>78175</v>
      </c>
      <c r="AY270" s="41">
        <v>78850</v>
      </c>
    </row>
    <row r="271" spans="1:51">
      <c r="A271" s="38" t="s">
        <v>658</v>
      </c>
      <c r="B271" s="38" t="s">
        <v>659</v>
      </c>
      <c r="C271" s="41">
        <v>39222</v>
      </c>
      <c r="D271" s="41">
        <v>39746</v>
      </c>
      <c r="E271" s="41">
        <v>40371</v>
      </c>
      <c r="F271" s="41">
        <v>40572</v>
      </c>
      <c r="G271" s="41">
        <v>40945</v>
      </c>
      <c r="H271" s="41">
        <v>41534</v>
      </c>
      <c r="I271" s="41">
        <v>42427</v>
      </c>
      <c r="J271" s="41">
        <v>43202</v>
      </c>
      <c r="K271" s="41">
        <v>43370</v>
      </c>
      <c r="L271" s="41">
        <v>43835</v>
      </c>
      <c r="M271" s="41">
        <v>44299</v>
      </c>
      <c r="N271" s="41">
        <v>44661</v>
      </c>
      <c r="O271" s="41">
        <v>45117</v>
      </c>
      <c r="P271" s="41">
        <v>45392</v>
      </c>
      <c r="Q271" s="41">
        <v>45787</v>
      </c>
      <c r="R271" s="41">
        <v>46206</v>
      </c>
      <c r="S271" s="41">
        <v>46630</v>
      </c>
      <c r="T271" s="41">
        <v>46948</v>
      </c>
      <c r="U271" s="41">
        <v>47072</v>
      </c>
      <c r="V271" s="41">
        <v>47444</v>
      </c>
      <c r="W271" s="41">
        <v>47784</v>
      </c>
      <c r="X271" s="41">
        <v>48107</v>
      </c>
      <c r="Y271" s="41">
        <v>48768</v>
      </c>
      <c r="Z271" s="41">
        <v>49257</v>
      </c>
      <c r="AA271" s="41">
        <v>49676</v>
      </c>
      <c r="AB271" s="41">
        <v>50109</v>
      </c>
      <c r="AC271" s="41">
        <v>50542</v>
      </c>
      <c r="AD271" s="41">
        <v>50979</v>
      </c>
      <c r="AE271" s="41">
        <v>51391</v>
      </c>
      <c r="AF271" s="41">
        <v>51797</v>
      </c>
      <c r="AG271" s="41">
        <v>52206</v>
      </c>
      <c r="AH271" s="41">
        <v>52613</v>
      </c>
      <c r="AI271" s="41">
        <v>53028</v>
      </c>
      <c r="AJ271" s="41">
        <v>53429</v>
      </c>
      <c r="AK271" s="41">
        <v>53831</v>
      </c>
      <c r="AL271" s="41">
        <v>54242</v>
      </c>
      <c r="AM271" s="41">
        <v>54649</v>
      </c>
      <c r="AN271" s="41">
        <v>55038</v>
      </c>
      <c r="AO271" s="41">
        <v>55426</v>
      </c>
      <c r="AP271" s="41">
        <v>55809</v>
      </c>
      <c r="AQ271" s="41">
        <v>56183</v>
      </c>
      <c r="AR271" s="41">
        <v>56529</v>
      </c>
      <c r="AS271" s="41">
        <v>56866</v>
      </c>
      <c r="AT271" s="41">
        <v>57191</v>
      </c>
      <c r="AU271" s="41">
        <v>57506</v>
      </c>
      <c r="AV271" s="41">
        <v>57806</v>
      </c>
      <c r="AW271" s="41">
        <v>58100</v>
      </c>
      <c r="AX271" s="41">
        <v>58385</v>
      </c>
      <c r="AY271" s="41">
        <v>58659</v>
      </c>
    </row>
    <row r="272" spans="1:51">
      <c r="A272" s="38" t="s">
        <v>660</v>
      </c>
      <c r="B272" s="38" t="s">
        <v>661</v>
      </c>
      <c r="C272" s="41">
        <v>28456</v>
      </c>
      <c r="D272" s="41">
        <v>28557</v>
      </c>
      <c r="E272" s="41">
        <v>29268</v>
      </c>
      <c r="F272" s="41">
        <v>29468</v>
      </c>
      <c r="G272" s="41">
        <v>29957</v>
      </c>
      <c r="H272" s="41">
        <v>30884</v>
      </c>
      <c r="I272" s="41">
        <v>33000</v>
      </c>
      <c r="J272" s="41">
        <v>31258</v>
      </c>
      <c r="K272" s="41">
        <v>31636</v>
      </c>
      <c r="L272" s="41">
        <v>32221</v>
      </c>
      <c r="M272" s="41">
        <v>32428</v>
      </c>
      <c r="N272" s="41">
        <v>32667</v>
      </c>
      <c r="O272" s="41">
        <v>32963</v>
      </c>
      <c r="P272" s="41">
        <v>33130</v>
      </c>
      <c r="Q272" s="41">
        <v>33299</v>
      </c>
      <c r="R272" s="41">
        <v>33626</v>
      </c>
      <c r="S272" s="41">
        <v>33906</v>
      </c>
      <c r="T272" s="41">
        <v>34152</v>
      </c>
      <c r="U272" s="41">
        <v>34484</v>
      </c>
      <c r="V272" s="41">
        <v>34881</v>
      </c>
      <c r="W272" s="41">
        <v>35257</v>
      </c>
      <c r="X272" s="41">
        <v>35712</v>
      </c>
      <c r="Y272" s="41">
        <v>36211</v>
      </c>
      <c r="Z272" s="41">
        <v>36886</v>
      </c>
      <c r="AA272" s="41">
        <v>37392</v>
      </c>
      <c r="AB272" s="41">
        <v>37891</v>
      </c>
      <c r="AC272" s="41">
        <v>38403</v>
      </c>
      <c r="AD272" s="41">
        <v>38881</v>
      </c>
      <c r="AE272" s="41">
        <v>39395</v>
      </c>
      <c r="AF272" s="41">
        <v>39888</v>
      </c>
      <c r="AG272" s="41">
        <v>40367</v>
      </c>
      <c r="AH272" s="41">
        <v>40839</v>
      </c>
      <c r="AI272" s="41">
        <v>41295</v>
      </c>
      <c r="AJ272" s="41">
        <v>41762</v>
      </c>
      <c r="AK272" s="41">
        <v>42217</v>
      </c>
      <c r="AL272" s="41">
        <v>42665</v>
      </c>
      <c r="AM272" s="41">
        <v>43106</v>
      </c>
      <c r="AN272" s="41">
        <v>43537</v>
      </c>
      <c r="AO272" s="41">
        <v>43966</v>
      </c>
      <c r="AP272" s="41">
        <v>44386</v>
      </c>
      <c r="AQ272" s="41">
        <v>44808</v>
      </c>
      <c r="AR272" s="41">
        <v>45211</v>
      </c>
      <c r="AS272" s="41">
        <v>45601</v>
      </c>
      <c r="AT272" s="41">
        <v>45982</v>
      </c>
      <c r="AU272" s="41">
        <v>46346</v>
      </c>
      <c r="AV272" s="41">
        <v>46715</v>
      </c>
      <c r="AW272" s="41">
        <v>47076</v>
      </c>
      <c r="AX272" s="41">
        <v>47425</v>
      </c>
      <c r="AY272" s="41">
        <v>47761</v>
      </c>
    </row>
    <row r="273" spans="1:51">
      <c r="A273" s="38" t="s">
        <v>662</v>
      </c>
      <c r="B273" s="38" t="s">
        <v>663</v>
      </c>
      <c r="C273" s="41">
        <v>53410</v>
      </c>
      <c r="D273" s="41">
        <v>53321</v>
      </c>
      <c r="E273" s="41">
        <v>53131</v>
      </c>
      <c r="F273" s="41">
        <v>53181</v>
      </c>
      <c r="G273" s="41">
        <v>53349</v>
      </c>
      <c r="H273" s="41">
        <v>53584</v>
      </c>
      <c r="I273" s="41">
        <v>54098</v>
      </c>
      <c r="J273" s="41">
        <v>54204</v>
      </c>
      <c r="K273" s="41">
        <v>54750</v>
      </c>
      <c r="L273" s="41">
        <v>54942</v>
      </c>
      <c r="M273" s="41">
        <v>55322</v>
      </c>
      <c r="N273" s="41">
        <v>55845</v>
      </c>
      <c r="O273" s="41">
        <v>56146</v>
      </c>
      <c r="P273" s="41">
        <v>56631</v>
      </c>
      <c r="Q273" s="41">
        <v>56997</v>
      </c>
      <c r="R273" s="41">
        <v>57339</v>
      </c>
      <c r="S273" s="41">
        <v>57811</v>
      </c>
      <c r="T273" s="41">
        <v>58370</v>
      </c>
      <c r="U273" s="41">
        <v>58622</v>
      </c>
      <c r="V273" s="41">
        <v>59186</v>
      </c>
      <c r="W273" s="41">
        <v>59615</v>
      </c>
      <c r="X273" s="41">
        <v>60261</v>
      </c>
      <c r="Y273" s="41">
        <v>60790</v>
      </c>
      <c r="Z273" s="41">
        <v>61655</v>
      </c>
      <c r="AA273" s="41">
        <v>62291</v>
      </c>
      <c r="AB273" s="41">
        <v>63042</v>
      </c>
      <c r="AC273" s="41">
        <v>63819</v>
      </c>
      <c r="AD273" s="41">
        <v>64612</v>
      </c>
      <c r="AE273" s="41">
        <v>65396</v>
      </c>
      <c r="AF273" s="41">
        <v>66159</v>
      </c>
      <c r="AG273" s="41">
        <v>66939</v>
      </c>
      <c r="AH273" s="41">
        <v>67728</v>
      </c>
      <c r="AI273" s="41">
        <v>68519</v>
      </c>
      <c r="AJ273" s="41">
        <v>69315</v>
      </c>
      <c r="AK273" s="41">
        <v>70103</v>
      </c>
      <c r="AL273" s="41">
        <v>70918</v>
      </c>
      <c r="AM273" s="41">
        <v>71746</v>
      </c>
      <c r="AN273" s="41">
        <v>72572</v>
      </c>
      <c r="AO273" s="41">
        <v>73380</v>
      </c>
      <c r="AP273" s="41">
        <v>74201</v>
      </c>
      <c r="AQ273" s="41">
        <v>75015</v>
      </c>
      <c r="AR273" s="41">
        <v>75828</v>
      </c>
      <c r="AS273" s="41">
        <v>76627</v>
      </c>
      <c r="AT273" s="41">
        <v>77413</v>
      </c>
      <c r="AU273" s="41">
        <v>78191</v>
      </c>
      <c r="AV273" s="41">
        <v>78974</v>
      </c>
      <c r="AW273" s="41">
        <v>79743</v>
      </c>
      <c r="AX273" s="41">
        <v>80489</v>
      </c>
      <c r="AY273" s="41">
        <v>81201</v>
      </c>
    </row>
    <row r="274" spans="1:51">
      <c r="A274" s="38" t="s">
        <v>664</v>
      </c>
      <c r="B274" s="38" t="s">
        <v>665</v>
      </c>
      <c r="C274" s="41">
        <v>30470</v>
      </c>
      <c r="D274" s="41">
        <v>31183</v>
      </c>
      <c r="E274" s="41">
        <v>31487</v>
      </c>
      <c r="F274" s="41">
        <v>31595</v>
      </c>
      <c r="G274" s="41">
        <v>31908</v>
      </c>
      <c r="H274" s="41">
        <v>32046</v>
      </c>
      <c r="I274" s="41">
        <v>32380</v>
      </c>
      <c r="J274" s="41">
        <v>32413</v>
      </c>
      <c r="K274" s="41">
        <v>33288</v>
      </c>
      <c r="L274" s="41">
        <v>33472</v>
      </c>
      <c r="M274" s="41">
        <v>33502</v>
      </c>
      <c r="N274" s="41">
        <v>33648</v>
      </c>
      <c r="O274" s="41">
        <v>33886</v>
      </c>
      <c r="P274" s="41">
        <v>33893</v>
      </c>
      <c r="Q274" s="41">
        <v>34036</v>
      </c>
      <c r="R274" s="41">
        <v>34148</v>
      </c>
      <c r="S274" s="41">
        <v>34404</v>
      </c>
      <c r="T274" s="41">
        <v>34693</v>
      </c>
      <c r="U274" s="41">
        <v>35039</v>
      </c>
      <c r="V274" s="41">
        <v>35274</v>
      </c>
      <c r="W274" s="41">
        <v>35360</v>
      </c>
      <c r="X274" s="41">
        <v>35706</v>
      </c>
      <c r="Y274" s="41">
        <v>36000</v>
      </c>
      <c r="Z274" s="41">
        <v>36388</v>
      </c>
      <c r="AA274" s="41">
        <v>36755</v>
      </c>
      <c r="AB274" s="41">
        <v>37142</v>
      </c>
      <c r="AC274" s="41">
        <v>37574</v>
      </c>
      <c r="AD274" s="41">
        <v>38003</v>
      </c>
      <c r="AE274" s="41">
        <v>38429</v>
      </c>
      <c r="AF274" s="41">
        <v>38857</v>
      </c>
      <c r="AG274" s="41">
        <v>39290</v>
      </c>
      <c r="AH274" s="41">
        <v>39726</v>
      </c>
      <c r="AI274" s="41">
        <v>40162</v>
      </c>
      <c r="AJ274" s="41">
        <v>40607</v>
      </c>
      <c r="AK274" s="41">
        <v>41049</v>
      </c>
      <c r="AL274" s="41">
        <v>41497</v>
      </c>
      <c r="AM274" s="41">
        <v>41944</v>
      </c>
      <c r="AN274" s="41">
        <v>42395</v>
      </c>
      <c r="AO274" s="41">
        <v>42856</v>
      </c>
      <c r="AP274" s="41">
        <v>43315</v>
      </c>
      <c r="AQ274" s="41">
        <v>43789</v>
      </c>
      <c r="AR274" s="41">
        <v>44248</v>
      </c>
      <c r="AS274" s="41">
        <v>44710</v>
      </c>
      <c r="AT274" s="41">
        <v>45179</v>
      </c>
      <c r="AU274" s="41">
        <v>45639</v>
      </c>
      <c r="AV274" s="41">
        <v>46105</v>
      </c>
      <c r="AW274" s="41">
        <v>46570</v>
      </c>
      <c r="AX274" s="41">
        <v>47026</v>
      </c>
      <c r="AY274" s="41">
        <v>47478</v>
      </c>
    </row>
    <row r="275" spans="1:51">
      <c r="A275" s="38" t="s">
        <v>666</v>
      </c>
      <c r="B275" s="38" t="s">
        <v>667</v>
      </c>
      <c r="C275" s="41">
        <v>49409</v>
      </c>
      <c r="D275" s="41">
        <v>50486</v>
      </c>
      <c r="E275" s="41">
        <v>51073</v>
      </c>
      <c r="F275" s="41">
        <v>51801</v>
      </c>
      <c r="G275" s="41">
        <v>52611</v>
      </c>
      <c r="H275" s="41">
        <v>53452</v>
      </c>
      <c r="I275" s="41">
        <v>54042</v>
      </c>
      <c r="J275" s="41">
        <v>55509</v>
      </c>
      <c r="K275" s="41">
        <v>56232</v>
      </c>
      <c r="L275" s="41">
        <v>57374</v>
      </c>
      <c r="M275" s="41">
        <v>58437</v>
      </c>
      <c r="N275" s="41">
        <v>58961</v>
      </c>
      <c r="O275" s="41">
        <v>59399</v>
      </c>
      <c r="P275" s="41">
        <v>59658</v>
      </c>
      <c r="Q275" s="41">
        <v>60026</v>
      </c>
      <c r="R275" s="41">
        <v>60517</v>
      </c>
      <c r="S275" s="41">
        <v>60861</v>
      </c>
      <c r="T275" s="41">
        <v>61262</v>
      </c>
      <c r="U275" s="41">
        <v>61624</v>
      </c>
      <c r="V275" s="41">
        <v>62117</v>
      </c>
      <c r="W275" s="41">
        <v>62577</v>
      </c>
      <c r="X275" s="41">
        <v>63046</v>
      </c>
      <c r="Y275" s="41">
        <v>63729</v>
      </c>
      <c r="Z275" s="41">
        <v>64530</v>
      </c>
      <c r="AA275" s="41">
        <v>65337</v>
      </c>
      <c r="AB275" s="41">
        <v>66197</v>
      </c>
      <c r="AC275" s="41">
        <v>67061</v>
      </c>
      <c r="AD275" s="41">
        <v>67932</v>
      </c>
      <c r="AE275" s="41">
        <v>68776</v>
      </c>
      <c r="AF275" s="41">
        <v>69625</v>
      </c>
      <c r="AG275" s="41">
        <v>70494</v>
      </c>
      <c r="AH275" s="41">
        <v>71348</v>
      </c>
      <c r="AI275" s="41">
        <v>72200</v>
      </c>
      <c r="AJ275" s="41">
        <v>73040</v>
      </c>
      <c r="AK275" s="41">
        <v>73872</v>
      </c>
      <c r="AL275" s="41">
        <v>74725</v>
      </c>
      <c r="AM275" s="41">
        <v>75569</v>
      </c>
      <c r="AN275" s="41">
        <v>76433</v>
      </c>
      <c r="AO275" s="41">
        <v>77277</v>
      </c>
      <c r="AP275" s="41">
        <v>78123</v>
      </c>
      <c r="AQ275" s="41">
        <v>78987</v>
      </c>
      <c r="AR275" s="41">
        <v>79839</v>
      </c>
      <c r="AS275" s="41">
        <v>80691</v>
      </c>
      <c r="AT275" s="41">
        <v>81526</v>
      </c>
      <c r="AU275" s="41">
        <v>82342</v>
      </c>
      <c r="AV275" s="41">
        <v>83182</v>
      </c>
      <c r="AW275" s="41">
        <v>84029</v>
      </c>
      <c r="AX275" s="41">
        <v>84851</v>
      </c>
      <c r="AY275" s="41">
        <v>85663</v>
      </c>
    </row>
    <row r="276" spans="1:51">
      <c r="A276" s="38" t="s">
        <v>668</v>
      </c>
      <c r="B276" s="38" t="s">
        <v>669</v>
      </c>
      <c r="C276" s="41">
        <v>39155</v>
      </c>
      <c r="D276" s="41">
        <v>39273</v>
      </c>
      <c r="E276" s="41">
        <v>39464</v>
      </c>
      <c r="F276" s="41">
        <v>39880</v>
      </c>
      <c r="G276" s="41">
        <v>40506</v>
      </c>
      <c r="H276" s="41">
        <v>40998</v>
      </c>
      <c r="I276" s="41">
        <v>41338</v>
      </c>
      <c r="J276" s="41">
        <v>41602</v>
      </c>
      <c r="K276" s="41">
        <v>42067</v>
      </c>
      <c r="L276" s="41">
        <v>42382</v>
      </c>
      <c r="M276" s="41">
        <v>42853</v>
      </c>
      <c r="N276" s="41">
        <v>43248</v>
      </c>
      <c r="O276" s="41">
        <v>43619</v>
      </c>
      <c r="P276" s="41">
        <v>44040</v>
      </c>
      <c r="Q276" s="41">
        <v>44622</v>
      </c>
      <c r="R276" s="41">
        <v>45440</v>
      </c>
      <c r="S276" s="41">
        <v>46183</v>
      </c>
      <c r="T276" s="41">
        <v>46720</v>
      </c>
      <c r="U276" s="41">
        <v>47298</v>
      </c>
      <c r="V276" s="41">
        <v>47869</v>
      </c>
      <c r="W276" s="41">
        <v>48263</v>
      </c>
      <c r="X276" s="41">
        <v>48799</v>
      </c>
      <c r="Y276" s="41">
        <v>49233</v>
      </c>
      <c r="Z276" s="41">
        <v>49886</v>
      </c>
      <c r="AA276" s="41">
        <v>50463</v>
      </c>
      <c r="AB276" s="41">
        <v>51075</v>
      </c>
      <c r="AC276" s="41">
        <v>51690</v>
      </c>
      <c r="AD276" s="41">
        <v>52315</v>
      </c>
      <c r="AE276" s="41">
        <v>52963</v>
      </c>
      <c r="AF276" s="41">
        <v>53576</v>
      </c>
      <c r="AG276" s="41">
        <v>54181</v>
      </c>
      <c r="AH276" s="41">
        <v>54796</v>
      </c>
      <c r="AI276" s="41">
        <v>55407</v>
      </c>
      <c r="AJ276" s="41">
        <v>56028</v>
      </c>
      <c r="AK276" s="41">
        <v>56629</v>
      </c>
      <c r="AL276" s="41">
        <v>57211</v>
      </c>
      <c r="AM276" s="41">
        <v>57812</v>
      </c>
      <c r="AN276" s="41">
        <v>58413</v>
      </c>
      <c r="AO276" s="41">
        <v>59007</v>
      </c>
      <c r="AP276" s="41">
        <v>59597</v>
      </c>
      <c r="AQ276" s="41">
        <v>60176</v>
      </c>
      <c r="AR276" s="41">
        <v>60758</v>
      </c>
      <c r="AS276" s="41">
        <v>61333</v>
      </c>
      <c r="AT276" s="41">
        <v>61887</v>
      </c>
      <c r="AU276" s="41">
        <v>62446</v>
      </c>
      <c r="AV276" s="41">
        <v>63008</v>
      </c>
      <c r="AW276" s="41">
        <v>63580</v>
      </c>
      <c r="AX276" s="41">
        <v>64148</v>
      </c>
      <c r="AY276" s="41">
        <v>64695</v>
      </c>
    </row>
    <row r="277" spans="1:51">
      <c r="A277" s="38" t="s">
        <v>670</v>
      </c>
      <c r="B277" s="38" t="s">
        <v>671</v>
      </c>
      <c r="C277" s="41">
        <v>51398</v>
      </c>
      <c r="D277" s="41">
        <v>51471</v>
      </c>
      <c r="E277" s="41">
        <v>51657</v>
      </c>
      <c r="F277" s="41">
        <v>52710</v>
      </c>
      <c r="G277" s="41">
        <v>53476</v>
      </c>
      <c r="H277" s="41">
        <v>53720</v>
      </c>
      <c r="I277" s="41">
        <v>53939</v>
      </c>
      <c r="J277" s="41">
        <v>54251</v>
      </c>
      <c r="K277" s="41">
        <v>55230</v>
      </c>
      <c r="L277" s="41">
        <v>56463</v>
      </c>
      <c r="M277" s="41">
        <v>57542</v>
      </c>
      <c r="N277" s="41">
        <v>57966</v>
      </c>
      <c r="O277" s="41">
        <v>58389</v>
      </c>
      <c r="P277" s="41">
        <v>58773</v>
      </c>
      <c r="Q277" s="41">
        <v>58973</v>
      </c>
      <c r="R277" s="41">
        <v>58998</v>
      </c>
      <c r="S277" s="41">
        <v>59191</v>
      </c>
      <c r="T277" s="41">
        <v>59237</v>
      </c>
      <c r="U277" s="41">
        <v>59103</v>
      </c>
      <c r="V277" s="41">
        <v>59039</v>
      </c>
      <c r="W277" s="41">
        <v>59103</v>
      </c>
      <c r="X277" s="41">
        <v>59412</v>
      </c>
      <c r="Y277" s="41">
        <v>59751</v>
      </c>
      <c r="Z277" s="41">
        <v>60307</v>
      </c>
      <c r="AA277" s="41">
        <v>60671</v>
      </c>
      <c r="AB277" s="41">
        <v>61123</v>
      </c>
      <c r="AC277" s="41">
        <v>61563</v>
      </c>
      <c r="AD277" s="41">
        <v>62010</v>
      </c>
      <c r="AE277" s="41">
        <v>62466</v>
      </c>
      <c r="AF277" s="41">
        <v>62940</v>
      </c>
      <c r="AG277" s="41">
        <v>63411</v>
      </c>
      <c r="AH277" s="41">
        <v>63882</v>
      </c>
      <c r="AI277" s="41">
        <v>64357</v>
      </c>
      <c r="AJ277" s="41">
        <v>64832</v>
      </c>
      <c r="AK277" s="41">
        <v>65311</v>
      </c>
      <c r="AL277" s="41">
        <v>65782</v>
      </c>
      <c r="AM277" s="41">
        <v>66264</v>
      </c>
      <c r="AN277" s="41">
        <v>66731</v>
      </c>
      <c r="AO277" s="41">
        <v>67178</v>
      </c>
      <c r="AP277" s="41">
        <v>67631</v>
      </c>
      <c r="AQ277" s="41">
        <v>68064</v>
      </c>
      <c r="AR277" s="41">
        <v>68475</v>
      </c>
      <c r="AS277" s="41">
        <v>68889</v>
      </c>
      <c r="AT277" s="41">
        <v>69286</v>
      </c>
      <c r="AU277" s="41">
        <v>69692</v>
      </c>
      <c r="AV277" s="41">
        <v>70099</v>
      </c>
      <c r="AW277" s="41">
        <v>70512</v>
      </c>
      <c r="AX277" s="41">
        <v>70905</v>
      </c>
      <c r="AY277" s="41">
        <v>71276</v>
      </c>
    </row>
    <row r="278" spans="1:51">
      <c r="A278" s="38" t="s">
        <v>672</v>
      </c>
      <c r="B278" s="38" t="s">
        <v>673</v>
      </c>
      <c r="C278" s="41">
        <v>21191</v>
      </c>
      <c r="D278" s="41">
        <v>21468</v>
      </c>
      <c r="E278" s="41">
        <v>21814</v>
      </c>
      <c r="F278" s="41">
        <v>22170</v>
      </c>
      <c r="G278" s="41">
        <v>22443</v>
      </c>
      <c r="H278" s="41">
        <v>22442</v>
      </c>
      <c r="I278" s="41">
        <v>22651</v>
      </c>
      <c r="J278" s="41">
        <v>23104</v>
      </c>
      <c r="K278" s="41">
        <v>23644</v>
      </c>
      <c r="L278" s="41">
        <v>24309</v>
      </c>
      <c r="M278" s="41">
        <v>24969</v>
      </c>
      <c r="N278" s="41">
        <v>25388</v>
      </c>
      <c r="O278" s="41">
        <v>25860</v>
      </c>
      <c r="P278" s="41">
        <v>26333</v>
      </c>
      <c r="Q278" s="41">
        <v>26663</v>
      </c>
      <c r="R278" s="41">
        <v>27014</v>
      </c>
      <c r="S278" s="41">
        <v>27268</v>
      </c>
      <c r="T278" s="41">
        <v>27536</v>
      </c>
      <c r="U278" s="41">
        <v>27630</v>
      </c>
      <c r="V278" s="41">
        <v>27796</v>
      </c>
      <c r="W278" s="41">
        <v>28064</v>
      </c>
      <c r="X278" s="41">
        <v>28393</v>
      </c>
      <c r="Y278" s="41">
        <v>28579</v>
      </c>
      <c r="Z278" s="41">
        <v>28922</v>
      </c>
      <c r="AA278" s="41">
        <v>29231</v>
      </c>
      <c r="AB278" s="41">
        <v>29555</v>
      </c>
      <c r="AC278" s="41">
        <v>29876</v>
      </c>
      <c r="AD278" s="41">
        <v>30197</v>
      </c>
      <c r="AE278" s="41">
        <v>30533</v>
      </c>
      <c r="AF278" s="41">
        <v>30871</v>
      </c>
      <c r="AG278" s="41">
        <v>31201</v>
      </c>
      <c r="AH278" s="41">
        <v>31521</v>
      </c>
      <c r="AI278" s="41">
        <v>31831</v>
      </c>
      <c r="AJ278" s="41">
        <v>32158</v>
      </c>
      <c r="AK278" s="41">
        <v>32473</v>
      </c>
      <c r="AL278" s="41">
        <v>32791</v>
      </c>
      <c r="AM278" s="41">
        <v>33108</v>
      </c>
      <c r="AN278" s="41">
        <v>33409</v>
      </c>
      <c r="AO278" s="41">
        <v>33703</v>
      </c>
      <c r="AP278" s="41">
        <v>33993</v>
      </c>
      <c r="AQ278" s="41">
        <v>34267</v>
      </c>
      <c r="AR278" s="41">
        <v>34520</v>
      </c>
      <c r="AS278" s="41">
        <v>34763</v>
      </c>
      <c r="AT278" s="41">
        <v>34998</v>
      </c>
      <c r="AU278" s="41">
        <v>35222</v>
      </c>
      <c r="AV278" s="41">
        <v>35446</v>
      </c>
      <c r="AW278" s="41">
        <v>35668</v>
      </c>
      <c r="AX278" s="41">
        <v>35878</v>
      </c>
      <c r="AY278" s="41">
        <v>36081</v>
      </c>
    </row>
    <row r="279" spans="1:51">
      <c r="A279" s="38" t="s">
        <v>674</v>
      </c>
      <c r="B279" s="38" t="s">
        <v>675</v>
      </c>
      <c r="C279" s="41">
        <v>63829</v>
      </c>
      <c r="D279" s="41">
        <v>63869</v>
      </c>
      <c r="E279" s="41">
        <v>64400</v>
      </c>
      <c r="F279" s="41">
        <v>65038</v>
      </c>
      <c r="G279" s="41">
        <v>66179</v>
      </c>
      <c r="H279" s="41">
        <v>68092</v>
      </c>
      <c r="I279" s="41">
        <v>69805</v>
      </c>
      <c r="J279" s="41">
        <v>71272</v>
      </c>
      <c r="K279" s="41">
        <v>73982</v>
      </c>
      <c r="L279" s="41">
        <v>76116</v>
      </c>
      <c r="M279" s="41">
        <v>78659</v>
      </c>
      <c r="N279" s="41">
        <v>81134</v>
      </c>
      <c r="O279" s="41">
        <v>81676</v>
      </c>
      <c r="P279" s="41">
        <v>82546</v>
      </c>
      <c r="Q279" s="41">
        <v>83714</v>
      </c>
      <c r="R279" s="41">
        <v>85815</v>
      </c>
      <c r="S279" s="41">
        <v>88740</v>
      </c>
      <c r="T279" s="41">
        <v>91741</v>
      </c>
      <c r="U279" s="41">
        <v>95392</v>
      </c>
      <c r="V279" s="41">
        <v>98583</v>
      </c>
      <c r="W279" s="41">
        <v>102087</v>
      </c>
      <c r="X279" s="41">
        <v>105367</v>
      </c>
      <c r="Y279" s="41">
        <v>110020</v>
      </c>
      <c r="Z279" s="41">
        <v>115386</v>
      </c>
      <c r="AA279" s="41">
        <v>120218</v>
      </c>
      <c r="AB279" s="41">
        <v>124526</v>
      </c>
      <c r="AC279" s="41">
        <v>128616</v>
      </c>
      <c r="AD279" s="41">
        <v>132530</v>
      </c>
      <c r="AE279" s="41">
        <v>136292</v>
      </c>
      <c r="AF279" s="41">
        <v>139922</v>
      </c>
      <c r="AG279" s="41">
        <v>143455</v>
      </c>
      <c r="AH279" s="41">
        <v>146940</v>
      </c>
      <c r="AI279" s="41">
        <v>150342</v>
      </c>
      <c r="AJ279" s="41">
        <v>153668</v>
      </c>
      <c r="AK279" s="41">
        <v>156921</v>
      </c>
      <c r="AL279" s="41">
        <v>160174</v>
      </c>
      <c r="AM279" s="41">
        <v>163348</v>
      </c>
      <c r="AN279" s="41">
        <v>166412</v>
      </c>
      <c r="AO279" s="41">
        <v>169412</v>
      </c>
      <c r="AP279" s="41">
        <v>172338</v>
      </c>
      <c r="AQ279" s="41">
        <v>175244</v>
      </c>
      <c r="AR279" s="41">
        <v>178150</v>
      </c>
      <c r="AS279" s="41">
        <v>180936</v>
      </c>
      <c r="AT279" s="41">
        <v>183647</v>
      </c>
      <c r="AU279" s="41">
        <v>186321</v>
      </c>
      <c r="AV279" s="41">
        <v>188987</v>
      </c>
      <c r="AW279" s="41">
        <v>191649</v>
      </c>
      <c r="AX279" s="41">
        <v>194240</v>
      </c>
      <c r="AY279" s="41">
        <v>196759</v>
      </c>
    </row>
    <row r="280" spans="1:51">
      <c r="A280" s="38" t="s">
        <v>676</v>
      </c>
      <c r="B280" s="38" t="s">
        <v>677</v>
      </c>
      <c r="C280" s="41">
        <v>86504</v>
      </c>
      <c r="D280" s="41">
        <v>86723</v>
      </c>
      <c r="E280" s="41">
        <v>87126</v>
      </c>
      <c r="F280" s="41">
        <v>87450</v>
      </c>
      <c r="G280" s="41">
        <v>87786</v>
      </c>
      <c r="H280" s="41">
        <v>88184</v>
      </c>
      <c r="I280" s="41">
        <v>88213</v>
      </c>
      <c r="J280" s="41">
        <v>88994</v>
      </c>
      <c r="K280" s="41">
        <v>89105</v>
      </c>
      <c r="L280" s="41">
        <v>89061</v>
      </c>
      <c r="M280" s="41">
        <v>89280</v>
      </c>
      <c r="N280" s="41">
        <v>89728</v>
      </c>
      <c r="O280" s="41">
        <v>90354</v>
      </c>
      <c r="P280" s="41">
        <v>90743</v>
      </c>
      <c r="Q280" s="41">
        <v>91124</v>
      </c>
      <c r="R280" s="41">
        <v>91807</v>
      </c>
      <c r="S280" s="41">
        <v>92323</v>
      </c>
      <c r="T280" s="41">
        <v>92852</v>
      </c>
      <c r="U280" s="41">
        <v>93547</v>
      </c>
      <c r="V280" s="41">
        <v>94243</v>
      </c>
      <c r="W280" s="41">
        <v>94662</v>
      </c>
      <c r="X280" s="41">
        <v>95471</v>
      </c>
      <c r="Y280" s="41">
        <v>96326</v>
      </c>
      <c r="Z280" s="41">
        <v>97497</v>
      </c>
      <c r="AA280" s="41">
        <v>98447</v>
      </c>
      <c r="AB280" s="41">
        <v>99425</v>
      </c>
      <c r="AC280" s="41">
        <v>100405</v>
      </c>
      <c r="AD280" s="41">
        <v>101433</v>
      </c>
      <c r="AE280" s="41">
        <v>102471</v>
      </c>
      <c r="AF280" s="41">
        <v>103506</v>
      </c>
      <c r="AG280" s="41">
        <v>104524</v>
      </c>
      <c r="AH280" s="41">
        <v>105545</v>
      </c>
      <c r="AI280" s="41">
        <v>106561</v>
      </c>
      <c r="AJ280" s="41">
        <v>107575</v>
      </c>
      <c r="AK280" s="41">
        <v>108588</v>
      </c>
      <c r="AL280" s="41">
        <v>109592</v>
      </c>
      <c r="AM280" s="41">
        <v>110614</v>
      </c>
      <c r="AN280" s="41">
        <v>111635</v>
      </c>
      <c r="AO280" s="41">
        <v>112639</v>
      </c>
      <c r="AP280" s="41">
        <v>113656</v>
      </c>
      <c r="AQ280" s="41">
        <v>114664</v>
      </c>
      <c r="AR280" s="41">
        <v>115640</v>
      </c>
      <c r="AS280" s="41">
        <v>116609</v>
      </c>
      <c r="AT280" s="41">
        <v>117567</v>
      </c>
      <c r="AU280" s="41">
        <v>118518</v>
      </c>
      <c r="AV280" s="41">
        <v>119472</v>
      </c>
      <c r="AW280" s="41">
        <v>120434</v>
      </c>
      <c r="AX280" s="41">
        <v>121371</v>
      </c>
      <c r="AY280" s="41">
        <v>122276</v>
      </c>
    </row>
    <row r="281" spans="1:51">
      <c r="A281" s="38" t="s">
        <v>678</v>
      </c>
      <c r="B281" s="38" t="s">
        <v>679</v>
      </c>
      <c r="C281" s="41">
        <v>40348</v>
      </c>
      <c r="D281" s="41">
        <v>40547</v>
      </c>
      <c r="E281" s="41">
        <v>40676</v>
      </c>
      <c r="F281" s="41">
        <v>41242</v>
      </c>
      <c r="G281" s="41">
        <v>41675</v>
      </c>
      <c r="H281" s="41">
        <v>41606</v>
      </c>
      <c r="I281" s="41">
        <v>41500</v>
      </c>
      <c r="J281" s="41">
        <v>41860</v>
      </c>
      <c r="K281" s="41">
        <v>42151</v>
      </c>
      <c r="L281" s="41">
        <v>42529</v>
      </c>
      <c r="M281" s="41">
        <v>42777</v>
      </c>
      <c r="N281" s="41">
        <v>42797</v>
      </c>
      <c r="O281" s="41">
        <v>42870</v>
      </c>
      <c r="P281" s="41">
        <v>43069</v>
      </c>
      <c r="Q281" s="41">
        <v>43440</v>
      </c>
      <c r="R281" s="41">
        <v>43850</v>
      </c>
      <c r="S281" s="41">
        <v>44593</v>
      </c>
      <c r="T281" s="41">
        <v>45496</v>
      </c>
      <c r="U281" s="41">
        <v>46166</v>
      </c>
      <c r="V281" s="41">
        <v>46766</v>
      </c>
      <c r="W281" s="41">
        <v>47270</v>
      </c>
      <c r="X281" s="41">
        <v>47718</v>
      </c>
      <c r="Y281" s="41">
        <v>48032</v>
      </c>
      <c r="Z281" s="41">
        <v>48407</v>
      </c>
      <c r="AA281" s="41">
        <v>48941</v>
      </c>
      <c r="AB281" s="41">
        <v>49421</v>
      </c>
      <c r="AC281" s="41">
        <v>49904</v>
      </c>
      <c r="AD281" s="41">
        <v>50414</v>
      </c>
      <c r="AE281" s="41">
        <v>50942</v>
      </c>
      <c r="AF281" s="41">
        <v>51450</v>
      </c>
      <c r="AG281" s="41">
        <v>51926</v>
      </c>
      <c r="AH281" s="41">
        <v>52410</v>
      </c>
      <c r="AI281" s="41">
        <v>52897</v>
      </c>
      <c r="AJ281" s="41">
        <v>53404</v>
      </c>
      <c r="AK281" s="41">
        <v>53882</v>
      </c>
      <c r="AL281" s="41">
        <v>54364</v>
      </c>
      <c r="AM281" s="41">
        <v>54847</v>
      </c>
      <c r="AN281" s="41">
        <v>55329</v>
      </c>
      <c r="AO281" s="41">
        <v>55814</v>
      </c>
      <c r="AP281" s="41">
        <v>56293</v>
      </c>
      <c r="AQ281" s="41">
        <v>56761</v>
      </c>
      <c r="AR281" s="41">
        <v>57211</v>
      </c>
      <c r="AS281" s="41">
        <v>57661</v>
      </c>
      <c r="AT281" s="41">
        <v>58116</v>
      </c>
      <c r="AU281" s="41">
        <v>58570</v>
      </c>
      <c r="AV281" s="41">
        <v>59039</v>
      </c>
      <c r="AW281" s="41">
        <v>59513</v>
      </c>
      <c r="AX281" s="41">
        <v>59973</v>
      </c>
      <c r="AY281" s="41">
        <v>60413</v>
      </c>
    </row>
    <row r="282" spans="1:51">
      <c r="A282" s="38" t="s">
        <v>680</v>
      </c>
      <c r="B282" s="38" t="s">
        <v>681</v>
      </c>
      <c r="C282" s="41">
        <v>25254</v>
      </c>
      <c r="D282" s="41">
        <v>25492</v>
      </c>
      <c r="E282" s="41">
        <v>25691</v>
      </c>
      <c r="F282" s="41">
        <v>26081</v>
      </c>
      <c r="G282" s="41">
        <v>26431</v>
      </c>
      <c r="H282" s="41">
        <v>26565</v>
      </c>
      <c r="I282" s="41">
        <v>26743</v>
      </c>
      <c r="J282" s="41">
        <v>26865</v>
      </c>
      <c r="K282" s="41">
        <v>27134</v>
      </c>
      <c r="L282" s="41">
        <v>27407</v>
      </c>
      <c r="M282" s="41">
        <v>27624</v>
      </c>
      <c r="N282" s="41">
        <v>27890</v>
      </c>
      <c r="O282" s="41">
        <v>28205</v>
      </c>
      <c r="P282" s="41">
        <v>28458</v>
      </c>
      <c r="Q282" s="41">
        <v>28855</v>
      </c>
      <c r="R282" s="41">
        <v>29315</v>
      </c>
      <c r="S282" s="41">
        <v>29629</v>
      </c>
      <c r="T282" s="41">
        <v>30031</v>
      </c>
      <c r="U282" s="41">
        <v>30488</v>
      </c>
      <c r="V282" s="41">
        <v>31112</v>
      </c>
      <c r="W282" s="41">
        <v>31569</v>
      </c>
      <c r="X282" s="41">
        <v>32200</v>
      </c>
      <c r="Y282" s="41">
        <v>32757</v>
      </c>
      <c r="Z282" s="41">
        <v>33260</v>
      </c>
      <c r="AA282" s="41">
        <v>33810</v>
      </c>
      <c r="AB282" s="41">
        <v>34351</v>
      </c>
      <c r="AC282" s="41">
        <v>34896</v>
      </c>
      <c r="AD282" s="41">
        <v>35463</v>
      </c>
      <c r="AE282" s="41">
        <v>36014</v>
      </c>
      <c r="AF282" s="41">
        <v>36550</v>
      </c>
      <c r="AG282" s="41">
        <v>37072</v>
      </c>
      <c r="AH282" s="41">
        <v>37590</v>
      </c>
      <c r="AI282" s="41">
        <v>38112</v>
      </c>
      <c r="AJ282" s="41">
        <v>38630</v>
      </c>
      <c r="AK282" s="41">
        <v>39130</v>
      </c>
      <c r="AL282" s="41">
        <v>39637</v>
      </c>
      <c r="AM282" s="41">
        <v>40132</v>
      </c>
      <c r="AN282" s="41">
        <v>40628</v>
      </c>
      <c r="AO282" s="41">
        <v>41120</v>
      </c>
      <c r="AP282" s="41">
        <v>41593</v>
      </c>
      <c r="AQ282" s="41">
        <v>42075</v>
      </c>
      <c r="AR282" s="41">
        <v>42536</v>
      </c>
      <c r="AS282" s="41">
        <v>42996</v>
      </c>
      <c r="AT282" s="41">
        <v>43452</v>
      </c>
      <c r="AU282" s="41">
        <v>43894</v>
      </c>
      <c r="AV282" s="41">
        <v>44343</v>
      </c>
      <c r="AW282" s="41">
        <v>44781</v>
      </c>
      <c r="AX282" s="41">
        <v>45208</v>
      </c>
      <c r="AY282" s="41">
        <v>45615</v>
      </c>
    </row>
    <row r="283" spans="1:51">
      <c r="A283" s="38" t="s">
        <v>682</v>
      </c>
      <c r="B283" s="38" t="s">
        <v>683</v>
      </c>
      <c r="C283" s="41">
        <v>42431</v>
      </c>
      <c r="D283" s="41">
        <v>42355</v>
      </c>
      <c r="E283" s="41">
        <v>43189</v>
      </c>
      <c r="F283" s="41">
        <v>43568</v>
      </c>
      <c r="G283" s="41">
        <v>43688</v>
      </c>
      <c r="H283" s="41">
        <v>43554</v>
      </c>
      <c r="I283" s="41">
        <v>43765</v>
      </c>
      <c r="J283" s="41">
        <v>44187</v>
      </c>
      <c r="K283" s="41">
        <v>44811</v>
      </c>
      <c r="L283" s="41">
        <v>45358</v>
      </c>
      <c r="M283" s="41">
        <v>45842</v>
      </c>
      <c r="N283" s="41">
        <v>45952</v>
      </c>
      <c r="O283" s="41">
        <v>46259</v>
      </c>
      <c r="P283" s="41">
        <v>46529</v>
      </c>
      <c r="Q283" s="41">
        <v>47040</v>
      </c>
      <c r="R283" s="41">
        <v>47525</v>
      </c>
      <c r="S283" s="41">
        <v>47968</v>
      </c>
      <c r="T283" s="41">
        <v>48491</v>
      </c>
      <c r="U283" s="41">
        <v>48873</v>
      </c>
      <c r="V283" s="41">
        <v>49273</v>
      </c>
      <c r="W283" s="41">
        <v>49796</v>
      </c>
      <c r="X283" s="41">
        <v>50331</v>
      </c>
      <c r="Y283" s="41">
        <v>50746</v>
      </c>
      <c r="Z283" s="41">
        <v>51361</v>
      </c>
      <c r="AA283" s="41">
        <v>51924</v>
      </c>
      <c r="AB283" s="41">
        <v>52470</v>
      </c>
      <c r="AC283" s="41">
        <v>53002</v>
      </c>
      <c r="AD283" s="41">
        <v>53550</v>
      </c>
      <c r="AE283" s="41">
        <v>54104</v>
      </c>
      <c r="AF283" s="41">
        <v>54642</v>
      </c>
      <c r="AG283" s="41">
        <v>55157</v>
      </c>
      <c r="AH283" s="41">
        <v>55650</v>
      </c>
      <c r="AI283" s="41">
        <v>56154</v>
      </c>
      <c r="AJ283" s="41">
        <v>56660</v>
      </c>
      <c r="AK283" s="41">
        <v>57149</v>
      </c>
      <c r="AL283" s="41">
        <v>57637</v>
      </c>
      <c r="AM283" s="41">
        <v>58111</v>
      </c>
      <c r="AN283" s="41">
        <v>58591</v>
      </c>
      <c r="AO283" s="41">
        <v>59073</v>
      </c>
      <c r="AP283" s="41">
        <v>59545</v>
      </c>
      <c r="AQ283" s="41">
        <v>60016</v>
      </c>
      <c r="AR283" s="41">
        <v>60466</v>
      </c>
      <c r="AS283" s="41">
        <v>60907</v>
      </c>
      <c r="AT283" s="41">
        <v>61340</v>
      </c>
      <c r="AU283" s="41">
        <v>61760</v>
      </c>
      <c r="AV283" s="41">
        <v>62173</v>
      </c>
      <c r="AW283" s="41">
        <v>62575</v>
      </c>
      <c r="AX283" s="41">
        <v>62963</v>
      </c>
      <c r="AY283" s="41">
        <v>63333</v>
      </c>
    </row>
    <row r="284" spans="1:51">
      <c r="A284" s="38" t="s">
        <v>684</v>
      </c>
      <c r="B284" s="38" t="s">
        <v>685</v>
      </c>
      <c r="C284" s="41">
        <v>126215</v>
      </c>
      <c r="D284" s="41">
        <v>126899</v>
      </c>
      <c r="E284" s="41">
        <v>127257</v>
      </c>
      <c r="F284" s="41">
        <v>127709</v>
      </c>
      <c r="G284" s="41">
        <v>128406</v>
      </c>
      <c r="H284" s="41">
        <v>129022</v>
      </c>
      <c r="I284" s="41">
        <v>129441</v>
      </c>
      <c r="J284" s="41">
        <v>130285</v>
      </c>
      <c r="K284" s="41">
        <v>130756</v>
      </c>
      <c r="L284" s="41">
        <v>131427</v>
      </c>
      <c r="M284" s="41">
        <v>132377</v>
      </c>
      <c r="N284" s="41">
        <v>133143</v>
      </c>
      <c r="O284" s="41">
        <v>133967</v>
      </c>
      <c r="P284" s="41">
        <v>134628</v>
      </c>
      <c r="Q284" s="41">
        <v>135463</v>
      </c>
      <c r="R284" s="41">
        <v>136545</v>
      </c>
      <c r="S284" s="41">
        <v>137494</v>
      </c>
      <c r="T284" s="41">
        <v>138506</v>
      </c>
      <c r="U284" s="41">
        <v>139250</v>
      </c>
      <c r="V284" s="41">
        <v>140054</v>
      </c>
      <c r="W284" s="41">
        <v>140673</v>
      </c>
      <c r="X284" s="41">
        <v>141569</v>
      </c>
      <c r="Y284" s="41">
        <v>142612</v>
      </c>
      <c r="Z284" s="41">
        <v>143612</v>
      </c>
      <c r="AA284" s="41">
        <v>144572</v>
      </c>
      <c r="AB284" s="41">
        <v>145604</v>
      </c>
      <c r="AC284" s="41">
        <v>146650</v>
      </c>
      <c r="AD284" s="41">
        <v>147675</v>
      </c>
      <c r="AE284" s="41">
        <v>148707</v>
      </c>
      <c r="AF284" s="41">
        <v>149668</v>
      </c>
      <c r="AG284" s="41">
        <v>150627</v>
      </c>
      <c r="AH284" s="41">
        <v>151535</v>
      </c>
      <c r="AI284" s="41">
        <v>152405</v>
      </c>
      <c r="AJ284" s="41">
        <v>153303</v>
      </c>
      <c r="AK284" s="41">
        <v>154161</v>
      </c>
      <c r="AL284" s="41">
        <v>155060</v>
      </c>
      <c r="AM284" s="41">
        <v>155918</v>
      </c>
      <c r="AN284" s="41">
        <v>156755</v>
      </c>
      <c r="AO284" s="41">
        <v>157619</v>
      </c>
      <c r="AP284" s="41">
        <v>158454</v>
      </c>
      <c r="AQ284" s="41">
        <v>159300</v>
      </c>
      <c r="AR284" s="41">
        <v>160112</v>
      </c>
      <c r="AS284" s="41">
        <v>160907</v>
      </c>
      <c r="AT284" s="41">
        <v>161681</v>
      </c>
      <c r="AU284" s="41">
        <v>162400</v>
      </c>
      <c r="AV284" s="41">
        <v>163125</v>
      </c>
      <c r="AW284" s="41">
        <v>163831</v>
      </c>
      <c r="AX284" s="41">
        <v>164514</v>
      </c>
      <c r="AY284" s="41">
        <v>165171</v>
      </c>
    </row>
    <row r="285" spans="1:51">
      <c r="A285" s="38" t="s">
        <v>686</v>
      </c>
      <c r="B285" s="38" t="s">
        <v>687</v>
      </c>
      <c r="C285" s="41">
        <v>100368</v>
      </c>
      <c r="D285" s="41">
        <v>100587</v>
      </c>
      <c r="E285" s="41">
        <v>101201</v>
      </c>
      <c r="F285" s="41">
        <v>101275</v>
      </c>
      <c r="G285" s="41">
        <v>101232</v>
      </c>
      <c r="H285" s="41">
        <v>101541</v>
      </c>
      <c r="I285" s="41">
        <v>101678</v>
      </c>
      <c r="J285" s="41">
        <v>101651</v>
      </c>
      <c r="K285" s="41">
        <v>101792</v>
      </c>
      <c r="L285" s="41">
        <v>101710</v>
      </c>
      <c r="M285" s="41">
        <v>101345</v>
      </c>
      <c r="N285" s="41">
        <v>101829</v>
      </c>
      <c r="O285" s="41">
        <v>102260</v>
      </c>
      <c r="P285" s="41">
        <v>102686</v>
      </c>
      <c r="Q285" s="41">
        <v>103389</v>
      </c>
      <c r="R285" s="41">
        <v>103832</v>
      </c>
      <c r="S285" s="41">
        <v>104389</v>
      </c>
      <c r="T285" s="41">
        <v>105201</v>
      </c>
      <c r="U285" s="41">
        <v>105889</v>
      </c>
      <c r="V285" s="41">
        <v>106810</v>
      </c>
      <c r="W285" s="41">
        <v>107909</v>
      </c>
      <c r="X285" s="41">
        <v>108728</v>
      </c>
      <c r="Y285" s="41">
        <v>109361</v>
      </c>
      <c r="Z285" s="41">
        <v>110155</v>
      </c>
      <c r="AA285" s="41">
        <v>110882</v>
      </c>
      <c r="AB285" s="41">
        <v>111700</v>
      </c>
      <c r="AC285" s="41">
        <v>112530</v>
      </c>
      <c r="AD285" s="41">
        <v>113397</v>
      </c>
      <c r="AE285" s="41">
        <v>114214</v>
      </c>
      <c r="AF285" s="41">
        <v>114999</v>
      </c>
      <c r="AG285" s="41">
        <v>115825</v>
      </c>
      <c r="AH285" s="41">
        <v>116612</v>
      </c>
      <c r="AI285" s="41">
        <v>117423</v>
      </c>
      <c r="AJ285" s="41">
        <v>118220</v>
      </c>
      <c r="AK285" s="41">
        <v>118985</v>
      </c>
      <c r="AL285" s="41">
        <v>119805</v>
      </c>
      <c r="AM285" s="41">
        <v>120592</v>
      </c>
      <c r="AN285" s="41">
        <v>121390</v>
      </c>
      <c r="AO285" s="41">
        <v>122191</v>
      </c>
      <c r="AP285" s="41">
        <v>122954</v>
      </c>
      <c r="AQ285" s="41">
        <v>123755</v>
      </c>
      <c r="AR285" s="41">
        <v>124537</v>
      </c>
      <c r="AS285" s="41">
        <v>125328</v>
      </c>
      <c r="AT285" s="41">
        <v>126122</v>
      </c>
      <c r="AU285" s="41">
        <v>126888</v>
      </c>
      <c r="AV285" s="41">
        <v>127699</v>
      </c>
      <c r="AW285" s="41">
        <v>128534</v>
      </c>
      <c r="AX285" s="41">
        <v>129375</v>
      </c>
      <c r="AY285" s="41">
        <v>130186</v>
      </c>
    </row>
    <row r="286" spans="1:51">
      <c r="A286" s="38" t="s">
        <v>688</v>
      </c>
      <c r="B286" s="38" t="s">
        <v>689</v>
      </c>
      <c r="C286" s="41">
        <v>86136</v>
      </c>
      <c r="D286" s="41">
        <v>86176</v>
      </c>
      <c r="E286" s="41">
        <v>86569</v>
      </c>
      <c r="F286" s="41">
        <v>87142</v>
      </c>
      <c r="G286" s="41">
        <v>87164</v>
      </c>
      <c r="H286" s="41">
        <v>87042</v>
      </c>
      <c r="I286" s="41">
        <v>86950</v>
      </c>
      <c r="J286" s="41">
        <v>87857</v>
      </c>
      <c r="K286" s="41">
        <v>88019</v>
      </c>
      <c r="L286" s="41">
        <v>88785</v>
      </c>
      <c r="M286" s="41">
        <v>89912</v>
      </c>
      <c r="N286" s="41">
        <v>90249</v>
      </c>
      <c r="O286" s="41">
        <v>89853</v>
      </c>
      <c r="P286" s="41">
        <v>89345</v>
      </c>
      <c r="Q286" s="41">
        <v>89395</v>
      </c>
      <c r="R286" s="41">
        <v>90023</v>
      </c>
      <c r="S286" s="41">
        <v>90863</v>
      </c>
      <c r="T286" s="41">
        <v>92482</v>
      </c>
      <c r="U286" s="41">
        <v>94128</v>
      </c>
      <c r="V286" s="41">
        <v>95834</v>
      </c>
      <c r="W286" s="41">
        <v>97436</v>
      </c>
      <c r="X286" s="41">
        <v>98874</v>
      </c>
      <c r="Y286" s="41">
        <v>100696</v>
      </c>
      <c r="Z286" s="41">
        <v>102147</v>
      </c>
      <c r="AA286" s="41">
        <v>104140</v>
      </c>
      <c r="AB286" s="41">
        <v>105913</v>
      </c>
      <c r="AC286" s="41">
        <v>107583</v>
      </c>
      <c r="AD286" s="41">
        <v>109358</v>
      </c>
      <c r="AE286" s="41">
        <v>111084</v>
      </c>
      <c r="AF286" s="41">
        <v>112818</v>
      </c>
      <c r="AG286" s="41">
        <v>114543</v>
      </c>
      <c r="AH286" s="41">
        <v>116253</v>
      </c>
      <c r="AI286" s="41">
        <v>117996</v>
      </c>
      <c r="AJ286" s="41">
        <v>119721</v>
      </c>
      <c r="AK286" s="41">
        <v>121444</v>
      </c>
      <c r="AL286" s="41">
        <v>123169</v>
      </c>
      <c r="AM286" s="41">
        <v>124858</v>
      </c>
      <c r="AN286" s="41">
        <v>126537</v>
      </c>
      <c r="AO286" s="41">
        <v>128170</v>
      </c>
      <c r="AP286" s="41">
        <v>129782</v>
      </c>
      <c r="AQ286" s="41">
        <v>131378</v>
      </c>
      <c r="AR286" s="41">
        <v>132965</v>
      </c>
      <c r="AS286" s="41">
        <v>134514</v>
      </c>
      <c r="AT286" s="41">
        <v>136059</v>
      </c>
      <c r="AU286" s="41">
        <v>137596</v>
      </c>
      <c r="AV286" s="41">
        <v>139143</v>
      </c>
      <c r="AW286" s="41">
        <v>140732</v>
      </c>
      <c r="AX286" s="41">
        <v>142270</v>
      </c>
      <c r="AY286" s="41">
        <v>143765</v>
      </c>
    </row>
    <row r="287" spans="1:51">
      <c r="A287" s="38" t="s">
        <v>690</v>
      </c>
      <c r="B287" s="38" t="s">
        <v>691</v>
      </c>
      <c r="C287" s="41">
        <v>114120</v>
      </c>
      <c r="D287" s="41">
        <v>114124</v>
      </c>
      <c r="E287" s="41">
        <v>113654</v>
      </c>
      <c r="F287" s="41">
        <v>113419</v>
      </c>
      <c r="G287" s="41">
        <v>112752</v>
      </c>
      <c r="H287" s="41">
        <v>113052</v>
      </c>
      <c r="I287" s="41">
        <v>112852</v>
      </c>
      <c r="J287" s="41">
        <v>113177</v>
      </c>
      <c r="K287" s="41">
        <v>115321</v>
      </c>
      <c r="L287" s="41">
        <v>117442</v>
      </c>
      <c r="M287" s="41">
        <v>119394</v>
      </c>
      <c r="N287" s="41">
        <v>120483</v>
      </c>
      <c r="O287" s="41">
        <v>120732</v>
      </c>
      <c r="P287" s="41">
        <v>120929</v>
      </c>
      <c r="Q287" s="41">
        <v>122707</v>
      </c>
      <c r="R287" s="41">
        <v>124253</v>
      </c>
      <c r="S287" s="41">
        <v>125277</v>
      </c>
      <c r="T287" s="41">
        <v>126083</v>
      </c>
      <c r="U287" s="41">
        <v>127925</v>
      </c>
      <c r="V287" s="41">
        <v>128983</v>
      </c>
      <c r="W287" s="41">
        <v>130814</v>
      </c>
      <c r="X287" s="41">
        <v>131253</v>
      </c>
      <c r="Y287" s="41">
        <v>132659</v>
      </c>
      <c r="Z287" s="41">
        <v>133591</v>
      </c>
      <c r="AA287" s="41">
        <v>135375</v>
      </c>
      <c r="AB287" s="41">
        <v>137031</v>
      </c>
      <c r="AC287" s="41">
        <v>138621</v>
      </c>
      <c r="AD287" s="41">
        <v>140190</v>
      </c>
      <c r="AE287" s="41">
        <v>141725</v>
      </c>
      <c r="AF287" s="41">
        <v>143179</v>
      </c>
      <c r="AG287" s="41">
        <v>144680</v>
      </c>
      <c r="AH287" s="41">
        <v>146147</v>
      </c>
      <c r="AI287" s="41">
        <v>147588</v>
      </c>
      <c r="AJ287" s="41">
        <v>149021</v>
      </c>
      <c r="AK287" s="41">
        <v>150402</v>
      </c>
      <c r="AL287" s="41">
        <v>151819</v>
      </c>
      <c r="AM287" s="41">
        <v>153215</v>
      </c>
      <c r="AN287" s="41">
        <v>154561</v>
      </c>
      <c r="AO287" s="41">
        <v>155908</v>
      </c>
      <c r="AP287" s="41">
        <v>157241</v>
      </c>
      <c r="AQ287" s="41">
        <v>158607</v>
      </c>
      <c r="AR287" s="41">
        <v>159969</v>
      </c>
      <c r="AS287" s="41">
        <v>161336</v>
      </c>
      <c r="AT287" s="41">
        <v>162752</v>
      </c>
      <c r="AU287" s="41">
        <v>164202</v>
      </c>
      <c r="AV287" s="41">
        <v>165734</v>
      </c>
      <c r="AW287" s="41">
        <v>167303</v>
      </c>
      <c r="AX287" s="41">
        <v>168859</v>
      </c>
      <c r="AY287" s="41">
        <v>170366</v>
      </c>
    </row>
    <row r="288" spans="1:51">
      <c r="A288" s="38" t="s">
        <v>692</v>
      </c>
      <c r="B288" s="38" t="s">
        <v>693</v>
      </c>
      <c r="C288" s="41">
        <v>71990</v>
      </c>
      <c r="D288" s="41">
        <v>72032</v>
      </c>
      <c r="E288" s="41">
        <v>72887</v>
      </c>
      <c r="F288" s="41">
        <v>73802</v>
      </c>
      <c r="G288" s="41">
        <v>74829</v>
      </c>
      <c r="H288" s="41">
        <v>75654</v>
      </c>
      <c r="I288" s="41">
        <v>76337</v>
      </c>
      <c r="J288" s="41">
        <v>76877</v>
      </c>
      <c r="K288" s="41">
        <v>77293</v>
      </c>
      <c r="L288" s="41">
        <v>77607</v>
      </c>
      <c r="M288" s="41">
        <v>78106</v>
      </c>
      <c r="N288" s="41">
        <v>78648</v>
      </c>
      <c r="O288" s="41">
        <v>79046</v>
      </c>
      <c r="P288" s="41">
        <v>79229</v>
      </c>
      <c r="Q288" s="41">
        <v>79889</v>
      </c>
      <c r="R288" s="41">
        <v>80732</v>
      </c>
      <c r="S288" s="41">
        <v>81695</v>
      </c>
      <c r="T288" s="41">
        <v>82665</v>
      </c>
      <c r="U288" s="41">
        <v>83725</v>
      </c>
      <c r="V288" s="41">
        <v>84530</v>
      </c>
      <c r="W288" s="41">
        <v>85357</v>
      </c>
      <c r="X288" s="41">
        <v>86046</v>
      </c>
      <c r="Y288" s="41">
        <v>87024</v>
      </c>
      <c r="Z288" s="41">
        <v>87947</v>
      </c>
      <c r="AA288" s="41">
        <v>88815</v>
      </c>
      <c r="AB288" s="41">
        <v>89738</v>
      </c>
      <c r="AC288" s="41">
        <v>90647</v>
      </c>
      <c r="AD288" s="41">
        <v>91505</v>
      </c>
      <c r="AE288" s="41">
        <v>92400</v>
      </c>
      <c r="AF288" s="41">
        <v>93233</v>
      </c>
      <c r="AG288" s="41">
        <v>94062</v>
      </c>
      <c r="AH288" s="41">
        <v>94886</v>
      </c>
      <c r="AI288" s="41">
        <v>95642</v>
      </c>
      <c r="AJ288" s="41">
        <v>96402</v>
      </c>
      <c r="AK288" s="41">
        <v>97116</v>
      </c>
      <c r="AL288" s="41">
        <v>97835</v>
      </c>
      <c r="AM288" s="41">
        <v>98566</v>
      </c>
      <c r="AN288" s="41">
        <v>99236</v>
      </c>
      <c r="AO288" s="41">
        <v>99906</v>
      </c>
      <c r="AP288" s="41">
        <v>100562</v>
      </c>
      <c r="AQ288" s="41">
        <v>101207</v>
      </c>
      <c r="AR288" s="41">
        <v>101832</v>
      </c>
      <c r="AS288" s="41">
        <v>102419</v>
      </c>
      <c r="AT288" s="41">
        <v>103007</v>
      </c>
      <c r="AU288" s="41">
        <v>103578</v>
      </c>
      <c r="AV288" s="41">
        <v>104155</v>
      </c>
      <c r="AW288" s="41">
        <v>104736</v>
      </c>
      <c r="AX288" s="41">
        <v>105287</v>
      </c>
      <c r="AY288" s="41">
        <v>105836</v>
      </c>
    </row>
    <row r="289" spans="1:51">
      <c r="A289" s="38" t="s">
        <v>694</v>
      </c>
      <c r="B289" s="38" t="s">
        <v>695</v>
      </c>
      <c r="C289" s="41">
        <v>48202</v>
      </c>
      <c r="D289" s="41">
        <v>48528</v>
      </c>
      <c r="E289" s="41">
        <v>48600</v>
      </c>
      <c r="F289" s="41">
        <v>49090</v>
      </c>
      <c r="G289" s="41">
        <v>49550</v>
      </c>
      <c r="H289" s="41">
        <v>50347</v>
      </c>
      <c r="I289" s="41">
        <v>50597</v>
      </c>
      <c r="J289" s="41">
        <v>50997</v>
      </c>
      <c r="K289" s="41">
        <v>51567</v>
      </c>
      <c r="L289" s="41">
        <v>52307</v>
      </c>
      <c r="M289" s="41">
        <v>53470</v>
      </c>
      <c r="N289" s="41">
        <v>54170</v>
      </c>
      <c r="O289" s="41">
        <v>54980</v>
      </c>
      <c r="P289" s="41">
        <v>55678</v>
      </c>
      <c r="Q289" s="41">
        <v>56518</v>
      </c>
      <c r="R289" s="41">
        <v>57072</v>
      </c>
      <c r="S289" s="41">
        <v>57436</v>
      </c>
      <c r="T289" s="41">
        <v>57820</v>
      </c>
      <c r="U289" s="41">
        <v>58228</v>
      </c>
      <c r="V289" s="41">
        <v>58533</v>
      </c>
      <c r="W289" s="41">
        <v>58714</v>
      </c>
      <c r="X289" s="41">
        <v>59126</v>
      </c>
      <c r="Y289" s="41">
        <v>59070</v>
      </c>
      <c r="Z289" s="41">
        <v>59457</v>
      </c>
      <c r="AA289" s="41">
        <v>60054</v>
      </c>
      <c r="AB289" s="41">
        <v>60655</v>
      </c>
      <c r="AC289" s="41">
        <v>61131</v>
      </c>
      <c r="AD289" s="41">
        <v>61533</v>
      </c>
      <c r="AE289" s="41">
        <v>61977</v>
      </c>
      <c r="AF289" s="41">
        <v>62496</v>
      </c>
      <c r="AG289" s="41">
        <v>63007</v>
      </c>
      <c r="AH289" s="41">
        <v>63486</v>
      </c>
      <c r="AI289" s="41">
        <v>63920</v>
      </c>
      <c r="AJ289" s="41">
        <v>64382</v>
      </c>
      <c r="AK289" s="41">
        <v>64855</v>
      </c>
      <c r="AL289" s="41">
        <v>65328</v>
      </c>
      <c r="AM289" s="41">
        <v>65806</v>
      </c>
      <c r="AN289" s="41">
        <v>66280</v>
      </c>
      <c r="AO289" s="41">
        <v>66768</v>
      </c>
      <c r="AP289" s="41">
        <v>67255</v>
      </c>
      <c r="AQ289" s="41">
        <v>67743</v>
      </c>
      <c r="AR289" s="41">
        <v>68237</v>
      </c>
      <c r="AS289" s="41">
        <v>68694</v>
      </c>
      <c r="AT289" s="41">
        <v>69138</v>
      </c>
      <c r="AU289" s="41">
        <v>69576</v>
      </c>
      <c r="AV289" s="41">
        <v>70030</v>
      </c>
      <c r="AW289" s="41">
        <v>70503</v>
      </c>
      <c r="AX289" s="41">
        <v>70956</v>
      </c>
      <c r="AY289" s="41">
        <v>71397</v>
      </c>
    </row>
    <row r="290" spans="1:51">
      <c r="A290" s="38" t="s">
        <v>696</v>
      </c>
      <c r="B290" s="38" t="s">
        <v>697</v>
      </c>
      <c r="C290" s="41">
        <v>29487</v>
      </c>
      <c r="D290" s="41">
        <v>29684</v>
      </c>
      <c r="E290" s="41">
        <v>29484</v>
      </c>
      <c r="F290" s="41">
        <v>29659</v>
      </c>
      <c r="G290" s="41">
        <v>30006</v>
      </c>
      <c r="H290" s="41">
        <v>30615</v>
      </c>
      <c r="I290" s="41">
        <v>31076</v>
      </c>
      <c r="J290" s="41">
        <v>31512</v>
      </c>
      <c r="K290" s="41">
        <v>31836</v>
      </c>
      <c r="L290" s="41">
        <v>32105</v>
      </c>
      <c r="M290" s="41">
        <v>32363</v>
      </c>
      <c r="N290" s="41">
        <v>32320</v>
      </c>
      <c r="O290" s="41">
        <v>32470</v>
      </c>
      <c r="P290" s="41">
        <v>32598</v>
      </c>
      <c r="Q290" s="41">
        <v>33120</v>
      </c>
      <c r="R290" s="41">
        <v>33223</v>
      </c>
      <c r="S290" s="41">
        <v>33608</v>
      </c>
      <c r="T290" s="41">
        <v>34275</v>
      </c>
      <c r="U290" s="41">
        <v>35094</v>
      </c>
      <c r="V290" s="41">
        <v>35918</v>
      </c>
      <c r="W290" s="41">
        <v>36759</v>
      </c>
      <c r="X290" s="41">
        <v>37319</v>
      </c>
      <c r="Y290" s="41">
        <v>38007</v>
      </c>
      <c r="Z290" s="41">
        <v>38732</v>
      </c>
      <c r="AA290" s="41">
        <v>39364</v>
      </c>
      <c r="AB290" s="41">
        <v>39965</v>
      </c>
      <c r="AC290" s="41">
        <v>40594</v>
      </c>
      <c r="AD290" s="41">
        <v>41227</v>
      </c>
      <c r="AE290" s="41">
        <v>41825</v>
      </c>
      <c r="AF290" s="41">
        <v>42418</v>
      </c>
      <c r="AG290" s="41">
        <v>42994</v>
      </c>
      <c r="AH290" s="41">
        <v>43577</v>
      </c>
      <c r="AI290" s="41">
        <v>44158</v>
      </c>
      <c r="AJ290" s="41">
        <v>44717</v>
      </c>
      <c r="AK290" s="41">
        <v>45272</v>
      </c>
      <c r="AL290" s="41">
        <v>45825</v>
      </c>
      <c r="AM290" s="41">
        <v>46374</v>
      </c>
      <c r="AN290" s="41">
        <v>46929</v>
      </c>
      <c r="AO290" s="41">
        <v>47488</v>
      </c>
      <c r="AP290" s="41">
        <v>48038</v>
      </c>
      <c r="AQ290" s="41">
        <v>48597</v>
      </c>
      <c r="AR290" s="41">
        <v>49156</v>
      </c>
      <c r="AS290" s="41">
        <v>49717</v>
      </c>
      <c r="AT290" s="41">
        <v>50280</v>
      </c>
      <c r="AU290" s="41">
        <v>50834</v>
      </c>
      <c r="AV290" s="41">
        <v>51390</v>
      </c>
      <c r="AW290" s="41">
        <v>51950</v>
      </c>
      <c r="AX290" s="41">
        <v>52504</v>
      </c>
      <c r="AY290" s="41">
        <v>53045</v>
      </c>
    </row>
    <row r="291" spans="1:51">
      <c r="A291" s="38" t="s">
        <v>698</v>
      </c>
      <c r="B291" s="38" t="s">
        <v>699</v>
      </c>
      <c r="C291" s="41">
        <v>45278</v>
      </c>
      <c r="D291" s="41">
        <v>45216</v>
      </c>
      <c r="E291" s="41">
        <v>45378</v>
      </c>
      <c r="F291" s="41">
        <v>45574</v>
      </c>
      <c r="G291" s="41">
        <v>45867</v>
      </c>
      <c r="H291" s="41">
        <v>45651</v>
      </c>
      <c r="I291" s="41">
        <v>46175</v>
      </c>
      <c r="J291" s="41">
        <v>46452</v>
      </c>
      <c r="K291" s="41">
        <v>46707</v>
      </c>
      <c r="L291" s="41">
        <v>46858</v>
      </c>
      <c r="M291" s="41">
        <v>47191</v>
      </c>
      <c r="N291" s="41">
        <v>47044</v>
      </c>
      <c r="O291" s="41">
        <v>47182</v>
      </c>
      <c r="P291" s="41">
        <v>47264</v>
      </c>
      <c r="Q291" s="41">
        <v>47227</v>
      </c>
      <c r="R291" s="41">
        <v>47562</v>
      </c>
      <c r="S291" s="41">
        <v>47845</v>
      </c>
      <c r="T291" s="41">
        <v>48287</v>
      </c>
      <c r="U291" s="41">
        <v>48684</v>
      </c>
      <c r="V291" s="41">
        <v>49036</v>
      </c>
      <c r="W291" s="41">
        <v>49368</v>
      </c>
      <c r="X291" s="41">
        <v>49455</v>
      </c>
      <c r="Y291" s="41">
        <v>49694</v>
      </c>
      <c r="Z291" s="41">
        <v>49942</v>
      </c>
      <c r="AA291" s="41">
        <v>50290</v>
      </c>
      <c r="AB291" s="41">
        <v>50657</v>
      </c>
      <c r="AC291" s="41">
        <v>51020</v>
      </c>
      <c r="AD291" s="41">
        <v>51414</v>
      </c>
      <c r="AE291" s="41">
        <v>51810</v>
      </c>
      <c r="AF291" s="41">
        <v>52183</v>
      </c>
      <c r="AG291" s="41">
        <v>52569</v>
      </c>
      <c r="AH291" s="41">
        <v>52945</v>
      </c>
      <c r="AI291" s="41">
        <v>53329</v>
      </c>
      <c r="AJ291" s="41">
        <v>53718</v>
      </c>
      <c r="AK291" s="41">
        <v>54101</v>
      </c>
      <c r="AL291" s="41">
        <v>54501</v>
      </c>
      <c r="AM291" s="41">
        <v>54901</v>
      </c>
      <c r="AN291" s="41">
        <v>55299</v>
      </c>
      <c r="AO291" s="41">
        <v>55694</v>
      </c>
      <c r="AP291" s="41">
        <v>56098</v>
      </c>
      <c r="AQ291" s="41">
        <v>56492</v>
      </c>
      <c r="AR291" s="41">
        <v>56871</v>
      </c>
      <c r="AS291" s="41">
        <v>57246</v>
      </c>
      <c r="AT291" s="41">
        <v>57602</v>
      </c>
      <c r="AU291" s="41">
        <v>57958</v>
      </c>
      <c r="AV291" s="41">
        <v>58322</v>
      </c>
      <c r="AW291" s="41">
        <v>58684</v>
      </c>
      <c r="AX291" s="41">
        <v>59027</v>
      </c>
      <c r="AY291" s="41">
        <v>59349</v>
      </c>
    </row>
    <row r="292" spans="1:51">
      <c r="A292" s="38" t="s">
        <v>700</v>
      </c>
      <c r="B292" s="38" t="s">
        <v>701</v>
      </c>
      <c r="C292" s="41">
        <v>53096</v>
      </c>
      <c r="D292" s="41">
        <v>53875</v>
      </c>
      <c r="E292" s="41">
        <v>54033</v>
      </c>
      <c r="F292" s="41">
        <v>54501</v>
      </c>
      <c r="G292" s="41">
        <v>55090</v>
      </c>
      <c r="H292" s="41">
        <v>55702</v>
      </c>
      <c r="I292" s="41">
        <v>56437</v>
      </c>
      <c r="J292" s="41">
        <v>57191</v>
      </c>
      <c r="K292" s="41">
        <v>57745</v>
      </c>
      <c r="L292" s="41">
        <v>58188</v>
      </c>
      <c r="M292" s="41">
        <v>58463</v>
      </c>
      <c r="N292" s="41">
        <v>58913</v>
      </c>
      <c r="O292" s="41">
        <v>59496</v>
      </c>
      <c r="P292" s="41">
        <v>59962</v>
      </c>
      <c r="Q292" s="41">
        <v>60354</v>
      </c>
      <c r="R292" s="41">
        <v>60777</v>
      </c>
      <c r="S292" s="41">
        <v>61338</v>
      </c>
      <c r="T292" s="41">
        <v>61742</v>
      </c>
      <c r="U292" s="41">
        <v>61819</v>
      </c>
      <c r="V292" s="41">
        <v>62400</v>
      </c>
      <c r="W292" s="41">
        <v>62885</v>
      </c>
      <c r="X292" s="41">
        <v>63818</v>
      </c>
      <c r="Y292" s="41">
        <v>64673</v>
      </c>
      <c r="Z292" s="41">
        <v>65702</v>
      </c>
      <c r="AA292" s="41">
        <v>66534</v>
      </c>
      <c r="AB292" s="41">
        <v>67398</v>
      </c>
      <c r="AC292" s="41">
        <v>68301</v>
      </c>
      <c r="AD292" s="41">
        <v>69219</v>
      </c>
      <c r="AE292" s="41">
        <v>70125</v>
      </c>
      <c r="AF292" s="41">
        <v>71016</v>
      </c>
      <c r="AG292" s="41">
        <v>71892</v>
      </c>
      <c r="AH292" s="41">
        <v>72773</v>
      </c>
      <c r="AI292" s="41">
        <v>73664</v>
      </c>
      <c r="AJ292" s="41">
        <v>74551</v>
      </c>
      <c r="AK292" s="41">
        <v>75421</v>
      </c>
      <c r="AL292" s="41">
        <v>76302</v>
      </c>
      <c r="AM292" s="41">
        <v>77179</v>
      </c>
      <c r="AN292" s="41">
        <v>78050</v>
      </c>
      <c r="AO292" s="41">
        <v>78919</v>
      </c>
      <c r="AP292" s="41">
        <v>79767</v>
      </c>
      <c r="AQ292" s="41">
        <v>80612</v>
      </c>
      <c r="AR292" s="41">
        <v>81431</v>
      </c>
      <c r="AS292" s="41">
        <v>82238</v>
      </c>
      <c r="AT292" s="41">
        <v>83019</v>
      </c>
      <c r="AU292" s="41">
        <v>83785</v>
      </c>
      <c r="AV292" s="41">
        <v>84537</v>
      </c>
      <c r="AW292" s="41">
        <v>85266</v>
      </c>
      <c r="AX292" s="41">
        <v>85963</v>
      </c>
      <c r="AY292" s="41">
        <v>86629</v>
      </c>
    </row>
    <row r="293" spans="1:51">
      <c r="A293" s="38" t="s">
        <v>702</v>
      </c>
      <c r="B293" s="38" t="s">
        <v>703</v>
      </c>
      <c r="C293" s="41">
        <v>27020</v>
      </c>
      <c r="D293" s="41">
        <v>27360</v>
      </c>
      <c r="E293" s="41">
        <v>27485</v>
      </c>
      <c r="F293" s="41">
        <v>27774</v>
      </c>
      <c r="G293" s="41">
        <v>28087</v>
      </c>
      <c r="H293" s="41">
        <v>28256</v>
      </c>
      <c r="I293" s="41">
        <v>28513</v>
      </c>
      <c r="J293" s="41">
        <v>28605</v>
      </c>
      <c r="K293" s="41">
        <v>29231</v>
      </c>
      <c r="L293" s="41">
        <v>29789</v>
      </c>
      <c r="M293" s="41">
        <v>30124</v>
      </c>
      <c r="N293" s="41">
        <v>30482</v>
      </c>
      <c r="O293" s="41">
        <v>30559</v>
      </c>
      <c r="P293" s="41">
        <v>30631</v>
      </c>
      <c r="Q293" s="41">
        <v>31082</v>
      </c>
      <c r="R293" s="41">
        <v>31365</v>
      </c>
      <c r="S293" s="41">
        <v>31561</v>
      </c>
      <c r="T293" s="41">
        <v>31702</v>
      </c>
      <c r="U293" s="41">
        <v>31818</v>
      </c>
      <c r="V293" s="41">
        <v>31955</v>
      </c>
      <c r="W293" s="41">
        <v>32170</v>
      </c>
      <c r="X293" s="41">
        <v>32377</v>
      </c>
      <c r="Y293" s="41">
        <v>32204</v>
      </c>
      <c r="Z293" s="41">
        <v>32411</v>
      </c>
      <c r="AA293" s="41">
        <v>32685</v>
      </c>
      <c r="AB293" s="41">
        <v>32973</v>
      </c>
      <c r="AC293" s="41">
        <v>33258</v>
      </c>
      <c r="AD293" s="41">
        <v>33537</v>
      </c>
      <c r="AE293" s="41">
        <v>33820</v>
      </c>
      <c r="AF293" s="41">
        <v>34102</v>
      </c>
      <c r="AG293" s="41">
        <v>34389</v>
      </c>
      <c r="AH293" s="41">
        <v>34674</v>
      </c>
      <c r="AI293" s="41">
        <v>34957</v>
      </c>
      <c r="AJ293" s="41">
        <v>35236</v>
      </c>
      <c r="AK293" s="41">
        <v>35508</v>
      </c>
      <c r="AL293" s="41">
        <v>35788</v>
      </c>
      <c r="AM293" s="41">
        <v>36061</v>
      </c>
      <c r="AN293" s="41">
        <v>36339</v>
      </c>
      <c r="AO293" s="41">
        <v>36617</v>
      </c>
      <c r="AP293" s="41">
        <v>36893</v>
      </c>
      <c r="AQ293" s="41">
        <v>37179</v>
      </c>
      <c r="AR293" s="41">
        <v>37468</v>
      </c>
      <c r="AS293" s="41">
        <v>37737</v>
      </c>
      <c r="AT293" s="41">
        <v>37996</v>
      </c>
      <c r="AU293" s="41">
        <v>38248</v>
      </c>
      <c r="AV293" s="41">
        <v>38499</v>
      </c>
      <c r="AW293" s="41">
        <v>38745</v>
      </c>
      <c r="AX293" s="41">
        <v>38977</v>
      </c>
      <c r="AY293" s="41">
        <v>39202</v>
      </c>
    </row>
    <row r="294" spans="1:51">
      <c r="A294" s="38" t="s">
        <v>704</v>
      </c>
      <c r="B294" s="38" t="s">
        <v>705</v>
      </c>
      <c r="C294" s="41">
        <v>38190</v>
      </c>
      <c r="D294" s="41">
        <v>38306</v>
      </c>
      <c r="E294" s="41">
        <v>38463</v>
      </c>
      <c r="F294" s="41">
        <v>38175</v>
      </c>
      <c r="G294" s="41">
        <v>38381</v>
      </c>
      <c r="H294" s="41">
        <v>38563</v>
      </c>
      <c r="I294" s="41">
        <v>38477</v>
      </c>
      <c r="J294" s="41">
        <v>38624</v>
      </c>
      <c r="K294" s="41">
        <v>39173</v>
      </c>
      <c r="L294" s="41">
        <v>39424</v>
      </c>
      <c r="M294" s="41">
        <v>39873</v>
      </c>
      <c r="N294" s="41">
        <v>39953</v>
      </c>
      <c r="O294" s="41">
        <v>40171</v>
      </c>
      <c r="P294" s="41">
        <v>40628</v>
      </c>
      <c r="Q294" s="41">
        <v>41312</v>
      </c>
      <c r="R294" s="41">
        <v>41864</v>
      </c>
      <c r="S294" s="41">
        <v>42375</v>
      </c>
      <c r="T294" s="41">
        <v>42761</v>
      </c>
      <c r="U294" s="41">
        <v>43130</v>
      </c>
      <c r="V294" s="41">
        <v>43340</v>
      </c>
      <c r="W294" s="41">
        <v>43714</v>
      </c>
      <c r="X294" s="41">
        <v>44079</v>
      </c>
      <c r="Y294" s="41">
        <v>45019</v>
      </c>
      <c r="Z294" s="41">
        <v>45905</v>
      </c>
      <c r="AA294" s="41">
        <v>46527</v>
      </c>
      <c r="AB294" s="41">
        <v>47238</v>
      </c>
      <c r="AC294" s="41">
        <v>47921</v>
      </c>
      <c r="AD294" s="41">
        <v>48599</v>
      </c>
      <c r="AE294" s="41">
        <v>49232</v>
      </c>
      <c r="AF294" s="41">
        <v>49814</v>
      </c>
      <c r="AG294" s="41">
        <v>50425</v>
      </c>
      <c r="AH294" s="41">
        <v>51015</v>
      </c>
      <c r="AI294" s="41">
        <v>51621</v>
      </c>
      <c r="AJ294" s="41">
        <v>52236</v>
      </c>
      <c r="AK294" s="41">
        <v>52851</v>
      </c>
      <c r="AL294" s="41">
        <v>53501</v>
      </c>
      <c r="AM294" s="41">
        <v>54149</v>
      </c>
      <c r="AN294" s="41">
        <v>54793</v>
      </c>
      <c r="AO294" s="41">
        <v>55430</v>
      </c>
      <c r="AP294" s="41">
        <v>56064</v>
      </c>
      <c r="AQ294" s="41">
        <v>56709</v>
      </c>
      <c r="AR294" s="41">
        <v>57360</v>
      </c>
      <c r="AS294" s="41">
        <v>57991</v>
      </c>
      <c r="AT294" s="41">
        <v>58602</v>
      </c>
      <c r="AU294" s="41">
        <v>59223</v>
      </c>
      <c r="AV294" s="41">
        <v>59857</v>
      </c>
      <c r="AW294" s="41">
        <v>60495</v>
      </c>
      <c r="AX294" s="41">
        <v>61117</v>
      </c>
      <c r="AY294" s="41">
        <v>61722</v>
      </c>
    </row>
    <row r="295" spans="1:51">
      <c r="A295" s="38" t="s">
        <v>706</v>
      </c>
      <c r="B295" s="38" t="s">
        <v>707</v>
      </c>
      <c r="C295" s="41">
        <v>52474</v>
      </c>
      <c r="D295" s="41">
        <v>53125</v>
      </c>
      <c r="E295" s="41">
        <v>53765</v>
      </c>
      <c r="F295" s="41">
        <v>54307</v>
      </c>
      <c r="G295" s="41">
        <v>55002</v>
      </c>
      <c r="H295" s="41">
        <v>55656</v>
      </c>
      <c r="I295" s="41">
        <v>56043</v>
      </c>
      <c r="J295" s="41">
        <v>56222</v>
      </c>
      <c r="K295" s="41">
        <v>56773</v>
      </c>
      <c r="L295" s="41">
        <v>57087</v>
      </c>
      <c r="M295" s="41">
        <v>57427</v>
      </c>
      <c r="N295" s="41">
        <v>57468</v>
      </c>
      <c r="O295" s="41">
        <v>57751</v>
      </c>
      <c r="P295" s="41">
        <v>58173</v>
      </c>
      <c r="Q295" s="41">
        <v>58817</v>
      </c>
      <c r="R295" s="41">
        <v>59577</v>
      </c>
      <c r="S295" s="41">
        <v>60355</v>
      </c>
      <c r="T295" s="41">
        <v>61244</v>
      </c>
      <c r="U295" s="41">
        <v>61762</v>
      </c>
      <c r="V295" s="41">
        <v>62302</v>
      </c>
      <c r="W295" s="41">
        <v>62448</v>
      </c>
      <c r="X295" s="41">
        <v>62789</v>
      </c>
      <c r="Y295" s="41">
        <v>63220</v>
      </c>
      <c r="Z295" s="41">
        <v>63578</v>
      </c>
      <c r="AA295" s="41">
        <v>63959</v>
      </c>
      <c r="AB295" s="41">
        <v>64361</v>
      </c>
      <c r="AC295" s="41">
        <v>64777</v>
      </c>
      <c r="AD295" s="41">
        <v>65210</v>
      </c>
      <c r="AE295" s="41">
        <v>65621</v>
      </c>
      <c r="AF295" s="41">
        <v>66030</v>
      </c>
      <c r="AG295" s="41">
        <v>66422</v>
      </c>
      <c r="AH295" s="41">
        <v>66804</v>
      </c>
      <c r="AI295" s="41">
        <v>67187</v>
      </c>
      <c r="AJ295" s="41">
        <v>67561</v>
      </c>
      <c r="AK295" s="41">
        <v>67949</v>
      </c>
      <c r="AL295" s="41">
        <v>68335</v>
      </c>
      <c r="AM295" s="41">
        <v>68713</v>
      </c>
      <c r="AN295" s="41">
        <v>69101</v>
      </c>
      <c r="AO295" s="41">
        <v>69468</v>
      </c>
      <c r="AP295" s="41">
        <v>69842</v>
      </c>
      <c r="AQ295" s="41">
        <v>70222</v>
      </c>
      <c r="AR295" s="41">
        <v>70581</v>
      </c>
      <c r="AS295" s="41">
        <v>70936</v>
      </c>
      <c r="AT295" s="41">
        <v>71261</v>
      </c>
      <c r="AU295" s="41">
        <v>71582</v>
      </c>
      <c r="AV295" s="41">
        <v>71889</v>
      </c>
      <c r="AW295" s="41">
        <v>72177</v>
      </c>
      <c r="AX295" s="41">
        <v>72445</v>
      </c>
      <c r="AY295" s="41">
        <v>72688</v>
      </c>
    </row>
    <row r="296" spans="1:51">
      <c r="A296" s="38" t="s">
        <v>708</v>
      </c>
      <c r="B296" s="38" t="s">
        <v>709</v>
      </c>
      <c r="C296" s="41">
        <v>18327</v>
      </c>
      <c r="D296" s="41">
        <v>18552</v>
      </c>
      <c r="E296" s="41">
        <v>18588</v>
      </c>
      <c r="F296" s="41">
        <v>18625</v>
      </c>
      <c r="G296" s="41">
        <v>18714</v>
      </c>
      <c r="H296" s="41">
        <v>18727</v>
      </c>
      <c r="I296" s="41">
        <v>19024</v>
      </c>
      <c r="J296" s="41">
        <v>19276</v>
      </c>
      <c r="K296" s="41">
        <v>19488</v>
      </c>
      <c r="L296" s="41">
        <v>20018</v>
      </c>
      <c r="M296" s="41">
        <v>20237</v>
      </c>
      <c r="N296" s="41">
        <v>20873</v>
      </c>
      <c r="O296" s="41">
        <v>20631</v>
      </c>
      <c r="P296" s="41">
        <v>20919</v>
      </c>
      <c r="Q296" s="41">
        <v>21112</v>
      </c>
      <c r="R296" s="41">
        <v>21289</v>
      </c>
      <c r="S296" s="41">
        <v>21706</v>
      </c>
      <c r="T296" s="41">
        <v>22076</v>
      </c>
      <c r="U296" s="41">
        <v>22301</v>
      </c>
      <c r="V296" s="41">
        <v>22558</v>
      </c>
      <c r="W296" s="41">
        <v>22784</v>
      </c>
      <c r="X296" s="41">
        <v>23059</v>
      </c>
      <c r="Y296" s="41">
        <v>23180</v>
      </c>
      <c r="Z296" s="41">
        <v>23390</v>
      </c>
      <c r="AA296" s="41">
        <v>23618</v>
      </c>
      <c r="AB296" s="41">
        <v>23858</v>
      </c>
      <c r="AC296" s="41">
        <v>24084</v>
      </c>
      <c r="AD296" s="41">
        <v>24308</v>
      </c>
      <c r="AE296" s="41">
        <v>24560</v>
      </c>
      <c r="AF296" s="41">
        <v>24794</v>
      </c>
      <c r="AG296" s="41">
        <v>25038</v>
      </c>
      <c r="AH296" s="41">
        <v>25277</v>
      </c>
      <c r="AI296" s="41">
        <v>25505</v>
      </c>
      <c r="AJ296" s="41">
        <v>25746</v>
      </c>
      <c r="AK296" s="41">
        <v>25973</v>
      </c>
      <c r="AL296" s="41">
        <v>26202</v>
      </c>
      <c r="AM296" s="41">
        <v>26429</v>
      </c>
      <c r="AN296" s="41">
        <v>26646</v>
      </c>
      <c r="AO296" s="41">
        <v>26860</v>
      </c>
      <c r="AP296" s="41">
        <v>27067</v>
      </c>
      <c r="AQ296" s="41">
        <v>27269</v>
      </c>
      <c r="AR296" s="41">
        <v>27452</v>
      </c>
      <c r="AS296" s="41">
        <v>27629</v>
      </c>
      <c r="AT296" s="41">
        <v>27809</v>
      </c>
      <c r="AU296" s="41">
        <v>27976</v>
      </c>
      <c r="AV296" s="41">
        <v>28145</v>
      </c>
      <c r="AW296" s="41">
        <v>28311</v>
      </c>
      <c r="AX296" s="41">
        <v>28468</v>
      </c>
      <c r="AY296" s="41">
        <v>28619</v>
      </c>
    </row>
    <row r="297" spans="1:51">
      <c r="A297" s="38" t="s">
        <v>710</v>
      </c>
      <c r="B297" s="38" t="s">
        <v>711</v>
      </c>
      <c r="C297" s="41">
        <v>41265</v>
      </c>
      <c r="D297" s="41">
        <v>41614</v>
      </c>
      <c r="E297" s="41">
        <v>41809</v>
      </c>
      <c r="F297" s="41">
        <v>42126</v>
      </c>
      <c r="G297" s="41">
        <v>42432</v>
      </c>
      <c r="H297" s="41">
        <v>42568</v>
      </c>
      <c r="I297" s="41">
        <v>42859</v>
      </c>
      <c r="J297" s="41">
        <v>43509</v>
      </c>
      <c r="K297" s="41">
        <v>43158</v>
      </c>
      <c r="L297" s="41">
        <v>43429</v>
      </c>
      <c r="M297" s="41">
        <v>43746</v>
      </c>
      <c r="N297" s="41">
        <v>43982</v>
      </c>
      <c r="O297" s="41">
        <v>44222</v>
      </c>
      <c r="P297" s="41">
        <v>44445</v>
      </c>
      <c r="Q297" s="41">
        <v>44628</v>
      </c>
      <c r="R297" s="41">
        <v>44909</v>
      </c>
      <c r="S297" s="41">
        <v>45120</v>
      </c>
      <c r="T297" s="41">
        <v>45152</v>
      </c>
      <c r="U297" s="41">
        <v>45181</v>
      </c>
      <c r="V297" s="41">
        <v>45278</v>
      </c>
      <c r="W297" s="41">
        <v>45365</v>
      </c>
      <c r="X297" s="41">
        <v>45586</v>
      </c>
      <c r="Y297" s="41">
        <v>45752</v>
      </c>
      <c r="Z297" s="41">
        <v>45991</v>
      </c>
      <c r="AA297" s="41">
        <v>46207</v>
      </c>
      <c r="AB297" s="41">
        <v>46462</v>
      </c>
      <c r="AC297" s="41">
        <v>46709</v>
      </c>
      <c r="AD297" s="41">
        <v>46907</v>
      </c>
      <c r="AE297" s="41">
        <v>47097</v>
      </c>
      <c r="AF297" s="41">
        <v>47287</v>
      </c>
      <c r="AG297" s="41">
        <v>47476</v>
      </c>
      <c r="AH297" s="41">
        <v>47654</v>
      </c>
      <c r="AI297" s="41">
        <v>47809</v>
      </c>
      <c r="AJ297" s="41">
        <v>47972</v>
      </c>
      <c r="AK297" s="41">
        <v>48141</v>
      </c>
      <c r="AL297" s="41">
        <v>48319</v>
      </c>
      <c r="AM297" s="41">
        <v>48495</v>
      </c>
      <c r="AN297" s="41">
        <v>48665</v>
      </c>
      <c r="AO297" s="41">
        <v>48804</v>
      </c>
      <c r="AP297" s="41">
        <v>48945</v>
      </c>
      <c r="AQ297" s="41">
        <v>49097</v>
      </c>
      <c r="AR297" s="41">
        <v>49212</v>
      </c>
      <c r="AS297" s="41">
        <v>49327</v>
      </c>
      <c r="AT297" s="41">
        <v>49416</v>
      </c>
      <c r="AU297" s="41">
        <v>49509</v>
      </c>
      <c r="AV297" s="41">
        <v>49610</v>
      </c>
      <c r="AW297" s="41">
        <v>49706</v>
      </c>
      <c r="AX297" s="41">
        <v>49794</v>
      </c>
      <c r="AY297" s="41">
        <v>49857</v>
      </c>
    </row>
    <row r="298" spans="1:51">
      <c r="A298" s="38" t="s">
        <v>712</v>
      </c>
      <c r="B298" s="38" t="s">
        <v>713</v>
      </c>
      <c r="C298" s="41">
        <v>30396</v>
      </c>
      <c r="D298" s="41">
        <v>30808</v>
      </c>
      <c r="E298" s="41">
        <v>30999</v>
      </c>
      <c r="F298" s="41">
        <v>31230</v>
      </c>
      <c r="G298" s="41">
        <v>31438</v>
      </c>
      <c r="H298" s="41">
        <v>31430</v>
      </c>
      <c r="I298" s="41">
        <v>31522</v>
      </c>
      <c r="J298" s="41">
        <v>31900</v>
      </c>
      <c r="K298" s="41">
        <v>32168</v>
      </c>
      <c r="L298" s="41">
        <v>32515</v>
      </c>
      <c r="M298" s="41">
        <v>32939</v>
      </c>
      <c r="N298" s="41">
        <v>33721</v>
      </c>
      <c r="O298" s="41">
        <v>34371</v>
      </c>
      <c r="P298" s="41">
        <v>34979</v>
      </c>
      <c r="Q298" s="41">
        <v>35463</v>
      </c>
      <c r="R298" s="41">
        <v>36065</v>
      </c>
      <c r="S298" s="41">
        <v>36880</v>
      </c>
      <c r="T298" s="41">
        <v>37505</v>
      </c>
      <c r="U298" s="41">
        <v>37758</v>
      </c>
      <c r="V298" s="41">
        <v>38261</v>
      </c>
      <c r="W298" s="41">
        <v>38456</v>
      </c>
      <c r="X298" s="41">
        <v>38802</v>
      </c>
      <c r="Y298" s="41">
        <v>39228</v>
      </c>
      <c r="Z298" s="41">
        <v>39694</v>
      </c>
      <c r="AA298" s="41">
        <v>40021</v>
      </c>
      <c r="AB298" s="41">
        <v>40363</v>
      </c>
      <c r="AC298" s="41">
        <v>40704</v>
      </c>
      <c r="AD298" s="41">
        <v>41037</v>
      </c>
      <c r="AE298" s="41">
        <v>41367</v>
      </c>
      <c r="AF298" s="41">
        <v>41674</v>
      </c>
      <c r="AG298" s="41">
        <v>41979</v>
      </c>
      <c r="AH298" s="41">
        <v>42271</v>
      </c>
      <c r="AI298" s="41">
        <v>42565</v>
      </c>
      <c r="AJ298" s="41">
        <v>42861</v>
      </c>
      <c r="AK298" s="41">
        <v>43142</v>
      </c>
      <c r="AL298" s="41">
        <v>43435</v>
      </c>
      <c r="AM298" s="41">
        <v>43721</v>
      </c>
      <c r="AN298" s="41">
        <v>44010</v>
      </c>
      <c r="AO298" s="41">
        <v>44292</v>
      </c>
      <c r="AP298" s="41">
        <v>44571</v>
      </c>
      <c r="AQ298" s="41">
        <v>44854</v>
      </c>
      <c r="AR298" s="41">
        <v>45122</v>
      </c>
      <c r="AS298" s="41">
        <v>45373</v>
      </c>
      <c r="AT298" s="41">
        <v>45605</v>
      </c>
      <c r="AU298" s="41">
        <v>45814</v>
      </c>
      <c r="AV298" s="41">
        <v>46012</v>
      </c>
      <c r="AW298" s="41">
        <v>46199</v>
      </c>
      <c r="AX298" s="41">
        <v>46365</v>
      </c>
      <c r="AY298" s="41">
        <v>46524</v>
      </c>
    </row>
    <row r="299" spans="1:51">
      <c r="A299" s="38" t="s">
        <v>714</v>
      </c>
      <c r="B299" s="38" t="s">
        <v>715</v>
      </c>
      <c r="C299" s="41">
        <v>35174</v>
      </c>
      <c r="D299" s="41">
        <v>36043</v>
      </c>
      <c r="E299" s="41">
        <v>36240</v>
      </c>
      <c r="F299" s="41">
        <v>36702</v>
      </c>
      <c r="G299" s="41">
        <v>37123</v>
      </c>
      <c r="H299" s="41">
        <v>37133</v>
      </c>
      <c r="I299" s="41">
        <v>37379</v>
      </c>
      <c r="J299" s="41">
        <v>37416</v>
      </c>
      <c r="K299" s="41">
        <v>38191</v>
      </c>
      <c r="L299" s="41">
        <v>38313</v>
      </c>
      <c r="M299" s="41">
        <v>38546</v>
      </c>
      <c r="N299" s="41">
        <v>38873</v>
      </c>
      <c r="O299" s="41">
        <v>39398</v>
      </c>
      <c r="P299" s="41">
        <v>39766</v>
      </c>
      <c r="Q299" s="41">
        <v>40211</v>
      </c>
      <c r="R299" s="41">
        <v>40893</v>
      </c>
      <c r="S299" s="41">
        <v>41652</v>
      </c>
      <c r="T299" s="41">
        <v>42127</v>
      </c>
      <c r="U299" s="41">
        <v>42608</v>
      </c>
      <c r="V299" s="41">
        <v>43073</v>
      </c>
      <c r="W299" s="41">
        <v>43488</v>
      </c>
      <c r="X299" s="41">
        <v>44504</v>
      </c>
      <c r="Y299" s="41">
        <v>44872</v>
      </c>
      <c r="Z299" s="41">
        <v>44997</v>
      </c>
      <c r="AA299" s="41">
        <v>45383</v>
      </c>
      <c r="AB299" s="41">
        <v>45795</v>
      </c>
      <c r="AC299" s="41">
        <v>46220</v>
      </c>
      <c r="AD299" s="41">
        <v>46635</v>
      </c>
      <c r="AE299" s="41">
        <v>47045</v>
      </c>
      <c r="AF299" s="41">
        <v>47462</v>
      </c>
      <c r="AG299" s="41">
        <v>47868</v>
      </c>
      <c r="AH299" s="41">
        <v>48274</v>
      </c>
      <c r="AI299" s="41">
        <v>48687</v>
      </c>
      <c r="AJ299" s="41">
        <v>49096</v>
      </c>
      <c r="AK299" s="41">
        <v>49502</v>
      </c>
      <c r="AL299" s="41">
        <v>49905</v>
      </c>
      <c r="AM299" s="41">
        <v>50303</v>
      </c>
      <c r="AN299" s="41">
        <v>50697</v>
      </c>
      <c r="AO299" s="41">
        <v>51095</v>
      </c>
      <c r="AP299" s="41">
        <v>51489</v>
      </c>
      <c r="AQ299" s="41">
        <v>51883</v>
      </c>
      <c r="AR299" s="41">
        <v>52256</v>
      </c>
      <c r="AS299" s="41">
        <v>52625</v>
      </c>
      <c r="AT299" s="41">
        <v>52979</v>
      </c>
      <c r="AU299" s="41">
        <v>53324</v>
      </c>
      <c r="AV299" s="41">
        <v>53667</v>
      </c>
      <c r="AW299" s="41">
        <v>54001</v>
      </c>
      <c r="AX299" s="41">
        <v>54317</v>
      </c>
      <c r="AY299" s="41">
        <v>54617</v>
      </c>
    </row>
    <row r="300" spans="1:51">
      <c r="A300" s="38" t="s">
        <v>716</v>
      </c>
      <c r="B300" s="38" t="s">
        <v>717</v>
      </c>
      <c r="C300" s="41">
        <v>58753</v>
      </c>
      <c r="D300" s="41">
        <v>59298</v>
      </c>
      <c r="E300" s="41">
        <v>59803</v>
      </c>
      <c r="F300" s="41">
        <v>60447</v>
      </c>
      <c r="G300" s="41">
        <v>61841</v>
      </c>
      <c r="H300" s="41">
        <v>62503</v>
      </c>
      <c r="I300" s="41">
        <v>63286</v>
      </c>
      <c r="J300" s="41">
        <v>64007</v>
      </c>
      <c r="K300" s="41">
        <v>64007</v>
      </c>
      <c r="L300" s="41">
        <v>64944</v>
      </c>
      <c r="M300" s="41">
        <v>63701</v>
      </c>
      <c r="N300" s="41">
        <v>64428</v>
      </c>
      <c r="O300" s="41">
        <v>65475</v>
      </c>
      <c r="P300" s="41">
        <v>65987</v>
      </c>
      <c r="Q300" s="41">
        <v>66975</v>
      </c>
      <c r="R300" s="41">
        <v>67413</v>
      </c>
      <c r="S300" s="41">
        <v>67957</v>
      </c>
      <c r="T300" s="41">
        <v>68472</v>
      </c>
      <c r="U300" s="41">
        <v>69156</v>
      </c>
      <c r="V300" s="41">
        <v>70141</v>
      </c>
      <c r="W300" s="41">
        <v>71470</v>
      </c>
      <c r="X300" s="41">
        <v>71541</v>
      </c>
      <c r="Y300" s="41">
        <v>71825</v>
      </c>
      <c r="Z300" s="41">
        <v>73032</v>
      </c>
      <c r="AA300" s="41">
        <v>73655</v>
      </c>
      <c r="AB300" s="41">
        <v>74344</v>
      </c>
      <c r="AC300" s="41">
        <v>75019</v>
      </c>
      <c r="AD300" s="41">
        <v>75656</v>
      </c>
      <c r="AE300" s="41">
        <v>76313</v>
      </c>
      <c r="AF300" s="41">
        <v>76930</v>
      </c>
      <c r="AG300" s="41">
        <v>77550</v>
      </c>
      <c r="AH300" s="41">
        <v>78168</v>
      </c>
      <c r="AI300" s="41">
        <v>78765</v>
      </c>
      <c r="AJ300" s="41">
        <v>79379</v>
      </c>
      <c r="AK300" s="41">
        <v>79978</v>
      </c>
      <c r="AL300" s="41">
        <v>80590</v>
      </c>
      <c r="AM300" s="41">
        <v>81209</v>
      </c>
      <c r="AN300" s="41">
        <v>81804</v>
      </c>
      <c r="AO300" s="41">
        <v>82407</v>
      </c>
      <c r="AP300" s="41">
        <v>83007</v>
      </c>
      <c r="AQ300" s="41">
        <v>83615</v>
      </c>
      <c r="AR300" s="41">
        <v>84202</v>
      </c>
      <c r="AS300" s="41">
        <v>84776</v>
      </c>
      <c r="AT300" s="41">
        <v>85338</v>
      </c>
      <c r="AU300" s="41">
        <v>85880</v>
      </c>
      <c r="AV300" s="41">
        <v>86423</v>
      </c>
      <c r="AW300" s="41">
        <v>86941</v>
      </c>
      <c r="AX300" s="41">
        <v>87438</v>
      </c>
      <c r="AY300" s="41">
        <v>87916</v>
      </c>
    </row>
    <row r="301" spans="1:51">
      <c r="A301" s="38" t="s">
        <v>718</v>
      </c>
      <c r="B301" s="38" t="s">
        <v>719</v>
      </c>
      <c r="C301" s="41">
        <v>90615</v>
      </c>
      <c r="D301" s="41">
        <v>89683</v>
      </c>
      <c r="E301" s="41">
        <v>88848</v>
      </c>
      <c r="F301" s="41">
        <v>87399</v>
      </c>
      <c r="G301" s="41">
        <v>87717</v>
      </c>
      <c r="H301" s="41">
        <v>89723</v>
      </c>
      <c r="I301" s="41">
        <v>91413</v>
      </c>
      <c r="J301" s="41">
        <v>93299</v>
      </c>
      <c r="K301" s="41">
        <v>95938</v>
      </c>
      <c r="L301" s="41">
        <v>100492</v>
      </c>
      <c r="M301" s="41">
        <v>104336</v>
      </c>
      <c r="N301" s="41">
        <v>106085</v>
      </c>
      <c r="O301" s="41">
        <v>107074</v>
      </c>
      <c r="P301" s="41">
        <v>108536</v>
      </c>
      <c r="Q301" s="41">
        <v>112350</v>
      </c>
      <c r="R301" s="41">
        <v>112693</v>
      </c>
      <c r="S301" s="41">
        <v>112012</v>
      </c>
      <c r="T301" s="41">
        <v>111186</v>
      </c>
      <c r="U301" s="41">
        <v>110607</v>
      </c>
      <c r="V301" s="41">
        <v>109862</v>
      </c>
      <c r="W301" s="41">
        <v>110209</v>
      </c>
      <c r="X301" s="41">
        <v>111978</v>
      </c>
      <c r="Y301" s="41">
        <v>114679</v>
      </c>
      <c r="Z301" s="41">
        <v>118409</v>
      </c>
      <c r="AA301" s="41">
        <v>121740</v>
      </c>
      <c r="AB301" s="41">
        <v>124359</v>
      </c>
      <c r="AC301" s="41">
        <v>126723</v>
      </c>
      <c r="AD301" s="41">
        <v>128939</v>
      </c>
      <c r="AE301" s="41">
        <v>130921</v>
      </c>
      <c r="AF301" s="41">
        <v>132749</v>
      </c>
      <c r="AG301" s="41">
        <v>134453</v>
      </c>
      <c r="AH301" s="41">
        <v>136123</v>
      </c>
      <c r="AI301" s="41">
        <v>137784</v>
      </c>
      <c r="AJ301" s="41">
        <v>139429</v>
      </c>
      <c r="AK301" s="41">
        <v>141069</v>
      </c>
      <c r="AL301" s="41">
        <v>142722</v>
      </c>
      <c r="AM301" s="41">
        <v>144344</v>
      </c>
      <c r="AN301" s="41">
        <v>145935</v>
      </c>
      <c r="AO301" s="41">
        <v>147490</v>
      </c>
      <c r="AP301" s="41">
        <v>149011</v>
      </c>
      <c r="AQ301" s="41">
        <v>150523</v>
      </c>
      <c r="AR301" s="41">
        <v>152007</v>
      </c>
      <c r="AS301" s="41">
        <v>153410</v>
      </c>
      <c r="AT301" s="41">
        <v>154767</v>
      </c>
      <c r="AU301" s="41">
        <v>156101</v>
      </c>
      <c r="AV301" s="41">
        <v>157410</v>
      </c>
      <c r="AW301" s="41">
        <v>158694</v>
      </c>
      <c r="AX301" s="41">
        <v>159950</v>
      </c>
      <c r="AY301" s="41">
        <v>161171</v>
      </c>
    </row>
    <row r="302" spans="1:51">
      <c r="A302" s="38" t="s">
        <v>720</v>
      </c>
      <c r="B302" s="38" t="s">
        <v>721</v>
      </c>
      <c r="C302" s="41">
        <v>119992</v>
      </c>
      <c r="D302" s="41">
        <v>120957</v>
      </c>
      <c r="E302" s="41">
        <v>121492</v>
      </c>
      <c r="F302" s="41">
        <v>122037</v>
      </c>
      <c r="G302" s="41">
        <v>122550</v>
      </c>
      <c r="H302" s="41">
        <v>123022</v>
      </c>
      <c r="I302" s="41">
        <v>123625</v>
      </c>
      <c r="J302" s="41">
        <v>124050</v>
      </c>
      <c r="K302" s="41">
        <v>124425</v>
      </c>
      <c r="L302" s="41">
        <v>124892</v>
      </c>
      <c r="M302" s="41">
        <v>125165</v>
      </c>
      <c r="N302" s="41">
        <v>126130</v>
      </c>
      <c r="O302" s="41">
        <v>127130</v>
      </c>
      <c r="P302" s="41">
        <v>128033</v>
      </c>
      <c r="Q302" s="41">
        <v>128994</v>
      </c>
      <c r="R302" s="41">
        <v>130235</v>
      </c>
      <c r="S302" s="41">
        <v>131175</v>
      </c>
      <c r="T302" s="41">
        <v>132488</v>
      </c>
      <c r="U302" s="41">
        <v>133927</v>
      </c>
      <c r="V302" s="41">
        <v>135282</v>
      </c>
      <c r="W302" s="41">
        <v>136500</v>
      </c>
      <c r="X302" s="41">
        <v>137278</v>
      </c>
      <c r="Y302" s="41">
        <v>138127</v>
      </c>
      <c r="Z302" s="41">
        <v>139126</v>
      </c>
      <c r="AA302" s="41">
        <v>140073</v>
      </c>
      <c r="AB302" s="41">
        <v>141144</v>
      </c>
      <c r="AC302" s="41">
        <v>142239</v>
      </c>
      <c r="AD302" s="41">
        <v>143253</v>
      </c>
      <c r="AE302" s="41">
        <v>144279</v>
      </c>
      <c r="AF302" s="41">
        <v>145234</v>
      </c>
      <c r="AG302" s="41">
        <v>146186</v>
      </c>
      <c r="AH302" s="41">
        <v>147110</v>
      </c>
      <c r="AI302" s="41">
        <v>147968</v>
      </c>
      <c r="AJ302" s="41">
        <v>148808</v>
      </c>
      <c r="AK302" s="41">
        <v>149607</v>
      </c>
      <c r="AL302" s="41">
        <v>150425</v>
      </c>
      <c r="AM302" s="41">
        <v>151216</v>
      </c>
      <c r="AN302" s="41">
        <v>151967</v>
      </c>
      <c r="AO302" s="41">
        <v>152697</v>
      </c>
      <c r="AP302" s="41">
        <v>153398</v>
      </c>
      <c r="AQ302" s="41">
        <v>154113</v>
      </c>
      <c r="AR302" s="41">
        <v>154787</v>
      </c>
      <c r="AS302" s="41">
        <v>155427</v>
      </c>
      <c r="AT302" s="41">
        <v>156046</v>
      </c>
      <c r="AU302" s="41">
        <v>156629</v>
      </c>
      <c r="AV302" s="41">
        <v>157202</v>
      </c>
      <c r="AW302" s="41">
        <v>157753</v>
      </c>
      <c r="AX302" s="41">
        <v>158261</v>
      </c>
      <c r="AY302" s="41">
        <v>158756</v>
      </c>
    </row>
    <row r="303" spans="1:51">
      <c r="A303" s="38" t="s">
        <v>722</v>
      </c>
      <c r="B303" s="38" t="s">
        <v>723</v>
      </c>
      <c r="C303" s="41">
        <v>157021</v>
      </c>
      <c r="D303" s="41">
        <v>159587</v>
      </c>
      <c r="E303" s="41">
        <v>161661</v>
      </c>
      <c r="F303" s="41">
        <v>163826</v>
      </c>
      <c r="G303" s="41">
        <v>166418</v>
      </c>
      <c r="H303" s="41">
        <v>167670</v>
      </c>
      <c r="I303" s="41">
        <v>169065</v>
      </c>
      <c r="J303" s="41">
        <v>170403</v>
      </c>
      <c r="K303" s="41">
        <v>172608</v>
      </c>
      <c r="L303" s="41">
        <v>174310</v>
      </c>
      <c r="M303" s="41">
        <v>176977</v>
      </c>
      <c r="N303" s="41">
        <v>179090</v>
      </c>
      <c r="O303" s="41">
        <v>181151</v>
      </c>
      <c r="P303" s="41">
        <v>182377</v>
      </c>
      <c r="Q303" s="41">
        <v>183779</v>
      </c>
      <c r="R303" s="41">
        <v>185873</v>
      </c>
      <c r="S303" s="41">
        <v>188302</v>
      </c>
      <c r="T303" s="41">
        <v>190757</v>
      </c>
      <c r="U303" s="41">
        <v>192133</v>
      </c>
      <c r="V303" s="41">
        <v>193873</v>
      </c>
      <c r="W303" s="41">
        <v>195635</v>
      </c>
      <c r="X303" s="41">
        <v>197631</v>
      </c>
      <c r="Y303" s="41">
        <v>199562</v>
      </c>
      <c r="Z303" s="41">
        <v>201805</v>
      </c>
      <c r="AA303" s="41">
        <v>203313</v>
      </c>
      <c r="AB303" s="41">
        <v>206210</v>
      </c>
      <c r="AC303" s="41">
        <v>208194</v>
      </c>
      <c r="AD303" s="41">
        <v>210498</v>
      </c>
      <c r="AE303" s="41">
        <v>212190</v>
      </c>
      <c r="AF303" s="41">
        <v>213769</v>
      </c>
      <c r="AG303" s="41">
        <v>215307</v>
      </c>
      <c r="AH303" s="41">
        <v>216825</v>
      </c>
      <c r="AI303" s="41">
        <v>218324</v>
      </c>
      <c r="AJ303" s="41">
        <v>219857</v>
      </c>
      <c r="AK303" s="41">
        <v>221306</v>
      </c>
      <c r="AL303" s="41">
        <v>222776</v>
      </c>
      <c r="AM303" s="41">
        <v>224223</v>
      </c>
      <c r="AN303" s="41">
        <v>225684</v>
      </c>
      <c r="AO303" s="41">
        <v>227162</v>
      </c>
      <c r="AP303" s="41">
        <v>228610</v>
      </c>
      <c r="AQ303" s="41">
        <v>230076</v>
      </c>
      <c r="AR303" s="41">
        <v>231457</v>
      </c>
      <c r="AS303" s="41">
        <v>232806</v>
      </c>
      <c r="AT303" s="41">
        <v>234119</v>
      </c>
      <c r="AU303" s="41">
        <v>235370</v>
      </c>
      <c r="AV303" s="41">
        <v>236616</v>
      </c>
      <c r="AW303" s="41">
        <v>237822</v>
      </c>
      <c r="AX303" s="41">
        <v>238929</v>
      </c>
      <c r="AY303" s="41">
        <v>239969</v>
      </c>
    </row>
    <row r="304" spans="1:51">
      <c r="A304" s="38" t="s">
        <v>724</v>
      </c>
      <c r="B304" s="38" t="s">
        <v>725</v>
      </c>
      <c r="C304" s="41">
        <v>38673</v>
      </c>
      <c r="D304" s="41">
        <v>39075</v>
      </c>
      <c r="E304" s="41">
        <v>39348</v>
      </c>
      <c r="F304" s="41">
        <v>39694</v>
      </c>
      <c r="G304" s="41">
        <v>40499</v>
      </c>
      <c r="H304" s="41">
        <v>41057</v>
      </c>
      <c r="I304" s="41">
        <v>41534</v>
      </c>
      <c r="J304" s="41">
        <v>42340</v>
      </c>
      <c r="K304" s="41">
        <v>42680</v>
      </c>
      <c r="L304" s="41">
        <v>43038</v>
      </c>
      <c r="M304" s="41">
        <v>43158</v>
      </c>
      <c r="N304" s="41">
        <v>43519</v>
      </c>
      <c r="O304" s="41">
        <v>43882</v>
      </c>
      <c r="P304" s="41">
        <v>44095</v>
      </c>
      <c r="Q304" s="41">
        <v>44528</v>
      </c>
      <c r="R304" s="41">
        <v>44707</v>
      </c>
      <c r="S304" s="41">
        <v>45131</v>
      </c>
      <c r="T304" s="41">
        <v>45695</v>
      </c>
      <c r="U304" s="41">
        <v>46139</v>
      </c>
      <c r="V304" s="41">
        <v>46718</v>
      </c>
      <c r="W304" s="41">
        <v>46975</v>
      </c>
      <c r="X304" s="41">
        <v>47309</v>
      </c>
      <c r="Y304" s="41">
        <v>47645</v>
      </c>
      <c r="Z304" s="41">
        <v>47981</v>
      </c>
      <c r="AA304" s="41">
        <v>48447</v>
      </c>
      <c r="AB304" s="41">
        <v>48926</v>
      </c>
      <c r="AC304" s="41">
        <v>49364</v>
      </c>
      <c r="AD304" s="41">
        <v>49811</v>
      </c>
      <c r="AE304" s="41">
        <v>50244</v>
      </c>
      <c r="AF304" s="41">
        <v>50687</v>
      </c>
      <c r="AG304" s="41">
        <v>51123</v>
      </c>
      <c r="AH304" s="41">
        <v>51534</v>
      </c>
      <c r="AI304" s="41">
        <v>51966</v>
      </c>
      <c r="AJ304" s="41">
        <v>52401</v>
      </c>
      <c r="AK304" s="41">
        <v>52842</v>
      </c>
      <c r="AL304" s="41">
        <v>53301</v>
      </c>
      <c r="AM304" s="41">
        <v>53750</v>
      </c>
      <c r="AN304" s="41">
        <v>54199</v>
      </c>
      <c r="AO304" s="41">
        <v>54635</v>
      </c>
      <c r="AP304" s="41">
        <v>55065</v>
      </c>
      <c r="AQ304" s="41">
        <v>55502</v>
      </c>
      <c r="AR304" s="41">
        <v>55913</v>
      </c>
      <c r="AS304" s="41">
        <v>56311</v>
      </c>
      <c r="AT304" s="41">
        <v>56696</v>
      </c>
      <c r="AU304" s="41">
        <v>57074</v>
      </c>
      <c r="AV304" s="41">
        <v>57452</v>
      </c>
      <c r="AW304" s="41">
        <v>57830</v>
      </c>
      <c r="AX304" s="41">
        <v>58194</v>
      </c>
      <c r="AY304" s="41">
        <v>58540</v>
      </c>
    </row>
    <row r="305" spans="1:51">
      <c r="A305" s="38" t="s">
        <v>726</v>
      </c>
      <c r="B305" s="38" t="s">
        <v>727</v>
      </c>
      <c r="C305" s="41">
        <v>52698</v>
      </c>
      <c r="D305" s="41">
        <v>53084</v>
      </c>
      <c r="E305" s="41">
        <v>53505</v>
      </c>
      <c r="F305" s="41">
        <v>53820</v>
      </c>
      <c r="G305" s="41">
        <v>54470</v>
      </c>
      <c r="H305" s="41">
        <v>54712</v>
      </c>
      <c r="I305" s="41">
        <v>54698</v>
      </c>
      <c r="J305" s="41">
        <v>54177</v>
      </c>
      <c r="K305" s="41">
        <v>53928</v>
      </c>
      <c r="L305" s="41">
        <v>54298</v>
      </c>
      <c r="M305" s="41">
        <v>54262</v>
      </c>
      <c r="N305" s="41">
        <v>54255</v>
      </c>
      <c r="O305" s="41">
        <v>54500</v>
      </c>
      <c r="P305" s="41">
        <v>54672</v>
      </c>
      <c r="Q305" s="41">
        <v>55203</v>
      </c>
      <c r="R305" s="41">
        <v>55797</v>
      </c>
      <c r="S305" s="41">
        <v>56386</v>
      </c>
      <c r="T305" s="41">
        <v>57098</v>
      </c>
      <c r="U305" s="41">
        <v>57587</v>
      </c>
      <c r="V305" s="41">
        <v>58213</v>
      </c>
      <c r="W305" s="41">
        <v>58580</v>
      </c>
      <c r="X305" s="41">
        <v>59054</v>
      </c>
      <c r="Y305" s="41">
        <v>59441</v>
      </c>
      <c r="Z305" s="41">
        <v>60025</v>
      </c>
      <c r="AA305" s="41">
        <v>60638</v>
      </c>
      <c r="AB305" s="41">
        <v>61194</v>
      </c>
      <c r="AC305" s="41">
        <v>61752</v>
      </c>
      <c r="AD305" s="41">
        <v>62331</v>
      </c>
      <c r="AE305" s="41">
        <v>62915</v>
      </c>
      <c r="AF305" s="41">
        <v>63495</v>
      </c>
      <c r="AG305" s="41">
        <v>64032</v>
      </c>
      <c r="AH305" s="41">
        <v>64567</v>
      </c>
      <c r="AI305" s="41">
        <v>65114</v>
      </c>
      <c r="AJ305" s="41">
        <v>65669</v>
      </c>
      <c r="AK305" s="41">
        <v>66223</v>
      </c>
      <c r="AL305" s="41">
        <v>66754</v>
      </c>
      <c r="AM305" s="41">
        <v>67283</v>
      </c>
      <c r="AN305" s="41">
        <v>67813</v>
      </c>
      <c r="AO305" s="41">
        <v>68348</v>
      </c>
      <c r="AP305" s="41">
        <v>68881</v>
      </c>
      <c r="AQ305" s="41">
        <v>69406</v>
      </c>
      <c r="AR305" s="41">
        <v>69921</v>
      </c>
      <c r="AS305" s="41">
        <v>70436</v>
      </c>
      <c r="AT305" s="41">
        <v>70953</v>
      </c>
      <c r="AU305" s="41">
        <v>71462</v>
      </c>
      <c r="AV305" s="41">
        <v>71978</v>
      </c>
      <c r="AW305" s="41">
        <v>72494</v>
      </c>
      <c r="AX305" s="41">
        <v>73005</v>
      </c>
      <c r="AY305" s="41">
        <v>73505</v>
      </c>
    </row>
    <row r="306" spans="1:51">
      <c r="A306" s="38" t="s">
        <v>728</v>
      </c>
      <c r="B306" s="38" t="s">
        <v>729</v>
      </c>
      <c r="C306" s="41">
        <v>134253</v>
      </c>
      <c r="D306" s="41">
        <v>134423</v>
      </c>
      <c r="E306" s="41">
        <v>134354</v>
      </c>
      <c r="F306" s="41">
        <v>134473</v>
      </c>
      <c r="G306" s="41">
        <v>134492</v>
      </c>
      <c r="H306" s="41">
        <v>134027</v>
      </c>
      <c r="I306" s="41">
        <v>133943</v>
      </c>
      <c r="J306" s="41">
        <v>133983</v>
      </c>
      <c r="K306" s="41">
        <v>133874</v>
      </c>
      <c r="L306" s="41">
        <v>134324</v>
      </c>
      <c r="M306" s="41">
        <v>134517</v>
      </c>
      <c r="N306" s="41">
        <v>134931</v>
      </c>
      <c r="O306" s="41">
        <v>135401</v>
      </c>
      <c r="P306" s="41">
        <v>135712</v>
      </c>
      <c r="Q306" s="41">
        <v>136048</v>
      </c>
      <c r="R306" s="41">
        <v>136627</v>
      </c>
      <c r="S306" s="41">
        <v>136982</v>
      </c>
      <c r="T306" s="41">
        <v>137699</v>
      </c>
      <c r="U306" s="41">
        <v>138505</v>
      </c>
      <c r="V306" s="41">
        <v>139698</v>
      </c>
      <c r="W306" s="41">
        <v>140592</v>
      </c>
      <c r="X306" s="41">
        <v>141310</v>
      </c>
      <c r="Y306" s="41">
        <v>141828</v>
      </c>
      <c r="Z306" s="41">
        <v>142525</v>
      </c>
      <c r="AA306" s="41">
        <v>143146</v>
      </c>
      <c r="AB306" s="41">
        <v>143902</v>
      </c>
      <c r="AC306" s="41">
        <v>144651</v>
      </c>
      <c r="AD306" s="41">
        <v>145403</v>
      </c>
      <c r="AE306" s="41">
        <v>146132</v>
      </c>
      <c r="AF306" s="41">
        <v>146891</v>
      </c>
      <c r="AG306" s="41">
        <v>147669</v>
      </c>
      <c r="AH306" s="41">
        <v>148408</v>
      </c>
      <c r="AI306" s="41">
        <v>149097</v>
      </c>
      <c r="AJ306" s="41">
        <v>149784</v>
      </c>
      <c r="AK306" s="41">
        <v>150455</v>
      </c>
      <c r="AL306" s="41">
        <v>151141</v>
      </c>
      <c r="AM306" s="41">
        <v>151832</v>
      </c>
      <c r="AN306" s="41">
        <v>152492</v>
      </c>
      <c r="AO306" s="41">
        <v>153128</v>
      </c>
      <c r="AP306" s="41">
        <v>153738</v>
      </c>
      <c r="AQ306" s="41">
        <v>154353</v>
      </c>
      <c r="AR306" s="41">
        <v>154946</v>
      </c>
      <c r="AS306" s="41">
        <v>155495</v>
      </c>
      <c r="AT306" s="41">
        <v>156022</v>
      </c>
      <c r="AU306" s="41">
        <v>156528</v>
      </c>
      <c r="AV306" s="41">
        <v>157061</v>
      </c>
      <c r="AW306" s="41">
        <v>157647</v>
      </c>
      <c r="AX306" s="41">
        <v>158144</v>
      </c>
      <c r="AY306" s="41">
        <v>158605</v>
      </c>
    </row>
    <row r="307" spans="1:51">
      <c r="A307" s="38" t="s">
        <v>730</v>
      </c>
      <c r="B307" s="38" t="s">
        <v>731</v>
      </c>
      <c r="C307" s="41">
        <v>33923</v>
      </c>
      <c r="D307" s="41">
        <v>34151</v>
      </c>
      <c r="E307" s="41">
        <v>34364</v>
      </c>
      <c r="F307" s="41">
        <v>34742</v>
      </c>
      <c r="G307" s="41">
        <v>35221</v>
      </c>
      <c r="H307" s="41">
        <v>35371</v>
      </c>
      <c r="I307" s="41">
        <v>35589</v>
      </c>
      <c r="J307" s="41">
        <v>35635</v>
      </c>
      <c r="K307" s="41">
        <v>36317</v>
      </c>
      <c r="L307" s="41">
        <v>36631</v>
      </c>
      <c r="M307" s="41">
        <v>37036</v>
      </c>
      <c r="N307" s="41">
        <v>36644</v>
      </c>
      <c r="O307" s="41">
        <v>36661</v>
      </c>
      <c r="P307" s="41">
        <v>36604</v>
      </c>
      <c r="Q307" s="41">
        <v>36993</v>
      </c>
      <c r="R307" s="41">
        <v>37659</v>
      </c>
      <c r="S307" s="41">
        <v>38098</v>
      </c>
      <c r="T307" s="41">
        <v>38461</v>
      </c>
      <c r="U307" s="41">
        <v>38756</v>
      </c>
      <c r="V307" s="41">
        <v>39185</v>
      </c>
      <c r="W307" s="41">
        <v>39599</v>
      </c>
      <c r="X307" s="41">
        <v>39577</v>
      </c>
      <c r="Y307" s="41">
        <v>39764</v>
      </c>
      <c r="Z307" s="41">
        <v>39778</v>
      </c>
      <c r="AA307" s="41">
        <v>40072</v>
      </c>
      <c r="AB307" s="41">
        <v>40374</v>
      </c>
      <c r="AC307" s="41">
        <v>40653</v>
      </c>
      <c r="AD307" s="41">
        <v>40980</v>
      </c>
      <c r="AE307" s="41">
        <v>41286</v>
      </c>
      <c r="AF307" s="41">
        <v>41597</v>
      </c>
      <c r="AG307" s="41">
        <v>41908</v>
      </c>
      <c r="AH307" s="41">
        <v>42203</v>
      </c>
      <c r="AI307" s="41">
        <v>42513</v>
      </c>
      <c r="AJ307" s="41">
        <v>42816</v>
      </c>
      <c r="AK307" s="41">
        <v>43123</v>
      </c>
      <c r="AL307" s="41">
        <v>43442</v>
      </c>
      <c r="AM307" s="41">
        <v>43745</v>
      </c>
      <c r="AN307" s="41">
        <v>44056</v>
      </c>
      <c r="AO307" s="41">
        <v>44361</v>
      </c>
      <c r="AP307" s="41">
        <v>44677</v>
      </c>
      <c r="AQ307" s="41">
        <v>45001</v>
      </c>
      <c r="AR307" s="41">
        <v>45313</v>
      </c>
      <c r="AS307" s="41">
        <v>45631</v>
      </c>
      <c r="AT307" s="41">
        <v>45932</v>
      </c>
      <c r="AU307" s="41">
        <v>46241</v>
      </c>
      <c r="AV307" s="41">
        <v>46551</v>
      </c>
      <c r="AW307" s="41">
        <v>46862</v>
      </c>
      <c r="AX307" s="41">
        <v>47160</v>
      </c>
      <c r="AY307" s="41">
        <v>47440</v>
      </c>
    </row>
    <row r="308" spans="1:51">
      <c r="A308" s="38" t="s">
        <v>732</v>
      </c>
      <c r="B308" s="38" t="s">
        <v>733</v>
      </c>
      <c r="C308" s="41">
        <v>51814</v>
      </c>
      <c r="D308" s="41">
        <v>52453</v>
      </c>
      <c r="E308" s="41">
        <v>53080</v>
      </c>
      <c r="F308" s="41">
        <v>53293</v>
      </c>
      <c r="G308" s="41">
        <v>53763</v>
      </c>
      <c r="H308" s="41">
        <v>54274</v>
      </c>
      <c r="I308" s="41">
        <v>55102</v>
      </c>
      <c r="J308" s="41">
        <v>55919</v>
      </c>
      <c r="K308" s="41">
        <v>56093</v>
      </c>
      <c r="L308" s="41">
        <v>56860</v>
      </c>
      <c r="M308" s="41">
        <v>57399</v>
      </c>
      <c r="N308" s="41">
        <v>57224</v>
      </c>
      <c r="O308" s="41">
        <v>57283</v>
      </c>
      <c r="P308" s="41">
        <v>57571</v>
      </c>
      <c r="Q308" s="41">
        <v>58052</v>
      </c>
      <c r="R308" s="41">
        <v>58465</v>
      </c>
      <c r="S308" s="41">
        <v>58960</v>
      </c>
      <c r="T308" s="41">
        <v>59441</v>
      </c>
      <c r="U308" s="41">
        <v>59866</v>
      </c>
      <c r="V308" s="41">
        <v>60308</v>
      </c>
      <c r="W308" s="41">
        <v>60508</v>
      </c>
      <c r="X308" s="41">
        <v>61172</v>
      </c>
      <c r="Y308" s="41">
        <v>61707</v>
      </c>
      <c r="Z308" s="41">
        <v>62353</v>
      </c>
      <c r="AA308" s="41">
        <v>63029</v>
      </c>
      <c r="AB308" s="41">
        <v>63723</v>
      </c>
      <c r="AC308" s="41">
        <v>64410</v>
      </c>
      <c r="AD308" s="41">
        <v>65082</v>
      </c>
      <c r="AE308" s="41">
        <v>65736</v>
      </c>
      <c r="AF308" s="41">
        <v>66362</v>
      </c>
      <c r="AG308" s="41">
        <v>66965</v>
      </c>
      <c r="AH308" s="41">
        <v>67542</v>
      </c>
      <c r="AI308" s="41">
        <v>68112</v>
      </c>
      <c r="AJ308" s="41">
        <v>68680</v>
      </c>
      <c r="AK308" s="41">
        <v>69218</v>
      </c>
      <c r="AL308" s="41">
        <v>69751</v>
      </c>
      <c r="AM308" s="41">
        <v>70274</v>
      </c>
      <c r="AN308" s="41">
        <v>70781</v>
      </c>
      <c r="AO308" s="41">
        <v>71291</v>
      </c>
      <c r="AP308" s="41">
        <v>71805</v>
      </c>
      <c r="AQ308" s="41">
        <v>72304</v>
      </c>
      <c r="AR308" s="41">
        <v>72782</v>
      </c>
      <c r="AS308" s="41">
        <v>73250</v>
      </c>
      <c r="AT308" s="41">
        <v>73712</v>
      </c>
      <c r="AU308" s="41">
        <v>74171</v>
      </c>
      <c r="AV308" s="41">
        <v>74620</v>
      </c>
      <c r="AW308" s="41">
        <v>75073</v>
      </c>
      <c r="AX308" s="41">
        <v>75508</v>
      </c>
      <c r="AY308" s="41">
        <v>75912</v>
      </c>
    </row>
    <row r="309" spans="1:51">
      <c r="A309" s="38" t="s">
        <v>734</v>
      </c>
      <c r="B309" s="38" t="s">
        <v>735</v>
      </c>
      <c r="C309" s="41">
        <v>96393</v>
      </c>
      <c r="D309" s="41">
        <v>96440</v>
      </c>
      <c r="E309" s="41">
        <v>96564</v>
      </c>
      <c r="F309" s="41">
        <v>95729</v>
      </c>
      <c r="G309" s="41">
        <v>95742</v>
      </c>
      <c r="H309" s="41">
        <v>96210</v>
      </c>
      <c r="I309" s="41">
        <v>95778</v>
      </c>
      <c r="J309" s="41">
        <v>96024</v>
      </c>
      <c r="K309" s="41">
        <v>96366</v>
      </c>
      <c r="L309" s="41">
        <v>96602</v>
      </c>
      <c r="M309" s="41">
        <v>97060</v>
      </c>
      <c r="N309" s="41">
        <v>97672</v>
      </c>
      <c r="O309" s="41">
        <v>98086</v>
      </c>
      <c r="P309" s="41">
        <v>98428</v>
      </c>
      <c r="Q309" s="41">
        <v>98978</v>
      </c>
      <c r="R309" s="41">
        <v>99605</v>
      </c>
      <c r="S309" s="41">
        <v>99895</v>
      </c>
      <c r="T309" s="41">
        <v>100467</v>
      </c>
      <c r="U309" s="41">
        <v>100961</v>
      </c>
      <c r="V309" s="41">
        <v>101562</v>
      </c>
      <c r="W309" s="41">
        <v>102342</v>
      </c>
      <c r="X309" s="41">
        <v>103044</v>
      </c>
      <c r="Y309" s="41">
        <v>103365</v>
      </c>
      <c r="Z309" s="41">
        <v>103972</v>
      </c>
      <c r="AA309" s="41">
        <v>104599</v>
      </c>
      <c r="AB309" s="41">
        <v>105313</v>
      </c>
      <c r="AC309" s="41">
        <v>105981</v>
      </c>
      <c r="AD309" s="41">
        <v>106668</v>
      </c>
      <c r="AE309" s="41">
        <v>107351</v>
      </c>
      <c r="AF309" s="41">
        <v>107998</v>
      </c>
      <c r="AG309" s="41">
        <v>108673</v>
      </c>
      <c r="AH309" s="41">
        <v>109323</v>
      </c>
      <c r="AI309" s="41">
        <v>109973</v>
      </c>
      <c r="AJ309" s="41">
        <v>110662</v>
      </c>
      <c r="AK309" s="41">
        <v>111340</v>
      </c>
      <c r="AL309" s="41">
        <v>112064</v>
      </c>
      <c r="AM309" s="41">
        <v>112783</v>
      </c>
      <c r="AN309" s="41">
        <v>113511</v>
      </c>
      <c r="AO309" s="41">
        <v>114228</v>
      </c>
      <c r="AP309" s="41">
        <v>114941</v>
      </c>
      <c r="AQ309" s="41">
        <v>115665</v>
      </c>
      <c r="AR309" s="41">
        <v>116371</v>
      </c>
      <c r="AS309" s="41">
        <v>117061</v>
      </c>
      <c r="AT309" s="41">
        <v>117767</v>
      </c>
      <c r="AU309" s="41">
        <v>118471</v>
      </c>
      <c r="AV309" s="41">
        <v>119185</v>
      </c>
      <c r="AW309" s="41">
        <v>119914</v>
      </c>
      <c r="AX309" s="41">
        <v>120648</v>
      </c>
      <c r="AY309" s="41">
        <v>121347</v>
      </c>
    </row>
    <row r="310" spans="1:51">
      <c r="A310" s="38" t="s">
        <v>736</v>
      </c>
      <c r="B310" s="38" t="s">
        <v>737</v>
      </c>
      <c r="C310" s="41">
        <v>33359</v>
      </c>
      <c r="D310" s="41">
        <v>33990</v>
      </c>
      <c r="E310" s="41">
        <v>34649</v>
      </c>
      <c r="F310" s="41">
        <v>35474</v>
      </c>
      <c r="G310" s="41">
        <v>36245</v>
      </c>
      <c r="H310" s="41">
        <v>36820</v>
      </c>
      <c r="I310" s="41">
        <v>37358</v>
      </c>
      <c r="J310" s="41">
        <v>38055</v>
      </c>
      <c r="K310" s="41">
        <v>38305</v>
      </c>
      <c r="L310" s="41">
        <v>38723</v>
      </c>
      <c r="M310" s="41">
        <v>39062</v>
      </c>
      <c r="N310" s="41">
        <v>39171</v>
      </c>
      <c r="O310" s="41">
        <v>39500</v>
      </c>
      <c r="P310" s="41">
        <v>39589</v>
      </c>
      <c r="Q310" s="41">
        <v>39905</v>
      </c>
      <c r="R310" s="41">
        <v>40244</v>
      </c>
      <c r="S310" s="41">
        <v>40456</v>
      </c>
      <c r="T310" s="41">
        <v>40913</v>
      </c>
      <c r="U310" s="41">
        <v>41289</v>
      </c>
      <c r="V310" s="41">
        <v>41605</v>
      </c>
      <c r="W310" s="41">
        <v>41982</v>
      </c>
      <c r="X310" s="41">
        <v>42355</v>
      </c>
      <c r="Y310" s="41">
        <v>42651</v>
      </c>
      <c r="Z310" s="41">
        <v>42984</v>
      </c>
      <c r="AA310" s="41">
        <v>43364</v>
      </c>
      <c r="AB310" s="41">
        <v>43728</v>
      </c>
      <c r="AC310" s="41">
        <v>44101</v>
      </c>
      <c r="AD310" s="41">
        <v>44479</v>
      </c>
      <c r="AE310" s="41">
        <v>44835</v>
      </c>
      <c r="AF310" s="41">
        <v>45177</v>
      </c>
      <c r="AG310" s="41">
        <v>45506</v>
      </c>
      <c r="AH310" s="41">
        <v>45838</v>
      </c>
      <c r="AI310" s="41">
        <v>46166</v>
      </c>
      <c r="AJ310" s="41">
        <v>46484</v>
      </c>
      <c r="AK310" s="41">
        <v>46785</v>
      </c>
      <c r="AL310" s="41">
        <v>47091</v>
      </c>
      <c r="AM310" s="41">
        <v>47386</v>
      </c>
      <c r="AN310" s="41">
        <v>47681</v>
      </c>
      <c r="AO310" s="41">
        <v>47974</v>
      </c>
      <c r="AP310" s="41">
        <v>48242</v>
      </c>
      <c r="AQ310" s="41">
        <v>48511</v>
      </c>
      <c r="AR310" s="41">
        <v>48770</v>
      </c>
      <c r="AS310" s="41">
        <v>49042</v>
      </c>
      <c r="AT310" s="41">
        <v>49285</v>
      </c>
      <c r="AU310" s="41">
        <v>49519</v>
      </c>
      <c r="AV310" s="41">
        <v>49776</v>
      </c>
      <c r="AW310" s="41">
        <v>50050</v>
      </c>
      <c r="AX310" s="41">
        <v>50298</v>
      </c>
      <c r="AY310" s="41">
        <v>50529</v>
      </c>
    </row>
    <row r="311" spans="1:51">
      <c r="A311" s="38" t="s">
        <v>738</v>
      </c>
      <c r="B311" s="38" t="s">
        <v>739</v>
      </c>
      <c r="C311" s="41">
        <v>43364</v>
      </c>
      <c r="D311" s="41">
        <v>43215</v>
      </c>
      <c r="E311" s="41">
        <v>42883</v>
      </c>
      <c r="F311" s="41">
        <v>42698</v>
      </c>
      <c r="G311" s="41">
        <v>43102</v>
      </c>
      <c r="H311" s="41">
        <v>43285</v>
      </c>
      <c r="I311" s="41">
        <v>43301</v>
      </c>
      <c r="J311" s="41">
        <v>43202</v>
      </c>
      <c r="K311" s="41">
        <v>43725</v>
      </c>
      <c r="L311" s="41">
        <v>43976</v>
      </c>
      <c r="M311" s="41">
        <v>44115</v>
      </c>
      <c r="N311" s="41">
        <v>44285</v>
      </c>
      <c r="O311" s="41">
        <v>44497</v>
      </c>
      <c r="P311" s="41">
        <v>44687</v>
      </c>
      <c r="Q311" s="41">
        <v>44955</v>
      </c>
      <c r="R311" s="41">
        <v>45193</v>
      </c>
      <c r="S311" s="41">
        <v>45592</v>
      </c>
      <c r="T311" s="41">
        <v>45930</v>
      </c>
      <c r="U311" s="41">
        <v>46156</v>
      </c>
      <c r="V311" s="41">
        <v>46662</v>
      </c>
      <c r="W311" s="41">
        <v>47211</v>
      </c>
      <c r="X311" s="41">
        <v>47618</v>
      </c>
      <c r="Y311" s="41">
        <v>47866</v>
      </c>
      <c r="Z311" s="41">
        <v>48404</v>
      </c>
      <c r="AA311" s="41">
        <v>48955</v>
      </c>
      <c r="AB311" s="41">
        <v>49547</v>
      </c>
      <c r="AC311" s="41">
        <v>50135</v>
      </c>
      <c r="AD311" s="41">
        <v>50765</v>
      </c>
      <c r="AE311" s="41">
        <v>51373</v>
      </c>
      <c r="AF311" s="41">
        <v>51981</v>
      </c>
      <c r="AG311" s="41">
        <v>52600</v>
      </c>
      <c r="AH311" s="41">
        <v>53202</v>
      </c>
      <c r="AI311" s="41">
        <v>53825</v>
      </c>
      <c r="AJ311" s="41">
        <v>54454</v>
      </c>
      <c r="AK311" s="41">
        <v>55085</v>
      </c>
      <c r="AL311" s="41">
        <v>55727</v>
      </c>
      <c r="AM311" s="41">
        <v>56358</v>
      </c>
      <c r="AN311" s="41">
        <v>57000</v>
      </c>
      <c r="AO311" s="41">
        <v>57659</v>
      </c>
      <c r="AP311" s="41">
        <v>58304</v>
      </c>
      <c r="AQ311" s="41">
        <v>58958</v>
      </c>
      <c r="AR311" s="41">
        <v>59591</v>
      </c>
      <c r="AS311" s="41">
        <v>60224</v>
      </c>
      <c r="AT311" s="41">
        <v>60848</v>
      </c>
      <c r="AU311" s="41">
        <v>61456</v>
      </c>
      <c r="AV311" s="41">
        <v>62066</v>
      </c>
      <c r="AW311" s="41">
        <v>62666</v>
      </c>
      <c r="AX311" s="41">
        <v>63245</v>
      </c>
      <c r="AY311" s="41">
        <v>63802</v>
      </c>
    </row>
    <row r="312" spans="1:51">
      <c r="A312" s="38" t="s">
        <v>740</v>
      </c>
      <c r="B312" s="38" t="s">
        <v>741</v>
      </c>
      <c r="C312" s="41">
        <v>40381</v>
      </c>
      <c r="D312" s="41">
        <v>41105</v>
      </c>
      <c r="E312" s="41">
        <v>41639</v>
      </c>
      <c r="F312" s="41">
        <v>41738</v>
      </c>
      <c r="G312" s="41">
        <v>42485</v>
      </c>
      <c r="H312" s="41">
        <v>43391</v>
      </c>
      <c r="I312" s="41">
        <v>44253</v>
      </c>
      <c r="J312" s="41">
        <v>44634</v>
      </c>
      <c r="K312" s="41">
        <v>45483</v>
      </c>
      <c r="L312" s="41">
        <v>46194</v>
      </c>
      <c r="M312" s="41">
        <v>46888</v>
      </c>
      <c r="N312" s="41">
        <v>47179</v>
      </c>
      <c r="O312" s="41">
        <v>47539</v>
      </c>
      <c r="P312" s="41">
        <v>47802</v>
      </c>
      <c r="Q312" s="41">
        <v>48087</v>
      </c>
      <c r="R312" s="41">
        <v>48384</v>
      </c>
      <c r="S312" s="41">
        <v>48705</v>
      </c>
      <c r="T312" s="41">
        <v>48793</v>
      </c>
      <c r="U312" s="41">
        <v>49020</v>
      </c>
      <c r="V312" s="41">
        <v>49381</v>
      </c>
      <c r="W312" s="41">
        <v>49544</v>
      </c>
      <c r="X312" s="41">
        <v>49914</v>
      </c>
      <c r="Y312" s="41">
        <v>50309</v>
      </c>
      <c r="Z312" s="41">
        <v>50740</v>
      </c>
      <c r="AA312" s="41">
        <v>51143</v>
      </c>
      <c r="AB312" s="41">
        <v>51538</v>
      </c>
      <c r="AC312" s="41">
        <v>51943</v>
      </c>
      <c r="AD312" s="41">
        <v>52352</v>
      </c>
      <c r="AE312" s="41">
        <v>52741</v>
      </c>
      <c r="AF312" s="41">
        <v>53136</v>
      </c>
      <c r="AG312" s="41">
        <v>53502</v>
      </c>
      <c r="AH312" s="41">
        <v>53875</v>
      </c>
      <c r="AI312" s="41">
        <v>54251</v>
      </c>
      <c r="AJ312" s="41">
        <v>54617</v>
      </c>
      <c r="AK312" s="41">
        <v>54996</v>
      </c>
      <c r="AL312" s="41">
        <v>55364</v>
      </c>
      <c r="AM312" s="41">
        <v>55736</v>
      </c>
      <c r="AN312" s="41">
        <v>56106</v>
      </c>
      <c r="AO312" s="41">
        <v>56463</v>
      </c>
      <c r="AP312" s="41">
        <v>56818</v>
      </c>
      <c r="AQ312" s="41">
        <v>57162</v>
      </c>
      <c r="AR312" s="41">
        <v>57502</v>
      </c>
      <c r="AS312" s="41">
        <v>57839</v>
      </c>
      <c r="AT312" s="41">
        <v>58143</v>
      </c>
      <c r="AU312" s="41">
        <v>58423</v>
      </c>
      <c r="AV312" s="41">
        <v>58687</v>
      </c>
      <c r="AW312" s="41">
        <v>58950</v>
      </c>
      <c r="AX312" s="41">
        <v>59200</v>
      </c>
      <c r="AY312" s="41">
        <v>59424</v>
      </c>
    </row>
    <row r="313" spans="1:51">
      <c r="A313" s="38" t="s">
        <v>742</v>
      </c>
      <c r="B313" s="38" t="s">
        <v>743</v>
      </c>
      <c r="C313" s="41">
        <v>42766</v>
      </c>
      <c r="D313" s="41">
        <v>42887</v>
      </c>
      <c r="E313" s="41">
        <v>43119</v>
      </c>
      <c r="F313" s="41">
        <v>43202</v>
      </c>
      <c r="G313" s="41">
        <v>43481</v>
      </c>
      <c r="H313" s="41">
        <v>43653</v>
      </c>
      <c r="I313" s="41">
        <v>44003</v>
      </c>
      <c r="J313" s="41">
        <v>44143</v>
      </c>
      <c r="K313" s="41">
        <v>44219</v>
      </c>
      <c r="L313" s="41">
        <v>44838</v>
      </c>
      <c r="M313" s="41">
        <v>45389</v>
      </c>
      <c r="N313" s="41">
        <v>45963</v>
      </c>
      <c r="O313" s="41">
        <v>46436</v>
      </c>
      <c r="P313" s="41">
        <v>46774</v>
      </c>
      <c r="Q313" s="41">
        <v>46944</v>
      </c>
      <c r="R313" s="41">
        <v>47042</v>
      </c>
      <c r="S313" s="41">
        <v>47234</v>
      </c>
      <c r="T313" s="41">
        <v>47260</v>
      </c>
      <c r="U313" s="41">
        <v>47240</v>
      </c>
      <c r="V313" s="41">
        <v>47326</v>
      </c>
      <c r="W313" s="41">
        <v>47305</v>
      </c>
      <c r="X313" s="41">
        <v>47519</v>
      </c>
      <c r="Y313" s="41">
        <v>47762</v>
      </c>
      <c r="Z313" s="41">
        <v>48119</v>
      </c>
      <c r="AA313" s="41">
        <v>48364</v>
      </c>
      <c r="AB313" s="41">
        <v>48645</v>
      </c>
      <c r="AC313" s="41">
        <v>48947</v>
      </c>
      <c r="AD313" s="41">
        <v>49216</v>
      </c>
      <c r="AE313" s="41">
        <v>49507</v>
      </c>
      <c r="AF313" s="41">
        <v>49794</v>
      </c>
      <c r="AG313" s="41">
        <v>50069</v>
      </c>
      <c r="AH313" s="41">
        <v>50342</v>
      </c>
      <c r="AI313" s="41">
        <v>50603</v>
      </c>
      <c r="AJ313" s="41">
        <v>50864</v>
      </c>
      <c r="AK313" s="41">
        <v>51127</v>
      </c>
      <c r="AL313" s="41">
        <v>51396</v>
      </c>
      <c r="AM313" s="41">
        <v>51668</v>
      </c>
      <c r="AN313" s="41">
        <v>51928</v>
      </c>
      <c r="AO313" s="41">
        <v>52171</v>
      </c>
      <c r="AP313" s="41">
        <v>52422</v>
      </c>
      <c r="AQ313" s="41">
        <v>52659</v>
      </c>
      <c r="AR313" s="41">
        <v>52869</v>
      </c>
      <c r="AS313" s="41">
        <v>53084</v>
      </c>
      <c r="AT313" s="41">
        <v>53281</v>
      </c>
      <c r="AU313" s="41">
        <v>53488</v>
      </c>
      <c r="AV313" s="41">
        <v>53689</v>
      </c>
      <c r="AW313" s="41">
        <v>53884</v>
      </c>
      <c r="AX313" s="41">
        <v>54074</v>
      </c>
      <c r="AY313" s="41">
        <v>54250</v>
      </c>
    </row>
    <row r="314" spans="1:51">
      <c r="A314" s="38" t="s">
        <v>744</v>
      </c>
      <c r="B314" s="38" t="s">
        <v>745</v>
      </c>
      <c r="C314" s="41">
        <v>37318</v>
      </c>
      <c r="D314" s="41">
        <v>37967</v>
      </c>
      <c r="E314" s="41">
        <v>38187</v>
      </c>
      <c r="F314" s="41">
        <v>38622</v>
      </c>
      <c r="G314" s="41">
        <v>38877</v>
      </c>
      <c r="H314" s="41">
        <v>39026</v>
      </c>
      <c r="I314" s="41">
        <v>39246</v>
      </c>
      <c r="J314" s="41">
        <v>39362</v>
      </c>
      <c r="K314" s="41">
        <v>39709</v>
      </c>
      <c r="L314" s="41">
        <v>40054</v>
      </c>
      <c r="M314" s="41">
        <v>40375</v>
      </c>
      <c r="N314" s="41">
        <v>40548</v>
      </c>
      <c r="O314" s="41">
        <v>40967</v>
      </c>
      <c r="P314" s="41">
        <v>41245</v>
      </c>
      <c r="Q314" s="41">
        <v>41630</v>
      </c>
      <c r="R314" s="41">
        <v>41951</v>
      </c>
      <c r="S314" s="41">
        <v>42213</v>
      </c>
      <c r="T314" s="41">
        <v>42500</v>
      </c>
      <c r="U314" s="41">
        <v>42615</v>
      </c>
      <c r="V314" s="41">
        <v>42782</v>
      </c>
      <c r="W314" s="41">
        <v>43031</v>
      </c>
      <c r="X314" s="41">
        <v>43138</v>
      </c>
      <c r="Y314" s="41">
        <v>43301</v>
      </c>
      <c r="Z314" s="41">
        <v>43605</v>
      </c>
      <c r="AA314" s="41">
        <v>43735</v>
      </c>
      <c r="AB314" s="41">
        <v>43928</v>
      </c>
      <c r="AC314" s="41">
        <v>44146</v>
      </c>
      <c r="AD314" s="41">
        <v>44354</v>
      </c>
      <c r="AE314" s="41">
        <v>44585</v>
      </c>
      <c r="AF314" s="41">
        <v>44771</v>
      </c>
      <c r="AG314" s="41">
        <v>44976</v>
      </c>
      <c r="AH314" s="41">
        <v>45186</v>
      </c>
      <c r="AI314" s="41">
        <v>45387</v>
      </c>
      <c r="AJ314" s="41">
        <v>45599</v>
      </c>
      <c r="AK314" s="41">
        <v>45779</v>
      </c>
      <c r="AL314" s="41">
        <v>45970</v>
      </c>
      <c r="AM314" s="41">
        <v>46158</v>
      </c>
      <c r="AN314" s="41">
        <v>46344</v>
      </c>
      <c r="AO314" s="41">
        <v>46540</v>
      </c>
      <c r="AP314" s="41">
        <v>46708</v>
      </c>
      <c r="AQ314" s="41">
        <v>46877</v>
      </c>
      <c r="AR314" s="41">
        <v>47052</v>
      </c>
      <c r="AS314" s="41">
        <v>47202</v>
      </c>
      <c r="AT314" s="41">
        <v>47350</v>
      </c>
      <c r="AU314" s="41">
        <v>47467</v>
      </c>
      <c r="AV314" s="41">
        <v>47582</v>
      </c>
      <c r="AW314" s="41">
        <v>47691</v>
      </c>
      <c r="AX314" s="41">
        <v>47800</v>
      </c>
      <c r="AY314" s="41">
        <v>47899</v>
      </c>
    </row>
    <row r="315" spans="1:51">
      <c r="A315" s="38" t="s">
        <v>746</v>
      </c>
      <c r="B315" s="38" t="s">
        <v>747</v>
      </c>
      <c r="C315" s="41">
        <v>70502</v>
      </c>
      <c r="D315" s="41">
        <v>70904</v>
      </c>
      <c r="E315" s="41">
        <v>71273</v>
      </c>
      <c r="F315" s="41">
        <v>72046</v>
      </c>
      <c r="G315" s="41">
        <v>72514</v>
      </c>
      <c r="H315" s="41">
        <v>73323</v>
      </c>
      <c r="I315" s="41">
        <v>73902</v>
      </c>
      <c r="J315" s="41">
        <v>74730</v>
      </c>
      <c r="K315" s="41">
        <v>75077</v>
      </c>
      <c r="L315" s="41">
        <v>75949</v>
      </c>
      <c r="M315" s="41">
        <v>76920</v>
      </c>
      <c r="N315" s="41">
        <v>77211</v>
      </c>
      <c r="O315" s="41">
        <v>77984</v>
      </c>
      <c r="P315" s="41">
        <v>79032</v>
      </c>
      <c r="Q315" s="41">
        <v>79915</v>
      </c>
      <c r="R315" s="41">
        <v>80235</v>
      </c>
      <c r="S315" s="41">
        <v>80643</v>
      </c>
      <c r="T315" s="41">
        <v>81227</v>
      </c>
      <c r="U315" s="41">
        <v>81740</v>
      </c>
      <c r="V315" s="41">
        <v>82607</v>
      </c>
      <c r="W315" s="41">
        <v>83470</v>
      </c>
      <c r="X315" s="41">
        <v>84271</v>
      </c>
      <c r="Y315" s="41">
        <v>85136</v>
      </c>
      <c r="Z315" s="41">
        <v>86070</v>
      </c>
      <c r="AA315" s="41">
        <v>87124</v>
      </c>
      <c r="AB315" s="41">
        <v>88138</v>
      </c>
      <c r="AC315" s="41">
        <v>89095</v>
      </c>
      <c r="AD315" s="41">
        <v>89966</v>
      </c>
      <c r="AE315" s="41">
        <v>90829</v>
      </c>
      <c r="AF315" s="41">
        <v>91691</v>
      </c>
      <c r="AG315" s="41">
        <v>92527</v>
      </c>
      <c r="AH315" s="41">
        <v>93331</v>
      </c>
      <c r="AI315" s="41">
        <v>94116</v>
      </c>
      <c r="AJ315" s="41">
        <v>94930</v>
      </c>
      <c r="AK315" s="41">
        <v>95750</v>
      </c>
      <c r="AL315" s="41">
        <v>96582</v>
      </c>
      <c r="AM315" s="41">
        <v>97418</v>
      </c>
      <c r="AN315" s="41">
        <v>98239</v>
      </c>
      <c r="AO315" s="41">
        <v>99027</v>
      </c>
      <c r="AP315" s="41">
        <v>99817</v>
      </c>
      <c r="AQ315" s="41">
        <v>100616</v>
      </c>
      <c r="AR315" s="41">
        <v>101389</v>
      </c>
      <c r="AS315" s="41">
        <v>102100</v>
      </c>
      <c r="AT315" s="41">
        <v>102774</v>
      </c>
      <c r="AU315" s="41">
        <v>103451</v>
      </c>
      <c r="AV315" s="41">
        <v>104156</v>
      </c>
      <c r="AW315" s="41">
        <v>104867</v>
      </c>
      <c r="AX315" s="41">
        <v>105562</v>
      </c>
      <c r="AY315" s="41">
        <v>106222</v>
      </c>
    </row>
    <row r="316" spans="1:51">
      <c r="A316" s="2" t="s">
        <v>748</v>
      </c>
      <c r="B316" s="2" t="s">
        <v>749</v>
      </c>
      <c r="C316" s="20">
        <f>C198+C235+C296</f>
        <v>149941</v>
      </c>
      <c r="D316" s="20">
        <f t="shared" ref="D316:AY316" si="0">D198+D235+D296</f>
        <v>152587</v>
      </c>
      <c r="E316" s="20">
        <f t="shared" si="0"/>
        <v>153963</v>
      </c>
      <c r="F316" s="20">
        <f t="shared" si="0"/>
        <v>152813</v>
      </c>
      <c r="G316" s="20">
        <f t="shared" si="0"/>
        <v>153931</v>
      </c>
      <c r="H316" s="20">
        <f t="shared" si="0"/>
        <v>153392</v>
      </c>
      <c r="I316" s="20">
        <f t="shared" si="0"/>
        <v>154076</v>
      </c>
      <c r="J316" s="20">
        <f t="shared" si="0"/>
        <v>154540</v>
      </c>
      <c r="K316" s="20">
        <f t="shared" si="0"/>
        <v>155271</v>
      </c>
      <c r="L316" s="20">
        <f t="shared" si="0"/>
        <v>157029</v>
      </c>
      <c r="M316" s="20">
        <f t="shared" si="0"/>
        <v>157774</v>
      </c>
      <c r="N316" s="20">
        <f t="shared" si="0"/>
        <v>159569</v>
      </c>
      <c r="O316" s="20">
        <f t="shared" si="0"/>
        <v>159985</v>
      </c>
      <c r="P316" s="20">
        <f t="shared" si="0"/>
        <v>160621</v>
      </c>
      <c r="Q316" s="20">
        <f t="shared" si="0"/>
        <v>162427</v>
      </c>
      <c r="R316" s="20">
        <f t="shared" si="0"/>
        <v>163480</v>
      </c>
      <c r="S316" s="20">
        <f t="shared" si="0"/>
        <v>165175</v>
      </c>
      <c r="T316" s="20">
        <f t="shared" si="0"/>
        <v>166529</v>
      </c>
      <c r="U316" s="20">
        <f t="shared" si="0"/>
        <v>167216</v>
      </c>
      <c r="V316" s="20">
        <f t="shared" si="0"/>
        <v>168286</v>
      </c>
      <c r="W316" s="20">
        <f t="shared" si="0"/>
        <v>169245</v>
      </c>
      <c r="X316" s="20">
        <f t="shared" si="0"/>
        <v>170149</v>
      </c>
      <c r="Y316" s="20">
        <f t="shared" si="0"/>
        <v>171148</v>
      </c>
      <c r="Z316" s="20">
        <f t="shared" si="0"/>
        <v>173067</v>
      </c>
      <c r="AA316" s="20">
        <f t="shared" si="0"/>
        <v>174049</v>
      </c>
      <c r="AB316" s="20">
        <f t="shared" si="0"/>
        <v>175250</v>
      </c>
      <c r="AC316" s="20">
        <f t="shared" si="0"/>
        <v>176357</v>
      </c>
      <c r="AD316" s="20">
        <f t="shared" si="0"/>
        <v>177442</v>
      </c>
      <c r="AE316" s="20">
        <f t="shared" si="0"/>
        <v>178531</v>
      </c>
      <c r="AF316" s="20">
        <f t="shared" si="0"/>
        <v>179528</v>
      </c>
      <c r="AG316" s="20">
        <f t="shared" si="0"/>
        <v>180549</v>
      </c>
      <c r="AH316" s="20">
        <f t="shared" si="0"/>
        <v>181525</v>
      </c>
      <c r="AI316" s="20">
        <f t="shared" si="0"/>
        <v>182508</v>
      </c>
      <c r="AJ316" s="20">
        <f t="shared" si="0"/>
        <v>183530</v>
      </c>
      <c r="AK316" s="20">
        <f t="shared" si="0"/>
        <v>184529</v>
      </c>
      <c r="AL316" s="20">
        <f t="shared" si="0"/>
        <v>185622</v>
      </c>
      <c r="AM316" s="20">
        <f t="shared" si="0"/>
        <v>186730</v>
      </c>
      <c r="AN316" s="20">
        <f t="shared" si="0"/>
        <v>187796</v>
      </c>
      <c r="AO316" s="20">
        <f t="shared" si="0"/>
        <v>188803</v>
      </c>
      <c r="AP316" s="20">
        <f t="shared" si="0"/>
        <v>189797</v>
      </c>
      <c r="AQ316" s="20">
        <f t="shared" si="0"/>
        <v>190831</v>
      </c>
      <c r="AR316" s="20">
        <f t="shared" si="0"/>
        <v>191819</v>
      </c>
      <c r="AS316" s="20">
        <f t="shared" si="0"/>
        <v>192707</v>
      </c>
      <c r="AT316" s="20">
        <f t="shared" si="0"/>
        <v>193531</v>
      </c>
      <c r="AU316" s="20">
        <f t="shared" si="0"/>
        <v>194327</v>
      </c>
      <c r="AV316" s="20">
        <f t="shared" si="0"/>
        <v>195170</v>
      </c>
      <c r="AW316" s="20">
        <f t="shared" si="0"/>
        <v>196034</v>
      </c>
      <c r="AX316" s="20">
        <f t="shared" si="0"/>
        <v>196827</v>
      </c>
      <c r="AY316" s="20">
        <f t="shared" si="0"/>
        <v>197584</v>
      </c>
    </row>
    <row r="317" spans="1:51">
      <c r="A317" s="2" t="s">
        <v>750</v>
      </c>
      <c r="B317" s="2" t="s">
        <v>751</v>
      </c>
      <c r="C317" s="20">
        <f>SUM(C177,C278)</f>
        <v>55770</v>
      </c>
      <c r="D317" s="20">
        <f t="shared" ref="D317:AY317" si="1">SUM(D177,D278)</f>
        <v>56285</v>
      </c>
      <c r="E317" s="20">
        <f t="shared" si="1"/>
        <v>57088</v>
      </c>
      <c r="F317" s="20">
        <f t="shared" si="1"/>
        <v>57327</v>
      </c>
      <c r="G317" s="20">
        <f t="shared" si="1"/>
        <v>57420</v>
      </c>
      <c r="H317" s="20">
        <f t="shared" si="1"/>
        <v>57919</v>
      </c>
      <c r="I317" s="20">
        <f t="shared" si="1"/>
        <v>58499</v>
      </c>
      <c r="J317" s="20">
        <f t="shared" si="1"/>
        <v>59062</v>
      </c>
      <c r="K317" s="20">
        <f t="shared" si="1"/>
        <v>59757</v>
      </c>
      <c r="L317" s="20">
        <f t="shared" si="1"/>
        <v>60813</v>
      </c>
      <c r="M317" s="20">
        <f t="shared" si="1"/>
        <v>61855</v>
      </c>
      <c r="N317" s="20">
        <f t="shared" si="1"/>
        <v>62684</v>
      </c>
      <c r="O317" s="20">
        <f t="shared" si="1"/>
        <v>63621</v>
      </c>
      <c r="P317" s="20">
        <f t="shared" si="1"/>
        <v>64473</v>
      </c>
      <c r="Q317" s="20">
        <f t="shared" si="1"/>
        <v>65189</v>
      </c>
      <c r="R317" s="20">
        <f t="shared" si="1"/>
        <v>65872</v>
      </c>
      <c r="S317" s="20">
        <f t="shared" si="1"/>
        <v>66453</v>
      </c>
      <c r="T317" s="20">
        <f t="shared" si="1"/>
        <v>67061</v>
      </c>
      <c r="U317" s="20">
        <f t="shared" si="1"/>
        <v>67335</v>
      </c>
      <c r="V317" s="20">
        <f t="shared" si="1"/>
        <v>67669</v>
      </c>
      <c r="W317" s="20">
        <f t="shared" si="1"/>
        <v>68238</v>
      </c>
      <c r="X317" s="20">
        <f t="shared" si="1"/>
        <v>68714</v>
      </c>
      <c r="Y317" s="20">
        <f t="shared" si="1"/>
        <v>69003</v>
      </c>
      <c r="Z317" s="20">
        <f t="shared" si="1"/>
        <v>69585</v>
      </c>
      <c r="AA317" s="20">
        <f t="shared" si="1"/>
        <v>70046</v>
      </c>
      <c r="AB317" s="20">
        <f t="shared" si="1"/>
        <v>70567</v>
      </c>
      <c r="AC317" s="20">
        <f t="shared" si="1"/>
        <v>71100</v>
      </c>
      <c r="AD317" s="20">
        <f t="shared" si="1"/>
        <v>71633</v>
      </c>
      <c r="AE317" s="20">
        <f t="shared" si="1"/>
        <v>72194</v>
      </c>
      <c r="AF317" s="20">
        <f t="shared" si="1"/>
        <v>72745</v>
      </c>
      <c r="AG317" s="20">
        <f t="shared" si="1"/>
        <v>73297</v>
      </c>
      <c r="AH317" s="20">
        <f t="shared" si="1"/>
        <v>73853</v>
      </c>
      <c r="AI317" s="20">
        <f t="shared" si="1"/>
        <v>74399</v>
      </c>
      <c r="AJ317" s="20">
        <f t="shared" si="1"/>
        <v>74972</v>
      </c>
      <c r="AK317" s="20">
        <f t="shared" si="1"/>
        <v>75535</v>
      </c>
      <c r="AL317" s="20">
        <f t="shared" si="1"/>
        <v>76101</v>
      </c>
      <c r="AM317" s="20">
        <f t="shared" si="1"/>
        <v>76671</v>
      </c>
      <c r="AN317" s="20">
        <f t="shared" si="1"/>
        <v>77213</v>
      </c>
      <c r="AO317" s="20">
        <f t="shared" si="1"/>
        <v>77754</v>
      </c>
      <c r="AP317" s="20">
        <f t="shared" si="1"/>
        <v>78284</v>
      </c>
      <c r="AQ317" s="20">
        <f t="shared" si="1"/>
        <v>78800</v>
      </c>
      <c r="AR317" s="20">
        <f t="shared" si="1"/>
        <v>79276</v>
      </c>
      <c r="AS317" s="20">
        <f t="shared" si="1"/>
        <v>79731</v>
      </c>
      <c r="AT317" s="20">
        <f t="shared" si="1"/>
        <v>80177</v>
      </c>
      <c r="AU317" s="20">
        <f t="shared" si="1"/>
        <v>80602</v>
      </c>
      <c r="AV317" s="20">
        <f t="shared" si="1"/>
        <v>81027</v>
      </c>
      <c r="AW317" s="20">
        <f t="shared" si="1"/>
        <v>81446</v>
      </c>
      <c r="AX317" s="20">
        <f t="shared" si="1"/>
        <v>81843</v>
      </c>
      <c r="AY317" s="20">
        <f t="shared" si="1"/>
        <v>82225</v>
      </c>
    </row>
    <row r="318" spans="1:51">
      <c r="A318" s="2" t="s">
        <v>752</v>
      </c>
      <c r="B318" s="2" t="s">
        <v>753</v>
      </c>
      <c r="C318" s="20">
        <f>SUM(C35,C190,C239)</f>
        <v>138284</v>
      </c>
      <c r="D318" s="20">
        <f t="shared" ref="D318:AY318" si="2">SUM(D35,D190,D239)</f>
        <v>139182</v>
      </c>
      <c r="E318" s="20">
        <f t="shared" si="2"/>
        <v>140172</v>
      </c>
      <c r="F318" s="20">
        <f t="shared" si="2"/>
        <v>141320</v>
      </c>
      <c r="G318" s="20">
        <f t="shared" si="2"/>
        <v>142753</v>
      </c>
      <c r="H318" s="20">
        <f t="shared" si="2"/>
        <v>143772</v>
      </c>
      <c r="I318" s="20">
        <f t="shared" si="2"/>
        <v>144937</v>
      </c>
      <c r="J318" s="20">
        <f t="shared" si="2"/>
        <v>146278</v>
      </c>
      <c r="K318" s="20">
        <f t="shared" si="2"/>
        <v>147678</v>
      </c>
      <c r="L318" s="20">
        <f t="shared" si="2"/>
        <v>149675</v>
      </c>
      <c r="M318" s="20">
        <f t="shared" si="2"/>
        <v>151479</v>
      </c>
      <c r="N318" s="20">
        <f t="shared" si="2"/>
        <v>152943</v>
      </c>
      <c r="O318" s="20">
        <f t="shared" si="2"/>
        <v>154573</v>
      </c>
      <c r="P318" s="20">
        <f t="shared" si="2"/>
        <v>155816</v>
      </c>
      <c r="Q318" s="20">
        <f t="shared" si="2"/>
        <v>157808</v>
      </c>
      <c r="R318" s="20">
        <f t="shared" si="2"/>
        <v>159192</v>
      </c>
      <c r="S318" s="20">
        <f t="shared" si="2"/>
        <v>160160</v>
      </c>
      <c r="T318" s="20">
        <f t="shared" si="2"/>
        <v>161514</v>
      </c>
      <c r="U318" s="20">
        <f t="shared" si="2"/>
        <v>162951</v>
      </c>
      <c r="V318" s="20">
        <f t="shared" si="2"/>
        <v>165074</v>
      </c>
      <c r="W318" s="20">
        <f t="shared" si="2"/>
        <v>166594</v>
      </c>
      <c r="X318" s="20">
        <f t="shared" si="2"/>
        <v>168382</v>
      </c>
      <c r="Y318" s="20">
        <f t="shared" si="2"/>
        <v>169819</v>
      </c>
      <c r="Z318" s="20">
        <f t="shared" si="2"/>
        <v>171737</v>
      </c>
      <c r="AA318" s="20">
        <f t="shared" si="2"/>
        <v>173479</v>
      </c>
      <c r="AB318" s="20">
        <f t="shared" si="2"/>
        <v>175292</v>
      </c>
      <c r="AC318" s="20">
        <f t="shared" si="2"/>
        <v>177084</v>
      </c>
      <c r="AD318" s="20">
        <f t="shared" si="2"/>
        <v>178839</v>
      </c>
      <c r="AE318" s="20">
        <f t="shared" si="2"/>
        <v>180603</v>
      </c>
      <c r="AF318" s="20">
        <f t="shared" si="2"/>
        <v>182249</v>
      </c>
      <c r="AG318" s="20">
        <f t="shared" si="2"/>
        <v>183860</v>
      </c>
      <c r="AH318" s="20">
        <f t="shared" si="2"/>
        <v>185444</v>
      </c>
      <c r="AI318" s="20">
        <f t="shared" si="2"/>
        <v>187015</v>
      </c>
      <c r="AJ318" s="20">
        <f t="shared" si="2"/>
        <v>188625</v>
      </c>
      <c r="AK318" s="20">
        <f t="shared" si="2"/>
        <v>190217</v>
      </c>
      <c r="AL318" s="20">
        <f t="shared" si="2"/>
        <v>191806</v>
      </c>
      <c r="AM318" s="20">
        <f t="shared" si="2"/>
        <v>193419</v>
      </c>
      <c r="AN318" s="20">
        <f t="shared" si="2"/>
        <v>194979</v>
      </c>
      <c r="AO318" s="20">
        <f t="shared" si="2"/>
        <v>196528</v>
      </c>
      <c r="AP318" s="20">
        <f t="shared" si="2"/>
        <v>198029</v>
      </c>
      <c r="AQ318" s="20">
        <f t="shared" si="2"/>
        <v>199513</v>
      </c>
      <c r="AR318" s="20">
        <f t="shared" si="2"/>
        <v>200982</v>
      </c>
      <c r="AS318" s="20">
        <f t="shared" si="2"/>
        <v>202375</v>
      </c>
      <c r="AT318" s="20">
        <f t="shared" si="2"/>
        <v>203706</v>
      </c>
      <c r="AU318" s="20">
        <f t="shared" si="2"/>
        <v>205006</v>
      </c>
      <c r="AV318" s="20">
        <f t="shared" si="2"/>
        <v>206300</v>
      </c>
      <c r="AW318" s="20">
        <f t="shared" si="2"/>
        <v>207573</v>
      </c>
      <c r="AX318" s="20">
        <f t="shared" si="2"/>
        <v>208793</v>
      </c>
      <c r="AY318" s="20">
        <f t="shared" si="2"/>
        <v>209973</v>
      </c>
    </row>
    <row r="319" spans="1:51">
      <c r="A319" s="2" t="s">
        <v>754</v>
      </c>
      <c r="B319" s="2" t="s">
        <v>755</v>
      </c>
      <c r="C319" s="20">
        <f>SUM(C154,C181,C298)</f>
        <v>97578</v>
      </c>
      <c r="D319" s="20">
        <f t="shared" ref="D319:AY319" si="3">SUM(D154,D181,D298)</f>
        <v>99039</v>
      </c>
      <c r="E319" s="20">
        <f t="shared" si="3"/>
        <v>99943</v>
      </c>
      <c r="F319" s="20">
        <f t="shared" si="3"/>
        <v>100430</v>
      </c>
      <c r="G319" s="20">
        <f t="shared" si="3"/>
        <v>102305</v>
      </c>
      <c r="H319" s="20">
        <f t="shared" si="3"/>
        <v>103114</v>
      </c>
      <c r="I319" s="20">
        <f t="shared" si="3"/>
        <v>103538</v>
      </c>
      <c r="J319" s="20">
        <f t="shared" si="3"/>
        <v>104283</v>
      </c>
      <c r="K319" s="20">
        <f t="shared" si="3"/>
        <v>105715</v>
      </c>
      <c r="L319" s="20">
        <f t="shared" si="3"/>
        <v>107221</v>
      </c>
      <c r="M319" s="20">
        <f t="shared" si="3"/>
        <v>108699</v>
      </c>
      <c r="N319" s="20">
        <f t="shared" si="3"/>
        <v>110728</v>
      </c>
      <c r="O319" s="20">
        <f t="shared" si="3"/>
        <v>112437</v>
      </c>
      <c r="P319" s="20">
        <f t="shared" si="3"/>
        <v>114054</v>
      </c>
      <c r="Q319" s="20">
        <f t="shared" si="3"/>
        <v>115447</v>
      </c>
      <c r="R319" s="20">
        <f t="shared" si="3"/>
        <v>117196</v>
      </c>
      <c r="S319" s="20">
        <f t="shared" si="3"/>
        <v>118941</v>
      </c>
      <c r="T319" s="20">
        <f t="shared" si="3"/>
        <v>120741</v>
      </c>
      <c r="U319" s="20">
        <f t="shared" si="3"/>
        <v>121705</v>
      </c>
      <c r="V319" s="20">
        <f t="shared" si="3"/>
        <v>123247</v>
      </c>
      <c r="W319" s="20">
        <f t="shared" si="3"/>
        <v>124358</v>
      </c>
      <c r="X319" s="20">
        <f t="shared" si="3"/>
        <v>125610</v>
      </c>
      <c r="Y319" s="20">
        <f t="shared" si="3"/>
        <v>126877</v>
      </c>
      <c r="Z319" s="20">
        <f t="shared" si="3"/>
        <v>128242</v>
      </c>
      <c r="AA319" s="20">
        <f t="shared" si="3"/>
        <v>129246</v>
      </c>
      <c r="AB319" s="20">
        <f t="shared" si="3"/>
        <v>130378</v>
      </c>
      <c r="AC319" s="20">
        <f t="shared" si="3"/>
        <v>131489</v>
      </c>
      <c r="AD319" s="20">
        <f t="shared" si="3"/>
        <v>132554</v>
      </c>
      <c r="AE319" s="20">
        <f t="shared" si="3"/>
        <v>133581</v>
      </c>
      <c r="AF319" s="20">
        <f t="shared" si="3"/>
        <v>134564</v>
      </c>
      <c r="AG319" s="20">
        <f t="shared" si="3"/>
        <v>135509</v>
      </c>
      <c r="AH319" s="20">
        <f t="shared" si="3"/>
        <v>136410</v>
      </c>
      <c r="AI319" s="20">
        <f t="shared" si="3"/>
        <v>137326</v>
      </c>
      <c r="AJ319" s="20">
        <f t="shared" si="3"/>
        <v>138267</v>
      </c>
      <c r="AK319" s="20">
        <f t="shared" si="3"/>
        <v>139197</v>
      </c>
      <c r="AL319" s="20">
        <f t="shared" si="3"/>
        <v>140159</v>
      </c>
      <c r="AM319" s="20">
        <f t="shared" si="3"/>
        <v>141103</v>
      </c>
      <c r="AN319" s="20">
        <f t="shared" si="3"/>
        <v>142049</v>
      </c>
      <c r="AO319" s="20">
        <f t="shared" si="3"/>
        <v>142958</v>
      </c>
      <c r="AP319" s="20">
        <f t="shared" si="3"/>
        <v>143857</v>
      </c>
      <c r="AQ319" s="20">
        <f t="shared" si="3"/>
        <v>144777</v>
      </c>
      <c r="AR319" s="20">
        <f t="shared" si="3"/>
        <v>145648</v>
      </c>
      <c r="AS319" s="20">
        <f t="shared" si="3"/>
        <v>146455</v>
      </c>
      <c r="AT319" s="20">
        <f t="shared" si="3"/>
        <v>147208</v>
      </c>
      <c r="AU319" s="20">
        <f t="shared" si="3"/>
        <v>147928</v>
      </c>
      <c r="AV319" s="20">
        <f t="shared" si="3"/>
        <v>148654</v>
      </c>
      <c r="AW319" s="20">
        <f t="shared" si="3"/>
        <v>149364</v>
      </c>
      <c r="AX319" s="20">
        <f t="shared" si="3"/>
        <v>150017</v>
      </c>
      <c r="AY319" s="20">
        <f t="shared" si="3"/>
        <v>150637</v>
      </c>
    </row>
    <row r="321" spans="1:51">
      <c r="A321" s="38" t="s">
        <v>844</v>
      </c>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c r="AV321" s="34"/>
      <c r="AW321" s="34"/>
      <c r="AX321" s="34"/>
      <c r="AY321" s="34"/>
    </row>
    <row r="323" spans="1:51">
      <c r="A323" s="2"/>
      <c r="B323" s="34"/>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row>
    <row r="324" spans="1:51">
      <c r="A324" s="2"/>
      <c r="B324" s="34"/>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row>
    <row r="325" spans="1:51">
      <c r="A325" s="2"/>
      <c r="B325" s="34"/>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row>
    <row r="326" spans="1:51">
      <c r="A326" s="2"/>
      <c r="B326" s="34"/>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row>
  </sheetData>
  <sheetProtection algorithmName="SHA-512" hashValue="+wtOwzDLbrYsiiNfZjKOlPPVQzpWb6f9zTCnj1dS/k/pvRgCUW/7wOZyu64OebV/QEIXlfJjfpyAvpkUzkFSUw==" saltValue="gSOKmexLHf5kjolIKeun6g==" spinCount="100000" sheet="1" objects="1" scenarios="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sheetPr>
  <dimension ref="A1:M328"/>
  <sheetViews>
    <sheetView zoomScale="71" zoomScaleNormal="130" workbookViewId="0">
      <selection activeCell="D16" sqref="D16"/>
    </sheetView>
  </sheetViews>
  <sheetFormatPr defaultColWidth="10.36328125" defaultRowHeight="14"/>
  <cols>
    <col min="1" max="1" width="15.6328125" style="8" customWidth="1"/>
    <col min="2" max="2" width="35.453125" style="8" bestFit="1" customWidth="1"/>
    <col min="3" max="7" width="15.36328125" style="369" customWidth="1"/>
    <col min="8" max="9" width="13.08984375" style="369" customWidth="1"/>
    <col min="10" max="16384" width="10.36328125" style="8"/>
  </cols>
  <sheetData>
    <row r="1" spans="1:9" s="12" customFormat="1" ht="15" thickBot="1">
      <c r="A1" s="375" t="s">
        <v>4815</v>
      </c>
      <c r="B1" s="375" t="s">
        <v>4816</v>
      </c>
      <c r="C1" s="376" t="s">
        <v>4805</v>
      </c>
      <c r="D1" s="376" t="s">
        <v>4806</v>
      </c>
      <c r="E1" s="376" t="s">
        <v>4807</v>
      </c>
      <c r="F1" s="376" t="s">
        <v>4808</v>
      </c>
      <c r="G1" s="376" t="s">
        <v>4809</v>
      </c>
      <c r="H1" s="376" t="s">
        <v>4810</v>
      </c>
      <c r="I1" s="377" t="s">
        <v>4811</v>
      </c>
    </row>
    <row r="2" spans="1:9" ht="15" thickTop="1">
      <c r="A2" s="38" t="s">
        <v>111</v>
      </c>
      <c r="B2" s="38" t="s">
        <v>112</v>
      </c>
      <c r="C2" s="372">
        <v>10.81</v>
      </c>
      <c r="D2" s="372">
        <v>11.74</v>
      </c>
      <c r="E2" s="372">
        <v>11.59</v>
      </c>
      <c r="F2" s="372">
        <v>11.81</v>
      </c>
      <c r="G2" s="372">
        <v>11.49</v>
      </c>
      <c r="H2" s="373">
        <v>11.52</v>
      </c>
      <c r="I2" s="374">
        <v>13.41</v>
      </c>
    </row>
    <row r="3" spans="1:9" ht="14.5">
      <c r="A3" s="38" t="s">
        <v>114</v>
      </c>
      <c r="B3" s="38" t="s">
        <v>115</v>
      </c>
      <c r="C3" s="358">
        <v>6.57</v>
      </c>
      <c r="D3" s="358">
        <v>6.03</v>
      </c>
      <c r="E3" s="358">
        <v>6.47</v>
      </c>
      <c r="F3" s="358">
        <v>6.65</v>
      </c>
      <c r="G3" s="358">
        <v>6.69</v>
      </c>
      <c r="H3" s="356">
        <v>6.09</v>
      </c>
      <c r="I3" s="357">
        <v>6.6</v>
      </c>
    </row>
    <row r="4" spans="1:9" ht="14.5">
      <c r="A4" s="38" t="s">
        <v>117</v>
      </c>
      <c r="B4" s="38" t="s">
        <v>118</v>
      </c>
      <c r="C4" s="358">
        <v>5.69</v>
      </c>
      <c r="D4" s="358">
        <v>5.59</v>
      </c>
      <c r="E4" s="358">
        <v>5.39</v>
      </c>
      <c r="F4" s="358">
        <v>5.94</v>
      </c>
      <c r="G4" s="358">
        <v>5.95</v>
      </c>
      <c r="H4" s="356">
        <v>5.97</v>
      </c>
      <c r="I4" s="357">
        <v>6.69</v>
      </c>
    </row>
    <row r="5" spans="1:9" ht="14.5">
      <c r="A5" s="38" t="s">
        <v>120</v>
      </c>
      <c r="B5" s="38" t="s">
        <v>121</v>
      </c>
      <c r="C5" s="358">
        <v>11.08</v>
      </c>
      <c r="D5" s="358">
        <v>12.06</v>
      </c>
      <c r="E5" s="358">
        <v>12.26</v>
      </c>
      <c r="F5" s="358">
        <v>12.12</v>
      </c>
      <c r="G5" s="358">
        <v>12.16</v>
      </c>
      <c r="H5" s="356">
        <v>11.45</v>
      </c>
      <c r="I5" s="357">
        <v>12.16</v>
      </c>
    </row>
    <row r="6" spans="1:9" ht="14.5">
      <c r="A6" s="38" t="s">
        <v>122</v>
      </c>
      <c r="B6" s="38" t="s">
        <v>123</v>
      </c>
      <c r="C6" s="358">
        <v>5.6</v>
      </c>
      <c r="D6" s="358">
        <v>5.25</v>
      </c>
      <c r="E6" s="358">
        <v>5.56</v>
      </c>
      <c r="F6" s="358">
        <v>5.04</v>
      </c>
      <c r="G6" s="358">
        <v>5.76</v>
      </c>
      <c r="H6" s="356">
        <v>5.28</v>
      </c>
      <c r="I6" s="357">
        <v>6.15</v>
      </c>
    </row>
    <row r="7" spans="1:9" ht="14.5">
      <c r="A7" s="38" t="s">
        <v>124</v>
      </c>
      <c r="B7" s="38" t="s">
        <v>125</v>
      </c>
      <c r="C7" s="358">
        <v>9.02</v>
      </c>
      <c r="D7" s="358">
        <v>8.81</v>
      </c>
      <c r="E7" s="358">
        <v>9.6199999999999992</v>
      </c>
      <c r="F7" s="358">
        <v>10.61</v>
      </c>
      <c r="G7" s="358">
        <v>9.33</v>
      </c>
      <c r="H7" s="356">
        <v>10.38</v>
      </c>
      <c r="I7" s="357">
        <v>10.45</v>
      </c>
    </row>
    <row r="8" spans="1:9" ht="14.5">
      <c r="A8" s="38" t="s">
        <v>126</v>
      </c>
      <c r="B8" s="38" t="s">
        <v>127</v>
      </c>
      <c r="C8" s="358">
        <v>9.48</v>
      </c>
      <c r="D8" s="358">
        <v>11.26</v>
      </c>
      <c r="E8" s="358">
        <v>10.74</v>
      </c>
      <c r="F8" s="358">
        <v>11.48</v>
      </c>
      <c r="G8" s="358">
        <v>10.87</v>
      </c>
      <c r="H8" s="356">
        <v>10.68</v>
      </c>
      <c r="I8" s="357">
        <v>11.84</v>
      </c>
    </row>
    <row r="9" spans="1:9" ht="14.5">
      <c r="A9" s="38" t="s">
        <v>129</v>
      </c>
      <c r="B9" s="38" t="s">
        <v>130</v>
      </c>
      <c r="C9" s="358">
        <v>7.12</v>
      </c>
      <c r="D9" s="358">
        <v>8.94</v>
      </c>
      <c r="E9" s="358">
        <v>10.58</v>
      </c>
      <c r="F9" s="358">
        <v>10.17</v>
      </c>
      <c r="G9" s="358">
        <v>10.98</v>
      </c>
      <c r="H9" s="356">
        <v>9.86</v>
      </c>
      <c r="I9" s="357">
        <v>10.3</v>
      </c>
    </row>
    <row r="10" spans="1:9" ht="14.5">
      <c r="A10" s="38" t="s">
        <v>132</v>
      </c>
      <c r="B10" s="38" t="s">
        <v>133</v>
      </c>
      <c r="C10" s="358">
        <v>14.24</v>
      </c>
      <c r="D10" s="358">
        <v>14.41</v>
      </c>
      <c r="E10" s="358">
        <v>15.91</v>
      </c>
      <c r="F10" s="358">
        <v>17.21</v>
      </c>
      <c r="G10" s="358">
        <v>16.28</v>
      </c>
      <c r="H10" s="356">
        <v>16.170000000000002</v>
      </c>
      <c r="I10" s="357">
        <v>16.55</v>
      </c>
    </row>
    <row r="11" spans="1:9" ht="14.5">
      <c r="A11" s="38" t="s">
        <v>134</v>
      </c>
      <c r="B11" s="38" t="s">
        <v>135</v>
      </c>
      <c r="C11" s="358">
        <v>4.4400000000000004</v>
      </c>
      <c r="D11" s="358">
        <v>4.6399999999999997</v>
      </c>
      <c r="E11" s="358">
        <v>4.9000000000000004</v>
      </c>
      <c r="F11" s="358">
        <v>5.14</v>
      </c>
      <c r="G11" s="358">
        <v>4.87</v>
      </c>
      <c r="H11" s="356">
        <v>5.0599999999999996</v>
      </c>
      <c r="I11" s="357">
        <v>5.0199999999999996</v>
      </c>
    </row>
    <row r="12" spans="1:9" ht="14.5">
      <c r="A12" s="38" t="s">
        <v>137</v>
      </c>
      <c r="B12" s="38" t="s">
        <v>138</v>
      </c>
      <c r="C12" s="358">
        <v>3.89</v>
      </c>
      <c r="D12" s="358">
        <v>3.82</v>
      </c>
      <c r="E12" s="358">
        <v>3.72</v>
      </c>
      <c r="F12" s="358">
        <v>3.54</v>
      </c>
      <c r="G12" s="358">
        <v>3.59</v>
      </c>
      <c r="H12" s="356">
        <v>3.44</v>
      </c>
      <c r="I12" s="357">
        <v>3.74</v>
      </c>
    </row>
    <row r="13" spans="1:9" ht="14.5">
      <c r="A13" s="38" t="s">
        <v>139</v>
      </c>
      <c r="B13" s="38" t="s">
        <v>140</v>
      </c>
      <c r="C13" s="358">
        <v>7.89</v>
      </c>
      <c r="D13" s="358">
        <v>9.11</v>
      </c>
      <c r="E13" s="358">
        <v>10.27</v>
      </c>
      <c r="F13" s="358">
        <v>10.66</v>
      </c>
      <c r="G13" s="358">
        <v>9.39</v>
      </c>
      <c r="H13" s="356">
        <v>9.7899999999999991</v>
      </c>
      <c r="I13" s="357">
        <v>10.36</v>
      </c>
    </row>
    <row r="14" spans="1:9" ht="14.5">
      <c r="A14" s="38" t="s">
        <v>141</v>
      </c>
      <c r="B14" s="38" t="s">
        <v>142</v>
      </c>
      <c r="C14" s="358">
        <v>7.96</v>
      </c>
      <c r="D14" s="358">
        <v>8.2200000000000006</v>
      </c>
      <c r="E14" s="358">
        <v>9.5500000000000007</v>
      </c>
      <c r="F14" s="358">
        <v>9.5399999999999991</v>
      </c>
      <c r="G14" s="358">
        <v>8.48</v>
      </c>
      <c r="H14" s="356">
        <v>8.86</v>
      </c>
      <c r="I14" s="357">
        <v>9.24</v>
      </c>
    </row>
    <row r="15" spans="1:9" ht="14.5">
      <c r="A15" s="38" t="s">
        <v>143</v>
      </c>
      <c r="B15" s="38" t="s">
        <v>144</v>
      </c>
      <c r="C15" s="358">
        <v>5.9</v>
      </c>
      <c r="D15" s="358">
        <v>5.84</v>
      </c>
      <c r="E15" s="358">
        <v>6.1</v>
      </c>
      <c r="F15" s="358">
        <v>6.23</v>
      </c>
      <c r="G15" s="358">
        <v>6.42</v>
      </c>
      <c r="H15" s="356">
        <v>6.39</v>
      </c>
      <c r="I15" s="357">
        <v>6.81</v>
      </c>
    </row>
    <row r="16" spans="1:9" ht="14.5">
      <c r="A16" s="38" t="s">
        <v>145</v>
      </c>
      <c r="B16" s="38" t="s">
        <v>146</v>
      </c>
      <c r="C16" s="358">
        <v>9.98</v>
      </c>
      <c r="D16" s="358">
        <v>10.58</v>
      </c>
      <c r="E16" s="358">
        <v>11.11</v>
      </c>
      <c r="F16" s="358">
        <v>10.85</v>
      </c>
      <c r="G16" s="358">
        <v>10.199999999999999</v>
      </c>
      <c r="H16" s="356">
        <v>10.29</v>
      </c>
      <c r="I16" s="357">
        <v>12.15</v>
      </c>
    </row>
    <row r="17" spans="1:9" ht="14.5">
      <c r="A17" s="38" t="s">
        <v>148</v>
      </c>
      <c r="B17" s="38" t="s">
        <v>149</v>
      </c>
      <c r="C17" s="358">
        <v>8.4600000000000009</v>
      </c>
      <c r="D17" s="358">
        <v>8.5500000000000007</v>
      </c>
      <c r="E17" s="358">
        <v>9.35</v>
      </c>
      <c r="F17" s="358">
        <v>9.83</v>
      </c>
      <c r="G17" s="358">
        <v>9.0399999999999991</v>
      </c>
      <c r="H17" s="356">
        <v>8.92</v>
      </c>
      <c r="I17" s="357">
        <v>10.19</v>
      </c>
    </row>
    <row r="18" spans="1:9" ht="14.5">
      <c r="A18" s="38" t="s">
        <v>150</v>
      </c>
      <c r="B18" s="38" t="s">
        <v>151</v>
      </c>
      <c r="C18" s="358">
        <v>9.14</v>
      </c>
      <c r="D18" s="358">
        <v>11.04</v>
      </c>
      <c r="E18" s="358">
        <v>10.9</v>
      </c>
      <c r="F18" s="358">
        <v>11.34</v>
      </c>
      <c r="G18" s="358">
        <v>11.21</v>
      </c>
      <c r="H18" s="356">
        <v>11.56</v>
      </c>
      <c r="I18" s="357">
        <v>13.26</v>
      </c>
    </row>
    <row r="19" spans="1:9" ht="14.5">
      <c r="A19" s="38" t="s">
        <v>152</v>
      </c>
      <c r="B19" s="38" t="s">
        <v>153</v>
      </c>
      <c r="C19" s="358">
        <v>5.07</v>
      </c>
      <c r="D19" s="358">
        <v>5.33</v>
      </c>
      <c r="E19" s="358">
        <v>5.62</v>
      </c>
      <c r="F19" s="358">
        <v>5.67</v>
      </c>
      <c r="G19" s="358">
        <v>5.86</v>
      </c>
      <c r="H19" s="356">
        <v>5.68</v>
      </c>
      <c r="I19" s="357">
        <v>6.49</v>
      </c>
    </row>
    <row r="20" spans="1:9" ht="14.5">
      <c r="A20" s="38" t="s">
        <v>155</v>
      </c>
      <c r="B20" s="38" t="s">
        <v>156</v>
      </c>
      <c r="C20" s="358">
        <v>6.97</v>
      </c>
      <c r="D20" s="358">
        <v>7.48</v>
      </c>
      <c r="E20" s="358">
        <v>7.69</v>
      </c>
      <c r="F20" s="358">
        <v>7.72</v>
      </c>
      <c r="G20" s="358">
        <v>8.1300000000000008</v>
      </c>
      <c r="H20" s="356">
        <v>7.28</v>
      </c>
      <c r="I20" s="357">
        <v>8.07</v>
      </c>
    </row>
    <row r="21" spans="1:9" ht="14.5">
      <c r="A21" s="38" t="s">
        <v>157</v>
      </c>
      <c r="B21" s="38" t="s">
        <v>158</v>
      </c>
      <c r="C21" s="358">
        <v>4.3899999999999997</v>
      </c>
      <c r="D21" s="358">
        <v>4.16</v>
      </c>
      <c r="E21" s="358">
        <v>4.25</v>
      </c>
      <c r="F21" s="358">
        <v>4.96</v>
      </c>
      <c r="G21" s="358">
        <v>4.7699999999999996</v>
      </c>
      <c r="H21" s="356">
        <v>4.8499999999999996</v>
      </c>
      <c r="I21" s="357">
        <v>4.8499999999999996</v>
      </c>
    </row>
    <row r="22" spans="1:9" ht="14.5">
      <c r="A22" s="38" t="s">
        <v>159</v>
      </c>
      <c r="B22" s="38" t="s">
        <v>160</v>
      </c>
      <c r="C22" s="358">
        <v>4.66</v>
      </c>
      <c r="D22" s="358">
        <v>5.05</v>
      </c>
      <c r="E22" s="358">
        <v>4.6500000000000004</v>
      </c>
      <c r="F22" s="358">
        <v>4.53</v>
      </c>
      <c r="G22" s="358">
        <v>4.45</v>
      </c>
      <c r="H22" s="356">
        <v>4.75</v>
      </c>
      <c r="I22" s="357">
        <v>4.34</v>
      </c>
    </row>
    <row r="23" spans="1:9" ht="14.5">
      <c r="A23" s="38" t="s">
        <v>161</v>
      </c>
      <c r="B23" s="38" t="s">
        <v>162</v>
      </c>
      <c r="C23" s="358">
        <v>4.9400000000000004</v>
      </c>
      <c r="D23" s="358">
        <v>5.28</v>
      </c>
      <c r="E23" s="358">
        <v>5.59</v>
      </c>
      <c r="F23" s="358">
        <v>5.4</v>
      </c>
      <c r="G23" s="358">
        <v>5.57</v>
      </c>
      <c r="H23" s="356">
        <v>4.95</v>
      </c>
      <c r="I23" s="357">
        <v>6.07</v>
      </c>
    </row>
    <row r="24" spans="1:9" ht="14.5">
      <c r="A24" s="38" t="s">
        <v>163</v>
      </c>
      <c r="B24" s="38" t="s">
        <v>164</v>
      </c>
      <c r="C24" s="358">
        <v>5.1100000000000003</v>
      </c>
      <c r="D24" s="358">
        <v>5.07</v>
      </c>
      <c r="E24" s="358">
        <v>5.26</v>
      </c>
      <c r="F24" s="358">
        <v>5.35</v>
      </c>
      <c r="G24" s="358">
        <v>5.34</v>
      </c>
      <c r="H24" s="356">
        <v>5.62</v>
      </c>
      <c r="I24" s="357">
        <v>6.02</v>
      </c>
    </row>
    <row r="25" spans="1:9" ht="14.5">
      <c r="A25" s="38" t="s">
        <v>165</v>
      </c>
      <c r="B25" s="38" t="s">
        <v>166</v>
      </c>
      <c r="C25" s="358">
        <v>6.5</v>
      </c>
      <c r="D25" s="358">
        <v>6.31</v>
      </c>
      <c r="E25" s="358">
        <v>7.14</v>
      </c>
      <c r="F25" s="358">
        <v>6.92</v>
      </c>
      <c r="G25" s="358">
        <v>6.78</v>
      </c>
      <c r="H25" s="356">
        <v>6.94</v>
      </c>
      <c r="I25" s="357">
        <v>7.58</v>
      </c>
    </row>
    <row r="26" spans="1:9" ht="14.5">
      <c r="A26" s="38" t="s">
        <v>167</v>
      </c>
      <c r="B26" s="38" t="s">
        <v>168</v>
      </c>
      <c r="C26" s="358">
        <v>8.86</v>
      </c>
      <c r="D26" s="358">
        <v>9.2200000000000006</v>
      </c>
      <c r="E26" s="358">
        <v>9.64</v>
      </c>
      <c r="F26" s="358">
        <v>9.1999999999999993</v>
      </c>
      <c r="G26" s="358">
        <v>9.34</v>
      </c>
      <c r="H26" s="356">
        <v>9.73</v>
      </c>
      <c r="I26" s="357">
        <v>11.17</v>
      </c>
    </row>
    <row r="27" spans="1:9" ht="14.5">
      <c r="A27" s="38" t="s">
        <v>169</v>
      </c>
      <c r="B27" s="38" t="s">
        <v>170</v>
      </c>
      <c r="C27" s="358">
        <v>8.56</v>
      </c>
      <c r="D27" s="358">
        <v>9.08</v>
      </c>
      <c r="E27" s="358">
        <v>9.15</v>
      </c>
      <c r="F27" s="358">
        <v>8.99</v>
      </c>
      <c r="G27" s="358">
        <v>9.33</v>
      </c>
      <c r="H27" s="356">
        <v>8.4499999999999993</v>
      </c>
      <c r="I27" s="357">
        <v>9.0500000000000007</v>
      </c>
    </row>
    <row r="28" spans="1:9" ht="14.5">
      <c r="A28" s="38" t="s">
        <v>171</v>
      </c>
      <c r="B28" s="38" t="s">
        <v>172</v>
      </c>
      <c r="C28" s="358">
        <v>5.22</v>
      </c>
      <c r="D28" s="358">
        <v>5.07</v>
      </c>
      <c r="E28" s="358">
        <v>5.17</v>
      </c>
      <c r="F28" s="358">
        <v>5.21</v>
      </c>
      <c r="G28" s="358">
        <v>5.22</v>
      </c>
      <c r="H28" s="356">
        <v>5.0199999999999996</v>
      </c>
      <c r="I28" s="357">
        <v>5.37</v>
      </c>
    </row>
    <row r="29" spans="1:9" ht="14.5">
      <c r="A29" s="38" t="s">
        <v>173</v>
      </c>
      <c r="B29" s="38" t="s">
        <v>174</v>
      </c>
      <c r="C29" s="358">
        <v>8.23</v>
      </c>
      <c r="D29" s="358">
        <v>8.59</v>
      </c>
      <c r="E29" s="358">
        <v>9.5</v>
      </c>
      <c r="F29" s="358">
        <v>10.26</v>
      </c>
      <c r="G29" s="358">
        <v>10.23</v>
      </c>
      <c r="H29" s="356">
        <v>9.81</v>
      </c>
      <c r="I29" s="357">
        <v>10.6</v>
      </c>
    </row>
    <row r="30" spans="1:9" ht="14.5">
      <c r="A30" s="38" t="s">
        <v>175</v>
      </c>
      <c r="B30" s="38" t="s">
        <v>176</v>
      </c>
      <c r="C30" s="358">
        <v>8.15</v>
      </c>
      <c r="D30" s="358">
        <v>8.0500000000000007</v>
      </c>
      <c r="E30" s="358">
        <v>9.34</v>
      </c>
      <c r="F30" s="358">
        <v>9.14</v>
      </c>
      <c r="G30" s="358">
        <v>8.67</v>
      </c>
      <c r="H30" s="356">
        <v>8.5</v>
      </c>
      <c r="I30" s="357">
        <v>9.4</v>
      </c>
    </row>
    <row r="31" spans="1:9" ht="14.5">
      <c r="A31" s="38" t="s">
        <v>177</v>
      </c>
      <c r="B31" s="38" t="s">
        <v>178</v>
      </c>
      <c r="C31" s="358">
        <v>13.34</v>
      </c>
      <c r="D31" s="358">
        <v>14.66</v>
      </c>
      <c r="E31" s="358">
        <v>15.76</v>
      </c>
      <c r="F31" s="358">
        <v>16.3</v>
      </c>
      <c r="G31" s="358">
        <v>15.61</v>
      </c>
      <c r="H31" s="356">
        <v>14.39</v>
      </c>
      <c r="I31" s="357">
        <v>16.05</v>
      </c>
    </row>
    <row r="32" spans="1:9" ht="14.5">
      <c r="A32" s="38" t="s">
        <v>179</v>
      </c>
      <c r="B32" s="38" t="s">
        <v>180</v>
      </c>
      <c r="C32" s="358">
        <v>10.57</v>
      </c>
      <c r="D32" s="358">
        <v>12.44</v>
      </c>
      <c r="E32" s="358">
        <v>11.24</v>
      </c>
      <c r="F32" s="358">
        <v>13.24</v>
      </c>
      <c r="G32" s="358">
        <v>12.27</v>
      </c>
      <c r="H32" s="356">
        <v>13.19</v>
      </c>
      <c r="I32" s="357">
        <v>16.079999999999998</v>
      </c>
    </row>
    <row r="33" spans="1:9" ht="14.5">
      <c r="A33" s="38" t="s">
        <v>181</v>
      </c>
      <c r="B33" s="38" t="s">
        <v>182</v>
      </c>
      <c r="C33" s="358">
        <v>11.11</v>
      </c>
      <c r="D33" s="358">
        <v>11.45</v>
      </c>
      <c r="E33" s="358">
        <v>12.29</v>
      </c>
      <c r="F33" s="358">
        <v>12.41</v>
      </c>
      <c r="G33" s="358">
        <v>11.91</v>
      </c>
      <c r="H33" s="356">
        <v>10.82</v>
      </c>
      <c r="I33" s="357">
        <v>12.86</v>
      </c>
    </row>
    <row r="34" spans="1:9" ht="14.5">
      <c r="A34" s="38" t="s">
        <v>183</v>
      </c>
      <c r="B34" s="38" t="s">
        <v>184</v>
      </c>
      <c r="C34" s="358">
        <v>7.34</v>
      </c>
      <c r="D34" s="358">
        <v>8.2200000000000006</v>
      </c>
      <c r="E34" s="358">
        <v>9.0399999999999991</v>
      </c>
      <c r="F34" s="358">
        <v>8.69</v>
      </c>
      <c r="G34" s="358">
        <v>8.75</v>
      </c>
      <c r="H34" s="356">
        <v>8.49</v>
      </c>
      <c r="I34" s="357">
        <v>9.6999999999999993</v>
      </c>
    </row>
    <row r="35" spans="1:9" ht="14.5">
      <c r="A35" s="38" t="s">
        <v>185</v>
      </c>
      <c r="B35" s="38" t="s">
        <v>186</v>
      </c>
      <c r="C35" s="358">
        <v>8.08</v>
      </c>
      <c r="D35" s="358">
        <v>9.27</v>
      </c>
      <c r="E35" s="358">
        <v>9.82</v>
      </c>
      <c r="F35" s="358">
        <v>9.27</v>
      </c>
      <c r="G35" s="358">
        <v>8.9</v>
      </c>
      <c r="H35" s="356">
        <v>8.5399999999999991</v>
      </c>
      <c r="I35" s="357">
        <v>9.08</v>
      </c>
    </row>
    <row r="36" spans="1:9" ht="14.5">
      <c r="A36" s="38" t="s">
        <v>187</v>
      </c>
      <c r="B36" s="38" t="s">
        <v>188</v>
      </c>
      <c r="C36" s="358">
        <v>11.99</v>
      </c>
      <c r="D36" s="358">
        <v>13.25</v>
      </c>
      <c r="E36" s="358">
        <v>14.59</v>
      </c>
      <c r="F36" s="358">
        <v>14.3</v>
      </c>
      <c r="G36" s="358">
        <v>13.85</v>
      </c>
      <c r="H36" s="356">
        <v>12.87</v>
      </c>
      <c r="I36" s="357">
        <v>14.54</v>
      </c>
    </row>
    <row r="37" spans="1:9" ht="14.5">
      <c r="A37" s="38" t="s">
        <v>189</v>
      </c>
      <c r="B37" s="38" t="s">
        <v>190</v>
      </c>
      <c r="C37" s="358">
        <v>10.33</v>
      </c>
      <c r="D37" s="358">
        <v>10.39</v>
      </c>
      <c r="E37" s="358">
        <v>10.34</v>
      </c>
      <c r="F37" s="358">
        <v>10.58</v>
      </c>
      <c r="G37" s="358">
        <v>10.119999999999999</v>
      </c>
      <c r="H37" s="356">
        <v>10.130000000000001</v>
      </c>
      <c r="I37" s="357">
        <v>11.43</v>
      </c>
    </row>
    <row r="38" spans="1:9" ht="14.5">
      <c r="A38" s="38" t="s">
        <v>191</v>
      </c>
      <c r="B38" s="38" t="s">
        <v>192</v>
      </c>
      <c r="C38" s="358">
        <v>9.6</v>
      </c>
      <c r="D38" s="358">
        <v>12.45</v>
      </c>
      <c r="E38" s="358">
        <v>11.35</v>
      </c>
      <c r="F38" s="358">
        <v>11.17</v>
      </c>
      <c r="G38" s="358">
        <v>11.32</v>
      </c>
      <c r="H38" s="356">
        <v>12.24</v>
      </c>
      <c r="I38" s="357">
        <v>11.46</v>
      </c>
    </row>
    <row r="39" spans="1:9" ht="14.5">
      <c r="A39" s="38" t="s">
        <v>193</v>
      </c>
      <c r="B39" s="38" t="s">
        <v>194</v>
      </c>
      <c r="C39" s="358">
        <v>5.38</v>
      </c>
      <c r="D39" s="358">
        <v>5.89</v>
      </c>
      <c r="E39" s="358">
        <v>6.04</v>
      </c>
      <c r="F39" s="358">
        <v>6.81</v>
      </c>
      <c r="G39" s="358">
        <v>6.76</v>
      </c>
      <c r="H39" s="356">
        <v>7.69</v>
      </c>
      <c r="I39" s="357">
        <v>7.98</v>
      </c>
    </row>
    <row r="40" spans="1:9" ht="14.5">
      <c r="A40" s="38" t="s">
        <v>195</v>
      </c>
      <c r="B40" s="38" t="s">
        <v>196</v>
      </c>
      <c r="C40" s="358">
        <v>11.07</v>
      </c>
      <c r="D40" s="358">
        <v>11.43</v>
      </c>
      <c r="E40" s="358">
        <v>11.98</v>
      </c>
      <c r="F40" s="358">
        <v>12.37</v>
      </c>
      <c r="G40" s="358">
        <v>11.73</v>
      </c>
      <c r="H40" s="356">
        <v>11.43</v>
      </c>
      <c r="I40" s="357">
        <v>12.35</v>
      </c>
    </row>
    <row r="41" spans="1:9" ht="14.5">
      <c r="A41" s="38" t="s">
        <v>197</v>
      </c>
      <c r="B41" s="38" t="s">
        <v>198</v>
      </c>
      <c r="C41" s="358">
        <v>3.68</v>
      </c>
      <c r="D41" s="358">
        <v>3.92</v>
      </c>
      <c r="E41" s="358">
        <v>3.87</v>
      </c>
      <c r="F41" s="358">
        <v>4</v>
      </c>
      <c r="G41" s="358">
        <v>3.92</v>
      </c>
      <c r="H41" s="356">
        <v>4.24</v>
      </c>
      <c r="I41" s="357">
        <v>4.6900000000000004</v>
      </c>
    </row>
    <row r="42" spans="1:9" ht="14.5">
      <c r="A42" s="38" t="s">
        <v>199</v>
      </c>
      <c r="B42" s="38" t="s">
        <v>200</v>
      </c>
      <c r="C42" s="358">
        <v>5.78</v>
      </c>
      <c r="D42" s="358">
        <v>5.9</v>
      </c>
      <c r="E42" s="358">
        <v>6.57</v>
      </c>
      <c r="F42" s="358">
        <v>6.22</v>
      </c>
      <c r="G42" s="358">
        <v>6.83</v>
      </c>
      <c r="H42" s="356">
        <v>6.76</v>
      </c>
      <c r="I42" s="357">
        <v>7.5</v>
      </c>
    </row>
    <row r="43" spans="1:9" ht="14.5">
      <c r="A43" s="38" t="s">
        <v>201</v>
      </c>
      <c r="B43" s="38" t="s">
        <v>202</v>
      </c>
      <c r="C43" s="358">
        <v>5.18</v>
      </c>
      <c r="D43" s="358">
        <v>5.14</v>
      </c>
      <c r="E43" s="358">
        <v>5.0199999999999996</v>
      </c>
      <c r="F43" s="358">
        <v>5.07</v>
      </c>
      <c r="G43" s="358">
        <v>5.33</v>
      </c>
      <c r="H43" s="356">
        <v>5.41</v>
      </c>
      <c r="I43" s="357">
        <v>5.88</v>
      </c>
    </row>
    <row r="44" spans="1:9" ht="14.5">
      <c r="A44" s="38" t="s">
        <v>203</v>
      </c>
      <c r="B44" s="38" t="s">
        <v>204</v>
      </c>
      <c r="C44" s="358">
        <v>12.56</v>
      </c>
      <c r="D44" s="358">
        <v>13</v>
      </c>
      <c r="E44" s="358">
        <v>13.53</v>
      </c>
      <c r="F44" s="358">
        <v>12.96</v>
      </c>
      <c r="G44" s="358">
        <v>12.71</v>
      </c>
      <c r="H44" s="356">
        <v>12.34</v>
      </c>
      <c r="I44" s="357">
        <v>12.61</v>
      </c>
    </row>
    <row r="45" spans="1:9" ht="14.5">
      <c r="A45" s="38" t="s">
        <v>205</v>
      </c>
      <c r="B45" s="38" t="s">
        <v>206</v>
      </c>
      <c r="C45" s="358">
        <v>18.420000000000002</v>
      </c>
      <c r="D45" s="358">
        <v>19.5</v>
      </c>
      <c r="E45" s="358">
        <v>20.100000000000001</v>
      </c>
      <c r="F45" s="358">
        <v>19.39</v>
      </c>
      <c r="G45" s="358">
        <v>19.260000000000002</v>
      </c>
      <c r="H45" s="356">
        <v>19.79</v>
      </c>
      <c r="I45" s="357">
        <v>18.61</v>
      </c>
    </row>
    <row r="46" spans="1:9" ht="14.5">
      <c r="A46" s="38" t="s">
        <v>207</v>
      </c>
      <c r="B46" s="38" t="s">
        <v>208</v>
      </c>
      <c r="C46" s="358">
        <v>5.65</v>
      </c>
      <c r="D46" s="358">
        <v>6.05</v>
      </c>
      <c r="E46" s="358">
        <v>6.31</v>
      </c>
      <c r="F46" s="358">
        <v>6.35</v>
      </c>
      <c r="G46" s="358">
        <v>6.73</v>
      </c>
      <c r="H46" s="356">
        <v>6.89</v>
      </c>
      <c r="I46" s="357">
        <v>6.67</v>
      </c>
    </row>
    <row r="47" spans="1:9" ht="14.5">
      <c r="A47" s="38" t="s">
        <v>209</v>
      </c>
      <c r="B47" s="38" t="s">
        <v>210</v>
      </c>
      <c r="C47" s="358">
        <v>9.49</v>
      </c>
      <c r="D47" s="358">
        <v>10.62</v>
      </c>
      <c r="E47" s="358">
        <v>11.12</v>
      </c>
      <c r="F47" s="358">
        <v>10.96</v>
      </c>
      <c r="G47" s="358">
        <v>10.64</v>
      </c>
      <c r="H47" s="356">
        <v>11.2</v>
      </c>
      <c r="I47" s="357">
        <v>12.86</v>
      </c>
    </row>
    <row r="48" spans="1:9" ht="14.5">
      <c r="A48" s="38" t="s">
        <v>211</v>
      </c>
      <c r="B48" s="38" t="s">
        <v>212</v>
      </c>
      <c r="C48" s="358">
        <v>5.33</v>
      </c>
      <c r="D48" s="358">
        <v>5.37</v>
      </c>
      <c r="E48" s="358">
        <v>5.28</v>
      </c>
      <c r="F48" s="358">
        <v>5.52</v>
      </c>
      <c r="G48" s="358">
        <v>5.34</v>
      </c>
      <c r="H48" s="356">
        <v>4.9800000000000004</v>
      </c>
      <c r="I48" s="357">
        <v>5.41</v>
      </c>
    </row>
    <row r="49" spans="1:13" ht="14.5">
      <c r="A49" s="38" t="s">
        <v>213</v>
      </c>
      <c r="B49" s="38" t="s">
        <v>214</v>
      </c>
      <c r="C49" s="358">
        <v>11.21</v>
      </c>
      <c r="D49" s="358">
        <v>11.12</v>
      </c>
      <c r="E49" s="358">
        <v>11.56</v>
      </c>
      <c r="F49" s="358">
        <v>10.66</v>
      </c>
      <c r="G49" s="358">
        <v>10.77</v>
      </c>
      <c r="H49" s="356">
        <v>11.1</v>
      </c>
      <c r="I49" s="357">
        <v>12.37</v>
      </c>
    </row>
    <row r="50" spans="1:13" ht="14.5">
      <c r="A50" s="38" t="s">
        <v>215</v>
      </c>
      <c r="B50" s="38" t="s">
        <v>216</v>
      </c>
      <c r="C50" s="358">
        <v>9.51</v>
      </c>
      <c r="D50" s="358">
        <v>10.44</v>
      </c>
      <c r="E50" s="358">
        <v>10.57</v>
      </c>
      <c r="F50" s="358">
        <v>10.88</v>
      </c>
      <c r="G50" s="358">
        <v>10.36</v>
      </c>
      <c r="H50" s="356">
        <v>10.26</v>
      </c>
      <c r="I50" s="357">
        <v>10.8</v>
      </c>
    </row>
    <row r="51" spans="1:13" ht="14.5">
      <c r="A51" s="38" t="s">
        <v>217</v>
      </c>
      <c r="B51" s="38" t="s">
        <v>218</v>
      </c>
      <c r="C51" s="358">
        <v>6.71</v>
      </c>
      <c r="D51" s="358">
        <v>6.73</v>
      </c>
      <c r="E51" s="358">
        <v>7.3</v>
      </c>
      <c r="F51" s="358">
        <v>7.2</v>
      </c>
      <c r="G51" s="358">
        <v>7.7</v>
      </c>
      <c r="H51" s="356">
        <v>7.68</v>
      </c>
      <c r="I51" s="357">
        <v>8.41</v>
      </c>
    </row>
    <row r="52" spans="1:13" ht="14.5">
      <c r="A52" s="38" t="s">
        <v>219</v>
      </c>
      <c r="B52" s="38" t="s">
        <v>220</v>
      </c>
      <c r="C52" s="358">
        <v>9.7899999999999991</v>
      </c>
      <c r="D52" s="358">
        <v>10.99</v>
      </c>
      <c r="E52" s="358">
        <v>11.46</v>
      </c>
      <c r="F52" s="358">
        <v>11.99</v>
      </c>
      <c r="G52" s="358">
        <v>11.52</v>
      </c>
      <c r="H52" s="356">
        <v>11.02</v>
      </c>
      <c r="I52" s="357">
        <v>11.78</v>
      </c>
    </row>
    <row r="53" spans="1:13" ht="14.5">
      <c r="A53" s="38" t="s">
        <v>221</v>
      </c>
      <c r="B53" s="38" t="s">
        <v>222</v>
      </c>
      <c r="C53" s="358">
        <v>8.3800000000000008</v>
      </c>
      <c r="D53" s="358">
        <v>8.84</v>
      </c>
      <c r="E53" s="358">
        <v>8.99</v>
      </c>
      <c r="F53" s="358">
        <v>8.9700000000000006</v>
      </c>
      <c r="G53" s="358">
        <v>8.73</v>
      </c>
      <c r="H53" s="356">
        <v>8.94</v>
      </c>
      <c r="I53" s="357">
        <v>10.55</v>
      </c>
    </row>
    <row r="54" spans="1:13" ht="14.5">
      <c r="A54" s="38" t="s">
        <v>223</v>
      </c>
      <c r="B54" s="38" t="s">
        <v>224</v>
      </c>
      <c r="C54" s="358">
        <v>8.92</v>
      </c>
      <c r="D54" s="358">
        <v>9.35</v>
      </c>
      <c r="E54" s="358">
        <v>9.82</v>
      </c>
      <c r="F54" s="358">
        <v>9.77</v>
      </c>
      <c r="G54" s="358">
        <v>10.39</v>
      </c>
      <c r="H54" s="356">
        <v>9.43</v>
      </c>
      <c r="I54" s="357">
        <v>10.28</v>
      </c>
    </row>
    <row r="55" spans="1:13" ht="14.5">
      <c r="A55" s="38" t="s">
        <v>225</v>
      </c>
      <c r="B55" s="38" t="s">
        <v>226</v>
      </c>
      <c r="C55" s="358">
        <v>7.4</v>
      </c>
      <c r="D55" s="358">
        <v>7.44</v>
      </c>
      <c r="E55" s="358">
        <v>7.65</v>
      </c>
      <c r="F55" s="358">
        <v>8.0500000000000007</v>
      </c>
      <c r="G55" s="358">
        <v>8.0399999999999991</v>
      </c>
      <c r="H55" s="356">
        <v>7.94</v>
      </c>
      <c r="I55" s="357">
        <v>8.7899999999999991</v>
      </c>
    </row>
    <row r="56" spans="1:13" ht="14.5">
      <c r="A56" s="38" t="s">
        <v>227</v>
      </c>
      <c r="B56" s="38" t="s">
        <v>228</v>
      </c>
      <c r="C56" s="358">
        <v>7.14</v>
      </c>
      <c r="D56" s="358">
        <v>7.11</v>
      </c>
      <c r="E56" s="358">
        <v>7.19</v>
      </c>
      <c r="F56" s="358">
        <v>6.99</v>
      </c>
      <c r="G56" s="358">
        <v>6.9</v>
      </c>
      <c r="H56" s="356">
        <v>7.34</v>
      </c>
      <c r="I56" s="357">
        <v>7.18</v>
      </c>
      <c r="M56" s="353"/>
    </row>
    <row r="57" spans="1:13" ht="14.5">
      <c r="A57" s="38" t="s">
        <v>229</v>
      </c>
      <c r="B57" s="38" t="s">
        <v>230</v>
      </c>
      <c r="C57" s="358">
        <v>5.15</v>
      </c>
      <c r="D57" s="358">
        <v>5.35</v>
      </c>
      <c r="E57" s="358">
        <v>5.68</v>
      </c>
      <c r="F57" s="358">
        <v>5.75</v>
      </c>
      <c r="G57" s="358">
        <v>5.65</v>
      </c>
      <c r="H57" s="356">
        <v>5.92</v>
      </c>
      <c r="I57" s="357">
        <v>6.45</v>
      </c>
    </row>
    <row r="58" spans="1:13" ht="14.5">
      <c r="A58" s="38" t="s">
        <v>231</v>
      </c>
      <c r="B58" s="38" t="s">
        <v>232</v>
      </c>
      <c r="C58" s="358">
        <v>12.38</v>
      </c>
      <c r="D58" s="358">
        <v>12.1</v>
      </c>
      <c r="E58" s="358">
        <v>13.5</v>
      </c>
      <c r="F58" s="358">
        <v>12.83</v>
      </c>
      <c r="G58" s="358">
        <v>13.14</v>
      </c>
      <c r="H58" s="356">
        <v>14.47</v>
      </c>
      <c r="I58" s="357">
        <v>14.61</v>
      </c>
    </row>
    <row r="59" spans="1:13" ht="14.5">
      <c r="A59" s="38" t="s">
        <v>233</v>
      </c>
      <c r="B59" s="38" t="s">
        <v>234</v>
      </c>
      <c r="C59" s="358">
        <v>6.65</v>
      </c>
      <c r="D59" s="358">
        <v>6.87</v>
      </c>
      <c r="E59" s="358">
        <v>6.91</v>
      </c>
      <c r="F59" s="358">
        <v>6.61</v>
      </c>
      <c r="G59" s="358">
        <v>6.83</v>
      </c>
      <c r="H59" s="356">
        <v>6.4</v>
      </c>
      <c r="I59" s="357">
        <v>7.02</v>
      </c>
    </row>
    <row r="60" spans="1:13" ht="14.5">
      <c r="A60" s="38" t="s">
        <v>235</v>
      </c>
      <c r="B60" s="38" t="s">
        <v>236</v>
      </c>
      <c r="C60" s="358">
        <v>15.25</v>
      </c>
      <c r="D60" s="358">
        <v>14.42</v>
      </c>
      <c r="E60" s="358">
        <v>15.1</v>
      </c>
      <c r="F60" s="358">
        <v>14.51</v>
      </c>
      <c r="G60" s="358">
        <v>14.94</v>
      </c>
      <c r="H60" s="356">
        <v>14.36</v>
      </c>
      <c r="I60" s="357">
        <v>11.48</v>
      </c>
    </row>
    <row r="61" spans="1:13" ht="14.5">
      <c r="A61" s="38" t="s">
        <v>237</v>
      </c>
      <c r="B61" s="38" t="s">
        <v>238</v>
      </c>
      <c r="C61" s="358">
        <v>8.36</v>
      </c>
      <c r="D61" s="358">
        <v>8.6999999999999993</v>
      </c>
      <c r="E61" s="358">
        <v>8.99</v>
      </c>
      <c r="F61" s="358">
        <v>9.58</v>
      </c>
      <c r="G61" s="358">
        <v>9.5</v>
      </c>
      <c r="H61" s="356">
        <v>9.58</v>
      </c>
      <c r="I61" s="357">
        <v>10.38</v>
      </c>
    </row>
    <row r="62" spans="1:13" ht="14.5">
      <c r="A62" s="38" t="s">
        <v>239</v>
      </c>
      <c r="B62" s="38" t="s">
        <v>240</v>
      </c>
      <c r="C62" s="358">
        <v>2.59</v>
      </c>
      <c r="D62" s="358">
        <v>2.87</v>
      </c>
      <c r="E62" s="358">
        <v>2.72</v>
      </c>
      <c r="F62" s="358">
        <v>2.5099999999999998</v>
      </c>
      <c r="G62" s="358">
        <v>2.78</v>
      </c>
      <c r="H62" s="356">
        <v>2.6</v>
      </c>
      <c r="I62" s="357">
        <v>2.71</v>
      </c>
    </row>
    <row r="63" spans="1:13" s="47" customFormat="1" ht="14.5">
      <c r="A63" s="46" t="s">
        <v>241</v>
      </c>
      <c r="B63" s="46" t="s">
        <v>242</v>
      </c>
      <c r="C63" s="359">
        <v>5.88</v>
      </c>
      <c r="D63" s="359">
        <v>5.96</v>
      </c>
      <c r="E63" s="359">
        <v>6.38</v>
      </c>
      <c r="F63" s="359">
        <v>6.83</v>
      </c>
      <c r="G63" s="359">
        <v>7.19</v>
      </c>
      <c r="H63" s="360">
        <v>6.18</v>
      </c>
      <c r="I63" s="360"/>
    </row>
    <row r="64" spans="1:13" ht="14.5">
      <c r="A64" s="38" t="s">
        <v>243</v>
      </c>
      <c r="B64" s="38" t="s">
        <v>244</v>
      </c>
      <c r="C64" s="358">
        <v>9</v>
      </c>
      <c r="D64" s="358">
        <v>9.1300000000000008</v>
      </c>
      <c r="E64" s="358">
        <v>8.9600000000000009</v>
      </c>
      <c r="F64" s="358">
        <v>9.3000000000000007</v>
      </c>
      <c r="G64" s="358">
        <v>9.0500000000000007</v>
      </c>
      <c r="H64" s="356">
        <v>9.31</v>
      </c>
      <c r="I64" s="357">
        <v>10.99</v>
      </c>
    </row>
    <row r="65" spans="1:9" ht="14.5">
      <c r="A65" s="38" t="s">
        <v>245</v>
      </c>
      <c r="B65" s="38" t="s">
        <v>246</v>
      </c>
      <c r="C65" s="358">
        <v>12.14</v>
      </c>
      <c r="D65" s="358">
        <v>13.2</v>
      </c>
      <c r="E65" s="358">
        <v>14</v>
      </c>
      <c r="F65" s="358">
        <v>13.34</v>
      </c>
      <c r="G65" s="358">
        <v>13.38</v>
      </c>
      <c r="H65" s="356">
        <v>14.01</v>
      </c>
      <c r="I65" s="357">
        <v>15.75</v>
      </c>
    </row>
    <row r="66" spans="1:9" ht="14.5">
      <c r="A66" s="38" t="s">
        <v>247</v>
      </c>
      <c r="B66" s="38" t="s">
        <v>248</v>
      </c>
      <c r="C66" s="358">
        <v>5.1100000000000003</v>
      </c>
      <c r="D66" s="358">
        <v>5.33</v>
      </c>
      <c r="E66" s="358">
        <v>5.52</v>
      </c>
      <c r="F66" s="358">
        <v>5.66</v>
      </c>
      <c r="G66" s="358">
        <v>6.08</v>
      </c>
      <c r="H66" s="356">
        <v>5.69</v>
      </c>
      <c r="I66" s="357">
        <v>5.96</v>
      </c>
    </row>
    <row r="67" spans="1:9" ht="14.5">
      <c r="A67" s="38" t="s">
        <v>249</v>
      </c>
      <c r="B67" s="38" t="s">
        <v>250</v>
      </c>
      <c r="C67" s="358">
        <v>8.1199999999999992</v>
      </c>
      <c r="D67" s="358">
        <v>7.71</v>
      </c>
      <c r="E67" s="358">
        <v>7.92</v>
      </c>
      <c r="F67" s="358">
        <v>7.49</v>
      </c>
      <c r="G67" s="358">
        <v>7.72</v>
      </c>
      <c r="H67" s="356">
        <v>8.5399999999999991</v>
      </c>
      <c r="I67" s="357">
        <v>8.19</v>
      </c>
    </row>
    <row r="68" spans="1:9" ht="14.5">
      <c r="A68" s="38" t="s">
        <v>251</v>
      </c>
      <c r="B68" s="38" t="s">
        <v>252</v>
      </c>
      <c r="C68" s="358">
        <v>7.82</v>
      </c>
      <c r="D68" s="358">
        <v>8.1</v>
      </c>
      <c r="E68" s="358">
        <v>8.9</v>
      </c>
      <c r="F68" s="358">
        <v>9.09</v>
      </c>
      <c r="G68" s="358">
        <v>9.0500000000000007</v>
      </c>
      <c r="H68" s="356">
        <v>8.2100000000000009</v>
      </c>
      <c r="I68" s="357">
        <v>8.99</v>
      </c>
    </row>
    <row r="69" spans="1:9" ht="14.5">
      <c r="A69" s="38" t="s">
        <v>253</v>
      </c>
      <c r="B69" s="38" t="s">
        <v>254</v>
      </c>
      <c r="C69" s="358">
        <v>9.6300000000000008</v>
      </c>
      <c r="D69" s="358">
        <v>10.51</v>
      </c>
      <c r="E69" s="358">
        <v>11.21</v>
      </c>
      <c r="F69" s="358">
        <v>11.09</v>
      </c>
      <c r="G69" s="358">
        <v>10.8</v>
      </c>
      <c r="H69" s="356">
        <v>11.43</v>
      </c>
      <c r="I69" s="357">
        <v>11.88</v>
      </c>
    </row>
    <row r="70" spans="1:9" ht="14.5">
      <c r="A70" s="38" t="s">
        <v>255</v>
      </c>
      <c r="B70" s="38" t="s">
        <v>256</v>
      </c>
      <c r="C70" s="358">
        <v>11.91</v>
      </c>
      <c r="D70" s="358">
        <v>11.16</v>
      </c>
      <c r="E70" s="358">
        <v>12.93</v>
      </c>
      <c r="F70" s="358">
        <v>12.28</v>
      </c>
      <c r="G70" s="358">
        <v>12.1</v>
      </c>
      <c r="H70" s="356">
        <v>11.87</v>
      </c>
      <c r="I70" s="357">
        <v>14.04</v>
      </c>
    </row>
    <row r="71" spans="1:9" ht="14.5">
      <c r="A71" s="38" t="s">
        <v>257</v>
      </c>
      <c r="B71" s="38" t="s">
        <v>258</v>
      </c>
      <c r="C71" s="358">
        <v>4.93</v>
      </c>
      <c r="D71" s="358">
        <v>4.93</v>
      </c>
      <c r="E71" s="358">
        <v>5.37</v>
      </c>
      <c r="F71" s="358">
        <v>5.34</v>
      </c>
      <c r="G71" s="358">
        <v>5.0199999999999996</v>
      </c>
      <c r="H71" s="356">
        <v>5.24</v>
      </c>
      <c r="I71" s="357">
        <v>5.29</v>
      </c>
    </row>
    <row r="72" spans="1:9" ht="14.5">
      <c r="A72" s="38" t="s">
        <v>260</v>
      </c>
      <c r="B72" s="38" t="s">
        <v>261</v>
      </c>
      <c r="C72" s="358">
        <v>8.48</v>
      </c>
      <c r="D72" s="358">
        <v>8.6199999999999992</v>
      </c>
      <c r="E72" s="358">
        <v>9.8800000000000008</v>
      </c>
      <c r="F72" s="358">
        <v>9.67</v>
      </c>
      <c r="G72" s="358">
        <v>9.18</v>
      </c>
      <c r="H72" s="356">
        <v>8.73</v>
      </c>
      <c r="I72" s="357">
        <v>8.86</v>
      </c>
    </row>
    <row r="73" spans="1:9" ht="14.5">
      <c r="A73" s="38" t="s">
        <v>262</v>
      </c>
      <c r="B73" s="38" t="s">
        <v>263</v>
      </c>
      <c r="C73" s="361">
        <v>7.99</v>
      </c>
      <c r="D73" s="361">
        <v>10.29</v>
      </c>
      <c r="E73" s="361">
        <v>10.220000000000001</v>
      </c>
      <c r="F73" s="361">
        <v>10.210000000000001</v>
      </c>
      <c r="G73" s="361">
        <v>9.2799999999999994</v>
      </c>
      <c r="H73" s="362">
        <v>9.2100000000000009</v>
      </c>
      <c r="I73" s="362"/>
    </row>
    <row r="74" spans="1:9" ht="14.5">
      <c r="A74" s="38" t="s">
        <v>264</v>
      </c>
      <c r="B74" s="38" t="s">
        <v>265</v>
      </c>
      <c r="C74" s="358">
        <v>4.03</v>
      </c>
      <c r="D74" s="358">
        <v>4.4400000000000004</v>
      </c>
      <c r="E74" s="358">
        <v>4.5</v>
      </c>
      <c r="F74" s="358">
        <v>4.28</v>
      </c>
      <c r="G74" s="358">
        <v>4.22</v>
      </c>
      <c r="H74" s="356">
        <v>4.2</v>
      </c>
      <c r="I74" s="357">
        <v>5.08</v>
      </c>
    </row>
    <row r="75" spans="1:9" ht="14.5">
      <c r="A75" s="38" t="s">
        <v>266</v>
      </c>
      <c r="B75" s="38" t="s">
        <v>267</v>
      </c>
      <c r="C75" s="358">
        <v>9.07</v>
      </c>
      <c r="D75" s="358">
        <v>8.9700000000000006</v>
      </c>
      <c r="E75" s="358">
        <v>9.35</v>
      </c>
      <c r="F75" s="358">
        <v>9.2100000000000009</v>
      </c>
      <c r="G75" s="358">
        <v>9.73</v>
      </c>
      <c r="H75" s="356">
        <v>10.220000000000001</v>
      </c>
      <c r="I75" s="357">
        <v>10.210000000000001</v>
      </c>
    </row>
    <row r="76" spans="1:9" ht="14.5">
      <c r="A76" s="38" t="s">
        <v>268</v>
      </c>
      <c r="B76" s="38" t="s">
        <v>269</v>
      </c>
      <c r="C76" s="358">
        <v>5.31</v>
      </c>
      <c r="D76" s="358">
        <v>5.07</v>
      </c>
      <c r="E76" s="358">
        <v>5.19</v>
      </c>
      <c r="F76" s="358">
        <v>4.79</v>
      </c>
      <c r="G76" s="358">
        <v>4.95</v>
      </c>
      <c r="H76" s="356">
        <v>4.96</v>
      </c>
      <c r="I76" s="357">
        <v>5.56</v>
      </c>
    </row>
    <row r="77" spans="1:9" ht="14.5">
      <c r="A77" s="38" t="s">
        <v>270</v>
      </c>
      <c r="B77" s="38" t="s">
        <v>271</v>
      </c>
      <c r="C77" s="358">
        <v>10</v>
      </c>
      <c r="D77" s="358">
        <v>10.53</v>
      </c>
      <c r="E77" s="358">
        <v>10.97</v>
      </c>
      <c r="F77" s="358">
        <v>10.49</v>
      </c>
      <c r="G77" s="358">
        <v>10</v>
      </c>
      <c r="H77" s="356">
        <v>10.1</v>
      </c>
      <c r="I77" s="357">
        <v>12.22</v>
      </c>
    </row>
    <row r="78" spans="1:9" ht="14.5">
      <c r="A78" s="38" t="s">
        <v>272</v>
      </c>
      <c r="B78" s="38" t="s">
        <v>273</v>
      </c>
      <c r="C78" s="358">
        <v>7.29</v>
      </c>
      <c r="D78" s="358">
        <v>7.85</v>
      </c>
      <c r="E78" s="358">
        <v>8.3000000000000007</v>
      </c>
      <c r="F78" s="358">
        <v>9.3699999999999992</v>
      </c>
      <c r="G78" s="358">
        <v>8.2100000000000009</v>
      </c>
      <c r="H78" s="356">
        <v>7.12</v>
      </c>
      <c r="I78" s="357">
        <v>9.25</v>
      </c>
    </row>
    <row r="79" spans="1:9" ht="14.5">
      <c r="A79" s="38" t="s">
        <v>274</v>
      </c>
      <c r="B79" s="38" t="s">
        <v>275</v>
      </c>
      <c r="C79" s="358">
        <v>5.96</v>
      </c>
      <c r="D79" s="358">
        <v>5.95</v>
      </c>
      <c r="E79" s="358">
        <v>6.08</v>
      </c>
      <c r="F79" s="358">
        <v>6.21</v>
      </c>
      <c r="G79" s="358">
        <v>6.35</v>
      </c>
      <c r="H79" s="356">
        <v>6.19</v>
      </c>
      <c r="I79" s="357">
        <v>6.6</v>
      </c>
    </row>
    <row r="80" spans="1:9" ht="14.5">
      <c r="A80" s="38" t="s">
        <v>276</v>
      </c>
      <c r="B80" s="38" t="s">
        <v>277</v>
      </c>
      <c r="C80" s="358">
        <v>4.57</v>
      </c>
      <c r="D80" s="358">
        <v>4.59</v>
      </c>
      <c r="E80" s="358">
        <v>4.55</v>
      </c>
      <c r="F80" s="358">
        <v>4.53</v>
      </c>
      <c r="G80" s="358">
        <v>4.57</v>
      </c>
      <c r="H80" s="356">
        <v>4.51</v>
      </c>
      <c r="I80" s="357">
        <v>4.74</v>
      </c>
    </row>
    <row r="81" spans="1:9" ht="14.5">
      <c r="A81" s="38" t="s">
        <v>278</v>
      </c>
      <c r="B81" s="38" t="s">
        <v>279</v>
      </c>
      <c r="C81" s="358">
        <v>14.48</v>
      </c>
      <c r="D81" s="358">
        <v>15.73</v>
      </c>
      <c r="E81" s="358">
        <v>16.190000000000001</v>
      </c>
      <c r="F81" s="358">
        <v>15.62</v>
      </c>
      <c r="G81" s="358">
        <v>15.15</v>
      </c>
      <c r="H81" s="356">
        <v>14.84</v>
      </c>
      <c r="I81" s="357">
        <v>16.350000000000001</v>
      </c>
    </row>
    <row r="82" spans="1:9" ht="14.5">
      <c r="A82" s="38" t="s">
        <v>280</v>
      </c>
      <c r="B82" s="38" t="s">
        <v>281</v>
      </c>
      <c r="C82" s="358">
        <v>8.92</v>
      </c>
      <c r="D82" s="358">
        <v>9.49</v>
      </c>
      <c r="E82" s="358">
        <v>9.82</v>
      </c>
      <c r="F82" s="358">
        <v>10.66</v>
      </c>
      <c r="G82" s="358">
        <v>10.32</v>
      </c>
      <c r="H82" s="356">
        <v>11.25</v>
      </c>
      <c r="I82" s="357">
        <v>10.66</v>
      </c>
    </row>
    <row r="83" spans="1:9" ht="14.5">
      <c r="A83" s="38" t="s">
        <v>282</v>
      </c>
      <c r="B83" s="38" t="s">
        <v>283</v>
      </c>
      <c r="C83" s="358">
        <v>10.34</v>
      </c>
      <c r="D83" s="358">
        <v>9.39</v>
      </c>
      <c r="E83" s="358">
        <v>9.84</v>
      </c>
      <c r="F83" s="358">
        <v>9.93</v>
      </c>
      <c r="G83" s="358">
        <v>10.56</v>
      </c>
      <c r="H83" s="356">
        <v>10.08</v>
      </c>
      <c r="I83" s="357">
        <v>10.88</v>
      </c>
    </row>
    <row r="84" spans="1:9" ht="14.5">
      <c r="A84" s="38" t="s">
        <v>284</v>
      </c>
      <c r="B84" s="38" t="s">
        <v>285</v>
      </c>
      <c r="C84" s="358">
        <v>11.55</v>
      </c>
      <c r="D84" s="358">
        <v>12.86</v>
      </c>
      <c r="E84" s="358">
        <v>12.22</v>
      </c>
      <c r="F84" s="358">
        <v>12.59</v>
      </c>
      <c r="G84" s="358">
        <v>13.42</v>
      </c>
      <c r="H84" s="356">
        <v>12.31</v>
      </c>
      <c r="I84" s="357">
        <v>14.51</v>
      </c>
    </row>
    <row r="85" spans="1:9" ht="14.5">
      <c r="A85" s="38" t="s">
        <v>286</v>
      </c>
      <c r="B85" s="38" t="s">
        <v>287</v>
      </c>
      <c r="C85" s="358">
        <v>10.3</v>
      </c>
      <c r="D85" s="358">
        <v>11.41</v>
      </c>
      <c r="E85" s="358">
        <v>12.99</v>
      </c>
      <c r="F85" s="358">
        <v>12.4</v>
      </c>
      <c r="G85" s="358">
        <v>12.49</v>
      </c>
      <c r="H85" s="356">
        <v>12.67</v>
      </c>
      <c r="I85" s="357">
        <v>12.62</v>
      </c>
    </row>
    <row r="86" spans="1:9" ht="14.5">
      <c r="A86" s="38" t="s">
        <v>288</v>
      </c>
      <c r="B86" s="38" t="s">
        <v>289</v>
      </c>
      <c r="C86" s="358">
        <v>6.06</v>
      </c>
      <c r="D86" s="358">
        <v>5.91</v>
      </c>
      <c r="E86" s="358">
        <v>6.46</v>
      </c>
      <c r="F86" s="358">
        <v>6.48</v>
      </c>
      <c r="G86" s="358">
        <v>6.64</v>
      </c>
      <c r="H86" s="356">
        <v>6.64</v>
      </c>
      <c r="I86" s="357">
        <v>7.53</v>
      </c>
    </row>
    <row r="87" spans="1:9" ht="14.5">
      <c r="A87" s="38" t="s">
        <v>290</v>
      </c>
      <c r="B87" s="38" t="s">
        <v>291</v>
      </c>
      <c r="C87" s="361">
        <v>6.81</v>
      </c>
      <c r="D87" s="361">
        <v>7.93</v>
      </c>
      <c r="E87" s="361">
        <v>8.2899999999999991</v>
      </c>
      <c r="F87" s="361">
        <v>8.59</v>
      </c>
      <c r="G87" s="361">
        <v>8</v>
      </c>
      <c r="H87" s="362">
        <v>7.66</v>
      </c>
      <c r="I87" s="362"/>
    </row>
    <row r="88" spans="1:9" ht="14.5">
      <c r="A88" s="38" t="s">
        <v>292</v>
      </c>
      <c r="B88" s="38" t="s">
        <v>293</v>
      </c>
      <c r="C88" s="358">
        <v>6.37</v>
      </c>
      <c r="D88" s="358">
        <v>6.51</v>
      </c>
      <c r="E88" s="358">
        <v>6.61</v>
      </c>
      <c r="F88" s="358">
        <v>6.65</v>
      </c>
      <c r="G88" s="358">
        <v>6.51</v>
      </c>
      <c r="H88" s="356">
        <v>6.46</v>
      </c>
      <c r="I88" s="357">
        <v>7.24</v>
      </c>
    </row>
    <row r="89" spans="1:9" ht="14.5">
      <c r="A89" s="38" t="s">
        <v>294</v>
      </c>
      <c r="B89" s="38" t="s">
        <v>295</v>
      </c>
      <c r="C89" s="358">
        <v>5.99</v>
      </c>
      <c r="D89" s="358">
        <v>5.64</v>
      </c>
      <c r="E89" s="358">
        <v>6.4</v>
      </c>
      <c r="F89" s="358">
        <v>6.63</v>
      </c>
      <c r="G89" s="358">
        <v>6.59</v>
      </c>
      <c r="H89" s="356">
        <v>6.81</v>
      </c>
      <c r="I89" s="357">
        <v>7.46</v>
      </c>
    </row>
    <row r="90" spans="1:9" ht="14.5">
      <c r="A90" s="38" t="s">
        <v>296</v>
      </c>
      <c r="B90" s="38" t="s">
        <v>297</v>
      </c>
      <c r="C90" s="358">
        <v>7.6</v>
      </c>
      <c r="D90" s="358">
        <v>7.69</v>
      </c>
      <c r="E90" s="358">
        <v>8.26</v>
      </c>
      <c r="F90" s="358">
        <v>8.6999999999999993</v>
      </c>
      <c r="G90" s="358">
        <v>7.86</v>
      </c>
      <c r="H90" s="356">
        <v>8.27</v>
      </c>
      <c r="I90" s="357">
        <v>9.74</v>
      </c>
    </row>
    <row r="91" spans="1:9" ht="14.5">
      <c r="A91" s="38" t="s">
        <v>298</v>
      </c>
      <c r="B91" s="38" t="s">
        <v>299</v>
      </c>
      <c r="C91" s="358">
        <v>7.28</v>
      </c>
      <c r="D91" s="358">
        <v>8.73</v>
      </c>
      <c r="E91" s="358">
        <v>8.7799999999999994</v>
      </c>
      <c r="F91" s="358">
        <v>8.23</v>
      </c>
      <c r="G91" s="358">
        <v>8.08</v>
      </c>
      <c r="H91" s="356">
        <v>9.01</v>
      </c>
      <c r="I91" s="357">
        <v>9.42</v>
      </c>
    </row>
    <row r="92" spans="1:9" ht="14.5">
      <c r="A92" s="38" t="s">
        <v>300</v>
      </c>
      <c r="B92" s="38" t="s">
        <v>301</v>
      </c>
      <c r="C92" s="358">
        <v>8.4700000000000006</v>
      </c>
      <c r="D92" s="358">
        <v>9.19</v>
      </c>
      <c r="E92" s="358">
        <v>9.6199999999999992</v>
      </c>
      <c r="F92" s="358">
        <v>10.44</v>
      </c>
      <c r="G92" s="358">
        <v>9.93</v>
      </c>
      <c r="H92" s="356">
        <v>9.65</v>
      </c>
      <c r="I92" s="357">
        <v>9.75</v>
      </c>
    </row>
    <row r="93" spans="1:9" ht="14.5">
      <c r="A93" s="38" t="s">
        <v>302</v>
      </c>
      <c r="B93" s="38" t="s">
        <v>303</v>
      </c>
      <c r="C93" s="358">
        <v>7.68</v>
      </c>
      <c r="D93" s="358">
        <v>7.8</v>
      </c>
      <c r="E93" s="358">
        <v>7.49</v>
      </c>
      <c r="F93" s="358">
        <v>8.58</v>
      </c>
      <c r="G93" s="358">
        <v>7.51</v>
      </c>
      <c r="H93" s="356">
        <v>7.38</v>
      </c>
      <c r="I93" s="357">
        <v>8.39</v>
      </c>
    </row>
    <row r="94" spans="1:9" ht="14.5">
      <c r="A94" s="38" t="s">
        <v>304</v>
      </c>
      <c r="B94" s="38" t="s">
        <v>305</v>
      </c>
      <c r="C94" s="358">
        <v>14.81</v>
      </c>
      <c r="D94" s="358">
        <v>15.27</v>
      </c>
      <c r="E94" s="358">
        <v>16.53</v>
      </c>
      <c r="F94" s="358">
        <v>15.83</v>
      </c>
      <c r="G94" s="358">
        <v>15.81</v>
      </c>
      <c r="H94" s="356">
        <v>16.32</v>
      </c>
      <c r="I94" s="357">
        <v>17.78</v>
      </c>
    </row>
    <row r="95" spans="1:9" ht="14.5">
      <c r="A95" s="38" t="s">
        <v>306</v>
      </c>
      <c r="B95" s="38" t="s">
        <v>307</v>
      </c>
      <c r="C95" s="358">
        <v>12.2</v>
      </c>
      <c r="D95" s="358">
        <v>12.97</v>
      </c>
      <c r="E95" s="358">
        <v>13.81</v>
      </c>
      <c r="F95" s="358">
        <v>13.68</v>
      </c>
      <c r="G95" s="358">
        <v>14.49</v>
      </c>
      <c r="H95" s="356">
        <v>13.49</v>
      </c>
      <c r="I95" s="357">
        <v>14.92</v>
      </c>
    </row>
    <row r="96" spans="1:9" ht="14.5">
      <c r="A96" s="38" t="s">
        <v>308</v>
      </c>
      <c r="B96" s="38" t="s">
        <v>309</v>
      </c>
      <c r="C96" s="358">
        <v>12.93</v>
      </c>
      <c r="D96" s="358">
        <v>14.1</v>
      </c>
      <c r="E96" s="358">
        <v>14.5</v>
      </c>
      <c r="F96" s="358">
        <v>14.42</v>
      </c>
      <c r="G96" s="358">
        <v>13.67</v>
      </c>
      <c r="H96" s="356">
        <v>14.6</v>
      </c>
      <c r="I96" s="357">
        <v>15.42</v>
      </c>
    </row>
    <row r="97" spans="1:9" ht="14.5">
      <c r="A97" s="38" t="s">
        <v>310</v>
      </c>
      <c r="B97" s="38" t="s">
        <v>311</v>
      </c>
      <c r="C97" s="358">
        <v>14.91</v>
      </c>
      <c r="D97" s="358">
        <v>16.16</v>
      </c>
      <c r="E97" s="358">
        <v>17.84</v>
      </c>
      <c r="F97" s="358">
        <v>16.75</v>
      </c>
      <c r="G97" s="358">
        <v>16.39</v>
      </c>
      <c r="H97" s="356">
        <v>17.170000000000002</v>
      </c>
      <c r="I97" s="357">
        <v>17.98</v>
      </c>
    </row>
    <row r="98" spans="1:9" ht="14.5">
      <c r="A98" s="38" t="s">
        <v>312</v>
      </c>
      <c r="B98" s="38" t="s">
        <v>313</v>
      </c>
      <c r="C98" s="358">
        <v>5.81</v>
      </c>
      <c r="D98" s="358">
        <v>5.24</v>
      </c>
      <c r="E98" s="358">
        <v>5.5</v>
      </c>
      <c r="F98" s="358">
        <v>5.9</v>
      </c>
      <c r="G98" s="358">
        <v>6.18</v>
      </c>
      <c r="H98" s="356">
        <v>6.14</v>
      </c>
      <c r="I98" s="357">
        <v>6.28</v>
      </c>
    </row>
    <row r="99" spans="1:9" ht="14.5">
      <c r="A99" s="38" t="s">
        <v>314</v>
      </c>
      <c r="B99" s="38" t="s">
        <v>315</v>
      </c>
      <c r="C99" s="358">
        <v>8.07</v>
      </c>
      <c r="D99" s="358">
        <v>7.69</v>
      </c>
      <c r="E99" s="358">
        <v>8.5500000000000007</v>
      </c>
      <c r="F99" s="358">
        <v>8.6999999999999993</v>
      </c>
      <c r="G99" s="358">
        <v>8.4499999999999993</v>
      </c>
      <c r="H99" s="356">
        <v>8.67</v>
      </c>
      <c r="I99" s="357">
        <v>9.2200000000000006</v>
      </c>
    </row>
    <row r="100" spans="1:9" ht="14.5">
      <c r="A100" s="38" t="s">
        <v>316</v>
      </c>
      <c r="B100" s="38" t="s">
        <v>317</v>
      </c>
      <c r="C100" s="358">
        <v>8.7799999999999994</v>
      </c>
      <c r="D100" s="358">
        <v>9.2899999999999991</v>
      </c>
      <c r="E100" s="358">
        <v>9.8699999999999992</v>
      </c>
      <c r="F100" s="358">
        <v>9.24</v>
      </c>
      <c r="G100" s="358">
        <v>9.0299999999999994</v>
      </c>
      <c r="H100" s="356">
        <v>10.41</v>
      </c>
      <c r="I100" s="357">
        <v>10.74</v>
      </c>
    </row>
    <row r="101" spans="1:9" ht="14.5">
      <c r="A101" s="38" t="s">
        <v>318</v>
      </c>
      <c r="B101" s="38" t="s">
        <v>319</v>
      </c>
      <c r="C101" s="358">
        <v>6.13</v>
      </c>
      <c r="D101" s="358">
        <v>6.49</v>
      </c>
      <c r="E101" s="358">
        <v>7.12</v>
      </c>
      <c r="F101" s="358">
        <v>8.48</v>
      </c>
      <c r="G101" s="358">
        <v>8.17</v>
      </c>
      <c r="H101" s="356">
        <v>7.32</v>
      </c>
      <c r="I101" s="357">
        <v>8.91</v>
      </c>
    </row>
    <row r="102" spans="1:9" ht="14.5">
      <c r="A102" s="38" t="s">
        <v>320</v>
      </c>
      <c r="B102" s="38" t="s">
        <v>321</v>
      </c>
      <c r="C102" s="358">
        <v>7.8</v>
      </c>
      <c r="D102" s="358">
        <v>9.17</v>
      </c>
      <c r="E102" s="358">
        <v>9.6999999999999993</v>
      </c>
      <c r="F102" s="358">
        <v>9.24</v>
      </c>
      <c r="G102" s="358">
        <v>9.3800000000000008</v>
      </c>
      <c r="H102" s="356">
        <v>10.76</v>
      </c>
      <c r="I102" s="357">
        <v>11.2</v>
      </c>
    </row>
    <row r="103" spans="1:9" ht="14.5">
      <c r="A103" s="38" t="s">
        <v>322</v>
      </c>
      <c r="B103" s="38" t="s">
        <v>323</v>
      </c>
      <c r="C103" s="358">
        <v>8.09</v>
      </c>
      <c r="D103" s="358">
        <v>8.23</v>
      </c>
      <c r="E103" s="358">
        <v>8.73</v>
      </c>
      <c r="F103" s="358">
        <v>8.93</v>
      </c>
      <c r="G103" s="358">
        <v>9.41</v>
      </c>
      <c r="H103" s="356">
        <v>9.2799999999999994</v>
      </c>
      <c r="I103" s="357">
        <v>10.62</v>
      </c>
    </row>
    <row r="104" spans="1:9" ht="14.5">
      <c r="A104" s="38" t="s">
        <v>324</v>
      </c>
      <c r="B104" s="38" t="s">
        <v>325</v>
      </c>
      <c r="C104" s="358">
        <v>5.32</v>
      </c>
      <c r="D104" s="358">
        <v>5.81</v>
      </c>
      <c r="E104" s="358">
        <v>5.87</v>
      </c>
      <c r="F104" s="358">
        <v>5.4</v>
      </c>
      <c r="G104" s="358">
        <v>5.45</v>
      </c>
      <c r="H104" s="356">
        <v>6.1</v>
      </c>
      <c r="I104" s="357">
        <v>6.75</v>
      </c>
    </row>
    <row r="105" spans="1:9" ht="14.5">
      <c r="A105" s="38" t="s">
        <v>326</v>
      </c>
      <c r="B105" s="38" t="s">
        <v>327</v>
      </c>
      <c r="C105" s="358">
        <v>5.07</v>
      </c>
      <c r="D105" s="358">
        <v>5.19</v>
      </c>
      <c r="E105" s="358">
        <v>5.25</v>
      </c>
      <c r="F105" s="358">
        <v>5.32</v>
      </c>
      <c r="G105" s="358">
        <v>5.35</v>
      </c>
      <c r="H105" s="356">
        <v>5.47</v>
      </c>
      <c r="I105" s="357">
        <v>5.69</v>
      </c>
    </row>
    <row r="106" spans="1:9" ht="14.5">
      <c r="A106" s="38" t="s">
        <v>328</v>
      </c>
      <c r="B106" s="38" t="s">
        <v>329</v>
      </c>
      <c r="C106" s="358">
        <v>6.36</v>
      </c>
      <c r="D106" s="358">
        <v>6.25</v>
      </c>
      <c r="E106" s="358">
        <v>5.41</v>
      </c>
      <c r="F106" s="358">
        <v>5.29</v>
      </c>
      <c r="G106" s="358">
        <v>6.26</v>
      </c>
      <c r="H106" s="356">
        <v>6.65</v>
      </c>
      <c r="I106" s="357">
        <v>8.09</v>
      </c>
    </row>
    <row r="107" spans="1:9" ht="14.5">
      <c r="A107" s="38" t="s">
        <v>330</v>
      </c>
      <c r="B107" s="38" t="s">
        <v>331</v>
      </c>
      <c r="C107" s="358">
        <v>6.06</v>
      </c>
      <c r="D107" s="358">
        <v>6.24</v>
      </c>
      <c r="E107" s="358">
        <v>6.26</v>
      </c>
      <c r="F107" s="358">
        <v>6.67</v>
      </c>
      <c r="G107" s="358">
        <v>6.86</v>
      </c>
      <c r="H107" s="356">
        <v>7.02</v>
      </c>
      <c r="I107" s="357">
        <v>7.34</v>
      </c>
    </row>
    <row r="108" spans="1:9" ht="14.5">
      <c r="A108" s="38" t="s">
        <v>332</v>
      </c>
      <c r="B108" s="38" t="s">
        <v>333</v>
      </c>
      <c r="C108" s="358">
        <v>5.9</v>
      </c>
      <c r="D108" s="358">
        <v>7.05</v>
      </c>
      <c r="E108" s="358">
        <v>7.86</v>
      </c>
      <c r="F108" s="358">
        <v>7.43</v>
      </c>
      <c r="G108" s="358">
        <v>7.67</v>
      </c>
      <c r="H108" s="356">
        <v>6.79</v>
      </c>
      <c r="I108" s="357">
        <v>6.68</v>
      </c>
    </row>
    <row r="109" spans="1:9" ht="14.5">
      <c r="A109" s="38" t="s">
        <v>334</v>
      </c>
      <c r="B109" s="38" t="s">
        <v>335</v>
      </c>
      <c r="C109" s="358">
        <v>7.44</v>
      </c>
      <c r="D109" s="358">
        <v>8.52</v>
      </c>
      <c r="E109" s="358">
        <v>9.41</v>
      </c>
      <c r="F109" s="358">
        <v>9.83</v>
      </c>
      <c r="G109" s="358">
        <v>8.65</v>
      </c>
      <c r="H109" s="356">
        <v>8.65</v>
      </c>
      <c r="I109" s="357">
        <v>10.9</v>
      </c>
    </row>
    <row r="110" spans="1:9" ht="14.5">
      <c r="A110" s="38" t="s">
        <v>336</v>
      </c>
      <c r="B110" s="38" t="s">
        <v>337</v>
      </c>
      <c r="C110" s="358">
        <v>5.43</v>
      </c>
      <c r="D110" s="358">
        <v>5.3</v>
      </c>
      <c r="E110" s="358">
        <v>6.43</v>
      </c>
      <c r="F110" s="358">
        <v>6.38</v>
      </c>
      <c r="G110" s="358">
        <v>6.33</v>
      </c>
      <c r="H110" s="356">
        <v>6.34</v>
      </c>
      <c r="I110" s="357">
        <v>6.74</v>
      </c>
    </row>
    <row r="111" spans="1:9" ht="14.5">
      <c r="A111" s="38" t="s">
        <v>338</v>
      </c>
      <c r="B111" s="38" t="s">
        <v>339</v>
      </c>
      <c r="C111" s="358">
        <v>10.88</v>
      </c>
      <c r="D111" s="358">
        <v>12.76</v>
      </c>
      <c r="E111" s="358">
        <v>12.87</v>
      </c>
      <c r="F111" s="358">
        <v>12.97</v>
      </c>
      <c r="G111" s="358">
        <v>13.78</v>
      </c>
      <c r="H111" s="356">
        <v>12.99</v>
      </c>
      <c r="I111" s="357">
        <v>13.35</v>
      </c>
    </row>
    <row r="112" spans="1:9" ht="14.5">
      <c r="A112" s="38" t="s">
        <v>340</v>
      </c>
      <c r="B112" s="38" t="s">
        <v>341</v>
      </c>
      <c r="C112" s="358">
        <v>11.24</v>
      </c>
      <c r="D112" s="358">
        <v>12.04</v>
      </c>
      <c r="E112" s="358">
        <v>12.6</v>
      </c>
      <c r="F112" s="358">
        <v>12.54</v>
      </c>
      <c r="G112" s="358">
        <v>12.28</v>
      </c>
      <c r="H112" s="356">
        <v>12.5</v>
      </c>
      <c r="I112" s="357">
        <v>13.2</v>
      </c>
    </row>
    <row r="113" spans="1:9" ht="14.5">
      <c r="A113" s="38" t="s">
        <v>342</v>
      </c>
      <c r="B113" s="38" t="s">
        <v>343</v>
      </c>
      <c r="C113" s="358">
        <v>14.61</v>
      </c>
      <c r="D113" s="358">
        <v>16.57</v>
      </c>
      <c r="E113" s="358">
        <v>15.77</v>
      </c>
      <c r="F113" s="358">
        <v>15.59</v>
      </c>
      <c r="G113" s="358">
        <v>16.420000000000002</v>
      </c>
      <c r="H113" s="356">
        <v>17.28</v>
      </c>
      <c r="I113" s="357">
        <v>14.92</v>
      </c>
    </row>
    <row r="114" spans="1:9" ht="14.5">
      <c r="A114" s="38" t="s">
        <v>344</v>
      </c>
      <c r="B114" s="38" t="s">
        <v>345</v>
      </c>
      <c r="C114" s="358">
        <v>4.55</v>
      </c>
      <c r="D114" s="358">
        <v>4.92</v>
      </c>
      <c r="E114" s="358">
        <v>4.76</v>
      </c>
      <c r="F114" s="358">
        <v>4.79</v>
      </c>
      <c r="G114" s="358">
        <v>4.92</v>
      </c>
      <c r="H114" s="356">
        <v>4.87</v>
      </c>
      <c r="I114" s="357">
        <v>5.47</v>
      </c>
    </row>
    <row r="115" spans="1:9" ht="14.5">
      <c r="A115" s="38" t="s">
        <v>346</v>
      </c>
      <c r="B115" s="38" t="s">
        <v>347</v>
      </c>
      <c r="C115" s="358">
        <v>8.85</v>
      </c>
      <c r="D115" s="358">
        <v>8.99</v>
      </c>
      <c r="E115" s="358">
        <v>9.59</v>
      </c>
      <c r="F115" s="358">
        <v>9.06</v>
      </c>
      <c r="G115" s="358">
        <v>8.9600000000000009</v>
      </c>
      <c r="H115" s="356">
        <v>9</v>
      </c>
      <c r="I115" s="357">
        <v>9.7200000000000006</v>
      </c>
    </row>
    <row r="116" spans="1:9" ht="14.5">
      <c r="A116" s="38" t="s">
        <v>348</v>
      </c>
      <c r="B116" s="38" t="s">
        <v>349</v>
      </c>
      <c r="C116" s="358">
        <v>21.05</v>
      </c>
      <c r="D116" s="358">
        <v>20.86</v>
      </c>
      <c r="E116" s="358">
        <v>20.69</v>
      </c>
      <c r="F116" s="358">
        <v>19.28</v>
      </c>
      <c r="G116" s="358">
        <v>19.12</v>
      </c>
      <c r="H116" s="356">
        <v>18.420000000000002</v>
      </c>
      <c r="I116" s="357">
        <v>19.32</v>
      </c>
    </row>
    <row r="117" spans="1:9" ht="14.5">
      <c r="A117" s="38" t="s">
        <v>350</v>
      </c>
      <c r="B117" s="38" t="s">
        <v>351</v>
      </c>
      <c r="C117" s="358">
        <v>8.91</v>
      </c>
      <c r="D117" s="358">
        <v>9</v>
      </c>
      <c r="E117" s="358">
        <v>9.66</v>
      </c>
      <c r="F117" s="358">
        <v>10.14</v>
      </c>
      <c r="G117" s="358">
        <v>10.88</v>
      </c>
      <c r="H117" s="356">
        <v>9.83</v>
      </c>
      <c r="I117" s="357">
        <v>10.69</v>
      </c>
    </row>
    <row r="118" spans="1:9" ht="14.5">
      <c r="A118" s="38" t="s">
        <v>352</v>
      </c>
      <c r="B118" s="38" t="s">
        <v>353</v>
      </c>
      <c r="C118" s="358">
        <v>14.03</v>
      </c>
      <c r="D118" s="358">
        <v>15.46</v>
      </c>
      <c r="E118" s="358">
        <v>16.86</v>
      </c>
      <c r="F118" s="358">
        <v>17.48</v>
      </c>
      <c r="G118" s="358">
        <v>16.88</v>
      </c>
      <c r="H118" s="356">
        <v>15.17</v>
      </c>
      <c r="I118" s="357">
        <v>17.260000000000002</v>
      </c>
    </row>
    <row r="119" spans="1:9" ht="14.5">
      <c r="A119" s="38" t="s">
        <v>354</v>
      </c>
      <c r="B119" s="38" t="s">
        <v>355</v>
      </c>
      <c r="C119" s="358">
        <v>7.81</v>
      </c>
      <c r="D119" s="358">
        <v>9.1999999999999993</v>
      </c>
      <c r="E119" s="358">
        <v>9.26</v>
      </c>
      <c r="F119" s="358">
        <v>9.5</v>
      </c>
      <c r="G119" s="358">
        <v>9.18</v>
      </c>
      <c r="H119" s="356">
        <v>9.25</v>
      </c>
      <c r="I119" s="357">
        <v>11.03</v>
      </c>
    </row>
    <row r="120" spans="1:9" ht="14.5">
      <c r="A120" s="38" t="s">
        <v>356</v>
      </c>
      <c r="B120" s="38" t="s">
        <v>357</v>
      </c>
      <c r="C120" s="358">
        <v>10.06</v>
      </c>
      <c r="D120" s="358">
        <v>10.15</v>
      </c>
      <c r="E120" s="358">
        <v>10.29</v>
      </c>
      <c r="F120" s="358">
        <v>10.220000000000001</v>
      </c>
      <c r="G120" s="358">
        <v>9.07</v>
      </c>
      <c r="H120" s="356">
        <v>10.41</v>
      </c>
      <c r="I120" s="357">
        <v>10.89</v>
      </c>
    </row>
    <row r="121" spans="1:9" ht="14.5">
      <c r="A121" s="38" t="s">
        <v>358</v>
      </c>
      <c r="B121" s="38" t="s">
        <v>359</v>
      </c>
      <c r="C121" s="358">
        <v>14.46</v>
      </c>
      <c r="D121" s="358">
        <v>14.73</v>
      </c>
      <c r="E121" s="358">
        <v>16</v>
      </c>
      <c r="F121" s="358">
        <v>15.56</v>
      </c>
      <c r="G121" s="358">
        <v>14.02</v>
      </c>
      <c r="H121" s="356">
        <v>15.89</v>
      </c>
      <c r="I121" s="357">
        <v>16.149999999999999</v>
      </c>
    </row>
    <row r="122" spans="1:9" ht="14.5">
      <c r="A122" s="38" t="s">
        <v>360</v>
      </c>
      <c r="B122" s="38" t="s">
        <v>361</v>
      </c>
      <c r="C122" s="358">
        <v>10.92</v>
      </c>
      <c r="D122" s="358">
        <v>12</v>
      </c>
      <c r="E122" s="358">
        <v>11.83</v>
      </c>
      <c r="F122" s="358">
        <v>12.28</v>
      </c>
      <c r="G122" s="358">
        <v>10.67</v>
      </c>
      <c r="H122" s="356">
        <v>10.84</v>
      </c>
      <c r="I122" s="357">
        <v>11.45</v>
      </c>
    </row>
    <row r="123" spans="1:9" ht="14.5">
      <c r="A123" s="38" t="s">
        <v>362</v>
      </c>
      <c r="B123" s="38" t="s">
        <v>363</v>
      </c>
      <c r="C123" s="358">
        <v>4.6900000000000004</v>
      </c>
      <c r="D123" s="358">
        <v>4.5999999999999996</v>
      </c>
      <c r="E123" s="358">
        <v>4.8</v>
      </c>
      <c r="F123" s="358">
        <v>4.82</v>
      </c>
      <c r="G123" s="358">
        <v>5</v>
      </c>
      <c r="H123" s="356">
        <v>4.63</v>
      </c>
      <c r="I123" s="357">
        <v>4.58</v>
      </c>
    </row>
    <row r="124" spans="1:9" ht="14.5">
      <c r="A124" s="38" t="s">
        <v>364</v>
      </c>
      <c r="B124" s="38" t="s">
        <v>365</v>
      </c>
      <c r="C124" s="358">
        <v>6.74</v>
      </c>
      <c r="D124" s="358">
        <v>7.7</v>
      </c>
      <c r="E124" s="358">
        <v>8.2899999999999991</v>
      </c>
      <c r="F124" s="358">
        <v>8.81</v>
      </c>
      <c r="G124" s="358">
        <v>9.36</v>
      </c>
      <c r="H124" s="356">
        <v>9.2200000000000006</v>
      </c>
      <c r="I124" s="357">
        <v>10.78</v>
      </c>
    </row>
    <row r="125" spans="1:9" ht="14.5">
      <c r="A125" s="38" t="s">
        <v>366</v>
      </c>
      <c r="B125" s="38" t="s">
        <v>367</v>
      </c>
      <c r="C125" s="358">
        <v>8.11</v>
      </c>
      <c r="D125" s="358">
        <v>8.8699999999999992</v>
      </c>
      <c r="E125" s="358">
        <v>9.25</v>
      </c>
      <c r="F125" s="358">
        <v>9.49</v>
      </c>
      <c r="G125" s="358">
        <v>9.9499999999999993</v>
      </c>
      <c r="H125" s="356">
        <v>9.8800000000000008</v>
      </c>
      <c r="I125" s="357">
        <v>10.17</v>
      </c>
    </row>
    <row r="126" spans="1:9" ht="14.5">
      <c r="A126" s="38" t="s">
        <v>368</v>
      </c>
      <c r="B126" s="38" t="s">
        <v>369</v>
      </c>
      <c r="C126" s="358">
        <v>9.15</v>
      </c>
      <c r="D126" s="358">
        <v>11.24</v>
      </c>
      <c r="E126" s="358">
        <v>12.01</v>
      </c>
      <c r="F126" s="358">
        <v>11.93</v>
      </c>
      <c r="G126" s="358">
        <v>11.33</v>
      </c>
      <c r="H126" s="356">
        <v>11.05</v>
      </c>
      <c r="I126" s="357">
        <v>12.52</v>
      </c>
    </row>
    <row r="127" spans="1:9" ht="14.5">
      <c r="A127" s="38" t="s">
        <v>370</v>
      </c>
      <c r="B127" s="38" t="s">
        <v>371</v>
      </c>
      <c r="C127" s="358">
        <v>9.66</v>
      </c>
      <c r="D127" s="358">
        <v>8.8699999999999992</v>
      </c>
      <c r="E127" s="358">
        <v>9.5</v>
      </c>
      <c r="F127" s="358">
        <v>9.81</v>
      </c>
      <c r="G127" s="358">
        <v>9.2899999999999991</v>
      </c>
      <c r="H127" s="356">
        <v>9.0399999999999991</v>
      </c>
      <c r="I127" s="357">
        <v>10.27</v>
      </c>
    </row>
    <row r="128" spans="1:9" ht="14.5">
      <c r="A128" s="38" t="s">
        <v>372</v>
      </c>
      <c r="B128" s="38" t="s">
        <v>373</v>
      </c>
      <c r="C128" s="358">
        <v>12.67</v>
      </c>
      <c r="D128" s="358">
        <v>13.98</v>
      </c>
      <c r="E128" s="358">
        <v>14.21</v>
      </c>
      <c r="F128" s="358">
        <v>14.26</v>
      </c>
      <c r="G128" s="358">
        <v>13.9</v>
      </c>
      <c r="H128" s="356">
        <v>14.9</v>
      </c>
      <c r="I128" s="357">
        <v>15.51</v>
      </c>
    </row>
    <row r="129" spans="1:9" ht="14.5">
      <c r="A129" s="38" t="s">
        <v>374</v>
      </c>
      <c r="B129" s="38" t="s">
        <v>375</v>
      </c>
      <c r="C129" s="358">
        <v>6.91</v>
      </c>
      <c r="D129" s="358">
        <v>7.07</v>
      </c>
      <c r="E129" s="358">
        <v>7.28</v>
      </c>
      <c r="F129" s="358">
        <v>7.76</v>
      </c>
      <c r="G129" s="358">
        <v>7.46</v>
      </c>
      <c r="H129" s="356">
        <v>7.29</v>
      </c>
      <c r="I129" s="357">
        <v>8.24</v>
      </c>
    </row>
    <row r="130" spans="1:9" ht="14.5">
      <c r="A130" s="38" t="s">
        <v>376</v>
      </c>
      <c r="B130" s="38" t="s">
        <v>377</v>
      </c>
      <c r="C130" s="358">
        <v>10.37</v>
      </c>
      <c r="D130" s="358">
        <v>11.78</v>
      </c>
      <c r="E130" s="358">
        <v>12.35</v>
      </c>
      <c r="F130" s="358">
        <v>13.02</v>
      </c>
      <c r="G130" s="358">
        <v>11.65</v>
      </c>
      <c r="H130" s="356">
        <v>11.18</v>
      </c>
      <c r="I130" s="357">
        <v>13.56</v>
      </c>
    </row>
    <row r="131" spans="1:9" ht="14.5">
      <c r="A131" s="38" t="s">
        <v>378</v>
      </c>
      <c r="B131" s="38" t="s">
        <v>379</v>
      </c>
      <c r="C131" s="358">
        <v>6.8</v>
      </c>
      <c r="D131" s="358">
        <v>7.1</v>
      </c>
      <c r="E131" s="358">
        <v>7.26</v>
      </c>
      <c r="F131" s="358">
        <v>7.17</v>
      </c>
      <c r="G131" s="358">
        <v>7.3</v>
      </c>
      <c r="H131" s="356">
        <v>7.21</v>
      </c>
      <c r="I131" s="357">
        <v>8.3800000000000008</v>
      </c>
    </row>
    <row r="132" spans="1:9" ht="14.5">
      <c r="A132" s="38" t="s">
        <v>380</v>
      </c>
      <c r="B132" s="38" t="s">
        <v>381</v>
      </c>
      <c r="C132" s="358">
        <v>12.99</v>
      </c>
      <c r="D132" s="358">
        <v>13.09</v>
      </c>
      <c r="E132" s="358">
        <v>13.8</v>
      </c>
      <c r="F132" s="358">
        <v>13.87</v>
      </c>
      <c r="G132" s="358">
        <v>12.76</v>
      </c>
      <c r="H132" s="356">
        <v>12.47</v>
      </c>
      <c r="I132" s="357">
        <v>13.93</v>
      </c>
    </row>
    <row r="133" spans="1:9" ht="14.5">
      <c r="A133" s="38" t="s">
        <v>382</v>
      </c>
      <c r="B133" s="38" t="s">
        <v>383</v>
      </c>
      <c r="C133" s="358">
        <v>10.08</v>
      </c>
      <c r="D133" s="358">
        <v>10.76</v>
      </c>
      <c r="E133" s="358">
        <v>11.14</v>
      </c>
      <c r="F133" s="358">
        <v>11.41</v>
      </c>
      <c r="G133" s="358">
        <v>11.18</v>
      </c>
      <c r="H133" s="356">
        <v>11.47</v>
      </c>
      <c r="I133" s="357">
        <v>12.13</v>
      </c>
    </row>
    <row r="134" spans="1:9" ht="14.5">
      <c r="A134" s="38" t="s">
        <v>384</v>
      </c>
      <c r="B134" s="38" t="s">
        <v>385</v>
      </c>
      <c r="C134" s="358">
        <v>8.06</v>
      </c>
      <c r="D134" s="358">
        <v>8.24</v>
      </c>
      <c r="E134" s="358">
        <v>8.82</v>
      </c>
      <c r="F134" s="358">
        <v>9.36</v>
      </c>
      <c r="G134" s="358">
        <v>9.3000000000000007</v>
      </c>
      <c r="H134" s="356">
        <v>9.2899999999999991</v>
      </c>
      <c r="I134" s="357">
        <v>9.6199999999999992</v>
      </c>
    </row>
    <row r="135" spans="1:9" ht="14.5">
      <c r="A135" s="38" t="s">
        <v>386</v>
      </c>
      <c r="B135" s="38" t="s">
        <v>387</v>
      </c>
      <c r="C135" s="358">
        <v>4.05</v>
      </c>
      <c r="D135" s="358">
        <v>4.1399999999999997</v>
      </c>
      <c r="E135" s="358">
        <v>4.1399999999999997</v>
      </c>
      <c r="F135" s="358">
        <v>4.2300000000000004</v>
      </c>
      <c r="G135" s="358">
        <v>3.74</v>
      </c>
      <c r="H135" s="356">
        <v>3.68</v>
      </c>
      <c r="I135" s="357">
        <v>4.26</v>
      </c>
    </row>
    <row r="136" spans="1:9" ht="14.5">
      <c r="A136" s="38" t="s">
        <v>388</v>
      </c>
      <c r="B136" s="38" t="s">
        <v>389</v>
      </c>
      <c r="C136" s="358">
        <v>6.15</v>
      </c>
      <c r="D136" s="358">
        <v>5.82</v>
      </c>
      <c r="E136" s="358">
        <v>6.74</v>
      </c>
      <c r="F136" s="358">
        <v>6.82</v>
      </c>
      <c r="G136" s="358">
        <v>7.44</v>
      </c>
      <c r="H136" s="356">
        <v>7.16</v>
      </c>
      <c r="I136" s="357">
        <v>7.97</v>
      </c>
    </row>
    <row r="137" spans="1:9" ht="14.5">
      <c r="A137" s="38" t="s">
        <v>390</v>
      </c>
      <c r="B137" s="38" t="s">
        <v>391</v>
      </c>
      <c r="C137" s="358">
        <v>7.76</v>
      </c>
      <c r="D137" s="358">
        <v>7.58</v>
      </c>
      <c r="E137" s="358">
        <v>8.19</v>
      </c>
      <c r="F137" s="358">
        <v>8.23</v>
      </c>
      <c r="G137" s="358">
        <v>8.48</v>
      </c>
      <c r="H137" s="356">
        <v>8.09</v>
      </c>
      <c r="I137" s="357">
        <v>10</v>
      </c>
    </row>
    <row r="138" spans="1:9" ht="14.5">
      <c r="A138" s="38" t="s">
        <v>392</v>
      </c>
      <c r="B138" s="38" t="s">
        <v>393</v>
      </c>
      <c r="C138" s="358" t="s">
        <v>4676</v>
      </c>
      <c r="D138" s="358" t="s">
        <v>4676</v>
      </c>
      <c r="E138" s="358" t="s">
        <v>4676</v>
      </c>
      <c r="F138" s="358" t="s">
        <v>4676</v>
      </c>
      <c r="G138" s="358">
        <v>16.96</v>
      </c>
      <c r="H138" s="356" t="s">
        <v>4676</v>
      </c>
      <c r="I138" s="357"/>
    </row>
    <row r="139" spans="1:9" ht="14.5">
      <c r="A139" s="38" t="s">
        <v>394</v>
      </c>
      <c r="B139" s="38" t="s">
        <v>395</v>
      </c>
      <c r="C139" s="358">
        <v>15.72</v>
      </c>
      <c r="D139" s="358">
        <v>15.17</v>
      </c>
      <c r="E139" s="358">
        <v>15.67</v>
      </c>
      <c r="F139" s="358">
        <v>14.73</v>
      </c>
      <c r="G139" s="358">
        <v>14.56</v>
      </c>
      <c r="H139" s="356">
        <v>15.44</v>
      </c>
      <c r="I139" s="357">
        <v>14.73</v>
      </c>
    </row>
    <row r="140" spans="1:9" ht="14.5">
      <c r="A140" s="38" t="s">
        <v>396</v>
      </c>
      <c r="B140" s="38" t="s">
        <v>397</v>
      </c>
      <c r="C140" s="358">
        <v>37.93</v>
      </c>
      <c r="D140" s="358">
        <v>38.82</v>
      </c>
      <c r="E140" s="358">
        <v>41.04</v>
      </c>
      <c r="F140" s="358">
        <v>43.97</v>
      </c>
      <c r="G140" s="358">
        <v>39.39</v>
      </c>
      <c r="H140" s="356">
        <v>35.56</v>
      </c>
      <c r="I140" s="357">
        <v>36.520000000000003</v>
      </c>
    </row>
    <row r="141" spans="1:9" ht="14.5">
      <c r="A141" s="38" t="s">
        <v>398</v>
      </c>
      <c r="B141" s="38" t="s">
        <v>399</v>
      </c>
      <c r="C141" s="361">
        <v>6.08</v>
      </c>
      <c r="D141" s="361">
        <v>6.56</v>
      </c>
      <c r="E141" s="361">
        <v>7.02</v>
      </c>
      <c r="F141" s="361">
        <v>7.86</v>
      </c>
      <c r="G141" s="361">
        <v>7.49</v>
      </c>
      <c r="H141" s="362">
        <v>7.14</v>
      </c>
      <c r="I141" s="362"/>
    </row>
    <row r="142" spans="1:9" ht="14.5">
      <c r="A142" s="38" t="s">
        <v>400</v>
      </c>
      <c r="B142" s="38" t="s">
        <v>401</v>
      </c>
      <c r="C142" s="358">
        <v>6.59</v>
      </c>
      <c r="D142" s="358">
        <v>6.98</v>
      </c>
      <c r="E142" s="358">
        <v>7.91</v>
      </c>
      <c r="F142" s="358">
        <v>7.88</v>
      </c>
      <c r="G142" s="358">
        <v>7.46</v>
      </c>
      <c r="H142" s="356">
        <v>7.78</v>
      </c>
      <c r="I142" s="357">
        <v>8.93</v>
      </c>
    </row>
    <row r="143" spans="1:9" ht="14.5">
      <c r="A143" s="38" t="s">
        <v>402</v>
      </c>
      <c r="B143" s="38" t="s">
        <v>403</v>
      </c>
      <c r="C143" s="358">
        <v>4.1399999999999997</v>
      </c>
      <c r="D143" s="358">
        <v>4.1100000000000003</v>
      </c>
      <c r="E143" s="358">
        <v>4.6100000000000003</v>
      </c>
      <c r="F143" s="358">
        <v>4.34</v>
      </c>
      <c r="G143" s="358">
        <v>4.3600000000000003</v>
      </c>
      <c r="H143" s="356">
        <v>4.29</v>
      </c>
      <c r="I143" s="357">
        <v>4.3899999999999997</v>
      </c>
    </row>
    <row r="144" spans="1:9" ht="14.5">
      <c r="A144" s="38" t="s">
        <v>404</v>
      </c>
      <c r="B144" s="38" t="s">
        <v>405</v>
      </c>
      <c r="C144" s="358">
        <v>13.97</v>
      </c>
      <c r="D144" s="358">
        <v>14.64</v>
      </c>
      <c r="E144" s="358">
        <v>15.49</v>
      </c>
      <c r="F144" s="358">
        <v>15.79</v>
      </c>
      <c r="G144" s="358">
        <v>15.19</v>
      </c>
      <c r="H144" s="356">
        <v>14.04</v>
      </c>
      <c r="I144" s="357">
        <v>15.22</v>
      </c>
    </row>
    <row r="145" spans="1:9" ht="14.5">
      <c r="A145" s="38" t="s">
        <v>406</v>
      </c>
      <c r="B145" s="38" t="s">
        <v>407</v>
      </c>
      <c r="C145" s="358">
        <v>5.75</v>
      </c>
      <c r="D145" s="358">
        <v>5.68</v>
      </c>
      <c r="E145" s="358">
        <v>5.69</v>
      </c>
      <c r="F145" s="358">
        <v>5.76</v>
      </c>
      <c r="G145" s="358">
        <v>5.84</v>
      </c>
      <c r="H145" s="356">
        <v>5.82</v>
      </c>
      <c r="I145" s="357">
        <v>6.57</v>
      </c>
    </row>
    <row r="146" spans="1:9" ht="14.5">
      <c r="A146" s="38" t="s">
        <v>408</v>
      </c>
      <c r="B146" s="38" t="s">
        <v>409</v>
      </c>
      <c r="C146" s="358">
        <v>5</v>
      </c>
      <c r="D146" s="358">
        <v>4.41</v>
      </c>
      <c r="E146" s="358">
        <v>4.57</v>
      </c>
      <c r="F146" s="358">
        <v>4.12</v>
      </c>
      <c r="G146" s="358">
        <v>5.22</v>
      </c>
      <c r="H146" s="356">
        <v>4.3099999999999996</v>
      </c>
      <c r="I146" s="357">
        <v>5.21</v>
      </c>
    </row>
    <row r="147" spans="1:9" ht="14.5">
      <c r="A147" s="38" t="s">
        <v>410</v>
      </c>
      <c r="B147" s="38" t="s">
        <v>411</v>
      </c>
      <c r="C147" s="358">
        <v>12.91</v>
      </c>
      <c r="D147" s="358">
        <v>14.42</v>
      </c>
      <c r="E147" s="358">
        <v>14.7</v>
      </c>
      <c r="F147" s="358">
        <v>14.5</v>
      </c>
      <c r="G147" s="358">
        <v>14.29</v>
      </c>
      <c r="H147" s="356">
        <v>14.64</v>
      </c>
      <c r="I147" s="357">
        <v>15.63</v>
      </c>
    </row>
    <row r="148" spans="1:9" ht="14.5">
      <c r="A148" s="38" t="s">
        <v>412</v>
      </c>
      <c r="B148" s="38" t="s">
        <v>413</v>
      </c>
      <c r="C148" s="358">
        <v>5.35</v>
      </c>
      <c r="D148" s="358">
        <v>5.14</v>
      </c>
      <c r="E148" s="358">
        <v>5.42</v>
      </c>
      <c r="F148" s="358">
        <v>5.72</v>
      </c>
      <c r="G148" s="358">
        <v>5.67</v>
      </c>
      <c r="H148" s="356">
        <v>5.43</v>
      </c>
      <c r="I148" s="357">
        <v>6.34</v>
      </c>
    </row>
    <row r="149" spans="1:9" ht="14.5">
      <c r="A149" s="38" t="s">
        <v>414</v>
      </c>
      <c r="B149" s="38" t="s">
        <v>415</v>
      </c>
      <c r="C149" s="358">
        <v>5.72</v>
      </c>
      <c r="D149" s="358">
        <v>5.77</v>
      </c>
      <c r="E149" s="358">
        <v>6</v>
      </c>
      <c r="F149" s="358">
        <v>6.24</v>
      </c>
      <c r="G149" s="358">
        <v>6.14</v>
      </c>
      <c r="H149" s="356">
        <v>6.36</v>
      </c>
      <c r="I149" s="357">
        <v>7.08</v>
      </c>
    </row>
    <row r="150" spans="1:9" ht="14.5">
      <c r="A150" s="38" t="s">
        <v>416</v>
      </c>
      <c r="B150" s="38" t="s">
        <v>417</v>
      </c>
      <c r="C150" s="358">
        <v>5.33</v>
      </c>
      <c r="D150" s="358">
        <v>5.56</v>
      </c>
      <c r="E150" s="358">
        <v>6.03</v>
      </c>
      <c r="F150" s="358">
        <v>6.62</v>
      </c>
      <c r="G150" s="358">
        <v>6.82</v>
      </c>
      <c r="H150" s="356">
        <v>6.38</v>
      </c>
      <c r="I150" s="357">
        <v>7.57</v>
      </c>
    </row>
    <row r="151" spans="1:9" ht="14.5">
      <c r="A151" s="38" t="s">
        <v>418</v>
      </c>
      <c r="B151" s="38" t="s">
        <v>419</v>
      </c>
      <c r="C151" s="358">
        <v>10.51</v>
      </c>
      <c r="D151" s="358">
        <v>10.029999999999999</v>
      </c>
      <c r="E151" s="358">
        <v>9.93</v>
      </c>
      <c r="F151" s="358">
        <v>9.8800000000000008</v>
      </c>
      <c r="G151" s="358">
        <v>10.9</v>
      </c>
      <c r="H151" s="356">
        <v>11.35</v>
      </c>
      <c r="I151" s="357">
        <v>11.64</v>
      </c>
    </row>
    <row r="152" spans="1:9" ht="14.5">
      <c r="A152" s="38" t="s">
        <v>420</v>
      </c>
      <c r="B152" s="38" t="s">
        <v>421</v>
      </c>
      <c r="C152" s="358">
        <v>11.25</v>
      </c>
      <c r="D152" s="358">
        <v>12.02</v>
      </c>
      <c r="E152" s="358">
        <v>12.61</v>
      </c>
      <c r="F152" s="358">
        <v>13.66</v>
      </c>
      <c r="G152" s="358">
        <v>13.27</v>
      </c>
      <c r="H152" s="356">
        <v>12.5</v>
      </c>
      <c r="I152" s="357">
        <v>14.23</v>
      </c>
    </row>
    <row r="153" spans="1:9" ht="14.5">
      <c r="A153" s="38" t="s">
        <v>422</v>
      </c>
      <c r="B153" s="38" t="s">
        <v>423</v>
      </c>
      <c r="C153" s="358">
        <v>7.55</v>
      </c>
      <c r="D153" s="358">
        <v>7.78</v>
      </c>
      <c r="E153" s="358">
        <v>8.4600000000000009</v>
      </c>
      <c r="F153" s="358">
        <v>8.92</v>
      </c>
      <c r="G153" s="358">
        <v>9.07</v>
      </c>
      <c r="H153" s="356">
        <v>9.33</v>
      </c>
      <c r="I153" s="357">
        <v>10.6</v>
      </c>
    </row>
    <row r="154" spans="1:9" ht="14.5">
      <c r="A154" s="38" t="s">
        <v>424</v>
      </c>
      <c r="B154" s="38" t="s">
        <v>425</v>
      </c>
      <c r="C154" s="358">
        <v>5.52</v>
      </c>
      <c r="D154" s="358">
        <v>5.39</v>
      </c>
      <c r="E154" s="358">
        <v>5.54</v>
      </c>
      <c r="F154" s="358">
        <v>5.41</v>
      </c>
      <c r="G154" s="358">
        <v>5.81</v>
      </c>
      <c r="H154" s="356">
        <v>5.56</v>
      </c>
      <c r="I154" s="357">
        <v>5.97</v>
      </c>
    </row>
    <row r="155" spans="1:9" ht="14.5">
      <c r="A155" s="38" t="s">
        <v>426</v>
      </c>
      <c r="B155" s="38" t="s">
        <v>427</v>
      </c>
      <c r="C155" s="358">
        <v>4.3600000000000003</v>
      </c>
      <c r="D155" s="358">
        <v>4.43</v>
      </c>
      <c r="E155" s="358">
        <v>4.63</v>
      </c>
      <c r="F155" s="358">
        <v>4.66</v>
      </c>
      <c r="G155" s="358">
        <v>4.29</v>
      </c>
      <c r="H155" s="356">
        <v>4.1100000000000003</v>
      </c>
      <c r="I155" s="357">
        <v>5.05</v>
      </c>
    </row>
    <row r="156" spans="1:9" ht="14.5">
      <c r="A156" s="38" t="s">
        <v>428</v>
      </c>
      <c r="B156" s="38" t="s">
        <v>429</v>
      </c>
      <c r="C156" s="358">
        <v>6.34</v>
      </c>
      <c r="D156" s="358">
        <v>7.31</v>
      </c>
      <c r="E156" s="358">
        <v>7.36</v>
      </c>
      <c r="F156" s="358">
        <v>8.32</v>
      </c>
      <c r="G156" s="358">
        <v>7.54</v>
      </c>
      <c r="H156" s="356">
        <v>7.51</v>
      </c>
      <c r="I156" s="357">
        <v>8.11</v>
      </c>
    </row>
    <row r="157" spans="1:9" ht="14.5">
      <c r="A157" s="38" t="s">
        <v>430</v>
      </c>
      <c r="B157" s="38" t="s">
        <v>431</v>
      </c>
      <c r="C157" s="358">
        <v>9.0500000000000007</v>
      </c>
      <c r="D157" s="358">
        <v>10.11</v>
      </c>
      <c r="E157" s="358">
        <v>10.3</v>
      </c>
      <c r="F157" s="358">
        <v>11.21</v>
      </c>
      <c r="G157" s="358">
        <v>10.46</v>
      </c>
      <c r="H157" s="356">
        <v>10.33</v>
      </c>
      <c r="I157" s="357">
        <v>10.85</v>
      </c>
    </row>
    <row r="158" spans="1:9" ht="14.5">
      <c r="A158" s="38" t="s">
        <v>432</v>
      </c>
      <c r="B158" s="38" t="s">
        <v>433</v>
      </c>
      <c r="C158" s="358">
        <v>9.99</v>
      </c>
      <c r="D158" s="358">
        <v>10.039999999999999</v>
      </c>
      <c r="E158" s="358">
        <v>10.83</v>
      </c>
      <c r="F158" s="358">
        <v>11.46</v>
      </c>
      <c r="G158" s="358">
        <v>11.93</v>
      </c>
      <c r="H158" s="356">
        <v>11.86</v>
      </c>
      <c r="I158" s="357">
        <v>13.18</v>
      </c>
    </row>
    <row r="159" spans="1:9" ht="14.5">
      <c r="A159" s="38" t="s">
        <v>434</v>
      </c>
      <c r="B159" s="38" t="s">
        <v>435</v>
      </c>
      <c r="C159" s="358">
        <v>9.68</v>
      </c>
      <c r="D159" s="358">
        <v>10.37</v>
      </c>
      <c r="E159" s="358">
        <v>10.81</v>
      </c>
      <c r="F159" s="358">
        <v>11.41</v>
      </c>
      <c r="G159" s="358">
        <v>11.16</v>
      </c>
      <c r="H159" s="356">
        <v>11.8</v>
      </c>
      <c r="I159" s="357">
        <v>11.9</v>
      </c>
    </row>
    <row r="160" spans="1:9" ht="14.5">
      <c r="A160" s="38" t="s">
        <v>436</v>
      </c>
      <c r="B160" s="38" t="s">
        <v>437</v>
      </c>
      <c r="C160" s="358">
        <v>5.0999999999999996</v>
      </c>
      <c r="D160" s="358">
        <v>5.18</v>
      </c>
      <c r="E160" s="358">
        <v>5.36</v>
      </c>
      <c r="F160" s="358">
        <v>5.67</v>
      </c>
      <c r="G160" s="358">
        <v>5.84</v>
      </c>
      <c r="H160" s="356">
        <v>6.11</v>
      </c>
      <c r="I160" s="357">
        <v>6.67</v>
      </c>
    </row>
    <row r="161" spans="1:9" ht="14.5">
      <c r="A161" s="38" t="s">
        <v>438</v>
      </c>
      <c r="B161" s="38" t="s">
        <v>439</v>
      </c>
      <c r="C161" s="358">
        <v>5.89</v>
      </c>
      <c r="D161" s="358">
        <v>6.19</v>
      </c>
      <c r="E161" s="358">
        <v>6.03</v>
      </c>
      <c r="F161" s="358">
        <v>5.98</v>
      </c>
      <c r="G161" s="358">
        <v>6.26</v>
      </c>
      <c r="H161" s="356">
        <v>5.85</v>
      </c>
      <c r="I161" s="357">
        <v>6.2</v>
      </c>
    </row>
    <row r="162" spans="1:9" ht="14.5">
      <c r="A162" s="38" t="s">
        <v>440</v>
      </c>
      <c r="B162" s="38" t="s">
        <v>441</v>
      </c>
      <c r="C162" s="358">
        <v>6.9</v>
      </c>
      <c r="D162" s="358">
        <v>7.93</v>
      </c>
      <c r="E162" s="358">
        <v>8.2799999999999994</v>
      </c>
      <c r="F162" s="358">
        <v>8.67</v>
      </c>
      <c r="G162" s="358">
        <v>8.41</v>
      </c>
      <c r="H162" s="356">
        <v>7.69</v>
      </c>
      <c r="I162" s="357">
        <v>8.7200000000000006</v>
      </c>
    </row>
    <row r="163" spans="1:9" ht="14.5">
      <c r="A163" s="38" t="s">
        <v>442</v>
      </c>
      <c r="B163" s="38" t="s">
        <v>443</v>
      </c>
      <c r="C163" s="358">
        <v>7.46</v>
      </c>
      <c r="D163" s="358">
        <v>7.54</v>
      </c>
      <c r="E163" s="358">
        <v>7.73</v>
      </c>
      <c r="F163" s="358">
        <v>8.35</v>
      </c>
      <c r="G163" s="358">
        <v>8.64</v>
      </c>
      <c r="H163" s="356">
        <v>8.8699999999999992</v>
      </c>
      <c r="I163" s="357">
        <v>12.27</v>
      </c>
    </row>
    <row r="164" spans="1:9" ht="14.5">
      <c r="A164" s="38" t="s">
        <v>444</v>
      </c>
      <c r="B164" s="38" t="s">
        <v>445</v>
      </c>
      <c r="C164" s="358">
        <v>9.82</v>
      </c>
      <c r="D164" s="358">
        <v>10.59</v>
      </c>
      <c r="E164" s="358">
        <v>10.29</v>
      </c>
      <c r="F164" s="358">
        <v>10.98</v>
      </c>
      <c r="G164" s="358">
        <v>10.94</v>
      </c>
      <c r="H164" s="356">
        <v>9.61</v>
      </c>
      <c r="I164" s="357">
        <v>11.22</v>
      </c>
    </row>
    <row r="165" spans="1:9" ht="14.5">
      <c r="A165" s="38" t="s">
        <v>446</v>
      </c>
      <c r="B165" s="38" t="s">
        <v>447</v>
      </c>
      <c r="C165" s="358">
        <v>13.22</v>
      </c>
      <c r="D165" s="358">
        <v>16.190000000000001</v>
      </c>
      <c r="E165" s="358">
        <v>15.45</v>
      </c>
      <c r="F165" s="358">
        <v>15.36</v>
      </c>
      <c r="G165" s="358">
        <v>14.81</v>
      </c>
      <c r="H165" s="356">
        <v>14.65</v>
      </c>
      <c r="I165" s="357">
        <v>15.89</v>
      </c>
    </row>
    <row r="166" spans="1:9" ht="14.5">
      <c r="A166" s="38" t="s">
        <v>448</v>
      </c>
      <c r="B166" s="38" t="s">
        <v>449</v>
      </c>
      <c r="C166" s="358">
        <v>8.82</v>
      </c>
      <c r="D166" s="358">
        <v>8.81</v>
      </c>
      <c r="E166" s="358">
        <v>8.74</v>
      </c>
      <c r="F166" s="358">
        <v>9.09</v>
      </c>
      <c r="G166" s="358">
        <v>9.25</v>
      </c>
      <c r="H166" s="356">
        <v>9.41</v>
      </c>
      <c r="I166" s="357">
        <v>9.2899999999999991</v>
      </c>
    </row>
    <row r="167" spans="1:9" ht="14.5">
      <c r="A167" s="38" t="s">
        <v>450</v>
      </c>
      <c r="B167" s="38" t="s">
        <v>451</v>
      </c>
      <c r="C167" s="358">
        <v>7.53</v>
      </c>
      <c r="D167" s="358">
        <v>8.98</v>
      </c>
      <c r="E167" s="358">
        <v>10.199999999999999</v>
      </c>
      <c r="F167" s="358">
        <v>9.43</v>
      </c>
      <c r="G167" s="358">
        <v>8.98</v>
      </c>
      <c r="H167" s="356">
        <v>8.6999999999999993</v>
      </c>
      <c r="I167" s="357">
        <v>9.6199999999999992</v>
      </c>
    </row>
    <row r="168" spans="1:9" ht="14.5">
      <c r="A168" s="38" t="s">
        <v>452</v>
      </c>
      <c r="B168" s="38" t="s">
        <v>453</v>
      </c>
      <c r="C168" s="358">
        <v>11.23</v>
      </c>
      <c r="D168" s="358">
        <v>12.61</v>
      </c>
      <c r="E168" s="358">
        <v>12.6</v>
      </c>
      <c r="F168" s="358">
        <v>12.68</v>
      </c>
      <c r="G168" s="358">
        <v>12.84</v>
      </c>
      <c r="H168" s="356">
        <v>12.48</v>
      </c>
      <c r="I168" s="357">
        <v>13.39</v>
      </c>
    </row>
    <row r="169" spans="1:9" ht="14.5">
      <c r="A169" s="38" t="s">
        <v>454</v>
      </c>
      <c r="B169" s="38" t="s">
        <v>455</v>
      </c>
      <c r="C169" s="358">
        <v>5.01</v>
      </c>
      <c r="D169" s="358">
        <v>5.09</v>
      </c>
      <c r="E169" s="358">
        <v>4.88</v>
      </c>
      <c r="F169" s="358">
        <v>5.28</v>
      </c>
      <c r="G169" s="358">
        <v>5.15</v>
      </c>
      <c r="H169" s="356">
        <v>4.96</v>
      </c>
      <c r="I169" s="357">
        <v>5.12</v>
      </c>
    </row>
    <row r="170" spans="1:9" ht="14.5">
      <c r="A170" s="38" t="s">
        <v>456</v>
      </c>
      <c r="B170" s="38" t="s">
        <v>457</v>
      </c>
      <c r="C170" s="358">
        <v>7.74</v>
      </c>
      <c r="D170" s="358">
        <v>7.63</v>
      </c>
      <c r="E170" s="358">
        <v>8.66</v>
      </c>
      <c r="F170" s="358">
        <v>8.7899999999999991</v>
      </c>
      <c r="G170" s="358">
        <v>8.32</v>
      </c>
      <c r="H170" s="356">
        <v>8.75</v>
      </c>
      <c r="I170" s="357">
        <v>9.7899999999999991</v>
      </c>
    </row>
    <row r="171" spans="1:9" ht="14.5">
      <c r="A171" s="38" t="s">
        <v>458</v>
      </c>
      <c r="B171" s="38" t="s">
        <v>459</v>
      </c>
      <c r="C171" s="358">
        <v>12.27</v>
      </c>
      <c r="D171" s="358">
        <v>13.96</v>
      </c>
      <c r="E171" s="358">
        <v>14.37</v>
      </c>
      <c r="F171" s="358">
        <v>14.57</v>
      </c>
      <c r="G171" s="358">
        <v>13.36</v>
      </c>
      <c r="H171" s="356">
        <v>14.85</v>
      </c>
      <c r="I171" s="357">
        <v>13.84</v>
      </c>
    </row>
    <row r="172" spans="1:9" ht="14.5">
      <c r="A172" s="38" t="s">
        <v>460</v>
      </c>
      <c r="B172" s="38" t="s">
        <v>461</v>
      </c>
      <c r="C172" s="358">
        <v>10.56</v>
      </c>
      <c r="D172" s="358">
        <v>11.18</v>
      </c>
      <c r="E172" s="358">
        <v>11.9</v>
      </c>
      <c r="F172" s="358">
        <v>11.51</v>
      </c>
      <c r="G172" s="358">
        <v>11.17</v>
      </c>
      <c r="H172" s="356">
        <v>10.7</v>
      </c>
      <c r="I172" s="357">
        <v>12.52</v>
      </c>
    </row>
    <row r="173" spans="1:9" ht="14.5">
      <c r="A173" s="38" t="s">
        <v>462</v>
      </c>
      <c r="B173" s="38" t="s">
        <v>463</v>
      </c>
      <c r="C173" s="358">
        <v>6.71</v>
      </c>
      <c r="D173" s="358">
        <v>6.73</v>
      </c>
      <c r="E173" s="358">
        <v>7.28</v>
      </c>
      <c r="F173" s="358">
        <v>7.77</v>
      </c>
      <c r="G173" s="358">
        <v>8.1199999999999992</v>
      </c>
      <c r="H173" s="356">
        <v>7.29</v>
      </c>
      <c r="I173" s="357">
        <v>7.99</v>
      </c>
    </row>
    <row r="174" spans="1:9" ht="14.5">
      <c r="A174" s="38" t="s">
        <v>464</v>
      </c>
      <c r="B174" s="38" t="s">
        <v>465</v>
      </c>
      <c r="C174" s="358">
        <v>5.55</v>
      </c>
      <c r="D174" s="358">
        <v>5.78</v>
      </c>
      <c r="E174" s="358">
        <v>5.47</v>
      </c>
      <c r="F174" s="358">
        <v>5.75</v>
      </c>
      <c r="G174" s="358">
        <v>5.71</v>
      </c>
      <c r="H174" s="356">
        <v>5.55</v>
      </c>
      <c r="I174" s="357">
        <v>5.9</v>
      </c>
    </row>
    <row r="175" spans="1:9" ht="14.5">
      <c r="A175" s="38" t="s">
        <v>466</v>
      </c>
      <c r="B175" s="38" t="s">
        <v>467</v>
      </c>
      <c r="C175" s="358">
        <v>6.34</v>
      </c>
      <c r="D175" s="358">
        <v>6.05</v>
      </c>
      <c r="E175" s="358">
        <v>5.51</v>
      </c>
      <c r="F175" s="358">
        <v>5.83</v>
      </c>
      <c r="G175" s="358">
        <v>6.18</v>
      </c>
      <c r="H175" s="356">
        <v>6.02</v>
      </c>
      <c r="I175" s="357">
        <v>6.38</v>
      </c>
    </row>
    <row r="176" spans="1:9" ht="14.5">
      <c r="A176" s="38" t="s">
        <v>468</v>
      </c>
      <c r="B176" s="38" t="s">
        <v>469</v>
      </c>
      <c r="C176" s="358">
        <v>10.130000000000001</v>
      </c>
      <c r="D176" s="358">
        <v>11.06</v>
      </c>
      <c r="E176" s="358">
        <v>12.67</v>
      </c>
      <c r="F176" s="358">
        <v>13.49</v>
      </c>
      <c r="G176" s="358">
        <v>12.31</v>
      </c>
      <c r="H176" s="356">
        <v>12.1</v>
      </c>
      <c r="I176" s="357">
        <v>11.72</v>
      </c>
    </row>
    <row r="177" spans="1:9" ht="14.5">
      <c r="A177" s="38" t="s">
        <v>470</v>
      </c>
      <c r="B177" s="38" t="s">
        <v>471</v>
      </c>
      <c r="C177" s="358">
        <v>9.59</v>
      </c>
      <c r="D177" s="358">
        <v>9.76</v>
      </c>
      <c r="E177" s="358">
        <v>10.02</v>
      </c>
      <c r="F177" s="358">
        <v>9.85</v>
      </c>
      <c r="G177" s="358">
        <v>10.28</v>
      </c>
      <c r="H177" s="356">
        <v>10.17</v>
      </c>
      <c r="I177" s="357">
        <v>10.46</v>
      </c>
    </row>
    <row r="178" spans="1:9" ht="14.5">
      <c r="A178" s="38" t="s">
        <v>472</v>
      </c>
      <c r="B178" s="38" t="s">
        <v>473</v>
      </c>
      <c r="C178" s="358">
        <v>7.72</v>
      </c>
      <c r="D178" s="358">
        <v>7.41</v>
      </c>
      <c r="E178" s="358">
        <v>7.31</v>
      </c>
      <c r="F178" s="358">
        <v>6.44</v>
      </c>
      <c r="G178" s="358">
        <v>7.17</v>
      </c>
      <c r="H178" s="356">
        <v>7.5</v>
      </c>
      <c r="I178" s="357">
        <v>8.1199999999999992</v>
      </c>
    </row>
    <row r="179" spans="1:9" ht="14.5">
      <c r="A179" s="38" t="s">
        <v>474</v>
      </c>
      <c r="B179" s="38" t="s">
        <v>475</v>
      </c>
      <c r="C179" s="358">
        <v>4.91</v>
      </c>
      <c r="D179" s="358">
        <v>4.96</v>
      </c>
      <c r="E179" s="358">
        <v>5.79</v>
      </c>
      <c r="F179" s="358">
        <v>5.65</v>
      </c>
      <c r="G179" s="358">
        <v>5.25</v>
      </c>
      <c r="H179" s="356">
        <v>5.21</v>
      </c>
      <c r="I179" s="357">
        <v>5.53</v>
      </c>
    </row>
    <row r="180" spans="1:9" ht="14.5">
      <c r="A180" s="38" t="s">
        <v>476</v>
      </c>
      <c r="B180" s="38" t="s">
        <v>477</v>
      </c>
      <c r="C180" s="358">
        <v>8.98</v>
      </c>
      <c r="D180" s="358">
        <v>10.49</v>
      </c>
      <c r="E180" s="358">
        <v>10.31</v>
      </c>
      <c r="F180" s="358">
        <v>10.83</v>
      </c>
      <c r="G180" s="358">
        <v>10.199999999999999</v>
      </c>
      <c r="H180" s="356">
        <v>11.06</v>
      </c>
      <c r="I180" s="357">
        <v>11.22</v>
      </c>
    </row>
    <row r="181" spans="1:9" ht="14.5">
      <c r="A181" s="38" t="s">
        <v>478</v>
      </c>
      <c r="B181" s="38" t="s">
        <v>479</v>
      </c>
      <c r="C181" s="358">
        <v>7.25</v>
      </c>
      <c r="D181" s="358">
        <v>7.53</v>
      </c>
      <c r="E181" s="358">
        <v>7.46</v>
      </c>
      <c r="F181" s="358">
        <v>7.39</v>
      </c>
      <c r="G181" s="358">
        <v>7.52</v>
      </c>
      <c r="H181" s="356">
        <v>6.89</v>
      </c>
      <c r="I181" s="357">
        <v>8.16</v>
      </c>
    </row>
    <row r="182" spans="1:9" ht="14.5">
      <c r="A182" s="38" t="s">
        <v>480</v>
      </c>
      <c r="B182" s="38" t="s">
        <v>481</v>
      </c>
      <c r="C182" s="358">
        <v>4.49</v>
      </c>
      <c r="D182" s="358">
        <v>4.4800000000000004</v>
      </c>
      <c r="E182" s="358">
        <v>4.82</v>
      </c>
      <c r="F182" s="358">
        <v>4.7699999999999996</v>
      </c>
      <c r="G182" s="358">
        <v>4.92</v>
      </c>
      <c r="H182" s="356">
        <v>4.74</v>
      </c>
      <c r="I182" s="357">
        <v>5.42</v>
      </c>
    </row>
    <row r="183" spans="1:9" ht="14.5">
      <c r="A183" s="38" t="s">
        <v>482</v>
      </c>
      <c r="B183" s="38" t="s">
        <v>483</v>
      </c>
      <c r="C183" s="358">
        <v>8.27</v>
      </c>
      <c r="D183" s="358">
        <v>8.68</v>
      </c>
      <c r="E183" s="358">
        <v>9.6</v>
      </c>
      <c r="F183" s="358">
        <v>9.82</v>
      </c>
      <c r="G183" s="358">
        <v>9.8699999999999992</v>
      </c>
      <c r="H183" s="356">
        <v>9.14</v>
      </c>
      <c r="I183" s="357">
        <v>11.44</v>
      </c>
    </row>
    <row r="184" spans="1:9" ht="14.5">
      <c r="A184" s="38" t="s">
        <v>852</v>
      </c>
      <c r="B184" s="353" t="s">
        <v>853</v>
      </c>
      <c r="C184" s="356">
        <v>6.61</v>
      </c>
      <c r="D184" s="356">
        <v>6.99</v>
      </c>
      <c r="E184" s="356">
        <v>7.28</v>
      </c>
      <c r="F184" s="356">
        <v>7.6</v>
      </c>
      <c r="G184" s="356">
        <v>7.67</v>
      </c>
      <c r="H184" s="356">
        <v>7.34</v>
      </c>
      <c r="I184" s="357">
        <v>8.1</v>
      </c>
    </row>
    <row r="185" spans="1:9" ht="14.5">
      <c r="A185" s="38" t="s">
        <v>484</v>
      </c>
      <c r="B185" s="38" t="s">
        <v>485</v>
      </c>
      <c r="C185" s="358">
        <v>8.1300000000000008</v>
      </c>
      <c r="D185" s="358">
        <v>8.35</v>
      </c>
      <c r="E185" s="358">
        <v>8.98</v>
      </c>
      <c r="F185" s="358">
        <v>9.65</v>
      </c>
      <c r="G185" s="358">
        <v>9.66</v>
      </c>
      <c r="H185" s="356">
        <v>9.5</v>
      </c>
      <c r="I185" s="357">
        <v>10.58</v>
      </c>
    </row>
    <row r="186" spans="1:9" ht="14.5">
      <c r="A186" s="38" t="s">
        <v>486</v>
      </c>
      <c r="B186" s="38" t="s">
        <v>487</v>
      </c>
      <c r="C186" s="358">
        <v>6.06</v>
      </c>
      <c r="D186" s="358">
        <v>6.12</v>
      </c>
      <c r="E186" s="358">
        <v>6.3</v>
      </c>
      <c r="F186" s="358">
        <v>6.12</v>
      </c>
      <c r="G186" s="358">
        <v>6.03</v>
      </c>
      <c r="H186" s="356">
        <v>6.19</v>
      </c>
      <c r="I186" s="357">
        <v>6.53</v>
      </c>
    </row>
    <row r="187" spans="1:9" ht="14.5">
      <c r="A187" s="38" t="s">
        <v>488</v>
      </c>
      <c r="B187" s="38" t="s">
        <v>489</v>
      </c>
      <c r="C187" s="358">
        <v>7.58</v>
      </c>
      <c r="D187" s="358">
        <v>6.69</v>
      </c>
      <c r="E187" s="358">
        <v>7.03</v>
      </c>
      <c r="F187" s="358">
        <v>7.24</v>
      </c>
      <c r="G187" s="358">
        <v>7.29</v>
      </c>
      <c r="H187" s="356">
        <v>7.49</v>
      </c>
      <c r="I187" s="357">
        <v>8.23</v>
      </c>
    </row>
    <row r="188" spans="1:9" ht="14.5">
      <c r="A188" s="38" t="s">
        <v>490</v>
      </c>
      <c r="B188" s="38" t="s">
        <v>491</v>
      </c>
      <c r="C188" s="358">
        <v>7.17</v>
      </c>
      <c r="D188" s="358">
        <v>6.93</v>
      </c>
      <c r="E188" s="358">
        <v>7.38</v>
      </c>
      <c r="F188" s="358">
        <v>7.89</v>
      </c>
      <c r="G188" s="358">
        <v>7.19</v>
      </c>
      <c r="H188" s="356">
        <v>7.78</v>
      </c>
      <c r="I188" s="357">
        <v>7.99</v>
      </c>
    </row>
    <row r="189" spans="1:9" ht="14.5">
      <c r="A189" s="38" t="s">
        <v>492</v>
      </c>
      <c r="B189" s="38" t="s">
        <v>493</v>
      </c>
      <c r="C189" s="361">
        <v>6.69</v>
      </c>
      <c r="D189" s="361">
        <v>6.84</v>
      </c>
      <c r="E189" s="361">
        <v>7.28</v>
      </c>
      <c r="F189" s="361">
        <v>7.6</v>
      </c>
      <c r="G189" s="361">
        <v>7.01</v>
      </c>
      <c r="H189" s="362">
        <v>7</v>
      </c>
      <c r="I189" s="362"/>
    </row>
    <row r="190" spans="1:9" ht="14.5">
      <c r="A190" s="38" t="s">
        <v>494</v>
      </c>
      <c r="B190" s="38" t="s">
        <v>495</v>
      </c>
      <c r="C190" s="358">
        <v>6.5</v>
      </c>
      <c r="D190" s="358">
        <v>6.26</v>
      </c>
      <c r="E190" s="358">
        <v>6.42</v>
      </c>
      <c r="F190" s="358">
        <v>6.59</v>
      </c>
      <c r="G190" s="358">
        <v>6.56</v>
      </c>
      <c r="H190" s="356">
        <v>6.18</v>
      </c>
      <c r="I190" s="357">
        <v>6.77</v>
      </c>
    </row>
    <row r="191" spans="1:9" ht="14.5">
      <c r="A191" s="38" t="s">
        <v>496</v>
      </c>
      <c r="B191" s="38" t="s">
        <v>497</v>
      </c>
      <c r="C191" s="358">
        <v>6.54</v>
      </c>
      <c r="D191" s="358">
        <v>6.24</v>
      </c>
      <c r="E191" s="358">
        <v>6.93</v>
      </c>
      <c r="F191" s="358">
        <v>7.01</v>
      </c>
      <c r="G191" s="358">
        <v>7</v>
      </c>
      <c r="H191" s="356">
        <v>6.93</v>
      </c>
      <c r="I191" s="357">
        <v>7.12</v>
      </c>
    </row>
    <row r="192" spans="1:9" ht="14.5">
      <c r="A192" s="38" t="s">
        <v>498</v>
      </c>
      <c r="B192" s="38" t="s">
        <v>499</v>
      </c>
      <c r="C192" s="358">
        <v>4.33</v>
      </c>
      <c r="D192" s="358">
        <v>4.5999999999999996</v>
      </c>
      <c r="E192" s="358">
        <v>4.9800000000000004</v>
      </c>
      <c r="F192" s="358">
        <v>5.13</v>
      </c>
      <c r="G192" s="358">
        <v>4.91</v>
      </c>
      <c r="H192" s="356">
        <v>5.2</v>
      </c>
      <c r="I192" s="357">
        <v>5.81</v>
      </c>
    </row>
    <row r="193" spans="1:9" ht="14.5">
      <c r="A193" s="38" t="s">
        <v>500</v>
      </c>
      <c r="B193" s="38" t="s">
        <v>501</v>
      </c>
      <c r="C193" s="358">
        <v>6.14</v>
      </c>
      <c r="D193" s="358">
        <v>6.25</v>
      </c>
      <c r="E193" s="358">
        <v>6.74</v>
      </c>
      <c r="F193" s="358">
        <v>6.63</v>
      </c>
      <c r="G193" s="358">
        <v>7.17</v>
      </c>
      <c r="H193" s="356">
        <v>7.41</v>
      </c>
      <c r="I193" s="357">
        <v>7.73</v>
      </c>
    </row>
    <row r="194" spans="1:9" ht="14.5">
      <c r="A194" s="38" t="s">
        <v>502</v>
      </c>
      <c r="B194" s="38" t="s">
        <v>503</v>
      </c>
      <c r="C194" s="358">
        <v>7.41</v>
      </c>
      <c r="D194" s="358">
        <v>7.7</v>
      </c>
      <c r="E194" s="358">
        <v>7.82</v>
      </c>
      <c r="F194" s="358">
        <v>8.16</v>
      </c>
      <c r="G194" s="358">
        <v>8.89</v>
      </c>
      <c r="H194" s="356">
        <v>9.6300000000000008</v>
      </c>
      <c r="I194" s="357">
        <v>10.14</v>
      </c>
    </row>
    <row r="195" spans="1:9" ht="14.5">
      <c r="A195" s="38" t="s">
        <v>504</v>
      </c>
      <c r="B195" s="38" t="s">
        <v>505</v>
      </c>
      <c r="C195" s="358">
        <v>5.18</v>
      </c>
      <c r="D195" s="358">
        <v>5.31</v>
      </c>
      <c r="E195" s="358">
        <v>5.59</v>
      </c>
      <c r="F195" s="358">
        <v>5.1100000000000003</v>
      </c>
      <c r="G195" s="358">
        <v>5.36</v>
      </c>
      <c r="H195" s="356">
        <v>5.07</v>
      </c>
      <c r="I195" s="357">
        <v>5.99</v>
      </c>
    </row>
    <row r="196" spans="1:9" ht="14.5">
      <c r="A196" s="38" t="s">
        <v>506</v>
      </c>
      <c r="B196" s="38" t="s">
        <v>507</v>
      </c>
      <c r="C196" s="358">
        <v>10.91</v>
      </c>
      <c r="D196" s="358">
        <v>11.64</v>
      </c>
      <c r="E196" s="358">
        <v>12.17</v>
      </c>
      <c r="F196" s="358">
        <v>11.08</v>
      </c>
      <c r="G196" s="358">
        <v>11.31</v>
      </c>
      <c r="H196" s="356">
        <v>11.19</v>
      </c>
      <c r="I196" s="357">
        <v>12.05</v>
      </c>
    </row>
    <row r="197" spans="1:9" ht="14.5">
      <c r="A197" s="38" t="s">
        <v>508</v>
      </c>
      <c r="B197" s="38" t="s">
        <v>509</v>
      </c>
      <c r="C197" s="358">
        <v>3.83</v>
      </c>
      <c r="D197" s="358">
        <v>3.87</v>
      </c>
      <c r="E197" s="358">
        <v>4.04</v>
      </c>
      <c r="F197" s="358">
        <v>3.66</v>
      </c>
      <c r="G197" s="358">
        <v>4.41</v>
      </c>
      <c r="H197" s="356">
        <v>4.97</v>
      </c>
      <c r="I197" s="357">
        <v>5.34</v>
      </c>
    </row>
    <row r="198" spans="1:9" ht="14.5">
      <c r="A198" s="38" t="s">
        <v>510</v>
      </c>
      <c r="B198" s="38" t="s">
        <v>511</v>
      </c>
      <c r="C198" s="358">
        <v>5.76</v>
      </c>
      <c r="D198" s="358">
        <v>5.93</v>
      </c>
      <c r="E198" s="358">
        <v>6.67</v>
      </c>
      <c r="F198" s="358">
        <v>6.82</v>
      </c>
      <c r="G198" s="358">
        <v>6.78</v>
      </c>
      <c r="H198" s="356">
        <v>7.03</v>
      </c>
      <c r="I198" s="357">
        <v>7.34</v>
      </c>
    </row>
    <row r="199" spans="1:9" ht="14.5">
      <c r="A199" s="38" t="s">
        <v>512</v>
      </c>
      <c r="B199" s="38" t="s">
        <v>513</v>
      </c>
      <c r="C199" s="358">
        <v>5.9</v>
      </c>
      <c r="D199" s="358">
        <v>6.26</v>
      </c>
      <c r="E199" s="358">
        <v>6.05</v>
      </c>
      <c r="F199" s="358">
        <v>6.11</v>
      </c>
      <c r="G199" s="358">
        <v>6.44</v>
      </c>
      <c r="H199" s="356">
        <v>6.14</v>
      </c>
      <c r="I199" s="357">
        <v>7.27</v>
      </c>
    </row>
    <row r="200" spans="1:9" ht="14.5">
      <c r="A200" s="38" t="s">
        <v>514</v>
      </c>
      <c r="B200" s="38" t="s">
        <v>515</v>
      </c>
      <c r="C200" s="358">
        <v>6.1</v>
      </c>
      <c r="D200" s="358">
        <v>6.45</v>
      </c>
      <c r="E200" s="358">
        <v>7.08</v>
      </c>
      <c r="F200" s="358">
        <v>7.1</v>
      </c>
      <c r="G200" s="358">
        <v>6.78</v>
      </c>
      <c r="H200" s="356">
        <v>6.63</v>
      </c>
      <c r="I200" s="357">
        <v>7.54</v>
      </c>
    </row>
    <row r="201" spans="1:9" ht="14.5">
      <c r="A201" s="38" t="s">
        <v>516</v>
      </c>
      <c r="B201" s="38" t="s">
        <v>517</v>
      </c>
      <c r="C201" s="358">
        <v>5.08</v>
      </c>
      <c r="D201" s="358">
        <v>4.9000000000000004</v>
      </c>
      <c r="E201" s="358">
        <v>5.39</v>
      </c>
      <c r="F201" s="358">
        <v>5.21</v>
      </c>
      <c r="G201" s="358">
        <v>5.31</v>
      </c>
      <c r="H201" s="356">
        <v>5.59</v>
      </c>
      <c r="I201" s="357">
        <v>5.54</v>
      </c>
    </row>
    <row r="202" spans="1:9" ht="14.5">
      <c r="A202" s="38" t="s">
        <v>518</v>
      </c>
      <c r="B202" s="38" t="s">
        <v>519</v>
      </c>
      <c r="C202" s="358">
        <v>7.82</v>
      </c>
      <c r="D202" s="358">
        <v>8.39</v>
      </c>
      <c r="E202" s="358">
        <v>8.17</v>
      </c>
      <c r="F202" s="358">
        <v>8.52</v>
      </c>
      <c r="G202" s="358">
        <v>8.98</v>
      </c>
      <c r="H202" s="356">
        <v>8.82</v>
      </c>
      <c r="I202" s="357">
        <v>9.42</v>
      </c>
    </row>
    <row r="203" spans="1:9" ht="14.5">
      <c r="A203" s="38" t="s">
        <v>520</v>
      </c>
      <c r="B203" s="38" t="s">
        <v>521</v>
      </c>
      <c r="C203" s="358">
        <v>11.68</v>
      </c>
      <c r="D203" s="358">
        <v>13.46</v>
      </c>
      <c r="E203" s="358">
        <v>14.22</v>
      </c>
      <c r="F203" s="358">
        <v>15.74</v>
      </c>
      <c r="G203" s="358">
        <v>14.22</v>
      </c>
      <c r="H203" s="356">
        <v>13.22</v>
      </c>
      <c r="I203" s="357">
        <v>15.84</v>
      </c>
    </row>
    <row r="204" spans="1:9" ht="14.5">
      <c r="A204" s="38" t="s">
        <v>522</v>
      </c>
      <c r="B204" s="38" t="s">
        <v>523</v>
      </c>
      <c r="C204" s="358">
        <v>4.67</v>
      </c>
      <c r="D204" s="358">
        <v>5.31</v>
      </c>
      <c r="E204" s="358">
        <v>5.1100000000000003</v>
      </c>
      <c r="F204" s="358">
        <v>5.12</v>
      </c>
      <c r="G204" s="358">
        <v>5.03</v>
      </c>
      <c r="H204" s="356">
        <v>5.09</v>
      </c>
      <c r="I204" s="357">
        <v>5.61</v>
      </c>
    </row>
    <row r="205" spans="1:9" ht="14.5">
      <c r="A205" s="38" t="s">
        <v>524</v>
      </c>
      <c r="B205" s="38" t="s">
        <v>525</v>
      </c>
      <c r="C205" s="358">
        <v>7.32</v>
      </c>
      <c r="D205" s="358">
        <v>7.15</v>
      </c>
      <c r="E205" s="358">
        <v>7.67</v>
      </c>
      <c r="F205" s="358">
        <v>8.25</v>
      </c>
      <c r="G205" s="358">
        <v>8.44</v>
      </c>
      <c r="H205" s="356">
        <v>8.11</v>
      </c>
      <c r="I205" s="357">
        <v>7.57</v>
      </c>
    </row>
    <row r="206" spans="1:9" ht="14.5">
      <c r="A206" s="38" t="s">
        <v>526</v>
      </c>
      <c r="B206" s="38" t="s">
        <v>527</v>
      </c>
      <c r="C206" s="358">
        <v>10.56</v>
      </c>
      <c r="D206" s="358">
        <v>11.51</v>
      </c>
      <c r="E206" s="358">
        <v>11.48</v>
      </c>
      <c r="F206" s="358">
        <v>12.33</v>
      </c>
      <c r="G206" s="358">
        <v>12.26</v>
      </c>
      <c r="H206" s="356">
        <v>12.17</v>
      </c>
      <c r="I206" s="357">
        <v>13.58</v>
      </c>
    </row>
    <row r="207" spans="1:9" ht="14.5">
      <c r="A207" s="38" t="s">
        <v>528</v>
      </c>
      <c r="B207" s="38" t="s">
        <v>529</v>
      </c>
      <c r="C207" s="358">
        <v>6.57</v>
      </c>
      <c r="D207" s="358">
        <v>7.59</v>
      </c>
      <c r="E207" s="358">
        <v>6.76</v>
      </c>
      <c r="F207" s="358">
        <v>7.11</v>
      </c>
      <c r="G207" s="358">
        <v>7.06</v>
      </c>
      <c r="H207" s="356">
        <v>6.08</v>
      </c>
      <c r="I207" s="357">
        <v>6.43</v>
      </c>
    </row>
    <row r="208" spans="1:9" ht="14.5">
      <c r="A208" s="38" t="s">
        <v>530</v>
      </c>
      <c r="B208" s="38" t="s">
        <v>531</v>
      </c>
      <c r="C208" s="358">
        <v>17.3</v>
      </c>
      <c r="D208" s="358">
        <v>18.149999999999999</v>
      </c>
      <c r="E208" s="358">
        <v>19.91</v>
      </c>
      <c r="F208" s="358">
        <v>18.510000000000002</v>
      </c>
      <c r="G208" s="358">
        <v>17.940000000000001</v>
      </c>
      <c r="H208" s="356">
        <v>18.829999999999998</v>
      </c>
      <c r="I208" s="357">
        <v>19.62</v>
      </c>
    </row>
    <row r="209" spans="1:9" ht="14.5">
      <c r="A209" s="38" t="s">
        <v>532</v>
      </c>
      <c r="B209" s="38" t="s">
        <v>533</v>
      </c>
      <c r="C209" s="358">
        <v>8.1</v>
      </c>
      <c r="D209" s="358">
        <v>7.4</v>
      </c>
      <c r="E209" s="358">
        <v>7.25</v>
      </c>
      <c r="F209" s="358">
        <v>7.38</v>
      </c>
      <c r="G209" s="358">
        <v>7.41</v>
      </c>
      <c r="H209" s="356">
        <v>7.7</v>
      </c>
      <c r="I209" s="357">
        <v>8.4600000000000009</v>
      </c>
    </row>
    <row r="210" spans="1:9" ht="14.5">
      <c r="A210" s="38" t="s">
        <v>534</v>
      </c>
      <c r="B210" s="38" t="s">
        <v>535</v>
      </c>
      <c r="C210" s="358">
        <v>5.55</v>
      </c>
      <c r="D210" s="358">
        <v>5.46</v>
      </c>
      <c r="E210" s="358">
        <v>5.63</v>
      </c>
      <c r="F210" s="358">
        <v>5.53</v>
      </c>
      <c r="G210" s="358">
        <v>5.58</v>
      </c>
      <c r="H210" s="356">
        <v>5.58</v>
      </c>
      <c r="I210" s="357">
        <v>6.23</v>
      </c>
    </row>
    <row r="211" spans="1:9" ht="14.5">
      <c r="A211" s="38" t="s">
        <v>536</v>
      </c>
      <c r="B211" s="38" t="s">
        <v>537</v>
      </c>
      <c r="C211" s="358">
        <v>9.7100000000000009</v>
      </c>
      <c r="D211" s="358">
        <v>12.32</v>
      </c>
      <c r="E211" s="358">
        <v>11.91</v>
      </c>
      <c r="F211" s="358">
        <v>11.92</v>
      </c>
      <c r="G211" s="358">
        <v>10.39</v>
      </c>
      <c r="H211" s="356">
        <v>11.72</v>
      </c>
      <c r="I211" s="357">
        <v>12.22</v>
      </c>
    </row>
    <row r="212" spans="1:9" ht="14.5">
      <c r="A212" s="38" t="s">
        <v>538</v>
      </c>
      <c r="B212" s="38" t="s">
        <v>539</v>
      </c>
      <c r="C212" s="358">
        <v>5.78</v>
      </c>
      <c r="D212" s="358">
        <v>6.27</v>
      </c>
      <c r="E212" s="358">
        <v>6.43</v>
      </c>
      <c r="F212" s="358">
        <v>5.88</v>
      </c>
      <c r="G212" s="358">
        <v>5.63</v>
      </c>
      <c r="H212" s="356">
        <v>5.78</v>
      </c>
      <c r="I212" s="357">
        <v>7.12</v>
      </c>
    </row>
    <row r="213" spans="1:9" ht="14.5">
      <c r="A213" s="38" t="s">
        <v>540</v>
      </c>
      <c r="B213" s="38" t="s">
        <v>541</v>
      </c>
      <c r="C213" s="358">
        <v>11.35</v>
      </c>
      <c r="D213" s="358">
        <v>11.93</v>
      </c>
      <c r="E213" s="358">
        <v>11.19</v>
      </c>
      <c r="F213" s="358">
        <v>12.74</v>
      </c>
      <c r="G213" s="358">
        <v>12.31</v>
      </c>
      <c r="H213" s="356">
        <v>12.82</v>
      </c>
      <c r="I213" s="357">
        <v>13.82</v>
      </c>
    </row>
    <row r="214" spans="1:9" ht="14.5">
      <c r="A214" s="38" t="s">
        <v>542</v>
      </c>
      <c r="B214" s="38" t="s">
        <v>543</v>
      </c>
      <c r="C214" s="358">
        <v>5.08</v>
      </c>
      <c r="D214" s="358">
        <v>5.35</v>
      </c>
      <c r="E214" s="358">
        <v>5.22</v>
      </c>
      <c r="F214" s="358">
        <v>5.41</v>
      </c>
      <c r="G214" s="358">
        <v>5.32</v>
      </c>
      <c r="H214" s="356">
        <v>5.19</v>
      </c>
      <c r="I214" s="357">
        <v>5.71</v>
      </c>
    </row>
    <row r="215" spans="1:9" ht="14.5">
      <c r="A215" s="38" t="s">
        <v>544</v>
      </c>
      <c r="B215" s="38" t="s">
        <v>545</v>
      </c>
      <c r="C215" s="358">
        <v>6.15</v>
      </c>
      <c r="D215" s="358">
        <v>6.5</v>
      </c>
      <c r="E215" s="358">
        <v>6.74</v>
      </c>
      <c r="F215" s="358">
        <v>7.73</v>
      </c>
      <c r="G215" s="358">
        <v>7.71</v>
      </c>
      <c r="H215" s="356">
        <v>7.34</v>
      </c>
      <c r="I215" s="357">
        <v>7.47</v>
      </c>
    </row>
    <row r="216" spans="1:9" ht="14.5">
      <c r="A216" s="38" t="s">
        <v>546</v>
      </c>
      <c r="B216" s="38" t="s">
        <v>547</v>
      </c>
      <c r="C216" s="358">
        <v>9.2200000000000006</v>
      </c>
      <c r="D216" s="358">
        <v>10.49</v>
      </c>
      <c r="E216" s="358">
        <v>10.78</v>
      </c>
      <c r="F216" s="358">
        <v>10.91</v>
      </c>
      <c r="G216" s="358">
        <v>9.75</v>
      </c>
      <c r="H216" s="356">
        <v>10.26</v>
      </c>
      <c r="I216" s="357">
        <v>10.39</v>
      </c>
    </row>
    <row r="217" spans="1:9" ht="14.5">
      <c r="A217" s="38" t="s">
        <v>548</v>
      </c>
      <c r="B217" s="38" t="s">
        <v>549</v>
      </c>
      <c r="C217" s="358">
        <v>8.3800000000000008</v>
      </c>
      <c r="D217" s="358">
        <v>9.08</v>
      </c>
      <c r="E217" s="358">
        <v>9.94</v>
      </c>
      <c r="F217" s="358">
        <v>8.98</v>
      </c>
      <c r="G217" s="358">
        <v>9.2200000000000006</v>
      </c>
      <c r="H217" s="356">
        <v>9.43</v>
      </c>
      <c r="I217" s="357">
        <v>10.31</v>
      </c>
    </row>
    <row r="218" spans="1:9" ht="14.5">
      <c r="A218" s="38" t="s">
        <v>550</v>
      </c>
      <c r="B218" s="38" t="s">
        <v>551</v>
      </c>
      <c r="C218" s="358">
        <v>7.7</v>
      </c>
      <c r="D218" s="358">
        <v>9.42</v>
      </c>
      <c r="E218" s="358">
        <v>9.19</v>
      </c>
      <c r="F218" s="358">
        <v>8.18</v>
      </c>
      <c r="G218" s="358">
        <v>8.11</v>
      </c>
      <c r="H218" s="356">
        <v>8.48</v>
      </c>
      <c r="I218" s="357">
        <v>9.74</v>
      </c>
    </row>
    <row r="219" spans="1:9" ht="14.5">
      <c r="A219" s="38" t="s">
        <v>552</v>
      </c>
      <c r="B219" s="38" t="s">
        <v>553</v>
      </c>
      <c r="C219" s="358">
        <v>10.34</v>
      </c>
      <c r="D219" s="358">
        <v>9.67</v>
      </c>
      <c r="E219" s="358">
        <v>9.7200000000000006</v>
      </c>
      <c r="F219" s="358">
        <v>9.91</v>
      </c>
      <c r="G219" s="358">
        <v>8.93</v>
      </c>
      <c r="H219" s="356">
        <v>10.23</v>
      </c>
      <c r="I219" s="357">
        <v>12.12</v>
      </c>
    </row>
    <row r="220" spans="1:9" ht="14.5">
      <c r="A220" s="38" t="s">
        <v>554</v>
      </c>
      <c r="B220" s="38" t="s">
        <v>555</v>
      </c>
      <c r="C220" s="358">
        <v>8.44</v>
      </c>
      <c r="D220" s="358">
        <v>8.9600000000000009</v>
      </c>
      <c r="E220" s="358">
        <v>8.9700000000000006</v>
      </c>
      <c r="F220" s="358">
        <v>9.36</v>
      </c>
      <c r="G220" s="358">
        <v>8.94</v>
      </c>
      <c r="H220" s="356">
        <v>9.43</v>
      </c>
      <c r="I220" s="357">
        <v>9.4700000000000006</v>
      </c>
    </row>
    <row r="221" spans="1:9" ht="14.5">
      <c r="A221" s="38" t="s">
        <v>556</v>
      </c>
      <c r="B221" s="38" t="s">
        <v>557</v>
      </c>
      <c r="C221" s="358">
        <v>4.5999999999999996</v>
      </c>
      <c r="D221" s="358">
        <v>5.09</v>
      </c>
      <c r="E221" s="358">
        <v>5.64</v>
      </c>
      <c r="F221" s="358">
        <v>5.84</v>
      </c>
      <c r="G221" s="358">
        <v>5.7</v>
      </c>
      <c r="H221" s="356">
        <v>5.62</v>
      </c>
      <c r="I221" s="357">
        <v>6.74</v>
      </c>
    </row>
    <row r="222" spans="1:9" ht="14.5">
      <c r="A222" s="38" t="s">
        <v>558</v>
      </c>
      <c r="B222" s="38" t="s">
        <v>559</v>
      </c>
      <c r="C222" s="358">
        <v>5.04</v>
      </c>
      <c r="D222" s="358">
        <v>5.34</v>
      </c>
      <c r="E222" s="358">
        <v>5.4</v>
      </c>
      <c r="F222" s="358">
        <v>5.68</v>
      </c>
      <c r="G222" s="358">
        <v>5.86</v>
      </c>
      <c r="H222" s="356">
        <v>5.61</v>
      </c>
      <c r="I222" s="357">
        <v>6.17</v>
      </c>
    </row>
    <row r="223" spans="1:9" ht="14.5">
      <c r="A223" s="38" t="s">
        <v>560</v>
      </c>
      <c r="B223" s="38" t="s">
        <v>561</v>
      </c>
      <c r="C223" s="358">
        <v>5.82</v>
      </c>
      <c r="D223" s="358">
        <v>5.91</v>
      </c>
      <c r="E223" s="358">
        <v>6.33</v>
      </c>
      <c r="F223" s="358">
        <v>6.66</v>
      </c>
      <c r="G223" s="358">
        <v>6.17</v>
      </c>
      <c r="H223" s="356">
        <v>6.39</v>
      </c>
      <c r="I223" s="357">
        <v>6.98</v>
      </c>
    </row>
    <row r="224" spans="1:9" ht="14.5">
      <c r="A224" s="38" t="s">
        <v>562</v>
      </c>
      <c r="B224" s="38" t="s">
        <v>563</v>
      </c>
      <c r="C224" s="358">
        <v>7.58</v>
      </c>
      <c r="D224" s="358">
        <v>8.4600000000000009</v>
      </c>
      <c r="E224" s="358">
        <v>8.8699999999999992</v>
      </c>
      <c r="F224" s="358">
        <v>9.0500000000000007</v>
      </c>
      <c r="G224" s="358">
        <v>8.76</v>
      </c>
      <c r="H224" s="356">
        <v>8.51</v>
      </c>
      <c r="I224" s="357">
        <v>9</v>
      </c>
    </row>
    <row r="225" spans="1:9" ht="14.5">
      <c r="A225" s="38" t="s">
        <v>564</v>
      </c>
      <c r="B225" s="38" t="s">
        <v>565</v>
      </c>
      <c r="C225" s="358">
        <v>6.19</v>
      </c>
      <c r="D225" s="358">
        <v>6.61</v>
      </c>
      <c r="E225" s="358">
        <v>6.56</v>
      </c>
      <c r="F225" s="358">
        <v>6.5</v>
      </c>
      <c r="G225" s="358">
        <v>6.56</v>
      </c>
      <c r="H225" s="356">
        <v>6.48</v>
      </c>
      <c r="I225" s="357">
        <v>6.78</v>
      </c>
    </row>
    <row r="226" spans="1:9" ht="14.5">
      <c r="A226" s="38" t="s">
        <v>566</v>
      </c>
      <c r="B226" s="38" t="s">
        <v>567</v>
      </c>
      <c r="C226" s="358">
        <v>5.97</v>
      </c>
      <c r="D226" s="358">
        <v>6.42</v>
      </c>
      <c r="E226" s="358">
        <v>6.77</v>
      </c>
      <c r="F226" s="358">
        <v>6.68</v>
      </c>
      <c r="G226" s="358">
        <v>6.72</v>
      </c>
      <c r="H226" s="356">
        <v>7.15</v>
      </c>
      <c r="I226" s="357">
        <v>7.07</v>
      </c>
    </row>
    <row r="227" spans="1:9" ht="14.5">
      <c r="A227" s="38" t="s">
        <v>568</v>
      </c>
      <c r="B227" s="38" t="s">
        <v>569</v>
      </c>
      <c r="C227" s="358">
        <v>13.86</v>
      </c>
      <c r="D227" s="358">
        <v>13.41</v>
      </c>
      <c r="E227" s="358">
        <v>14.73</v>
      </c>
      <c r="F227" s="358">
        <v>14.81</v>
      </c>
      <c r="G227" s="358">
        <v>13.32</v>
      </c>
      <c r="H227" s="356">
        <v>12.43</v>
      </c>
      <c r="I227" s="357">
        <v>14.47</v>
      </c>
    </row>
    <row r="228" spans="1:9" ht="14.5">
      <c r="A228" s="38" t="s">
        <v>570</v>
      </c>
      <c r="B228" s="38" t="s">
        <v>571</v>
      </c>
      <c r="C228" s="358">
        <v>5.28</v>
      </c>
      <c r="D228" s="358">
        <v>5.22</v>
      </c>
      <c r="E228" s="358">
        <v>5.52</v>
      </c>
      <c r="F228" s="358">
        <v>5.66</v>
      </c>
      <c r="G228" s="358">
        <v>5.65</v>
      </c>
      <c r="H228" s="356">
        <v>5.78</v>
      </c>
      <c r="I228" s="357">
        <v>6.14</v>
      </c>
    </row>
    <row r="229" spans="1:9" ht="14.5">
      <c r="A229" s="38" t="s">
        <v>572</v>
      </c>
      <c r="B229" s="38" t="s">
        <v>573</v>
      </c>
      <c r="C229" s="358">
        <v>7.62</v>
      </c>
      <c r="D229" s="358">
        <v>7.81</v>
      </c>
      <c r="E229" s="358">
        <v>8.52</v>
      </c>
      <c r="F229" s="358">
        <v>8.11</v>
      </c>
      <c r="G229" s="358">
        <v>8</v>
      </c>
      <c r="H229" s="356">
        <v>7.97</v>
      </c>
      <c r="I229" s="357">
        <v>9.0500000000000007</v>
      </c>
    </row>
    <row r="230" spans="1:9" ht="14.5">
      <c r="A230" s="38" t="s">
        <v>574</v>
      </c>
      <c r="B230" s="38" t="s">
        <v>575</v>
      </c>
      <c r="C230" s="358">
        <v>8.15</v>
      </c>
      <c r="D230" s="358">
        <v>8.82</v>
      </c>
      <c r="E230" s="358">
        <v>9.83</v>
      </c>
      <c r="F230" s="358">
        <v>9.58</v>
      </c>
      <c r="G230" s="358">
        <v>8.84</v>
      </c>
      <c r="H230" s="356">
        <v>9.34</v>
      </c>
      <c r="I230" s="357">
        <v>8.99</v>
      </c>
    </row>
    <row r="231" spans="1:9" ht="14.5">
      <c r="A231" s="38" t="s">
        <v>576</v>
      </c>
      <c r="B231" s="38" t="s">
        <v>577</v>
      </c>
      <c r="C231" s="358">
        <v>7.66</v>
      </c>
      <c r="D231" s="358">
        <v>7.54</v>
      </c>
      <c r="E231" s="358">
        <v>7.74</v>
      </c>
      <c r="F231" s="358">
        <v>7.62</v>
      </c>
      <c r="G231" s="358">
        <v>8.44</v>
      </c>
      <c r="H231" s="356">
        <v>9.25</v>
      </c>
      <c r="I231" s="357">
        <v>9.15</v>
      </c>
    </row>
    <row r="232" spans="1:9" ht="14.5">
      <c r="A232" s="38" t="s">
        <v>578</v>
      </c>
      <c r="B232" s="38" t="s">
        <v>579</v>
      </c>
      <c r="C232" s="358">
        <v>7.43</v>
      </c>
      <c r="D232" s="358">
        <v>7.98</v>
      </c>
      <c r="E232" s="358">
        <v>8.33</v>
      </c>
      <c r="F232" s="358">
        <v>8.4499999999999993</v>
      </c>
      <c r="G232" s="358">
        <v>7.92</v>
      </c>
      <c r="H232" s="356">
        <v>8.1300000000000008</v>
      </c>
      <c r="I232" s="357">
        <v>9.16</v>
      </c>
    </row>
    <row r="233" spans="1:9" ht="14.5">
      <c r="A233" s="38" t="s">
        <v>580</v>
      </c>
      <c r="B233" s="38" t="s">
        <v>581</v>
      </c>
      <c r="C233" s="358">
        <v>9.15</v>
      </c>
      <c r="D233" s="358">
        <v>10.25</v>
      </c>
      <c r="E233" s="358">
        <v>10.98</v>
      </c>
      <c r="F233" s="358">
        <v>10.34</v>
      </c>
      <c r="G233" s="358">
        <v>9.8000000000000007</v>
      </c>
      <c r="H233" s="356">
        <v>10.31</v>
      </c>
      <c r="I233" s="357">
        <v>10.55</v>
      </c>
    </row>
    <row r="234" spans="1:9" ht="14.5">
      <c r="A234" s="38" t="s">
        <v>582</v>
      </c>
      <c r="B234" s="38" t="s">
        <v>583</v>
      </c>
      <c r="C234" s="358">
        <v>6.45</v>
      </c>
      <c r="D234" s="358">
        <v>7.2</v>
      </c>
      <c r="E234" s="358">
        <v>7.45</v>
      </c>
      <c r="F234" s="358">
        <v>7.13</v>
      </c>
      <c r="G234" s="358">
        <v>7.29</v>
      </c>
      <c r="H234" s="356">
        <v>7.21</v>
      </c>
      <c r="I234" s="357">
        <v>7.35</v>
      </c>
    </row>
    <row r="235" spans="1:9" ht="14.5">
      <c r="A235" s="38" t="s">
        <v>584</v>
      </c>
      <c r="B235" s="38" t="s">
        <v>585</v>
      </c>
      <c r="C235" s="358">
        <v>7.45</v>
      </c>
      <c r="D235" s="358">
        <v>8.2899999999999991</v>
      </c>
      <c r="E235" s="358">
        <v>8.01</v>
      </c>
      <c r="F235" s="358">
        <v>8.19</v>
      </c>
      <c r="G235" s="358">
        <v>8.75</v>
      </c>
      <c r="H235" s="356">
        <v>8.18</v>
      </c>
      <c r="I235" s="357">
        <v>8.82</v>
      </c>
    </row>
    <row r="236" spans="1:9" ht="14.5">
      <c r="A236" s="38" t="s">
        <v>586</v>
      </c>
      <c r="B236" s="38" t="s">
        <v>587</v>
      </c>
      <c r="C236" s="358">
        <v>12.25</v>
      </c>
      <c r="D236" s="358">
        <v>12.06</v>
      </c>
      <c r="E236" s="358">
        <v>11.88</v>
      </c>
      <c r="F236" s="358">
        <v>11.71</v>
      </c>
      <c r="G236" s="358">
        <v>11.8</v>
      </c>
      <c r="H236" s="356">
        <v>11.58</v>
      </c>
      <c r="I236" s="357">
        <v>12.56</v>
      </c>
    </row>
    <row r="237" spans="1:9" ht="14.5">
      <c r="A237" s="38" t="s">
        <v>588</v>
      </c>
      <c r="B237" s="38" t="s">
        <v>589</v>
      </c>
      <c r="C237" s="358">
        <v>6.86</v>
      </c>
      <c r="D237" s="358">
        <v>6.95</v>
      </c>
      <c r="E237" s="358">
        <v>7.09</v>
      </c>
      <c r="F237" s="358">
        <v>7.77</v>
      </c>
      <c r="G237" s="358">
        <v>7.37</v>
      </c>
      <c r="H237" s="356">
        <v>7.31</v>
      </c>
      <c r="I237" s="357">
        <v>8.5299999999999994</v>
      </c>
    </row>
    <row r="238" spans="1:9" ht="14.5">
      <c r="A238" s="38" t="s">
        <v>590</v>
      </c>
      <c r="B238" s="38" t="s">
        <v>591</v>
      </c>
      <c r="C238" s="358">
        <v>7.69</v>
      </c>
      <c r="D238" s="358">
        <v>8.41</v>
      </c>
      <c r="E238" s="358">
        <v>8.76</v>
      </c>
      <c r="F238" s="358">
        <v>9.02</v>
      </c>
      <c r="G238" s="358">
        <v>8.52</v>
      </c>
      <c r="H238" s="356">
        <v>8.09</v>
      </c>
      <c r="I238" s="357">
        <v>9.01</v>
      </c>
    </row>
    <row r="239" spans="1:9" ht="14.5">
      <c r="A239" s="38" t="s">
        <v>592</v>
      </c>
      <c r="B239" s="38" t="s">
        <v>593</v>
      </c>
      <c r="C239" s="358">
        <v>9.11</v>
      </c>
      <c r="D239" s="358">
        <v>9.08</v>
      </c>
      <c r="E239" s="358">
        <v>9.7100000000000009</v>
      </c>
      <c r="F239" s="358">
        <v>8.32</v>
      </c>
      <c r="G239" s="358">
        <v>9.91</v>
      </c>
      <c r="H239" s="356">
        <v>10.1</v>
      </c>
      <c r="I239" s="357">
        <v>10.119999999999999</v>
      </c>
    </row>
    <row r="240" spans="1:9" ht="14.5">
      <c r="A240" s="38" t="s">
        <v>594</v>
      </c>
      <c r="B240" s="38" t="s">
        <v>595</v>
      </c>
      <c r="C240" s="358">
        <v>7.94</v>
      </c>
      <c r="D240" s="358">
        <v>8.35</v>
      </c>
      <c r="E240" s="358">
        <v>8.93</v>
      </c>
      <c r="F240" s="358">
        <v>8.74</v>
      </c>
      <c r="G240" s="358">
        <v>9.07</v>
      </c>
      <c r="H240" s="356">
        <v>8.94</v>
      </c>
      <c r="I240" s="357">
        <v>9.0500000000000007</v>
      </c>
    </row>
    <row r="241" spans="1:9" ht="14.5">
      <c r="A241" s="38" t="s">
        <v>596</v>
      </c>
      <c r="B241" s="38" t="s">
        <v>597</v>
      </c>
      <c r="C241" s="363">
        <v>9.85</v>
      </c>
      <c r="D241" s="363">
        <v>10.72</v>
      </c>
      <c r="E241" s="363">
        <v>10.3</v>
      </c>
      <c r="F241" s="361">
        <v>10.56</v>
      </c>
      <c r="G241" s="361">
        <v>10</v>
      </c>
      <c r="H241" s="364">
        <v>10.33</v>
      </c>
      <c r="I241" s="362"/>
    </row>
    <row r="242" spans="1:9" ht="14.5">
      <c r="A242" s="38" t="s">
        <v>598</v>
      </c>
      <c r="B242" s="38" t="s">
        <v>599</v>
      </c>
      <c r="C242" s="358">
        <v>10.68</v>
      </c>
      <c r="D242" s="358">
        <v>11.3</v>
      </c>
      <c r="E242" s="358">
        <v>11.81</v>
      </c>
      <c r="F242" s="358">
        <v>12.37</v>
      </c>
      <c r="G242" s="358">
        <v>11.69</v>
      </c>
      <c r="H242" s="356">
        <v>11.9</v>
      </c>
      <c r="I242" s="357">
        <v>13.07</v>
      </c>
    </row>
    <row r="243" spans="1:9" ht="14.5">
      <c r="A243" s="38" t="s">
        <v>600</v>
      </c>
      <c r="B243" s="38" t="s">
        <v>601</v>
      </c>
      <c r="C243" s="358">
        <v>6.31</v>
      </c>
      <c r="D243" s="358">
        <v>6.28</v>
      </c>
      <c r="E243" s="358">
        <v>6.12</v>
      </c>
      <c r="F243" s="358">
        <v>6.58</v>
      </c>
      <c r="G243" s="358">
        <v>5.77</v>
      </c>
      <c r="H243" s="356">
        <v>5.51</v>
      </c>
      <c r="I243" s="357">
        <v>5.98</v>
      </c>
    </row>
    <row r="244" spans="1:9" ht="14.5">
      <c r="A244" s="38" t="s">
        <v>602</v>
      </c>
      <c r="B244" s="38" t="s">
        <v>603</v>
      </c>
      <c r="C244" s="358">
        <v>7.75</v>
      </c>
      <c r="D244" s="358">
        <v>7.92</v>
      </c>
      <c r="E244" s="358">
        <v>8.19</v>
      </c>
      <c r="F244" s="358">
        <v>8.19</v>
      </c>
      <c r="G244" s="358">
        <v>7.57</v>
      </c>
      <c r="H244" s="356">
        <v>7.51</v>
      </c>
      <c r="I244" s="357">
        <v>8.8000000000000007</v>
      </c>
    </row>
    <row r="245" spans="1:9" ht="14.5">
      <c r="A245" s="38" t="s">
        <v>604</v>
      </c>
      <c r="B245" s="38" t="s">
        <v>605</v>
      </c>
      <c r="C245" s="358">
        <v>7.41</v>
      </c>
      <c r="D245" s="358">
        <v>7.78</v>
      </c>
      <c r="E245" s="358">
        <v>7.77</v>
      </c>
      <c r="F245" s="358">
        <v>7.39</v>
      </c>
      <c r="G245" s="358">
        <v>8.2100000000000009</v>
      </c>
      <c r="H245" s="356">
        <v>7.63</v>
      </c>
      <c r="I245" s="357">
        <v>8.43</v>
      </c>
    </row>
    <row r="246" spans="1:9" ht="14.5">
      <c r="A246" s="38" t="s">
        <v>606</v>
      </c>
      <c r="B246" s="38" t="s">
        <v>607</v>
      </c>
      <c r="C246" s="358">
        <v>5.29</v>
      </c>
      <c r="D246" s="358">
        <v>5.89</v>
      </c>
      <c r="E246" s="358">
        <v>5.73</v>
      </c>
      <c r="F246" s="358">
        <v>5.8</v>
      </c>
      <c r="G246" s="358">
        <v>5.52</v>
      </c>
      <c r="H246" s="356">
        <v>5.04</v>
      </c>
      <c r="I246" s="357">
        <v>5.85</v>
      </c>
    </row>
    <row r="247" spans="1:9" ht="14.5">
      <c r="A247" s="38" t="s">
        <v>608</v>
      </c>
      <c r="B247" s="38" t="s">
        <v>609</v>
      </c>
      <c r="C247" s="358">
        <v>6.22</v>
      </c>
      <c r="D247" s="358">
        <v>6.36</v>
      </c>
      <c r="E247" s="358">
        <v>6.59</v>
      </c>
      <c r="F247" s="358">
        <v>7.51</v>
      </c>
      <c r="G247" s="358">
        <v>6.85</v>
      </c>
      <c r="H247" s="356">
        <v>6.77</v>
      </c>
      <c r="I247" s="357">
        <v>7.33</v>
      </c>
    </row>
    <row r="248" spans="1:9" ht="14.5">
      <c r="A248" s="38" t="s">
        <v>610</v>
      </c>
      <c r="B248" s="38" t="s">
        <v>611</v>
      </c>
      <c r="C248" s="358">
        <v>8.92</v>
      </c>
      <c r="D248" s="358">
        <v>9.0299999999999994</v>
      </c>
      <c r="E248" s="358">
        <v>10.3</v>
      </c>
      <c r="F248" s="358">
        <v>10.32</v>
      </c>
      <c r="G248" s="358">
        <v>10.6</v>
      </c>
      <c r="H248" s="356">
        <v>10.36</v>
      </c>
      <c r="I248" s="357">
        <v>11.13</v>
      </c>
    </row>
    <row r="249" spans="1:9" ht="14.5">
      <c r="A249" s="38" t="s">
        <v>612</v>
      </c>
      <c r="B249" s="38" t="s">
        <v>613</v>
      </c>
      <c r="C249" s="358">
        <v>12.69</v>
      </c>
      <c r="D249" s="358">
        <v>13.46</v>
      </c>
      <c r="E249" s="358">
        <v>14.16</v>
      </c>
      <c r="F249" s="358">
        <v>13.88</v>
      </c>
      <c r="G249" s="358">
        <v>13.87</v>
      </c>
      <c r="H249" s="356">
        <v>12.32</v>
      </c>
      <c r="I249" s="357">
        <v>13.51</v>
      </c>
    </row>
    <row r="250" spans="1:9" ht="14.5">
      <c r="A250" s="38" t="s">
        <v>614</v>
      </c>
      <c r="B250" s="38" t="s">
        <v>615</v>
      </c>
      <c r="C250" s="358">
        <v>8.83</v>
      </c>
      <c r="D250" s="358">
        <v>10.9</v>
      </c>
      <c r="E250" s="358">
        <v>11.08</v>
      </c>
      <c r="F250" s="358">
        <v>11.79</v>
      </c>
      <c r="G250" s="358">
        <v>10.77</v>
      </c>
      <c r="H250" s="356">
        <v>12.39</v>
      </c>
      <c r="I250" s="357">
        <v>12.66</v>
      </c>
    </row>
    <row r="251" spans="1:9" ht="14.5">
      <c r="A251" s="38" t="s">
        <v>616</v>
      </c>
      <c r="B251" s="38" t="s">
        <v>617</v>
      </c>
      <c r="C251" s="358">
        <v>15.01</v>
      </c>
      <c r="D251" s="358">
        <v>16.98</v>
      </c>
      <c r="E251" s="358">
        <v>16.62</v>
      </c>
      <c r="F251" s="358">
        <v>16.75</v>
      </c>
      <c r="G251" s="358">
        <v>16.09</v>
      </c>
      <c r="H251" s="356">
        <v>16.239999999999998</v>
      </c>
      <c r="I251" s="357">
        <v>17.32</v>
      </c>
    </row>
    <row r="252" spans="1:9" ht="14.5">
      <c r="A252" s="38" t="s">
        <v>618</v>
      </c>
      <c r="B252" s="38" t="s">
        <v>619</v>
      </c>
      <c r="C252" s="358">
        <v>5.24</v>
      </c>
      <c r="D252" s="358">
        <v>5.34</v>
      </c>
      <c r="E252" s="358">
        <v>5.64</v>
      </c>
      <c r="F252" s="358">
        <v>5.3</v>
      </c>
      <c r="G252" s="358">
        <v>4.8600000000000003</v>
      </c>
      <c r="H252" s="356">
        <v>5.27</v>
      </c>
      <c r="I252" s="357">
        <v>4.6900000000000004</v>
      </c>
    </row>
    <row r="253" spans="1:9" ht="14.5">
      <c r="A253" s="38" t="s">
        <v>620</v>
      </c>
      <c r="B253" s="38" t="s">
        <v>621</v>
      </c>
      <c r="C253" s="358">
        <v>6.81</v>
      </c>
      <c r="D253" s="358">
        <v>6.66</v>
      </c>
      <c r="E253" s="358">
        <v>7.35</v>
      </c>
      <c r="F253" s="358">
        <v>7.38</v>
      </c>
      <c r="G253" s="358">
        <v>7.37</v>
      </c>
      <c r="H253" s="356">
        <v>7.4</v>
      </c>
      <c r="I253" s="357">
        <v>7.71</v>
      </c>
    </row>
    <row r="254" spans="1:9" ht="14.5">
      <c r="A254" s="38" t="s">
        <v>622</v>
      </c>
      <c r="B254" s="38" t="s">
        <v>623</v>
      </c>
      <c r="C254" s="358">
        <v>7.09</v>
      </c>
      <c r="D254" s="358">
        <v>5.97</v>
      </c>
      <c r="E254" s="358">
        <v>6.07</v>
      </c>
      <c r="F254" s="358">
        <v>6.52</v>
      </c>
      <c r="G254" s="358">
        <v>5.82</v>
      </c>
      <c r="H254" s="356">
        <v>6.41</v>
      </c>
      <c r="I254" s="357">
        <v>6.57</v>
      </c>
    </row>
    <row r="255" spans="1:9" ht="14.5">
      <c r="A255" s="38" t="s">
        <v>624</v>
      </c>
      <c r="B255" s="38" t="s">
        <v>625</v>
      </c>
      <c r="C255" s="358">
        <v>6.67</v>
      </c>
      <c r="D255" s="358">
        <v>7.43</v>
      </c>
      <c r="E255" s="358">
        <v>7.61</v>
      </c>
      <c r="F255" s="358">
        <v>8.1999999999999993</v>
      </c>
      <c r="G255" s="358">
        <v>7.62</v>
      </c>
      <c r="H255" s="356">
        <v>7.71</v>
      </c>
      <c r="I255" s="357">
        <v>8.2899999999999991</v>
      </c>
    </row>
    <row r="256" spans="1:9" ht="14.5">
      <c r="A256" s="38" t="s">
        <v>626</v>
      </c>
      <c r="B256" s="38" t="s">
        <v>627</v>
      </c>
      <c r="C256" s="358">
        <v>6.87</v>
      </c>
      <c r="D256" s="358">
        <v>7.21</v>
      </c>
      <c r="E256" s="358">
        <v>7.55</v>
      </c>
      <c r="F256" s="358">
        <v>7.99</v>
      </c>
      <c r="G256" s="358">
        <v>7.74</v>
      </c>
      <c r="H256" s="356">
        <v>8.07</v>
      </c>
      <c r="I256" s="357">
        <v>10.01</v>
      </c>
    </row>
    <row r="257" spans="1:9" ht="14.5">
      <c r="A257" s="38" t="s">
        <v>628</v>
      </c>
      <c r="B257" s="38" t="s">
        <v>629</v>
      </c>
      <c r="C257" s="358">
        <v>5.33</v>
      </c>
      <c r="D257" s="358">
        <v>5.0199999999999996</v>
      </c>
      <c r="E257" s="358">
        <v>5.64</v>
      </c>
      <c r="F257" s="358">
        <v>5.5</v>
      </c>
      <c r="G257" s="358">
        <v>5.04</v>
      </c>
      <c r="H257" s="356">
        <v>4.91</v>
      </c>
      <c r="I257" s="357">
        <v>5.35</v>
      </c>
    </row>
    <row r="258" spans="1:9" ht="14.5">
      <c r="A258" s="38" t="s">
        <v>630</v>
      </c>
      <c r="B258" s="38" t="s">
        <v>631</v>
      </c>
      <c r="C258" s="358">
        <v>4.12</v>
      </c>
      <c r="D258" s="358">
        <v>4.29</v>
      </c>
      <c r="E258" s="358">
        <v>4.5</v>
      </c>
      <c r="F258" s="358">
        <v>4.3899999999999997</v>
      </c>
      <c r="G258" s="358">
        <v>4.51</v>
      </c>
      <c r="H258" s="356">
        <v>4.4000000000000004</v>
      </c>
      <c r="I258" s="357">
        <v>4.58</v>
      </c>
    </row>
    <row r="259" spans="1:9" ht="14.5">
      <c r="A259" s="38" t="s">
        <v>632</v>
      </c>
      <c r="B259" s="38" t="s">
        <v>633</v>
      </c>
      <c r="C259" s="358">
        <v>9.69</v>
      </c>
      <c r="D259" s="358">
        <v>9.5399999999999991</v>
      </c>
      <c r="E259" s="358">
        <v>9.32</v>
      </c>
      <c r="F259" s="358">
        <v>10.33</v>
      </c>
      <c r="G259" s="358">
        <v>11.26</v>
      </c>
      <c r="H259" s="356">
        <v>9.82</v>
      </c>
      <c r="I259" s="357">
        <v>10.62</v>
      </c>
    </row>
    <row r="260" spans="1:9" ht="14.5">
      <c r="A260" s="38" t="s">
        <v>634</v>
      </c>
      <c r="B260" s="38" t="s">
        <v>635</v>
      </c>
      <c r="C260" s="358">
        <v>7.81</v>
      </c>
      <c r="D260" s="358">
        <v>8.2100000000000009</v>
      </c>
      <c r="E260" s="358">
        <v>8.7899999999999991</v>
      </c>
      <c r="F260" s="358">
        <v>8.99</v>
      </c>
      <c r="G260" s="358">
        <v>8.69</v>
      </c>
      <c r="H260" s="356">
        <v>8.44</v>
      </c>
      <c r="I260" s="357">
        <v>10.27</v>
      </c>
    </row>
    <row r="261" spans="1:9" ht="14.5">
      <c r="A261" s="38" t="s">
        <v>636</v>
      </c>
      <c r="B261" s="38" t="s">
        <v>637</v>
      </c>
      <c r="C261" s="358">
        <v>4.75</v>
      </c>
      <c r="D261" s="358">
        <v>4.62</v>
      </c>
      <c r="E261" s="358">
        <v>4.78</v>
      </c>
      <c r="F261" s="358">
        <v>4.87</v>
      </c>
      <c r="G261" s="358">
        <v>4.79</v>
      </c>
      <c r="H261" s="356">
        <v>4.46</v>
      </c>
      <c r="I261" s="357">
        <v>4.96</v>
      </c>
    </row>
    <row r="262" spans="1:9" ht="14.5">
      <c r="A262" s="38" t="s">
        <v>638</v>
      </c>
      <c r="B262" s="38" t="s">
        <v>639</v>
      </c>
      <c r="C262" s="358">
        <v>10.89</v>
      </c>
      <c r="D262" s="358">
        <v>12.33</v>
      </c>
      <c r="E262" s="358">
        <v>13.04</v>
      </c>
      <c r="F262" s="358">
        <v>13.13</v>
      </c>
      <c r="G262" s="358">
        <v>11.22</v>
      </c>
      <c r="H262" s="356">
        <v>11.09</v>
      </c>
      <c r="I262" s="357">
        <v>11.84</v>
      </c>
    </row>
    <row r="263" spans="1:9" ht="14.5">
      <c r="A263" s="38" t="s">
        <v>640</v>
      </c>
      <c r="B263" s="38" t="s">
        <v>641</v>
      </c>
      <c r="C263" s="358">
        <v>11.48</v>
      </c>
      <c r="D263" s="358">
        <v>12.18</v>
      </c>
      <c r="E263" s="358">
        <v>12.88</v>
      </c>
      <c r="F263" s="358">
        <v>13.34</v>
      </c>
      <c r="G263" s="358">
        <v>11.52</v>
      </c>
      <c r="H263" s="356">
        <v>11.11</v>
      </c>
      <c r="I263" s="357">
        <v>14.24</v>
      </c>
    </row>
    <row r="264" spans="1:9" ht="14.5">
      <c r="A264" s="38" t="s">
        <v>642</v>
      </c>
      <c r="B264" s="38" t="s">
        <v>643</v>
      </c>
      <c r="C264" s="358">
        <v>7.11</v>
      </c>
      <c r="D264" s="358">
        <v>8.64</v>
      </c>
      <c r="E264" s="358">
        <v>9.1300000000000008</v>
      </c>
      <c r="F264" s="358">
        <v>9.1300000000000008</v>
      </c>
      <c r="G264" s="358">
        <v>9.07</v>
      </c>
      <c r="H264" s="356">
        <v>9.31</v>
      </c>
      <c r="I264" s="357">
        <v>10.1</v>
      </c>
    </row>
    <row r="265" spans="1:9" ht="14.5">
      <c r="A265" s="38" t="s">
        <v>644</v>
      </c>
      <c r="B265" s="38" t="s">
        <v>645</v>
      </c>
      <c r="C265" s="358">
        <v>5.89</v>
      </c>
      <c r="D265" s="358">
        <v>6.47</v>
      </c>
      <c r="E265" s="358">
        <v>7.09</v>
      </c>
      <c r="F265" s="358">
        <v>7.6</v>
      </c>
      <c r="G265" s="358">
        <v>7.62</v>
      </c>
      <c r="H265" s="356">
        <v>7.17</v>
      </c>
      <c r="I265" s="357">
        <v>7.69</v>
      </c>
    </row>
    <row r="266" spans="1:9" ht="14.5">
      <c r="A266" s="38" t="s">
        <v>646</v>
      </c>
      <c r="B266" s="38" t="s">
        <v>647</v>
      </c>
      <c r="C266" s="358">
        <v>5.75</v>
      </c>
      <c r="D266" s="358">
        <v>5.56</v>
      </c>
      <c r="E266" s="358">
        <v>5.55</v>
      </c>
      <c r="F266" s="358">
        <v>6.07</v>
      </c>
      <c r="G266" s="358">
        <v>6.3</v>
      </c>
      <c r="H266" s="356">
        <v>6.47</v>
      </c>
      <c r="I266" s="357">
        <v>6.61</v>
      </c>
    </row>
    <row r="267" spans="1:9" ht="14.5">
      <c r="A267" s="38" t="s">
        <v>648</v>
      </c>
      <c r="B267" s="38" t="s">
        <v>649</v>
      </c>
      <c r="C267" s="358">
        <v>6.46</v>
      </c>
      <c r="D267" s="358">
        <v>6.85</v>
      </c>
      <c r="E267" s="358">
        <v>6.99</v>
      </c>
      <c r="F267" s="358">
        <v>7.72</v>
      </c>
      <c r="G267" s="358">
        <v>8.31</v>
      </c>
      <c r="H267" s="356">
        <v>8.6300000000000008</v>
      </c>
      <c r="I267" s="357">
        <v>8.59</v>
      </c>
    </row>
    <row r="268" spans="1:9" ht="14.5">
      <c r="A268" s="38" t="s">
        <v>650</v>
      </c>
      <c r="B268" s="38" t="s">
        <v>651</v>
      </c>
      <c r="C268" s="358">
        <v>14.9</v>
      </c>
      <c r="D268" s="358">
        <v>14.86</v>
      </c>
      <c r="E268" s="358">
        <v>14.1</v>
      </c>
      <c r="F268" s="358">
        <v>15.64</v>
      </c>
      <c r="G268" s="358">
        <v>14.98</v>
      </c>
      <c r="H268" s="356">
        <v>13.95</v>
      </c>
      <c r="I268" s="357">
        <v>16.12</v>
      </c>
    </row>
    <row r="269" spans="1:9" ht="14.5">
      <c r="A269" s="38" t="s">
        <v>652</v>
      </c>
      <c r="B269" s="38" t="s">
        <v>653</v>
      </c>
      <c r="C269" s="358">
        <v>9.4</v>
      </c>
      <c r="D269" s="358">
        <v>9.94</v>
      </c>
      <c r="E269" s="358">
        <v>10.89</v>
      </c>
      <c r="F269" s="358">
        <v>10.53</v>
      </c>
      <c r="G269" s="358">
        <v>10.45</v>
      </c>
      <c r="H269" s="356">
        <v>10.33</v>
      </c>
      <c r="I269" s="357">
        <v>11.4</v>
      </c>
    </row>
    <row r="270" spans="1:9" ht="14.5">
      <c r="A270" s="38" t="s">
        <v>654</v>
      </c>
      <c r="B270" s="38" t="s">
        <v>655</v>
      </c>
      <c r="C270" s="358">
        <v>5.61</v>
      </c>
      <c r="D270" s="358">
        <v>6.1</v>
      </c>
      <c r="E270" s="358">
        <v>6.44</v>
      </c>
      <c r="F270" s="358">
        <v>6.19</v>
      </c>
      <c r="G270" s="358">
        <v>6.05</v>
      </c>
      <c r="H270" s="356">
        <v>5.94</v>
      </c>
      <c r="I270" s="357">
        <v>6.53</v>
      </c>
    </row>
    <row r="271" spans="1:9" ht="14.5">
      <c r="A271" s="38" t="s">
        <v>656</v>
      </c>
      <c r="B271" s="38" t="s">
        <v>657</v>
      </c>
      <c r="C271" s="358">
        <v>6.87</v>
      </c>
      <c r="D271" s="358">
        <v>7.99</v>
      </c>
      <c r="E271" s="358">
        <v>9.08</v>
      </c>
      <c r="F271" s="358">
        <v>9</v>
      </c>
      <c r="G271" s="358">
        <v>8.75</v>
      </c>
      <c r="H271" s="356">
        <v>8.52</v>
      </c>
      <c r="I271" s="357">
        <v>9.2799999999999994</v>
      </c>
    </row>
    <row r="272" spans="1:9" ht="14.5">
      <c r="A272" s="38" t="s">
        <v>658</v>
      </c>
      <c r="B272" s="38" t="s">
        <v>659</v>
      </c>
      <c r="C272" s="358">
        <v>9.02</v>
      </c>
      <c r="D272" s="358">
        <v>10.06</v>
      </c>
      <c r="E272" s="358">
        <v>10.3</v>
      </c>
      <c r="F272" s="358">
        <v>10.119999999999999</v>
      </c>
      <c r="G272" s="358">
        <v>9.91</v>
      </c>
      <c r="H272" s="356">
        <v>9.8000000000000007</v>
      </c>
      <c r="I272" s="357">
        <v>10.6</v>
      </c>
    </row>
    <row r="273" spans="1:9" ht="14.5">
      <c r="A273" s="38" t="s">
        <v>660</v>
      </c>
      <c r="B273" s="38" t="s">
        <v>661</v>
      </c>
      <c r="C273" s="358">
        <v>8.2200000000000006</v>
      </c>
      <c r="D273" s="358">
        <v>7.98</v>
      </c>
      <c r="E273" s="358">
        <v>7.92</v>
      </c>
      <c r="F273" s="358">
        <v>8.67</v>
      </c>
      <c r="G273" s="358">
        <v>7.94</v>
      </c>
      <c r="H273" s="356">
        <v>8.2899999999999991</v>
      </c>
      <c r="I273" s="357">
        <v>9.15</v>
      </c>
    </row>
    <row r="274" spans="1:9" ht="14.5">
      <c r="A274" s="38" t="s">
        <v>662</v>
      </c>
      <c r="B274" s="38" t="s">
        <v>663</v>
      </c>
      <c r="C274" s="358">
        <v>8.52</v>
      </c>
      <c r="D274" s="358">
        <v>9.5299999999999994</v>
      </c>
      <c r="E274" s="358">
        <v>10.49</v>
      </c>
      <c r="F274" s="358">
        <v>10.49</v>
      </c>
      <c r="G274" s="358">
        <v>9.58</v>
      </c>
      <c r="H274" s="356">
        <v>10.14</v>
      </c>
      <c r="I274" s="357">
        <v>10.74</v>
      </c>
    </row>
    <row r="275" spans="1:9" ht="14.5">
      <c r="A275" s="38" t="s">
        <v>664</v>
      </c>
      <c r="B275" s="38" t="s">
        <v>665</v>
      </c>
      <c r="C275" s="358">
        <v>13.15</v>
      </c>
      <c r="D275" s="358">
        <v>13.42</v>
      </c>
      <c r="E275" s="358">
        <v>13.84</v>
      </c>
      <c r="F275" s="358">
        <v>13.64</v>
      </c>
      <c r="G275" s="358">
        <v>13.67</v>
      </c>
      <c r="H275" s="356">
        <v>16.07</v>
      </c>
      <c r="I275" s="357">
        <v>14.37</v>
      </c>
    </row>
    <row r="276" spans="1:9" ht="14.5">
      <c r="A276" s="38" t="s">
        <v>666</v>
      </c>
      <c r="B276" s="38" t="s">
        <v>667</v>
      </c>
      <c r="C276" s="358">
        <v>8.32</v>
      </c>
      <c r="D276" s="358">
        <v>9.85</v>
      </c>
      <c r="E276" s="358">
        <v>10</v>
      </c>
      <c r="F276" s="358">
        <v>10.039999999999999</v>
      </c>
      <c r="G276" s="358">
        <v>9.57</v>
      </c>
      <c r="H276" s="356">
        <v>9.3699999999999992</v>
      </c>
      <c r="I276" s="357">
        <v>10.26</v>
      </c>
    </row>
    <row r="277" spans="1:9" ht="14.5">
      <c r="A277" s="38" t="s">
        <v>668</v>
      </c>
      <c r="B277" s="38" t="s">
        <v>669</v>
      </c>
      <c r="C277" s="358">
        <v>9.9700000000000006</v>
      </c>
      <c r="D277" s="358">
        <v>11.45</v>
      </c>
      <c r="E277" s="358">
        <v>11.8</v>
      </c>
      <c r="F277" s="358">
        <v>11.93</v>
      </c>
      <c r="G277" s="358">
        <v>11.79</v>
      </c>
      <c r="H277" s="356">
        <v>11.93</v>
      </c>
      <c r="I277" s="357">
        <v>13.39</v>
      </c>
    </row>
    <row r="278" spans="1:9" ht="14.5">
      <c r="A278" s="38" t="s">
        <v>670</v>
      </c>
      <c r="B278" s="38" t="s">
        <v>671</v>
      </c>
      <c r="C278" s="358">
        <v>7.86</v>
      </c>
      <c r="D278" s="358">
        <v>8.17</v>
      </c>
      <c r="E278" s="358">
        <v>7.71</v>
      </c>
      <c r="F278" s="358">
        <v>8.84</v>
      </c>
      <c r="G278" s="358">
        <v>7.85</v>
      </c>
      <c r="H278" s="356">
        <v>7.38</v>
      </c>
      <c r="I278" s="357">
        <v>8.9</v>
      </c>
    </row>
    <row r="279" spans="1:9" ht="14.5">
      <c r="A279" s="38" t="s">
        <v>672</v>
      </c>
      <c r="B279" s="38" t="s">
        <v>673</v>
      </c>
      <c r="C279" s="358">
        <v>10.029999999999999</v>
      </c>
      <c r="D279" s="358">
        <v>10</v>
      </c>
      <c r="E279" s="358">
        <v>9.4499999999999993</v>
      </c>
      <c r="F279" s="358">
        <v>9.76</v>
      </c>
      <c r="G279" s="358">
        <v>9.48</v>
      </c>
      <c r="H279" s="356">
        <v>9.17</v>
      </c>
      <c r="I279" s="357">
        <v>10.34</v>
      </c>
    </row>
    <row r="280" spans="1:9" ht="14.5">
      <c r="A280" s="38" t="s">
        <v>674</v>
      </c>
      <c r="B280" s="38" t="s">
        <v>675</v>
      </c>
      <c r="C280" s="358">
        <v>8.77</v>
      </c>
      <c r="D280" s="358">
        <v>10.06</v>
      </c>
      <c r="E280" s="358">
        <v>9.82</v>
      </c>
      <c r="F280" s="358">
        <v>9.85</v>
      </c>
      <c r="G280" s="358">
        <v>10.67</v>
      </c>
      <c r="H280" s="356">
        <v>10.210000000000001</v>
      </c>
      <c r="I280" s="357">
        <v>11</v>
      </c>
    </row>
    <row r="281" spans="1:9" ht="14.5">
      <c r="A281" s="38" t="s">
        <v>676</v>
      </c>
      <c r="B281" s="38" t="s">
        <v>677</v>
      </c>
      <c r="C281" s="358">
        <v>8.16</v>
      </c>
      <c r="D281" s="358">
        <v>8.56</v>
      </c>
      <c r="E281" s="358">
        <v>8.9499999999999993</v>
      </c>
      <c r="F281" s="358">
        <v>9.2799999999999994</v>
      </c>
      <c r="G281" s="358">
        <v>9.43</v>
      </c>
      <c r="H281" s="356">
        <v>9.51</v>
      </c>
      <c r="I281" s="357">
        <v>10.3</v>
      </c>
    </row>
    <row r="282" spans="1:9" ht="14.5">
      <c r="A282" s="38" t="s">
        <v>678</v>
      </c>
      <c r="B282" s="38" t="s">
        <v>679</v>
      </c>
      <c r="C282" s="358">
        <v>10.98</v>
      </c>
      <c r="D282" s="358">
        <v>12.05</v>
      </c>
      <c r="E282" s="358">
        <v>13.45</v>
      </c>
      <c r="F282" s="358">
        <v>12.71</v>
      </c>
      <c r="G282" s="358">
        <v>12.49</v>
      </c>
      <c r="H282" s="356">
        <v>13.35</v>
      </c>
      <c r="I282" s="357">
        <v>15.42</v>
      </c>
    </row>
    <row r="283" spans="1:9" ht="14.5">
      <c r="A283" s="38" t="s">
        <v>680</v>
      </c>
      <c r="B283" s="38" t="s">
        <v>681</v>
      </c>
      <c r="C283" s="358">
        <v>12.35</v>
      </c>
      <c r="D283" s="358">
        <v>12.37</v>
      </c>
      <c r="E283" s="358">
        <v>13.52</v>
      </c>
      <c r="F283" s="358">
        <v>13.7</v>
      </c>
      <c r="G283" s="358">
        <v>13.48</v>
      </c>
      <c r="H283" s="356">
        <v>12.81</v>
      </c>
      <c r="I283" s="357">
        <v>13.4</v>
      </c>
    </row>
    <row r="284" spans="1:9" ht="14.5">
      <c r="A284" s="38" t="s">
        <v>682</v>
      </c>
      <c r="B284" s="38" t="s">
        <v>683</v>
      </c>
      <c r="C284" s="358">
        <v>8.7200000000000006</v>
      </c>
      <c r="D284" s="358">
        <v>9.2799999999999994</v>
      </c>
      <c r="E284" s="358">
        <v>8.9700000000000006</v>
      </c>
      <c r="F284" s="358">
        <v>9.8699999999999992</v>
      </c>
      <c r="G284" s="358">
        <v>9.5299999999999994</v>
      </c>
      <c r="H284" s="356">
        <v>9.42</v>
      </c>
      <c r="I284" s="357">
        <v>9.9600000000000009</v>
      </c>
    </row>
    <row r="285" spans="1:9" ht="14.5">
      <c r="A285" s="38" t="s">
        <v>684</v>
      </c>
      <c r="B285" s="38" t="s">
        <v>685</v>
      </c>
      <c r="C285" s="358">
        <v>5.35</v>
      </c>
      <c r="D285" s="358">
        <v>5.51</v>
      </c>
      <c r="E285" s="358">
        <v>5.79</v>
      </c>
      <c r="F285" s="358">
        <v>5.61</v>
      </c>
      <c r="G285" s="358">
        <v>5.63</v>
      </c>
      <c r="H285" s="356">
        <v>5.67</v>
      </c>
      <c r="I285" s="357">
        <v>5.93</v>
      </c>
    </row>
    <row r="286" spans="1:9" ht="14.5">
      <c r="A286" s="38" t="s">
        <v>686</v>
      </c>
      <c r="B286" s="38" t="s">
        <v>687</v>
      </c>
      <c r="C286" s="358">
        <v>5.24</v>
      </c>
      <c r="D286" s="358">
        <v>5.39</v>
      </c>
      <c r="E286" s="358">
        <v>5.99</v>
      </c>
      <c r="F286" s="358">
        <v>6.2</v>
      </c>
      <c r="G286" s="358">
        <v>5.71</v>
      </c>
      <c r="H286" s="356">
        <v>5.53</v>
      </c>
      <c r="I286" s="357">
        <v>6.35</v>
      </c>
    </row>
    <row r="287" spans="1:9" ht="14.5">
      <c r="A287" s="38" t="s">
        <v>688</v>
      </c>
      <c r="B287" s="38" t="s">
        <v>689</v>
      </c>
      <c r="C287" s="358">
        <v>12.26</v>
      </c>
      <c r="D287" s="358">
        <v>14.79</v>
      </c>
      <c r="E287" s="358">
        <v>15.64</v>
      </c>
      <c r="F287" s="358">
        <v>14.85</v>
      </c>
      <c r="G287" s="358">
        <v>14.41</v>
      </c>
      <c r="H287" s="356">
        <v>13.31</v>
      </c>
      <c r="I287" s="357">
        <v>15.57</v>
      </c>
    </row>
    <row r="288" spans="1:9" ht="14.5">
      <c r="A288" s="38" t="s">
        <v>690</v>
      </c>
      <c r="B288" s="38" t="s">
        <v>691</v>
      </c>
      <c r="C288" s="358">
        <v>17.05</v>
      </c>
      <c r="D288" s="358">
        <v>18.71</v>
      </c>
      <c r="E288" s="358">
        <v>19.829999999999998</v>
      </c>
      <c r="F288" s="358">
        <v>17.899999999999999</v>
      </c>
      <c r="G288" s="358">
        <v>17.95</v>
      </c>
      <c r="H288" s="356">
        <v>19.399999999999999</v>
      </c>
      <c r="I288" s="357">
        <v>19.100000000000001</v>
      </c>
    </row>
    <row r="289" spans="1:9" ht="14.5">
      <c r="A289" s="38" t="s">
        <v>692</v>
      </c>
      <c r="B289" s="38" t="s">
        <v>693</v>
      </c>
      <c r="C289" s="358">
        <v>5.99</v>
      </c>
      <c r="D289" s="358">
        <v>6.14</v>
      </c>
      <c r="E289" s="358">
        <v>6.35</v>
      </c>
      <c r="F289" s="358">
        <v>6.31</v>
      </c>
      <c r="G289" s="358">
        <v>6.75</v>
      </c>
      <c r="H289" s="356">
        <v>6.45</v>
      </c>
      <c r="I289" s="357">
        <v>7.08</v>
      </c>
    </row>
    <row r="290" spans="1:9" ht="14.5">
      <c r="A290" s="38" t="s">
        <v>694</v>
      </c>
      <c r="B290" s="38" t="s">
        <v>695</v>
      </c>
      <c r="C290" s="358">
        <v>8.59</v>
      </c>
      <c r="D290" s="358">
        <v>9.35</v>
      </c>
      <c r="E290" s="358">
        <v>9.27</v>
      </c>
      <c r="F290" s="358">
        <v>9.6199999999999992</v>
      </c>
      <c r="G290" s="358">
        <v>9.07</v>
      </c>
      <c r="H290" s="356">
        <v>9.18</v>
      </c>
      <c r="I290" s="357">
        <v>10.73</v>
      </c>
    </row>
    <row r="291" spans="1:9" ht="14.5">
      <c r="A291" s="38" t="s">
        <v>696</v>
      </c>
      <c r="B291" s="38" t="s">
        <v>697</v>
      </c>
      <c r="C291" s="358">
        <v>10.98</v>
      </c>
      <c r="D291" s="358">
        <v>11.08</v>
      </c>
      <c r="E291" s="358">
        <v>12.77</v>
      </c>
      <c r="F291" s="358">
        <v>12.53</v>
      </c>
      <c r="G291" s="358">
        <v>11.82</v>
      </c>
      <c r="H291" s="356">
        <v>11.82</v>
      </c>
      <c r="I291" s="357">
        <v>12.47</v>
      </c>
    </row>
    <row r="292" spans="1:9" ht="14.5">
      <c r="A292" s="38" t="s">
        <v>698</v>
      </c>
      <c r="B292" s="38" t="s">
        <v>699</v>
      </c>
      <c r="C292" s="358">
        <v>14.97</v>
      </c>
      <c r="D292" s="358">
        <v>14.84</v>
      </c>
      <c r="E292" s="358">
        <v>14.47</v>
      </c>
      <c r="F292" s="358">
        <v>16.21</v>
      </c>
      <c r="G292" s="358">
        <v>15.66</v>
      </c>
      <c r="H292" s="356">
        <v>16.489999999999998</v>
      </c>
      <c r="I292" s="357">
        <v>18.32</v>
      </c>
    </row>
    <row r="293" spans="1:9" ht="14.5">
      <c r="A293" s="38" t="s">
        <v>700</v>
      </c>
      <c r="B293" s="38" t="s">
        <v>701</v>
      </c>
      <c r="C293" s="358">
        <v>10.77</v>
      </c>
      <c r="D293" s="358">
        <v>11.45</v>
      </c>
      <c r="E293" s="358">
        <v>11.59</v>
      </c>
      <c r="F293" s="358">
        <v>11.82</v>
      </c>
      <c r="G293" s="358">
        <v>11.57</v>
      </c>
      <c r="H293" s="356">
        <v>11.57</v>
      </c>
      <c r="I293" s="357">
        <v>13.76</v>
      </c>
    </row>
    <row r="294" spans="1:9" ht="14.5">
      <c r="A294" s="38" t="s">
        <v>702</v>
      </c>
      <c r="B294" s="38" t="s">
        <v>703</v>
      </c>
      <c r="C294" s="361">
        <v>7.26</v>
      </c>
      <c r="D294" s="361">
        <v>7.27</v>
      </c>
      <c r="E294" s="361">
        <v>7.49</v>
      </c>
      <c r="F294" s="361">
        <v>7.47</v>
      </c>
      <c r="G294" s="361">
        <v>7.99</v>
      </c>
      <c r="H294" s="364">
        <v>7.48</v>
      </c>
      <c r="I294" s="362"/>
    </row>
    <row r="295" spans="1:9" ht="14.5">
      <c r="A295" s="38" t="s">
        <v>704</v>
      </c>
      <c r="B295" s="38" t="s">
        <v>705</v>
      </c>
      <c r="C295" s="358">
        <v>9.74</v>
      </c>
      <c r="D295" s="358">
        <v>11.08</v>
      </c>
      <c r="E295" s="358">
        <v>11.23</v>
      </c>
      <c r="F295" s="358">
        <v>10.98</v>
      </c>
      <c r="G295" s="358">
        <v>10.69</v>
      </c>
      <c r="H295" s="356">
        <v>10.28</v>
      </c>
      <c r="I295" s="357">
        <v>12.37</v>
      </c>
    </row>
    <row r="296" spans="1:9" ht="14.5">
      <c r="A296" s="38" t="s">
        <v>706</v>
      </c>
      <c r="B296" s="38" t="s">
        <v>707</v>
      </c>
      <c r="C296" s="358">
        <v>8.48</v>
      </c>
      <c r="D296" s="358">
        <v>10.02</v>
      </c>
      <c r="E296" s="358">
        <v>10.49</v>
      </c>
      <c r="F296" s="358">
        <v>9.61</v>
      </c>
      <c r="G296" s="358">
        <v>9.59</v>
      </c>
      <c r="H296" s="356">
        <v>9.4700000000000006</v>
      </c>
      <c r="I296" s="357">
        <v>9.73</v>
      </c>
    </row>
    <row r="297" spans="1:9" ht="14.5">
      <c r="A297" s="38" t="s">
        <v>708</v>
      </c>
      <c r="B297" s="38" t="s">
        <v>709</v>
      </c>
      <c r="C297" s="358">
        <v>9.48</v>
      </c>
      <c r="D297" s="358">
        <v>9.68</v>
      </c>
      <c r="E297" s="358">
        <v>10.1</v>
      </c>
      <c r="F297" s="358">
        <v>9.73</v>
      </c>
      <c r="G297" s="358">
        <v>10.62</v>
      </c>
      <c r="H297" s="356">
        <v>8.6999999999999993</v>
      </c>
      <c r="I297" s="357">
        <v>11.96</v>
      </c>
    </row>
    <row r="298" spans="1:9" ht="14.5">
      <c r="A298" s="38" t="s">
        <v>710</v>
      </c>
      <c r="B298" s="38" t="s">
        <v>711</v>
      </c>
      <c r="C298" s="358">
        <v>6.47</v>
      </c>
      <c r="D298" s="358">
        <v>6.47</v>
      </c>
      <c r="E298" s="358">
        <v>6.51</v>
      </c>
      <c r="F298" s="358">
        <v>6.54</v>
      </c>
      <c r="G298" s="358">
        <v>6.69</v>
      </c>
      <c r="H298" s="356">
        <v>6.31</v>
      </c>
      <c r="I298" s="357">
        <v>7.47</v>
      </c>
    </row>
    <row r="299" spans="1:9" ht="14.5">
      <c r="A299" s="38" t="s">
        <v>712</v>
      </c>
      <c r="B299" s="38" t="s">
        <v>713</v>
      </c>
      <c r="C299" s="358">
        <v>6.49</v>
      </c>
      <c r="D299" s="358">
        <v>5.78</v>
      </c>
      <c r="E299" s="358">
        <v>5.99</v>
      </c>
      <c r="F299" s="358">
        <v>6.37</v>
      </c>
      <c r="G299" s="358">
        <v>6.47</v>
      </c>
      <c r="H299" s="356">
        <v>6.42</v>
      </c>
      <c r="I299" s="357">
        <v>6.85</v>
      </c>
    </row>
    <row r="300" spans="1:9" ht="14.5">
      <c r="A300" s="38"/>
      <c r="B300" s="353" t="s">
        <v>855</v>
      </c>
      <c r="C300" s="356">
        <v>7.69</v>
      </c>
      <c r="D300" s="356">
        <v>8.44</v>
      </c>
      <c r="E300" s="356">
        <v>8.8000000000000007</v>
      </c>
      <c r="F300" s="356">
        <v>8.92</v>
      </c>
      <c r="G300" s="356">
        <v>8.2200000000000006</v>
      </c>
      <c r="H300" s="356">
        <v>8.25</v>
      </c>
      <c r="I300" s="357">
        <v>9.5299999999999994</v>
      </c>
    </row>
    <row r="301" spans="1:9" ht="14.5">
      <c r="A301" s="38" t="s">
        <v>714</v>
      </c>
      <c r="B301" s="38" t="s">
        <v>715</v>
      </c>
      <c r="C301" s="358">
        <v>9.9499999999999993</v>
      </c>
      <c r="D301" s="358">
        <v>11.6</v>
      </c>
      <c r="E301" s="358">
        <v>11.24</v>
      </c>
      <c r="F301" s="358">
        <v>11.55</v>
      </c>
      <c r="G301" s="358">
        <v>10.48</v>
      </c>
      <c r="H301" s="356">
        <v>10.38</v>
      </c>
      <c r="I301" s="357">
        <v>11.4</v>
      </c>
    </row>
    <row r="302" spans="1:9" ht="14.5">
      <c r="A302" s="38" t="s">
        <v>716</v>
      </c>
      <c r="B302" s="38" t="s">
        <v>717</v>
      </c>
      <c r="C302" s="358">
        <v>8.81</v>
      </c>
      <c r="D302" s="358">
        <v>8.75</v>
      </c>
      <c r="E302" s="358">
        <v>9.24</v>
      </c>
      <c r="F302" s="358">
        <v>9.31</v>
      </c>
      <c r="G302" s="358">
        <v>9.1300000000000008</v>
      </c>
      <c r="H302" s="356">
        <v>8.65</v>
      </c>
      <c r="I302" s="357">
        <v>9.5</v>
      </c>
    </row>
    <row r="303" spans="1:9" ht="14.5">
      <c r="A303" s="38" t="s">
        <v>718</v>
      </c>
      <c r="B303" s="38" t="s">
        <v>719</v>
      </c>
      <c r="C303" s="358">
        <v>22.31</v>
      </c>
      <c r="D303" s="358">
        <v>24.5</v>
      </c>
      <c r="E303" s="358">
        <v>24.91</v>
      </c>
      <c r="F303" s="358">
        <v>24.53</v>
      </c>
      <c r="G303" s="358">
        <v>21.71</v>
      </c>
      <c r="H303" s="356">
        <v>21.4</v>
      </c>
      <c r="I303" s="357">
        <v>18.88</v>
      </c>
    </row>
    <row r="304" spans="1:9" ht="14.5">
      <c r="A304" s="38" t="s">
        <v>720</v>
      </c>
      <c r="B304" s="38" t="s">
        <v>721</v>
      </c>
      <c r="C304" s="358">
        <v>5.2</v>
      </c>
      <c r="D304" s="358">
        <v>5.17</v>
      </c>
      <c r="E304" s="358">
        <v>5.37</v>
      </c>
      <c r="F304" s="358">
        <v>5.37</v>
      </c>
      <c r="G304" s="358">
        <v>5.8</v>
      </c>
      <c r="H304" s="356">
        <v>5.68</v>
      </c>
      <c r="I304" s="357">
        <v>5.67</v>
      </c>
    </row>
    <row r="305" spans="1:9" ht="14.5">
      <c r="A305" s="38" t="s">
        <v>722</v>
      </c>
      <c r="B305" s="38" t="s">
        <v>723</v>
      </c>
      <c r="C305" s="358">
        <v>8.83</v>
      </c>
      <c r="D305" s="358">
        <v>9.5500000000000007</v>
      </c>
      <c r="E305" s="358">
        <v>9.5399999999999991</v>
      </c>
      <c r="F305" s="358">
        <v>9.8000000000000007</v>
      </c>
      <c r="G305" s="358">
        <v>9.68</v>
      </c>
      <c r="H305" s="356">
        <v>9.58</v>
      </c>
      <c r="I305" s="357">
        <v>10.32</v>
      </c>
    </row>
    <row r="306" spans="1:9" ht="14.5">
      <c r="A306" s="38" t="s">
        <v>724</v>
      </c>
      <c r="B306" s="38" t="s">
        <v>725</v>
      </c>
      <c r="C306" s="358">
        <v>11.03</v>
      </c>
      <c r="D306" s="358">
        <v>11.96</v>
      </c>
      <c r="E306" s="358">
        <v>12.15</v>
      </c>
      <c r="F306" s="358">
        <v>12.19</v>
      </c>
      <c r="G306" s="358">
        <v>13.03</v>
      </c>
      <c r="H306" s="356">
        <v>12.34</v>
      </c>
      <c r="I306" s="357">
        <v>14.14</v>
      </c>
    </row>
    <row r="307" spans="1:9" ht="14.5">
      <c r="A307" s="38" t="s">
        <v>726</v>
      </c>
      <c r="B307" s="38" t="s">
        <v>727</v>
      </c>
      <c r="C307" s="358">
        <v>12.1</v>
      </c>
      <c r="D307" s="358">
        <v>13.64</v>
      </c>
      <c r="E307" s="358">
        <v>13.79</v>
      </c>
      <c r="F307" s="358">
        <v>13.2</v>
      </c>
      <c r="G307" s="358">
        <v>13.91</v>
      </c>
      <c r="H307" s="356">
        <v>14.29</v>
      </c>
      <c r="I307" s="357">
        <v>15.21</v>
      </c>
    </row>
    <row r="308" spans="1:9" ht="14.5">
      <c r="A308" s="38" t="s">
        <v>728</v>
      </c>
      <c r="B308" s="38" t="s">
        <v>729</v>
      </c>
      <c r="C308" s="358">
        <v>5.4</v>
      </c>
      <c r="D308" s="358">
        <v>5.7</v>
      </c>
      <c r="E308" s="358">
        <v>5.92</v>
      </c>
      <c r="F308" s="358">
        <v>6.22</v>
      </c>
      <c r="G308" s="358">
        <v>6.21</v>
      </c>
      <c r="H308" s="356">
        <v>6.25</v>
      </c>
      <c r="I308" s="357">
        <v>7.22</v>
      </c>
    </row>
    <row r="309" spans="1:9" ht="14.5">
      <c r="A309" s="38" t="s">
        <v>730</v>
      </c>
      <c r="B309" s="38" t="s">
        <v>731</v>
      </c>
      <c r="C309" s="358">
        <v>13.24</v>
      </c>
      <c r="D309" s="358">
        <v>11.61</v>
      </c>
      <c r="E309" s="358">
        <v>12.24</v>
      </c>
      <c r="F309" s="358">
        <v>11.85</v>
      </c>
      <c r="G309" s="358">
        <v>10.49</v>
      </c>
      <c r="H309" s="356">
        <v>10.220000000000001</v>
      </c>
      <c r="I309" s="357">
        <v>13.12</v>
      </c>
    </row>
    <row r="310" spans="1:9" ht="14.5">
      <c r="A310" s="38" t="s">
        <v>732</v>
      </c>
      <c r="B310" s="38" t="s">
        <v>733</v>
      </c>
      <c r="C310" s="358">
        <v>9.9499999999999993</v>
      </c>
      <c r="D310" s="358">
        <v>10.57</v>
      </c>
      <c r="E310" s="358">
        <v>12.17</v>
      </c>
      <c r="F310" s="358">
        <v>11.15</v>
      </c>
      <c r="G310" s="358">
        <v>10.78</v>
      </c>
      <c r="H310" s="356">
        <v>11.15</v>
      </c>
      <c r="I310" s="357">
        <v>11.84</v>
      </c>
    </row>
    <row r="311" spans="1:9" ht="14.5">
      <c r="A311" s="38" t="s">
        <v>734</v>
      </c>
      <c r="B311" s="38" t="s">
        <v>735</v>
      </c>
      <c r="C311" s="358">
        <v>5.15</v>
      </c>
      <c r="D311" s="358">
        <v>5.37</v>
      </c>
      <c r="E311" s="358">
        <v>5.47</v>
      </c>
      <c r="F311" s="358">
        <v>5.56</v>
      </c>
      <c r="G311" s="358">
        <v>5.3</v>
      </c>
      <c r="H311" s="356">
        <v>5.74</v>
      </c>
      <c r="I311" s="357">
        <v>6.16</v>
      </c>
    </row>
    <row r="312" spans="1:9" ht="14.5">
      <c r="A312" s="38" t="s">
        <v>736</v>
      </c>
      <c r="B312" s="38" t="s">
        <v>737</v>
      </c>
      <c r="C312" s="358">
        <v>6.99</v>
      </c>
      <c r="D312" s="358">
        <v>6.94</v>
      </c>
      <c r="E312" s="358">
        <v>6.71</v>
      </c>
      <c r="F312" s="358">
        <v>6.79</v>
      </c>
      <c r="G312" s="358">
        <v>6.86</v>
      </c>
      <c r="H312" s="356">
        <v>7.3</v>
      </c>
      <c r="I312" s="357">
        <v>8.26</v>
      </c>
    </row>
    <row r="313" spans="1:9" ht="14.5">
      <c r="A313" s="38" t="s">
        <v>738</v>
      </c>
      <c r="B313" s="38" t="s">
        <v>739</v>
      </c>
      <c r="C313" s="358">
        <v>9.4499999999999993</v>
      </c>
      <c r="D313" s="358">
        <v>10.77</v>
      </c>
      <c r="E313" s="358">
        <v>11.36</v>
      </c>
      <c r="F313" s="358">
        <v>11.73</v>
      </c>
      <c r="G313" s="358">
        <v>10.64</v>
      </c>
      <c r="H313" s="356">
        <v>9.7100000000000009</v>
      </c>
      <c r="I313" s="357">
        <v>11.32</v>
      </c>
    </row>
    <row r="314" spans="1:9" ht="14.5">
      <c r="A314" s="38" t="s">
        <v>740</v>
      </c>
      <c r="B314" s="38" t="s">
        <v>741</v>
      </c>
      <c r="C314" s="358">
        <v>8.86</v>
      </c>
      <c r="D314" s="358">
        <v>9.35</v>
      </c>
      <c r="E314" s="358">
        <v>9.4700000000000006</v>
      </c>
      <c r="F314" s="358">
        <v>9.7799999999999994</v>
      </c>
      <c r="G314" s="358">
        <v>9.6300000000000008</v>
      </c>
      <c r="H314" s="356">
        <v>10.050000000000001</v>
      </c>
      <c r="I314" s="357">
        <v>10.39</v>
      </c>
    </row>
    <row r="315" spans="1:9" ht="14.5">
      <c r="A315" s="38" t="s">
        <v>742</v>
      </c>
      <c r="B315" s="38" t="s">
        <v>743</v>
      </c>
      <c r="C315" s="358">
        <v>6.09</v>
      </c>
      <c r="D315" s="358">
        <v>6.31</v>
      </c>
      <c r="E315" s="358">
        <v>6.69</v>
      </c>
      <c r="F315" s="358">
        <v>6.54</v>
      </c>
      <c r="G315" s="358">
        <v>6.09</v>
      </c>
      <c r="H315" s="356">
        <v>6.35</v>
      </c>
      <c r="I315" s="357">
        <v>6.81</v>
      </c>
    </row>
    <row r="316" spans="1:9" ht="14.5">
      <c r="A316" s="38" t="s">
        <v>744</v>
      </c>
      <c r="B316" s="38" t="s">
        <v>745</v>
      </c>
      <c r="C316" s="358">
        <v>7.08</v>
      </c>
      <c r="D316" s="358">
        <v>7.35</v>
      </c>
      <c r="E316" s="358">
        <v>7.39</v>
      </c>
      <c r="F316" s="358">
        <v>8.2899999999999991</v>
      </c>
      <c r="G316" s="358">
        <v>7.12</v>
      </c>
      <c r="H316" s="356">
        <v>7.29</v>
      </c>
      <c r="I316" s="357">
        <v>7.85</v>
      </c>
    </row>
    <row r="317" spans="1:9" ht="15" thickBot="1">
      <c r="A317" s="38" t="s">
        <v>746</v>
      </c>
      <c r="B317" s="38" t="s">
        <v>747</v>
      </c>
      <c r="C317" s="365">
        <v>8.1999999999999993</v>
      </c>
      <c r="D317" s="365">
        <v>8.3000000000000007</v>
      </c>
      <c r="E317" s="365">
        <v>8.6</v>
      </c>
      <c r="F317" s="365">
        <v>8.8699999999999992</v>
      </c>
      <c r="G317" s="365">
        <v>8.2200000000000006</v>
      </c>
      <c r="H317" s="366">
        <v>8.0399999999999991</v>
      </c>
      <c r="I317" s="367">
        <v>8.41</v>
      </c>
    </row>
    <row r="318" spans="1:9">
      <c r="A318" s="2" t="s">
        <v>748</v>
      </c>
      <c r="B318" s="2" t="s">
        <v>749</v>
      </c>
      <c r="C318" s="368">
        <f>(C199+C236+C297)/3</f>
        <v>9.2099999999999991</v>
      </c>
      <c r="D318" s="368">
        <f t="shared" ref="D318:I318" si="0">(D199+D236+D297)/3</f>
        <v>9.3333333333333339</v>
      </c>
      <c r="E318" s="368">
        <f t="shared" si="0"/>
        <v>9.3433333333333337</v>
      </c>
      <c r="F318" s="368">
        <f t="shared" si="0"/>
        <v>9.1833333333333336</v>
      </c>
      <c r="G318" s="368">
        <f t="shared" si="0"/>
        <v>9.6199999999999992</v>
      </c>
      <c r="H318" s="368">
        <f t="shared" si="0"/>
        <v>8.8066666666666666</v>
      </c>
      <c r="I318" s="368">
        <f t="shared" si="0"/>
        <v>10.596666666666666</v>
      </c>
    </row>
    <row r="319" spans="1:9">
      <c r="A319" s="2" t="s">
        <v>750</v>
      </c>
      <c r="B319" s="2" t="s">
        <v>751</v>
      </c>
      <c r="C319" s="368">
        <f>SUM(C279,C177)/2</f>
        <v>9.8099999999999987</v>
      </c>
      <c r="D319" s="368">
        <f t="shared" ref="D319:I319" si="1">SUM(D279,D177)/2</f>
        <v>9.879999999999999</v>
      </c>
      <c r="E319" s="368">
        <f t="shared" si="1"/>
        <v>9.7349999999999994</v>
      </c>
      <c r="F319" s="368">
        <f t="shared" si="1"/>
        <v>9.8049999999999997</v>
      </c>
      <c r="G319" s="368">
        <f t="shared" si="1"/>
        <v>9.879999999999999</v>
      </c>
      <c r="H319" s="368">
        <f t="shared" si="1"/>
        <v>9.67</v>
      </c>
      <c r="I319" s="368">
        <f t="shared" si="1"/>
        <v>10.4</v>
      </c>
    </row>
    <row r="320" spans="1:9">
      <c r="A320" s="2" t="s">
        <v>752</v>
      </c>
      <c r="B320" s="2" t="s">
        <v>753</v>
      </c>
      <c r="C320" s="368">
        <f>SUM(C240,C191,C35)/3</f>
        <v>7.5200000000000005</v>
      </c>
      <c r="D320" s="368">
        <f t="shared" ref="D320:I320" si="2">SUM(D240,D191,D35)/3</f>
        <v>7.9533333333333331</v>
      </c>
      <c r="E320" s="368">
        <f t="shared" si="2"/>
        <v>8.56</v>
      </c>
      <c r="F320" s="368">
        <f t="shared" si="2"/>
        <v>8.34</v>
      </c>
      <c r="G320" s="368">
        <f t="shared" si="2"/>
        <v>8.3233333333333324</v>
      </c>
      <c r="H320" s="368">
        <f t="shared" si="2"/>
        <v>8.1366666666666649</v>
      </c>
      <c r="I320" s="368">
        <f t="shared" si="2"/>
        <v>8.4166666666666661</v>
      </c>
    </row>
    <row r="321" spans="1:9">
      <c r="A321" s="2" t="s">
        <v>754</v>
      </c>
      <c r="B321" s="2" t="s">
        <v>755</v>
      </c>
      <c r="C321" s="368">
        <f>SUM(C299,C181,C154)/3</f>
        <v>6.419999999999999</v>
      </c>
      <c r="D321" s="368">
        <f t="shared" ref="D321:I321" si="3">SUM(D299,D181,D154)/3</f>
        <v>6.2333333333333334</v>
      </c>
      <c r="E321" s="368">
        <f t="shared" si="3"/>
        <v>6.3299999999999992</v>
      </c>
      <c r="F321" s="368">
        <f t="shared" si="3"/>
        <v>6.3900000000000006</v>
      </c>
      <c r="G321" s="368">
        <f t="shared" si="3"/>
        <v>6.5999999999999988</v>
      </c>
      <c r="H321" s="368">
        <f t="shared" si="3"/>
        <v>6.2899999999999991</v>
      </c>
      <c r="I321" s="368">
        <f t="shared" si="3"/>
        <v>6.9933333333333332</v>
      </c>
    </row>
    <row r="322" spans="1:9" ht="14.5">
      <c r="I322" s="362"/>
    </row>
    <row r="323" spans="1:9" ht="14.5">
      <c r="A323" s="354" t="s">
        <v>4677</v>
      </c>
      <c r="B323" s="34"/>
      <c r="C323" s="370"/>
      <c r="D323" s="370"/>
      <c r="E323" s="370"/>
      <c r="F323" s="370"/>
      <c r="I323" s="362"/>
    </row>
    <row r="325" spans="1:9">
      <c r="A325" s="2"/>
      <c r="B325" s="34"/>
      <c r="C325" s="371"/>
      <c r="D325" s="371"/>
      <c r="E325" s="371"/>
      <c r="F325" s="371"/>
    </row>
    <row r="326" spans="1:9">
      <c r="A326" s="2"/>
      <c r="B326" s="34"/>
      <c r="C326" s="371"/>
      <c r="D326" s="371"/>
      <c r="E326" s="371"/>
      <c r="F326" s="371"/>
    </row>
    <row r="327" spans="1:9">
      <c r="A327" s="2"/>
      <c r="B327" s="34"/>
      <c r="C327" s="371"/>
      <c r="D327" s="371"/>
      <c r="E327" s="371"/>
      <c r="F327" s="371"/>
    </row>
    <row r="328" spans="1:9">
      <c r="A328" s="2"/>
      <c r="B328" s="34"/>
      <c r="C328" s="371"/>
      <c r="D328" s="371"/>
      <c r="E328" s="371"/>
      <c r="F328" s="371"/>
    </row>
  </sheetData>
  <sheetProtection algorithmName="SHA-512" hashValue="R8kgFb37TMOCntj9Q9E7IY1kYWJX1/1s0bH0zwcD48pq50yBS9W4VGkDIiAb/aJVpm8boBwqUIsftk/kulN/ew==" saltValue="ly8ZGsM4+nolIxfTbR2MXw==" spinCount="100000" sheet="1" objects="1" scenarios="1"/>
  <conditionalFormatting sqref="H63:I317">
    <cfRule type="containsBlanks" dxfId="4" priority="3">
      <formula>LEN(TRIM(H63))=0</formula>
    </cfRule>
  </conditionalFormatting>
  <conditionalFormatting sqref="I63:I317">
    <cfRule type="cellIs" dxfId="3" priority="2" operator="equal">
      <formula>0</formula>
    </cfRule>
  </conditionalFormatting>
  <conditionalFormatting sqref="I1:I317 I2872:I1048576">
    <cfRule type="containsBlanks" dxfId="2" priority="1">
      <formula>LEN(TRIM(I1))=0</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249977111117893"/>
  </sheetPr>
  <dimension ref="A1:H328"/>
  <sheetViews>
    <sheetView topLeftCell="A42" zoomScale="62" workbookViewId="0">
      <selection activeCell="I62" sqref="I62"/>
    </sheetView>
  </sheetViews>
  <sheetFormatPr defaultColWidth="26" defaultRowHeight="14"/>
  <cols>
    <col min="1" max="1" width="10" style="8" bestFit="1" customWidth="1"/>
    <col min="2" max="2" width="35.453125" style="8" bestFit="1" customWidth="1"/>
    <col min="3" max="7" width="10" style="8" customWidth="1"/>
    <col min="8" max="8" width="12.453125" style="8" customWidth="1"/>
    <col min="9" max="16384" width="26" style="8"/>
  </cols>
  <sheetData>
    <row r="1" spans="1:8" s="12" customFormat="1" ht="36" customHeight="1">
      <c r="A1" s="38" t="s">
        <v>841</v>
      </c>
      <c r="B1" s="38" t="s">
        <v>842</v>
      </c>
      <c r="C1" s="24" t="s">
        <v>845</v>
      </c>
      <c r="D1" s="24" t="s">
        <v>846</v>
      </c>
      <c r="E1" s="24" t="s">
        <v>847</v>
      </c>
      <c r="F1" s="24" t="s">
        <v>848</v>
      </c>
      <c r="G1" s="25" t="s">
        <v>849</v>
      </c>
      <c r="H1" s="24" t="s">
        <v>850</v>
      </c>
    </row>
    <row r="2" spans="1:8">
      <c r="A2" s="38" t="s">
        <v>111</v>
      </c>
      <c r="B2" s="38" t="s">
        <v>112</v>
      </c>
      <c r="C2" s="38">
        <v>31</v>
      </c>
      <c r="D2" s="38">
        <v>64</v>
      </c>
      <c r="E2" s="38">
        <v>114</v>
      </c>
      <c r="F2" s="38">
        <v>113</v>
      </c>
      <c r="G2" s="38">
        <v>13</v>
      </c>
      <c r="H2" s="38">
        <v>209</v>
      </c>
    </row>
    <row r="3" spans="1:8">
      <c r="A3" s="38" t="s">
        <v>114</v>
      </c>
      <c r="B3" s="38" t="s">
        <v>115</v>
      </c>
      <c r="C3" s="38">
        <v>382</v>
      </c>
      <c r="D3" s="38">
        <v>250</v>
      </c>
      <c r="E3" s="38">
        <v>480</v>
      </c>
      <c r="F3" s="38">
        <v>337</v>
      </c>
      <c r="G3" s="38">
        <v>256</v>
      </c>
      <c r="H3" s="38">
        <v>300</v>
      </c>
    </row>
    <row r="4" spans="1:8">
      <c r="A4" s="38" t="s">
        <v>117</v>
      </c>
      <c r="B4" s="38" t="s">
        <v>118</v>
      </c>
      <c r="C4" s="38">
        <v>431</v>
      </c>
      <c r="D4" s="38">
        <v>563</v>
      </c>
      <c r="E4" s="38">
        <v>654</v>
      </c>
      <c r="F4" s="38">
        <v>594</v>
      </c>
      <c r="G4" s="38">
        <v>458</v>
      </c>
      <c r="H4" s="38">
        <v>509</v>
      </c>
    </row>
    <row r="5" spans="1:8">
      <c r="A5" s="38" t="s">
        <v>120</v>
      </c>
      <c r="B5" s="38" t="s">
        <v>121</v>
      </c>
      <c r="C5" s="38">
        <v>905</v>
      </c>
      <c r="D5" s="38">
        <v>618</v>
      </c>
      <c r="E5" s="38">
        <v>713</v>
      </c>
      <c r="F5" s="38">
        <v>609</v>
      </c>
      <c r="G5" s="38">
        <v>512</v>
      </c>
      <c r="H5" s="38">
        <v>691</v>
      </c>
    </row>
    <row r="6" spans="1:8">
      <c r="A6" s="38" t="s">
        <v>122</v>
      </c>
      <c r="B6" s="38" t="s">
        <v>123</v>
      </c>
      <c r="C6" s="38">
        <v>559</v>
      </c>
      <c r="D6" s="38">
        <v>544</v>
      </c>
      <c r="E6" s="38">
        <v>397</v>
      </c>
      <c r="F6" s="38">
        <v>300</v>
      </c>
      <c r="G6" s="38">
        <v>173</v>
      </c>
      <c r="H6" s="38">
        <v>265</v>
      </c>
    </row>
    <row r="7" spans="1:8">
      <c r="A7" s="38" t="s">
        <v>124</v>
      </c>
      <c r="B7" s="38" t="s">
        <v>125</v>
      </c>
      <c r="C7" s="41">
        <v>1022</v>
      </c>
      <c r="D7" s="38">
        <v>696</v>
      </c>
      <c r="E7" s="38">
        <v>591</v>
      </c>
      <c r="F7" s="38">
        <v>878</v>
      </c>
      <c r="G7" s="38">
        <v>708</v>
      </c>
      <c r="H7" s="41">
        <v>1099</v>
      </c>
    </row>
    <row r="8" spans="1:8">
      <c r="A8" s="38" t="s">
        <v>126</v>
      </c>
      <c r="B8" s="38" t="s">
        <v>127</v>
      </c>
      <c r="C8" s="38">
        <v>157</v>
      </c>
      <c r="D8" s="38">
        <v>226</v>
      </c>
      <c r="E8" s="38">
        <v>331</v>
      </c>
      <c r="F8" s="38">
        <v>579</v>
      </c>
      <c r="G8" s="38">
        <v>293</v>
      </c>
      <c r="H8" s="38">
        <v>527</v>
      </c>
    </row>
    <row r="9" spans="1:8">
      <c r="A9" s="38" t="s">
        <v>129</v>
      </c>
      <c r="B9" s="38" t="s">
        <v>130</v>
      </c>
      <c r="C9" s="38">
        <v>732</v>
      </c>
      <c r="D9" s="38">
        <v>596</v>
      </c>
      <c r="E9" s="38">
        <v>413</v>
      </c>
      <c r="F9" s="38">
        <v>906</v>
      </c>
      <c r="G9" s="38">
        <v>741</v>
      </c>
      <c r="H9" s="41">
        <v>1048</v>
      </c>
    </row>
    <row r="10" spans="1:8">
      <c r="A10" s="38" t="s">
        <v>132</v>
      </c>
      <c r="B10" s="38" t="s">
        <v>133</v>
      </c>
      <c r="C10" s="41">
        <v>1458</v>
      </c>
      <c r="D10" s="41">
        <v>1799</v>
      </c>
      <c r="E10" s="41">
        <v>2208</v>
      </c>
      <c r="F10" s="41">
        <v>2209</v>
      </c>
      <c r="G10" s="41">
        <v>1990</v>
      </c>
      <c r="H10" s="41">
        <v>2250</v>
      </c>
    </row>
    <row r="11" spans="1:8">
      <c r="A11" s="38" t="s">
        <v>134</v>
      </c>
      <c r="B11" s="38" t="s">
        <v>135</v>
      </c>
      <c r="C11" s="38">
        <v>706</v>
      </c>
      <c r="D11" s="38">
        <v>850</v>
      </c>
      <c r="E11" s="41">
        <v>1009</v>
      </c>
      <c r="F11" s="38">
        <v>988</v>
      </c>
      <c r="G11" s="41">
        <v>1052</v>
      </c>
      <c r="H11" s="38">
        <v>590</v>
      </c>
    </row>
    <row r="12" spans="1:8">
      <c r="A12" s="38" t="s">
        <v>137</v>
      </c>
      <c r="B12" s="38" t="s">
        <v>138</v>
      </c>
      <c r="C12" s="38">
        <v>87</v>
      </c>
      <c r="D12" s="38">
        <v>65</v>
      </c>
      <c r="E12" s="38">
        <v>96</v>
      </c>
      <c r="F12" s="38">
        <v>122</v>
      </c>
      <c r="G12" s="38">
        <v>103</v>
      </c>
      <c r="H12" s="38">
        <v>88</v>
      </c>
    </row>
    <row r="13" spans="1:8">
      <c r="A13" s="38" t="s">
        <v>139</v>
      </c>
      <c r="B13" s="38" t="s">
        <v>140</v>
      </c>
      <c r="C13" s="38">
        <v>816</v>
      </c>
      <c r="D13" s="38">
        <v>412</v>
      </c>
      <c r="E13" s="38">
        <v>341</v>
      </c>
      <c r="F13" s="38">
        <v>340</v>
      </c>
      <c r="G13" s="38">
        <v>460</v>
      </c>
      <c r="H13" s="38">
        <v>317</v>
      </c>
    </row>
    <row r="14" spans="1:8">
      <c r="A14" s="38" t="s">
        <v>141</v>
      </c>
      <c r="B14" s="38" t="s">
        <v>142</v>
      </c>
      <c r="C14" s="38">
        <v>471</v>
      </c>
      <c r="D14" s="38">
        <v>555</v>
      </c>
      <c r="E14" s="38">
        <v>828</v>
      </c>
      <c r="F14" s="41">
        <v>1200</v>
      </c>
      <c r="G14" s="41">
        <v>1574</v>
      </c>
      <c r="H14" s="41">
        <v>1241</v>
      </c>
    </row>
    <row r="15" spans="1:8">
      <c r="A15" s="38" t="s">
        <v>143</v>
      </c>
      <c r="B15" s="38" t="s">
        <v>144</v>
      </c>
      <c r="C15" s="38">
        <v>338</v>
      </c>
      <c r="D15" s="38">
        <v>462</v>
      </c>
      <c r="E15" s="38">
        <v>551</v>
      </c>
      <c r="F15" s="38">
        <v>434</v>
      </c>
      <c r="G15" s="38">
        <v>694</v>
      </c>
      <c r="H15" s="38">
        <v>776</v>
      </c>
    </row>
    <row r="16" spans="1:8">
      <c r="A16" s="38" t="s">
        <v>145</v>
      </c>
      <c r="B16" s="38" t="s">
        <v>146</v>
      </c>
      <c r="C16" s="38">
        <v>809</v>
      </c>
      <c r="D16" s="38">
        <v>871</v>
      </c>
      <c r="E16" s="41">
        <v>1245</v>
      </c>
      <c r="F16" s="41">
        <v>1040</v>
      </c>
      <c r="G16" s="41">
        <v>1167</v>
      </c>
      <c r="H16" s="38">
        <v>764</v>
      </c>
    </row>
    <row r="17" spans="1:8">
      <c r="A17" s="38" t="s">
        <v>148</v>
      </c>
      <c r="B17" s="38" t="s">
        <v>149</v>
      </c>
      <c r="C17" s="38">
        <v>964</v>
      </c>
      <c r="D17" s="41">
        <v>1255</v>
      </c>
      <c r="E17" s="41">
        <v>1350</v>
      </c>
      <c r="F17" s="41">
        <v>1359</v>
      </c>
      <c r="G17" s="41">
        <v>1026</v>
      </c>
      <c r="H17" s="41">
        <v>1199</v>
      </c>
    </row>
    <row r="18" spans="1:8">
      <c r="A18" s="38" t="s">
        <v>150</v>
      </c>
      <c r="B18" s="38" t="s">
        <v>151</v>
      </c>
      <c r="C18" s="38">
        <v>-132</v>
      </c>
      <c r="D18" s="38">
        <v>764</v>
      </c>
      <c r="E18" s="38">
        <v>277</v>
      </c>
      <c r="F18" s="38">
        <v>486</v>
      </c>
      <c r="G18" s="38">
        <v>208</v>
      </c>
      <c r="H18" s="38">
        <v>632</v>
      </c>
    </row>
    <row r="19" spans="1:8">
      <c r="A19" s="38" t="s">
        <v>152</v>
      </c>
      <c r="B19" s="38" t="s">
        <v>153</v>
      </c>
      <c r="C19" s="41">
        <v>2839</v>
      </c>
      <c r="D19" s="41">
        <v>1751</v>
      </c>
      <c r="E19" s="41">
        <v>3160</v>
      </c>
      <c r="F19" s="41">
        <v>4187</v>
      </c>
      <c r="G19" s="41">
        <v>3795</v>
      </c>
      <c r="H19" s="41">
        <v>3481</v>
      </c>
    </row>
    <row r="20" spans="1:8">
      <c r="A20" s="38" t="s">
        <v>155</v>
      </c>
      <c r="B20" s="38" t="s">
        <v>156</v>
      </c>
      <c r="C20" s="38">
        <v>733</v>
      </c>
      <c r="D20" s="38">
        <v>743</v>
      </c>
      <c r="E20" s="38">
        <v>588</v>
      </c>
      <c r="F20" s="38">
        <v>522</v>
      </c>
      <c r="G20" s="38">
        <v>427</v>
      </c>
      <c r="H20" s="38">
        <v>292</v>
      </c>
    </row>
    <row r="21" spans="1:8">
      <c r="A21" s="38" t="s">
        <v>157</v>
      </c>
      <c r="B21" s="38" t="s">
        <v>158</v>
      </c>
      <c r="C21" s="38">
        <v>95</v>
      </c>
      <c r="D21" s="38">
        <v>139</v>
      </c>
      <c r="E21" s="38">
        <v>279</v>
      </c>
      <c r="F21" s="38">
        <v>485</v>
      </c>
      <c r="G21" s="38">
        <v>303</v>
      </c>
      <c r="H21" s="38">
        <v>484</v>
      </c>
    </row>
    <row r="22" spans="1:8">
      <c r="A22" s="38" t="s">
        <v>159</v>
      </c>
      <c r="B22" s="38" t="s">
        <v>160</v>
      </c>
      <c r="C22" s="38">
        <v>250</v>
      </c>
      <c r="D22" s="38">
        <v>-146</v>
      </c>
      <c r="E22" s="38">
        <v>276</v>
      </c>
      <c r="F22" s="38">
        <v>368</v>
      </c>
      <c r="G22" s="38">
        <v>335</v>
      </c>
      <c r="H22" s="38">
        <v>161</v>
      </c>
    </row>
    <row r="23" spans="1:8">
      <c r="A23" s="38" t="s">
        <v>161</v>
      </c>
      <c r="B23" s="38" t="s">
        <v>162</v>
      </c>
      <c r="C23" s="38">
        <v>326</v>
      </c>
      <c r="D23" s="38">
        <v>293</v>
      </c>
      <c r="E23" s="38">
        <v>248</v>
      </c>
      <c r="F23" s="38">
        <v>291</v>
      </c>
      <c r="G23" s="38">
        <v>439</v>
      </c>
      <c r="H23" s="38">
        <v>446</v>
      </c>
    </row>
    <row r="24" spans="1:8">
      <c r="A24" s="38" t="s">
        <v>163</v>
      </c>
      <c r="B24" s="38" t="s">
        <v>164</v>
      </c>
      <c r="C24" s="38">
        <v>512</v>
      </c>
      <c r="D24" s="38">
        <v>437</v>
      </c>
      <c r="E24" s="38">
        <v>483</v>
      </c>
      <c r="F24" s="38">
        <v>544</v>
      </c>
      <c r="G24" s="38">
        <v>463</v>
      </c>
      <c r="H24" s="38">
        <v>547</v>
      </c>
    </row>
    <row r="25" spans="1:8">
      <c r="A25" s="38" t="s">
        <v>165</v>
      </c>
      <c r="B25" s="38" t="s">
        <v>166</v>
      </c>
      <c r="C25" s="38">
        <v>180</v>
      </c>
      <c r="D25" s="38">
        <v>351</v>
      </c>
      <c r="E25" s="38">
        <v>394</v>
      </c>
      <c r="F25" s="38">
        <v>429</v>
      </c>
      <c r="G25" s="38">
        <v>324</v>
      </c>
      <c r="H25" s="38">
        <v>294</v>
      </c>
    </row>
    <row r="26" spans="1:8">
      <c r="A26" s="38" t="s">
        <v>167</v>
      </c>
      <c r="B26" s="38" t="s">
        <v>168</v>
      </c>
      <c r="C26" s="41">
        <v>1167</v>
      </c>
      <c r="D26" s="41">
        <v>1405</v>
      </c>
      <c r="E26" s="41">
        <v>1042</v>
      </c>
      <c r="F26" s="38" t="s">
        <v>851</v>
      </c>
      <c r="G26" s="41">
        <v>1703</v>
      </c>
      <c r="H26" s="38">
        <v>790</v>
      </c>
    </row>
    <row r="27" spans="1:8">
      <c r="A27" s="38" t="s">
        <v>169</v>
      </c>
      <c r="B27" s="38" t="s">
        <v>170</v>
      </c>
      <c r="C27" s="38">
        <v>336</v>
      </c>
      <c r="D27" s="38">
        <v>437</v>
      </c>
      <c r="E27" s="38">
        <v>416</v>
      </c>
      <c r="F27" s="38">
        <v>755</v>
      </c>
      <c r="G27" s="41">
        <v>1688</v>
      </c>
      <c r="H27" s="38">
        <v>996</v>
      </c>
    </row>
    <row r="28" spans="1:8">
      <c r="A28" s="38" t="s">
        <v>171</v>
      </c>
      <c r="B28" s="38" t="s">
        <v>172</v>
      </c>
      <c r="C28" s="38">
        <v>907</v>
      </c>
      <c r="D28" s="41">
        <v>1488</v>
      </c>
      <c r="E28" s="41">
        <v>1621</v>
      </c>
      <c r="F28" s="41">
        <v>1614</v>
      </c>
      <c r="G28" s="41">
        <v>1010</v>
      </c>
      <c r="H28" s="38">
        <v>522</v>
      </c>
    </row>
    <row r="29" spans="1:8">
      <c r="A29" s="38" t="s">
        <v>173</v>
      </c>
      <c r="B29" s="38" t="s">
        <v>174</v>
      </c>
      <c r="C29" s="38">
        <v>523</v>
      </c>
      <c r="D29" s="38">
        <v>291</v>
      </c>
      <c r="E29" s="38">
        <v>491</v>
      </c>
      <c r="F29" s="38">
        <v>534</v>
      </c>
      <c r="G29" s="38">
        <v>884</v>
      </c>
      <c r="H29" s="38">
        <v>846</v>
      </c>
    </row>
    <row r="30" spans="1:8">
      <c r="A30" s="38" t="s">
        <v>175</v>
      </c>
      <c r="B30" s="38" t="s">
        <v>176</v>
      </c>
      <c r="C30" s="38">
        <v>617</v>
      </c>
      <c r="D30" s="38">
        <v>793</v>
      </c>
      <c r="E30" s="38">
        <v>530</v>
      </c>
      <c r="F30" s="38">
        <v>753</v>
      </c>
      <c r="G30" s="38">
        <v>587</v>
      </c>
      <c r="H30" s="38">
        <v>551</v>
      </c>
    </row>
    <row r="31" spans="1:8">
      <c r="A31" s="38" t="s">
        <v>177</v>
      </c>
      <c r="B31" s="38" t="s">
        <v>178</v>
      </c>
      <c r="C31" s="41">
        <v>1051</v>
      </c>
      <c r="D31" s="41">
        <v>1364</v>
      </c>
      <c r="E31" s="38">
        <v>694</v>
      </c>
      <c r="F31" s="41">
        <v>1741</v>
      </c>
      <c r="G31" s="41">
        <v>2433</v>
      </c>
      <c r="H31" s="41">
        <v>2404</v>
      </c>
    </row>
    <row r="32" spans="1:8">
      <c r="A32" s="38" t="s">
        <v>179</v>
      </c>
      <c r="B32" s="38" t="s">
        <v>180</v>
      </c>
      <c r="C32" s="38">
        <v>111</v>
      </c>
      <c r="D32" s="38">
        <v>150</v>
      </c>
      <c r="E32" s="38">
        <v>213</v>
      </c>
      <c r="F32" s="38">
        <v>211</v>
      </c>
      <c r="G32" s="38">
        <v>395</v>
      </c>
      <c r="H32" s="38">
        <v>168</v>
      </c>
    </row>
    <row r="33" spans="1:8">
      <c r="A33" s="38" t="s">
        <v>181</v>
      </c>
      <c r="B33" s="38" t="s">
        <v>182</v>
      </c>
      <c r="C33" s="38">
        <v>687</v>
      </c>
      <c r="D33" s="38">
        <v>353</v>
      </c>
      <c r="E33" s="38">
        <v>444</v>
      </c>
      <c r="F33" s="38">
        <v>380</v>
      </c>
      <c r="G33" s="38">
        <v>558</v>
      </c>
      <c r="H33" s="38">
        <v>782</v>
      </c>
    </row>
    <row r="34" spans="1:8">
      <c r="A34" s="38" t="s">
        <v>183</v>
      </c>
      <c r="B34" s="38" t="s">
        <v>184</v>
      </c>
      <c r="C34" s="41">
        <v>1539</v>
      </c>
      <c r="D34" s="41">
        <v>1994</v>
      </c>
      <c r="E34" s="41">
        <v>1640</v>
      </c>
      <c r="F34" s="41">
        <v>1638</v>
      </c>
      <c r="G34" s="41">
        <v>1326</v>
      </c>
      <c r="H34" s="41">
        <v>1621</v>
      </c>
    </row>
    <row r="35" spans="1:8">
      <c r="A35" s="38" t="s">
        <v>185</v>
      </c>
      <c r="B35" s="38" t="s">
        <v>186</v>
      </c>
      <c r="C35" s="38">
        <v>772</v>
      </c>
      <c r="D35" s="38">
        <v>700</v>
      </c>
      <c r="E35" s="38">
        <v>679</v>
      </c>
      <c r="F35" s="38">
        <v>640</v>
      </c>
      <c r="G35" s="38">
        <v>663</v>
      </c>
      <c r="H35" s="38">
        <v>499</v>
      </c>
    </row>
    <row r="36" spans="1:8">
      <c r="A36" s="38" t="s">
        <v>187</v>
      </c>
      <c r="B36" s="38" t="s">
        <v>188</v>
      </c>
      <c r="C36" s="38">
        <v>700</v>
      </c>
      <c r="D36" s="38">
        <v>858</v>
      </c>
      <c r="E36" s="38">
        <v>554</v>
      </c>
      <c r="F36" s="38">
        <v>708</v>
      </c>
      <c r="G36" s="38">
        <v>485</v>
      </c>
      <c r="H36" s="38">
        <v>272</v>
      </c>
    </row>
    <row r="37" spans="1:8">
      <c r="A37" s="38" t="s">
        <v>189</v>
      </c>
      <c r="B37" s="38" t="s">
        <v>190</v>
      </c>
      <c r="C37" s="38">
        <v>477</v>
      </c>
      <c r="D37" s="38">
        <v>297</v>
      </c>
      <c r="E37" s="38">
        <v>513</v>
      </c>
      <c r="F37" s="38">
        <v>202</v>
      </c>
      <c r="G37" s="38">
        <v>264</v>
      </c>
      <c r="H37" s="38">
        <v>151</v>
      </c>
    </row>
    <row r="38" spans="1:8">
      <c r="A38" s="38" t="s">
        <v>191</v>
      </c>
      <c r="B38" s="38" t="s">
        <v>192</v>
      </c>
      <c r="C38" s="38">
        <v>177</v>
      </c>
      <c r="D38" s="38">
        <v>254</v>
      </c>
      <c r="E38" s="38">
        <v>299</v>
      </c>
      <c r="F38" s="38">
        <v>459</v>
      </c>
      <c r="G38" s="38">
        <v>150</v>
      </c>
      <c r="H38" s="38">
        <v>202</v>
      </c>
    </row>
    <row r="39" spans="1:8">
      <c r="A39" s="38" t="s">
        <v>193</v>
      </c>
      <c r="B39" s="38" t="s">
        <v>194</v>
      </c>
      <c r="C39" s="38">
        <v>101</v>
      </c>
      <c r="D39" s="38">
        <v>285</v>
      </c>
      <c r="E39" s="38">
        <v>314</v>
      </c>
      <c r="F39" s="38">
        <v>215</v>
      </c>
      <c r="G39" s="38">
        <v>192</v>
      </c>
      <c r="H39" s="38">
        <v>255</v>
      </c>
    </row>
    <row r="40" spans="1:8">
      <c r="A40" s="38" t="s">
        <v>195</v>
      </c>
      <c r="B40" s="38" t="s">
        <v>196</v>
      </c>
      <c r="C40" s="41">
        <v>1824</v>
      </c>
      <c r="D40" s="41">
        <v>2914</v>
      </c>
      <c r="E40" s="41">
        <v>2550</v>
      </c>
      <c r="F40" s="38" t="s">
        <v>851</v>
      </c>
      <c r="G40" s="38" t="s">
        <v>851</v>
      </c>
      <c r="H40" s="41">
        <v>1980</v>
      </c>
    </row>
    <row r="41" spans="1:8">
      <c r="A41" s="38" t="s">
        <v>197</v>
      </c>
      <c r="B41" s="38" t="s">
        <v>198</v>
      </c>
      <c r="C41" s="38">
        <v>208</v>
      </c>
      <c r="D41" s="38">
        <v>201</v>
      </c>
      <c r="E41" s="38">
        <v>335</v>
      </c>
      <c r="F41" s="38">
        <v>251</v>
      </c>
      <c r="G41" s="38">
        <v>165</v>
      </c>
      <c r="H41" s="38">
        <v>234</v>
      </c>
    </row>
    <row r="42" spans="1:8">
      <c r="A42" s="38" t="s">
        <v>199</v>
      </c>
      <c r="B42" s="38" t="s">
        <v>200</v>
      </c>
      <c r="C42" s="38">
        <v>335</v>
      </c>
      <c r="D42" s="38">
        <v>368</v>
      </c>
      <c r="E42" s="38">
        <v>275</v>
      </c>
      <c r="F42" s="38">
        <v>390</v>
      </c>
      <c r="G42" s="38">
        <v>200</v>
      </c>
      <c r="H42" s="38">
        <v>214</v>
      </c>
    </row>
    <row r="43" spans="1:8">
      <c r="A43" s="38" t="s">
        <v>201</v>
      </c>
      <c r="B43" s="38" t="s">
        <v>202</v>
      </c>
      <c r="C43" s="38">
        <v>329</v>
      </c>
      <c r="D43" s="38">
        <v>376</v>
      </c>
      <c r="E43" s="38">
        <v>294</v>
      </c>
      <c r="F43" s="38">
        <v>556</v>
      </c>
      <c r="G43" s="38">
        <v>347</v>
      </c>
      <c r="H43" s="38">
        <v>263</v>
      </c>
    </row>
    <row r="44" spans="1:8">
      <c r="A44" s="38" t="s">
        <v>203</v>
      </c>
      <c r="B44" s="38" t="s">
        <v>204</v>
      </c>
      <c r="C44" s="38">
        <v>884</v>
      </c>
      <c r="D44" s="41">
        <v>1178</v>
      </c>
      <c r="E44" s="41">
        <v>1152</v>
      </c>
      <c r="F44" s="38">
        <v>877</v>
      </c>
      <c r="G44" s="38">
        <v>464</v>
      </c>
      <c r="H44" s="38">
        <v>420</v>
      </c>
    </row>
    <row r="45" spans="1:8">
      <c r="A45" s="38" t="s">
        <v>205</v>
      </c>
      <c r="B45" s="38" t="s">
        <v>206</v>
      </c>
      <c r="C45" s="38">
        <v>965</v>
      </c>
      <c r="D45" s="41">
        <v>1208</v>
      </c>
      <c r="E45" s="38">
        <v>945</v>
      </c>
      <c r="F45" s="38">
        <v>827</v>
      </c>
      <c r="G45" s="38">
        <v>985</v>
      </c>
      <c r="H45" s="38">
        <v>509</v>
      </c>
    </row>
    <row r="46" spans="1:8">
      <c r="A46" s="38" t="s">
        <v>207</v>
      </c>
      <c r="B46" s="38" t="s">
        <v>208</v>
      </c>
      <c r="C46" s="38">
        <v>-6</v>
      </c>
      <c r="D46" s="38">
        <v>372</v>
      </c>
      <c r="E46" s="38">
        <v>625</v>
      </c>
      <c r="F46" s="38">
        <v>234</v>
      </c>
      <c r="G46" s="38">
        <v>930</v>
      </c>
      <c r="H46" s="38">
        <v>319</v>
      </c>
    </row>
    <row r="47" spans="1:8">
      <c r="A47" s="38" t="s">
        <v>209</v>
      </c>
      <c r="B47" s="38" t="s">
        <v>210</v>
      </c>
      <c r="C47" s="38">
        <v>296</v>
      </c>
      <c r="D47" s="38">
        <v>417</v>
      </c>
      <c r="E47" s="41">
        <v>1139</v>
      </c>
      <c r="F47" s="38">
        <v>430</v>
      </c>
      <c r="G47" s="38">
        <v>536</v>
      </c>
      <c r="H47" s="38">
        <v>438</v>
      </c>
    </row>
    <row r="48" spans="1:8">
      <c r="A48" s="38" t="s">
        <v>211</v>
      </c>
      <c r="B48" s="38" t="s">
        <v>212</v>
      </c>
      <c r="C48" s="38">
        <v>502</v>
      </c>
      <c r="D48" s="38">
        <v>541</v>
      </c>
      <c r="E48" s="38">
        <v>505</v>
      </c>
      <c r="F48" s="38">
        <v>592</v>
      </c>
      <c r="G48" s="38">
        <v>663</v>
      </c>
      <c r="H48" s="38">
        <v>471</v>
      </c>
    </row>
    <row r="49" spans="1:8">
      <c r="A49" s="38" t="s">
        <v>213</v>
      </c>
      <c r="B49" s="38" t="s">
        <v>214</v>
      </c>
      <c r="C49" s="38">
        <v>118</v>
      </c>
      <c r="D49" s="38">
        <v>114</v>
      </c>
      <c r="E49" s="38">
        <v>163</v>
      </c>
      <c r="F49" s="38">
        <v>203</v>
      </c>
      <c r="G49" s="38">
        <v>74</v>
      </c>
      <c r="H49" s="38">
        <v>171</v>
      </c>
    </row>
    <row r="50" spans="1:8">
      <c r="A50" s="38" t="s">
        <v>215</v>
      </c>
      <c r="B50" s="38" t="s">
        <v>216</v>
      </c>
      <c r="C50" s="41">
        <v>1626</v>
      </c>
      <c r="D50" s="41">
        <v>1773</v>
      </c>
      <c r="E50" s="41">
        <v>2103</v>
      </c>
      <c r="F50" s="41">
        <v>2102</v>
      </c>
      <c r="G50" s="41">
        <v>2622</v>
      </c>
      <c r="H50" s="41">
        <v>2135</v>
      </c>
    </row>
    <row r="51" spans="1:8">
      <c r="A51" s="38" t="s">
        <v>217</v>
      </c>
      <c r="B51" s="38" t="s">
        <v>218</v>
      </c>
      <c r="C51" s="38">
        <v>831</v>
      </c>
      <c r="D51" s="38">
        <v>903</v>
      </c>
      <c r="E51" s="41">
        <v>1070</v>
      </c>
      <c r="F51" s="41">
        <v>1032</v>
      </c>
      <c r="G51" s="38">
        <v>805</v>
      </c>
      <c r="H51" s="41">
        <v>1080</v>
      </c>
    </row>
    <row r="52" spans="1:8">
      <c r="A52" s="38" t="s">
        <v>219</v>
      </c>
      <c r="B52" s="38" t="s">
        <v>220</v>
      </c>
      <c r="C52" s="38">
        <v>792</v>
      </c>
      <c r="D52" s="41">
        <v>1002</v>
      </c>
      <c r="E52" s="41">
        <v>1008</v>
      </c>
      <c r="F52" s="41">
        <v>1256</v>
      </c>
      <c r="G52" s="38">
        <v>832</v>
      </c>
      <c r="H52" s="38">
        <v>829</v>
      </c>
    </row>
    <row r="53" spans="1:8">
      <c r="A53" s="38" t="s">
        <v>221</v>
      </c>
      <c r="B53" s="38" t="s">
        <v>222</v>
      </c>
      <c r="C53" s="38">
        <v>397</v>
      </c>
      <c r="D53" s="38">
        <v>297</v>
      </c>
      <c r="E53" s="38">
        <v>493</v>
      </c>
      <c r="F53" s="38">
        <v>783</v>
      </c>
      <c r="G53" s="38">
        <v>457</v>
      </c>
      <c r="H53" s="38">
        <v>384</v>
      </c>
    </row>
    <row r="54" spans="1:8">
      <c r="A54" s="38" t="s">
        <v>223</v>
      </c>
      <c r="B54" s="38" t="s">
        <v>224</v>
      </c>
      <c r="C54" s="41">
        <v>1425</v>
      </c>
      <c r="D54" s="41">
        <v>1102</v>
      </c>
      <c r="E54" s="41">
        <v>1387</v>
      </c>
      <c r="F54" s="41">
        <v>1489</v>
      </c>
      <c r="G54" s="41">
        <v>1159</v>
      </c>
      <c r="H54" s="41">
        <v>1192</v>
      </c>
    </row>
    <row r="55" spans="1:8">
      <c r="A55" s="38" t="s">
        <v>225</v>
      </c>
      <c r="B55" s="38" t="s">
        <v>226</v>
      </c>
      <c r="C55" s="41">
        <v>1573</v>
      </c>
      <c r="D55" s="41">
        <v>1763</v>
      </c>
      <c r="E55" s="41">
        <v>2298</v>
      </c>
      <c r="F55" s="41">
        <v>2935</v>
      </c>
      <c r="G55" s="41">
        <v>3131</v>
      </c>
      <c r="H55" s="41">
        <v>2275</v>
      </c>
    </row>
    <row r="56" spans="1:8">
      <c r="A56" s="38" t="s">
        <v>227</v>
      </c>
      <c r="B56" s="38" t="s">
        <v>228</v>
      </c>
      <c r="C56" s="41">
        <v>1769</v>
      </c>
      <c r="D56" s="41">
        <v>2020</v>
      </c>
      <c r="E56" s="41">
        <v>2546</v>
      </c>
      <c r="F56" s="41">
        <v>2154</v>
      </c>
      <c r="G56" s="41">
        <v>1849</v>
      </c>
      <c r="H56" s="41">
        <v>1335</v>
      </c>
    </row>
    <row r="57" spans="1:8">
      <c r="A57" s="38" t="s">
        <v>229</v>
      </c>
      <c r="B57" s="38" t="s">
        <v>230</v>
      </c>
      <c r="C57" s="38">
        <v>206</v>
      </c>
      <c r="D57" s="38">
        <v>130</v>
      </c>
      <c r="E57" s="38">
        <v>110</v>
      </c>
      <c r="F57" s="38">
        <v>212</v>
      </c>
      <c r="G57" s="38">
        <v>304</v>
      </c>
      <c r="H57" s="38">
        <v>276</v>
      </c>
    </row>
    <row r="58" spans="1:8">
      <c r="A58" s="38" t="s">
        <v>231</v>
      </c>
      <c r="B58" s="38" t="s">
        <v>232</v>
      </c>
      <c r="C58" s="38">
        <v>580</v>
      </c>
      <c r="D58" s="38">
        <v>564</v>
      </c>
      <c r="E58" s="38">
        <v>690</v>
      </c>
      <c r="F58" s="38">
        <v>635</v>
      </c>
      <c r="G58" s="38">
        <v>542</v>
      </c>
      <c r="H58" s="38">
        <v>530</v>
      </c>
    </row>
    <row r="59" spans="1:8">
      <c r="A59" s="38" t="s">
        <v>233</v>
      </c>
      <c r="B59" s="38" t="s">
        <v>234</v>
      </c>
      <c r="C59" s="38">
        <v>606</v>
      </c>
      <c r="D59" s="38">
        <v>517</v>
      </c>
      <c r="E59" s="38">
        <v>661</v>
      </c>
      <c r="F59" s="38">
        <v>573</v>
      </c>
      <c r="G59" s="38">
        <v>640</v>
      </c>
      <c r="H59" s="38">
        <v>306</v>
      </c>
    </row>
    <row r="60" spans="1:8">
      <c r="A60" s="38" t="s">
        <v>235</v>
      </c>
      <c r="B60" s="38" t="s">
        <v>236</v>
      </c>
      <c r="C60" s="38">
        <v>77</v>
      </c>
      <c r="D60" s="38">
        <v>7</v>
      </c>
      <c r="E60" s="38">
        <v>138</v>
      </c>
      <c r="F60" s="38">
        <v>351</v>
      </c>
      <c r="G60" s="38">
        <v>297</v>
      </c>
      <c r="H60" s="38">
        <v>206</v>
      </c>
    </row>
    <row r="61" spans="1:8">
      <c r="A61" s="38" t="s">
        <v>237</v>
      </c>
      <c r="B61" s="38" t="s">
        <v>238</v>
      </c>
      <c r="C61" s="38">
        <v>933</v>
      </c>
      <c r="D61" s="38">
        <v>912</v>
      </c>
      <c r="E61" s="41">
        <v>1048</v>
      </c>
      <c r="F61" s="41">
        <v>1175</v>
      </c>
      <c r="G61" s="38">
        <v>785</v>
      </c>
      <c r="H61" s="38">
        <v>741</v>
      </c>
    </row>
    <row r="62" spans="1:8">
      <c r="A62" s="38" t="s">
        <v>239</v>
      </c>
      <c r="B62" s="38" t="s">
        <v>240</v>
      </c>
      <c r="C62" s="38">
        <v>128</v>
      </c>
      <c r="D62" s="38">
        <v>154</v>
      </c>
      <c r="E62" s="38">
        <v>132</v>
      </c>
      <c r="F62" s="38">
        <v>117</v>
      </c>
      <c r="G62" s="38">
        <v>165</v>
      </c>
      <c r="H62" s="38">
        <v>107</v>
      </c>
    </row>
    <row r="63" spans="1:8">
      <c r="A63" s="38" t="s">
        <v>241</v>
      </c>
      <c r="B63" s="38" t="s">
        <v>242</v>
      </c>
      <c r="C63" s="38">
        <v>369</v>
      </c>
      <c r="D63" s="38">
        <v>375</v>
      </c>
      <c r="E63" s="38">
        <v>597</v>
      </c>
      <c r="F63" s="38">
        <v>632</v>
      </c>
      <c r="G63" s="38">
        <v>371</v>
      </c>
      <c r="H63" s="34"/>
    </row>
    <row r="64" spans="1:8">
      <c r="A64" s="38" t="s">
        <v>243</v>
      </c>
      <c r="B64" s="38" t="s">
        <v>244</v>
      </c>
      <c r="C64" s="41">
        <v>2597</v>
      </c>
      <c r="D64" s="41">
        <v>3074</v>
      </c>
      <c r="E64" s="41">
        <v>3427</v>
      </c>
      <c r="F64" s="41">
        <v>3109</v>
      </c>
      <c r="G64" s="41">
        <v>3037</v>
      </c>
      <c r="H64" s="41">
        <v>2664</v>
      </c>
    </row>
    <row r="65" spans="1:8">
      <c r="A65" s="38" t="s">
        <v>245</v>
      </c>
      <c r="B65" s="38" t="s">
        <v>246</v>
      </c>
      <c r="C65" s="38">
        <v>599</v>
      </c>
      <c r="D65" s="38">
        <v>754</v>
      </c>
      <c r="E65" s="38">
        <v>911</v>
      </c>
      <c r="F65" s="38">
        <v>806</v>
      </c>
      <c r="G65" s="38">
        <v>312</v>
      </c>
      <c r="H65" s="38">
        <v>378</v>
      </c>
    </row>
    <row r="66" spans="1:8">
      <c r="A66" s="38" t="s">
        <v>247</v>
      </c>
      <c r="B66" s="38" t="s">
        <v>248</v>
      </c>
      <c r="C66" s="41">
        <v>1406</v>
      </c>
      <c r="D66" s="41">
        <v>1129</v>
      </c>
      <c r="E66" s="41">
        <v>1095</v>
      </c>
      <c r="F66" s="41">
        <v>1499</v>
      </c>
      <c r="G66" s="41">
        <v>2241</v>
      </c>
      <c r="H66" s="38">
        <v>589</v>
      </c>
    </row>
    <row r="67" spans="1:8">
      <c r="A67" s="38" t="s">
        <v>249</v>
      </c>
      <c r="B67" s="38" t="s">
        <v>250</v>
      </c>
      <c r="C67" s="38">
        <v>187</v>
      </c>
      <c r="D67" s="38">
        <v>230</v>
      </c>
      <c r="E67" s="38">
        <v>239</v>
      </c>
      <c r="F67" s="38">
        <v>250</v>
      </c>
      <c r="G67" s="38">
        <v>291</v>
      </c>
      <c r="H67" s="38">
        <v>188</v>
      </c>
    </row>
    <row r="68" spans="1:8">
      <c r="A68" s="38" t="s">
        <v>251</v>
      </c>
      <c r="B68" s="38" t="s">
        <v>252</v>
      </c>
      <c r="C68" s="38">
        <v>556</v>
      </c>
      <c r="D68" s="38">
        <v>596</v>
      </c>
      <c r="E68" s="38">
        <v>369</v>
      </c>
      <c r="F68" s="38">
        <v>512</v>
      </c>
      <c r="G68" s="38">
        <v>452</v>
      </c>
      <c r="H68" s="38">
        <v>568</v>
      </c>
    </row>
    <row r="69" spans="1:8">
      <c r="A69" s="38" t="s">
        <v>253</v>
      </c>
      <c r="B69" s="38" t="s">
        <v>254</v>
      </c>
      <c r="C69" s="41">
        <v>2044</v>
      </c>
      <c r="D69" s="41">
        <v>2835</v>
      </c>
      <c r="E69" s="41">
        <v>2076</v>
      </c>
      <c r="F69" s="41">
        <v>1590</v>
      </c>
      <c r="G69" s="41">
        <v>1657</v>
      </c>
      <c r="H69" s="41">
        <v>2029</v>
      </c>
    </row>
    <row r="70" spans="1:8">
      <c r="A70" s="38" t="s">
        <v>255</v>
      </c>
      <c r="B70" s="38" t="s">
        <v>256</v>
      </c>
      <c r="C70" s="38">
        <v>654</v>
      </c>
      <c r="D70" s="38">
        <v>737</v>
      </c>
      <c r="E70" s="38">
        <v>586</v>
      </c>
      <c r="F70" s="38">
        <v>557</v>
      </c>
      <c r="G70" s="38">
        <v>488</v>
      </c>
      <c r="H70" s="38">
        <v>751</v>
      </c>
    </row>
    <row r="71" spans="1:8">
      <c r="A71" s="38" t="s">
        <v>257</v>
      </c>
      <c r="B71" s="38" t="s">
        <v>258</v>
      </c>
      <c r="C71" s="38">
        <v>303</v>
      </c>
      <c r="D71" s="38">
        <v>164</v>
      </c>
      <c r="E71" s="38">
        <v>540</v>
      </c>
      <c r="F71" s="38">
        <v>538</v>
      </c>
      <c r="G71" s="38">
        <v>533</v>
      </c>
      <c r="H71" s="38">
        <v>542</v>
      </c>
    </row>
    <row r="72" spans="1:8">
      <c r="A72" s="38" t="s">
        <v>260</v>
      </c>
      <c r="B72" s="38" t="s">
        <v>261</v>
      </c>
      <c r="C72" s="38">
        <v>971</v>
      </c>
      <c r="D72" s="41">
        <v>1162</v>
      </c>
      <c r="E72" s="41">
        <v>1031</v>
      </c>
      <c r="F72" s="41">
        <v>1013</v>
      </c>
      <c r="G72" s="38">
        <v>540</v>
      </c>
      <c r="H72" s="38">
        <v>606</v>
      </c>
    </row>
    <row r="73" spans="1:8">
      <c r="A73" s="38" t="s">
        <v>262</v>
      </c>
      <c r="B73" s="38" t="s">
        <v>263</v>
      </c>
      <c r="C73" s="38">
        <v>576</v>
      </c>
      <c r="D73" s="38">
        <v>563</v>
      </c>
      <c r="E73" s="38">
        <v>854</v>
      </c>
      <c r="F73" s="38">
        <v>796</v>
      </c>
      <c r="G73" s="38">
        <v>549</v>
      </c>
      <c r="H73" s="34"/>
    </row>
    <row r="74" spans="1:8">
      <c r="A74" s="38" t="s">
        <v>264</v>
      </c>
      <c r="B74" s="38" t="s">
        <v>265</v>
      </c>
      <c r="C74" s="38">
        <v>484</v>
      </c>
      <c r="D74" s="38">
        <v>789</v>
      </c>
      <c r="E74" s="38">
        <v>787</v>
      </c>
      <c r="F74" s="38">
        <v>609</v>
      </c>
      <c r="G74" s="38">
        <v>540</v>
      </c>
      <c r="H74" s="38">
        <v>539</v>
      </c>
    </row>
    <row r="75" spans="1:8">
      <c r="A75" s="38" t="s">
        <v>266</v>
      </c>
      <c r="B75" s="38" t="s">
        <v>267</v>
      </c>
      <c r="C75" s="38">
        <v>142</v>
      </c>
      <c r="D75" s="38">
        <v>223</v>
      </c>
      <c r="E75" s="38">
        <v>309</v>
      </c>
      <c r="F75" s="38">
        <v>411</v>
      </c>
      <c r="G75" s="38">
        <v>435</v>
      </c>
      <c r="H75" s="38">
        <v>423</v>
      </c>
    </row>
    <row r="76" spans="1:8">
      <c r="A76" s="38" t="s">
        <v>268</v>
      </c>
      <c r="B76" s="38" t="s">
        <v>269</v>
      </c>
      <c r="C76" s="41">
        <v>1162</v>
      </c>
      <c r="D76" s="41">
        <v>1049</v>
      </c>
      <c r="E76" s="41">
        <v>1208</v>
      </c>
      <c r="F76" s="41">
        <v>1327</v>
      </c>
      <c r="G76" s="41">
        <v>1213</v>
      </c>
      <c r="H76" s="38">
        <v>761</v>
      </c>
    </row>
    <row r="77" spans="1:8">
      <c r="A77" s="38" t="s">
        <v>270</v>
      </c>
      <c r="B77" s="38" t="s">
        <v>271</v>
      </c>
      <c r="C77" s="41">
        <v>1330</v>
      </c>
      <c r="D77" s="41">
        <v>1127</v>
      </c>
      <c r="E77" s="41">
        <v>1228</v>
      </c>
      <c r="F77" s="38" t="s">
        <v>851</v>
      </c>
      <c r="G77" s="41">
        <v>1420</v>
      </c>
      <c r="H77" s="41">
        <v>1376</v>
      </c>
    </row>
    <row r="78" spans="1:8">
      <c r="A78" s="38" t="s">
        <v>272</v>
      </c>
      <c r="B78" s="38" t="s">
        <v>273</v>
      </c>
      <c r="C78" s="38">
        <v>745</v>
      </c>
      <c r="D78" s="38">
        <v>412</v>
      </c>
      <c r="E78" s="38">
        <v>446</v>
      </c>
      <c r="F78" s="38">
        <v>446</v>
      </c>
      <c r="G78" s="38">
        <v>442</v>
      </c>
      <c r="H78" s="38">
        <v>483</v>
      </c>
    </row>
    <row r="79" spans="1:8">
      <c r="A79" s="38" t="s">
        <v>274</v>
      </c>
      <c r="B79" s="38" t="s">
        <v>275</v>
      </c>
      <c r="C79" s="38">
        <v>502</v>
      </c>
      <c r="D79" s="38">
        <v>611</v>
      </c>
      <c r="E79" s="38">
        <v>712</v>
      </c>
      <c r="F79" s="38">
        <v>753</v>
      </c>
      <c r="G79" s="38">
        <v>720</v>
      </c>
      <c r="H79" s="38">
        <v>591</v>
      </c>
    </row>
    <row r="80" spans="1:8">
      <c r="A80" s="38" t="s">
        <v>276</v>
      </c>
      <c r="B80" s="38" t="s">
        <v>277</v>
      </c>
      <c r="C80" s="41">
        <v>1528</v>
      </c>
      <c r="D80" s="41">
        <v>1398</v>
      </c>
      <c r="E80" s="41">
        <v>1339</v>
      </c>
      <c r="F80" s="41">
        <v>1463</v>
      </c>
      <c r="G80" s="41">
        <v>1628</v>
      </c>
      <c r="H80" s="41">
        <v>1343</v>
      </c>
    </row>
    <row r="81" spans="1:8">
      <c r="A81" s="38" t="s">
        <v>278</v>
      </c>
      <c r="B81" s="38" t="s">
        <v>279</v>
      </c>
      <c r="C81" s="38">
        <v>721</v>
      </c>
      <c r="D81" s="38">
        <v>845</v>
      </c>
      <c r="E81" s="41">
        <v>1457</v>
      </c>
      <c r="F81" s="41">
        <v>1754</v>
      </c>
      <c r="G81" s="41">
        <v>1808</v>
      </c>
      <c r="H81" s="41">
        <v>1681</v>
      </c>
    </row>
    <row r="82" spans="1:8">
      <c r="A82" s="38" t="s">
        <v>280</v>
      </c>
      <c r="B82" s="38" t="s">
        <v>281</v>
      </c>
      <c r="C82" s="38">
        <v>181</v>
      </c>
      <c r="D82" s="38">
        <v>232</v>
      </c>
      <c r="E82" s="38">
        <v>289</v>
      </c>
      <c r="F82" s="38">
        <v>373</v>
      </c>
      <c r="G82" s="38">
        <v>470</v>
      </c>
      <c r="H82" s="38">
        <v>405</v>
      </c>
    </row>
    <row r="83" spans="1:8">
      <c r="A83" s="38" t="s">
        <v>282</v>
      </c>
      <c r="B83" s="38" t="s">
        <v>283</v>
      </c>
      <c r="C83" s="41">
        <v>1027</v>
      </c>
      <c r="D83" s="38">
        <v>724</v>
      </c>
      <c r="E83" s="38">
        <v>866</v>
      </c>
      <c r="F83" s="38">
        <v>929</v>
      </c>
      <c r="G83" s="41">
        <v>1065</v>
      </c>
      <c r="H83" s="38">
        <v>872</v>
      </c>
    </row>
    <row r="84" spans="1:8">
      <c r="A84" s="38" t="s">
        <v>284</v>
      </c>
      <c r="B84" s="38" t="s">
        <v>285</v>
      </c>
      <c r="C84" s="38">
        <v>406</v>
      </c>
      <c r="D84" s="38">
        <v>484</v>
      </c>
      <c r="E84" s="38">
        <v>893</v>
      </c>
      <c r="F84" s="41">
        <v>1112</v>
      </c>
      <c r="G84" s="38">
        <v>804</v>
      </c>
      <c r="H84" s="38">
        <v>419</v>
      </c>
    </row>
    <row r="85" spans="1:8">
      <c r="A85" s="38" t="s">
        <v>286</v>
      </c>
      <c r="B85" s="38" t="s">
        <v>287</v>
      </c>
      <c r="C85" s="38">
        <v>674</v>
      </c>
      <c r="D85" s="38">
        <v>619</v>
      </c>
      <c r="E85" s="38">
        <v>463</v>
      </c>
      <c r="F85" s="38">
        <v>917</v>
      </c>
      <c r="G85" s="38">
        <v>955</v>
      </c>
      <c r="H85" s="38">
        <v>805</v>
      </c>
    </row>
    <row r="86" spans="1:8">
      <c r="A86" s="38" t="s">
        <v>288</v>
      </c>
      <c r="B86" s="38" t="s">
        <v>289</v>
      </c>
      <c r="C86" s="38">
        <v>323</v>
      </c>
      <c r="D86" s="38">
        <v>348</v>
      </c>
      <c r="E86" s="38">
        <v>471</v>
      </c>
      <c r="F86" s="38">
        <v>481</v>
      </c>
      <c r="G86" s="38">
        <v>532</v>
      </c>
      <c r="H86" s="38">
        <v>454</v>
      </c>
    </row>
    <row r="87" spans="1:8">
      <c r="A87" s="38" t="s">
        <v>290</v>
      </c>
      <c r="B87" s="38" t="s">
        <v>291</v>
      </c>
      <c r="C87" s="38">
        <v>565</v>
      </c>
      <c r="D87" s="38">
        <v>461</v>
      </c>
      <c r="E87" s="38">
        <v>452</v>
      </c>
      <c r="F87" s="38">
        <v>473</v>
      </c>
      <c r="G87" s="38">
        <v>223</v>
      </c>
      <c r="H87" s="34"/>
    </row>
    <row r="88" spans="1:8">
      <c r="A88" s="38" t="s">
        <v>292</v>
      </c>
      <c r="B88" s="38" t="s">
        <v>293</v>
      </c>
      <c r="C88" s="38">
        <v>842</v>
      </c>
      <c r="D88" s="41">
        <v>1159</v>
      </c>
      <c r="E88" s="41">
        <v>1143</v>
      </c>
      <c r="F88" s="41">
        <v>1432</v>
      </c>
      <c r="G88" s="41">
        <v>1241</v>
      </c>
      <c r="H88" s="41">
        <v>1447</v>
      </c>
    </row>
    <row r="89" spans="1:8">
      <c r="A89" s="38" t="s">
        <v>294</v>
      </c>
      <c r="B89" s="38" t="s">
        <v>295</v>
      </c>
      <c r="C89" s="38">
        <v>459</v>
      </c>
      <c r="D89" s="38">
        <v>535</v>
      </c>
      <c r="E89" s="38">
        <v>681</v>
      </c>
      <c r="F89" s="38">
        <v>763</v>
      </c>
      <c r="G89" s="38">
        <v>743</v>
      </c>
      <c r="H89" s="38">
        <v>689</v>
      </c>
    </row>
    <row r="90" spans="1:8">
      <c r="A90" s="38" t="s">
        <v>296</v>
      </c>
      <c r="B90" s="38" t="s">
        <v>297</v>
      </c>
      <c r="C90" s="38">
        <v>699</v>
      </c>
      <c r="D90" s="38">
        <v>814</v>
      </c>
      <c r="E90" s="38">
        <v>866</v>
      </c>
      <c r="F90" s="38" t="s">
        <v>851</v>
      </c>
      <c r="G90" s="38">
        <v>819</v>
      </c>
      <c r="H90" s="38">
        <v>712</v>
      </c>
    </row>
    <row r="91" spans="1:8">
      <c r="A91" s="38" t="s">
        <v>298</v>
      </c>
      <c r="B91" s="38" t="s">
        <v>299</v>
      </c>
      <c r="C91" s="38">
        <v>213</v>
      </c>
      <c r="D91" s="38">
        <v>203</v>
      </c>
      <c r="E91" s="38">
        <v>127</v>
      </c>
      <c r="F91" s="38">
        <v>130</v>
      </c>
      <c r="G91" s="38">
        <v>200</v>
      </c>
      <c r="H91" s="38">
        <v>230</v>
      </c>
    </row>
    <row r="92" spans="1:8">
      <c r="A92" s="38" t="s">
        <v>300</v>
      </c>
      <c r="B92" s="38" t="s">
        <v>301</v>
      </c>
      <c r="C92" s="38">
        <v>456</v>
      </c>
      <c r="D92" s="38">
        <v>517</v>
      </c>
      <c r="E92" s="38">
        <v>893</v>
      </c>
      <c r="F92" s="41">
        <v>1162</v>
      </c>
      <c r="G92" s="41">
        <v>1223</v>
      </c>
      <c r="H92" s="38">
        <v>846</v>
      </c>
    </row>
    <row r="93" spans="1:8">
      <c r="A93" s="38" t="s">
        <v>302</v>
      </c>
      <c r="B93" s="38" t="s">
        <v>303</v>
      </c>
      <c r="C93" s="38">
        <v>262</v>
      </c>
      <c r="D93" s="38">
        <v>194</v>
      </c>
      <c r="E93" s="38">
        <v>187</v>
      </c>
      <c r="F93" s="38">
        <v>308</v>
      </c>
      <c r="G93" s="38">
        <v>364</v>
      </c>
      <c r="H93" s="38">
        <v>265</v>
      </c>
    </row>
    <row r="94" spans="1:8">
      <c r="A94" s="38" t="s">
        <v>304</v>
      </c>
      <c r="B94" s="38" t="s">
        <v>305</v>
      </c>
      <c r="C94" s="38">
        <v>240</v>
      </c>
      <c r="D94" s="38">
        <v>267</v>
      </c>
      <c r="E94" s="38">
        <v>123</v>
      </c>
      <c r="F94" s="38">
        <v>427</v>
      </c>
      <c r="G94" s="38">
        <v>396</v>
      </c>
      <c r="H94" s="38">
        <v>310</v>
      </c>
    </row>
    <row r="95" spans="1:8">
      <c r="A95" s="38" t="s">
        <v>306</v>
      </c>
      <c r="B95" s="38" t="s">
        <v>307</v>
      </c>
      <c r="C95" s="38">
        <v>672</v>
      </c>
      <c r="D95" s="38">
        <v>898</v>
      </c>
      <c r="E95" s="38">
        <v>386</v>
      </c>
      <c r="F95" s="38">
        <v>500</v>
      </c>
      <c r="G95" s="38">
        <v>420</v>
      </c>
      <c r="H95" s="38">
        <v>797</v>
      </c>
    </row>
    <row r="96" spans="1:8">
      <c r="A96" s="38" t="s">
        <v>308</v>
      </c>
      <c r="B96" s="38" t="s">
        <v>309</v>
      </c>
      <c r="C96" s="38">
        <v>267</v>
      </c>
      <c r="D96" s="38">
        <v>149</v>
      </c>
      <c r="E96" s="38">
        <v>564</v>
      </c>
      <c r="F96" s="38">
        <v>426</v>
      </c>
      <c r="G96" s="38">
        <v>223</v>
      </c>
      <c r="H96" s="38">
        <v>198</v>
      </c>
    </row>
    <row r="97" spans="1:8">
      <c r="A97" s="38" t="s">
        <v>310</v>
      </c>
      <c r="B97" s="38" t="s">
        <v>311</v>
      </c>
      <c r="C97" s="38">
        <v>159</v>
      </c>
      <c r="D97" s="38">
        <v>307</v>
      </c>
      <c r="E97" s="38">
        <v>160</v>
      </c>
      <c r="F97" s="38">
        <v>165</v>
      </c>
      <c r="G97" s="38">
        <v>185</v>
      </c>
      <c r="H97" s="38">
        <v>129</v>
      </c>
    </row>
    <row r="98" spans="1:8">
      <c r="A98" s="38" t="s">
        <v>312</v>
      </c>
      <c r="B98" s="38" t="s">
        <v>313</v>
      </c>
      <c r="C98" s="38">
        <v>369</v>
      </c>
      <c r="D98" s="38">
        <v>179</v>
      </c>
      <c r="E98" s="38">
        <v>173</v>
      </c>
      <c r="F98" s="38">
        <v>321</v>
      </c>
      <c r="G98" s="38">
        <v>246</v>
      </c>
      <c r="H98" s="38">
        <v>203</v>
      </c>
    </row>
    <row r="99" spans="1:8">
      <c r="A99" s="38" t="s">
        <v>314</v>
      </c>
      <c r="B99" s="38" t="s">
        <v>315</v>
      </c>
      <c r="C99" s="38">
        <v>651</v>
      </c>
      <c r="D99" s="38">
        <v>450</v>
      </c>
      <c r="E99" s="38">
        <v>707</v>
      </c>
      <c r="F99" s="38">
        <v>802</v>
      </c>
      <c r="G99" s="41">
        <v>1137</v>
      </c>
      <c r="H99" s="38">
        <v>520</v>
      </c>
    </row>
    <row r="100" spans="1:8">
      <c r="A100" s="38" t="s">
        <v>316</v>
      </c>
      <c r="B100" s="38" t="s">
        <v>317</v>
      </c>
      <c r="C100" s="38">
        <v>371</v>
      </c>
      <c r="D100" s="38">
        <v>349</v>
      </c>
      <c r="E100" s="38">
        <v>291</v>
      </c>
      <c r="F100" s="38">
        <v>290</v>
      </c>
      <c r="G100" s="38">
        <v>285</v>
      </c>
      <c r="H100" s="38">
        <v>117</v>
      </c>
    </row>
    <row r="101" spans="1:8">
      <c r="A101" s="38" t="s">
        <v>318</v>
      </c>
      <c r="B101" s="38" t="s">
        <v>319</v>
      </c>
      <c r="C101" s="38">
        <v>269</v>
      </c>
      <c r="D101" s="38">
        <v>413</v>
      </c>
      <c r="E101" s="38">
        <v>447</v>
      </c>
      <c r="F101" s="38">
        <v>394</v>
      </c>
      <c r="G101" s="38">
        <v>561</v>
      </c>
      <c r="H101" s="38">
        <v>356</v>
      </c>
    </row>
    <row r="102" spans="1:8">
      <c r="A102" s="38" t="s">
        <v>320</v>
      </c>
      <c r="B102" s="38" t="s">
        <v>321</v>
      </c>
      <c r="C102" s="38">
        <v>314</v>
      </c>
      <c r="D102" s="38">
        <v>658</v>
      </c>
      <c r="E102" s="38">
        <v>445</v>
      </c>
      <c r="F102" s="38">
        <v>446</v>
      </c>
      <c r="G102" s="38">
        <v>462</v>
      </c>
      <c r="H102" s="38">
        <v>489</v>
      </c>
    </row>
    <row r="103" spans="1:8">
      <c r="A103" s="38" t="s">
        <v>322</v>
      </c>
      <c r="B103" s="38" t="s">
        <v>323</v>
      </c>
      <c r="C103" s="38">
        <v>303</v>
      </c>
      <c r="D103" s="38">
        <v>247</v>
      </c>
      <c r="E103" s="38">
        <v>256</v>
      </c>
      <c r="F103" s="38">
        <v>270</v>
      </c>
      <c r="G103" s="38">
        <v>336</v>
      </c>
      <c r="H103" s="38">
        <v>358</v>
      </c>
    </row>
    <row r="104" spans="1:8">
      <c r="A104" s="38" t="s">
        <v>324</v>
      </c>
      <c r="B104" s="38" t="s">
        <v>325</v>
      </c>
      <c r="C104" s="38">
        <v>304</v>
      </c>
      <c r="D104" s="38">
        <v>455</v>
      </c>
      <c r="E104" s="38">
        <v>470</v>
      </c>
      <c r="F104" s="38">
        <v>490</v>
      </c>
      <c r="G104" s="38">
        <v>634</v>
      </c>
      <c r="H104" s="38">
        <v>292</v>
      </c>
    </row>
    <row r="105" spans="1:8">
      <c r="A105" s="38" t="s">
        <v>326</v>
      </c>
      <c r="B105" s="38" t="s">
        <v>327</v>
      </c>
      <c r="C105" s="38">
        <v>251</v>
      </c>
      <c r="D105" s="38">
        <v>269</v>
      </c>
      <c r="E105" s="38">
        <v>161</v>
      </c>
      <c r="F105" s="38">
        <v>394</v>
      </c>
      <c r="G105" s="38">
        <v>301</v>
      </c>
      <c r="H105" s="38">
        <v>347</v>
      </c>
    </row>
    <row r="106" spans="1:8">
      <c r="A106" s="38" t="s">
        <v>328</v>
      </c>
      <c r="B106" s="38" t="s">
        <v>329</v>
      </c>
      <c r="C106" s="38">
        <v>174</v>
      </c>
      <c r="D106" s="38">
        <v>198</v>
      </c>
      <c r="E106" s="38">
        <v>237</v>
      </c>
      <c r="F106" s="38">
        <v>286</v>
      </c>
      <c r="G106" s="38">
        <v>360</v>
      </c>
      <c r="H106" s="38">
        <v>310</v>
      </c>
    </row>
    <row r="107" spans="1:8">
      <c r="A107" s="38" t="s">
        <v>330</v>
      </c>
      <c r="B107" s="38" t="s">
        <v>331</v>
      </c>
      <c r="C107" s="38">
        <v>468</v>
      </c>
      <c r="D107" s="38">
        <v>439</v>
      </c>
      <c r="E107" s="38">
        <v>475</v>
      </c>
      <c r="F107" s="38">
        <v>544</v>
      </c>
      <c r="G107" s="38">
        <v>467</v>
      </c>
      <c r="H107" s="38">
        <v>610</v>
      </c>
    </row>
    <row r="108" spans="1:8">
      <c r="A108" s="38" t="s">
        <v>332</v>
      </c>
      <c r="B108" s="38" t="s">
        <v>333</v>
      </c>
      <c r="C108" s="38">
        <v>180</v>
      </c>
      <c r="D108" s="38">
        <v>161</v>
      </c>
      <c r="E108" s="38">
        <v>219</v>
      </c>
      <c r="F108" s="38">
        <v>55</v>
      </c>
      <c r="G108" s="38">
        <v>135</v>
      </c>
      <c r="H108" s="38">
        <v>278</v>
      </c>
    </row>
    <row r="109" spans="1:8">
      <c r="A109" s="38" t="s">
        <v>334</v>
      </c>
      <c r="B109" s="38" t="s">
        <v>335</v>
      </c>
      <c r="C109" s="38">
        <v>180</v>
      </c>
      <c r="D109" s="38">
        <v>165</v>
      </c>
      <c r="E109" s="38">
        <v>274</v>
      </c>
      <c r="F109" s="38">
        <v>292</v>
      </c>
      <c r="G109" s="38">
        <v>164</v>
      </c>
      <c r="H109" s="38">
        <v>240</v>
      </c>
    </row>
    <row r="110" spans="1:8">
      <c r="A110" s="38" t="s">
        <v>336</v>
      </c>
      <c r="B110" s="38" t="s">
        <v>337</v>
      </c>
      <c r="C110" s="38">
        <v>214</v>
      </c>
      <c r="D110" s="38">
        <v>209</v>
      </c>
      <c r="E110" s="38">
        <v>208</v>
      </c>
      <c r="F110" s="38">
        <v>328</v>
      </c>
      <c r="G110" s="38">
        <v>382</v>
      </c>
      <c r="H110" s="38">
        <v>436</v>
      </c>
    </row>
    <row r="111" spans="1:8">
      <c r="A111" s="38" t="s">
        <v>338</v>
      </c>
      <c r="B111" s="38" t="s">
        <v>339</v>
      </c>
      <c r="C111" s="41">
        <v>1720</v>
      </c>
      <c r="D111" s="41">
        <v>2380</v>
      </c>
      <c r="E111" s="41">
        <v>1901</v>
      </c>
      <c r="F111" s="41">
        <v>1514</v>
      </c>
      <c r="G111" s="41">
        <v>3052</v>
      </c>
      <c r="H111" s="41">
        <v>1042</v>
      </c>
    </row>
    <row r="112" spans="1:8">
      <c r="A112" s="38" t="s">
        <v>340</v>
      </c>
      <c r="B112" s="38" t="s">
        <v>341</v>
      </c>
      <c r="C112" s="38">
        <v>388</v>
      </c>
      <c r="D112" s="38">
        <v>501</v>
      </c>
      <c r="E112" s="38">
        <v>299</v>
      </c>
      <c r="F112" s="38">
        <v>352</v>
      </c>
      <c r="G112" s="38">
        <v>352</v>
      </c>
      <c r="H112" s="38">
        <v>863</v>
      </c>
    </row>
    <row r="113" spans="1:8">
      <c r="A113" s="38" t="s">
        <v>342</v>
      </c>
      <c r="B113" s="38" t="s">
        <v>343</v>
      </c>
      <c r="C113" s="38">
        <v>826</v>
      </c>
      <c r="D113" s="41">
        <v>1196</v>
      </c>
      <c r="E113" s="41">
        <v>1267</v>
      </c>
      <c r="F113" s="41">
        <v>1522</v>
      </c>
      <c r="G113" s="38">
        <v>646</v>
      </c>
      <c r="H113" s="38">
        <v>969</v>
      </c>
    </row>
    <row r="114" spans="1:8">
      <c r="A114" s="38" t="s">
        <v>344</v>
      </c>
      <c r="B114" s="38" t="s">
        <v>345</v>
      </c>
      <c r="C114" s="38">
        <v>536</v>
      </c>
      <c r="D114" s="38">
        <v>699</v>
      </c>
      <c r="E114" s="38">
        <v>369</v>
      </c>
      <c r="F114" s="38">
        <v>597</v>
      </c>
      <c r="G114" s="38">
        <v>601</v>
      </c>
      <c r="H114" s="38">
        <v>97</v>
      </c>
    </row>
    <row r="115" spans="1:8">
      <c r="A115" s="38" t="s">
        <v>346</v>
      </c>
      <c r="B115" s="38" t="s">
        <v>347</v>
      </c>
      <c r="C115" s="38">
        <v>361</v>
      </c>
      <c r="D115" s="38">
        <v>546</v>
      </c>
      <c r="E115" s="38">
        <v>418</v>
      </c>
      <c r="F115" s="38">
        <v>473</v>
      </c>
      <c r="G115" s="38">
        <v>658</v>
      </c>
      <c r="H115" s="38">
        <v>594</v>
      </c>
    </row>
    <row r="116" spans="1:8">
      <c r="A116" s="38" t="s">
        <v>348</v>
      </c>
      <c r="B116" s="38" t="s">
        <v>349</v>
      </c>
      <c r="C116" s="38">
        <v>368</v>
      </c>
      <c r="D116" s="38">
        <v>974</v>
      </c>
      <c r="E116" s="41">
        <v>1531</v>
      </c>
      <c r="F116" s="41">
        <v>1046</v>
      </c>
      <c r="G116" s="41">
        <v>1149</v>
      </c>
      <c r="H116" s="41">
        <v>1421</v>
      </c>
    </row>
    <row r="117" spans="1:8">
      <c r="A117" s="38" t="s">
        <v>350</v>
      </c>
      <c r="B117" s="38" t="s">
        <v>351</v>
      </c>
      <c r="C117" s="38">
        <v>636</v>
      </c>
      <c r="D117" s="38">
        <v>468</v>
      </c>
      <c r="E117" s="38">
        <v>580</v>
      </c>
      <c r="F117" s="38">
        <v>729</v>
      </c>
      <c r="G117" s="38">
        <v>906</v>
      </c>
      <c r="H117" s="38">
        <v>974</v>
      </c>
    </row>
    <row r="118" spans="1:8">
      <c r="A118" s="38" t="s">
        <v>352</v>
      </c>
      <c r="B118" s="38" t="s">
        <v>353</v>
      </c>
      <c r="C118" s="38">
        <v>239</v>
      </c>
      <c r="D118" s="38">
        <v>741</v>
      </c>
      <c r="E118" s="41">
        <v>1200</v>
      </c>
      <c r="F118" s="38">
        <v>568</v>
      </c>
      <c r="G118" s="38">
        <v>865</v>
      </c>
      <c r="H118" s="41">
        <v>1432</v>
      </c>
    </row>
    <row r="119" spans="1:8">
      <c r="A119" s="38" t="s">
        <v>354</v>
      </c>
      <c r="B119" s="38" t="s">
        <v>355</v>
      </c>
      <c r="C119" s="38">
        <v>225</v>
      </c>
      <c r="D119" s="38">
        <v>340</v>
      </c>
      <c r="E119" s="38">
        <v>281</v>
      </c>
      <c r="F119" s="38">
        <v>676</v>
      </c>
      <c r="G119" s="38">
        <v>725</v>
      </c>
      <c r="H119" s="38">
        <v>535</v>
      </c>
    </row>
    <row r="120" spans="1:8">
      <c r="A120" s="38" t="s">
        <v>356</v>
      </c>
      <c r="B120" s="38" t="s">
        <v>357</v>
      </c>
      <c r="C120" s="38">
        <v>257</v>
      </c>
      <c r="D120" s="38">
        <v>325</v>
      </c>
      <c r="E120" s="38">
        <v>611</v>
      </c>
      <c r="F120" s="38">
        <v>682</v>
      </c>
      <c r="G120" s="38">
        <v>975</v>
      </c>
      <c r="H120" s="38">
        <v>879</v>
      </c>
    </row>
    <row r="121" spans="1:8">
      <c r="A121" s="38" t="s">
        <v>358</v>
      </c>
      <c r="B121" s="38" t="s">
        <v>359</v>
      </c>
      <c r="C121" s="38">
        <v>910</v>
      </c>
      <c r="D121" s="38">
        <v>656</v>
      </c>
      <c r="E121" s="38">
        <v>700</v>
      </c>
      <c r="F121" s="41">
        <v>1229</v>
      </c>
      <c r="G121" s="41">
        <v>1200</v>
      </c>
      <c r="H121" s="38">
        <v>775</v>
      </c>
    </row>
    <row r="122" spans="1:8">
      <c r="A122" s="38" t="s">
        <v>360</v>
      </c>
      <c r="B122" s="38" t="s">
        <v>361</v>
      </c>
      <c r="C122" s="38">
        <v>705</v>
      </c>
      <c r="D122" s="38">
        <v>628</v>
      </c>
      <c r="E122" s="38">
        <v>551</v>
      </c>
      <c r="F122" s="38">
        <v>608</v>
      </c>
      <c r="G122" s="38">
        <v>607</v>
      </c>
      <c r="H122" s="38">
        <v>581</v>
      </c>
    </row>
    <row r="123" spans="1:8">
      <c r="A123" s="38" t="s">
        <v>362</v>
      </c>
      <c r="B123" s="38" t="s">
        <v>363</v>
      </c>
      <c r="C123" s="38">
        <v>528</v>
      </c>
      <c r="D123" s="38">
        <v>185</v>
      </c>
      <c r="E123" s="38">
        <v>265</v>
      </c>
      <c r="F123" s="38">
        <v>371</v>
      </c>
      <c r="G123" s="38">
        <v>255</v>
      </c>
      <c r="H123" s="38">
        <v>161</v>
      </c>
    </row>
    <row r="124" spans="1:8">
      <c r="A124" s="38" t="s">
        <v>364</v>
      </c>
      <c r="B124" s="38" t="s">
        <v>365</v>
      </c>
      <c r="C124" s="38">
        <v>244</v>
      </c>
      <c r="D124" s="38">
        <v>191</v>
      </c>
      <c r="E124" s="38">
        <v>204</v>
      </c>
      <c r="F124" s="38">
        <v>184</v>
      </c>
      <c r="G124" s="38">
        <v>119</v>
      </c>
      <c r="H124" s="38">
        <v>111</v>
      </c>
    </row>
    <row r="125" spans="1:8">
      <c r="A125" s="38" t="s">
        <v>366</v>
      </c>
      <c r="B125" s="38" t="s">
        <v>367</v>
      </c>
      <c r="C125" s="38">
        <v>584</v>
      </c>
      <c r="D125" s="38">
        <v>649</v>
      </c>
      <c r="E125" s="38">
        <v>290</v>
      </c>
      <c r="F125" s="38">
        <v>267</v>
      </c>
      <c r="G125" s="38">
        <v>366</v>
      </c>
      <c r="H125" s="38">
        <v>294</v>
      </c>
    </row>
    <row r="126" spans="1:8">
      <c r="A126" s="38" t="s">
        <v>368</v>
      </c>
      <c r="B126" s="38" t="s">
        <v>369</v>
      </c>
      <c r="C126" s="41">
        <v>1012</v>
      </c>
      <c r="D126" s="38">
        <v>443</v>
      </c>
      <c r="E126" s="38">
        <v>277</v>
      </c>
      <c r="F126" s="38">
        <v>466</v>
      </c>
      <c r="G126" s="38">
        <v>508</v>
      </c>
      <c r="H126" s="38">
        <v>486</v>
      </c>
    </row>
    <row r="127" spans="1:8">
      <c r="A127" s="38" t="s">
        <v>370</v>
      </c>
      <c r="B127" s="38" t="s">
        <v>371</v>
      </c>
      <c r="C127" s="38">
        <v>374</v>
      </c>
      <c r="D127" s="38">
        <v>260</v>
      </c>
      <c r="E127" s="38">
        <v>777</v>
      </c>
      <c r="F127" s="38">
        <v>668</v>
      </c>
      <c r="G127" s="38">
        <v>907</v>
      </c>
      <c r="H127" s="38">
        <v>645</v>
      </c>
    </row>
    <row r="128" spans="1:8">
      <c r="A128" s="38" t="s">
        <v>372</v>
      </c>
      <c r="B128" s="38" t="s">
        <v>373</v>
      </c>
      <c r="C128" s="38">
        <v>384</v>
      </c>
      <c r="D128" s="38">
        <v>405</v>
      </c>
      <c r="E128" s="38">
        <v>536</v>
      </c>
      <c r="F128" s="38">
        <v>630</v>
      </c>
      <c r="G128" s="38">
        <v>515</v>
      </c>
      <c r="H128" s="38">
        <v>456</v>
      </c>
    </row>
    <row r="129" spans="1:8">
      <c r="A129" s="38" t="s">
        <v>374</v>
      </c>
      <c r="B129" s="38" t="s">
        <v>375</v>
      </c>
      <c r="C129" s="38">
        <v>160</v>
      </c>
      <c r="D129" s="38">
        <v>330</v>
      </c>
      <c r="E129" s="38">
        <v>498</v>
      </c>
      <c r="F129" s="38">
        <v>386</v>
      </c>
      <c r="G129" s="38">
        <v>311</v>
      </c>
      <c r="H129" s="38">
        <v>245</v>
      </c>
    </row>
    <row r="130" spans="1:8">
      <c r="A130" s="38" t="s">
        <v>376</v>
      </c>
      <c r="B130" s="38" t="s">
        <v>377</v>
      </c>
      <c r="C130" s="38">
        <v>709</v>
      </c>
      <c r="D130" s="38">
        <v>764</v>
      </c>
      <c r="E130" s="38">
        <v>842</v>
      </c>
      <c r="F130" s="38">
        <v>957</v>
      </c>
      <c r="G130" s="41">
        <v>1646</v>
      </c>
      <c r="H130" s="38">
        <v>718</v>
      </c>
    </row>
    <row r="131" spans="1:8">
      <c r="A131" s="38" t="s">
        <v>378</v>
      </c>
      <c r="B131" s="38" t="s">
        <v>379</v>
      </c>
      <c r="C131" s="38">
        <v>593</v>
      </c>
      <c r="D131" s="38">
        <v>569</v>
      </c>
      <c r="E131" s="38">
        <v>423</v>
      </c>
      <c r="F131" s="38">
        <v>425</v>
      </c>
      <c r="G131" s="38">
        <v>285</v>
      </c>
      <c r="H131" s="38">
        <v>267</v>
      </c>
    </row>
    <row r="132" spans="1:8">
      <c r="A132" s="38" t="s">
        <v>380</v>
      </c>
      <c r="B132" s="38" t="s">
        <v>381</v>
      </c>
      <c r="C132" s="41">
        <v>1212</v>
      </c>
      <c r="D132" s="38">
        <v>796</v>
      </c>
      <c r="E132" s="41">
        <v>1132</v>
      </c>
      <c r="F132" s="41">
        <v>1392</v>
      </c>
      <c r="G132" s="38">
        <v>955</v>
      </c>
      <c r="H132" s="38">
        <v>771</v>
      </c>
    </row>
    <row r="133" spans="1:8">
      <c r="A133" s="38" t="s">
        <v>382</v>
      </c>
      <c r="B133" s="38" t="s">
        <v>383</v>
      </c>
      <c r="C133" s="38">
        <v>480</v>
      </c>
      <c r="D133" s="38">
        <v>557</v>
      </c>
      <c r="E133" s="38">
        <v>911</v>
      </c>
      <c r="F133" s="41">
        <v>1264</v>
      </c>
      <c r="G133" s="41">
        <v>1545</v>
      </c>
      <c r="H133" s="41">
        <v>1562</v>
      </c>
    </row>
    <row r="134" spans="1:8">
      <c r="A134" s="38" t="s">
        <v>384</v>
      </c>
      <c r="B134" s="38" t="s">
        <v>385</v>
      </c>
      <c r="C134" s="38">
        <v>535</v>
      </c>
      <c r="D134" s="38">
        <v>682</v>
      </c>
      <c r="E134" s="38">
        <v>746</v>
      </c>
      <c r="F134" s="41">
        <v>1040</v>
      </c>
      <c r="G134" s="41">
        <v>1010</v>
      </c>
      <c r="H134" s="41">
        <v>1041</v>
      </c>
    </row>
    <row r="135" spans="1:8">
      <c r="A135" s="38" t="s">
        <v>386</v>
      </c>
      <c r="B135" s="38" t="s">
        <v>387</v>
      </c>
      <c r="C135" s="38">
        <v>97</v>
      </c>
      <c r="D135" s="38">
        <v>150</v>
      </c>
      <c r="E135" s="38">
        <v>92</v>
      </c>
      <c r="F135" s="38">
        <v>155</v>
      </c>
      <c r="G135" s="38">
        <v>162</v>
      </c>
      <c r="H135" s="38">
        <v>180</v>
      </c>
    </row>
    <row r="136" spans="1:8">
      <c r="A136" s="38" t="s">
        <v>388</v>
      </c>
      <c r="B136" s="38" t="s">
        <v>389</v>
      </c>
      <c r="C136" s="38">
        <v>496</v>
      </c>
      <c r="D136" s="38">
        <v>256</v>
      </c>
      <c r="E136" s="38">
        <v>141</v>
      </c>
      <c r="F136" s="38">
        <v>223</v>
      </c>
      <c r="G136" s="38">
        <v>421</v>
      </c>
      <c r="H136" s="38">
        <v>243</v>
      </c>
    </row>
    <row r="137" spans="1:8">
      <c r="A137" s="38" t="s">
        <v>390</v>
      </c>
      <c r="B137" s="38" t="s">
        <v>391</v>
      </c>
      <c r="C137" s="38">
        <v>417</v>
      </c>
      <c r="D137" s="38">
        <v>321</v>
      </c>
      <c r="E137" s="38">
        <v>373</v>
      </c>
      <c r="F137" s="38">
        <v>350</v>
      </c>
      <c r="G137" s="38">
        <v>253</v>
      </c>
      <c r="H137" s="38">
        <v>445</v>
      </c>
    </row>
    <row r="138" spans="1:8">
      <c r="A138" s="38" t="s">
        <v>392</v>
      </c>
      <c r="B138" s="38" t="s">
        <v>393</v>
      </c>
      <c r="C138" s="38">
        <v>2</v>
      </c>
      <c r="D138" s="38">
        <v>1</v>
      </c>
      <c r="E138" s="38">
        <v>0</v>
      </c>
      <c r="F138" s="38">
        <v>0</v>
      </c>
      <c r="G138" s="38">
        <v>0</v>
      </c>
      <c r="H138" s="38">
        <v>0</v>
      </c>
    </row>
    <row r="139" spans="1:8">
      <c r="A139" s="38" t="s">
        <v>394</v>
      </c>
      <c r="B139" s="38" t="s">
        <v>395</v>
      </c>
      <c r="C139" s="41">
        <v>1027</v>
      </c>
      <c r="D139" s="38">
        <v>674</v>
      </c>
      <c r="E139" s="38">
        <v>367</v>
      </c>
      <c r="F139" s="38">
        <v>916</v>
      </c>
      <c r="G139" s="38">
        <v>757</v>
      </c>
      <c r="H139" s="38">
        <v>651</v>
      </c>
    </row>
    <row r="140" spans="1:8">
      <c r="A140" s="38" t="s">
        <v>396</v>
      </c>
      <c r="B140" s="38" t="s">
        <v>397</v>
      </c>
      <c r="C140" s="38">
        <v>384</v>
      </c>
      <c r="D140" s="38">
        <v>355</v>
      </c>
      <c r="E140" s="38">
        <v>335</v>
      </c>
      <c r="F140" s="38">
        <v>115</v>
      </c>
      <c r="G140" s="38">
        <v>511</v>
      </c>
      <c r="H140" s="38">
        <v>267</v>
      </c>
    </row>
    <row r="141" spans="1:8">
      <c r="A141" s="38" t="s">
        <v>398</v>
      </c>
      <c r="B141" s="38" t="s">
        <v>399</v>
      </c>
      <c r="C141" s="38">
        <v>547</v>
      </c>
      <c r="D141" s="38">
        <v>706</v>
      </c>
      <c r="E141" s="38">
        <v>495</v>
      </c>
      <c r="F141" s="38">
        <v>644</v>
      </c>
      <c r="G141" s="38">
        <v>350</v>
      </c>
      <c r="H141" s="34"/>
    </row>
    <row r="142" spans="1:8">
      <c r="A142" s="38" t="s">
        <v>400</v>
      </c>
      <c r="B142" s="38" t="s">
        <v>401</v>
      </c>
      <c r="C142" s="38">
        <v>505</v>
      </c>
      <c r="D142" s="38">
        <v>395</v>
      </c>
      <c r="E142" s="38">
        <v>384</v>
      </c>
      <c r="F142" s="38">
        <v>432</v>
      </c>
      <c r="G142" s="38">
        <v>591</v>
      </c>
      <c r="H142" s="38">
        <v>340</v>
      </c>
    </row>
    <row r="143" spans="1:8">
      <c r="A143" s="38" t="s">
        <v>402</v>
      </c>
      <c r="B143" s="38" t="s">
        <v>403</v>
      </c>
      <c r="C143" s="38">
        <v>549</v>
      </c>
      <c r="D143" s="38">
        <v>624</v>
      </c>
      <c r="E143" s="41">
        <v>1341</v>
      </c>
      <c r="F143" s="38">
        <v>684</v>
      </c>
      <c r="G143" s="38">
        <v>794</v>
      </c>
      <c r="H143" s="38">
        <v>581</v>
      </c>
    </row>
    <row r="144" spans="1:8">
      <c r="A144" s="38" t="s">
        <v>404</v>
      </c>
      <c r="B144" s="38" t="s">
        <v>405</v>
      </c>
      <c r="C144" s="38">
        <v>239</v>
      </c>
      <c r="D144" s="38">
        <v>273</v>
      </c>
      <c r="E144" s="38">
        <v>217</v>
      </c>
      <c r="F144" s="38">
        <v>501</v>
      </c>
      <c r="G144" s="38">
        <v>613</v>
      </c>
      <c r="H144" s="38">
        <v>479</v>
      </c>
    </row>
    <row r="145" spans="1:8">
      <c r="A145" s="38" t="s">
        <v>406</v>
      </c>
      <c r="B145" s="38" t="s">
        <v>407</v>
      </c>
      <c r="C145" s="41">
        <v>1134</v>
      </c>
      <c r="D145" s="38">
        <v>983</v>
      </c>
      <c r="E145" s="41">
        <v>1330</v>
      </c>
      <c r="F145" s="41">
        <v>1550</v>
      </c>
      <c r="G145" s="41">
        <v>1131</v>
      </c>
      <c r="H145" s="41">
        <v>1021</v>
      </c>
    </row>
    <row r="146" spans="1:8">
      <c r="A146" s="38" t="s">
        <v>408</v>
      </c>
      <c r="B146" s="38" t="s">
        <v>409</v>
      </c>
      <c r="C146" s="38">
        <v>293</v>
      </c>
      <c r="D146" s="38">
        <v>475</v>
      </c>
      <c r="E146" s="38">
        <v>626</v>
      </c>
      <c r="F146" s="38">
        <v>840</v>
      </c>
      <c r="G146" s="41">
        <v>1097</v>
      </c>
      <c r="H146" s="38">
        <v>810</v>
      </c>
    </row>
    <row r="147" spans="1:8">
      <c r="A147" s="38" t="s">
        <v>410</v>
      </c>
      <c r="B147" s="38" t="s">
        <v>411</v>
      </c>
      <c r="C147" s="41">
        <v>1347</v>
      </c>
      <c r="D147" s="41">
        <v>1135</v>
      </c>
      <c r="E147" s="41">
        <v>1543</v>
      </c>
      <c r="F147" s="41">
        <v>1219</v>
      </c>
      <c r="G147" s="41">
        <v>1517</v>
      </c>
      <c r="H147" s="41">
        <v>1198</v>
      </c>
    </row>
    <row r="148" spans="1:8">
      <c r="A148" s="38" t="s">
        <v>412</v>
      </c>
      <c r="B148" s="38" t="s">
        <v>413</v>
      </c>
      <c r="C148" s="38">
        <v>475</v>
      </c>
      <c r="D148" s="38">
        <v>628</v>
      </c>
      <c r="E148" s="38">
        <v>523</v>
      </c>
      <c r="F148" s="38">
        <v>303</v>
      </c>
      <c r="G148" s="38">
        <v>701</v>
      </c>
      <c r="H148" s="38">
        <v>430</v>
      </c>
    </row>
    <row r="149" spans="1:8">
      <c r="A149" s="38" t="s">
        <v>414</v>
      </c>
      <c r="B149" s="38" t="s">
        <v>415</v>
      </c>
      <c r="C149" s="41">
        <v>2474</v>
      </c>
      <c r="D149" s="41">
        <v>2824</v>
      </c>
      <c r="E149" s="41">
        <v>2283</v>
      </c>
      <c r="F149" s="41">
        <v>3427</v>
      </c>
      <c r="G149" s="41">
        <v>3333</v>
      </c>
      <c r="H149" s="41">
        <v>2950</v>
      </c>
    </row>
    <row r="150" spans="1:8">
      <c r="A150" s="38" t="s">
        <v>416</v>
      </c>
      <c r="B150" s="38" t="s">
        <v>417</v>
      </c>
      <c r="C150" s="41">
        <v>1131</v>
      </c>
      <c r="D150" s="41">
        <v>1560</v>
      </c>
      <c r="E150" s="41">
        <v>1954</v>
      </c>
      <c r="F150" s="41">
        <v>1437</v>
      </c>
      <c r="G150" s="41">
        <v>1448</v>
      </c>
      <c r="H150" s="41">
        <v>1050</v>
      </c>
    </row>
    <row r="151" spans="1:8">
      <c r="A151" s="38" t="s">
        <v>418</v>
      </c>
      <c r="B151" s="38" t="s">
        <v>419</v>
      </c>
      <c r="C151" s="38">
        <v>286</v>
      </c>
      <c r="D151" s="38">
        <v>204</v>
      </c>
      <c r="E151" s="38">
        <v>311</v>
      </c>
      <c r="F151" s="38">
        <v>354</v>
      </c>
      <c r="G151" s="38">
        <v>282</v>
      </c>
      <c r="H151" s="38">
        <v>309</v>
      </c>
    </row>
    <row r="152" spans="1:8">
      <c r="A152" s="38" t="s">
        <v>420</v>
      </c>
      <c r="B152" s="38" t="s">
        <v>421</v>
      </c>
      <c r="C152" s="41">
        <v>1539</v>
      </c>
      <c r="D152" s="41">
        <v>1604</v>
      </c>
      <c r="E152" s="38">
        <v>526</v>
      </c>
      <c r="F152" s="41">
        <v>1628</v>
      </c>
      <c r="G152" s="41">
        <v>1251</v>
      </c>
      <c r="H152" s="38">
        <v>181</v>
      </c>
    </row>
    <row r="153" spans="1:8">
      <c r="A153" s="38" t="s">
        <v>422</v>
      </c>
      <c r="B153" s="38" t="s">
        <v>423</v>
      </c>
      <c r="C153" s="38">
        <v>200</v>
      </c>
      <c r="D153" s="38">
        <v>322</v>
      </c>
      <c r="E153" s="38">
        <v>552</v>
      </c>
      <c r="F153" s="38">
        <v>740</v>
      </c>
      <c r="G153" s="38">
        <v>581</v>
      </c>
      <c r="H153" s="38">
        <v>548</v>
      </c>
    </row>
    <row r="154" spans="1:8">
      <c r="A154" s="38" t="s">
        <v>424</v>
      </c>
      <c r="B154" s="38" t="s">
        <v>425</v>
      </c>
      <c r="C154" s="38">
        <v>133</v>
      </c>
      <c r="D154" s="38">
        <v>130</v>
      </c>
      <c r="E154" s="38">
        <v>265</v>
      </c>
      <c r="F154" s="38">
        <v>366</v>
      </c>
      <c r="G154" s="38">
        <v>220</v>
      </c>
      <c r="H154" s="38">
        <v>171</v>
      </c>
    </row>
    <row r="155" spans="1:8">
      <c r="A155" s="38" t="s">
        <v>426</v>
      </c>
      <c r="B155" s="38" t="s">
        <v>427</v>
      </c>
      <c r="C155" s="41">
        <v>2020</v>
      </c>
      <c r="D155" s="41">
        <v>3485</v>
      </c>
      <c r="E155" s="41">
        <v>2748</v>
      </c>
      <c r="F155" s="41">
        <v>2217</v>
      </c>
      <c r="G155" s="41">
        <v>2536</v>
      </c>
      <c r="H155" s="41">
        <v>2363</v>
      </c>
    </row>
    <row r="156" spans="1:8">
      <c r="A156" s="38" t="s">
        <v>428</v>
      </c>
      <c r="B156" s="38" t="s">
        <v>429</v>
      </c>
      <c r="C156" s="38">
        <v>624</v>
      </c>
      <c r="D156" s="38">
        <v>798</v>
      </c>
      <c r="E156" s="38">
        <v>873</v>
      </c>
      <c r="F156" s="38">
        <v>627</v>
      </c>
      <c r="G156" s="38">
        <v>791</v>
      </c>
      <c r="H156" s="38">
        <v>474</v>
      </c>
    </row>
    <row r="157" spans="1:8">
      <c r="A157" s="38" t="s">
        <v>430</v>
      </c>
      <c r="B157" s="38" t="s">
        <v>431</v>
      </c>
      <c r="C157" s="38">
        <v>521</v>
      </c>
      <c r="D157" s="41">
        <v>1145</v>
      </c>
      <c r="E157" s="41">
        <v>1286</v>
      </c>
      <c r="F157" s="41">
        <v>1146</v>
      </c>
      <c r="G157" s="41">
        <v>1355</v>
      </c>
      <c r="H157" s="41">
        <v>1377</v>
      </c>
    </row>
    <row r="158" spans="1:8">
      <c r="A158" s="38" t="s">
        <v>432</v>
      </c>
      <c r="B158" s="38" t="s">
        <v>433</v>
      </c>
      <c r="C158" s="38">
        <v>248</v>
      </c>
      <c r="D158" s="38">
        <v>257</v>
      </c>
      <c r="E158" s="38">
        <v>175</v>
      </c>
      <c r="F158" s="38">
        <v>317</v>
      </c>
      <c r="G158" s="38">
        <v>467</v>
      </c>
      <c r="H158" s="38">
        <v>425</v>
      </c>
    </row>
    <row r="159" spans="1:8">
      <c r="A159" s="38" t="s">
        <v>434</v>
      </c>
      <c r="B159" s="38" t="s">
        <v>435</v>
      </c>
      <c r="C159" s="38">
        <v>323</v>
      </c>
      <c r="D159" s="38">
        <v>363</v>
      </c>
      <c r="E159" s="38">
        <v>455</v>
      </c>
      <c r="F159" s="38">
        <v>577</v>
      </c>
      <c r="G159" s="38">
        <v>392</v>
      </c>
      <c r="H159" s="38">
        <v>463</v>
      </c>
    </row>
    <row r="160" spans="1:8">
      <c r="A160" s="38" t="s">
        <v>436</v>
      </c>
      <c r="B160" s="38" t="s">
        <v>437</v>
      </c>
      <c r="C160" s="41">
        <v>1757</v>
      </c>
      <c r="D160" s="41">
        <v>1792</v>
      </c>
      <c r="E160" s="41">
        <v>2974</v>
      </c>
      <c r="F160" s="41">
        <v>2344</v>
      </c>
      <c r="G160" s="41">
        <v>4005</v>
      </c>
      <c r="H160" s="41">
        <v>4024</v>
      </c>
    </row>
    <row r="161" spans="1:8">
      <c r="A161" s="38" t="s">
        <v>438</v>
      </c>
      <c r="B161" s="38" t="s">
        <v>439</v>
      </c>
      <c r="C161" s="38">
        <v>388</v>
      </c>
      <c r="D161" s="38">
        <v>238</v>
      </c>
      <c r="E161" s="38">
        <v>237</v>
      </c>
      <c r="F161" s="38">
        <v>391</v>
      </c>
      <c r="G161" s="38">
        <v>402</v>
      </c>
      <c r="H161" s="38">
        <v>474</v>
      </c>
    </row>
    <row r="162" spans="1:8">
      <c r="A162" s="38" t="s">
        <v>440</v>
      </c>
      <c r="B162" s="38" t="s">
        <v>441</v>
      </c>
      <c r="C162" s="38">
        <v>553</v>
      </c>
      <c r="D162" s="38">
        <v>646</v>
      </c>
      <c r="E162" s="38">
        <v>685</v>
      </c>
      <c r="F162" s="38">
        <v>649</v>
      </c>
      <c r="G162" s="41">
        <v>1134</v>
      </c>
      <c r="H162" s="41">
        <v>1079</v>
      </c>
    </row>
    <row r="163" spans="1:8">
      <c r="A163" s="38" t="s">
        <v>442</v>
      </c>
      <c r="B163" s="38" t="s">
        <v>443</v>
      </c>
      <c r="C163" s="38">
        <v>141</v>
      </c>
      <c r="D163" s="38">
        <v>147</v>
      </c>
      <c r="E163" s="38">
        <v>138</v>
      </c>
      <c r="F163" s="38">
        <v>222</v>
      </c>
      <c r="G163" s="38">
        <v>334</v>
      </c>
      <c r="H163" s="38">
        <v>310</v>
      </c>
    </row>
    <row r="164" spans="1:8">
      <c r="A164" s="38" t="s">
        <v>444</v>
      </c>
      <c r="B164" s="38" t="s">
        <v>445</v>
      </c>
      <c r="C164" s="38">
        <v>469</v>
      </c>
      <c r="D164" s="38">
        <v>393</v>
      </c>
      <c r="E164" s="38">
        <v>679</v>
      </c>
      <c r="F164" s="38">
        <v>512</v>
      </c>
      <c r="G164" s="38">
        <v>387</v>
      </c>
      <c r="H164" s="38">
        <v>321</v>
      </c>
    </row>
    <row r="165" spans="1:8">
      <c r="A165" s="38" t="s">
        <v>446</v>
      </c>
      <c r="B165" s="38" t="s">
        <v>447</v>
      </c>
      <c r="C165" s="38">
        <v>508</v>
      </c>
      <c r="D165" s="38">
        <v>434</v>
      </c>
      <c r="E165" s="38">
        <v>648</v>
      </c>
      <c r="F165" s="38">
        <v>273</v>
      </c>
      <c r="G165" s="38">
        <v>346</v>
      </c>
      <c r="H165" s="38">
        <v>643</v>
      </c>
    </row>
    <row r="166" spans="1:8">
      <c r="A166" s="38" t="s">
        <v>448</v>
      </c>
      <c r="B166" s="38" t="s">
        <v>449</v>
      </c>
      <c r="C166" s="38">
        <v>352</v>
      </c>
      <c r="D166" s="38">
        <v>326</v>
      </c>
      <c r="E166" s="38">
        <v>502</v>
      </c>
      <c r="F166" s="38">
        <v>432</v>
      </c>
      <c r="G166" s="38">
        <v>425</v>
      </c>
      <c r="H166" s="38">
        <v>335</v>
      </c>
    </row>
    <row r="167" spans="1:8">
      <c r="A167" s="38" t="s">
        <v>450</v>
      </c>
      <c r="B167" s="38" t="s">
        <v>451</v>
      </c>
      <c r="C167" s="38">
        <v>304</v>
      </c>
      <c r="D167" s="38">
        <v>305</v>
      </c>
      <c r="E167" s="38">
        <v>426</v>
      </c>
      <c r="F167" s="38">
        <v>690</v>
      </c>
      <c r="G167" s="38">
        <v>451</v>
      </c>
      <c r="H167" s="38">
        <v>844</v>
      </c>
    </row>
    <row r="168" spans="1:8">
      <c r="A168" s="38" t="s">
        <v>452</v>
      </c>
      <c r="B168" s="38" t="s">
        <v>453</v>
      </c>
      <c r="C168" s="38">
        <v>885</v>
      </c>
      <c r="D168" s="41">
        <v>1000</v>
      </c>
      <c r="E168" s="38">
        <v>614</v>
      </c>
      <c r="F168" s="38">
        <v>665</v>
      </c>
      <c r="G168" s="41">
        <v>1048</v>
      </c>
      <c r="H168" s="41">
        <v>1098</v>
      </c>
    </row>
    <row r="169" spans="1:8">
      <c r="A169" s="38" t="s">
        <v>454</v>
      </c>
      <c r="B169" s="38" t="s">
        <v>455</v>
      </c>
      <c r="C169" s="38">
        <v>557</v>
      </c>
      <c r="D169" s="38">
        <v>536</v>
      </c>
      <c r="E169" s="38">
        <v>407</v>
      </c>
      <c r="F169" s="38">
        <v>543</v>
      </c>
      <c r="G169" s="38">
        <v>645</v>
      </c>
      <c r="H169" s="38">
        <v>456</v>
      </c>
    </row>
    <row r="170" spans="1:8">
      <c r="A170" s="38" t="s">
        <v>456</v>
      </c>
      <c r="B170" s="38" t="s">
        <v>457</v>
      </c>
      <c r="C170" s="41">
        <v>1194</v>
      </c>
      <c r="D170" s="41">
        <v>1229</v>
      </c>
      <c r="E170" s="41">
        <v>1485</v>
      </c>
      <c r="F170" s="41">
        <v>1781</v>
      </c>
      <c r="G170" s="41">
        <v>2076</v>
      </c>
      <c r="H170" s="41">
        <v>1993</v>
      </c>
    </row>
    <row r="171" spans="1:8">
      <c r="A171" s="38" t="s">
        <v>458</v>
      </c>
      <c r="B171" s="38" t="s">
        <v>459</v>
      </c>
      <c r="C171" s="38">
        <v>158</v>
      </c>
      <c r="D171" s="38">
        <v>207</v>
      </c>
      <c r="E171" s="38">
        <v>386</v>
      </c>
      <c r="F171" s="38">
        <v>326</v>
      </c>
      <c r="G171" s="38">
        <v>158</v>
      </c>
      <c r="H171" s="38">
        <v>274</v>
      </c>
    </row>
    <row r="172" spans="1:8">
      <c r="A172" s="38" t="s">
        <v>460</v>
      </c>
      <c r="B172" s="38" t="s">
        <v>461</v>
      </c>
      <c r="C172" s="38">
        <v>185</v>
      </c>
      <c r="D172" s="38">
        <v>359</v>
      </c>
      <c r="E172" s="38">
        <v>292</v>
      </c>
      <c r="F172" s="38">
        <v>387</v>
      </c>
      <c r="G172" s="38">
        <v>357</v>
      </c>
      <c r="H172" s="38">
        <v>422</v>
      </c>
    </row>
    <row r="173" spans="1:8">
      <c r="A173" s="38" t="s">
        <v>462</v>
      </c>
      <c r="B173" s="38" t="s">
        <v>463</v>
      </c>
      <c r="C173" s="38">
        <v>396</v>
      </c>
      <c r="D173" s="38">
        <v>571</v>
      </c>
      <c r="E173" s="38">
        <v>490</v>
      </c>
      <c r="F173" s="38">
        <v>654</v>
      </c>
      <c r="G173" s="38">
        <v>555</v>
      </c>
      <c r="H173" s="38">
        <v>767</v>
      </c>
    </row>
    <row r="174" spans="1:8">
      <c r="A174" s="38" t="s">
        <v>464</v>
      </c>
      <c r="B174" s="38" t="s">
        <v>465</v>
      </c>
      <c r="C174" s="41">
        <v>1237</v>
      </c>
      <c r="D174" s="41">
        <v>2767</v>
      </c>
      <c r="E174" s="41">
        <v>2326</v>
      </c>
      <c r="F174" s="41">
        <v>1752</v>
      </c>
      <c r="G174" s="41">
        <v>1522</v>
      </c>
      <c r="H174" s="41">
        <v>1268</v>
      </c>
    </row>
    <row r="175" spans="1:8">
      <c r="A175" s="38" t="s">
        <v>466</v>
      </c>
      <c r="B175" s="38" t="s">
        <v>467</v>
      </c>
      <c r="C175" s="38">
        <v>129</v>
      </c>
      <c r="D175" s="38">
        <v>409</v>
      </c>
      <c r="E175" s="38">
        <v>263</v>
      </c>
      <c r="F175" s="38">
        <v>238</v>
      </c>
      <c r="G175" s="38">
        <v>320</v>
      </c>
      <c r="H175" s="38">
        <v>630</v>
      </c>
    </row>
    <row r="176" spans="1:8">
      <c r="A176" s="38" t="s">
        <v>468</v>
      </c>
      <c r="B176" s="38" t="s">
        <v>469</v>
      </c>
      <c r="C176" s="41">
        <v>1441</v>
      </c>
      <c r="D176" s="41">
        <v>2377</v>
      </c>
      <c r="E176" s="41">
        <v>1846</v>
      </c>
      <c r="F176" s="41">
        <v>2505</v>
      </c>
      <c r="G176" s="41">
        <v>3368</v>
      </c>
      <c r="H176" s="41">
        <v>1813</v>
      </c>
    </row>
    <row r="177" spans="1:8">
      <c r="A177" s="38" t="s">
        <v>470</v>
      </c>
      <c r="B177" s="38" t="s">
        <v>471</v>
      </c>
      <c r="C177" s="38">
        <v>264</v>
      </c>
      <c r="D177" s="38">
        <v>471</v>
      </c>
      <c r="E177" s="38">
        <v>634</v>
      </c>
      <c r="F177" s="38">
        <v>693</v>
      </c>
      <c r="G177" s="38">
        <v>887</v>
      </c>
      <c r="H177" s="38">
        <v>556</v>
      </c>
    </row>
    <row r="178" spans="1:8">
      <c r="A178" s="38" t="s">
        <v>472</v>
      </c>
      <c r="B178" s="38" t="s">
        <v>473</v>
      </c>
      <c r="C178" s="38">
        <v>466</v>
      </c>
      <c r="D178" s="38">
        <v>282</v>
      </c>
      <c r="E178" s="38">
        <v>396</v>
      </c>
      <c r="F178" s="38">
        <v>189</v>
      </c>
      <c r="G178" s="38">
        <v>436</v>
      </c>
      <c r="H178" s="38">
        <v>465</v>
      </c>
    </row>
    <row r="179" spans="1:8">
      <c r="A179" s="38" t="s">
        <v>474</v>
      </c>
      <c r="B179" s="38" t="s">
        <v>475</v>
      </c>
      <c r="C179" s="38">
        <v>357</v>
      </c>
      <c r="D179" s="38">
        <v>276</v>
      </c>
      <c r="E179" s="38">
        <v>186</v>
      </c>
      <c r="F179" s="38">
        <v>308</v>
      </c>
      <c r="G179" s="38">
        <v>248</v>
      </c>
      <c r="H179" s="38">
        <v>244</v>
      </c>
    </row>
    <row r="180" spans="1:8">
      <c r="A180" s="38" t="s">
        <v>476</v>
      </c>
      <c r="B180" s="38" t="s">
        <v>477</v>
      </c>
      <c r="C180" s="38">
        <v>341</v>
      </c>
      <c r="D180" s="38">
        <v>539</v>
      </c>
      <c r="E180" s="38">
        <v>281</v>
      </c>
      <c r="F180" s="38">
        <v>222</v>
      </c>
      <c r="G180" s="38">
        <v>433</v>
      </c>
      <c r="H180" s="38">
        <v>593</v>
      </c>
    </row>
    <row r="181" spans="1:8">
      <c r="A181" s="38" t="s">
        <v>478</v>
      </c>
      <c r="B181" s="38" t="s">
        <v>479</v>
      </c>
      <c r="C181" s="38">
        <v>472</v>
      </c>
      <c r="D181" s="38">
        <v>489</v>
      </c>
      <c r="E181" s="38">
        <v>578</v>
      </c>
      <c r="F181" s="38">
        <v>693</v>
      </c>
      <c r="G181" s="38">
        <v>760</v>
      </c>
      <c r="H181" s="38">
        <v>487</v>
      </c>
    </row>
    <row r="182" spans="1:8">
      <c r="A182" s="38" t="s">
        <v>480</v>
      </c>
      <c r="B182" s="38" t="s">
        <v>481</v>
      </c>
      <c r="C182" s="38">
        <v>379</v>
      </c>
      <c r="D182" s="38">
        <v>272</v>
      </c>
      <c r="E182" s="38">
        <v>356</v>
      </c>
      <c r="F182" s="38">
        <v>324</v>
      </c>
      <c r="G182" s="38">
        <v>418</v>
      </c>
      <c r="H182" s="38">
        <v>441</v>
      </c>
    </row>
    <row r="183" spans="1:8">
      <c r="A183" s="38" t="s">
        <v>482</v>
      </c>
      <c r="B183" s="38" t="s">
        <v>483</v>
      </c>
      <c r="C183" s="38">
        <v>479</v>
      </c>
      <c r="D183" s="38">
        <v>442</v>
      </c>
      <c r="E183" s="38">
        <v>543</v>
      </c>
      <c r="F183" s="38">
        <v>531</v>
      </c>
      <c r="G183" s="38">
        <v>408</v>
      </c>
      <c r="H183" s="38">
        <v>466</v>
      </c>
    </row>
    <row r="184" spans="1:8">
      <c r="A184" s="38" t="s">
        <v>852</v>
      </c>
      <c r="B184" s="38" t="s">
        <v>853</v>
      </c>
      <c r="C184" s="38"/>
      <c r="D184" s="41">
        <v>1789</v>
      </c>
      <c r="E184" s="41">
        <v>1818</v>
      </c>
      <c r="F184" s="41">
        <v>2088</v>
      </c>
      <c r="G184" s="41">
        <v>1298</v>
      </c>
      <c r="H184" s="41">
        <v>1682</v>
      </c>
    </row>
    <row r="185" spans="1:8">
      <c r="A185" s="38" t="s">
        <v>484</v>
      </c>
      <c r="B185" s="38" t="s">
        <v>485</v>
      </c>
      <c r="C185" s="38">
        <v>569</v>
      </c>
      <c r="D185" s="38">
        <v>852</v>
      </c>
      <c r="E185" s="38">
        <v>863</v>
      </c>
      <c r="F185" s="38">
        <v>729</v>
      </c>
      <c r="G185" s="38">
        <v>868</v>
      </c>
      <c r="H185" s="38">
        <v>966</v>
      </c>
    </row>
    <row r="186" spans="1:8">
      <c r="A186" s="38" t="s">
        <v>486</v>
      </c>
      <c r="B186" s="38" t="s">
        <v>487</v>
      </c>
      <c r="C186" s="38">
        <v>536</v>
      </c>
      <c r="D186" s="38">
        <v>892</v>
      </c>
      <c r="E186" s="38">
        <v>965</v>
      </c>
      <c r="F186" s="38">
        <v>933</v>
      </c>
      <c r="G186" s="38">
        <v>554</v>
      </c>
      <c r="H186" s="38">
        <v>563</v>
      </c>
    </row>
    <row r="187" spans="1:8">
      <c r="A187" s="38" t="s">
        <v>488</v>
      </c>
      <c r="B187" s="38" t="s">
        <v>489</v>
      </c>
      <c r="C187" s="38">
        <v>208</v>
      </c>
      <c r="D187" s="38">
        <v>326</v>
      </c>
      <c r="E187" s="38">
        <v>227</v>
      </c>
      <c r="F187" s="38">
        <v>337</v>
      </c>
      <c r="G187" s="38">
        <v>215</v>
      </c>
      <c r="H187" s="38">
        <v>137</v>
      </c>
    </row>
    <row r="188" spans="1:8">
      <c r="A188" s="38" t="s">
        <v>490</v>
      </c>
      <c r="B188" s="38" t="s">
        <v>491</v>
      </c>
      <c r="C188" s="38">
        <v>842</v>
      </c>
      <c r="D188" s="38">
        <v>851</v>
      </c>
      <c r="E188" s="38">
        <v>971</v>
      </c>
      <c r="F188" s="38">
        <v>713</v>
      </c>
      <c r="G188" s="38">
        <v>754</v>
      </c>
      <c r="H188" s="38">
        <v>702</v>
      </c>
    </row>
    <row r="189" spans="1:8">
      <c r="A189" s="38" t="s">
        <v>492</v>
      </c>
      <c r="B189" s="38" t="s">
        <v>493</v>
      </c>
      <c r="C189" s="38">
        <v>739</v>
      </c>
      <c r="D189" s="38">
        <v>991</v>
      </c>
      <c r="E189" s="38">
        <v>866</v>
      </c>
      <c r="F189" s="38">
        <v>589</v>
      </c>
      <c r="G189" s="38">
        <v>576</v>
      </c>
      <c r="H189" s="34"/>
    </row>
    <row r="190" spans="1:8">
      <c r="A190" s="38" t="s">
        <v>494</v>
      </c>
      <c r="B190" s="38" t="s">
        <v>495</v>
      </c>
      <c r="C190" s="38">
        <v>991</v>
      </c>
      <c r="D190" s="41">
        <v>1531</v>
      </c>
      <c r="E190" s="41">
        <v>1376</v>
      </c>
      <c r="F190" s="41">
        <v>1802</v>
      </c>
      <c r="G190" s="41">
        <v>1744</v>
      </c>
      <c r="H190" s="41">
        <v>1279</v>
      </c>
    </row>
    <row r="191" spans="1:8">
      <c r="A191" s="38" t="s">
        <v>496</v>
      </c>
      <c r="B191" s="38" t="s">
        <v>497</v>
      </c>
      <c r="C191" s="38">
        <v>365</v>
      </c>
      <c r="D191" s="38">
        <v>445</v>
      </c>
      <c r="E191" s="38">
        <v>237</v>
      </c>
      <c r="F191" s="38">
        <v>905</v>
      </c>
      <c r="G191" s="38">
        <v>509</v>
      </c>
      <c r="H191" s="38">
        <v>164</v>
      </c>
    </row>
    <row r="192" spans="1:8">
      <c r="A192" s="38" t="s">
        <v>498</v>
      </c>
      <c r="B192" s="38" t="s">
        <v>499</v>
      </c>
      <c r="C192" s="38">
        <v>947</v>
      </c>
      <c r="D192" s="38">
        <v>974</v>
      </c>
      <c r="E192" s="41">
        <v>1393</v>
      </c>
      <c r="F192" s="41">
        <v>1456</v>
      </c>
      <c r="G192" s="41">
        <v>1806</v>
      </c>
      <c r="H192" s="41">
        <v>1407</v>
      </c>
    </row>
    <row r="193" spans="1:8">
      <c r="A193" s="38" t="s">
        <v>500</v>
      </c>
      <c r="B193" s="38" t="s">
        <v>501</v>
      </c>
      <c r="C193" s="38">
        <v>412</v>
      </c>
      <c r="D193" s="38">
        <v>400</v>
      </c>
      <c r="E193" s="38">
        <v>497</v>
      </c>
      <c r="F193" s="38">
        <v>648</v>
      </c>
      <c r="G193" s="38">
        <v>619</v>
      </c>
      <c r="H193" s="38">
        <v>601</v>
      </c>
    </row>
    <row r="194" spans="1:8">
      <c r="A194" s="38" t="s">
        <v>502</v>
      </c>
      <c r="B194" s="38" t="s">
        <v>503</v>
      </c>
      <c r="C194" s="38">
        <v>117</v>
      </c>
      <c r="D194" s="38">
        <v>175</v>
      </c>
      <c r="E194" s="38">
        <v>107</v>
      </c>
      <c r="F194" s="38">
        <v>93</v>
      </c>
      <c r="G194" s="38">
        <v>170</v>
      </c>
      <c r="H194" s="38">
        <v>215</v>
      </c>
    </row>
    <row r="195" spans="1:8">
      <c r="A195" s="38" t="s">
        <v>504</v>
      </c>
      <c r="B195" s="38" t="s">
        <v>505</v>
      </c>
      <c r="C195" s="38">
        <v>260</v>
      </c>
      <c r="D195" s="38">
        <v>326</v>
      </c>
      <c r="E195" s="38">
        <v>345</v>
      </c>
      <c r="F195" s="38">
        <v>529</v>
      </c>
      <c r="G195" s="38">
        <v>728</v>
      </c>
      <c r="H195" s="38">
        <v>380</v>
      </c>
    </row>
    <row r="196" spans="1:8">
      <c r="A196" s="38" t="s">
        <v>506</v>
      </c>
      <c r="B196" s="38" t="s">
        <v>507</v>
      </c>
      <c r="C196" s="38">
        <v>372</v>
      </c>
      <c r="D196" s="38">
        <v>320</v>
      </c>
      <c r="E196" s="38">
        <v>184</v>
      </c>
      <c r="F196" s="38">
        <v>250</v>
      </c>
      <c r="G196" s="38">
        <v>222</v>
      </c>
      <c r="H196" s="38">
        <v>464</v>
      </c>
    </row>
    <row r="197" spans="1:8">
      <c r="A197" s="38" t="s">
        <v>508</v>
      </c>
      <c r="B197" s="38" t="s">
        <v>509</v>
      </c>
      <c r="C197" s="38">
        <v>127</v>
      </c>
      <c r="D197" s="38">
        <v>169</v>
      </c>
      <c r="E197" s="38">
        <v>139</v>
      </c>
      <c r="F197" s="38">
        <v>314</v>
      </c>
      <c r="G197" s="38">
        <v>208</v>
      </c>
      <c r="H197" s="38">
        <v>342</v>
      </c>
    </row>
    <row r="198" spans="1:8">
      <c r="A198" s="38" t="s">
        <v>510</v>
      </c>
      <c r="B198" s="38" t="s">
        <v>511</v>
      </c>
      <c r="C198" s="38">
        <v>920</v>
      </c>
      <c r="D198" s="41">
        <v>1201</v>
      </c>
      <c r="E198" s="38">
        <v>706</v>
      </c>
      <c r="F198" s="41">
        <v>1104</v>
      </c>
      <c r="G198" s="41">
        <v>1133</v>
      </c>
      <c r="H198" s="41">
        <v>1247</v>
      </c>
    </row>
    <row r="199" spans="1:8">
      <c r="A199" s="38" t="s">
        <v>512</v>
      </c>
      <c r="B199" s="38" t="s">
        <v>513</v>
      </c>
      <c r="C199" s="41">
        <v>1128</v>
      </c>
      <c r="D199" s="38">
        <v>528</v>
      </c>
      <c r="E199" s="41">
        <v>1465</v>
      </c>
      <c r="F199" s="38">
        <v>869</v>
      </c>
      <c r="G199" s="38">
        <v>695</v>
      </c>
      <c r="H199" s="38">
        <v>537</v>
      </c>
    </row>
    <row r="200" spans="1:8">
      <c r="A200" s="38" t="s">
        <v>514</v>
      </c>
      <c r="B200" s="38" t="s">
        <v>515</v>
      </c>
      <c r="C200" s="38">
        <v>420</v>
      </c>
      <c r="D200" s="38">
        <v>393</v>
      </c>
      <c r="E200" s="38">
        <v>408</v>
      </c>
      <c r="F200" s="38">
        <v>183</v>
      </c>
      <c r="G200" s="38">
        <v>168</v>
      </c>
      <c r="H200" s="38">
        <v>285</v>
      </c>
    </row>
    <row r="201" spans="1:8">
      <c r="A201" s="38" t="s">
        <v>516</v>
      </c>
      <c r="B201" s="38" t="s">
        <v>517</v>
      </c>
      <c r="C201" s="38">
        <v>484</v>
      </c>
      <c r="D201" s="38">
        <v>804</v>
      </c>
      <c r="E201" s="38">
        <v>738</v>
      </c>
      <c r="F201" s="38">
        <v>785</v>
      </c>
      <c r="G201" s="38">
        <v>747</v>
      </c>
      <c r="H201" s="38">
        <v>909</v>
      </c>
    </row>
    <row r="202" spans="1:8">
      <c r="A202" s="38" t="s">
        <v>518</v>
      </c>
      <c r="B202" s="38" t="s">
        <v>519</v>
      </c>
      <c r="C202" s="38">
        <v>751</v>
      </c>
      <c r="D202" s="38">
        <v>717</v>
      </c>
      <c r="E202" s="38">
        <v>700</v>
      </c>
      <c r="F202" s="38">
        <v>910</v>
      </c>
      <c r="G202" s="38">
        <v>521</v>
      </c>
      <c r="H202" s="38">
        <v>408</v>
      </c>
    </row>
    <row r="203" spans="1:8">
      <c r="A203" s="38" t="s">
        <v>520</v>
      </c>
      <c r="B203" s="38" t="s">
        <v>521</v>
      </c>
      <c r="C203" s="38">
        <v>54</v>
      </c>
      <c r="D203" s="38">
        <v>755</v>
      </c>
      <c r="E203" s="38">
        <v>462</v>
      </c>
      <c r="F203" s="38">
        <v>764</v>
      </c>
      <c r="G203" s="38">
        <v>624</v>
      </c>
      <c r="H203" s="41">
        <v>2441</v>
      </c>
    </row>
    <row r="204" spans="1:8">
      <c r="A204" s="38" t="s">
        <v>522</v>
      </c>
      <c r="B204" s="38" t="s">
        <v>523</v>
      </c>
      <c r="C204" s="38">
        <v>226</v>
      </c>
      <c r="D204" s="38">
        <v>525</v>
      </c>
      <c r="E204" s="38">
        <v>430</v>
      </c>
      <c r="F204" s="38">
        <v>504</v>
      </c>
      <c r="G204" s="38">
        <v>376</v>
      </c>
      <c r="H204" s="38">
        <v>365</v>
      </c>
    </row>
    <row r="205" spans="1:8">
      <c r="A205" s="38" t="s">
        <v>524</v>
      </c>
      <c r="B205" s="38" t="s">
        <v>525</v>
      </c>
      <c r="C205" s="38">
        <v>181</v>
      </c>
      <c r="D205" s="38">
        <v>183</v>
      </c>
      <c r="E205" s="38">
        <v>384</v>
      </c>
      <c r="F205" s="38">
        <v>390</v>
      </c>
      <c r="G205" s="38">
        <v>279</v>
      </c>
      <c r="H205" s="38">
        <v>199</v>
      </c>
    </row>
    <row r="206" spans="1:8">
      <c r="A206" s="38" t="s">
        <v>526</v>
      </c>
      <c r="B206" s="38" t="s">
        <v>527</v>
      </c>
      <c r="C206" s="38">
        <v>535</v>
      </c>
      <c r="D206" s="38">
        <v>517</v>
      </c>
      <c r="E206" s="38">
        <v>553</v>
      </c>
      <c r="F206" s="38">
        <v>535</v>
      </c>
      <c r="G206" s="38">
        <v>459</v>
      </c>
      <c r="H206" s="38">
        <v>801</v>
      </c>
    </row>
    <row r="207" spans="1:8">
      <c r="A207" s="38" t="s">
        <v>528</v>
      </c>
      <c r="B207" s="38" t="s">
        <v>529</v>
      </c>
      <c r="C207" s="38">
        <v>300</v>
      </c>
      <c r="D207" s="38">
        <v>390</v>
      </c>
      <c r="E207" s="38">
        <v>400</v>
      </c>
      <c r="F207" s="38">
        <v>403</v>
      </c>
      <c r="G207" s="38">
        <v>559</v>
      </c>
      <c r="H207" s="38">
        <v>453</v>
      </c>
    </row>
    <row r="208" spans="1:8">
      <c r="A208" s="38" t="s">
        <v>530</v>
      </c>
      <c r="B208" s="38" t="s">
        <v>531</v>
      </c>
      <c r="C208" s="38">
        <v>513</v>
      </c>
      <c r="D208" s="38">
        <v>465</v>
      </c>
      <c r="E208" s="38">
        <v>382</v>
      </c>
      <c r="F208" s="38">
        <v>423</v>
      </c>
      <c r="G208" s="38">
        <v>313</v>
      </c>
      <c r="H208" s="41">
        <v>1362</v>
      </c>
    </row>
    <row r="209" spans="1:8">
      <c r="A209" s="38" t="s">
        <v>532</v>
      </c>
      <c r="B209" s="38" t="s">
        <v>533</v>
      </c>
      <c r="C209" s="38">
        <v>143</v>
      </c>
      <c r="D209" s="38">
        <v>252</v>
      </c>
      <c r="E209" s="38">
        <v>284</v>
      </c>
      <c r="F209" s="38">
        <v>201</v>
      </c>
      <c r="G209" s="38">
        <v>58</v>
      </c>
      <c r="H209" s="38">
        <v>99</v>
      </c>
    </row>
    <row r="210" spans="1:8">
      <c r="A210" s="38" t="s">
        <v>534</v>
      </c>
      <c r="B210" s="38" t="s">
        <v>535</v>
      </c>
      <c r="C210" s="38">
        <v>308</v>
      </c>
      <c r="D210" s="38">
        <v>315</v>
      </c>
      <c r="E210" s="38">
        <v>799</v>
      </c>
      <c r="F210" s="38">
        <v>833</v>
      </c>
      <c r="G210" s="38">
        <v>650</v>
      </c>
      <c r="H210" s="38">
        <v>520</v>
      </c>
    </row>
    <row r="211" spans="1:8">
      <c r="A211" s="38" t="s">
        <v>536</v>
      </c>
      <c r="B211" s="38" t="s">
        <v>537</v>
      </c>
      <c r="C211" s="38">
        <v>159</v>
      </c>
      <c r="D211" s="38">
        <v>116</v>
      </c>
      <c r="E211" s="38">
        <v>299</v>
      </c>
      <c r="F211" s="38">
        <v>262</v>
      </c>
      <c r="G211" s="38">
        <v>347</v>
      </c>
      <c r="H211" s="38">
        <v>349</v>
      </c>
    </row>
    <row r="212" spans="1:8">
      <c r="A212" s="38" t="s">
        <v>538</v>
      </c>
      <c r="B212" s="38" t="s">
        <v>539</v>
      </c>
      <c r="C212" s="38">
        <v>122</v>
      </c>
      <c r="D212" s="38">
        <v>191</v>
      </c>
      <c r="E212" s="38">
        <v>149</v>
      </c>
      <c r="F212" s="38">
        <v>107</v>
      </c>
      <c r="G212" s="38">
        <v>94</v>
      </c>
      <c r="H212" s="38">
        <v>77</v>
      </c>
    </row>
    <row r="213" spans="1:8">
      <c r="A213" s="38" t="s">
        <v>540</v>
      </c>
      <c r="B213" s="38" t="s">
        <v>541</v>
      </c>
      <c r="C213" s="38">
        <v>246</v>
      </c>
      <c r="D213" s="38">
        <v>283</v>
      </c>
      <c r="E213" s="38">
        <v>186</v>
      </c>
      <c r="F213" s="38">
        <v>255</v>
      </c>
      <c r="G213" s="38">
        <v>247</v>
      </c>
      <c r="H213" s="38">
        <v>175</v>
      </c>
    </row>
    <row r="214" spans="1:8">
      <c r="A214" s="38" t="s">
        <v>542</v>
      </c>
      <c r="B214" s="38" t="s">
        <v>543</v>
      </c>
      <c r="C214" s="38">
        <v>585</v>
      </c>
      <c r="D214" s="38">
        <v>605</v>
      </c>
      <c r="E214" s="38">
        <v>472</v>
      </c>
      <c r="F214" s="38">
        <v>422</v>
      </c>
      <c r="G214" s="38">
        <v>556</v>
      </c>
      <c r="H214" s="38">
        <v>566</v>
      </c>
    </row>
    <row r="215" spans="1:8">
      <c r="A215" s="38" t="s">
        <v>544</v>
      </c>
      <c r="B215" s="38" t="s">
        <v>545</v>
      </c>
      <c r="C215" s="38">
        <v>534</v>
      </c>
      <c r="D215" s="38">
        <v>381</v>
      </c>
      <c r="E215" s="38">
        <v>578</v>
      </c>
      <c r="F215" s="38">
        <v>939</v>
      </c>
      <c r="G215" s="38">
        <v>871</v>
      </c>
      <c r="H215" s="38">
        <v>832</v>
      </c>
    </row>
    <row r="216" spans="1:8">
      <c r="A216" s="38" t="s">
        <v>546</v>
      </c>
      <c r="B216" s="38" t="s">
        <v>547</v>
      </c>
      <c r="C216" s="38">
        <v>405</v>
      </c>
      <c r="D216" s="38">
        <v>160</v>
      </c>
      <c r="E216" s="38">
        <v>754</v>
      </c>
      <c r="F216" s="38">
        <v>428</v>
      </c>
      <c r="G216" s="38">
        <v>297</v>
      </c>
      <c r="H216" s="38">
        <v>269</v>
      </c>
    </row>
    <row r="217" spans="1:8">
      <c r="A217" s="38" t="s">
        <v>548</v>
      </c>
      <c r="B217" s="38" t="s">
        <v>549</v>
      </c>
      <c r="C217" s="38">
        <v>487</v>
      </c>
      <c r="D217" s="38">
        <v>528</v>
      </c>
      <c r="E217" s="38">
        <v>593</v>
      </c>
      <c r="F217" s="38">
        <v>763</v>
      </c>
      <c r="G217" s="38">
        <v>494</v>
      </c>
      <c r="H217" s="38">
        <v>611</v>
      </c>
    </row>
    <row r="218" spans="1:8">
      <c r="A218" s="38" t="s">
        <v>550</v>
      </c>
      <c r="B218" s="38" t="s">
        <v>551</v>
      </c>
      <c r="C218" s="38">
        <v>173</v>
      </c>
      <c r="D218" s="38">
        <v>364</v>
      </c>
      <c r="E218" s="38">
        <v>450</v>
      </c>
      <c r="F218" s="38">
        <v>303</v>
      </c>
      <c r="G218" s="38">
        <v>730</v>
      </c>
      <c r="H218" s="38">
        <v>225</v>
      </c>
    </row>
    <row r="219" spans="1:8">
      <c r="A219" s="38" t="s">
        <v>552</v>
      </c>
      <c r="B219" s="38" t="s">
        <v>553</v>
      </c>
      <c r="C219" s="38">
        <v>220</v>
      </c>
      <c r="D219" s="38">
        <v>257</v>
      </c>
      <c r="E219" s="38">
        <v>251</v>
      </c>
      <c r="F219" s="38">
        <v>213</v>
      </c>
      <c r="G219" s="38">
        <v>188</v>
      </c>
      <c r="H219" s="38">
        <v>114</v>
      </c>
    </row>
    <row r="220" spans="1:8">
      <c r="A220" s="38" t="s">
        <v>554</v>
      </c>
      <c r="B220" s="38" t="s">
        <v>555</v>
      </c>
      <c r="C220" s="38">
        <v>246</v>
      </c>
      <c r="D220" s="38">
        <v>321</v>
      </c>
      <c r="E220" s="38">
        <v>279</v>
      </c>
      <c r="F220" s="38">
        <v>272</v>
      </c>
      <c r="G220" s="38">
        <v>452</v>
      </c>
      <c r="H220" s="38">
        <v>197</v>
      </c>
    </row>
    <row r="221" spans="1:8">
      <c r="A221" s="38" t="s">
        <v>556</v>
      </c>
      <c r="B221" s="38" t="s">
        <v>557</v>
      </c>
      <c r="C221" s="41">
        <v>1098</v>
      </c>
      <c r="D221" s="41">
        <v>2482</v>
      </c>
      <c r="E221" s="41">
        <v>1479</v>
      </c>
      <c r="F221" s="41">
        <v>3208</v>
      </c>
      <c r="G221" s="41">
        <v>3867</v>
      </c>
      <c r="H221" s="41">
        <v>3025</v>
      </c>
    </row>
    <row r="222" spans="1:8">
      <c r="A222" s="38" t="s">
        <v>558</v>
      </c>
      <c r="B222" s="38" t="s">
        <v>559</v>
      </c>
      <c r="C222" s="38">
        <v>558</v>
      </c>
      <c r="D222" s="38">
        <v>881</v>
      </c>
      <c r="E222" s="38">
        <v>676</v>
      </c>
      <c r="F222" s="38">
        <v>794</v>
      </c>
      <c r="G222" s="38">
        <v>467</v>
      </c>
      <c r="H222" s="38">
        <v>654</v>
      </c>
    </row>
    <row r="223" spans="1:8">
      <c r="A223" s="38" t="s">
        <v>560</v>
      </c>
      <c r="B223" s="38" t="s">
        <v>561</v>
      </c>
      <c r="C223" s="38">
        <v>352</v>
      </c>
      <c r="D223" s="38">
        <v>457</v>
      </c>
      <c r="E223" s="38">
        <v>458</v>
      </c>
      <c r="F223" s="38">
        <v>476</v>
      </c>
      <c r="G223" s="38">
        <v>508</v>
      </c>
      <c r="H223" s="38">
        <v>473</v>
      </c>
    </row>
    <row r="224" spans="1:8">
      <c r="A224" s="38" t="s">
        <v>562</v>
      </c>
      <c r="B224" s="38" t="s">
        <v>563</v>
      </c>
      <c r="C224" s="38">
        <v>480</v>
      </c>
      <c r="D224" s="38">
        <v>515</v>
      </c>
      <c r="E224" s="38">
        <v>434</v>
      </c>
      <c r="F224" s="38">
        <v>465</v>
      </c>
      <c r="G224" s="38">
        <v>544</v>
      </c>
      <c r="H224" s="38">
        <v>529</v>
      </c>
    </row>
    <row r="225" spans="1:8">
      <c r="A225" s="38" t="s">
        <v>564</v>
      </c>
      <c r="B225" s="38" t="s">
        <v>565</v>
      </c>
      <c r="C225" s="38">
        <v>-189</v>
      </c>
      <c r="D225" s="38">
        <v>606</v>
      </c>
      <c r="E225" s="38">
        <v>419</v>
      </c>
      <c r="F225" s="38">
        <v>577</v>
      </c>
      <c r="G225" s="38">
        <v>714</v>
      </c>
      <c r="H225" s="38">
        <v>721</v>
      </c>
    </row>
    <row r="226" spans="1:8">
      <c r="A226" s="38" t="s">
        <v>566</v>
      </c>
      <c r="B226" s="38" t="s">
        <v>567</v>
      </c>
      <c r="C226" s="38">
        <v>439</v>
      </c>
      <c r="D226" s="38">
        <v>562</v>
      </c>
      <c r="E226" s="38">
        <v>612</v>
      </c>
      <c r="F226" s="38">
        <v>625</v>
      </c>
      <c r="G226" s="38">
        <v>492</v>
      </c>
      <c r="H226" s="38">
        <v>484</v>
      </c>
    </row>
    <row r="227" spans="1:8">
      <c r="A227" s="38" t="s">
        <v>568</v>
      </c>
      <c r="B227" s="38" t="s">
        <v>569</v>
      </c>
      <c r="C227" s="38">
        <v>418</v>
      </c>
      <c r="D227" s="38">
        <v>324</v>
      </c>
      <c r="E227" s="38">
        <v>388</v>
      </c>
      <c r="F227" s="38">
        <v>255</v>
      </c>
      <c r="G227" s="38">
        <v>433</v>
      </c>
      <c r="H227" s="38">
        <v>216</v>
      </c>
    </row>
    <row r="228" spans="1:8">
      <c r="A228" s="38" t="s">
        <v>570</v>
      </c>
      <c r="B228" s="38" t="s">
        <v>571</v>
      </c>
      <c r="C228" s="41">
        <v>1589</v>
      </c>
      <c r="D228" s="41">
        <v>2248</v>
      </c>
      <c r="E228" s="41">
        <v>2304</v>
      </c>
      <c r="F228" s="41">
        <v>1976</v>
      </c>
      <c r="G228" s="41">
        <v>3083</v>
      </c>
      <c r="H228" s="41">
        <v>1850</v>
      </c>
    </row>
    <row r="229" spans="1:8">
      <c r="A229" s="38" t="s">
        <v>572</v>
      </c>
      <c r="B229" s="38" t="s">
        <v>573</v>
      </c>
      <c r="C229" s="41">
        <v>1402</v>
      </c>
      <c r="D229" s="41">
        <v>1910</v>
      </c>
      <c r="E229" s="41">
        <v>1876</v>
      </c>
      <c r="F229" s="41">
        <v>1816</v>
      </c>
      <c r="G229" s="41">
        <v>1542</v>
      </c>
      <c r="H229" s="41">
        <v>1582</v>
      </c>
    </row>
    <row r="230" spans="1:8">
      <c r="A230" s="38" t="s">
        <v>574</v>
      </c>
      <c r="B230" s="38" t="s">
        <v>575</v>
      </c>
      <c r="C230" s="38">
        <v>789</v>
      </c>
      <c r="D230" s="38">
        <v>524</v>
      </c>
      <c r="E230" s="38">
        <v>846</v>
      </c>
      <c r="F230" s="38">
        <v>534</v>
      </c>
      <c r="G230" s="38">
        <v>503</v>
      </c>
      <c r="H230" s="38">
        <v>501</v>
      </c>
    </row>
    <row r="231" spans="1:8">
      <c r="A231" s="38" t="s">
        <v>576</v>
      </c>
      <c r="B231" s="38" t="s">
        <v>577</v>
      </c>
      <c r="C231" s="38">
        <v>687</v>
      </c>
      <c r="D231" s="38">
        <v>579</v>
      </c>
      <c r="E231" s="38">
        <v>715</v>
      </c>
      <c r="F231" s="38">
        <v>798</v>
      </c>
      <c r="G231" s="38">
        <v>640</v>
      </c>
      <c r="H231" s="38">
        <v>664</v>
      </c>
    </row>
    <row r="232" spans="1:8">
      <c r="A232" s="38" t="s">
        <v>578</v>
      </c>
      <c r="B232" s="38" t="s">
        <v>579</v>
      </c>
      <c r="C232" s="38">
        <v>982</v>
      </c>
      <c r="D232" s="41">
        <v>1082</v>
      </c>
      <c r="E232" s="38">
        <v>969</v>
      </c>
      <c r="F232" s="38" t="s">
        <v>851</v>
      </c>
      <c r="G232" s="38">
        <v>487</v>
      </c>
      <c r="H232" s="38">
        <v>440</v>
      </c>
    </row>
    <row r="233" spans="1:8">
      <c r="A233" s="38" t="s">
        <v>580</v>
      </c>
      <c r="B233" s="38" t="s">
        <v>581</v>
      </c>
      <c r="C233" s="38">
        <v>671</v>
      </c>
      <c r="D233" s="38">
        <v>545</v>
      </c>
      <c r="E233" s="38">
        <v>729</v>
      </c>
      <c r="F233" s="41">
        <v>1154</v>
      </c>
      <c r="G233" s="41">
        <v>1068</v>
      </c>
      <c r="H233" s="41">
        <v>1335</v>
      </c>
    </row>
    <row r="234" spans="1:8">
      <c r="A234" s="38" t="s">
        <v>582</v>
      </c>
      <c r="B234" s="38" t="s">
        <v>583</v>
      </c>
      <c r="C234" s="38">
        <v>569</v>
      </c>
      <c r="D234" s="38">
        <v>820</v>
      </c>
      <c r="E234" s="38">
        <v>921</v>
      </c>
      <c r="F234" s="41">
        <v>1218</v>
      </c>
      <c r="G234" s="41">
        <v>1285</v>
      </c>
      <c r="H234" s="41">
        <v>1029</v>
      </c>
    </row>
    <row r="235" spans="1:8">
      <c r="A235" s="38" t="s">
        <v>584</v>
      </c>
      <c r="B235" s="38" t="s">
        <v>585</v>
      </c>
      <c r="C235" s="41">
        <v>1107</v>
      </c>
      <c r="D235" s="41">
        <v>1630</v>
      </c>
      <c r="E235" s="41">
        <v>1599</v>
      </c>
      <c r="F235" s="41">
        <v>1573</v>
      </c>
      <c r="G235" s="41">
        <v>1514</v>
      </c>
      <c r="H235" s="41">
        <v>1641</v>
      </c>
    </row>
    <row r="236" spans="1:8">
      <c r="A236" s="38" t="s">
        <v>586</v>
      </c>
      <c r="B236" s="38" t="s">
        <v>587</v>
      </c>
      <c r="C236" s="38">
        <v>428</v>
      </c>
      <c r="D236" s="38">
        <v>326</v>
      </c>
      <c r="E236" s="38">
        <v>551</v>
      </c>
      <c r="F236" s="38">
        <v>471</v>
      </c>
      <c r="G236" s="38">
        <v>506</v>
      </c>
      <c r="H236" s="38">
        <v>545</v>
      </c>
    </row>
    <row r="237" spans="1:8">
      <c r="A237" s="38" t="s">
        <v>588</v>
      </c>
      <c r="B237" s="38" t="s">
        <v>589</v>
      </c>
      <c r="C237" s="38">
        <v>293</v>
      </c>
      <c r="D237" s="38">
        <v>266</v>
      </c>
      <c r="E237" s="38">
        <v>296</v>
      </c>
      <c r="F237" s="38">
        <v>828</v>
      </c>
      <c r="G237" s="38">
        <v>517</v>
      </c>
      <c r="H237" s="38">
        <v>571</v>
      </c>
    </row>
    <row r="238" spans="1:8">
      <c r="A238" s="38" t="s">
        <v>590</v>
      </c>
      <c r="B238" s="38" t="s">
        <v>591</v>
      </c>
      <c r="C238" s="38">
        <v>495</v>
      </c>
      <c r="D238" s="38">
        <v>478</v>
      </c>
      <c r="E238" s="38">
        <v>428</v>
      </c>
      <c r="F238" s="38">
        <v>676</v>
      </c>
      <c r="G238" s="38">
        <v>729</v>
      </c>
      <c r="H238" s="38">
        <v>446</v>
      </c>
    </row>
    <row r="239" spans="1:8">
      <c r="A239" s="38" t="s">
        <v>592</v>
      </c>
      <c r="B239" s="38" t="s">
        <v>593</v>
      </c>
      <c r="C239" s="38">
        <v>328</v>
      </c>
      <c r="D239" s="38">
        <v>307</v>
      </c>
      <c r="E239" s="38">
        <v>354</v>
      </c>
      <c r="F239" s="38">
        <v>326</v>
      </c>
      <c r="G239" s="38">
        <v>278</v>
      </c>
      <c r="H239" s="38">
        <v>197</v>
      </c>
    </row>
    <row r="240" spans="1:8">
      <c r="A240" s="38" t="s">
        <v>594</v>
      </c>
      <c r="B240" s="38" t="s">
        <v>595</v>
      </c>
      <c r="C240" s="38">
        <v>765</v>
      </c>
      <c r="D240" s="41">
        <v>1162</v>
      </c>
      <c r="E240" s="41">
        <v>1118</v>
      </c>
      <c r="F240" s="41">
        <v>1212</v>
      </c>
      <c r="G240" s="38">
        <v>984</v>
      </c>
      <c r="H240" s="38">
        <v>803</v>
      </c>
    </row>
    <row r="241" spans="1:8">
      <c r="A241" s="38" t="s">
        <v>596</v>
      </c>
      <c r="B241" s="38" t="s">
        <v>597</v>
      </c>
      <c r="C241" s="38">
        <v>465</v>
      </c>
      <c r="D241" s="38">
        <v>681</v>
      </c>
      <c r="E241" s="38">
        <v>832</v>
      </c>
      <c r="F241" s="38">
        <v>786</v>
      </c>
      <c r="G241" s="38">
        <v>459</v>
      </c>
      <c r="H241" s="34"/>
    </row>
    <row r="242" spans="1:8">
      <c r="A242" s="38" t="s">
        <v>598</v>
      </c>
      <c r="B242" s="38" t="s">
        <v>599</v>
      </c>
      <c r="C242" s="38">
        <v>585</v>
      </c>
      <c r="D242" s="38">
        <v>722</v>
      </c>
      <c r="E242" s="38">
        <v>901</v>
      </c>
      <c r="F242" s="41">
        <v>1361</v>
      </c>
      <c r="G242" s="41">
        <v>1429</v>
      </c>
      <c r="H242" s="38">
        <v>788</v>
      </c>
    </row>
    <row r="243" spans="1:8">
      <c r="A243" s="38" t="s">
        <v>600</v>
      </c>
      <c r="B243" s="38" t="s">
        <v>601</v>
      </c>
      <c r="C243" s="38">
        <v>430</v>
      </c>
      <c r="D243" s="38">
        <v>237</v>
      </c>
      <c r="E243" s="38">
        <v>312</v>
      </c>
      <c r="F243" s="38">
        <v>437</v>
      </c>
      <c r="G243" s="38">
        <v>412</v>
      </c>
      <c r="H243" s="38">
        <v>424</v>
      </c>
    </row>
    <row r="244" spans="1:8">
      <c r="A244" s="38" t="s">
        <v>602</v>
      </c>
      <c r="B244" s="38" t="s">
        <v>603</v>
      </c>
      <c r="C244" s="38">
        <v>615</v>
      </c>
      <c r="D244" s="38">
        <v>623</v>
      </c>
      <c r="E244" s="38">
        <v>563</v>
      </c>
      <c r="F244" s="38">
        <v>650</v>
      </c>
      <c r="G244" s="38">
        <v>659</v>
      </c>
      <c r="H244" s="41">
        <v>1093</v>
      </c>
    </row>
    <row r="245" spans="1:8">
      <c r="A245" s="38" t="s">
        <v>604</v>
      </c>
      <c r="B245" s="38" t="s">
        <v>605</v>
      </c>
      <c r="C245" s="38">
        <v>217</v>
      </c>
      <c r="D245" s="38">
        <v>230</v>
      </c>
      <c r="E245" s="38">
        <v>255</v>
      </c>
      <c r="F245" s="38">
        <v>273</v>
      </c>
      <c r="G245" s="38">
        <v>226</v>
      </c>
      <c r="H245" s="38">
        <v>413</v>
      </c>
    </row>
    <row r="246" spans="1:8">
      <c r="A246" s="38" t="s">
        <v>606</v>
      </c>
      <c r="B246" s="38" t="s">
        <v>607</v>
      </c>
      <c r="C246" s="38">
        <v>387</v>
      </c>
      <c r="D246" s="38">
        <v>450</v>
      </c>
      <c r="E246" s="38">
        <v>304</v>
      </c>
      <c r="F246" s="38">
        <v>247</v>
      </c>
      <c r="G246" s="38">
        <v>236</v>
      </c>
      <c r="H246" s="38">
        <v>182</v>
      </c>
    </row>
    <row r="247" spans="1:8">
      <c r="A247" s="38" t="s">
        <v>608</v>
      </c>
      <c r="B247" s="38" t="s">
        <v>609</v>
      </c>
      <c r="C247" s="41">
        <v>1046</v>
      </c>
      <c r="D247" s="38">
        <v>997</v>
      </c>
      <c r="E247" s="38">
        <v>826</v>
      </c>
      <c r="F247" s="41">
        <v>1616</v>
      </c>
      <c r="G247" s="38">
        <v>460</v>
      </c>
      <c r="H247" s="38">
        <v>645</v>
      </c>
    </row>
    <row r="248" spans="1:8">
      <c r="A248" s="38" t="s">
        <v>610</v>
      </c>
      <c r="B248" s="38" t="s">
        <v>611</v>
      </c>
      <c r="C248" s="38">
        <v>222</v>
      </c>
      <c r="D248" s="38">
        <v>480</v>
      </c>
      <c r="E248" s="38">
        <v>521</v>
      </c>
      <c r="F248" s="38">
        <v>492</v>
      </c>
      <c r="G248" s="38">
        <v>218</v>
      </c>
      <c r="H248" s="38">
        <v>237</v>
      </c>
    </row>
    <row r="249" spans="1:8">
      <c r="A249" s="38" t="s">
        <v>612</v>
      </c>
      <c r="B249" s="38" t="s">
        <v>613</v>
      </c>
      <c r="C249" s="41">
        <v>1382</v>
      </c>
      <c r="D249" s="41">
        <v>2412</v>
      </c>
      <c r="E249" s="38">
        <v>818</v>
      </c>
      <c r="F249" s="41">
        <v>3208</v>
      </c>
      <c r="G249" s="41">
        <v>1458</v>
      </c>
      <c r="H249" s="41">
        <v>1096</v>
      </c>
    </row>
    <row r="250" spans="1:8">
      <c r="A250" s="38" t="s">
        <v>614</v>
      </c>
      <c r="B250" s="38" t="s">
        <v>615</v>
      </c>
      <c r="C250" s="38">
        <v>308</v>
      </c>
      <c r="D250" s="38">
        <v>347</v>
      </c>
      <c r="E250" s="38">
        <v>250</v>
      </c>
      <c r="F250" s="38">
        <v>289</v>
      </c>
      <c r="G250" s="38">
        <v>228</v>
      </c>
      <c r="H250" s="38">
        <v>508</v>
      </c>
    </row>
    <row r="251" spans="1:8">
      <c r="A251" s="38" t="s">
        <v>616</v>
      </c>
      <c r="B251" s="38" t="s">
        <v>617</v>
      </c>
      <c r="C251" s="38">
        <v>396</v>
      </c>
      <c r="D251" s="38">
        <v>340</v>
      </c>
      <c r="E251" s="38">
        <v>385</v>
      </c>
      <c r="F251" s="38">
        <v>624</v>
      </c>
      <c r="G251" s="38">
        <v>437</v>
      </c>
      <c r="H251" s="38">
        <v>516</v>
      </c>
    </row>
    <row r="252" spans="1:8">
      <c r="A252" s="38" t="s">
        <v>618</v>
      </c>
      <c r="B252" s="38" t="s">
        <v>619</v>
      </c>
      <c r="C252" s="38">
        <v>575</v>
      </c>
      <c r="D252" s="38">
        <v>487</v>
      </c>
      <c r="E252" s="38">
        <v>408</v>
      </c>
      <c r="F252" s="38">
        <v>775</v>
      </c>
      <c r="G252" s="38">
        <v>758</v>
      </c>
      <c r="H252" s="38">
        <v>646</v>
      </c>
    </row>
    <row r="253" spans="1:8">
      <c r="A253" s="38" t="s">
        <v>620</v>
      </c>
      <c r="B253" s="38" t="s">
        <v>621</v>
      </c>
      <c r="C253" s="38">
        <v>688</v>
      </c>
      <c r="D253" s="41">
        <v>1010</v>
      </c>
      <c r="E253" s="38">
        <v>863</v>
      </c>
      <c r="F253" s="38">
        <v>699</v>
      </c>
      <c r="G253" s="38">
        <v>752</v>
      </c>
      <c r="H253" s="38">
        <v>614</v>
      </c>
    </row>
    <row r="254" spans="1:8">
      <c r="A254" s="38" t="s">
        <v>622</v>
      </c>
      <c r="B254" s="38" t="s">
        <v>623</v>
      </c>
      <c r="C254" s="38">
        <v>99</v>
      </c>
      <c r="D254" s="38">
        <v>128</v>
      </c>
      <c r="E254" s="38">
        <v>142</v>
      </c>
      <c r="F254" s="38">
        <v>168</v>
      </c>
      <c r="G254" s="38">
        <v>212</v>
      </c>
      <c r="H254" s="38">
        <v>209</v>
      </c>
    </row>
    <row r="255" spans="1:8">
      <c r="A255" s="38" t="s">
        <v>624</v>
      </c>
      <c r="B255" s="38" t="s">
        <v>625</v>
      </c>
      <c r="C255" s="38">
        <v>153</v>
      </c>
      <c r="D255" s="38">
        <v>690</v>
      </c>
      <c r="E255" s="38">
        <v>75</v>
      </c>
      <c r="F255" s="38">
        <v>285</v>
      </c>
      <c r="G255" s="38">
        <v>321</v>
      </c>
      <c r="H255" s="38">
        <v>141</v>
      </c>
    </row>
    <row r="256" spans="1:8">
      <c r="A256" s="38" t="s">
        <v>626</v>
      </c>
      <c r="B256" s="38" t="s">
        <v>627</v>
      </c>
      <c r="C256" s="38">
        <v>323</v>
      </c>
      <c r="D256" s="38">
        <v>660</v>
      </c>
      <c r="E256" s="38">
        <v>738</v>
      </c>
      <c r="F256" s="38">
        <v>729</v>
      </c>
      <c r="G256" s="41">
        <v>1299</v>
      </c>
      <c r="H256" s="38">
        <v>551</v>
      </c>
    </row>
    <row r="257" spans="1:8">
      <c r="A257" s="38" t="s">
        <v>628</v>
      </c>
      <c r="B257" s="38" t="s">
        <v>629</v>
      </c>
      <c r="C257" s="38">
        <v>364</v>
      </c>
      <c r="D257" s="38">
        <v>924</v>
      </c>
      <c r="E257" s="38">
        <v>770</v>
      </c>
      <c r="F257" s="38">
        <v>798</v>
      </c>
      <c r="G257" s="41">
        <v>1012</v>
      </c>
      <c r="H257" s="38">
        <v>616</v>
      </c>
    </row>
    <row r="258" spans="1:8">
      <c r="A258" s="38" t="s">
        <v>630</v>
      </c>
      <c r="B258" s="38" t="s">
        <v>631</v>
      </c>
      <c r="C258" s="38">
        <v>445</v>
      </c>
      <c r="D258" s="38">
        <v>748</v>
      </c>
      <c r="E258" s="38">
        <v>675</v>
      </c>
      <c r="F258" s="41">
        <v>1008</v>
      </c>
      <c r="G258" s="38">
        <v>905</v>
      </c>
      <c r="H258" s="38">
        <v>475</v>
      </c>
    </row>
    <row r="259" spans="1:8">
      <c r="A259" s="38" t="s">
        <v>632</v>
      </c>
      <c r="B259" s="38" t="s">
        <v>633</v>
      </c>
      <c r="C259" s="41">
        <v>1058</v>
      </c>
      <c r="D259" s="41">
        <v>1219</v>
      </c>
      <c r="E259" s="41">
        <v>1336</v>
      </c>
      <c r="F259" s="41">
        <v>1408</v>
      </c>
      <c r="G259" s="41">
        <v>1342</v>
      </c>
      <c r="H259" s="38">
        <v>843</v>
      </c>
    </row>
    <row r="260" spans="1:8">
      <c r="A260" s="38" t="s">
        <v>634</v>
      </c>
      <c r="B260" s="38" t="s">
        <v>635</v>
      </c>
      <c r="C260" s="38">
        <v>430</v>
      </c>
      <c r="D260" s="38">
        <v>356</v>
      </c>
      <c r="E260" s="38">
        <v>497</v>
      </c>
      <c r="F260" s="38">
        <v>564</v>
      </c>
      <c r="G260" s="38">
        <v>663</v>
      </c>
      <c r="H260" s="38">
        <v>749</v>
      </c>
    </row>
    <row r="261" spans="1:8">
      <c r="A261" s="38" t="s">
        <v>636</v>
      </c>
      <c r="B261" s="38" t="s">
        <v>637</v>
      </c>
      <c r="C261" s="38">
        <v>895</v>
      </c>
      <c r="D261" s="38">
        <v>829</v>
      </c>
      <c r="E261" s="38">
        <v>891</v>
      </c>
      <c r="F261" s="38">
        <v>706</v>
      </c>
      <c r="G261" s="38">
        <v>813</v>
      </c>
      <c r="H261" s="38">
        <v>669</v>
      </c>
    </row>
    <row r="262" spans="1:8">
      <c r="A262" s="38" t="s">
        <v>638</v>
      </c>
      <c r="B262" s="38" t="s">
        <v>639</v>
      </c>
      <c r="C262" s="38">
        <v>262</v>
      </c>
      <c r="D262" s="38">
        <v>221</v>
      </c>
      <c r="E262" s="38">
        <v>224</v>
      </c>
      <c r="F262" s="38">
        <v>368</v>
      </c>
      <c r="G262" s="38">
        <v>376</v>
      </c>
      <c r="H262" s="38">
        <v>352</v>
      </c>
    </row>
    <row r="263" spans="1:8">
      <c r="A263" s="38" t="s">
        <v>640</v>
      </c>
      <c r="B263" s="38" t="s">
        <v>641</v>
      </c>
      <c r="C263" s="38">
        <v>391</v>
      </c>
      <c r="D263" s="38">
        <v>653</v>
      </c>
      <c r="E263" s="38">
        <v>697</v>
      </c>
      <c r="F263" s="38">
        <v>575</v>
      </c>
      <c r="G263" s="38">
        <v>573</v>
      </c>
      <c r="H263" s="38">
        <v>313</v>
      </c>
    </row>
    <row r="264" spans="1:8">
      <c r="A264" s="38" t="s">
        <v>642</v>
      </c>
      <c r="B264" s="38" t="s">
        <v>643</v>
      </c>
      <c r="C264" s="38">
        <v>589</v>
      </c>
      <c r="D264" s="38">
        <v>555</v>
      </c>
      <c r="E264" s="38">
        <v>585</v>
      </c>
      <c r="F264" s="38">
        <v>674</v>
      </c>
      <c r="G264" s="38">
        <v>783</v>
      </c>
      <c r="H264" s="38">
        <v>610</v>
      </c>
    </row>
    <row r="265" spans="1:8">
      <c r="A265" s="38" t="s">
        <v>644</v>
      </c>
      <c r="B265" s="38" t="s">
        <v>645</v>
      </c>
      <c r="C265" s="41">
        <v>1442</v>
      </c>
      <c r="D265" s="41">
        <v>1699</v>
      </c>
      <c r="E265" s="38">
        <v>814</v>
      </c>
      <c r="F265" s="41">
        <v>1124</v>
      </c>
      <c r="G265" s="38">
        <v>723</v>
      </c>
      <c r="H265" s="38">
        <v>567</v>
      </c>
    </row>
    <row r="266" spans="1:8">
      <c r="A266" s="38" t="s">
        <v>646</v>
      </c>
      <c r="B266" s="38" t="s">
        <v>647</v>
      </c>
      <c r="C266" s="38">
        <v>593</v>
      </c>
      <c r="D266" s="38">
        <v>365</v>
      </c>
      <c r="E266" s="38">
        <v>484</v>
      </c>
      <c r="F266" s="38">
        <v>646</v>
      </c>
      <c r="G266" s="38">
        <v>474</v>
      </c>
      <c r="H266" s="38">
        <v>368</v>
      </c>
    </row>
    <row r="267" spans="1:8">
      <c r="A267" s="38" t="s">
        <v>648</v>
      </c>
      <c r="B267" s="38" t="s">
        <v>649</v>
      </c>
      <c r="C267" s="38">
        <v>66</v>
      </c>
      <c r="D267" s="38">
        <v>160</v>
      </c>
      <c r="E267" s="38">
        <v>151</v>
      </c>
      <c r="F267" s="38">
        <v>317</v>
      </c>
      <c r="G267" s="38">
        <v>546</v>
      </c>
      <c r="H267" s="38">
        <v>461</v>
      </c>
    </row>
    <row r="268" spans="1:8">
      <c r="A268" s="38" t="s">
        <v>650</v>
      </c>
      <c r="B268" s="38" t="s">
        <v>651</v>
      </c>
      <c r="C268" s="38">
        <v>318</v>
      </c>
      <c r="D268" s="38">
        <v>214</v>
      </c>
      <c r="E268" s="38">
        <v>307</v>
      </c>
      <c r="F268" s="38">
        <v>244</v>
      </c>
      <c r="G268" s="38">
        <v>262</v>
      </c>
      <c r="H268" s="38">
        <v>117</v>
      </c>
    </row>
    <row r="269" spans="1:8">
      <c r="A269" s="38" t="s">
        <v>652</v>
      </c>
      <c r="B269" s="38" t="s">
        <v>653</v>
      </c>
      <c r="C269" s="38">
        <v>662</v>
      </c>
      <c r="D269" s="38">
        <v>718</v>
      </c>
      <c r="E269" s="38">
        <v>726</v>
      </c>
      <c r="F269" s="38">
        <v>644</v>
      </c>
      <c r="G269" s="38">
        <v>448</v>
      </c>
      <c r="H269" s="38">
        <v>473</v>
      </c>
    </row>
    <row r="270" spans="1:8">
      <c r="A270" s="38" t="s">
        <v>654</v>
      </c>
      <c r="B270" s="38" t="s">
        <v>655</v>
      </c>
      <c r="C270" s="41">
        <v>1255</v>
      </c>
      <c r="D270" s="41">
        <v>1148</v>
      </c>
      <c r="E270" s="41">
        <v>1047</v>
      </c>
      <c r="F270" s="41">
        <v>1356</v>
      </c>
      <c r="G270" s="38">
        <v>991</v>
      </c>
      <c r="H270" s="38">
        <v>836</v>
      </c>
    </row>
    <row r="271" spans="1:8">
      <c r="A271" s="38" t="s">
        <v>656</v>
      </c>
      <c r="B271" s="38" t="s">
        <v>657</v>
      </c>
      <c r="C271" s="38">
        <v>245</v>
      </c>
      <c r="D271" s="38">
        <v>658</v>
      </c>
      <c r="E271" s="38">
        <v>565</v>
      </c>
      <c r="F271" s="38">
        <v>915</v>
      </c>
      <c r="G271" s="38">
        <v>784</v>
      </c>
      <c r="H271" s="38">
        <v>646</v>
      </c>
    </row>
    <row r="272" spans="1:8">
      <c r="A272" s="38" t="s">
        <v>658</v>
      </c>
      <c r="B272" s="38" t="s">
        <v>659</v>
      </c>
      <c r="C272" s="41">
        <v>1004</v>
      </c>
      <c r="D272" s="38">
        <v>891</v>
      </c>
      <c r="E272" s="38">
        <v>793</v>
      </c>
      <c r="F272" s="38">
        <v>817</v>
      </c>
      <c r="G272" s="38">
        <v>948</v>
      </c>
      <c r="H272" s="38">
        <v>879</v>
      </c>
    </row>
    <row r="273" spans="1:8">
      <c r="A273" s="38" t="s">
        <v>660</v>
      </c>
      <c r="B273" s="38" t="s">
        <v>661</v>
      </c>
      <c r="C273" s="38">
        <v>625</v>
      </c>
      <c r="D273" s="38">
        <v>728</v>
      </c>
      <c r="E273" s="38">
        <v>945</v>
      </c>
      <c r="F273" s="38">
        <v>907</v>
      </c>
      <c r="G273" s="38">
        <v>494</v>
      </c>
      <c r="H273" s="38">
        <v>637</v>
      </c>
    </row>
    <row r="274" spans="1:8">
      <c r="A274" s="38" t="s">
        <v>662</v>
      </c>
      <c r="B274" s="38" t="s">
        <v>663</v>
      </c>
      <c r="C274" s="38">
        <v>350</v>
      </c>
      <c r="D274" s="38">
        <v>389</v>
      </c>
      <c r="E274" s="38">
        <v>238</v>
      </c>
      <c r="F274" s="38">
        <v>296</v>
      </c>
      <c r="G274" s="38">
        <v>371</v>
      </c>
      <c r="H274" s="38">
        <v>540</v>
      </c>
    </row>
    <row r="275" spans="1:8">
      <c r="A275" s="38" t="s">
        <v>664</v>
      </c>
      <c r="B275" s="38" t="s">
        <v>665</v>
      </c>
      <c r="C275" s="38">
        <v>216</v>
      </c>
      <c r="D275" s="38">
        <v>144</v>
      </c>
      <c r="E275" s="38">
        <v>264</v>
      </c>
      <c r="F275" s="38">
        <v>150</v>
      </c>
      <c r="G275" s="38">
        <v>407</v>
      </c>
      <c r="H275" s="38">
        <v>100</v>
      </c>
    </row>
    <row r="276" spans="1:8">
      <c r="A276" s="38" t="s">
        <v>666</v>
      </c>
      <c r="B276" s="38" t="s">
        <v>667</v>
      </c>
      <c r="C276" s="38">
        <v>711</v>
      </c>
      <c r="D276" s="38">
        <v>603</v>
      </c>
      <c r="E276" s="38">
        <v>857</v>
      </c>
      <c r="F276" s="38">
        <v>408</v>
      </c>
      <c r="G276" s="38">
        <v>558</v>
      </c>
      <c r="H276" s="38">
        <v>493</v>
      </c>
    </row>
    <row r="277" spans="1:8">
      <c r="A277" s="38" t="s">
        <v>668</v>
      </c>
      <c r="B277" s="38" t="s">
        <v>669</v>
      </c>
      <c r="C277" s="38">
        <v>912</v>
      </c>
      <c r="D277" s="38">
        <v>830</v>
      </c>
      <c r="E277" s="41">
        <v>1166</v>
      </c>
      <c r="F277" s="38">
        <v>422</v>
      </c>
      <c r="G277" s="38">
        <v>471</v>
      </c>
      <c r="H277" s="38">
        <v>441</v>
      </c>
    </row>
    <row r="278" spans="1:8">
      <c r="A278" s="38" t="s">
        <v>670</v>
      </c>
      <c r="B278" s="38" t="s">
        <v>671</v>
      </c>
      <c r="C278" s="38">
        <v>408</v>
      </c>
      <c r="D278" s="38">
        <v>326</v>
      </c>
      <c r="E278" s="38">
        <v>414</v>
      </c>
      <c r="F278" s="38">
        <v>531</v>
      </c>
      <c r="G278" s="38">
        <v>188</v>
      </c>
      <c r="H278" s="38">
        <v>260</v>
      </c>
    </row>
    <row r="279" spans="1:8">
      <c r="A279" s="38" t="s">
        <v>672</v>
      </c>
      <c r="B279" s="38" t="s">
        <v>673</v>
      </c>
      <c r="C279" s="38">
        <v>403</v>
      </c>
      <c r="D279" s="38">
        <v>335</v>
      </c>
      <c r="E279" s="38">
        <v>256</v>
      </c>
      <c r="F279" s="38">
        <v>260</v>
      </c>
      <c r="G279" s="38">
        <v>280</v>
      </c>
      <c r="H279" s="38">
        <v>130</v>
      </c>
    </row>
    <row r="280" spans="1:8">
      <c r="A280" s="38" t="s">
        <v>674</v>
      </c>
      <c r="B280" s="38" t="s">
        <v>675</v>
      </c>
      <c r="C280" s="41">
        <v>2394</v>
      </c>
      <c r="D280" s="41">
        <v>4827</v>
      </c>
      <c r="E280" s="41">
        <v>2003</v>
      </c>
      <c r="F280" s="41">
        <v>1524</v>
      </c>
      <c r="G280" s="41">
        <v>4564</v>
      </c>
      <c r="H280" s="41">
        <v>3248</v>
      </c>
    </row>
    <row r="281" spans="1:8">
      <c r="A281" s="38" t="s">
        <v>676</v>
      </c>
      <c r="B281" s="38" t="s">
        <v>677</v>
      </c>
      <c r="C281" s="38">
        <v>361</v>
      </c>
      <c r="D281" s="38">
        <v>330</v>
      </c>
      <c r="E281" s="38">
        <v>468</v>
      </c>
      <c r="F281" s="38">
        <v>953</v>
      </c>
      <c r="G281" s="38">
        <v>689</v>
      </c>
      <c r="H281" s="41">
        <v>1081</v>
      </c>
    </row>
    <row r="282" spans="1:8">
      <c r="A282" s="38" t="s">
        <v>678</v>
      </c>
      <c r="B282" s="38" t="s">
        <v>679</v>
      </c>
      <c r="C282" s="38">
        <v>447</v>
      </c>
      <c r="D282" s="38">
        <v>460</v>
      </c>
      <c r="E282" s="38">
        <v>444</v>
      </c>
      <c r="F282" s="38">
        <v>553</v>
      </c>
      <c r="G282" s="38">
        <v>474</v>
      </c>
      <c r="H282" s="38">
        <v>690</v>
      </c>
    </row>
    <row r="283" spans="1:8">
      <c r="A283" s="38" t="s">
        <v>680</v>
      </c>
      <c r="B283" s="38" t="s">
        <v>681</v>
      </c>
      <c r="C283" s="38">
        <v>554</v>
      </c>
      <c r="D283" s="38">
        <v>723</v>
      </c>
      <c r="E283" s="38">
        <v>969</v>
      </c>
      <c r="F283" s="38">
        <v>983</v>
      </c>
      <c r="G283" s="38">
        <v>485</v>
      </c>
      <c r="H283" s="38">
        <v>340</v>
      </c>
    </row>
    <row r="284" spans="1:8">
      <c r="A284" s="38" t="s">
        <v>682</v>
      </c>
      <c r="B284" s="38" t="s">
        <v>683</v>
      </c>
      <c r="C284" s="41">
        <v>1133</v>
      </c>
      <c r="D284" s="41">
        <v>1615</v>
      </c>
      <c r="E284" s="41">
        <v>1573</v>
      </c>
      <c r="F284" s="41">
        <v>1251</v>
      </c>
      <c r="G284" s="41">
        <v>1405</v>
      </c>
      <c r="H284" s="41">
        <v>1024</v>
      </c>
    </row>
    <row r="285" spans="1:8">
      <c r="A285" s="38" t="s">
        <v>684</v>
      </c>
      <c r="B285" s="38" t="s">
        <v>685</v>
      </c>
      <c r="C285" s="41">
        <v>1921</v>
      </c>
      <c r="D285" s="41">
        <v>1816</v>
      </c>
      <c r="E285" s="41">
        <v>1759</v>
      </c>
      <c r="F285" s="41">
        <v>2114</v>
      </c>
      <c r="G285" s="41">
        <v>1758</v>
      </c>
      <c r="H285" s="41">
        <v>1227</v>
      </c>
    </row>
    <row r="286" spans="1:8">
      <c r="A286" s="38" t="s">
        <v>686</v>
      </c>
      <c r="B286" s="38" t="s">
        <v>687</v>
      </c>
      <c r="C286" s="38">
        <v>911</v>
      </c>
      <c r="D286" s="38">
        <v>460</v>
      </c>
      <c r="E286" s="38">
        <v>758</v>
      </c>
      <c r="F286" s="38">
        <v>770</v>
      </c>
      <c r="G286" s="38">
        <v>615</v>
      </c>
      <c r="H286" s="38">
        <v>145</v>
      </c>
    </row>
    <row r="287" spans="1:8">
      <c r="A287" s="38" t="s">
        <v>688</v>
      </c>
      <c r="B287" s="38" t="s">
        <v>689</v>
      </c>
      <c r="C287" s="38">
        <v>973</v>
      </c>
      <c r="D287" s="41">
        <v>1033</v>
      </c>
      <c r="E287" s="38">
        <v>712</v>
      </c>
      <c r="F287" s="38">
        <v>613</v>
      </c>
      <c r="G287" s="38">
        <v>915</v>
      </c>
      <c r="H287" s="41">
        <v>1263</v>
      </c>
    </row>
    <row r="288" spans="1:8">
      <c r="A288" s="38" t="s">
        <v>690</v>
      </c>
      <c r="B288" s="38" t="s">
        <v>691</v>
      </c>
      <c r="C288" s="41">
        <v>2738</v>
      </c>
      <c r="D288" s="41">
        <v>2336</v>
      </c>
      <c r="E288" s="41">
        <v>2247</v>
      </c>
      <c r="F288" s="41">
        <v>1913</v>
      </c>
      <c r="G288" s="41">
        <v>1315</v>
      </c>
      <c r="H288" s="41">
        <v>1415</v>
      </c>
    </row>
    <row r="289" spans="1:8">
      <c r="A289" s="38" t="s">
        <v>692</v>
      </c>
      <c r="B289" s="38" t="s">
        <v>693</v>
      </c>
      <c r="C289" s="38">
        <v>595</v>
      </c>
      <c r="D289" s="38">
        <v>492</v>
      </c>
      <c r="E289" s="38">
        <v>359</v>
      </c>
      <c r="F289" s="38">
        <v>503</v>
      </c>
      <c r="G289" s="38">
        <v>541</v>
      </c>
      <c r="H289" s="38">
        <v>571</v>
      </c>
    </row>
    <row r="290" spans="1:8">
      <c r="A290" s="38" t="s">
        <v>694</v>
      </c>
      <c r="B290" s="38" t="s">
        <v>695</v>
      </c>
      <c r="C290" s="38">
        <v>625</v>
      </c>
      <c r="D290" s="41">
        <v>1060</v>
      </c>
      <c r="E290" s="38">
        <v>899</v>
      </c>
      <c r="F290" s="38">
        <v>961</v>
      </c>
      <c r="G290" s="41">
        <v>1036</v>
      </c>
      <c r="H290" s="38">
        <v>752</v>
      </c>
    </row>
    <row r="291" spans="1:8">
      <c r="A291" s="38" t="s">
        <v>696</v>
      </c>
      <c r="B291" s="38" t="s">
        <v>697</v>
      </c>
      <c r="C291" s="38">
        <v>245</v>
      </c>
      <c r="D291" s="38">
        <v>346</v>
      </c>
      <c r="E291" s="38">
        <v>312</v>
      </c>
      <c r="F291" s="38">
        <v>268</v>
      </c>
      <c r="G291" s="38">
        <v>264</v>
      </c>
      <c r="H291" s="38">
        <v>395</v>
      </c>
    </row>
    <row r="292" spans="1:8">
      <c r="A292" s="38" t="s">
        <v>698</v>
      </c>
      <c r="B292" s="38" t="s">
        <v>699</v>
      </c>
      <c r="C292" s="38">
        <v>232</v>
      </c>
      <c r="D292" s="38">
        <v>403</v>
      </c>
      <c r="E292" s="38">
        <v>519</v>
      </c>
      <c r="F292" s="38">
        <v>342</v>
      </c>
      <c r="G292" s="38">
        <v>605</v>
      </c>
      <c r="H292" s="38">
        <v>666</v>
      </c>
    </row>
    <row r="293" spans="1:8">
      <c r="A293" s="38" t="s">
        <v>700</v>
      </c>
      <c r="B293" s="38" t="s">
        <v>701</v>
      </c>
      <c r="C293" s="38">
        <v>520</v>
      </c>
      <c r="D293" s="38">
        <v>564</v>
      </c>
      <c r="E293" s="38">
        <v>462</v>
      </c>
      <c r="F293" s="38">
        <v>841</v>
      </c>
      <c r="G293" s="41">
        <v>1034</v>
      </c>
      <c r="H293" s="38">
        <v>724</v>
      </c>
    </row>
    <row r="294" spans="1:8">
      <c r="A294" s="38" t="s">
        <v>702</v>
      </c>
      <c r="B294" s="38" t="s">
        <v>703</v>
      </c>
      <c r="C294" s="38">
        <v>380</v>
      </c>
      <c r="D294" s="38">
        <v>247</v>
      </c>
      <c r="E294" s="38">
        <v>274</v>
      </c>
      <c r="F294" s="38">
        <v>339</v>
      </c>
      <c r="G294" s="38">
        <v>354</v>
      </c>
      <c r="H294" s="34"/>
    </row>
    <row r="295" spans="1:8">
      <c r="A295" s="38" t="s">
        <v>704</v>
      </c>
      <c r="B295" s="38" t="s">
        <v>705</v>
      </c>
      <c r="C295" s="38">
        <v>317</v>
      </c>
      <c r="D295" s="38">
        <v>347</v>
      </c>
      <c r="E295" s="38">
        <v>237</v>
      </c>
      <c r="F295" s="38">
        <v>456</v>
      </c>
      <c r="G295" s="38">
        <v>671</v>
      </c>
      <c r="H295" s="38">
        <v>352</v>
      </c>
    </row>
    <row r="296" spans="1:8">
      <c r="A296" s="38" t="s">
        <v>706</v>
      </c>
      <c r="B296" s="38" t="s">
        <v>707</v>
      </c>
      <c r="C296" s="38">
        <v>625</v>
      </c>
      <c r="D296" s="38">
        <v>485</v>
      </c>
      <c r="E296" s="38">
        <v>526</v>
      </c>
      <c r="F296" s="38">
        <v>527</v>
      </c>
      <c r="G296" s="38">
        <v>398</v>
      </c>
      <c r="H296" s="38">
        <v>617</v>
      </c>
    </row>
    <row r="297" spans="1:8">
      <c r="A297" s="38" t="s">
        <v>708</v>
      </c>
      <c r="B297" s="38" t="s">
        <v>709</v>
      </c>
      <c r="C297" s="38">
        <v>154</v>
      </c>
      <c r="D297" s="38">
        <v>196</v>
      </c>
      <c r="E297" s="38">
        <v>172</v>
      </c>
      <c r="F297" s="38">
        <v>141</v>
      </c>
      <c r="G297" s="38">
        <v>278</v>
      </c>
      <c r="H297" s="38">
        <v>295</v>
      </c>
    </row>
    <row r="298" spans="1:8">
      <c r="A298" s="38" t="s">
        <v>710</v>
      </c>
      <c r="B298" s="38" t="s">
        <v>711</v>
      </c>
      <c r="C298" s="38">
        <v>296</v>
      </c>
      <c r="D298" s="38">
        <v>326</v>
      </c>
      <c r="E298" s="38">
        <v>185</v>
      </c>
      <c r="F298" s="38">
        <v>323</v>
      </c>
      <c r="G298" s="38">
        <v>616</v>
      </c>
      <c r="H298" s="38">
        <v>451</v>
      </c>
    </row>
    <row r="299" spans="1:8">
      <c r="A299" s="38" t="s">
        <v>712</v>
      </c>
      <c r="B299" s="38" t="s">
        <v>713</v>
      </c>
      <c r="C299" s="38">
        <v>328</v>
      </c>
      <c r="D299" s="38">
        <v>305</v>
      </c>
      <c r="E299" s="38">
        <v>259</v>
      </c>
      <c r="F299" s="38">
        <v>408</v>
      </c>
      <c r="G299" s="38">
        <v>572</v>
      </c>
      <c r="H299" s="38">
        <v>482</v>
      </c>
    </row>
    <row r="300" spans="1:8">
      <c r="A300" s="34" t="s">
        <v>854</v>
      </c>
      <c r="B300" s="34" t="s">
        <v>855</v>
      </c>
      <c r="C300" s="34"/>
      <c r="D300" s="41">
        <v>2235</v>
      </c>
      <c r="E300" s="41">
        <v>2552</v>
      </c>
      <c r="F300" s="41">
        <v>2171</v>
      </c>
      <c r="G300" s="41">
        <v>1580</v>
      </c>
      <c r="H300" s="41">
        <v>1632</v>
      </c>
    </row>
    <row r="301" spans="1:8">
      <c r="A301" s="38" t="s">
        <v>714</v>
      </c>
      <c r="B301" s="38" t="s">
        <v>715</v>
      </c>
      <c r="C301" s="38">
        <v>246</v>
      </c>
      <c r="D301" s="38">
        <v>518</v>
      </c>
      <c r="E301" s="38">
        <v>544</v>
      </c>
      <c r="F301" s="38">
        <v>813</v>
      </c>
      <c r="G301" s="41">
        <v>1086</v>
      </c>
      <c r="H301" s="38">
        <v>868</v>
      </c>
    </row>
    <row r="302" spans="1:8">
      <c r="A302" s="38" t="s">
        <v>716</v>
      </c>
      <c r="B302" s="38" t="s">
        <v>717</v>
      </c>
      <c r="C302" s="38">
        <v>612</v>
      </c>
      <c r="D302" s="38">
        <v>734</v>
      </c>
      <c r="E302" s="38">
        <v>617</v>
      </c>
      <c r="F302" s="38" t="s">
        <v>851</v>
      </c>
      <c r="G302" s="38">
        <v>888</v>
      </c>
      <c r="H302" s="38">
        <v>841</v>
      </c>
    </row>
    <row r="303" spans="1:8">
      <c r="A303" s="38" t="s">
        <v>718</v>
      </c>
      <c r="B303" s="38" t="s">
        <v>719</v>
      </c>
      <c r="C303" s="38">
        <v>908</v>
      </c>
      <c r="D303" s="41">
        <v>1342</v>
      </c>
      <c r="E303" s="41">
        <v>1143</v>
      </c>
      <c r="F303" s="38">
        <v>803</v>
      </c>
      <c r="G303" s="41">
        <v>1110</v>
      </c>
      <c r="H303" s="38">
        <v>580</v>
      </c>
    </row>
    <row r="304" spans="1:8">
      <c r="A304" s="38" t="s">
        <v>720</v>
      </c>
      <c r="B304" s="38" t="s">
        <v>721</v>
      </c>
      <c r="C304" s="38">
        <v>639</v>
      </c>
      <c r="D304" s="38">
        <v>817</v>
      </c>
      <c r="E304" s="38">
        <v>948</v>
      </c>
      <c r="F304" s="41">
        <v>1350</v>
      </c>
      <c r="G304" s="41">
        <v>1367</v>
      </c>
      <c r="H304" s="41">
        <v>1439</v>
      </c>
    </row>
    <row r="305" spans="1:8">
      <c r="A305" s="38" t="s">
        <v>722</v>
      </c>
      <c r="B305" s="38" t="s">
        <v>723</v>
      </c>
      <c r="C305" s="41">
        <v>1796</v>
      </c>
      <c r="D305" s="41">
        <v>2841</v>
      </c>
      <c r="E305" s="41">
        <v>2427</v>
      </c>
      <c r="F305" s="41">
        <v>2699</v>
      </c>
      <c r="G305" s="41">
        <v>1800</v>
      </c>
      <c r="H305" s="41">
        <v>2846</v>
      </c>
    </row>
    <row r="306" spans="1:8">
      <c r="A306" s="38" t="s">
        <v>724</v>
      </c>
      <c r="B306" s="38" t="s">
        <v>725</v>
      </c>
      <c r="C306" s="38">
        <v>412</v>
      </c>
      <c r="D306" s="38">
        <v>573</v>
      </c>
      <c r="E306" s="38">
        <v>547</v>
      </c>
      <c r="F306" s="38">
        <v>810</v>
      </c>
      <c r="G306" s="38">
        <v>636</v>
      </c>
      <c r="H306" s="38">
        <v>804</v>
      </c>
    </row>
    <row r="307" spans="1:8">
      <c r="A307" s="38" t="s">
        <v>726</v>
      </c>
      <c r="B307" s="38" t="s">
        <v>727</v>
      </c>
      <c r="C307" s="38">
        <v>602</v>
      </c>
      <c r="D307" s="38">
        <v>584</v>
      </c>
      <c r="E307" s="38">
        <v>515</v>
      </c>
      <c r="F307" s="38">
        <v>654</v>
      </c>
      <c r="G307" s="38">
        <v>404</v>
      </c>
      <c r="H307" s="38">
        <v>310</v>
      </c>
    </row>
    <row r="308" spans="1:8">
      <c r="A308" s="38" t="s">
        <v>728</v>
      </c>
      <c r="B308" s="38" t="s">
        <v>729</v>
      </c>
      <c r="C308" s="38">
        <v>498</v>
      </c>
      <c r="D308" s="38">
        <v>328</v>
      </c>
      <c r="E308" s="38">
        <v>704</v>
      </c>
      <c r="F308" s="38">
        <v>643</v>
      </c>
      <c r="G308" s="38">
        <v>747</v>
      </c>
      <c r="H308" s="38">
        <v>574</v>
      </c>
    </row>
    <row r="309" spans="1:8">
      <c r="A309" s="38" t="s">
        <v>730</v>
      </c>
      <c r="B309" s="38" t="s">
        <v>731</v>
      </c>
      <c r="C309" s="38">
        <v>326</v>
      </c>
      <c r="D309" s="38">
        <v>399</v>
      </c>
      <c r="E309" s="38">
        <v>345</v>
      </c>
      <c r="F309" s="38">
        <v>231</v>
      </c>
      <c r="G309" s="38">
        <v>292</v>
      </c>
      <c r="H309" s="38">
        <v>141</v>
      </c>
    </row>
    <row r="310" spans="1:8">
      <c r="A310" s="38" t="s">
        <v>732</v>
      </c>
      <c r="B310" s="38" t="s">
        <v>733</v>
      </c>
      <c r="C310" s="38">
        <v>638</v>
      </c>
      <c r="D310" s="38">
        <v>933</v>
      </c>
      <c r="E310" s="41">
        <v>1509</v>
      </c>
      <c r="F310" s="41">
        <v>1250</v>
      </c>
      <c r="G310" s="41">
        <v>1555</v>
      </c>
      <c r="H310" s="41">
        <v>1129</v>
      </c>
    </row>
    <row r="311" spans="1:8">
      <c r="A311" s="38" t="s">
        <v>734</v>
      </c>
      <c r="B311" s="38" t="s">
        <v>735</v>
      </c>
      <c r="C311" s="38">
        <v>563</v>
      </c>
      <c r="D311" s="38">
        <v>577</v>
      </c>
      <c r="E311" s="38">
        <v>796</v>
      </c>
      <c r="F311" s="38">
        <v>692</v>
      </c>
      <c r="G311" s="38">
        <v>818</v>
      </c>
      <c r="H311" s="38">
        <v>614</v>
      </c>
    </row>
    <row r="312" spans="1:8">
      <c r="A312" s="38" t="s">
        <v>736</v>
      </c>
      <c r="B312" s="38" t="s">
        <v>737</v>
      </c>
      <c r="C312" s="38">
        <v>611</v>
      </c>
      <c r="D312" s="38">
        <v>472</v>
      </c>
      <c r="E312" s="38">
        <v>250</v>
      </c>
      <c r="F312" s="38">
        <v>234</v>
      </c>
      <c r="G312" s="38">
        <v>216</v>
      </c>
      <c r="H312" s="38">
        <v>346</v>
      </c>
    </row>
    <row r="313" spans="1:8">
      <c r="A313" s="38" t="s">
        <v>738</v>
      </c>
      <c r="B313" s="38" t="s">
        <v>739</v>
      </c>
      <c r="C313" s="38">
        <v>478</v>
      </c>
      <c r="D313" s="38">
        <v>347</v>
      </c>
      <c r="E313" s="38">
        <v>482</v>
      </c>
      <c r="F313" s="38">
        <v>292</v>
      </c>
      <c r="G313" s="38">
        <v>396</v>
      </c>
      <c r="H313" s="38">
        <v>107</v>
      </c>
    </row>
    <row r="314" spans="1:8">
      <c r="A314" s="38" t="s">
        <v>740</v>
      </c>
      <c r="B314" s="38" t="s">
        <v>741</v>
      </c>
      <c r="C314" s="38">
        <v>894</v>
      </c>
      <c r="D314" s="38">
        <v>704</v>
      </c>
      <c r="E314" s="41">
        <v>1094</v>
      </c>
      <c r="F314" s="41">
        <v>1288</v>
      </c>
      <c r="G314" s="38">
        <v>794</v>
      </c>
      <c r="H314" s="38">
        <v>591</v>
      </c>
    </row>
    <row r="315" spans="1:8">
      <c r="A315" s="38" t="s">
        <v>742</v>
      </c>
      <c r="B315" s="38" t="s">
        <v>743</v>
      </c>
      <c r="C315" s="38">
        <v>323</v>
      </c>
      <c r="D315" s="38">
        <v>462</v>
      </c>
      <c r="E315" s="38">
        <v>370</v>
      </c>
      <c r="F315" s="38">
        <v>396</v>
      </c>
      <c r="G315" s="38">
        <v>361</v>
      </c>
      <c r="H315" s="38">
        <v>576</v>
      </c>
    </row>
    <row r="316" spans="1:8">
      <c r="A316" s="38" t="s">
        <v>744</v>
      </c>
      <c r="B316" s="38" t="s">
        <v>745</v>
      </c>
      <c r="C316" s="38">
        <v>226</v>
      </c>
      <c r="D316" s="38">
        <v>255</v>
      </c>
      <c r="E316" s="38">
        <v>141</v>
      </c>
      <c r="F316" s="38">
        <v>183</v>
      </c>
      <c r="G316" s="38">
        <v>196</v>
      </c>
      <c r="H316" s="38">
        <v>236</v>
      </c>
    </row>
    <row r="317" spans="1:8">
      <c r="A317" s="38" t="s">
        <v>746</v>
      </c>
      <c r="B317" s="38" t="s">
        <v>747</v>
      </c>
      <c r="C317" s="38">
        <v>691</v>
      </c>
      <c r="D317" s="38">
        <v>378</v>
      </c>
      <c r="E317" s="41">
        <v>1296</v>
      </c>
      <c r="F317" s="38">
        <v>449</v>
      </c>
      <c r="G317" s="38">
        <v>560</v>
      </c>
      <c r="H317" s="38">
        <v>622</v>
      </c>
    </row>
    <row r="318" spans="1:8">
      <c r="A318" s="2" t="s">
        <v>748</v>
      </c>
      <c r="B318" s="2" t="s">
        <v>749</v>
      </c>
      <c r="C318" s="20">
        <f>C199+C236+C297</f>
        <v>1710</v>
      </c>
      <c r="D318" s="20">
        <f t="shared" ref="D318:H318" si="0">D199+D236+D297</f>
        <v>1050</v>
      </c>
      <c r="E318" s="20">
        <f t="shared" si="0"/>
        <v>2188</v>
      </c>
      <c r="F318" s="20">
        <f t="shared" si="0"/>
        <v>1481</v>
      </c>
      <c r="G318" s="20">
        <f t="shared" si="0"/>
        <v>1479</v>
      </c>
      <c r="H318" s="20">
        <f t="shared" si="0"/>
        <v>1377</v>
      </c>
    </row>
    <row r="319" spans="1:8">
      <c r="A319" s="2" t="s">
        <v>750</v>
      </c>
      <c r="B319" s="2" t="s">
        <v>751</v>
      </c>
      <c r="C319" s="20">
        <f>SUM(C177,C279)</f>
        <v>667</v>
      </c>
      <c r="D319" s="20">
        <f t="shared" ref="D319:G319" si="1">SUM(D177,D279)</f>
        <v>806</v>
      </c>
      <c r="E319" s="20">
        <f t="shared" si="1"/>
        <v>890</v>
      </c>
      <c r="F319" s="20">
        <f t="shared" si="1"/>
        <v>953</v>
      </c>
      <c r="G319" s="20">
        <f t="shared" si="1"/>
        <v>1167</v>
      </c>
      <c r="H319" s="20">
        <f>SUM(H177,H279)</f>
        <v>686</v>
      </c>
    </row>
    <row r="320" spans="1:8">
      <c r="A320" s="2" t="s">
        <v>752</v>
      </c>
      <c r="B320" s="2" t="s">
        <v>753</v>
      </c>
      <c r="C320" s="20">
        <f>SUM(C35,C191,C240)</f>
        <v>1902</v>
      </c>
      <c r="D320" s="20">
        <f t="shared" ref="D320:H320" si="2">SUM(D35,D191,D240)</f>
        <v>2307</v>
      </c>
      <c r="E320" s="20">
        <f t="shared" si="2"/>
        <v>2034</v>
      </c>
      <c r="F320" s="20">
        <f t="shared" si="2"/>
        <v>2757</v>
      </c>
      <c r="G320" s="20">
        <f t="shared" si="2"/>
        <v>2156</v>
      </c>
      <c r="H320" s="20">
        <f t="shared" si="2"/>
        <v>1466</v>
      </c>
    </row>
    <row r="321" spans="1:8">
      <c r="A321" s="2" t="s">
        <v>754</v>
      </c>
      <c r="B321" s="2" t="s">
        <v>755</v>
      </c>
      <c r="C321" s="20">
        <f>SUM(C154,C181,C299)</f>
        <v>933</v>
      </c>
      <c r="D321" s="20">
        <f t="shared" ref="D321:H321" si="3">SUM(D154,D181,D299)</f>
        <v>924</v>
      </c>
      <c r="E321" s="20">
        <f t="shared" si="3"/>
        <v>1102</v>
      </c>
      <c r="F321" s="20">
        <f t="shared" si="3"/>
        <v>1467</v>
      </c>
      <c r="G321" s="20">
        <f t="shared" si="3"/>
        <v>1552</v>
      </c>
      <c r="H321" s="20">
        <f t="shared" si="3"/>
        <v>1140</v>
      </c>
    </row>
    <row r="323" spans="1:8">
      <c r="A323" s="38" t="s">
        <v>856</v>
      </c>
      <c r="B323" s="34"/>
      <c r="C323" s="34"/>
      <c r="D323" s="34"/>
      <c r="E323" s="34"/>
      <c r="F323" s="34"/>
      <c r="G323" s="34"/>
      <c r="H323" s="34"/>
    </row>
    <row r="325" spans="1:8">
      <c r="A325" s="2"/>
      <c r="B325" s="34"/>
      <c r="C325" s="20"/>
      <c r="D325" s="20"/>
      <c r="E325" s="20"/>
      <c r="F325" s="34"/>
      <c r="G325" s="34"/>
      <c r="H325" s="34"/>
    </row>
    <row r="326" spans="1:8">
      <c r="A326" s="2"/>
      <c r="B326" s="34"/>
      <c r="C326" s="20"/>
      <c r="D326" s="20"/>
      <c r="E326" s="20"/>
      <c r="F326" s="34"/>
      <c r="G326" s="34"/>
      <c r="H326" s="34"/>
    </row>
    <row r="327" spans="1:8">
      <c r="A327" s="2"/>
      <c r="B327" s="34"/>
      <c r="C327" s="20"/>
      <c r="D327" s="20"/>
      <c r="E327" s="20"/>
      <c r="F327" s="34"/>
      <c r="G327" s="34"/>
      <c r="H327" s="34"/>
    </row>
    <row r="328" spans="1:8">
      <c r="A328" s="2"/>
      <c r="B328" s="34"/>
      <c r="C328" s="20"/>
      <c r="D328" s="20"/>
      <c r="E328" s="20"/>
      <c r="F328" s="34"/>
      <c r="G328" s="34"/>
      <c r="H328" s="34"/>
    </row>
  </sheetData>
  <sheetProtection algorithmName="SHA-512" hashValue="SKSFtyt6hLOyXDU+HLKPtyFrD6vIaZu0lJfqsid43iIlttp6DSBWde3XBBEIZ50iLcJmWLNKuaXzu5FDb7bdTw==" saltValue="YuwLOwRXRLAk2Dolg5Cspw==" spinCount="100000" sheet="1" objects="1" scenarios="1"/>
  <conditionalFormatting sqref="C2:H321">
    <cfRule type="containsBlanks" dxfId="1" priority="1">
      <formula>LEN(TRIM(C2))=0</formula>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D58C6-833B-444B-A382-E8ECC98C915E}">
  <sheetPr>
    <tabColor theme="9" tint="-0.249977111117893"/>
  </sheetPr>
  <dimension ref="A1:AE566"/>
  <sheetViews>
    <sheetView topLeftCell="T1" workbookViewId="0">
      <selection activeCell="AB15" sqref="A1:AD566"/>
    </sheetView>
  </sheetViews>
  <sheetFormatPr defaultColWidth="10" defaultRowHeight="14.5"/>
  <cols>
    <col min="1" max="1" width="10" style="3"/>
    <col min="2" max="25" width="9.6328125" style="3"/>
    <col min="26" max="26" width="13.36328125" style="3" customWidth="1"/>
    <col min="27" max="27" width="12.08984375" style="3" customWidth="1"/>
    <col min="28" max="28" width="14" style="3" customWidth="1"/>
    <col min="29" max="29" width="12" style="3" customWidth="1"/>
    <col min="30" max="30" width="23.453125" style="29" customWidth="1"/>
    <col min="31" max="16384" width="10" style="17"/>
  </cols>
  <sheetData>
    <row r="1" spans="1:30" s="26" customFormat="1" ht="14">
      <c r="A1" s="431" t="s">
        <v>857</v>
      </c>
      <c r="B1" s="431" t="s">
        <v>858</v>
      </c>
      <c r="C1" s="431" t="s">
        <v>859</v>
      </c>
      <c r="D1" s="431" t="s">
        <v>860</v>
      </c>
      <c r="E1" s="431" t="s">
        <v>861</v>
      </c>
      <c r="F1" s="431" t="s">
        <v>862</v>
      </c>
      <c r="G1" s="431" t="s">
        <v>863</v>
      </c>
      <c r="H1" s="431" t="s">
        <v>864</v>
      </c>
      <c r="I1" s="431" t="s">
        <v>865</v>
      </c>
      <c r="J1" s="431" t="s">
        <v>866</v>
      </c>
      <c r="K1" s="431" t="s">
        <v>867</v>
      </c>
      <c r="L1" s="431" t="s">
        <v>868</v>
      </c>
      <c r="M1" s="431" t="s">
        <v>869</v>
      </c>
      <c r="N1" s="431" t="s">
        <v>870</v>
      </c>
      <c r="O1" s="431" t="s">
        <v>871</v>
      </c>
      <c r="P1" s="431" t="s">
        <v>872</v>
      </c>
      <c r="Q1" s="431" t="s">
        <v>873</v>
      </c>
      <c r="R1" s="431" t="s">
        <v>874</v>
      </c>
      <c r="S1" s="431" t="s">
        <v>875</v>
      </c>
      <c r="T1" s="431" t="s">
        <v>876</v>
      </c>
      <c r="U1" s="431" t="s">
        <v>877</v>
      </c>
      <c r="V1" s="431" t="s">
        <v>878</v>
      </c>
      <c r="W1" s="431" t="s">
        <v>879</v>
      </c>
      <c r="X1" s="431" t="s">
        <v>880</v>
      </c>
      <c r="Y1" s="431" t="s">
        <v>881</v>
      </c>
      <c r="Z1" s="431" t="s">
        <v>882</v>
      </c>
      <c r="AA1" s="431" t="s">
        <v>883</v>
      </c>
      <c r="AB1" s="431" t="s">
        <v>884</v>
      </c>
      <c r="AC1" s="431" t="s">
        <v>885</v>
      </c>
      <c r="AD1" s="435" t="s">
        <v>886</v>
      </c>
    </row>
    <row r="2" spans="1:30" ht="14">
      <c r="A2" s="431" t="s">
        <v>1871</v>
      </c>
      <c r="B2" s="431" t="s">
        <v>1872</v>
      </c>
      <c r="C2" s="431" t="s">
        <v>141</v>
      </c>
      <c r="D2" s="431" t="s">
        <v>1873</v>
      </c>
      <c r="E2" s="431" t="s">
        <v>1874</v>
      </c>
      <c r="F2" s="431">
        <v>1157</v>
      </c>
      <c r="G2" s="431">
        <v>2011</v>
      </c>
      <c r="H2" s="431">
        <v>2029</v>
      </c>
      <c r="I2" s="431" t="b">
        <v>1</v>
      </c>
      <c r="J2" s="431" t="s">
        <v>891</v>
      </c>
      <c r="K2" s="431">
        <v>15300</v>
      </c>
      <c r="L2" s="431"/>
      <c r="M2" s="431"/>
      <c r="N2" s="431"/>
      <c r="O2" s="431" t="b">
        <v>1</v>
      </c>
      <c r="P2" s="431" t="b">
        <v>0</v>
      </c>
      <c r="Q2" s="431" t="s">
        <v>1875</v>
      </c>
      <c r="R2" s="431" t="s">
        <v>1876</v>
      </c>
      <c r="S2" s="431" t="s">
        <v>1877</v>
      </c>
      <c r="T2" s="431" t="s">
        <v>4009</v>
      </c>
      <c r="U2" s="431"/>
      <c r="V2" s="431" t="s">
        <v>1878</v>
      </c>
      <c r="W2" s="432">
        <v>43585.592116192129</v>
      </c>
      <c r="X2" s="432">
        <v>44616.047257361111</v>
      </c>
      <c r="Y2" s="431"/>
      <c r="Z2" s="433">
        <v>41754</v>
      </c>
      <c r="AA2" s="433">
        <v>41921</v>
      </c>
      <c r="AB2" s="433">
        <v>42466</v>
      </c>
      <c r="AC2" s="433">
        <v>42516</v>
      </c>
      <c r="AD2" s="436">
        <f>IF(AND(N2&lt;&gt;"",P2=TRUE,J2="HOUSING_REQUIREMENT_TOTAL"),N2/(H2-G2),IF(J2="HOUSING_REQUIREMENT_TOTAL",K2/(H2-G2),IF(J2="HOUSING_REQUIREMENT_RANGE",L2/(H2-G2),IF(J2="HOUSING_REQUIREMENT_YEARLY_AVERAGE",K2,IF(J2="HOUSING_REQUIREMENT_YEARLY_RANGE",L2,"")))))</f>
        <v>850</v>
      </c>
    </row>
    <row r="3" spans="1:30" ht="14">
      <c r="A3" s="431" t="s">
        <v>1400</v>
      </c>
      <c r="B3" s="431" t="s">
        <v>1401</v>
      </c>
      <c r="C3" s="431" t="s">
        <v>148</v>
      </c>
      <c r="D3" s="431" t="s">
        <v>1402</v>
      </c>
      <c r="E3" s="431" t="s">
        <v>1403</v>
      </c>
      <c r="F3" s="431">
        <v>1897</v>
      </c>
      <c r="G3" s="431">
        <v>2015</v>
      </c>
      <c r="H3" s="431">
        <v>2030</v>
      </c>
      <c r="I3" s="431" t="b">
        <v>1</v>
      </c>
      <c r="J3" s="431" t="s">
        <v>891</v>
      </c>
      <c r="K3" s="431">
        <v>14550</v>
      </c>
      <c r="L3" s="431"/>
      <c r="M3" s="431"/>
      <c r="N3" s="431"/>
      <c r="O3" s="431" t="b">
        <v>1</v>
      </c>
      <c r="P3" s="431" t="b">
        <v>0</v>
      </c>
      <c r="Q3" s="431" t="s">
        <v>1404</v>
      </c>
      <c r="R3" s="431" t="s">
        <v>1405</v>
      </c>
      <c r="S3" s="431" t="s">
        <v>1406</v>
      </c>
      <c r="T3" s="431"/>
      <c r="U3" s="431" t="s">
        <v>1407</v>
      </c>
      <c r="V3" s="431" t="s">
        <v>1408</v>
      </c>
      <c r="W3" s="432">
        <v>43585.592110543985</v>
      </c>
      <c r="X3" s="432">
        <v>44616.047237881947</v>
      </c>
      <c r="Y3" s="431"/>
      <c r="Z3" s="433">
        <v>43361</v>
      </c>
      <c r="AA3" s="433">
        <v>43448</v>
      </c>
      <c r="AB3" s="433">
        <v>43819</v>
      </c>
      <c r="AC3" s="433">
        <v>43845</v>
      </c>
      <c r="AD3" s="436">
        <f t="shared" ref="AD3:AD65" si="0">IF(AND(N3&lt;&gt;"",P3=TRUE,J3="HOUSING_REQUIREMENT_TOTAL"),N3/(H3-G3),IF(J3="HOUSING_REQUIREMENT_TOTAL",K3/(H3-G3),IF(J3="HOUSING_REQUIREMENT_RANGE",L3/(H3-G3),IF(J3="HOUSING_REQUIREMENT_YEARLY_AVERAGE",K3,IF(J3="HOUSING_REQUIREMENT_YEARLY_RANGE",L3,"")))))</f>
        <v>970</v>
      </c>
    </row>
    <row r="4" spans="1:30" ht="14">
      <c r="A4" s="431" t="s">
        <v>979</v>
      </c>
      <c r="B4" s="431" t="s">
        <v>980</v>
      </c>
      <c r="C4" s="431" t="s">
        <v>159</v>
      </c>
      <c r="D4" s="431" t="s">
        <v>931</v>
      </c>
      <c r="E4" s="431" t="s">
        <v>981</v>
      </c>
      <c r="F4" s="431">
        <v>1168</v>
      </c>
      <c r="G4" s="431">
        <v>2012</v>
      </c>
      <c r="H4" s="431">
        <v>2027</v>
      </c>
      <c r="I4" s="431" t="b">
        <v>1</v>
      </c>
      <c r="J4" s="431" t="s">
        <v>891</v>
      </c>
      <c r="K4" s="431">
        <v>4200</v>
      </c>
      <c r="L4" s="431"/>
      <c r="M4" s="431"/>
      <c r="N4" s="431"/>
      <c r="O4" s="431" t="b">
        <v>1</v>
      </c>
      <c r="P4" s="431" t="b">
        <v>0</v>
      </c>
      <c r="Q4" s="431" t="s">
        <v>982</v>
      </c>
      <c r="R4" s="431" t="s">
        <v>983</v>
      </c>
      <c r="S4" s="431" t="s">
        <v>4010</v>
      </c>
      <c r="T4" s="431" t="s">
        <v>4011</v>
      </c>
      <c r="U4" s="431"/>
      <c r="V4" s="431" t="s">
        <v>984</v>
      </c>
      <c r="W4" s="432">
        <v>43585.592111238424</v>
      </c>
      <c r="X4" s="432">
        <v>44616.044451562499</v>
      </c>
      <c r="Y4" s="431"/>
      <c r="Z4" s="433">
        <v>41824</v>
      </c>
      <c r="AA4" s="433">
        <v>41991</v>
      </c>
      <c r="AB4" s="433">
        <v>42331</v>
      </c>
      <c r="AC4" s="433">
        <v>42389</v>
      </c>
      <c r="AD4" s="436">
        <f t="shared" si="0"/>
        <v>280</v>
      </c>
    </row>
    <row r="5" spans="1:30" ht="14">
      <c r="A5" s="431" t="s">
        <v>1529</v>
      </c>
      <c r="B5" s="431" t="s">
        <v>1530</v>
      </c>
      <c r="C5" s="431" t="s">
        <v>239</v>
      </c>
      <c r="D5" s="431" t="s">
        <v>1531</v>
      </c>
      <c r="E5" s="431" t="s">
        <v>1532</v>
      </c>
      <c r="F5" s="431">
        <v>1370</v>
      </c>
      <c r="G5" s="431">
        <v>2013</v>
      </c>
      <c r="H5" s="431">
        <v>2028</v>
      </c>
      <c r="I5" s="431" t="b">
        <v>1</v>
      </c>
      <c r="J5" s="431" t="s">
        <v>907</v>
      </c>
      <c r="K5" s="431">
        <v>230</v>
      </c>
      <c r="L5" s="431"/>
      <c r="M5" s="431"/>
      <c r="N5" s="431"/>
      <c r="O5" s="431" t="b">
        <v>1</v>
      </c>
      <c r="P5" s="431" t="b">
        <v>0</v>
      </c>
      <c r="Q5" s="431" t="s">
        <v>1533</v>
      </c>
      <c r="R5" s="431" t="s">
        <v>1534</v>
      </c>
      <c r="S5" s="431" t="s">
        <v>1535</v>
      </c>
      <c r="T5" s="431" t="s">
        <v>1536</v>
      </c>
      <c r="U5" s="431" t="s">
        <v>1537</v>
      </c>
      <c r="V5" s="431" t="s">
        <v>1538</v>
      </c>
      <c r="W5" s="432">
        <v>43585.592119039349</v>
      </c>
      <c r="X5" s="432">
        <v>44616.043800636573</v>
      </c>
      <c r="Y5" s="431"/>
      <c r="Z5" s="433">
        <v>41024</v>
      </c>
      <c r="AA5" s="433">
        <v>41213</v>
      </c>
      <c r="AB5" s="433">
        <v>41544</v>
      </c>
      <c r="AC5" s="433">
        <v>41613</v>
      </c>
      <c r="AD5" s="436">
        <f t="shared" si="0"/>
        <v>230</v>
      </c>
    </row>
    <row r="6" spans="1:30" ht="14">
      <c r="A6" s="431" t="s">
        <v>1529</v>
      </c>
      <c r="B6" s="431" t="s">
        <v>1530</v>
      </c>
      <c r="C6" s="431" t="s">
        <v>239</v>
      </c>
      <c r="D6" s="431" t="s">
        <v>4012</v>
      </c>
      <c r="E6" s="431" t="s">
        <v>1539</v>
      </c>
      <c r="F6" s="431">
        <v>2008</v>
      </c>
      <c r="G6" s="431">
        <v>2021</v>
      </c>
      <c r="H6" s="431">
        <v>2038</v>
      </c>
      <c r="I6" s="431" t="b">
        <v>1</v>
      </c>
      <c r="J6" s="431" t="s">
        <v>891</v>
      </c>
      <c r="K6" s="431">
        <v>2482</v>
      </c>
      <c r="L6" s="431"/>
      <c r="M6" s="431"/>
      <c r="N6" s="431"/>
      <c r="O6" s="431" t="b">
        <v>1</v>
      </c>
      <c r="P6" s="431" t="b">
        <v>0</v>
      </c>
      <c r="Q6" s="431" t="s">
        <v>4013</v>
      </c>
      <c r="R6" s="431" t="s">
        <v>1540</v>
      </c>
      <c r="S6" s="431" t="s">
        <v>4014</v>
      </c>
      <c r="T6" s="431"/>
      <c r="U6" s="431"/>
      <c r="V6" s="431" t="s">
        <v>4015</v>
      </c>
      <c r="W6" s="432">
        <v>44134.689821273147</v>
      </c>
      <c r="X6" s="432">
        <v>44616.043746041665</v>
      </c>
      <c r="Y6" s="431"/>
      <c r="Z6" s="433">
        <v>44571</v>
      </c>
      <c r="AA6" s="431"/>
      <c r="AB6" s="431"/>
      <c r="AC6" s="431"/>
      <c r="AD6" s="436">
        <f t="shared" si="0"/>
        <v>146</v>
      </c>
    </row>
    <row r="7" spans="1:30" ht="14">
      <c r="A7" s="431" t="s">
        <v>1664</v>
      </c>
      <c r="B7" s="431" t="s">
        <v>1665</v>
      </c>
      <c r="C7" s="431" t="s">
        <v>1666</v>
      </c>
      <c r="D7" s="431" t="s">
        <v>3653</v>
      </c>
      <c r="E7" s="431" t="s">
        <v>3654</v>
      </c>
      <c r="F7" s="431">
        <v>398</v>
      </c>
      <c r="G7" s="431">
        <v>2013</v>
      </c>
      <c r="H7" s="431">
        <v>2028</v>
      </c>
      <c r="I7" s="431" t="b">
        <v>1</v>
      </c>
      <c r="J7" s="431" t="s">
        <v>891</v>
      </c>
      <c r="K7" s="431"/>
      <c r="L7" s="431"/>
      <c r="M7" s="431"/>
      <c r="N7" s="431">
        <v>8490</v>
      </c>
      <c r="O7" s="431" t="b">
        <v>1</v>
      </c>
      <c r="P7" s="431" t="b">
        <v>1</v>
      </c>
      <c r="Q7" s="431" t="s">
        <v>3655</v>
      </c>
      <c r="R7" s="431" t="s">
        <v>3656</v>
      </c>
      <c r="S7" s="431" t="s">
        <v>3657</v>
      </c>
      <c r="T7" s="431" t="s">
        <v>4016</v>
      </c>
      <c r="U7" s="431"/>
      <c r="V7" s="431" t="s">
        <v>3658</v>
      </c>
      <c r="W7" s="432">
        <v>43585.592120810186</v>
      </c>
      <c r="X7" s="432">
        <v>44616.0439934838</v>
      </c>
      <c r="Y7" s="431"/>
      <c r="Z7" s="433">
        <v>41001</v>
      </c>
      <c r="AA7" s="433">
        <v>41348</v>
      </c>
      <c r="AB7" s="433">
        <v>41719</v>
      </c>
      <c r="AC7" s="433">
        <v>41757</v>
      </c>
      <c r="AD7" s="436">
        <f t="shared" si="0"/>
        <v>566</v>
      </c>
    </row>
    <row r="8" spans="1:30" ht="14">
      <c r="A8" s="431" t="s">
        <v>2882</v>
      </c>
      <c r="B8" s="431" t="s">
        <v>2883</v>
      </c>
      <c r="C8" s="431" t="s">
        <v>189</v>
      </c>
      <c r="D8" s="431" t="s">
        <v>2884</v>
      </c>
      <c r="E8" s="431" t="s">
        <v>2885</v>
      </c>
      <c r="F8" s="431">
        <v>1503</v>
      </c>
      <c r="G8" s="431">
        <v>2011</v>
      </c>
      <c r="H8" s="431">
        <v>2030</v>
      </c>
      <c r="I8" s="431" t="b">
        <v>1</v>
      </c>
      <c r="J8" s="431" t="s">
        <v>891</v>
      </c>
      <c r="K8" s="431">
        <v>10400</v>
      </c>
      <c r="L8" s="431"/>
      <c r="M8" s="431"/>
      <c r="N8" s="431"/>
      <c r="O8" s="431" t="b">
        <v>1</v>
      </c>
      <c r="P8" s="431" t="b">
        <v>0</v>
      </c>
      <c r="Q8" s="431" t="s">
        <v>2886</v>
      </c>
      <c r="R8" s="431" t="s">
        <v>2887</v>
      </c>
      <c r="S8" s="431" t="s">
        <v>4017</v>
      </c>
      <c r="T8" s="431" t="s">
        <v>4018</v>
      </c>
      <c r="U8" s="431" t="s">
        <v>2888</v>
      </c>
      <c r="V8" s="431" t="s">
        <v>2889</v>
      </c>
      <c r="W8" s="432">
        <v>43585.592112824073</v>
      </c>
      <c r="X8" s="432">
        <v>44616.044738472221</v>
      </c>
      <c r="Y8" s="431"/>
      <c r="Z8" s="433">
        <v>41547</v>
      </c>
      <c r="AA8" s="433">
        <v>41710</v>
      </c>
      <c r="AB8" s="433">
        <v>42720</v>
      </c>
      <c r="AC8" s="433">
        <v>42760</v>
      </c>
      <c r="AD8" s="436">
        <f t="shared" si="0"/>
        <v>547.36842105263156</v>
      </c>
    </row>
    <row r="9" spans="1:30" ht="14">
      <c r="A9" s="431" t="s">
        <v>2882</v>
      </c>
      <c r="B9" s="431" t="s">
        <v>2883</v>
      </c>
      <c r="C9" s="431" t="s">
        <v>189</v>
      </c>
      <c r="D9" s="431" t="s">
        <v>2890</v>
      </c>
      <c r="E9" s="431" t="s">
        <v>2891</v>
      </c>
      <c r="F9" s="431">
        <v>2107</v>
      </c>
      <c r="G9" s="431">
        <v>2018</v>
      </c>
      <c r="H9" s="431">
        <v>2036</v>
      </c>
      <c r="I9" s="431" t="b">
        <v>1</v>
      </c>
      <c r="J9" s="431" t="s">
        <v>891</v>
      </c>
      <c r="K9" s="431">
        <v>6500</v>
      </c>
      <c r="L9" s="431"/>
      <c r="M9" s="431"/>
      <c r="N9" s="431"/>
      <c r="O9" s="431" t="b">
        <v>1</v>
      </c>
      <c r="P9" s="431" t="b">
        <v>0</v>
      </c>
      <c r="Q9" s="431" t="s">
        <v>2892</v>
      </c>
      <c r="R9" s="431" t="s">
        <v>2893</v>
      </c>
      <c r="S9" s="431" t="s">
        <v>2894</v>
      </c>
      <c r="T9" s="431" t="s">
        <v>4019</v>
      </c>
      <c r="U9" s="431" t="s">
        <v>2895</v>
      </c>
      <c r="V9" s="431" t="s">
        <v>2896</v>
      </c>
      <c r="W9" s="432">
        <v>44096.551090266206</v>
      </c>
      <c r="X9" s="432">
        <v>44616.042607939817</v>
      </c>
      <c r="Y9" s="431"/>
      <c r="Z9" s="431"/>
      <c r="AA9" s="431"/>
      <c r="AB9" s="431"/>
      <c r="AC9" s="431"/>
      <c r="AD9" s="436">
        <f t="shared" si="0"/>
        <v>361.11111111111109</v>
      </c>
    </row>
    <row r="10" spans="1:30" ht="14">
      <c r="A10" s="431" t="s">
        <v>3228</v>
      </c>
      <c r="B10" s="431" t="s">
        <v>3229</v>
      </c>
      <c r="C10" s="431" t="s">
        <v>132</v>
      </c>
      <c r="D10" s="431" t="s">
        <v>3230</v>
      </c>
      <c r="E10" s="431" t="s">
        <v>3231</v>
      </c>
      <c r="F10" s="431">
        <v>1193</v>
      </c>
      <c r="G10" s="431">
        <v>2011</v>
      </c>
      <c r="H10" s="431">
        <v>2026</v>
      </c>
      <c r="I10" s="431" t="b">
        <v>1</v>
      </c>
      <c r="J10" s="431" t="s">
        <v>891</v>
      </c>
      <c r="K10" s="431">
        <v>28000</v>
      </c>
      <c r="L10" s="431"/>
      <c r="M10" s="431"/>
      <c r="N10" s="431"/>
      <c r="O10" s="431" t="b">
        <v>1</v>
      </c>
      <c r="P10" s="431" t="b">
        <v>0</v>
      </c>
      <c r="Q10" s="431" t="s">
        <v>3232</v>
      </c>
      <c r="R10" s="431" t="s">
        <v>3233</v>
      </c>
      <c r="S10" s="431" t="s">
        <v>3234</v>
      </c>
      <c r="T10" s="431" t="s">
        <v>3235</v>
      </c>
      <c r="U10" s="431"/>
      <c r="V10" s="431" t="s">
        <v>3236</v>
      </c>
      <c r="W10" s="432">
        <v>43585.592127430558</v>
      </c>
      <c r="X10" s="432">
        <v>44616.043060474534</v>
      </c>
      <c r="Y10" s="431"/>
      <c r="Z10" s="433">
        <v>40451</v>
      </c>
      <c r="AA10" s="433">
        <v>40771</v>
      </c>
      <c r="AB10" s="433">
        <v>41082</v>
      </c>
      <c r="AC10" s="433">
        <v>41163</v>
      </c>
      <c r="AD10" s="436">
        <f t="shared" si="0"/>
        <v>1866.6666666666667</v>
      </c>
    </row>
    <row r="11" spans="1:30" ht="14">
      <c r="A11" s="431" t="s">
        <v>3228</v>
      </c>
      <c r="B11" s="431" t="s">
        <v>3229</v>
      </c>
      <c r="C11" s="431" t="s">
        <v>132</v>
      </c>
      <c r="D11" s="431" t="s">
        <v>3237</v>
      </c>
      <c r="E11" s="431" t="s">
        <v>4020</v>
      </c>
      <c r="F11" s="431">
        <v>1970</v>
      </c>
      <c r="G11" s="431">
        <v>2021</v>
      </c>
      <c r="H11" s="431">
        <v>2036</v>
      </c>
      <c r="I11" s="431" t="b">
        <v>1</v>
      </c>
      <c r="J11" s="431" t="s">
        <v>891</v>
      </c>
      <c r="K11" s="431">
        <v>35460</v>
      </c>
      <c r="L11" s="431"/>
      <c r="M11" s="431"/>
      <c r="N11" s="431"/>
      <c r="O11" s="431" t="b">
        <v>1</v>
      </c>
      <c r="P11" s="431" t="b">
        <v>0</v>
      </c>
      <c r="Q11" s="431" t="s">
        <v>4021</v>
      </c>
      <c r="R11" s="431"/>
      <c r="S11" s="431"/>
      <c r="T11" s="431" t="s">
        <v>4022</v>
      </c>
      <c r="U11" s="431" t="s">
        <v>4023</v>
      </c>
      <c r="V11" s="431" t="s">
        <v>4024</v>
      </c>
      <c r="W11" s="432">
        <v>44454.431071782405</v>
      </c>
      <c r="X11" s="432">
        <v>44616.047005613429</v>
      </c>
      <c r="Y11" s="431"/>
      <c r="Z11" s="433">
        <v>44375</v>
      </c>
      <c r="AA11" s="433">
        <v>44526</v>
      </c>
      <c r="AB11" s="431"/>
      <c r="AC11" s="431"/>
      <c r="AD11" s="436">
        <f t="shared" si="0"/>
        <v>2364</v>
      </c>
    </row>
    <row r="12" spans="1:30" ht="14">
      <c r="A12" s="431" t="s">
        <v>2052</v>
      </c>
      <c r="B12" s="431" t="s">
        <v>2053</v>
      </c>
      <c r="C12" s="431" t="s">
        <v>260</v>
      </c>
      <c r="D12" s="431" t="s">
        <v>2054</v>
      </c>
      <c r="E12" s="431" t="s">
        <v>2055</v>
      </c>
      <c r="F12" s="431">
        <v>920</v>
      </c>
      <c r="G12" s="431">
        <v>2006</v>
      </c>
      <c r="H12" s="431">
        <v>2026</v>
      </c>
      <c r="I12" s="431" t="b">
        <v>1</v>
      </c>
      <c r="J12" s="431" t="s">
        <v>891</v>
      </c>
      <c r="K12" s="431">
        <v>17300</v>
      </c>
      <c r="L12" s="431"/>
      <c r="M12" s="431"/>
      <c r="N12" s="431"/>
      <c r="O12" s="431" t="b">
        <v>1</v>
      </c>
      <c r="P12" s="431" t="b">
        <v>0</v>
      </c>
      <c r="Q12" s="431" t="s">
        <v>2056</v>
      </c>
      <c r="R12" s="431" t="s">
        <v>2057</v>
      </c>
      <c r="S12" s="431" t="s">
        <v>2058</v>
      </c>
      <c r="T12" s="431"/>
      <c r="U12" s="431"/>
      <c r="V12" s="431" t="s">
        <v>2059</v>
      </c>
      <c r="W12" s="432">
        <v>43585.592122199072</v>
      </c>
      <c r="X12" s="432">
        <v>44616.046200983794</v>
      </c>
      <c r="Y12" s="431"/>
      <c r="Z12" s="433">
        <v>40423</v>
      </c>
      <c r="AA12" s="433">
        <v>40581</v>
      </c>
      <c r="AB12" s="433">
        <v>40756</v>
      </c>
      <c r="AC12" s="433">
        <v>40812</v>
      </c>
      <c r="AD12" s="436">
        <f t="shared" si="0"/>
        <v>865</v>
      </c>
    </row>
    <row r="13" spans="1:30" ht="14">
      <c r="A13" s="431" t="s">
        <v>2052</v>
      </c>
      <c r="B13" s="431" t="s">
        <v>2053</v>
      </c>
      <c r="C13" s="431" t="s">
        <v>260</v>
      </c>
      <c r="D13" s="431" t="s">
        <v>4025</v>
      </c>
      <c r="E13" s="431" t="s">
        <v>4026</v>
      </c>
      <c r="F13" s="431">
        <v>2236</v>
      </c>
      <c r="G13" s="431">
        <v>2017</v>
      </c>
      <c r="H13" s="431">
        <v>2037</v>
      </c>
      <c r="I13" s="431" t="b">
        <v>1</v>
      </c>
      <c r="J13" s="431" t="s">
        <v>907</v>
      </c>
      <c r="K13" s="431">
        <v>790</v>
      </c>
      <c r="L13" s="431"/>
      <c r="M13" s="431"/>
      <c r="N13" s="431"/>
      <c r="O13" s="431" t="b">
        <v>1</v>
      </c>
      <c r="P13" s="431" t="b">
        <v>0</v>
      </c>
      <c r="Q13" s="431" t="s">
        <v>4027</v>
      </c>
      <c r="R13" s="431" t="s">
        <v>4028</v>
      </c>
      <c r="S13" s="431" t="s">
        <v>4029</v>
      </c>
      <c r="T13" s="431" t="s">
        <v>4030</v>
      </c>
      <c r="U13" s="431"/>
      <c r="V13" s="431" t="s">
        <v>4031</v>
      </c>
      <c r="W13" s="432">
        <v>44536.482698206019</v>
      </c>
      <c r="X13" s="432">
        <v>44616.0442256713</v>
      </c>
      <c r="Y13" s="431"/>
      <c r="Z13" s="433">
        <v>44454</v>
      </c>
      <c r="AA13" s="433">
        <v>44543</v>
      </c>
      <c r="AB13" s="431"/>
      <c r="AC13" s="431"/>
      <c r="AD13" s="436">
        <f t="shared" si="0"/>
        <v>790</v>
      </c>
    </row>
    <row r="14" spans="1:30" ht="14">
      <c r="A14" s="431" t="s">
        <v>3265</v>
      </c>
      <c r="B14" s="431" t="s">
        <v>3266</v>
      </c>
      <c r="C14" s="431" t="s">
        <v>205</v>
      </c>
      <c r="D14" s="431" t="s">
        <v>3267</v>
      </c>
      <c r="E14" s="431" t="s">
        <v>3268</v>
      </c>
      <c r="F14" s="431">
        <v>1746</v>
      </c>
      <c r="G14" s="431">
        <v>2016</v>
      </c>
      <c r="H14" s="431">
        <v>2031</v>
      </c>
      <c r="I14" s="431" t="b">
        <v>1</v>
      </c>
      <c r="J14" s="431" t="s">
        <v>891</v>
      </c>
      <c r="K14" s="431">
        <v>16800</v>
      </c>
      <c r="L14" s="431"/>
      <c r="M14" s="431"/>
      <c r="N14" s="431"/>
      <c r="O14" s="431" t="b">
        <v>1</v>
      </c>
      <c r="P14" s="431" t="b">
        <v>0</v>
      </c>
      <c r="Q14" s="431" t="s">
        <v>3269</v>
      </c>
      <c r="R14" s="431" t="s">
        <v>3270</v>
      </c>
      <c r="S14" s="431" t="s">
        <v>3271</v>
      </c>
      <c r="T14" s="431" t="s">
        <v>3272</v>
      </c>
      <c r="U14" s="431" t="s">
        <v>3273</v>
      </c>
      <c r="V14" s="431" t="s">
        <v>3274</v>
      </c>
      <c r="W14" s="432">
        <v>43585.592117372682</v>
      </c>
      <c r="X14" s="432">
        <v>44616.048296944442</v>
      </c>
      <c r="Y14" s="431"/>
      <c r="Z14" s="433">
        <v>42408</v>
      </c>
      <c r="AA14" s="433">
        <v>42545</v>
      </c>
      <c r="AB14" s="433">
        <v>42865</v>
      </c>
      <c r="AC14" s="433">
        <v>42919</v>
      </c>
      <c r="AD14" s="436">
        <f t="shared" si="0"/>
        <v>1120</v>
      </c>
    </row>
    <row r="15" spans="1:30" ht="14">
      <c r="A15" s="431" t="s">
        <v>1557</v>
      </c>
      <c r="B15" s="431" t="s">
        <v>1558</v>
      </c>
      <c r="C15" s="431" t="s">
        <v>117</v>
      </c>
      <c r="D15" s="431" t="s">
        <v>1559</v>
      </c>
      <c r="E15" s="431" t="s">
        <v>1560</v>
      </c>
      <c r="F15" s="431">
        <v>1864</v>
      </c>
      <c r="G15" s="431">
        <v>2011</v>
      </c>
      <c r="H15" s="431">
        <v>2028</v>
      </c>
      <c r="I15" s="431" t="b">
        <v>1</v>
      </c>
      <c r="J15" s="431" t="s">
        <v>891</v>
      </c>
      <c r="K15" s="431">
        <v>9770</v>
      </c>
      <c r="L15" s="431"/>
      <c r="M15" s="431"/>
      <c r="N15" s="431"/>
      <c r="O15" s="431" t="b">
        <v>1</v>
      </c>
      <c r="P15" s="431" t="b">
        <v>0</v>
      </c>
      <c r="Q15" s="431" t="s">
        <v>1561</v>
      </c>
      <c r="R15" s="431" t="s">
        <v>1562</v>
      </c>
      <c r="S15" s="431" t="s">
        <v>1563</v>
      </c>
      <c r="T15" s="431" t="s">
        <v>1564</v>
      </c>
      <c r="U15" s="431" t="s">
        <v>1565</v>
      </c>
      <c r="V15" s="431"/>
      <c r="W15" s="432">
        <v>43585.592113159721</v>
      </c>
      <c r="X15" s="432">
        <v>44616.042560671296</v>
      </c>
      <c r="Y15" s="431"/>
      <c r="Z15" s="433">
        <v>43041</v>
      </c>
      <c r="AA15" s="433">
        <v>43161</v>
      </c>
      <c r="AB15" s="431"/>
      <c r="AC15" s="431"/>
      <c r="AD15" s="436">
        <f t="shared" si="0"/>
        <v>574.70588235294122</v>
      </c>
    </row>
    <row r="16" spans="1:30" ht="14">
      <c r="A16" s="431" t="s">
        <v>1374</v>
      </c>
      <c r="B16" s="431" t="s">
        <v>1375</v>
      </c>
      <c r="C16" s="431" t="s">
        <v>243</v>
      </c>
      <c r="D16" s="431" t="s">
        <v>1376</v>
      </c>
      <c r="E16" s="431" t="s">
        <v>1377</v>
      </c>
      <c r="F16" s="431">
        <v>1435</v>
      </c>
      <c r="G16" s="431">
        <v>2010</v>
      </c>
      <c r="H16" s="431">
        <v>2030</v>
      </c>
      <c r="I16" s="431" t="b">
        <v>1</v>
      </c>
      <c r="J16" s="431" t="s">
        <v>891</v>
      </c>
      <c r="K16" s="431">
        <v>52500</v>
      </c>
      <c r="L16" s="431"/>
      <c r="M16" s="431"/>
      <c r="N16" s="431"/>
      <c r="O16" s="431" t="b">
        <v>1</v>
      </c>
      <c r="P16" s="431" t="b">
        <v>0</v>
      </c>
      <c r="Q16" s="431" t="s">
        <v>1378</v>
      </c>
      <c r="R16" s="431" t="s">
        <v>1379</v>
      </c>
      <c r="S16" s="431" t="s">
        <v>1380</v>
      </c>
      <c r="T16" s="431" t="s">
        <v>4032</v>
      </c>
      <c r="U16" s="431"/>
      <c r="V16" s="431" t="s">
        <v>1381</v>
      </c>
      <c r="W16" s="432">
        <v>43585.592113298611</v>
      </c>
      <c r="X16" s="432">
        <v>44616.048800960649</v>
      </c>
      <c r="Y16" s="431"/>
      <c r="Z16" s="433">
        <v>41715</v>
      </c>
      <c r="AA16" s="433">
        <v>42040</v>
      </c>
      <c r="AB16" s="433">
        <v>42636</v>
      </c>
      <c r="AC16" s="433">
        <v>42696</v>
      </c>
      <c r="AD16" s="436">
        <f t="shared" si="0"/>
        <v>2625</v>
      </c>
    </row>
    <row r="17" spans="1:30" ht="14">
      <c r="A17" s="431" t="s">
        <v>2042</v>
      </c>
      <c r="B17" s="431" t="s">
        <v>2043</v>
      </c>
      <c r="C17" s="431" t="s">
        <v>209</v>
      </c>
      <c r="D17" s="431" t="s">
        <v>2044</v>
      </c>
      <c r="E17" s="431" t="s">
        <v>2045</v>
      </c>
      <c r="F17" s="431">
        <v>1468</v>
      </c>
      <c r="G17" s="431">
        <v>2011</v>
      </c>
      <c r="H17" s="431">
        <v>2031</v>
      </c>
      <c r="I17" s="431" t="b">
        <v>1</v>
      </c>
      <c r="J17" s="431" t="s">
        <v>891</v>
      </c>
      <c r="K17" s="431">
        <v>16000</v>
      </c>
      <c r="L17" s="431"/>
      <c r="M17" s="431"/>
      <c r="N17" s="431"/>
      <c r="O17" s="431" t="b">
        <v>1</v>
      </c>
      <c r="P17" s="431" t="b">
        <v>0</v>
      </c>
      <c r="Q17" s="431" t="s">
        <v>2046</v>
      </c>
      <c r="R17" s="431" t="s">
        <v>2047</v>
      </c>
      <c r="S17" s="431" t="s">
        <v>2048</v>
      </c>
      <c r="T17" s="431" t="s">
        <v>4033</v>
      </c>
      <c r="U17" s="431"/>
      <c r="V17" s="431" t="s">
        <v>2049</v>
      </c>
      <c r="W17" s="432">
        <v>43585.592117569446</v>
      </c>
      <c r="X17" s="432">
        <v>44616.043177418978</v>
      </c>
      <c r="Y17" s="431"/>
      <c r="Z17" s="433">
        <v>41795</v>
      </c>
      <c r="AA17" s="433">
        <v>41964</v>
      </c>
      <c r="AB17" s="433">
        <v>42901</v>
      </c>
      <c r="AC17" s="433">
        <v>42929</v>
      </c>
      <c r="AD17" s="436">
        <v>767</v>
      </c>
    </row>
    <row r="18" spans="1:30" ht="14">
      <c r="A18" s="431" t="s">
        <v>2042</v>
      </c>
      <c r="B18" s="431" t="s">
        <v>2043</v>
      </c>
      <c r="C18" s="431" t="s">
        <v>209</v>
      </c>
      <c r="D18" s="431" t="s">
        <v>2050</v>
      </c>
      <c r="E18" s="431" t="s">
        <v>2051</v>
      </c>
      <c r="F18" s="431">
        <v>2109</v>
      </c>
      <c r="G18" s="431">
        <v>2020</v>
      </c>
      <c r="H18" s="431">
        <v>2040</v>
      </c>
      <c r="I18" s="431" t="b">
        <v>1</v>
      </c>
      <c r="J18" s="431"/>
      <c r="K18" s="431"/>
      <c r="L18" s="431"/>
      <c r="M18" s="431"/>
      <c r="N18" s="431"/>
      <c r="O18" s="431" t="b">
        <v>0</v>
      </c>
      <c r="P18" s="431" t="b">
        <v>0</v>
      </c>
      <c r="Q18" s="431"/>
      <c r="R18" s="431"/>
      <c r="S18" s="431"/>
      <c r="T18" s="431"/>
      <c r="U18" s="431"/>
      <c r="V18" s="431"/>
      <c r="W18" s="432">
        <v>44096.545056319446</v>
      </c>
      <c r="X18" s="432">
        <v>44098.546328356482</v>
      </c>
      <c r="Y18" s="431" t="s">
        <v>978</v>
      </c>
      <c r="Z18" s="431"/>
      <c r="AA18" s="431"/>
      <c r="AB18" s="431"/>
      <c r="AC18" s="431"/>
      <c r="AD18" s="436" t="str">
        <f t="shared" si="0"/>
        <v/>
      </c>
    </row>
    <row r="19" spans="1:30" ht="14">
      <c r="A19" s="431" t="s">
        <v>3160</v>
      </c>
      <c r="B19" s="431" t="s">
        <v>3161</v>
      </c>
      <c r="C19" s="431" t="s">
        <v>201</v>
      </c>
      <c r="D19" s="431" t="s">
        <v>3162</v>
      </c>
      <c r="E19" s="431" t="s">
        <v>3163</v>
      </c>
      <c r="F19" s="431">
        <v>2006</v>
      </c>
      <c r="G19" s="431">
        <v>2018</v>
      </c>
      <c r="H19" s="431">
        <v>2033</v>
      </c>
      <c r="I19" s="431" t="b">
        <v>1</v>
      </c>
      <c r="J19" s="431" t="s">
        <v>891</v>
      </c>
      <c r="K19" s="431">
        <v>12600</v>
      </c>
      <c r="L19" s="431"/>
      <c r="M19" s="431"/>
      <c r="N19" s="431"/>
      <c r="O19" s="431" t="b">
        <v>1</v>
      </c>
      <c r="P19" s="431" t="b">
        <v>0</v>
      </c>
      <c r="Q19" s="431" t="s">
        <v>3164</v>
      </c>
      <c r="R19" s="431"/>
      <c r="S19" s="431"/>
      <c r="T19" s="431" t="s">
        <v>3165</v>
      </c>
      <c r="U19" s="431"/>
      <c r="V19" s="431" t="s">
        <v>3166</v>
      </c>
      <c r="W19" s="432">
        <v>43585.592119479166</v>
      </c>
      <c r="X19" s="432">
        <v>44616.043227719907</v>
      </c>
      <c r="Y19" s="431"/>
      <c r="Z19" s="433">
        <v>43322</v>
      </c>
      <c r="AA19" s="433">
        <v>43476</v>
      </c>
      <c r="AB19" s="431"/>
      <c r="AC19" s="431"/>
      <c r="AD19" s="436">
        <f t="shared" si="0"/>
        <v>840</v>
      </c>
    </row>
    <row r="20" spans="1:30" ht="14">
      <c r="A20" s="431" t="s">
        <v>1505</v>
      </c>
      <c r="B20" s="431" t="s">
        <v>1506</v>
      </c>
      <c r="C20" s="431" t="s">
        <v>114</v>
      </c>
      <c r="D20" s="431" t="s">
        <v>1507</v>
      </c>
      <c r="E20" s="431" t="s">
        <v>1508</v>
      </c>
      <c r="F20" s="431">
        <v>1320</v>
      </c>
      <c r="G20" s="431">
        <v>2011</v>
      </c>
      <c r="H20" s="431">
        <v>2029</v>
      </c>
      <c r="I20" s="431" t="b">
        <v>1</v>
      </c>
      <c r="J20" s="431" t="s">
        <v>907</v>
      </c>
      <c r="K20" s="431">
        <v>304</v>
      </c>
      <c r="L20" s="431"/>
      <c r="M20" s="431"/>
      <c r="N20" s="431"/>
      <c r="O20" s="431" t="b">
        <v>1</v>
      </c>
      <c r="P20" s="431" t="b">
        <v>0</v>
      </c>
      <c r="Q20" s="431" t="s">
        <v>1509</v>
      </c>
      <c r="R20" s="431" t="s">
        <v>1510</v>
      </c>
      <c r="S20" s="431" t="s">
        <v>1511</v>
      </c>
      <c r="T20" s="431"/>
      <c r="U20" s="431"/>
      <c r="V20" s="431" t="s">
        <v>1512</v>
      </c>
      <c r="W20" s="432">
        <v>43585.592113391205</v>
      </c>
      <c r="X20" s="432">
        <v>44616.04202760417</v>
      </c>
      <c r="Y20" s="431"/>
      <c r="Z20" s="433">
        <v>41397</v>
      </c>
      <c r="AA20" s="433">
        <v>41570</v>
      </c>
      <c r="AB20" s="433">
        <v>41821</v>
      </c>
      <c r="AC20" s="433">
        <v>41836</v>
      </c>
      <c r="AD20" s="436">
        <f t="shared" si="0"/>
        <v>304</v>
      </c>
    </row>
    <row r="21" spans="1:30" ht="14">
      <c r="A21" s="431" t="s">
        <v>3275</v>
      </c>
      <c r="B21" s="431" t="s">
        <v>3276</v>
      </c>
      <c r="C21" s="431" t="s">
        <v>253</v>
      </c>
      <c r="D21" s="431" t="s">
        <v>3277</v>
      </c>
      <c r="E21" s="431" t="s">
        <v>3278</v>
      </c>
      <c r="F21" s="431">
        <v>1784</v>
      </c>
      <c r="G21" s="431">
        <v>2016</v>
      </c>
      <c r="H21" s="431">
        <v>2036</v>
      </c>
      <c r="I21" s="431" t="b">
        <v>1</v>
      </c>
      <c r="J21" s="431" t="s">
        <v>891</v>
      </c>
      <c r="K21" s="431">
        <v>32890</v>
      </c>
      <c r="L21" s="431"/>
      <c r="M21" s="431"/>
      <c r="N21" s="431"/>
      <c r="O21" s="431" t="b">
        <v>1</v>
      </c>
      <c r="P21" s="431" t="b">
        <v>0</v>
      </c>
      <c r="Q21" s="431" t="s">
        <v>3279</v>
      </c>
      <c r="R21" s="431" t="s">
        <v>3280</v>
      </c>
      <c r="S21" s="431" t="s">
        <v>3281</v>
      </c>
      <c r="T21" s="431" t="s">
        <v>3282</v>
      </c>
      <c r="U21" s="431"/>
      <c r="V21" s="431" t="s">
        <v>3283</v>
      </c>
      <c r="W21" s="432">
        <v>43585.59213853009</v>
      </c>
      <c r="X21" s="432">
        <v>44616.04304459491</v>
      </c>
      <c r="Y21" s="431"/>
      <c r="Z21" s="433">
        <v>42618</v>
      </c>
      <c r="AA21" s="433">
        <v>42768</v>
      </c>
      <c r="AB21" s="433">
        <v>43116</v>
      </c>
      <c r="AC21" s="433">
        <v>43158</v>
      </c>
      <c r="AD21" s="436">
        <f t="shared" si="0"/>
        <v>1644.5</v>
      </c>
    </row>
    <row r="22" spans="1:30" ht="14">
      <c r="A22" s="431" t="s">
        <v>3275</v>
      </c>
      <c r="B22" s="431" t="s">
        <v>3276</v>
      </c>
      <c r="C22" s="431" t="s">
        <v>253</v>
      </c>
      <c r="D22" s="431" t="s">
        <v>4034</v>
      </c>
      <c r="E22" s="431" t="s">
        <v>4035</v>
      </c>
      <c r="F22" s="431">
        <v>2144</v>
      </c>
      <c r="G22" s="431">
        <v>2019</v>
      </c>
      <c r="H22" s="431">
        <v>2039</v>
      </c>
      <c r="I22" s="431" t="b">
        <v>1</v>
      </c>
      <c r="J22" s="431" t="s">
        <v>891</v>
      </c>
      <c r="K22" s="431">
        <v>37736</v>
      </c>
      <c r="L22" s="431"/>
      <c r="M22" s="431"/>
      <c r="N22" s="431"/>
      <c r="O22" s="431" t="b">
        <v>1</v>
      </c>
      <c r="P22" s="431" t="b">
        <v>0</v>
      </c>
      <c r="Q22" s="431" t="s">
        <v>4036</v>
      </c>
      <c r="R22" s="431" t="s">
        <v>4037</v>
      </c>
      <c r="S22" s="431" t="s">
        <v>4038</v>
      </c>
      <c r="T22" s="431"/>
      <c r="U22" s="431"/>
      <c r="V22" s="431" t="s">
        <v>4039</v>
      </c>
      <c r="W22" s="432">
        <v>44364.464038831022</v>
      </c>
      <c r="X22" s="432">
        <v>44616.043845081018</v>
      </c>
      <c r="Y22" s="431"/>
      <c r="Z22" s="433">
        <v>44567</v>
      </c>
      <c r="AA22" s="431"/>
      <c r="AB22" s="431"/>
      <c r="AC22" s="431"/>
      <c r="AD22" s="436">
        <f t="shared" si="0"/>
        <v>1886.8</v>
      </c>
    </row>
    <row r="23" spans="1:30" ht="14">
      <c r="A23" s="431" t="s">
        <v>3735</v>
      </c>
      <c r="B23" s="431" t="s">
        <v>3736</v>
      </c>
      <c r="C23" s="431" t="s">
        <v>185</v>
      </c>
      <c r="D23" s="431" t="s">
        <v>753</v>
      </c>
      <c r="E23" s="431" t="s">
        <v>3737</v>
      </c>
      <c r="F23" s="431">
        <v>1350</v>
      </c>
      <c r="G23" s="431">
        <v>2008</v>
      </c>
      <c r="H23" s="431">
        <v>2026</v>
      </c>
      <c r="I23" s="431" t="b">
        <v>1</v>
      </c>
      <c r="J23" s="431" t="s">
        <v>891</v>
      </c>
      <c r="K23" s="431"/>
      <c r="L23" s="431"/>
      <c r="M23" s="431"/>
      <c r="N23" s="431">
        <v>36820</v>
      </c>
      <c r="O23" s="431" t="b">
        <v>1</v>
      </c>
      <c r="P23" s="431" t="b">
        <v>1</v>
      </c>
      <c r="Q23" s="431" t="s">
        <v>3738</v>
      </c>
      <c r="R23" s="431" t="s">
        <v>3739</v>
      </c>
      <c r="S23" s="431" t="s">
        <v>3740</v>
      </c>
      <c r="T23" s="431" t="s">
        <v>4040</v>
      </c>
      <c r="U23" s="431" t="s">
        <v>3741</v>
      </c>
      <c r="V23" s="431" t="s">
        <v>3742</v>
      </c>
      <c r="W23" s="432">
        <v>43585.592136319443</v>
      </c>
      <c r="X23" s="432">
        <v>44616.048089155091</v>
      </c>
      <c r="Y23" s="431"/>
      <c r="Z23" s="433">
        <v>41131</v>
      </c>
      <c r="AA23" s="433">
        <v>41309</v>
      </c>
      <c r="AB23" s="433">
        <v>41591</v>
      </c>
      <c r="AC23" s="433">
        <v>41649</v>
      </c>
      <c r="AD23" s="436">
        <f t="shared" si="0"/>
        <v>2045.5555555555557</v>
      </c>
    </row>
    <row r="24" spans="1:30" ht="14">
      <c r="A24" s="431" t="s">
        <v>3735</v>
      </c>
      <c r="B24" s="431" t="s">
        <v>3736</v>
      </c>
      <c r="C24" s="431" t="s">
        <v>185</v>
      </c>
      <c r="D24" s="431" t="s">
        <v>3743</v>
      </c>
      <c r="E24" s="431" t="s">
        <v>3744</v>
      </c>
      <c r="F24" s="431">
        <v>2254</v>
      </c>
      <c r="G24" s="431">
        <v>2018</v>
      </c>
      <c r="H24" s="431">
        <v>2038</v>
      </c>
      <c r="I24" s="431" t="b">
        <v>1</v>
      </c>
      <c r="J24" s="431" t="s">
        <v>891</v>
      </c>
      <c r="K24" s="431"/>
      <c r="L24" s="431"/>
      <c r="M24" s="431"/>
      <c r="N24" s="431">
        <v>49492</v>
      </c>
      <c r="O24" s="431" t="b">
        <v>1</v>
      </c>
      <c r="P24" s="431" t="b">
        <v>1</v>
      </c>
      <c r="Q24" s="431" t="s">
        <v>4041</v>
      </c>
      <c r="R24" s="431" t="s">
        <v>3745</v>
      </c>
      <c r="S24" s="431" t="s">
        <v>4042</v>
      </c>
      <c r="T24" s="431"/>
      <c r="U24" s="431"/>
      <c r="V24" s="431" t="s">
        <v>4043</v>
      </c>
      <c r="W24" s="432">
        <v>43669.535810266207</v>
      </c>
      <c r="X24" s="432">
        <v>44616.047184513889</v>
      </c>
      <c r="Y24" s="431"/>
      <c r="Z24" s="433">
        <v>44228</v>
      </c>
      <c r="AA24" s="433">
        <v>44407</v>
      </c>
      <c r="AB24" s="431"/>
      <c r="AC24" s="431"/>
      <c r="AD24" s="436">
        <f t="shared" si="0"/>
        <v>2474.6</v>
      </c>
    </row>
    <row r="25" spans="1:30" ht="14">
      <c r="A25" s="431" t="s">
        <v>1427</v>
      </c>
      <c r="B25" s="431" t="s">
        <v>1428</v>
      </c>
      <c r="C25" s="431" t="s">
        <v>1429</v>
      </c>
      <c r="D25" s="431" t="s">
        <v>1430</v>
      </c>
      <c r="E25" s="431" t="s">
        <v>1431</v>
      </c>
      <c r="F25" s="431">
        <v>959</v>
      </c>
      <c r="G25" s="431">
        <v>2006</v>
      </c>
      <c r="H25" s="431">
        <v>2026</v>
      </c>
      <c r="I25" s="431" t="b">
        <v>1</v>
      </c>
      <c r="J25" s="431" t="s">
        <v>1199</v>
      </c>
      <c r="K25" s="431"/>
      <c r="L25" s="431">
        <v>2650</v>
      </c>
      <c r="M25" s="431">
        <v>2900</v>
      </c>
      <c r="N25" s="431"/>
      <c r="O25" s="431" t="b">
        <v>1</v>
      </c>
      <c r="P25" s="431" t="b">
        <v>0</v>
      </c>
      <c r="Q25" s="431" t="s">
        <v>1432</v>
      </c>
      <c r="R25" s="431" t="s">
        <v>1433</v>
      </c>
      <c r="S25" s="431" t="s">
        <v>1434</v>
      </c>
      <c r="T25" s="431" t="s">
        <v>1435</v>
      </c>
      <c r="U25" s="431"/>
      <c r="V25" s="431" t="s">
        <v>1436</v>
      </c>
      <c r="W25" s="432">
        <v>43585.592140787034</v>
      </c>
      <c r="X25" s="432">
        <v>44616.048245092592</v>
      </c>
      <c r="Y25" s="431"/>
      <c r="Z25" s="433">
        <v>40465</v>
      </c>
      <c r="AA25" s="433">
        <v>40556</v>
      </c>
      <c r="AB25" s="433">
        <v>40822</v>
      </c>
      <c r="AC25" s="433">
        <v>40862</v>
      </c>
      <c r="AD25" s="436">
        <f t="shared" si="0"/>
        <v>132.5</v>
      </c>
    </row>
    <row r="26" spans="1:30" ht="14">
      <c r="A26" s="431" t="s">
        <v>1427</v>
      </c>
      <c r="B26" s="431" t="s">
        <v>1428</v>
      </c>
      <c r="C26" s="431" t="s">
        <v>1429</v>
      </c>
      <c r="D26" s="431" t="s">
        <v>3633</v>
      </c>
      <c r="E26" s="431" t="s">
        <v>3634</v>
      </c>
      <c r="F26" s="431">
        <v>1940</v>
      </c>
      <c r="G26" s="431">
        <v>2016</v>
      </c>
      <c r="H26" s="431">
        <v>2036</v>
      </c>
      <c r="I26" s="431" t="b">
        <v>1</v>
      </c>
      <c r="J26" s="431" t="s">
        <v>891</v>
      </c>
      <c r="K26" s="431"/>
      <c r="L26" s="431"/>
      <c r="M26" s="431"/>
      <c r="N26" s="431">
        <v>11099</v>
      </c>
      <c r="O26" s="431" t="b">
        <v>1</v>
      </c>
      <c r="P26" s="431" t="b">
        <v>1</v>
      </c>
      <c r="Q26" s="431" t="s">
        <v>3635</v>
      </c>
      <c r="R26" s="431" t="s">
        <v>3636</v>
      </c>
      <c r="S26" s="431" t="s">
        <v>3637</v>
      </c>
      <c r="T26" s="431" t="s">
        <v>3638</v>
      </c>
      <c r="U26" s="431" t="s">
        <v>3639</v>
      </c>
      <c r="V26" s="431" t="s">
        <v>3640</v>
      </c>
      <c r="W26" s="432">
        <v>43585.592135879633</v>
      </c>
      <c r="X26" s="432">
        <v>44616.045996678244</v>
      </c>
      <c r="Y26" s="431"/>
      <c r="Z26" s="433">
        <v>43623</v>
      </c>
      <c r="AA26" s="433">
        <v>43734</v>
      </c>
      <c r="AB26" s="431"/>
      <c r="AC26" s="431"/>
      <c r="AD26" s="436">
        <f t="shared" si="0"/>
        <v>554.95000000000005</v>
      </c>
    </row>
    <row r="27" spans="1:30" ht="14">
      <c r="A27" s="431" t="s">
        <v>3219</v>
      </c>
      <c r="B27" s="431" t="s">
        <v>3220</v>
      </c>
      <c r="C27" s="431" t="s">
        <v>129</v>
      </c>
      <c r="D27" s="431" t="s">
        <v>3221</v>
      </c>
      <c r="E27" s="431" t="s">
        <v>3222</v>
      </c>
      <c r="F27" s="431">
        <v>957</v>
      </c>
      <c r="G27" s="431">
        <v>2010</v>
      </c>
      <c r="H27" s="431">
        <v>2025</v>
      </c>
      <c r="I27" s="431" t="b">
        <v>1</v>
      </c>
      <c r="J27" s="431" t="s">
        <v>891</v>
      </c>
      <c r="K27" s="431">
        <v>17850</v>
      </c>
      <c r="L27" s="431"/>
      <c r="M27" s="431"/>
      <c r="N27" s="431"/>
      <c r="O27" s="431" t="b">
        <v>1</v>
      </c>
      <c r="P27" s="431" t="b">
        <v>0</v>
      </c>
      <c r="Q27" s="431" t="s">
        <v>3223</v>
      </c>
      <c r="R27" s="431" t="s">
        <v>3224</v>
      </c>
      <c r="S27" s="431" t="s">
        <v>3225</v>
      </c>
      <c r="T27" s="431" t="s">
        <v>4044</v>
      </c>
      <c r="U27" s="431"/>
      <c r="V27" s="431" t="s">
        <v>3226</v>
      </c>
      <c r="W27" s="432">
        <v>43585.59212760417</v>
      </c>
      <c r="X27" s="432">
        <v>44616.046971087962</v>
      </c>
      <c r="Y27" s="431"/>
      <c r="Z27" s="433">
        <v>39755</v>
      </c>
      <c r="AA27" s="433">
        <v>39976</v>
      </c>
      <c r="AB27" s="433">
        <v>40231</v>
      </c>
      <c r="AC27" s="433">
        <v>40380</v>
      </c>
      <c r="AD27" s="436">
        <f t="shared" si="0"/>
        <v>1190</v>
      </c>
    </row>
    <row r="28" spans="1:30" ht="14">
      <c r="A28" s="431" t="s">
        <v>3219</v>
      </c>
      <c r="B28" s="431" t="s">
        <v>3220</v>
      </c>
      <c r="C28" s="431" t="s">
        <v>129</v>
      </c>
      <c r="D28" s="431" t="s">
        <v>1647</v>
      </c>
      <c r="E28" s="431" t="s">
        <v>3227</v>
      </c>
      <c r="F28" s="431">
        <v>1978</v>
      </c>
      <c r="G28" s="431">
        <v>2019</v>
      </c>
      <c r="H28" s="431">
        <v>2037</v>
      </c>
      <c r="I28" s="431" t="b">
        <v>1</v>
      </c>
      <c r="J28" s="431" t="s">
        <v>891</v>
      </c>
      <c r="K28" s="431">
        <v>44051</v>
      </c>
      <c r="L28" s="431"/>
      <c r="M28" s="431"/>
      <c r="N28" s="431"/>
      <c r="O28" s="431" t="b">
        <v>1</v>
      </c>
      <c r="P28" s="431" t="b">
        <v>0</v>
      </c>
      <c r="Q28" s="431" t="s">
        <v>4045</v>
      </c>
      <c r="R28" s="431"/>
      <c r="S28" s="431"/>
      <c r="T28" s="431" t="s">
        <v>4046</v>
      </c>
      <c r="U28" s="431"/>
      <c r="V28" s="431" t="s">
        <v>4047</v>
      </c>
      <c r="W28" s="432">
        <v>43585.592127233795</v>
      </c>
      <c r="X28" s="432">
        <v>44616.043469398152</v>
      </c>
      <c r="Y28" s="431"/>
      <c r="Z28" s="433">
        <v>44109</v>
      </c>
      <c r="AA28" s="433">
        <v>44550</v>
      </c>
      <c r="AB28" s="431"/>
      <c r="AC28" s="431"/>
      <c r="AD28" s="436">
        <f t="shared" si="0"/>
        <v>2447.2777777777778</v>
      </c>
    </row>
    <row r="29" spans="1:30" ht="14">
      <c r="A29" s="431" t="s">
        <v>1787</v>
      </c>
      <c r="B29" s="431" t="s">
        <v>1788</v>
      </c>
      <c r="C29" s="431" t="s">
        <v>237</v>
      </c>
      <c r="D29" s="431" t="s">
        <v>1789</v>
      </c>
      <c r="E29" s="431" t="s">
        <v>1790</v>
      </c>
      <c r="F29" s="431">
        <v>1841</v>
      </c>
      <c r="G29" s="431">
        <v>2013</v>
      </c>
      <c r="H29" s="431">
        <v>2033</v>
      </c>
      <c r="I29" s="431" t="b">
        <v>1</v>
      </c>
      <c r="J29" s="431" t="s">
        <v>891</v>
      </c>
      <c r="K29" s="431">
        <v>18400</v>
      </c>
      <c r="L29" s="431"/>
      <c r="M29" s="431"/>
      <c r="N29" s="431"/>
      <c r="O29" s="431" t="b">
        <v>1</v>
      </c>
      <c r="P29" s="431" t="b">
        <v>0</v>
      </c>
      <c r="Q29" s="431" t="s">
        <v>4048</v>
      </c>
      <c r="R29" s="431" t="s">
        <v>1791</v>
      </c>
      <c r="S29" s="431" t="s">
        <v>4049</v>
      </c>
      <c r="T29" s="431"/>
      <c r="U29" s="431" t="s">
        <v>1763</v>
      </c>
      <c r="V29" s="431" t="s">
        <v>4050</v>
      </c>
      <c r="W29" s="432">
        <v>43585.592135810184</v>
      </c>
      <c r="X29" s="432">
        <v>44616.043499652777</v>
      </c>
      <c r="Y29" s="431"/>
      <c r="Z29" s="433">
        <v>42902</v>
      </c>
      <c r="AA29" s="433">
        <v>43017</v>
      </c>
      <c r="AB29" s="433">
        <v>44175</v>
      </c>
      <c r="AC29" s="433">
        <v>44228</v>
      </c>
      <c r="AD29" s="436">
        <f t="shared" si="0"/>
        <v>920</v>
      </c>
    </row>
    <row r="30" spans="1:30" ht="14">
      <c r="A30" s="431" t="s">
        <v>3247</v>
      </c>
      <c r="B30" s="431" t="s">
        <v>3248</v>
      </c>
      <c r="C30" s="431" t="s">
        <v>177</v>
      </c>
      <c r="D30" s="431" t="s">
        <v>931</v>
      </c>
      <c r="E30" s="431" t="s">
        <v>3249</v>
      </c>
      <c r="F30" s="431">
        <v>1011</v>
      </c>
      <c r="G30" s="431">
        <v>2007</v>
      </c>
      <c r="H30" s="431">
        <v>2026</v>
      </c>
      <c r="I30" s="431" t="b">
        <v>1</v>
      </c>
      <c r="J30" s="431" t="s">
        <v>891</v>
      </c>
      <c r="K30" s="431">
        <v>20970</v>
      </c>
      <c r="L30" s="431"/>
      <c r="M30" s="431"/>
      <c r="N30" s="431"/>
      <c r="O30" s="431" t="b">
        <v>1</v>
      </c>
      <c r="P30" s="431" t="b">
        <v>0</v>
      </c>
      <c r="Q30" s="431" t="s">
        <v>3250</v>
      </c>
      <c r="R30" s="431" t="s">
        <v>3251</v>
      </c>
      <c r="S30" s="431" t="s">
        <v>3252</v>
      </c>
      <c r="T30" s="431" t="s">
        <v>4051</v>
      </c>
      <c r="U30" s="431" t="s">
        <v>3253</v>
      </c>
      <c r="V30" s="431" t="s">
        <v>3254</v>
      </c>
      <c r="W30" s="432">
        <v>43585.592122557871</v>
      </c>
      <c r="X30" s="432">
        <v>44616.041959710645</v>
      </c>
      <c r="Y30" s="431"/>
      <c r="Z30" s="433">
        <v>39966</v>
      </c>
      <c r="AA30" s="433">
        <v>40086</v>
      </c>
      <c r="AB30" s="433">
        <v>40284</v>
      </c>
      <c r="AC30" s="433">
        <v>40371</v>
      </c>
      <c r="AD30" s="436">
        <f t="shared" si="0"/>
        <v>1103.6842105263158</v>
      </c>
    </row>
    <row r="31" spans="1:30" ht="14">
      <c r="A31" s="431" t="s">
        <v>3247</v>
      </c>
      <c r="B31" s="431" t="s">
        <v>3248</v>
      </c>
      <c r="C31" s="431" t="s">
        <v>177</v>
      </c>
      <c r="D31" s="431" t="s">
        <v>2536</v>
      </c>
      <c r="E31" s="431" t="s">
        <v>3255</v>
      </c>
      <c r="F31" s="431">
        <v>2049</v>
      </c>
      <c r="G31" s="431">
        <v>2019</v>
      </c>
      <c r="H31" s="431">
        <v>2041</v>
      </c>
      <c r="I31" s="431" t="b">
        <v>1</v>
      </c>
      <c r="J31" s="431" t="s">
        <v>891</v>
      </c>
      <c r="K31" s="431">
        <v>46018</v>
      </c>
      <c r="L31" s="431"/>
      <c r="M31" s="431"/>
      <c r="N31" s="431"/>
      <c r="O31" s="431" t="b">
        <v>1</v>
      </c>
      <c r="P31" s="431" t="b">
        <v>0</v>
      </c>
      <c r="Q31" s="431" t="s">
        <v>4052</v>
      </c>
      <c r="R31" s="431" t="s">
        <v>3256</v>
      </c>
      <c r="S31" s="431" t="s">
        <v>4053</v>
      </c>
      <c r="T31" s="431"/>
      <c r="U31" s="431" t="s">
        <v>4054</v>
      </c>
      <c r="V31" s="431" t="s">
        <v>4055</v>
      </c>
      <c r="W31" s="432">
        <v>43775.590762395834</v>
      </c>
      <c r="X31" s="432">
        <v>44616.043785023146</v>
      </c>
      <c r="Y31" s="431"/>
      <c r="Z31" s="433">
        <v>43762</v>
      </c>
      <c r="AA31" s="433">
        <v>43907</v>
      </c>
      <c r="AB31" s="433">
        <v>44578</v>
      </c>
      <c r="AC31" s="431"/>
      <c r="AD31" s="436">
        <f t="shared" si="0"/>
        <v>2091.7272727272725</v>
      </c>
    </row>
    <row r="32" spans="1:30" ht="14">
      <c r="A32" s="431" t="s">
        <v>1348</v>
      </c>
      <c r="B32" s="431" t="s">
        <v>1349</v>
      </c>
      <c r="C32" s="431" t="s">
        <v>225</v>
      </c>
      <c r="D32" s="431" t="s">
        <v>1350</v>
      </c>
      <c r="E32" s="431" t="s">
        <v>1351</v>
      </c>
      <c r="F32" s="431">
        <v>1551</v>
      </c>
      <c r="G32" s="431">
        <v>2010</v>
      </c>
      <c r="H32" s="431">
        <v>2030</v>
      </c>
      <c r="I32" s="431" t="b">
        <v>1</v>
      </c>
      <c r="J32" s="431" t="s">
        <v>891</v>
      </c>
      <c r="K32" s="431">
        <v>36000</v>
      </c>
      <c r="L32" s="431"/>
      <c r="M32" s="431"/>
      <c r="N32" s="431"/>
      <c r="O32" s="431" t="b">
        <v>1</v>
      </c>
      <c r="P32" s="431" t="b">
        <v>0</v>
      </c>
      <c r="Q32" s="431" t="s">
        <v>1352</v>
      </c>
      <c r="R32" s="431" t="s">
        <v>1353</v>
      </c>
      <c r="S32" s="431" t="s">
        <v>1354</v>
      </c>
      <c r="T32" s="431"/>
      <c r="U32" s="431"/>
      <c r="V32" s="431" t="s">
        <v>1355</v>
      </c>
      <c r="W32" s="432">
        <v>43585.592117974535</v>
      </c>
      <c r="X32" s="432">
        <v>44616.043897164353</v>
      </c>
      <c r="Y32" s="431"/>
      <c r="Z32" s="433">
        <v>41712</v>
      </c>
      <c r="AA32" s="433">
        <v>41778</v>
      </c>
      <c r="AB32" s="433">
        <v>42906</v>
      </c>
      <c r="AC32" s="433">
        <v>42943</v>
      </c>
      <c r="AD32" s="436">
        <f t="shared" si="0"/>
        <v>1800</v>
      </c>
    </row>
    <row r="33" spans="1:30" ht="14">
      <c r="A33" s="431" t="s">
        <v>3759</v>
      </c>
      <c r="B33" s="431" t="s">
        <v>3760</v>
      </c>
      <c r="C33" s="431" t="s">
        <v>262</v>
      </c>
      <c r="D33" s="431" t="s">
        <v>3761</v>
      </c>
      <c r="E33" s="431" t="s">
        <v>3762</v>
      </c>
      <c r="F33" s="431">
        <v>803</v>
      </c>
      <c r="G33" s="431">
        <v>2011</v>
      </c>
      <c r="H33" s="431">
        <v>2029</v>
      </c>
      <c r="I33" s="431" t="b">
        <v>1</v>
      </c>
      <c r="J33" s="431" t="s">
        <v>891</v>
      </c>
      <c r="K33" s="431">
        <v>12730</v>
      </c>
      <c r="L33" s="431"/>
      <c r="M33" s="431"/>
      <c r="N33" s="431"/>
      <c r="O33" s="431" t="b">
        <v>1</v>
      </c>
      <c r="P33" s="431" t="b">
        <v>1</v>
      </c>
      <c r="Q33" s="431" t="s">
        <v>3763</v>
      </c>
      <c r="R33" s="431"/>
      <c r="S33" s="431"/>
      <c r="T33" s="431" t="s">
        <v>3764</v>
      </c>
      <c r="U33" s="431"/>
      <c r="V33" s="431" t="s">
        <v>3765</v>
      </c>
      <c r="W33" s="432">
        <v>43585.592135486113</v>
      </c>
      <c r="X33" s="432">
        <v>44616.042630821757</v>
      </c>
      <c r="Y33" s="431"/>
      <c r="Z33" s="433">
        <v>40591</v>
      </c>
      <c r="AA33" s="433">
        <v>41274</v>
      </c>
      <c r="AB33" s="433">
        <v>41914</v>
      </c>
      <c r="AC33" s="433">
        <v>41988</v>
      </c>
      <c r="AD33" s="436">
        <f t="shared" si="0"/>
        <v>707.22222222222217</v>
      </c>
    </row>
    <row r="34" spans="1:30" ht="14">
      <c r="A34" s="431" t="s">
        <v>3759</v>
      </c>
      <c r="B34" s="431" t="s">
        <v>3760</v>
      </c>
      <c r="C34" s="431" t="s">
        <v>262</v>
      </c>
      <c r="D34" s="431" t="s">
        <v>3766</v>
      </c>
      <c r="E34" s="431" t="s">
        <v>3767</v>
      </c>
      <c r="F34" s="431">
        <v>2086</v>
      </c>
      <c r="G34" s="431">
        <v>2019</v>
      </c>
      <c r="H34" s="431">
        <v>2041</v>
      </c>
      <c r="I34" s="431" t="b">
        <v>1</v>
      </c>
      <c r="J34" s="431" t="s">
        <v>891</v>
      </c>
      <c r="K34" s="431">
        <v>8184</v>
      </c>
      <c r="L34" s="431"/>
      <c r="M34" s="431"/>
      <c r="N34" s="431"/>
      <c r="O34" s="431" t="b">
        <v>1</v>
      </c>
      <c r="P34" s="431" t="b">
        <v>1</v>
      </c>
      <c r="Q34" s="431" t="s">
        <v>3768</v>
      </c>
      <c r="R34" s="431"/>
      <c r="S34" s="431"/>
      <c r="T34" s="431" t="s">
        <v>3769</v>
      </c>
      <c r="U34" s="431" t="s">
        <v>3770</v>
      </c>
      <c r="V34" s="431" t="s">
        <v>3771</v>
      </c>
      <c r="W34" s="432">
        <v>44146.588348425925</v>
      </c>
      <c r="X34" s="432">
        <v>44616.048069027776</v>
      </c>
      <c r="Y34" s="431"/>
      <c r="Z34" s="431"/>
      <c r="AA34" s="431"/>
      <c r="AB34" s="431"/>
      <c r="AC34" s="431"/>
      <c r="AD34" s="436">
        <f t="shared" si="0"/>
        <v>372</v>
      </c>
    </row>
    <row r="35" spans="1:30" ht="14">
      <c r="A35" s="431" t="s">
        <v>1758</v>
      </c>
      <c r="B35" s="431" t="s">
        <v>1759</v>
      </c>
      <c r="C35" s="431" t="s">
        <v>173</v>
      </c>
      <c r="D35" s="431" t="s">
        <v>1760</v>
      </c>
      <c r="E35" s="431" t="s">
        <v>1761</v>
      </c>
      <c r="F35" s="431">
        <v>1840</v>
      </c>
      <c r="G35" s="431">
        <v>2013</v>
      </c>
      <c r="H35" s="431">
        <v>2033</v>
      </c>
      <c r="I35" s="431" t="b">
        <v>1</v>
      </c>
      <c r="J35" s="431" t="s">
        <v>891</v>
      </c>
      <c r="K35" s="431">
        <v>14320</v>
      </c>
      <c r="L35" s="431"/>
      <c r="M35" s="431"/>
      <c r="N35" s="431"/>
      <c r="O35" s="431" t="b">
        <v>1</v>
      </c>
      <c r="P35" s="431" t="b">
        <v>0</v>
      </c>
      <c r="Q35" s="431" t="s">
        <v>4056</v>
      </c>
      <c r="R35" s="431" t="s">
        <v>1762</v>
      </c>
      <c r="S35" s="431" t="s">
        <v>4057</v>
      </c>
      <c r="T35" s="431" t="s">
        <v>4058</v>
      </c>
      <c r="U35" s="431" t="s">
        <v>1763</v>
      </c>
      <c r="V35" s="431" t="s">
        <v>4059</v>
      </c>
      <c r="W35" s="432">
        <v>43585.592135266204</v>
      </c>
      <c r="X35" s="432">
        <v>44616.04594773148</v>
      </c>
      <c r="Y35" s="431"/>
      <c r="Z35" s="433">
        <v>42902</v>
      </c>
      <c r="AA35" s="433">
        <v>43017</v>
      </c>
      <c r="AB35" s="433">
        <v>44175</v>
      </c>
      <c r="AC35" s="433">
        <v>44249</v>
      </c>
      <c r="AD35" s="436">
        <f t="shared" si="0"/>
        <v>716</v>
      </c>
    </row>
    <row r="36" spans="1:30" ht="14">
      <c r="A36" s="431" t="s">
        <v>3238</v>
      </c>
      <c r="B36" s="431" t="s">
        <v>3239</v>
      </c>
      <c r="C36" s="431" t="s">
        <v>150</v>
      </c>
      <c r="D36" s="431" t="s">
        <v>3240</v>
      </c>
      <c r="E36" s="431" t="s">
        <v>3241</v>
      </c>
      <c r="F36" s="431">
        <v>521</v>
      </c>
      <c r="G36" s="431">
        <v>2011</v>
      </c>
      <c r="H36" s="431">
        <v>2026</v>
      </c>
      <c r="I36" s="431" t="b">
        <v>1</v>
      </c>
      <c r="J36" s="431" t="s">
        <v>907</v>
      </c>
      <c r="K36" s="431">
        <v>335</v>
      </c>
      <c r="L36" s="431"/>
      <c r="M36" s="431"/>
      <c r="N36" s="431"/>
      <c r="O36" s="431" t="b">
        <v>1</v>
      </c>
      <c r="P36" s="431" t="b">
        <v>0</v>
      </c>
      <c r="Q36" s="431" t="s">
        <v>3242</v>
      </c>
      <c r="R36" s="431" t="s">
        <v>3243</v>
      </c>
      <c r="S36" s="431" t="s">
        <v>3244</v>
      </c>
      <c r="T36" s="431" t="s">
        <v>3245</v>
      </c>
      <c r="U36" s="431"/>
      <c r="V36" s="431" t="s">
        <v>3246</v>
      </c>
      <c r="W36" s="432">
        <v>43585.592127025462</v>
      </c>
      <c r="X36" s="432">
        <v>44616.047959618052</v>
      </c>
      <c r="Y36" s="431"/>
      <c r="Z36" s="433">
        <v>40492</v>
      </c>
      <c r="AA36" s="433">
        <v>40676</v>
      </c>
      <c r="AB36" s="433">
        <v>40841</v>
      </c>
      <c r="AC36" s="433">
        <v>40961</v>
      </c>
      <c r="AD36" s="436">
        <f>IF(AND(N36&lt;&gt;"",P36=TRUE,J36="HOUSING_REQUIREMENT_TOTAL"),N36/(H36-G36),IF(J36="HOUSING_REQUIREMENT_TOTAL",K36/(H36-G36),IF(J36="HOUSING_REQUIREMENT_RANGE",L36/(H36-G36),IF(J36="HOUSING_REQUIREMENT_YEARLY_AVERAGE",K36,IF(J36="HOUSING_REQUIREMENT_YEARLY_RANGE",L36,"")))))</f>
        <v>335</v>
      </c>
    </row>
    <row r="37" spans="1:30" ht="14">
      <c r="A37" s="431" t="s">
        <v>3238</v>
      </c>
      <c r="B37" s="431" t="s">
        <v>3239</v>
      </c>
      <c r="C37" s="431" t="s">
        <v>150</v>
      </c>
      <c r="D37" s="431" t="s">
        <v>4060</v>
      </c>
      <c r="E37" s="431" t="s">
        <v>4061</v>
      </c>
      <c r="F37" s="431">
        <v>2019</v>
      </c>
      <c r="G37" s="431">
        <v>2021</v>
      </c>
      <c r="H37" s="431">
        <v>2038</v>
      </c>
      <c r="I37" s="431" t="b">
        <v>1</v>
      </c>
      <c r="J37" s="431" t="s">
        <v>891</v>
      </c>
      <c r="K37" s="431">
        <v>12330</v>
      </c>
      <c r="L37" s="431"/>
      <c r="M37" s="431"/>
      <c r="N37" s="431"/>
      <c r="O37" s="431" t="b">
        <v>1</v>
      </c>
      <c r="P37" s="431" t="b">
        <v>0</v>
      </c>
      <c r="Q37" s="431" t="s">
        <v>4062</v>
      </c>
      <c r="R37" s="431" t="s">
        <v>4063</v>
      </c>
      <c r="S37" s="431" t="s">
        <v>4064</v>
      </c>
      <c r="T37" s="431" t="s">
        <v>4065</v>
      </c>
      <c r="U37" s="431" t="s">
        <v>4066</v>
      </c>
      <c r="V37" s="431" t="s">
        <v>4067</v>
      </c>
      <c r="W37" s="432">
        <v>44159.442775023148</v>
      </c>
      <c r="X37" s="432">
        <v>44616.047070613429</v>
      </c>
      <c r="Y37" s="431"/>
      <c r="Z37" s="433">
        <v>44344</v>
      </c>
      <c r="AA37" s="433">
        <v>44530</v>
      </c>
      <c r="AB37" s="431"/>
      <c r="AC37" s="431"/>
      <c r="AD37" s="436">
        <f t="shared" si="0"/>
        <v>725.29411764705878</v>
      </c>
    </row>
    <row r="38" spans="1:30" ht="14">
      <c r="A38" s="431" t="s">
        <v>3126</v>
      </c>
      <c r="B38" s="431" t="s">
        <v>801</v>
      </c>
      <c r="C38" s="431" t="s">
        <v>152</v>
      </c>
      <c r="D38" s="431" t="s">
        <v>3127</v>
      </c>
      <c r="E38" s="431" t="s">
        <v>3128</v>
      </c>
      <c r="F38" s="431">
        <v>1526</v>
      </c>
      <c r="G38" s="431">
        <v>2011</v>
      </c>
      <c r="H38" s="431">
        <v>2031</v>
      </c>
      <c r="I38" s="431" t="b">
        <v>1</v>
      </c>
      <c r="J38" s="431" t="s">
        <v>891</v>
      </c>
      <c r="K38" s="431">
        <v>51100</v>
      </c>
      <c r="L38" s="431"/>
      <c r="M38" s="431"/>
      <c r="N38" s="431"/>
      <c r="O38" s="431" t="b">
        <v>1</v>
      </c>
      <c r="P38" s="431" t="b">
        <v>0</v>
      </c>
      <c r="Q38" s="431" t="s">
        <v>3129</v>
      </c>
      <c r="R38" s="431" t="s">
        <v>3130</v>
      </c>
      <c r="S38" s="431" t="s">
        <v>3131</v>
      </c>
      <c r="T38" s="431"/>
      <c r="U38" s="431" t="s">
        <v>3132</v>
      </c>
      <c r="V38" s="431" t="s">
        <v>3133</v>
      </c>
      <c r="W38" s="432">
        <v>43585.592109976853</v>
      </c>
      <c r="X38" s="432">
        <v>44616.043938564813</v>
      </c>
      <c r="Y38" s="431"/>
      <c r="Z38" s="433">
        <v>41645</v>
      </c>
      <c r="AA38" s="433">
        <v>41821</v>
      </c>
      <c r="AB38" s="433">
        <v>42440</v>
      </c>
      <c r="AC38" s="433">
        <v>42745</v>
      </c>
      <c r="AD38" s="436">
        <f t="shared" si="0"/>
        <v>2555</v>
      </c>
    </row>
    <row r="39" spans="1:30" ht="14">
      <c r="A39" s="431" t="s">
        <v>2815</v>
      </c>
      <c r="B39" s="431" t="s">
        <v>2816</v>
      </c>
      <c r="C39" s="431" t="s">
        <v>120</v>
      </c>
      <c r="D39" s="431" t="s">
        <v>2817</v>
      </c>
      <c r="E39" s="431" t="s">
        <v>2818</v>
      </c>
      <c r="F39" s="431">
        <v>1089</v>
      </c>
      <c r="G39" s="431">
        <v>2011</v>
      </c>
      <c r="H39" s="431">
        <v>2031</v>
      </c>
      <c r="I39" s="431" t="b">
        <v>1</v>
      </c>
      <c r="J39" s="431" t="s">
        <v>891</v>
      </c>
      <c r="K39" s="431">
        <v>20000</v>
      </c>
      <c r="L39" s="431"/>
      <c r="M39" s="431"/>
      <c r="N39" s="431"/>
      <c r="O39" s="431" t="b">
        <v>1</v>
      </c>
      <c r="P39" s="431" t="b">
        <v>0</v>
      </c>
      <c r="Q39" s="431" t="s">
        <v>2819</v>
      </c>
      <c r="R39" s="431" t="s">
        <v>2820</v>
      </c>
      <c r="S39" s="431" t="s">
        <v>2821</v>
      </c>
      <c r="T39" s="431"/>
      <c r="U39" s="431" t="s">
        <v>4068</v>
      </c>
      <c r="V39" s="431" t="s">
        <v>2822</v>
      </c>
      <c r="W39" s="432">
        <v>43585.592108807868</v>
      </c>
      <c r="X39" s="432">
        <v>44616.043113148145</v>
      </c>
      <c r="Y39" s="431"/>
      <c r="Z39" s="433">
        <v>41942</v>
      </c>
      <c r="AA39" s="433">
        <v>42034</v>
      </c>
      <c r="AB39" s="433">
        <v>43285</v>
      </c>
      <c r="AC39" s="433">
        <v>43299</v>
      </c>
      <c r="AD39" s="436">
        <f t="shared" si="0"/>
        <v>1000</v>
      </c>
    </row>
    <row r="40" spans="1:30" ht="14">
      <c r="A40" s="431" t="s">
        <v>2311</v>
      </c>
      <c r="B40" s="431" t="s">
        <v>2312</v>
      </c>
      <c r="C40" s="431" t="s">
        <v>175</v>
      </c>
      <c r="D40" s="431" t="s">
        <v>2313</v>
      </c>
      <c r="E40" s="431" t="s">
        <v>2314</v>
      </c>
      <c r="F40" s="431">
        <v>1836</v>
      </c>
      <c r="G40" s="431">
        <v>2011</v>
      </c>
      <c r="H40" s="431">
        <v>2036</v>
      </c>
      <c r="I40" s="431" t="b">
        <v>1</v>
      </c>
      <c r="J40" s="431" t="s">
        <v>891</v>
      </c>
      <c r="K40" s="431">
        <v>15298</v>
      </c>
      <c r="L40" s="431"/>
      <c r="M40" s="431"/>
      <c r="N40" s="431"/>
      <c r="O40" s="431" t="b">
        <v>1</v>
      </c>
      <c r="P40" s="431" t="b">
        <v>0</v>
      </c>
      <c r="Q40" s="431" t="s">
        <v>2315</v>
      </c>
      <c r="R40" s="431" t="s">
        <v>2316</v>
      </c>
      <c r="S40" s="431" t="s">
        <v>2317</v>
      </c>
      <c r="T40" s="431" t="s">
        <v>2318</v>
      </c>
      <c r="U40" s="431"/>
      <c r="V40" s="431" t="s">
        <v>2319</v>
      </c>
      <c r="W40" s="432">
        <v>43585.592111597223</v>
      </c>
      <c r="X40" s="432">
        <v>44616.048589525461</v>
      </c>
      <c r="Y40" s="431"/>
      <c r="Z40" s="433">
        <v>42968</v>
      </c>
      <c r="AA40" s="433">
        <v>43069</v>
      </c>
      <c r="AB40" s="433">
        <v>43763</v>
      </c>
      <c r="AC40" s="433">
        <v>43797</v>
      </c>
      <c r="AD40" s="436">
        <f t="shared" si="0"/>
        <v>611.91999999999996</v>
      </c>
    </row>
    <row r="41" spans="1:30" ht="14">
      <c r="A41" s="431" t="s">
        <v>2837</v>
      </c>
      <c r="B41" s="431" t="s">
        <v>2838</v>
      </c>
      <c r="C41" s="431" t="s">
        <v>251</v>
      </c>
      <c r="D41" s="431" t="s">
        <v>2839</v>
      </c>
      <c r="E41" s="431" t="s">
        <v>2840</v>
      </c>
      <c r="F41" s="431">
        <v>1608</v>
      </c>
      <c r="G41" s="431">
        <v>2015</v>
      </c>
      <c r="H41" s="431">
        <v>2030</v>
      </c>
      <c r="I41" s="431" t="b">
        <v>1</v>
      </c>
      <c r="J41" s="431" t="s">
        <v>891</v>
      </c>
      <c r="K41" s="431">
        <v>5100</v>
      </c>
      <c r="L41" s="431"/>
      <c r="M41" s="431"/>
      <c r="N41" s="431"/>
      <c r="O41" s="431" t="b">
        <v>1</v>
      </c>
      <c r="P41" s="431" t="b">
        <v>0</v>
      </c>
      <c r="Q41" s="431" t="s">
        <v>2841</v>
      </c>
      <c r="R41" s="431"/>
      <c r="S41" s="431"/>
      <c r="T41" s="431" t="s">
        <v>2842</v>
      </c>
      <c r="U41" s="431" t="s">
        <v>4069</v>
      </c>
      <c r="V41" s="431" t="s">
        <v>2843</v>
      </c>
      <c r="W41" s="432">
        <v>43585.592124490744</v>
      </c>
      <c r="X41" s="432">
        <v>44616.046239895833</v>
      </c>
      <c r="Y41" s="431"/>
      <c r="Z41" s="433">
        <v>41883</v>
      </c>
      <c r="AA41" s="433">
        <v>41969</v>
      </c>
      <c r="AB41" s="433">
        <v>42310</v>
      </c>
      <c r="AC41" s="433">
        <v>42354</v>
      </c>
      <c r="AD41" s="436">
        <f t="shared" si="0"/>
        <v>340</v>
      </c>
    </row>
    <row r="42" spans="1:30" ht="14">
      <c r="A42" s="431" t="s">
        <v>2837</v>
      </c>
      <c r="B42" s="431" t="s">
        <v>2838</v>
      </c>
      <c r="C42" s="431" t="s">
        <v>251</v>
      </c>
      <c r="D42" s="431" t="s">
        <v>4070</v>
      </c>
      <c r="E42" s="431" t="s">
        <v>2844</v>
      </c>
      <c r="F42" s="431">
        <v>2211</v>
      </c>
      <c r="G42" s="431">
        <v>2021</v>
      </c>
      <c r="H42" s="431">
        <v>2037</v>
      </c>
      <c r="I42" s="431" t="b">
        <v>1</v>
      </c>
      <c r="J42" s="431" t="s">
        <v>891</v>
      </c>
      <c r="K42" s="431">
        <v>5320</v>
      </c>
      <c r="L42" s="431"/>
      <c r="M42" s="431"/>
      <c r="N42" s="431"/>
      <c r="O42" s="431" t="b">
        <v>1</v>
      </c>
      <c r="P42" s="431" t="b">
        <v>0</v>
      </c>
      <c r="Q42" s="431" t="s">
        <v>4071</v>
      </c>
      <c r="R42" s="431" t="s">
        <v>2845</v>
      </c>
      <c r="S42" s="431" t="s">
        <v>4072</v>
      </c>
      <c r="T42" s="431"/>
      <c r="U42" s="431" t="s">
        <v>4073</v>
      </c>
      <c r="V42" s="431" t="s">
        <v>4074</v>
      </c>
      <c r="W42" s="432">
        <v>43984.576298194443</v>
      </c>
      <c r="X42" s="432">
        <v>44616.044079178238</v>
      </c>
      <c r="Y42" s="431"/>
      <c r="Z42" s="433">
        <v>44202</v>
      </c>
      <c r="AA42" s="431"/>
      <c r="AB42" s="431"/>
      <c r="AC42" s="431"/>
      <c r="AD42" s="436">
        <f t="shared" si="0"/>
        <v>332.5</v>
      </c>
    </row>
    <row r="43" spans="1:30" ht="14">
      <c r="A43" s="431" t="s">
        <v>1521</v>
      </c>
      <c r="B43" s="431" t="s">
        <v>1522</v>
      </c>
      <c r="C43" s="431" t="s">
        <v>211</v>
      </c>
      <c r="D43" s="431" t="s">
        <v>1523</v>
      </c>
      <c r="E43" s="431" t="s">
        <v>1524</v>
      </c>
      <c r="F43" s="431">
        <v>1657</v>
      </c>
      <c r="G43" s="431">
        <v>2013</v>
      </c>
      <c r="H43" s="431">
        <v>2030</v>
      </c>
      <c r="I43" s="431" t="b">
        <v>1</v>
      </c>
      <c r="J43" s="431" t="s">
        <v>891</v>
      </c>
      <c r="K43" s="431">
        <v>9606</v>
      </c>
      <c r="L43" s="431"/>
      <c r="M43" s="431"/>
      <c r="N43" s="431"/>
      <c r="O43" s="431" t="b">
        <v>1</v>
      </c>
      <c r="P43" s="431" t="b">
        <v>0</v>
      </c>
      <c r="Q43" s="431" t="s">
        <v>1525</v>
      </c>
      <c r="R43" s="431" t="s">
        <v>1526</v>
      </c>
      <c r="S43" s="431" t="s">
        <v>1527</v>
      </c>
      <c r="T43" s="431" t="s">
        <v>4075</v>
      </c>
      <c r="U43" s="431"/>
      <c r="V43" s="431" t="s">
        <v>1528</v>
      </c>
      <c r="W43" s="432">
        <v>43585.592118159722</v>
      </c>
      <c r="X43" s="432">
        <v>44616.043105312499</v>
      </c>
      <c r="Y43" s="431"/>
      <c r="Z43" s="433">
        <v>42067</v>
      </c>
      <c r="AA43" s="433">
        <v>42174</v>
      </c>
      <c r="AB43" s="433">
        <v>42576</v>
      </c>
      <c r="AC43" s="433">
        <v>42682</v>
      </c>
      <c r="AD43" s="436">
        <f t="shared" si="0"/>
        <v>565.05882352941171</v>
      </c>
    </row>
    <row r="44" spans="1:30" ht="14">
      <c r="A44" s="431" t="s">
        <v>1984</v>
      </c>
      <c r="B44" s="431" t="s">
        <v>1985</v>
      </c>
      <c r="C44" s="431" t="s">
        <v>255</v>
      </c>
      <c r="D44" s="431" t="s">
        <v>1986</v>
      </c>
      <c r="E44" s="431" t="s">
        <v>1987</v>
      </c>
      <c r="F44" s="431">
        <v>1067</v>
      </c>
      <c r="G44" s="431">
        <v>2006</v>
      </c>
      <c r="H44" s="431">
        <v>2031</v>
      </c>
      <c r="I44" s="431" t="b">
        <v>1</v>
      </c>
      <c r="J44" s="431" t="s">
        <v>907</v>
      </c>
      <c r="K44" s="431">
        <v>430</v>
      </c>
      <c r="L44" s="431"/>
      <c r="M44" s="431"/>
      <c r="N44" s="431"/>
      <c r="O44" s="431" t="b">
        <v>1</v>
      </c>
      <c r="P44" s="431" t="b">
        <v>0</v>
      </c>
      <c r="Q44" s="431" t="s">
        <v>1988</v>
      </c>
      <c r="R44" s="431" t="s">
        <v>1989</v>
      </c>
      <c r="S44" s="431" t="s">
        <v>1990</v>
      </c>
      <c r="T44" s="431"/>
      <c r="U44" s="431"/>
      <c r="V44" s="431" t="s">
        <v>1991</v>
      </c>
      <c r="W44" s="432">
        <v>43585.59211972222</v>
      </c>
      <c r="X44" s="432">
        <v>44616.041928206017</v>
      </c>
      <c r="Y44" s="431"/>
      <c r="Z44" s="433">
        <v>40842</v>
      </c>
      <c r="AA44" s="433">
        <v>41082</v>
      </c>
      <c r="AB44" s="433">
        <v>41464</v>
      </c>
      <c r="AC44" s="433">
        <v>41542</v>
      </c>
      <c r="AD44" s="436">
        <f t="shared" si="0"/>
        <v>430</v>
      </c>
    </row>
    <row r="45" spans="1:30" ht="14">
      <c r="A45" s="431" t="s">
        <v>1984</v>
      </c>
      <c r="B45" s="431" t="s">
        <v>1985</v>
      </c>
      <c r="C45" s="431" t="s">
        <v>255</v>
      </c>
      <c r="D45" s="431" t="s">
        <v>4076</v>
      </c>
      <c r="E45" s="431" t="s">
        <v>1992</v>
      </c>
      <c r="F45" s="431">
        <v>2133</v>
      </c>
      <c r="G45" s="431">
        <v>2020</v>
      </c>
      <c r="H45" s="431">
        <v>2038</v>
      </c>
      <c r="I45" s="431" t="b">
        <v>1</v>
      </c>
      <c r="J45" s="431" t="s">
        <v>891</v>
      </c>
      <c r="K45" s="431">
        <v>16596</v>
      </c>
      <c r="L45" s="431"/>
      <c r="M45" s="431"/>
      <c r="N45" s="431"/>
      <c r="O45" s="431" t="b">
        <v>1</v>
      </c>
      <c r="P45" s="431" t="b">
        <v>0</v>
      </c>
      <c r="Q45" s="431" t="s">
        <v>4077</v>
      </c>
      <c r="R45" s="431" t="s">
        <v>1993</v>
      </c>
      <c r="S45" s="431" t="s">
        <v>4078</v>
      </c>
      <c r="T45" s="431"/>
      <c r="U45" s="431" t="s">
        <v>4079</v>
      </c>
      <c r="V45" s="431" t="s">
        <v>4080</v>
      </c>
      <c r="W45" s="432">
        <v>43585.592120891204</v>
      </c>
      <c r="X45" s="432">
        <v>44616.048779340279</v>
      </c>
      <c r="Y45" s="431"/>
      <c r="Z45" s="431"/>
      <c r="AA45" s="431"/>
      <c r="AB45" s="431"/>
      <c r="AC45" s="431"/>
      <c r="AD45" s="436">
        <f t="shared" si="0"/>
        <v>922</v>
      </c>
    </row>
    <row r="46" spans="1:30" ht="14">
      <c r="A46" s="431" t="s">
        <v>2227</v>
      </c>
      <c r="B46" s="431" t="s">
        <v>2228</v>
      </c>
      <c r="C46" s="431" t="s">
        <v>155</v>
      </c>
      <c r="D46" s="431" t="s">
        <v>2229</v>
      </c>
      <c r="E46" s="431" t="s">
        <v>2230</v>
      </c>
      <c r="F46" s="431">
        <v>1274</v>
      </c>
      <c r="G46" s="431">
        <v>2006</v>
      </c>
      <c r="H46" s="431">
        <v>2029</v>
      </c>
      <c r="I46" s="431" t="b">
        <v>1</v>
      </c>
      <c r="J46" s="431" t="s">
        <v>891</v>
      </c>
      <c r="K46" s="431">
        <v>8740</v>
      </c>
      <c r="L46" s="431"/>
      <c r="M46" s="431"/>
      <c r="N46" s="431"/>
      <c r="O46" s="431" t="b">
        <v>1</v>
      </c>
      <c r="P46" s="431" t="b">
        <v>0</v>
      </c>
      <c r="Q46" s="431" t="s">
        <v>2231</v>
      </c>
      <c r="R46" s="431" t="s">
        <v>2232</v>
      </c>
      <c r="S46" s="431" t="s">
        <v>2233</v>
      </c>
      <c r="T46" s="431" t="s">
        <v>2234</v>
      </c>
      <c r="U46" s="431"/>
      <c r="V46" s="431" t="s">
        <v>2235</v>
      </c>
      <c r="W46" s="432">
        <v>43585.592111724538</v>
      </c>
      <c r="X46" s="432">
        <v>44616.047301273145</v>
      </c>
      <c r="Y46" s="431"/>
      <c r="Z46" s="433">
        <v>40927</v>
      </c>
      <c r="AA46" s="433">
        <v>41068</v>
      </c>
      <c r="AB46" s="433">
        <v>41317</v>
      </c>
      <c r="AC46" s="433">
        <v>41326</v>
      </c>
      <c r="AD46" s="436">
        <f t="shared" si="0"/>
        <v>380</v>
      </c>
    </row>
    <row r="47" spans="1:30" ht="14">
      <c r="A47" s="431" t="s">
        <v>2227</v>
      </c>
      <c r="B47" s="431" t="s">
        <v>2228</v>
      </c>
      <c r="C47" s="431" t="s">
        <v>155</v>
      </c>
      <c r="D47" s="431" t="s">
        <v>2236</v>
      </c>
      <c r="E47" s="431" t="s">
        <v>2237</v>
      </c>
      <c r="F47" s="431">
        <v>2112</v>
      </c>
      <c r="G47" s="431">
        <v>2022</v>
      </c>
      <c r="H47" s="431">
        <v>2037</v>
      </c>
      <c r="I47" s="431" t="b">
        <v>1</v>
      </c>
      <c r="J47" s="431" t="s">
        <v>907</v>
      </c>
      <c r="K47" s="431">
        <v>380</v>
      </c>
      <c r="L47" s="431"/>
      <c r="M47" s="431"/>
      <c r="N47" s="431"/>
      <c r="O47" s="431" t="b">
        <v>1</v>
      </c>
      <c r="P47" s="431" t="b">
        <v>0</v>
      </c>
      <c r="Q47" s="431" t="s">
        <v>2238</v>
      </c>
      <c r="R47" s="431" t="s">
        <v>2239</v>
      </c>
      <c r="S47" s="431" t="s">
        <v>2240</v>
      </c>
      <c r="T47" s="431"/>
      <c r="U47" s="431" t="s">
        <v>2241</v>
      </c>
      <c r="V47" s="431" t="s">
        <v>2242</v>
      </c>
      <c r="W47" s="432">
        <v>44134.517831643519</v>
      </c>
      <c r="X47" s="432">
        <v>44616.046449872687</v>
      </c>
      <c r="Y47" s="431"/>
      <c r="Z47" s="431"/>
      <c r="AA47" s="431"/>
      <c r="AB47" s="431"/>
      <c r="AC47" s="431"/>
      <c r="AD47" s="436">
        <f t="shared" si="0"/>
        <v>380</v>
      </c>
    </row>
    <row r="48" spans="1:30" ht="14">
      <c r="A48" s="431" t="s">
        <v>1566</v>
      </c>
      <c r="B48" s="431" t="s">
        <v>1567</v>
      </c>
      <c r="C48" s="431" t="s">
        <v>161</v>
      </c>
      <c r="D48" s="431" t="s">
        <v>1568</v>
      </c>
      <c r="E48" s="431" t="s">
        <v>1569</v>
      </c>
      <c r="F48" s="431">
        <v>1910</v>
      </c>
      <c r="G48" s="431">
        <v>2014</v>
      </c>
      <c r="H48" s="431">
        <v>2033</v>
      </c>
      <c r="I48" s="431" t="b">
        <v>1</v>
      </c>
      <c r="J48" s="431" t="s">
        <v>891</v>
      </c>
      <c r="K48" s="431">
        <v>5168</v>
      </c>
      <c r="L48" s="431"/>
      <c r="M48" s="431"/>
      <c r="N48" s="431"/>
      <c r="O48" s="431" t="b">
        <v>1</v>
      </c>
      <c r="P48" s="431" t="b">
        <v>0</v>
      </c>
      <c r="Q48" s="431" t="s">
        <v>1570</v>
      </c>
      <c r="R48" s="431" t="s">
        <v>1571</v>
      </c>
      <c r="S48" s="431" t="s">
        <v>1572</v>
      </c>
      <c r="T48" s="431" t="s">
        <v>1573</v>
      </c>
      <c r="U48" s="431"/>
      <c r="V48" s="431" t="s">
        <v>1574</v>
      </c>
      <c r="W48" s="432">
        <v>43866.456094027781</v>
      </c>
      <c r="X48" s="432">
        <v>44616.046274988425</v>
      </c>
      <c r="Y48" s="431"/>
      <c r="Z48" s="433">
        <v>43222</v>
      </c>
      <c r="AA48" s="433">
        <v>43343</v>
      </c>
      <c r="AB48" s="433">
        <v>43845</v>
      </c>
      <c r="AC48" s="433">
        <v>43894</v>
      </c>
      <c r="AD48" s="436">
        <f t="shared" si="0"/>
        <v>272</v>
      </c>
    </row>
    <row r="49" spans="1:30" ht="14">
      <c r="A49" s="431" t="s">
        <v>1513</v>
      </c>
      <c r="B49" s="431" t="s">
        <v>1514</v>
      </c>
      <c r="C49" s="431" t="s">
        <v>137</v>
      </c>
      <c r="D49" s="431" t="s">
        <v>1515</v>
      </c>
      <c r="E49" s="431" t="s">
        <v>1516</v>
      </c>
      <c r="F49" s="431">
        <v>1781</v>
      </c>
      <c r="G49" s="431">
        <v>2016</v>
      </c>
      <c r="H49" s="431">
        <v>2031</v>
      </c>
      <c r="I49" s="431" t="b">
        <v>1</v>
      </c>
      <c r="J49" s="431" t="s">
        <v>891</v>
      </c>
      <c r="K49" s="431">
        <v>1785</v>
      </c>
      <c r="L49" s="431"/>
      <c r="M49" s="431"/>
      <c r="N49" s="431"/>
      <c r="O49" s="431" t="b">
        <v>1</v>
      </c>
      <c r="P49" s="431" t="b">
        <v>0</v>
      </c>
      <c r="Q49" s="431" t="s">
        <v>1517</v>
      </c>
      <c r="R49" s="431" t="s">
        <v>1518</v>
      </c>
      <c r="S49" s="431" t="s">
        <v>1519</v>
      </c>
      <c r="T49" s="431" t="s">
        <v>4081</v>
      </c>
      <c r="U49" s="431"/>
      <c r="V49" s="431" t="s">
        <v>1520</v>
      </c>
      <c r="W49" s="432">
        <v>43585.592109664351</v>
      </c>
      <c r="X49" s="432">
        <v>44616.047462106479</v>
      </c>
      <c r="Y49" s="431"/>
      <c r="Z49" s="433">
        <v>43077</v>
      </c>
      <c r="AA49" s="433">
        <v>43133</v>
      </c>
      <c r="AB49" s="433">
        <v>43544</v>
      </c>
      <c r="AC49" s="433">
        <v>43620</v>
      </c>
      <c r="AD49" s="436">
        <f t="shared" si="0"/>
        <v>119</v>
      </c>
    </row>
    <row r="50" spans="1:30" ht="14">
      <c r="A50" s="431" t="s">
        <v>2526</v>
      </c>
      <c r="B50" s="431" t="s">
        <v>2527</v>
      </c>
      <c r="C50" s="431" t="s">
        <v>207</v>
      </c>
      <c r="D50" s="431" t="s">
        <v>2528</v>
      </c>
      <c r="E50" s="431" t="s">
        <v>2529</v>
      </c>
      <c r="F50" s="431">
        <v>1416</v>
      </c>
      <c r="G50" s="431">
        <v>2006</v>
      </c>
      <c r="H50" s="431">
        <v>2028</v>
      </c>
      <c r="I50" s="431" t="b">
        <v>1</v>
      </c>
      <c r="J50" s="431" t="s">
        <v>891</v>
      </c>
      <c r="K50" s="431">
        <v>5300</v>
      </c>
      <c r="L50" s="431"/>
      <c r="M50" s="431"/>
      <c r="N50" s="431"/>
      <c r="O50" s="431" t="b">
        <v>1</v>
      </c>
      <c r="P50" s="431" t="b">
        <v>0</v>
      </c>
      <c r="Q50" s="431" t="s">
        <v>2530</v>
      </c>
      <c r="R50" s="431" t="s">
        <v>2531</v>
      </c>
      <c r="S50" s="431" t="s">
        <v>2532</v>
      </c>
      <c r="T50" s="431"/>
      <c r="U50" s="431" t="s">
        <v>4082</v>
      </c>
      <c r="V50" s="431" t="s">
        <v>2533</v>
      </c>
      <c r="W50" s="432">
        <v>43585.592117268519</v>
      </c>
      <c r="X50" s="432">
        <v>44616.042071655094</v>
      </c>
      <c r="Y50" s="431"/>
      <c r="Z50" s="433">
        <v>41319</v>
      </c>
      <c r="AA50" s="433">
        <v>41425</v>
      </c>
      <c r="AB50" s="433">
        <v>41684</v>
      </c>
      <c r="AC50" s="433">
        <v>41801</v>
      </c>
      <c r="AD50" s="436">
        <f t="shared" si="0"/>
        <v>240.90909090909091</v>
      </c>
    </row>
    <row r="51" spans="1:30" ht="14">
      <c r="A51" s="431" t="s">
        <v>2526</v>
      </c>
      <c r="B51" s="431" t="s">
        <v>2527</v>
      </c>
      <c r="C51" s="431" t="s">
        <v>207</v>
      </c>
      <c r="D51" s="431" t="s">
        <v>4083</v>
      </c>
      <c r="E51" s="431" t="s">
        <v>4084</v>
      </c>
      <c r="F51" s="431">
        <v>2047</v>
      </c>
      <c r="G51" s="431">
        <v>2018</v>
      </c>
      <c r="H51" s="431">
        <v>2038</v>
      </c>
      <c r="I51" s="431" t="b">
        <v>1</v>
      </c>
      <c r="J51" s="431" t="s">
        <v>891</v>
      </c>
      <c r="K51" s="431">
        <v>6016</v>
      </c>
      <c r="L51" s="431"/>
      <c r="M51" s="431"/>
      <c r="N51" s="431"/>
      <c r="O51" s="431" t="b">
        <v>1</v>
      </c>
      <c r="P51" s="431" t="b">
        <v>0</v>
      </c>
      <c r="Q51" s="431" t="s">
        <v>4085</v>
      </c>
      <c r="R51" s="431" t="s">
        <v>4086</v>
      </c>
      <c r="S51" s="431" t="s">
        <v>4087</v>
      </c>
      <c r="T51" s="431"/>
      <c r="U51" s="431" t="s">
        <v>4088</v>
      </c>
      <c r="V51" s="431" t="s">
        <v>4089</v>
      </c>
      <c r="W51" s="432">
        <v>44148.677008032406</v>
      </c>
      <c r="X51" s="432">
        <v>44616.048579386574</v>
      </c>
      <c r="Y51" s="431"/>
      <c r="Z51" s="431"/>
      <c r="AA51" s="431"/>
      <c r="AB51" s="431"/>
      <c r="AC51" s="431"/>
      <c r="AD51" s="436">
        <f t="shared" si="0"/>
        <v>300.8</v>
      </c>
    </row>
    <row r="52" spans="1:30" ht="14">
      <c r="A52" s="431" t="s">
        <v>2823</v>
      </c>
      <c r="B52" s="431" t="s">
        <v>2824</v>
      </c>
      <c r="C52" s="431" t="s">
        <v>231</v>
      </c>
      <c r="D52" s="431" t="s">
        <v>2825</v>
      </c>
      <c r="E52" s="431" t="s">
        <v>2826</v>
      </c>
      <c r="F52" s="431">
        <v>1423</v>
      </c>
      <c r="G52" s="431">
        <v>2012</v>
      </c>
      <c r="H52" s="431">
        <v>2029</v>
      </c>
      <c r="I52" s="431" t="b">
        <v>1</v>
      </c>
      <c r="J52" s="431" t="s">
        <v>891</v>
      </c>
      <c r="K52" s="431">
        <v>7388</v>
      </c>
      <c r="L52" s="431"/>
      <c r="M52" s="431"/>
      <c r="N52" s="431"/>
      <c r="O52" s="431" t="b">
        <v>1</v>
      </c>
      <c r="P52" s="431" t="b">
        <v>0</v>
      </c>
      <c r="Q52" s="431" t="s">
        <v>2827</v>
      </c>
      <c r="R52" s="431" t="s">
        <v>2828</v>
      </c>
      <c r="S52" s="431" t="s">
        <v>2829</v>
      </c>
      <c r="T52" s="431" t="s">
        <v>4090</v>
      </c>
      <c r="U52" s="431"/>
      <c r="V52" s="431" t="s">
        <v>2830</v>
      </c>
      <c r="W52" s="432">
        <v>43585.592115995372</v>
      </c>
      <c r="X52" s="432">
        <v>44616.047836516205</v>
      </c>
      <c r="Y52" s="431"/>
      <c r="Z52" s="433">
        <v>41586</v>
      </c>
      <c r="AA52" s="433">
        <v>41787</v>
      </c>
      <c r="AB52" s="433">
        <v>42142</v>
      </c>
      <c r="AC52" s="433">
        <v>42199</v>
      </c>
      <c r="AD52" s="436">
        <f t="shared" si="0"/>
        <v>434.58823529411762</v>
      </c>
    </row>
    <row r="53" spans="1:30" ht="14">
      <c r="A53" s="431" t="s">
        <v>2823</v>
      </c>
      <c r="B53" s="431" t="s">
        <v>2824</v>
      </c>
      <c r="C53" s="431" t="s">
        <v>231</v>
      </c>
      <c r="D53" s="431" t="s">
        <v>2831</v>
      </c>
      <c r="E53" s="431" t="s">
        <v>2832</v>
      </c>
      <c r="F53" s="431">
        <v>2213</v>
      </c>
      <c r="G53" s="431">
        <v>2016</v>
      </c>
      <c r="H53" s="431">
        <v>2035</v>
      </c>
      <c r="I53" s="431" t="b">
        <v>1</v>
      </c>
      <c r="J53" s="431" t="s">
        <v>891</v>
      </c>
      <c r="K53" s="431">
        <v>12350</v>
      </c>
      <c r="L53" s="431"/>
      <c r="M53" s="431"/>
      <c r="N53" s="431"/>
      <c r="O53" s="431" t="b">
        <v>1</v>
      </c>
      <c r="P53" s="431" t="b">
        <v>0</v>
      </c>
      <c r="Q53" s="431" t="s">
        <v>2833</v>
      </c>
      <c r="R53" s="431" t="s">
        <v>2834</v>
      </c>
      <c r="S53" s="431" t="s">
        <v>2835</v>
      </c>
      <c r="T53" s="431" t="s">
        <v>4091</v>
      </c>
      <c r="U53" s="431"/>
      <c r="V53" s="431" t="s">
        <v>2836</v>
      </c>
      <c r="W53" s="432">
        <v>43585.592134155093</v>
      </c>
      <c r="X53" s="432">
        <v>44616.04360459491</v>
      </c>
      <c r="Y53" s="431"/>
      <c r="Z53" s="431"/>
      <c r="AA53" s="431"/>
      <c r="AB53" s="431"/>
      <c r="AC53" s="431"/>
      <c r="AD53" s="436">
        <f t="shared" si="0"/>
        <v>650</v>
      </c>
    </row>
    <row r="54" spans="1:30" ht="14">
      <c r="A54" s="431" t="s">
        <v>1409</v>
      </c>
      <c r="B54" s="431" t="s">
        <v>1410</v>
      </c>
      <c r="C54" s="431" t="s">
        <v>215</v>
      </c>
      <c r="D54" s="431" t="s">
        <v>1411</v>
      </c>
      <c r="E54" s="431" t="s">
        <v>1412</v>
      </c>
      <c r="F54" s="431">
        <v>1887</v>
      </c>
      <c r="G54" s="431">
        <v>2015</v>
      </c>
      <c r="H54" s="431">
        <v>2035</v>
      </c>
      <c r="I54" s="431" t="b">
        <v>1</v>
      </c>
      <c r="J54" s="431" t="s">
        <v>891</v>
      </c>
      <c r="K54" s="431">
        <v>39350</v>
      </c>
      <c r="L54" s="431"/>
      <c r="M54" s="431"/>
      <c r="N54" s="431"/>
      <c r="O54" s="431" t="b">
        <v>1</v>
      </c>
      <c r="P54" s="431" t="b">
        <v>0</v>
      </c>
      <c r="Q54" s="431" t="s">
        <v>4092</v>
      </c>
      <c r="R54" s="431"/>
      <c r="S54" s="431"/>
      <c r="T54" s="431" t="s">
        <v>4093</v>
      </c>
      <c r="U54" s="431" t="s">
        <v>4094</v>
      </c>
      <c r="V54" s="431" t="s">
        <v>4095</v>
      </c>
      <c r="W54" s="432">
        <v>43585.592117789354</v>
      </c>
      <c r="X54" s="432">
        <v>44616.043323611113</v>
      </c>
      <c r="Y54" s="431"/>
      <c r="Z54" s="433">
        <v>43111</v>
      </c>
      <c r="AA54" s="433">
        <v>43220</v>
      </c>
      <c r="AB54" s="433">
        <v>44392</v>
      </c>
      <c r="AC54" s="433">
        <v>44399</v>
      </c>
      <c r="AD54" s="436">
        <f t="shared" si="0"/>
        <v>1967.5</v>
      </c>
    </row>
    <row r="55" spans="1:30" ht="14">
      <c r="A55" s="431" t="s">
        <v>1037</v>
      </c>
      <c r="B55" s="431" t="s">
        <v>833</v>
      </c>
      <c r="C55" s="431" t="s">
        <v>264</v>
      </c>
      <c r="D55" s="431" t="s">
        <v>1038</v>
      </c>
      <c r="E55" s="431" t="s">
        <v>1039</v>
      </c>
      <c r="F55" s="431">
        <v>1693</v>
      </c>
      <c r="G55" s="431">
        <v>2011</v>
      </c>
      <c r="H55" s="431">
        <v>2028</v>
      </c>
      <c r="I55" s="431" t="b">
        <v>1</v>
      </c>
      <c r="J55" s="431" t="s">
        <v>891</v>
      </c>
      <c r="K55" s="431">
        <v>11000</v>
      </c>
      <c r="L55" s="431"/>
      <c r="M55" s="431"/>
      <c r="N55" s="431"/>
      <c r="O55" s="431" t="b">
        <v>1</v>
      </c>
      <c r="P55" s="431" t="b">
        <v>0</v>
      </c>
      <c r="Q55" s="431" t="s">
        <v>1040</v>
      </c>
      <c r="R55" s="431" t="s">
        <v>1041</v>
      </c>
      <c r="S55" s="431" t="s">
        <v>1042</v>
      </c>
      <c r="T55" s="431" t="s">
        <v>4096</v>
      </c>
      <c r="U55" s="431"/>
      <c r="V55" s="431" t="s">
        <v>1043</v>
      </c>
      <c r="W55" s="432">
        <v>43585.592119537039</v>
      </c>
      <c r="X55" s="432">
        <v>44616.046273125001</v>
      </c>
      <c r="Y55" s="431"/>
      <c r="Z55" s="433">
        <v>42242</v>
      </c>
      <c r="AA55" s="433">
        <v>42356</v>
      </c>
      <c r="AB55" s="433">
        <v>42709</v>
      </c>
      <c r="AC55" s="433">
        <v>42760</v>
      </c>
      <c r="AD55" s="436">
        <f t="shared" si="0"/>
        <v>647.05882352941171</v>
      </c>
    </row>
    <row r="56" spans="1:30" ht="14">
      <c r="A56" s="431" t="s">
        <v>2243</v>
      </c>
      <c r="B56" s="431" t="s">
        <v>2244</v>
      </c>
      <c r="C56" s="431" t="s">
        <v>217</v>
      </c>
      <c r="D56" s="431" t="s">
        <v>2245</v>
      </c>
      <c r="E56" s="431" t="s">
        <v>2246</v>
      </c>
      <c r="F56" s="431">
        <v>415</v>
      </c>
      <c r="G56" s="431">
        <v>2011</v>
      </c>
      <c r="H56" s="431">
        <v>2028</v>
      </c>
      <c r="I56" s="431" t="b">
        <v>1</v>
      </c>
      <c r="J56" s="431" t="s">
        <v>891</v>
      </c>
      <c r="K56" s="431">
        <v>13940</v>
      </c>
      <c r="L56" s="431"/>
      <c r="M56" s="431"/>
      <c r="N56" s="431"/>
      <c r="O56" s="431" t="b">
        <v>1</v>
      </c>
      <c r="P56" s="431" t="b">
        <v>0</v>
      </c>
      <c r="Q56" s="431" t="s">
        <v>2247</v>
      </c>
      <c r="R56" s="431" t="s">
        <v>2248</v>
      </c>
      <c r="S56" s="431" t="s">
        <v>2249</v>
      </c>
      <c r="T56" s="431" t="s">
        <v>2250</v>
      </c>
      <c r="U56" s="431"/>
      <c r="V56" s="431" t="s">
        <v>2251</v>
      </c>
      <c r="W56" s="432">
        <v>43585.592115567131</v>
      </c>
      <c r="X56" s="432">
        <v>44616.043725995369</v>
      </c>
      <c r="Y56" s="431"/>
      <c r="Z56" s="433">
        <v>41435</v>
      </c>
      <c r="AA56" s="433">
        <v>41628</v>
      </c>
      <c r="AB56" s="433">
        <v>42268</v>
      </c>
      <c r="AC56" s="433">
        <v>42317</v>
      </c>
      <c r="AD56" s="436">
        <f t="shared" si="0"/>
        <v>820</v>
      </c>
    </row>
    <row r="57" spans="1:30" ht="14">
      <c r="A57" s="431" t="s">
        <v>2243</v>
      </c>
      <c r="B57" s="431" t="s">
        <v>2244</v>
      </c>
      <c r="C57" s="431" t="s">
        <v>217</v>
      </c>
      <c r="D57" s="431" t="s">
        <v>2252</v>
      </c>
      <c r="E57" s="431" t="s">
        <v>2253</v>
      </c>
      <c r="F57" s="431">
        <v>1951</v>
      </c>
      <c r="G57" s="431">
        <v>2021</v>
      </c>
      <c r="H57" s="431">
        <v>2037</v>
      </c>
      <c r="I57" s="431" t="b">
        <v>1</v>
      </c>
      <c r="J57" s="431" t="s">
        <v>891</v>
      </c>
      <c r="K57" s="431">
        <v>17776</v>
      </c>
      <c r="L57" s="431"/>
      <c r="M57" s="431"/>
      <c r="N57" s="431"/>
      <c r="O57" s="431" t="b">
        <v>1</v>
      </c>
      <c r="P57" s="431" t="b">
        <v>0</v>
      </c>
      <c r="Q57" s="431" t="s">
        <v>4097</v>
      </c>
      <c r="R57" s="431" t="s">
        <v>4098</v>
      </c>
      <c r="S57" s="431" t="s">
        <v>4099</v>
      </c>
      <c r="T57" s="431"/>
      <c r="U57" s="431" t="s">
        <v>4100</v>
      </c>
      <c r="V57" s="431" t="s">
        <v>4101</v>
      </c>
      <c r="W57" s="432">
        <v>43585.59213449074</v>
      </c>
      <c r="X57" s="432">
        <v>44616.043904432867</v>
      </c>
      <c r="Y57" s="431"/>
      <c r="Z57" s="433">
        <v>44389</v>
      </c>
      <c r="AA57" s="433">
        <v>44533</v>
      </c>
      <c r="AB57" s="431"/>
      <c r="AC57" s="431"/>
      <c r="AD57" s="436">
        <f t="shared" si="0"/>
        <v>1111</v>
      </c>
    </row>
    <row r="58" spans="1:30" ht="14">
      <c r="A58" s="431" t="s">
        <v>2959</v>
      </c>
      <c r="B58" s="431" t="s">
        <v>2960</v>
      </c>
      <c r="C58" s="431" t="s">
        <v>163</v>
      </c>
      <c r="D58" s="431" t="s">
        <v>2961</v>
      </c>
      <c r="E58" s="431" t="s">
        <v>2962</v>
      </c>
      <c r="F58" s="431">
        <v>1131</v>
      </c>
      <c r="G58" s="431">
        <v>2008</v>
      </c>
      <c r="H58" s="431">
        <v>2026</v>
      </c>
      <c r="I58" s="431" t="b">
        <v>1</v>
      </c>
      <c r="J58" s="431" t="s">
        <v>907</v>
      </c>
      <c r="K58" s="431">
        <v>694</v>
      </c>
      <c r="L58" s="431"/>
      <c r="M58" s="431"/>
      <c r="N58" s="431"/>
      <c r="O58" s="431" t="b">
        <v>1</v>
      </c>
      <c r="P58" s="431" t="b">
        <v>0</v>
      </c>
      <c r="Q58" s="431" t="s">
        <v>2963</v>
      </c>
      <c r="R58" s="431" t="s">
        <v>2964</v>
      </c>
      <c r="S58" s="431" t="s">
        <v>2965</v>
      </c>
      <c r="T58" s="431" t="s">
        <v>4102</v>
      </c>
      <c r="U58" s="431"/>
      <c r="V58" s="431" t="s">
        <v>2966</v>
      </c>
      <c r="W58" s="432">
        <v>43585.592111377315</v>
      </c>
      <c r="X58" s="432">
        <v>44616.043644606485</v>
      </c>
      <c r="Y58" s="431"/>
      <c r="Z58" s="433">
        <v>40196</v>
      </c>
      <c r="AA58" s="433">
        <v>40305</v>
      </c>
      <c r="AB58" s="433">
        <v>40529</v>
      </c>
      <c r="AC58" s="433">
        <v>40604</v>
      </c>
      <c r="AD58" s="436">
        <f t="shared" si="0"/>
        <v>694</v>
      </c>
    </row>
    <row r="59" spans="1:30" ht="14">
      <c r="A59" s="431" t="s">
        <v>2959</v>
      </c>
      <c r="B59" s="431" t="s">
        <v>2960</v>
      </c>
      <c r="C59" s="431" t="s">
        <v>163</v>
      </c>
      <c r="D59" s="431" t="s">
        <v>4103</v>
      </c>
      <c r="E59" s="431" t="s">
        <v>4104</v>
      </c>
      <c r="F59" s="431">
        <v>2175</v>
      </c>
      <c r="G59" s="431">
        <v>2021</v>
      </c>
      <c r="H59" s="431">
        <v>2037</v>
      </c>
      <c r="I59" s="431" t="b">
        <v>1</v>
      </c>
      <c r="J59" s="431" t="s">
        <v>891</v>
      </c>
      <c r="K59" s="431">
        <v>12589</v>
      </c>
      <c r="L59" s="431"/>
      <c r="M59" s="431"/>
      <c r="N59" s="431"/>
      <c r="O59" s="431" t="b">
        <v>1</v>
      </c>
      <c r="P59" s="431" t="b">
        <v>1</v>
      </c>
      <c r="Q59" s="431" t="s">
        <v>4105</v>
      </c>
      <c r="R59" s="431" t="s">
        <v>4106</v>
      </c>
      <c r="S59" s="431" t="s">
        <v>4107</v>
      </c>
      <c r="T59" s="431"/>
      <c r="U59" s="431" t="s">
        <v>4108</v>
      </c>
      <c r="V59" s="431" t="s">
        <v>4109</v>
      </c>
      <c r="W59" s="432">
        <v>44379.364462708334</v>
      </c>
      <c r="X59" s="432">
        <v>44616.048371481484</v>
      </c>
      <c r="Y59" s="431"/>
      <c r="Z59" s="433">
        <v>44417</v>
      </c>
      <c r="AA59" s="431"/>
      <c r="AB59" s="431"/>
      <c r="AC59" s="431"/>
      <c r="AD59" s="436">
        <f t="shared" si="0"/>
        <v>786.8125</v>
      </c>
    </row>
    <row r="60" spans="1:30" ht="14">
      <c r="A60" s="431" t="s">
        <v>1096</v>
      </c>
      <c r="B60" s="431" t="s">
        <v>805</v>
      </c>
      <c r="C60" s="431" t="s">
        <v>183</v>
      </c>
      <c r="D60" s="431" t="s">
        <v>1097</v>
      </c>
      <c r="E60" s="431" t="s">
        <v>1098</v>
      </c>
      <c r="F60" s="431">
        <v>418</v>
      </c>
      <c r="G60" s="431">
        <v>2006</v>
      </c>
      <c r="H60" s="431">
        <v>2026</v>
      </c>
      <c r="I60" s="431" t="b">
        <v>1</v>
      </c>
      <c r="J60" s="431" t="s">
        <v>891</v>
      </c>
      <c r="K60" s="431">
        <v>26400</v>
      </c>
      <c r="L60" s="431"/>
      <c r="M60" s="431"/>
      <c r="N60" s="431"/>
      <c r="O60" s="431" t="b">
        <v>1</v>
      </c>
      <c r="P60" s="431" t="b">
        <v>0</v>
      </c>
      <c r="Q60" s="431" t="s">
        <v>1099</v>
      </c>
      <c r="R60" s="431" t="s">
        <v>1100</v>
      </c>
      <c r="S60" s="431" t="s">
        <v>1101</v>
      </c>
      <c r="T60" s="431" t="s">
        <v>4110</v>
      </c>
      <c r="U60" s="431" t="s">
        <v>1102</v>
      </c>
      <c r="V60" s="431" t="s">
        <v>1103</v>
      </c>
      <c r="W60" s="432">
        <v>43585.592108738427</v>
      </c>
      <c r="X60" s="432">
        <v>44616.044072013887</v>
      </c>
      <c r="Y60" s="431"/>
      <c r="Z60" s="433">
        <v>40144</v>
      </c>
      <c r="AA60" s="433">
        <v>40252</v>
      </c>
      <c r="AB60" s="433">
        <v>40638</v>
      </c>
      <c r="AC60" s="433">
        <v>40715</v>
      </c>
      <c r="AD60" s="436">
        <f t="shared" si="0"/>
        <v>1320</v>
      </c>
    </row>
    <row r="61" spans="1:30" ht="14">
      <c r="A61" s="431" t="s">
        <v>1096</v>
      </c>
      <c r="B61" s="431" t="s">
        <v>805</v>
      </c>
      <c r="C61" s="431" t="s">
        <v>183</v>
      </c>
      <c r="D61" s="431" t="s">
        <v>1104</v>
      </c>
      <c r="E61" s="431" t="s">
        <v>1105</v>
      </c>
      <c r="F61" s="431">
        <v>2037</v>
      </c>
      <c r="G61" s="431">
        <v>2016</v>
      </c>
      <c r="H61" s="431">
        <v>2036</v>
      </c>
      <c r="I61" s="431" t="b">
        <v>1</v>
      </c>
      <c r="J61" s="431" t="s">
        <v>891</v>
      </c>
      <c r="K61" s="431">
        <v>33500</v>
      </c>
      <c r="L61" s="431"/>
      <c r="M61" s="431"/>
      <c r="N61" s="431"/>
      <c r="O61" s="431" t="b">
        <v>1</v>
      </c>
      <c r="P61" s="431" t="b">
        <v>0</v>
      </c>
      <c r="Q61" s="431" t="s">
        <v>1106</v>
      </c>
      <c r="R61" s="431" t="s">
        <v>1107</v>
      </c>
      <c r="S61" s="431" t="s">
        <v>1108</v>
      </c>
      <c r="T61" s="431" t="s">
        <v>4111</v>
      </c>
      <c r="U61" s="431"/>
      <c r="V61" s="431" t="s">
        <v>1109</v>
      </c>
      <c r="W61" s="432">
        <v>43881.534446157406</v>
      </c>
      <c r="X61" s="432">
        <v>44616.048331331018</v>
      </c>
      <c r="Y61" s="431"/>
      <c r="Z61" s="431"/>
      <c r="AA61" s="431"/>
      <c r="AB61" s="431"/>
      <c r="AC61" s="431"/>
      <c r="AD61" s="436">
        <f t="shared" si="0"/>
        <v>1675</v>
      </c>
    </row>
    <row r="62" spans="1:30" ht="14">
      <c r="A62" s="431" t="s">
        <v>1096</v>
      </c>
      <c r="B62" s="431" t="s">
        <v>805</v>
      </c>
      <c r="C62" s="431" t="s">
        <v>183</v>
      </c>
      <c r="D62" s="431" t="s">
        <v>3622</v>
      </c>
      <c r="E62" s="431" t="s">
        <v>3623</v>
      </c>
      <c r="F62" s="431">
        <v>1873</v>
      </c>
      <c r="G62" s="431">
        <v>2016</v>
      </c>
      <c r="H62" s="431">
        <v>2036</v>
      </c>
      <c r="I62" s="431" t="b">
        <v>1</v>
      </c>
      <c r="J62" s="431" t="s">
        <v>891</v>
      </c>
      <c r="K62" s="431">
        <v>33500</v>
      </c>
      <c r="L62" s="431"/>
      <c r="M62" s="431"/>
      <c r="N62" s="431"/>
      <c r="O62" s="431" t="b">
        <v>1</v>
      </c>
      <c r="P62" s="431" t="b">
        <v>1</v>
      </c>
      <c r="Q62" s="431" t="s">
        <v>3624</v>
      </c>
      <c r="R62" s="431"/>
      <c r="S62" s="431"/>
      <c r="T62" s="431" t="s">
        <v>3625</v>
      </c>
      <c r="U62" s="431" t="s">
        <v>3626</v>
      </c>
      <c r="V62" s="431" t="s">
        <v>3627</v>
      </c>
      <c r="W62" s="432">
        <v>43585.592110115744</v>
      </c>
      <c r="X62" s="432">
        <v>44616.048784398146</v>
      </c>
      <c r="Y62" s="431"/>
      <c r="Z62" s="433">
        <v>43061</v>
      </c>
      <c r="AA62" s="433">
        <v>43203</v>
      </c>
      <c r="AB62" s="431"/>
      <c r="AC62" s="431"/>
      <c r="AD62" s="436">
        <f t="shared" si="0"/>
        <v>1675</v>
      </c>
    </row>
    <row r="63" spans="1:30" ht="14">
      <c r="A63" s="431" t="s">
        <v>3671</v>
      </c>
      <c r="B63" s="431" t="s">
        <v>3672</v>
      </c>
      <c r="C63" s="431" t="s">
        <v>221</v>
      </c>
      <c r="D63" s="431" t="s">
        <v>3673</v>
      </c>
      <c r="E63" s="431" t="s">
        <v>3674</v>
      </c>
      <c r="F63" s="431">
        <v>1109</v>
      </c>
      <c r="G63" s="431">
        <v>2011</v>
      </c>
      <c r="H63" s="431">
        <v>2031</v>
      </c>
      <c r="I63" s="431" t="b">
        <v>1</v>
      </c>
      <c r="J63" s="431" t="s">
        <v>891</v>
      </c>
      <c r="K63" s="431">
        <v>10917</v>
      </c>
      <c r="L63" s="431"/>
      <c r="M63" s="431"/>
      <c r="N63" s="431"/>
      <c r="O63" s="431" t="b">
        <v>1</v>
      </c>
      <c r="P63" s="431" t="b">
        <v>1</v>
      </c>
      <c r="Q63" s="431" t="s">
        <v>3675</v>
      </c>
      <c r="R63" s="431"/>
      <c r="S63" s="431"/>
      <c r="T63" s="431" t="s">
        <v>3676</v>
      </c>
      <c r="U63" s="431"/>
      <c r="V63" s="431" t="s">
        <v>3677</v>
      </c>
      <c r="W63" s="432">
        <v>43585.592114988423</v>
      </c>
      <c r="X63" s="432">
        <v>44616.047870532406</v>
      </c>
      <c r="Y63" s="431"/>
      <c r="Z63" s="433">
        <v>41820</v>
      </c>
      <c r="AA63" s="433">
        <v>41963</v>
      </c>
      <c r="AB63" s="433">
        <v>43034</v>
      </c>
      <c r="AC63" s="433">
        <v>43080</v>
      </c>
      <c r="AD63" s="436">
        <f t="shared" si="0"/>
        <v>545.85</v>
      </c>
    </row>
    <row r="64" spans="1:30" ht="14">
      <c r="A64" s="431" t="s">
        <v>3671</v>
      </c>
      <c r="B64" s="431" t="s">
        <v>3672</v>
      </c>
      <c r="C64" s="431" t="s">
        <v>221</v>
      </c>
      <c r="D64" s="431" t="s">
        <v>3678</v>
      </c>
      <c r="E64" s="431" t="s">
        <v>3679</v>
      </c>
      <c r="F64" s="431">
        <v>2142</v>
      </c>
      <c r="G64" s="431">
        <v>2021</v>
      </c>
      <c r="H64" s="431">
        <v>2036</v>
      </c>
      <c r="I64" s="431" t="b">
        <v>1</v>
      </c>
      <c r="J64" s="431" t="s">
        <v>891</v>
      </c>
      <c r="K64" s="431"/>
      <c r="L64" s="431"/>
      <c r="M64" s="431"/>
      <c r="N64" s="431">
        <v>35600</v>
      </c>
      <c r="O64" s="431" t="b">
        <v>1</v>
      </c>
      <c r="P64" s="431" t="b">
        <v>1</v>
      </c>
      <c r="Q64" s="431" t="s">
        <v>3680</v>
      </c>
      <c r="R64" s="431"/>
      <c r="S64" s="431"/>
      <c r="T64" s="431" t="s">
        <v>4112</v>
      </c>
      <c r="U64" s="431"/>
      <c r="V64" s="431" t="s">
        <v>3681</v>
      </c>
      <c r="W64" s="432">
        <v>43585.592134872684</v>
      </c>
      <c r="X64" s="432">
        <v>44616.048271643522</v>
      </c>
      <c r="Y64" s="431"/>
      <c r="Z64" s="431"/>
      <c r="AA64" s="431"/>
      <c r="AB64" s="431"/>
      <c r="AC64" s="431"/>
      <c r="AD64" s="436">
        <f t="shared" si="0"/>
        <v>2373.3333333333335</v>
      </c>
    </row>
    <row r="65" spans="1:30" ht="14">
      <c r="A65" s="431" t="s">
        <v>1226</v>
      </c>
      <c r="B65" s="431" t="s">
        <v>1227</v>
      </c>
      <c r="C65" s="431" t="s">
        <v>169</v>
      </c>
      <c r="D65" s="431" t="s">
        <v>931</v>
      </c>
      <c r="E65" s="431" t="s">
        <v>1228</v>
      </c>
      <c r="F65" s="431">
        <v>381</v>
      </c>
      <c r="G65" s="431">
        <v>2006</v>
      </c>
      <c r="H65" s="431">
        <v>2026</v>
      </c>
      <c r="I65" s="431" t="b">
        <v>1</v>
      </c>
      <c r="J65" s="431" t="s">
        <v>891</v>
      </c>
      <c r="K65" s="431">
        <v>11139</v>
      </c>
      <c r="L65" s="431"/>
      <c r="M65" s="431"/>
      <c r="N65" s="431"/>
      <c r="O65" s="431" t="b">
        <v>1</v>
      </c>
      <c r="P65" s="431" t="b">
        <v>0</v>
      </c>
      <c r="Q65" s="431" t="s">
        <v>1229</v>
      </c>
      <c r="R65" s="431" t="s">
        <v>1230</v>
      </c>
      <c r="S65" s="431" t="s">
        <v>1231</v>
      </c>
      <c r="T65" s="431" t="s">
        <v>4113</v>
      </c>
      <c r="U65" s="431"/>
      <c r="V65" s="431" t="s">
        <v>1232</v>
      </c>
      <c r="W65" s="432">
        <v>43585.59211193287</v>
      </c>
      <c r="X65" s="432">
        <v>44616.046472048612</v>
      </c>
      <c r="Y65" s="431"/>
      <c r="Z65" s="433">
        <v>39031</v>
      </c>
      <c r="AA65" s="433">
        <v>39031</v>
      </c>
      <c r="AB65" s="433">
        <v>39415</v>
      </c>
      <c r="AC65" s="433">
        <v>39485</v>
      </c>
      <c r="AD65" s="436">
        <f t="shared" si="0"/>
        <v>556.95000000000005</v>
      </c>
    </row>
    <row r="66" spans="1:30" ht="14">
      <c r="A66" s="431" t="s">
        <v>1226</v>
      </c>
      <c r="B66" s="431" t="s">
        <v>1227</v>
      </c>
      <c r="C66" s="431" t="s">
        <v>169</v>
      </c>
      <c r="D66" s="431" t="s">
        <v>1233</v>
      </c>
      <c r="E66" s="431" t="s">
        <v>1234</v>
      </c>
      <c r="F66" s="431">
        <v>1954</v>
      </c>
      <c r="G66" s="431">
        <v>2020</v>
      </c>
      <c r="H66" s="431">
        <v>2037</v>
      </c>
      <c r="I66" s="431" t="b">
        <v>1</v>
      </c>
      <c r="J66" s="431" t="s">
        <v>891</v>
      </c>
      <c r="K66" s="431">
        <v>11482</v>
      </c>
      <c r="L66" s="431"/>
      <c r="M66" s="431"/>
      <c r="N66" s="431"/>
      <c r="O66" s="431" t="b">
        <v>1</v>
      </c>
      <c r="P66" s="431" t="b">
        <v>0</v>
      </c>
      <c r="Q66" s="431" t="s">
        <v>4114</v>
      </c>
      <c r="R66" s="431" t="s">
        <v>4115</v>
      </c>
      <c r="S66" s="431" t="s">
        <v>4116</v>
      </c>
      <c r="T66" s="431" t="s">
        <v>4117</v>
      </c>
      <c r="U66" s="431" t="s">
        <v>4118</v>
      </c>
      <c r="V66" s="431" t="s">
        <v>4119</v>
      </c>
      <c r="W66" s="432">
        <v>44134.680628912036</v>
      </c>
      <c r="X66" s="432">
        <v>44616.044030023149</v>
      </c>
      <c r="Y66" s="431"/>
      <c r="Z66" s="433">
        <v>44278</v>
      </c>
      <c r="AA66" s="433">
        <v>44550</v>
      </c>
      <c r="AB66" s="431"/>
      <c r="AC66" s="431"/>
      <c r="AD66" s="436">
        <f t="shared" ref="AD66:AD129" si="1">IF(AND(N66&lt;&gt;"",P66=TRUE,J66="HOUSING_REQUIREMENT_TOTAL"),N66/(H66-G66),IF(J66="HOUSING_REQUIREMENT_TOTAL",K66/(H66-G66),IF(J66="HOUSING_REQUIREMENT_RANGE",L66/(H66-G66),IF(J66="HOUSING_REQUIREMENT_YEARLY_AVERAGE",K66,IF(J66="HOUSING_REQUIREMENT_YEARLY_RANGE",L66,"")))))</f>
        <v>675.41176470588232</v>
      </c>
    </row>
    <row r="67" spans="1:30" ht="14">
      <c r="A67" s="431" t="s">
        <v>1834</v>
      </c>
      <c r="B67" s="431" t="s">
        <v>1835</v>
      </c>
      <c r="C67" s="431" t="s">
        <v>245</v>
      </c>
      <c r="D67" s="431" t="s">
        <v>1836</v>
      </c>
      <c r="E67" s="431" t="s">
        <v>1837</v>
      </c>
      <c r="F67" s="431">
        <v>1773</v>
      </c>
      <c r="G67" s="431">
        <v>2011</v>
      </c>
      <c r="H67" s="431">
        <v>2031</v>
      </c>
      <c r="I67" s="431" t="b">
        <v>1</v>
      </c>
      <c r="J67" s="431" t="s">
        <v>891</v>
      </c>
      <c r="K67" s="431">
        <v>8400</v>
      </c>
      <c r="L67" s="431"/>
      <c r="M67" s="431"/>
      <c r="N67" s="431"/>
      <c r="O67" s="431" t="b">
        <v>1</v>
      </c>
      <c r="P67" s="431" t="b">
        <v>0</v>
      </c>
      <c r="Q67" s="431" t="s">
        <v>1838</v>
      </c>
      <c r="R67" s="431" t="s">
        <v>1839</v>
      </c>
      <c r="S67" s="431" t="s">
        <v>1840</v>
      </c>
      <c r="T67" s="431" t="s">
        <v>1841</v>
      </c>
      <c r="U67" s="431"/>
      <c r="V67" s="431" t="s">
        <v>1842</v>
      </c>
      <c r="W67" s="432">
        <v>43585.592118217595</v>
      </c>
      <c r="X67" s="432">
        <v>44616.043502071756</v>
      </c>
      <c r="Y67" s="431"/>
      <c r="Z67" s="433">
        <v>42548</v>
      </c>
      <c r="AA67" s="433">
        <v>42923</v>
      </c>
      <c r="AB67" s="433">
        <v>43256</v>
      </c>
      <c r="AC67" s="433">
        <v>43315</v>
      </c>
      <c r="AD67" s="436">
        <f t="shared" si="1"/>
        <v>420</v>
      </c>
    </row>
    <row r="68" spans="1:30" ht="14">
      <c r="A68" s="431" t="s">
        <v>1575</v>
      </c>
      <c r="B68" s="431" t="s">
        <v>1576</v>
      </c>
      <c r="C68" s="431" t="s">
        <v>229</v>
      </c>
      <c r="D68" s="431" t="s">
        <v>1577</v>
      </c>
      <c r="E68" s="431" t="s">
        <v>1578</v>
      </c>
      <c r="F68" s="431">
        <v>1925</v>
      </c>
      <c r="G68" s="431">
        <v>2018</v>
      </c>
      <c r="H68" s="431">
        <v>2035</v>
      </c>
      <c r="I68" s="431" t="b">
        <v>1</v>
      </c>
      <c r="J68" s="431" t="s">
        <v>891</v>
      </c>
      <c r="K68" s="431">
        <v>4080</v>
      </c>
      <c r="L68" s="431"/>
      <c r="M68" s="431"/>
      <c r="N68" s="431"/>
      <c r="O68" s="431" t="b">
        <v>1</v>
      </c>
      <c r="P68" s="431" t="b">
        <v>0</v>
      </c>
      <c r="Q68" s="431" t="s">
        <v>1579</v>
      </c>
      <c r="R68" s="431" t="s">
        <v>1580</v>
      </c>
      <c r="S68" s="431" t="s">
        <v>4120</v>
      </c>
      <c r="T68" s="431" t="s">
        <v>4121</v>
      </c>
      <c r="U68" s="431" t="s">
        <v>1581</v>
      </c>
      <c r="V68" s="431" t="s">
        <v>1582</v>
      </c>
      <c r="W68" s="432">
        <v>43585.592124386574</v>
      </c>
      <c r="X68" s="432">
        <v>44616.042134027775</v>
      </c>
      <c r="Y68" s="431"/>
      <c r="Z68" s="433">
        <v>43479</v>
      </c>
      <c r="AA68" s="433">
        <v>43644</v>
      </c>
      <c r="AB68" s="433">
        <v>43978</v>
      </c>
      <c r="AC68" s="433">
        <v>44027</v>
      </c>
      <c r="AD68" s="436">
        <f t="shared" si="1"/>
        <v>240</v>
      </c>
    </row>
    <row r="69" spans="1:30" ht="14">
      <c r="A69" s="431" t="s">
        <v>2412</v>
      </c>
      <c r="B69" s="431" t="s">
        <v>2413</v>
      </c>
      <c r="C69" s="431" t="s">
        <v>143</v>
      </c>
      <c r="D69" s="431" t="s">
        <v>2414</v>
      </c>
      <c r="E69" s="431" t="s">
        <v>2415</v>
      </c>
      <c r="F69" s="431">
        <v>1206</v>
      </c>
      <c r="G69" s="431">
        <v>2006</v>
      </c>
      <c r="H69" s="431">
        <v>2028</v>
      </c>
      <c r="I69" s="431" t="b">
        <v>1</v>
      </c>
      <c r="J69" s="431" t="s">
        <v>891</v>
      </c>
      <c r="K69" s="431">
        <v>7700</v>
      </c>
      <c r="L69" s="431"/>
      <c r="M69" s="431"/>
      <c r="N69" s="431"/>
      <c r="O69" s="431" t="b">
        <v>1</v>
      </c>
      <c r="P69" s="431" t="b">
        <v>0</v>
      </c>
      <c r="Q69" s="431" t="s">
        <v>2416</v>
      </c>
      <c r="R69" s="431" t="s">
        <v>2417</v>
      </c>
      <c r="S69" s="431" t="s">
        <v>2418</v>
      </c>
      <c r="T69" s="431" t="s">
        <v>4122</v>
      </c>
      <c r="U69" s="431"/>
      <c r="V69" s="431" t="s">
        <v>2419</v>
      </c>
      <c r="W69" s="432">
        <v>43585.592110231482</v>
      </c>
      <c r="X69" s="432">
        <v>44616.048280300929</v>
      </c>
      <c r="Y69" s="431"/>
      <c r="Z69" s="433">
        <v>40490</v>
      </c>
      <c r="AA69" s="433">
        <v>40574</v>
      </c>
      <c r="AB69" s="433">
        <v>40861</v>
      </c>
      <c r="AC69" s="433">
        <v>40899</v>
      </c>
      <c r="AD69" s="436">
        <f t="shared" si="1"/>
        <v>350</v>
      </c>
    </row>
    <row r="70" spans="1:30" ht="14">
      <c r="A70" s="431" t="s">
        <v>2412</v>
      </c>
      <c r="B70" s="431" t="s">
        <v>2413</v>
      </c>
      <c r="C70" s="431" t="s">
        <v>143</v>
      </c>
      <c r="D70" s="431" t="s">
        <v>2420</v>
      </c>
      <c r="E70" s="431" t="s">
        <v>2421</v>
      </c>
      <c r="F70" s="431">
        <v>2102</v>
      </c>
      <c r="G70" s="431">
        <v>2020</v>
      </c>
      <c r="H70" s="431">
        <v>2038</v>
      </c>
      <c r="I70" s="431" t="b">
        <v>1</v>
      </c>
      <c r="J70" s="431" t="s">
        <v>891</v>
      </c>
      <c r="K70" s="431">
        <v>10047</v>
      </c>
      <c r="L70" s="431"/>
      <c r="M70" s="431"/>
      <c r="N70" s="431"/>
      <c r="O70" s="431" t="b">
        <v>1</v>
      </c>
      <c r="P70" s="431" t="b">
        <v>0</v>
      </c>
      <c r="Q70" s="431" t="s">
        <v>4123</v>
      </c>
      <c r="R70" s="431" t="s">
        <v>4124</v>
      </c>
      <c r="S70" s="431" t="s">
        <v>4125</v>
      </c>
      <c r="T70" s="431"/>
      <c r="U70" s="431"/>
      <c r="V70" s="431" t="s">
        <v>4126</v>
      </c>
      <c r="W70" s="432">
        <v>43585.59210923611</v>
      </c>
      <c r="X70" s="432">
        <v>44616.043050925924</v>
      </c>
      <c r="Y70" s="431"/>
      <c r="Z70" s="433">
        <v>44441</v>
      </c>
      <c r="AA70" s="431"/>
      <c r="AB70" s="431"/>
      <c r="AC70" s="431"/>
      <c r="AD70" s="436">
        <f t="shared" si="1"/>
        <v>558.16666666666663</v>
      </c>
    </row>
    <row r="71" spans="1:30" ht="14">
      <c r="A71" s="431" t="s">
        <v>1455</v>
      </c>
      <c r="B71" s="431" t="s">
        <v>1456</v>
      </c>
      <c r="C71" s="431" t="s">
        <v>203</v>
      </c>
      <c r="D71" s="431" t="s">
        <v>1457</v>
      </c>
      <c r="E71" s="431" t="s">
        <v>1458</v>
      </c>
      <c r="F71" s="431">
        <v>1475</v>
      </c>
      <c r="G71" s="431">
        <v>2011</v>
      </c>
      <c r="H71" s="431">
        <v>2031</v>
      </c>
      <c r="I71" s="431" t="b">
        <v>1</v>
      </c>
      <c r="J71" s="431" t="s">
        <v>891</v>
      </c>
      <c r="K71" s="431">
        <v>14000</v>
      </c>
      <c r="L71" s="431"/>
      <c r="M71" s="431"/>
      <c r="N71" s="431"/>
      <c r="O71" s="431" t="b">
        <v>1</v>
      </c>
      <c r="P71" s="431" t="b">
        <v>0</v>
      </c>
      <c r="Q71" s="431" t="s">
        <v>1459</v>
      </c>
      <c r="R71" s="431" t="s">
        <v>1460</v>
      </c>
      <c r="S71" s="431" t="s">
        <v>1461</v>
      </c>
      <c r="T71" s="431" t="s">
        <v>1462</v>
      </c>
      <c r="U71" s="431"/>
      <c r="V71" s="431" t="s">
        <v>1463</v>
      </c>
      <c r="W71" s="432">
        <v>43585.592111296297</v>
      </c>
      <c r="X71" s="432">
        <v>44616.046219386575</v>
      </c>
      <c r="Y71" s="431"/>
      <c r="Z71" s="433">
        <v>41474</v>
      </c>
      <c r="AA71" s="433">
        <v>41726</v>
      </c>
      <c r="AB71" s="433">
        <v>43341</v>
      </c>
      <c r="AC71" s="433">
        <v>43391</v>
      </c>
      <c r="AD71" s="436">
        <f t="shared" si="1"/>
        <v>700</v>
      </c>
    </row>
    <row r="72" spans="1:30" ht="14">
      <c r="A72" s="431" t="s">
        <v>1455</v>
      </c>
      <c r="B72" s="431" t="s">
        <v>1456</v>
      </c>
      <c r="C72" s="431" t="s">
        <v>203</v>
      </c>
      <c r="D72" s="431" t="s">
        <v>4127</v>
      </c>
      <c r="E72" s="431" t="s">
        <v>4128</v>
      </c>
      <c r="F72" s="431">
        <v>2139</v>
      </c>
      <c r="G72" s="431">
        <v>2017</v>
      </c>
      <c r="H72" s="431">
        <v>2040</v>
      </c>
      <c r="I72" s="431" t="b">
        <v>1</v>
      </c>
      <c r="J72" s="431"/>
      <c r="K72" s="431"/>
      <c r="L72" s="431"/>
      <c r="M72" s="431"/>
      <c r="N72" s="431"/>
      <c r="O72" s="431" t="b">
        <v>0</v>
      </c>
      <c r="P72" s="431" t="b">
        <v>1</v>
      </c>
      <c r="Q72" s="431"/>
      <c r="R72" s="431"/>
      <c r="S72" s="431"/>
      <c r="T72" s="431"/>
      <c r="U72" s="431"/>
      <c r="V72" s="431"/>
      <c r="W72" s="432">
        <v>44361.655118356481</v>
      </c>
      <c r="X72" s="432">
        <v>44361.658614618056</v>
      </c>
      <c r="Y72" s="431" t="s">
        <v>978</v>
      </c>
      <c r="Z72" s="431"/>
      <c r="AA72" s="431"/>
      <c r="AB72" s="431"/>
      <c r="AC72" s="431"/>
      <c r="AD72" s="436" t="str">
        <f t="shared" si="1"/>
        <v/>
      </c>
    </row>
    <row r="73" spans="1:30" ht="14">
      <c r="A73" s="431" t="s">
        <v>2593</v>
      </c>
      <c r="B73" s="431" t="s">
        <v>2594</v>
      </c>
      <c r="C73" s="431" t="s">
        <v>126</v>
      </c>
      <c r="D73" s="431" t="s">
        <v>2595</v>
      </c>
      <c r="E73" s="431" t="s">
        <v>2596</v>
      </c>
      <c r="F73" s="431">
        <v>1231</v>
      </c>
      <c r="G73" s="431">
        <v>2011</v>
      </c>
      <c r="H73" s="431">
        <v>2031</v>
      </c>
      <c r="I73" s="431" t="b">
        <v>1</v>
      </c>
      <c r="J73" s="431" t="s">
        <v>891</v>
      </c>
      <c r="K73" s="431">
        <v>5975</v>
      </c>
      <c r="L73" s="431"/>
      <c r="M73" s="431"/>
      <c r="N73" s="431"/>
      <c r="O73" s="431" t="b">
        <v>1</v>
      </c>
      <c r="P73" s="431" t="b">
        <v>0</v>
      </c>
      <c r="Q73" s="431" t="s">
        <v>2597</v>
      </c>
      <c r="R73" s="431" t="s">
        <v>2598</v>
      </c>
      <c r="S73" s="431" t="s">
        <v>2599</v>
      </c>
      <c r="T73" s="431" t="s">
        <v>4129</v>
      </c>
      <c r="U73" s="431" t="s">
        <v>2600</v>
      </c>
      <c r="V73" s="431" t="s">
        <v>2601</v>
      </c>
      <c r="W73" s="432">
        <v>43585.592118101849</v>
      </c>
      <c r="X73" s="432">
        <v>44616.047087395833</v>
      </c>
      <c r="Y73" s="431"/>
      <c r="Z73" s="433">
        <v>40826</v>
      </c>
      <c r="AA73" s="433">
        <v>41220</v>
      </c>
      <c r="AB73" s="433">
        <v>41653</v>
      </c>
      <c r="AC73" s="433">
        <v>41695</v>
      </c>
      <c r="AD73" s="436">
        <f t="shared" si="1"/>
        <v>298.75</v>
      </c>
    </row>
    <row r="74" spans="1:30" ht="14">
      <c r="A74" s="431" t="s">
        <v>2593</v>
      </c>
      <c r="B74" s="431" t="s">
        <v>2594</v>
      </c>
      <c r="C74" s="431" t="s">
        <v>126</v>
      </c>
      <c r="D74" s="431" t="s">
        <v>3790</v>
      </c>
      <c r="E74" s="431" t="s">
        <v>3791</v>
      </c>
      <c r="F74" s="431">
        <v>1966</v>
      </c>
      <c r="G74" s="431">
        <v>2018</v>
      </c>
      <c r="H74" s="431">
        <v>2037</v>
      </c>
      <c r="I74" s="431" t="b">
        <v>1</v>
      </c>
      <c r="J74" s="431" t="s">
        <v>891</v>
      </c>
      <c r="K74" s="431">
        <v>7904</v>
      </c>
      <c r="L74" s="431"/>
      <c r="M74" s="431"/>
      <c r="N74" s="431"/>
      <c r="O74" s="431" t="b">
        <v>1</v>
      </c>
      <c r="P74" s="431" t="b">
        <v>1</v>
      </c>
      <c r="Q74" s="431" t="s">
        <v>4130</v>
      </c>
      <c r="R74" s="431" t="s">
        <v>3792</v>
      </c>
      <c r="S74" s="431" t="s">
        <v>4131</v>
      </c>
      <c r="T74" s="431"/>
      <c r="U74" s="431" t="s">
        <v>4132</v>
      </c>
      <c r="V74" s="431" t="s">
        <v>4133</v>
      </c>
      <c r="W74" s="432">
        <v>43585.592132650461</v>
      </c>
      <c r="X74" s="432">
        <v>44616.043495231483</v>
      </c>
      <c r="Y74" s="431"/>
      <c r="Z74" s="433">
        <v>44147</v>
      </c>
      <c r="AA74" s="433">
        <v>44286</v>
      </c>
      <c r="AB74" s="431"/>
      <c r="AC74" s="431"/>
      <c r="AD74" s="436">
        <f t="shared" si="1"/>
        <v>416</v>
      </c>
    </row>
    <row r="75" spans="1:30" ht="14">
      <c r="A75" s="431" t="s">
        <v>3750</v>
      </c>
      <c r="B75" s="431" t="s">
        <v>3751</v>
      </c>
      <c r="C75" s="431" t="s">
        <v>241</v>
      </c>
      <c r="D75" s="431" t="s">
        <v>3752</v>
      </c>
      <c r="E75" s="431" t="s">
        <v>3753</v>
      </c>
      <c r="F75" s="431">
        <v>1367</v>
      </c>
      <c r="G75" s="431">
        <v>2011</v>
      </c>
      <c r="H75" s="431">
        <v>2031</v>
      </c>
      <c r="I75" s="431" t="b">
        <v>1</v>
      </c>
      <c r="J75" s="431" t="s">
        <v>891</v>
      </c>
      <c r="K75" s="431">
        <v>9200</v>
      </c>
      <c r="L75" s="431"/>
      <c r="M75" s="431"/>
      <c r="N75" s="431"/>
      <c r="O75" s="431" t="b">
        <v>1</v>
      </c>
      <c r="P75" s="431" t="b">
        <v>1</v>
      </c>
      <c r="Q75" s="431" t="s">
        <v>3754</v>
      </c>
      <c r="R75" s="431" t="s">
        <v>3755</v>
      </c>
      <c r="S75" s="431" t="s">
        <v>3756</v>
      </c>
      <c r="T75" s="431" t="s">
        <v>4134</v>
      </c>
      <c r="U75" s="431" t="s">
        <v>3757</v>
      </c>
      <c r="V75" s="431" t="s">
        <v>3758</v>
      </c>
      <c r="W75" s="432">
        <v>43585.592121250003</v>
      </c>
      <c r="X75" s="432">
        <v>44616.043142002316</v>
      </c>
      <c r="Y75" s="431"/>
      <c r="Z75" s="433">
        <v>42030</v>
      </c>
      <c r="AA75" s="433">
        <v>42216</v>
      </c>
      <c r="AB75" s="433">
        <v>42543</v>
      </c>
      <c r="AC75" s="433">
        <v>42565</v>
      </c>
      <c r="AD75" s="436">
        <f t="shared" si="1"/>
        <v>460</v>
      </c>
    </row>
    <row r="76" spans="1:30" ht="14">
      <c r="A76" s="431" t="s">
        <v>2447</v>
      </c>
      <c r="B76" s="431" t="s">
        <v>2448</v>
      </c>
      <c r="C76" s="431" t="s">
        <v>223</v>
      </c>
      <c r="D76" s="431" t="s">
        <v>4135</v>
      </c>
      <c r="E76" s="431" t="s">
        <v>2449</v>
      </c>
      <c r="F76" s="431">
        <v>1358</v>
      </c>
      <c r="G76" s="431">
        <v>2011</v>
      </c>
      <c r="H76" s="431">
        <v>2031</v>
      </c>
      <c r="I76" s="431" t="b">
        <v>1</v>
      </c>
      <c r="J76" s="431" t="s">
        <v>891</v>
      </c>
      <c r="K76" s="431">
        <v>27240</v>
      </c>
      <c r="L76" s="431"/>
      <c r="M76" s="431"/>
      <c r="N76" s="431"/>
      <c r="O76" s="431" t="b">
        <v>1</v>
      </c>
      <c r="P76" s="431" t="b">
        <v>0</v>
      </c>
      <c r="Q76" s="431" t="s">
        <v>2450</v>
      </c>
      <c r="R76" s="431" t="s">
        <v>2451</v>
      </c>
      <c r="S76" s="431" t="s">
        <v>2452</v>
      </c>
      <c r="T76" s="431" t="s">
        <v>4136</v>
      </c>
      <c r="U76" s="431" t="s">
        <v>4137</v>
      </c>
      <c r="V76" s="431" t="s">
        <v>2453</v>
      </c>
      <c r="W76" s="432">
        <v>43585.592115254629</v>
      </c>
      <c r="X76" s="432">
        <v>44616.042043865738</v>
      </c>
      <c r="Y76" s="431"/>
      <c r="Z76" s="433">
        <v>41515</v>
      </c>
      <c r="AA76" s="433">
        <v>41670</v>
      </c>
      <c r="AB76" s="433">
        <v>42164</v>
      </c>
      <c r="AC76" s="433">
        <v>42205</v>
      </c>
      <c r="AD76" s="436">
        <f t="shared" si="1"/>
        <v>1362</v>
      </c>
    </row>
    <row r="77" spans="1:30" ht="14">
      <c r="A77" s="431" t="s">
        <v>2447</v>
      </c>
      <c r="B77" s="431" t="s">
        <v>2448</v>
      </c>
      <c r="C77" s="431" t="s">
        <v>223</v>
      </c>
      <c r="D77" s="431" t="s">
        <v>3786</v>
      </c>
      <c r="E77" s="431" t="s">
        <v>3787</v>
      </c>
      <c r="F77" s="431">
        <v>2085</v>
      </c>
      <c r="G77" s="431">
        <v>2020</v>
      </c>
      <c r="H77" s="431">
        <v>2050</v>
      </c>
      <c r="I77" s="431" t="b">
        <v>1</v>
      </c>
      <c r="J77" s="431"/>
      <c r="K77" s="431"/>
      <c r="L77" s="431"/>
      <c r="M77" s="431"/>
      <c r="N77" s="431"/>
      <c r="O77" s="431" t="b">
        <v>0</v>
      </c>
      <c r="P77" s="431" t="b">
        <v>1</v>
      </c>
      <c r="Q77" s="431"/>
      <c r="R77" s="431"/>
      <c r="S77" s="431"/>
      <c r="T77" s="431"/>
      <c r="U77" s="431"/>
      <c r="V77" s="431"/>
      <c r="W77" s="432">
        <v>44146.567369247685</v>
      </c>
      <c r="X77" s="432">
        <v>44146.569047962963</v>
      </c>
      <c r="Y77" s="431" t="s">
        <v>978</v>
      </c>
      <c r="Z77" s="431"/>
      <c r="AA77" s="431"/>
      <c r="AB77" s="431"/>
      <c r="AC77" s="431"/>
      <c r="AD77" s="436" t="str">
        <f t="shared" si="1"/>
        <v/>
      </c>
    </row>
    <row r="78" spans="1:30" ht="14">
      <c r="A78" s="431" t="s">
        <v>3056</v>
      </c>
      <c r="B78" s="431" t="s">
        <v>3057</v>
      </c>
      <c r="C78" s="431" t="s">
        <v>134</v>
      </c>
      <c r="D78" s="431" t="s">
        <v>3058</v>
      </c>
      <c r="E78" s="431" t="s">
        <v>3059</v>
      </c>
      <c r="F78" s="431">
        <v>1768</v>
      </c>
      <c r="G78" s="431">
        <v>2014</v>
      </c>
      <c r="H78" s="431">
        <v>2033</v>
      </c>
      <c r="I78" s="431" t="b">
        <v>1</v>
      </c>
      <c r="J78" s="431" t="s">
        <v>891</v>
      </c>
      <c r="K78" s="431">
        <v>21546</v>
      </c>
      <c r="L78" s="431"/>
      <c r="M78" s="431"/>
      <c r="N78" s="431"/>
      <c r="O78" s="431" t="b">
        <v>1</v>
      </c>
      <c r="P78" s="431" t="b">
        <v>0</v>
      </c>
      <c r="Q78" s="431" t="s">
        <v>3060</v>
      </c>
      <c r="R78" s="431" t="s">
        <v>3061</v>
      </c>
      <c r="S78" s="431" t="s">
        <v>3062</v>
      </c>
      <c r="T78" s="431" t="s">
        <v>4138</v>
      </c>
      <c r="U78" s="431"/>
      <c r="V78" s="431" t="s">
        <v>3063</v>
      </c>
      <c r="W78" s="432">
        <v>43585.592109537036</v>
      </c>
      <c r="X78" s="432">
        <v>44616.04260267361</v>
      </c>
      <c r="Y78" s="431"/>
      <c r="Z78" s="433">
        <v>42545</v>
      </c>
      <c r="AA78" s="433">
        <v>42726</v>
      </c>
      <c r="AB78" s="433">
        <v>43448</v>
      </c>
      <c r="AC78" s="433">
        <v>43468</v>
      </c>
      <c r="AD78" s="436">
        <f t="shared" si="1"/>
        <v>1134</v>
      </c>
    </row>
    <row r="79" spans="1:30" ht="14">
      <c r="A79" s="431" t="s">
        <v>2148</v>
      </c>
      <c r="B79" s="431" t="s">
        <v>2149</v>
      </c>
      <c r="C79" s="431" t="s">
        <v>197</v>
      </c>
      <c r="D79" s="431" t="s">
        <v>2150</v>
      </c>
      <c r="E79" s="431" t="s">
        <v>2151</v>
      </c>
      <c r="F79" s="431">
        <v>1822</v>
      </c>
      <c r="G79" s="431">
        <v>2012</v>
      </c>
      <c r="H79" s="431">
        <v>2032</v>
      </c>
      <c r="I79" s="431" t="b">
        <v>1</v>
      </c>
      <c r="J79" s="431" t="s">
        <v>891</v>
      </c>
      <c r="K79" s="431">
        <v>3880</v>
      </c>
      <c r="L79" s="431"/>
      <c r="M79" s="431"/>
      <c r="N79" s="431"/>
      <c r="O79" s="431" t="b">
        <v>1</v>
      </c>
      <c r="P79" s="431" t="b">
        <v>0</v>
      </c>
      <c r="Q79" s="431" t="s">
        <v>2152</v>
      </c>
      <c r="R79" s="431" t="s">
        <v>2153</v>
      </c>
      <c r="S79" s="431" t="s">
        <v>2154</v>
      </c>
      <c r="T79" s="431" t="s">
        <v>4139</v>
      </c>
      <c r="U79" s="431"/>
      <c r="V79" s="431" t="s">
        <v>2155</v>
      </c>
      <c r="W79" s="432">
        <v>43585.59211766204</v>
      </c>
      <c r="X79" s="432">
        <v>44616.046446678243</v>
      </c>
      <c r="Y79" s="431"/>
      <c r="Z79" s="433">
        <v>42837</v>
      </c>
      <c r="AA79" s="433">
        <v>42936</v>
      </c>
      <c r="AB79" s="433">
        <v>43290</v>
      </c>
      <c r="AC79" s="433">
        <v>43312</v>
      </c>
      <c r="AD79" s="436">
        <f t="shared" si="1"/>
        <v>194</v>
      </c>
    </row>
    <row r="80" spans="1:30" ht="14">
      <c r="A80" s="431" t="s">
        <v>3134</v>
      </c>
      <c r="B80" s="431" t="s">
        <v>815</v>
      </c>
      <c r="C80" s="431" t="s">
        <v>247</v>
      </c>
      <c r="D80" s="431" t="s">
        <v>3135</v>
      </c>
      <c r="E80" s="431" t="s">
        <v>3136</v>
      </c>
      <c r="F80" s="431">
        <v>1741</v>
      </c>
      <c r="G80" s="431">
        <v>2011</v>
      </c>
      <c r="H80" s="431">
        <v>2031</v>
      </c>
      <c r="I80" s="431" t="b">
        <v>1</v>
      </c>
      <c r="J80" s="431" t="s">
        <v>891</v>
      </c>
      <c r="K80" s="431">
        <v>24600</v>
      </c>
      <c r="L80" s="431"/>
      <c r="M80" s="431"/>
      <c r="N80" s="431"/>
      <c r="O80" s="431" t="b">
        <v>1</v>
      </c>
      <c r="P80" s="431" t="b">
        <v>0</v>
      </c>
      <c r="Q80" s="431" t="s">
        <v>3137</v>
      </c>
      <c r="R80" s="431" t="s">
        <v>3138</v>
      </c>
      <c r="S80" s="431" t="s">
        <v>4140</v>
      </c>
      <c r="T80" s="431" t="s">
        <v>4141</v>
      </c>
      <c r="U80" s="431"/>
      <c r="V80" s="431" t="s">
        <v>3139</v>
      </c>
      <c r="W80" s="432">
        <v>43585.592113831015</v>
      </c>
      <c r="X80" s="432">
        <v>44616.042756446761</v>
      </c>
      <c r="Y80" s="431"/>
      <c r="Z80" s="433">
        <v>42387</v>
      </c>
      <c r="AA80" s="433">
        <v>42461</v>
      </c>
      <c r="AB80" s="433">
        <v>43021</v>
      </c>
      <c r="AC80" s="433">
        <v>43075</v>
      </c>
      <c r="AD80" s="436">
        <f t="shared" si="1"/>
        <v>1230</v>
      </c>
    </row>
    <row r="81" spans="1:30" ht="14">
      <c r="A81" s="431" t="s">
        <v>3782</v>
      </c>
      <c r="B81" s="431" t="s">
        <v>3783</v>
      </c>
      <c r="C81" s="431" t="s">
        <v>193</v>
      </c>
      <c r="D81" s="431" t="s">
        <v>3601</v>
      </c>
      <c r="E81" s="431" t="s">
        <v>3602</v>
      </c>
      <c r="F81" s="431">
        <v>1052</v>
      </c>
      <c r="G81" s="431">
        <v>2011</v>
      </c>
      <c r="H81" s="431">
        <v>2028</v>
      </c>
      <c r="I81" s="431" t="b">
        <v>1</v>
      </c>
      <c r="J81" s="431" t="s">
        <v>891</v>
      </c>
      <c r="K81" s="431">
        <v>6150</v>
      </c>
      <c r="L81" s="431"/>
      <c r="M81" s="431"/>
      <c r="N81" s="431"/>
      <c r="O81" s="431" t="b">
        <v>1</v>
      </c>
      <c r="P81" s="431" t="b">
        <v>1</v>
      </c>
      <c r="Q81" s="431" t="s">
        <v>3603</v>
      </c>
      <c r="R81" s="431" t="s">
        <v>3604</v>
      </c>
      <c r="S81" s="431" t="s">
        <v>3605</v>
      </c>
      <c r="T81" s="431" t="s">
        <v>3606</v>
      </c>
      <c r="U81" s="431"/>
      <c r="V81" s="431" t="s">
        <v>3607</v>
      </c>
      <c r="W81" s="432">
        <v>43585.5921303125</v>
      </c>
      <c r="X81" s="432">
        <v>44616.044731574075</v>
      </c>
      <c r="Y81" s="431"/>
      <c r="Z81" s="433">
        <v>41071</v>
      </c>
      <c r="AA81" s="433">
        <v>41432</v>
      </c>
      <c r="AB81" s="433">
        <v>41844</v>
      </c>
      <c r="AC81" s="433">
        <v>41899</v>
      </c>
      <c r="AD81" s="436">
        <f t="shared" si="1"/>
        <v>361.76470588235293</v>
      </c>
    </row>
    <row r="82" spans="1:30" ht="14">
      <c r="A82" s="431" t="s">
        <v>3782</v>
      </c>
      <c r="B82" s="431" t="s">
        <v>3783</v>
      </c>
      <c r="C82" s="431" t="s">
        <v>193</v>
      </c>
      <c r="D82" s="431" t="s">
        <v>3608</v>
      </c>
      <c r="E82" s="431" t="s">
        <v>3609</v>
      </c>
      <c r="F82" s="431">
        <v>2091</v>
      </c>
      <c r="G82" s="431">
        <v>2018</v>
      </c>
      <c r="H82" s="431">
        <v>2038</v>
      </c>
      <c r="I82" s="431" t="b">
        <v>1</v>
      </c>
      <c r="J82" s="431" t="s">
        <v>891</v>
      </c>
      <c r="K82" s="431">
        <v>7360</v>
      </c>
      <c r="L82" s="431"/>
      <c r="M82" s="431"/>
      <c r="N82" s="431"/>
      <c r="O82" s="431" t="b">
        <v>1</v>
      </c>
      <c r="P82" s="431" t="b">
        <v>1</v>
      </c>
      <c r="Q82" s="431" t="s">
        <v>3610</v>
      </c>
      <c r="R82" s="431" t="s">
        <v>3611</v>
      </c>
      <c r="S82" s="431" t="s">
        <v>3612</v>
      </c>
      <c r="T82" s="431"/>
      <c r="U82" s="431" t="s">
        <v>3613</v>
      </c>
      <c r="V82" s="431" t="s">
        <v>3614</v>
      </c>
      <c r="W82" s="432">
        <v>44097.359115185187</v>
      </c>
      <c r="X82" s="432">
        <v>44616.048697256942</v>
      </c>
      <c r="Y82" s="431"/>
      <c r="Z82" s="431"/>
      <c r="AA82" s="431"/>
      <c r="AB82" s="431"/>
      <c r="AC82" s="431"/>
      <c r="AD82" s="436">
        <f t="shared" si="1"/>
        <v>368</v>
      </c>
    </row>
    <row r="83" spans="1:30" ht="14">
      <c r="A83" s="431" t="s">
        <v>1748</v>
      </c>
      <c r="B83" s="431" t="s">
        <v>1749</v>
      </c>
      <c r="C83" s="431" t="s">
        <v>139</v>
      </c>
      <c r="D83" s="431" t="s">
        <v>1750</v>
      </c>
      <c r="E83" s="431" t="s">
        <v>1751</v>
      </c>
      <c r="F83" s="431">
        <v>1917</v>
      </c>
      <c r="G83" s="431">
        <v>2014</v>
      </c>
      <c r="H83" s="431">
        <v>2034</v>
      </c>
      <c r="I83" s="431" t="b">
        <v>1</v>
      </c>
      <c r="J83" s="431" t="s">
        <v>891</v>
      </c>
      <c r="K83" s="431">
        <v>15465</v>
      </c>
      <c r="L83" s="431"/>
      <c r="M83" s="431"/>
      <c r="N83" s="431"/>
      <c r="O83" s="431" t="b">
        <v>1</v>
      </c>
      <c r="P83" s="431" t="b">
        <v>0</v>
      </c>
      <c r="Q83" s="431" t="s">
        <v>1752</v>
      </c>
      <c r="R83" s="431" t="s">
        <v>1753</v>
      </c>
      <c r="S83" s="431" t="s">
        <v>1754</v>
      </c>
      <c r="T83" s="431" t="s">
        <v>1755</v>
      </c>
      <c r="U83" s="431" t="s">
        <v>1756</v>
      </c>
      <c r="V83" s="431" t="s">
        <v>1757</v>
      </c>
      <c r="W83" s="432">
        <v>43585.592114710649</v>
      </c>
      <c r="X83" s="432">
        <v>44616.048668159725</v>
      </c>
      <c r="Y83" s="431"/>
      <c r="Z83" s="433">
        <v>43405</v>
      </c>
      <c r="AA83" s="433">
        <v>43552</v>
      </c>
      <c r="AB83" s="431"/>
      <c r="AC83" s="431"/>
      <c r="AD83" s="436">
        <f t="shared" si="1"/>
        <v>773.25</v>
      </c>
    </row>
    <row r="84" spans="1:30" ht="14">
      <c r="A84" s="431" t="s">
        <v>2350</v>
      </c>
      <c r="B84" s="431" t="s">
        <v>2351</v>
      </c>
      <c r="C84" s="431" t="s">
        <v>249</v>
      </c>
      <c r="D84" s="431" t="s">
        <v>2352</v>
      </c>
      <c r="E84" s="431" t="s">
        <v>2353</v>
      </c>
      <c r="F84" s="431">
        <v>1884</v>
      </c>
      <c r="G84" s="431">
        <v>2012</v>
      </c>
      <c r="H84" s="431">
        <v>2032</v>
      </c>
      <c r="I84" s="431" t="b">
        <v>1</v>
      </c>
      <c r="J84" s="431" t="s">
        <v>891</v>
      </c>
      <c r="K84" s="431">
        <v>4600</v>
      </c>
      <c r="L84" s="431"/>
      <c r="M84" s="431"/>
      <c r="N84" s="431"/>
      <c r="O84" s="431" t="b">
        <v>1</v>
      </c>
      <c r="P84" s="431" t="b">
        <v>0</v>
      </c>
      <c r="Q84" s="431" t="s">
        <v>2354</v>
      </c>
      <c r="R84" s="431" t="s">
        <v>2355</v>
      </c>
      <c r="S84" s="431" t="s">
        <v>2356</v>
      </c>
      <c r="T84" s="431"/>
      <c r="U84" s="431"/>
      <c r="V84" s="431" t="s">
        <v>2357</v>
      </c>
      <c r="W84" s="432">
        <v>43585.592115636573</v>
      </c>
      <c r="X84" s="432">
        <v>44616.047081689816</v>
      </c>
      <c r="Y84" s="431"/>
      <c r="Z84" s="433">
        <v>43102</v>
      </c>
      <c r="AA84" s="433">
        <v>43186</v>
      </c>
      <c r="AB84" s="433">
        <v>43747</v>
      </c>
      <c r="AC84" s="433">
        <v>43781</v>
      </c>
      <c r="AD84" s="436">
        <f t="shared" si="1"/>
        <v>230</v>
      </c>
    </row>
    <row r="85" spans="1:30" ht="14">
      <c r="A85" s="431" t="s">
        <v>1421</v>
      </c>
      <c r="B85" s="431" t="s">
        <v>1422</v>
      </c>
      <c r="C85" s="431" t="s">
        <v>1423</v>
      </c>
      <c r="D85" s="431" t="s">
        <v>1424</v>
      </c>
      <c r="E85" s="431" t="s">
        <v>1425</v>
      </c>
      <c r="F85" s="431">
        <v>1863</v>
      </c>
      <c r="G85" s="431">
        <v>2013</v>
      </c>
      <c r="H85" s="431">
        <v>2033</v>
      </c>
      <c r="I85" s="431" t="b">
        <v>1</v>
      </c>
      <c r="J85" s="431" t="s">
        <v>891</v>
      </c>
      <c r="K85" s="431">
        <v>28600</v>
      </c>
      <c r="L85" s="431"/>
      <c r="M85" s="431"/>
      <c r="N85" s="431"/>
      <c r="O85" s="431" t="b">
        <v>1</v>
      </c>
      <c r="P85" s="431" t="b">
        <v>0</v>
      </c>
      <c r="Q85" s="431" t="s">
        <v>4142</v>
      </c>
      <c r="R85" s="431" t="s">
        <v>1426</v>
      </c>
      <c r="S85" s="431" t="s">
        <v>4143</v>
      </c>
      <c r="T85" s="431" t="s">
        <v>4144</v>
      </c>
      <c r="U85" s="431" t="s">
        <v>4145</v>
      </c>
      <c r="V85" s="431" t="s">
        <v>4146</v>
      </c>
      <c r="W85" s="432">
        <v>43585.592116388892</v>
      </c>
      <c r="X85" s="432">
        <v>44616.046328252312</v>
      </c>
      <c r="Y85" s="431"/>
      <c r="Z85" s="433">
        <v>43041</v>
      </c>
      <c r="AA85" s="433">
        <v>43159</v>
      </c>
      <c r="AB85" s="433">
        <v>44427</v>
      </c>
      <c r="AC85" s="433">
        <v>44454</v>
      </c>
      <c r="AD85" s="436">
        <f t="shared" si="1"/>
        <v>1430</v>
      </c>
    </row>
    <row r="86" spans="1:30" ht="14">
      <c r="A86" s="431" t="s">
        <v>929</v>
      </c>
      <c r="B86" s="431" t="s">
        <v>930</v>
      </c>
      <c r="C86" s="431" t="s">
        <v>257</v>
      </c>
      <c r="D86" s="431" t="s">
        <v>931</v>
      </c>
      <c r="E86" s="431" t="s">
        <v>932</v>
      </c>
      <c r="F86" s="431">
        <v>284</v>
      </c>
      <c r="G86" s="431">
        <v>2004</v>
      </c>
      <c r="H86" s="431">
        <v>2026</v>
      </c>
      <c r="I86" s="431" t="b">
        <v>1</v>
      </c>
      <c r="J86" s="431" t="s">
        <v>891</v>
      </c>
      <c r="K86" s="431">
        <v>8675</v>
      </c>
      <c r="L86" s="431"/>
      <c r="M86" s="431"/>
      <c r="N86" s="431"/>
      <c r="O86" s="431" t="b">
        <v>1</v>
      </c>
      <c r="P86" s="431" t="b">
        <v>0</v>
      </c>
      <c r="Q86" s="431" t="s">
        <v>933</v>
      </c>
      <c r="R86" s="431" t="s">
        <v>934</v>
      </c>
      <c r="S86" s="431" t="s">
        <v>935</v>
      </c>
      <c r="T86" s="431" t="s">
        <v>936</v>
      </c>
      <c r="U86" s="431" t="s">
        <v>937</v>
      </c>
      <c r="V86" s="431" t="s">
        <v>938</v>
      </c>
      <c r="W86" s="432">
        <v>43585.592118981484</v>
      </c>
      <c r="X86" s="432">
        <v>44616.043053460649</v>
      </c>
      <c r="Y86" s="431"/>
      <c r="Z86" s="433">
        <v>40402</v>
      </c>
      <c r="AA86" s="433">
        <v>40480</v>
      </c>
      <c r="AB86" s="433">
        <v>40646</v>
      </c>
      <c r="AC86" s="433">
        <v>40669</v>
      </c>
      <c r="AD86" s="436">
        <f t="shared" si="1"/>
        <v>394.31818181818181</v>
      </c>
    </row>
    <row r="87" spans="1:30" ht="14">
      <c r="A87" s="431" t="s">
        <v>929</v>
      </c>
      <c r="B87" s="431" t="s">
        <v>930</v>
      </c>
      <c r="C87" s="431" t="s">
        <v>257</v>
      </c>
      <c r="D87" s="431" t="s">
        <v>939</v>
      </c>
      <c r="E87" s="431" t="s">
        <v>940</v>
      </c>
      <c r="F87" s="431">
        <v>1926</v>
      </c>
      <c r="G87" s="431">
        <v>2016</v>
      </c>
      <c r="H87" s="431">
        <v>2036</v>
      </c>
      <c r="I87" s="431" t="b">
        <v>1</v>
      </c>
      <c r="J87" s="431" t="s">
        <v>891</v>
      </c>
      <c r="K87" s="431">
        <v>9840</v>
      </c>
      <c r="L87" s="431"/>
      <c r="M87" s="431"/>
      <c r="N87" s="431"/>
      <c r="O87" s="431" t="b">
        <v>1</v>
      </c>
      <c r="P87" s="431" t="b">
        <v>0</v>
      </c>
      <c r="Q87" s="431" t="s">
        <v>4147</v>
      </c>
      <c r="R87" s="431" t="s">
        <v>941</v>
      </c>
      <c r="S87" s="431" t="s">
        <v>4148</v>
      </c>
      <c r="T87" s="431"/>
      <c r="U87" s="431" t="s">
        <v>4149</v>
      </c>
      <c r="V87" s="431" t="s">
        <v>4150</v>
      </c>
      <c r="W87" s="432">
        <v>43630.642505127318</v>
      </c>
      <c r="X87" s="432">
        <v>44616.048274293978</v>
      </c>
      <c r="Y87" s="431"/>
      <c r="Z87" s="433">
        <v>44049</v>
      </c>
      <c r="AA87" s="433">
        <v>44187</v>
      </c>
      <c r="AB87" s="433">
        <v>44589</v>
      </c>
      <c r="AC87" s="431"/>
      <c r="AD87" s="436">
        <f t="shared" si="1"/>
        <v>492</v>
      </c>
    </row>
    <row r="88" spans="1:30" ht="14">
      <c r="A88" s="431" t="s">
        <v>969</v>
      </c>
      <c r="B88" s="431" t="s">
        <v>970</v>
      </c>
      <c r="C88" s="431" t="s">
        <v>157</v>
      </c>
      <c r="D88" s="431" t="s">
        <v>931</v>
      </c>
      <c r="E88" s="434" t="s">
        <v>971</v>
      </c>
      <c r="F88" s="431">
        <v>199</v>
      </c>
      <c r="G88" s="431">
        <v>2011</v>
      </c>
      <c r="H88" s="431">
        <v>2026</v>
      </c>
      <c r="I88" s="431" t="b">
        <v>1</v>
      </c>
      <c r="J88" s="431" t="s">
        <v>891</v>
      </c>
      <c r="K88" s="431">
        <v>9365</v>
      </c>
      <c r="L88" s="431"/>
      <c r="M88" s="431"/>
      <c r="N88" s="431"/>
      <c r="O88" s="431" t="b">
        <v>1</v>
      </c>
      <c r="P88" s="431" t="b">
        <v>0</v>
      </c>
      <c r="Q88" s="431" t="s">
        <v>972</v>
      </c>
      <c r="R88" s="431" t="s">
        <v>973</v>
      </c>
      <c r="S88" s="431" t="s">
        <v>974</v>
      </c>
      <c r="T88" s="431" t="s">
        <v>4151</v>
      </c>
      <c r="U88" s="431"/>
      <c r="V88" s="431" t="s">
        <v>975</v>
      </c>
      <c r="W88" s="432">
        <v>43585.592119293979</v>
      </c>
      <c r="X88" s="432">
        <v>44616.048306921293</v>
      </c>
      <c r="Y88" s="431"/>
      <c r="Z88" s="433">
        <v>40126</v>
      </c>
      <c r="AA88" s="433">
        <v>40281</v>
      </c>
      <c r="AB88" s="433">
        <v>40480</v>
      </c>
      <c r="AC88" s="433">
        <v>40570</v>
      </c>
      <c r="AD88" s="436">
        <f t="shared" si="1"/>
        <v>624.33333333333337</v>
      </c>
    </row>
    <row r="89" spans="1:30" ht="14">
      <c r="A89" s="431" t="s">
        <v>969</v>
      </c>
      <c r="B89" s="431" t="s">
        <v>970</v>
      </c>
      <c r="C89" s="431" t="s">
        <v>157</v>
      </c>
      <c r="D89" s="431" t="s">
        <v>976</v>
      </c>
      <c r="E89" s="431" t="s">
        <v>977</v>
      </c>
      <c r="F89" s="431">
        <v>2104</v>
      </c>
      <c r="G89" s="431">
        <v>2018</v>
      </c>
      <c r="H89" s="431">
        <v>2037</v>
      </c>
      <c r="I89" s="431" t="b">
        <v>1</v>
      </c>
      <c r="J89" s="431"/>
      <c r="K89" s="431"/>
      <c r="L89" s="431"/>
      <c r="M89" s="431"/>
      <c r="N89" s="431"/>
      <c r="O89" s="431" t="b">
        <v>0</v>
      </c>
      <c r="P89" s="431" t="b">
        <v>0</v>
      </c>
      <c r="Q89" s="431"/>
      <c r="R89" s="431"/>
      <c r="S89" s="431"/>
      <c r="T89" s="431"/>
      <c r="U89" s="431"/>
      <c r="V89" s="431"/>
      <c r="W89" s="432">
        <v>43585.592110925929</v>
      </c>
      <c r="X89" s="432">
        <v>44098.449037303239</v>
      </c>
      <c r="Y89" s="431" t="s">
        <v>978</v>
      </c>
      <c r="Z89" s="431"/>
      <c r="AA89" s="431"/>
      <c r="AB89" s="431"/>
      <c r="AC89" s="431"/>
      <c r="AD89" s="436" t="str">
        <f t="shared" si="1"/>
        <v/>
      </c>
    </row>
    <row r="90" spans="1:30" ht="14">
      <c r="A90" s="431" t="s">
        <v>3539</v>
      </c>
      <c r="B90" s="431" t="s">
        <v>3540</v>
      </c>
      <c r="C90" s="431" t="s">
        <v>3541</v>
      </c>
      <c r="D90" s="431" t="s">
        <v>3542</v>
      </c>
      <c r="E90" s="431" t="s">
        <v>3543</v>
      </c>
      <c r="F90" s="431">
        <v>1869</v>
      </c>
      <c r="G90" s="431">
        <v>2015</v>
      </c>
      <c r="H90" s="431">
        <v>2036</v>
      </c>
      <c r="I90" s="431" t="b">
        <v>1</v>
      </c>
      <c r="J90" s="431" t="s">
        <v>891</v>
      </c>
      <c r="K90" s="431">
        <v>248</v>
      </c>
      <c r="L90" s="431"/>
      <c r="M90" s="431"/>
      <c r="N90" s="431"/>
      <c r="O90" s="431" t="b">
        <v>1</v>
      </c>
      <c r="P90" s="431" t="b">
        <v>0</v>
      </c>
      <c r="Q90" s="431" t="s">
        <v>3544</v>
      </c>
      <c r="R90" s="431" t="s">
        <v>3545</v>
      </c>
      <c r="S90" s="431" t="s">
        <v>3546</v>
      </c>
      <c r="T90" s="431" t="s">
        <v>3547</v>
      </c>
      <c r="U90" s="431" t="s">
        <v>3548</v>
      </c>
      <c r="V90" s="431" t="s">
        <v>3549</v>
      </c>
      <c r="W90" s="432">
        <v>43585.592109293983</v>
      </c>
      <c r="X90" s="432">
        <v>44616.048383900466</v>
      </c>
      <c r="Y90" s="431"/>
      <c r="Z90" s="433">
        <v>43048</v>
      </c>
      <c r="AA90" s="433">
        <v>43179</v>
      </c>
      <c r="AB90" s="433">
        <v>43570</v>
      </c>
      <c r="AC90" s="433">
        <v>43602</v>
      </c>
      <c r="AD90" s="436">
        <f t="shared" si="1"/>
        <v>11.80952380952381</v>
      </c>
    </row>
    <row r="91" spans="1:30" ht="14">
      <c r="A91" s="431" t="s">
        <v>3500</v>
      </c>
      <c r="B91" s="431" t="s">
        <v>3501</v>
      </c>
      <c r="C91" s="431" t="s">
        <v>3502</v>
      </c>
      <c r="D91" s="431" t="s">
        <v>4152</v>
      </c>
      <c r="E91" s="431" t="s">
        <v>3503</v>
      </c>
      <c r="F91" s="431">
        <v>2207</v>
      </c>
      <c r="G91" s="431">
        <v>2018</v>
      </c>
      <c r="H91" s="431">
        <v>2036</v>
      </c>
      <c r="I91" s="431" t="b">
        <v>1</v>
      </c>
      <c r="J91" s="431" t="s">
        <v>907</v>
      </c>
      <c r="K91" s="431">
        <v>65</v>
      </c>
      <c r="L91" s="431"/>
      <c r="M91" s="431"/>
      <c r="N91" s="431"/>
      <c r="O91" s="431" t="b">
        <v>1</v>
      </c>
      <c r="P91" s="431" t="b">
        <v>0</v>
      </c>
      <c r="Q91" s="431" t="s">
        <v>4153</v>
      </c>
      <c r="R91" s="431" t="s">
        <v>3504</v>
      </c>
      <c r="S91" s="431" t="s">
        <v>4154</v>
      </c>
      <c r="T91" s="431"/>
      <c r="U91" s="431" t="s">
        <v>4155</v>
      </c>
      <c r="V91" s="431" t="s">
        <v>4156</v>
      </c>
      <c r="W91" s="432">
        <v>43585.592137291664</v>
      </c>
      <c r="X91" s="432">
        <v>44616.047728449077</v>
      </c>
      <c r="Y91" s="431"/>
      <c r="Z91" s="433">
        <v>43724</v>
      </c>
      <c r="AA91" s="433">
        <v>44095</v>
      </c>
      <c r="AB91" s="433">
        <v>44501</v>
      </c>
      <c r="AC91" s="433">
        <v>44533</v>
      </c>
      <c r="AD91" s="436">
        <f t="shared" si="1"/>
        <v>65</v>
      </c>
    </row>
    <row r="92" spans="1:30" ht="14">
      <c r="A92" s="431" t="s">
        <v>942</v>
      </c>
      <c r="B92" s="431" t="s">
        <v>943</v>
      </c>
      <c r="C92" s="431" t="s">
        <v>344</v>
      </c>
      <c r="D92" s="431" t="s">
        <v>931</v>
      </c>
      <c r="E92" s="431" t="s">
        <v>944</v>
      </c>
      <c r="F92" s="431">
        <v>1211</v>
      </c>
      <c r="G92" s="431">
        <v>2010</v>
      </c>
      <c r="H92" s="431">
        <v>2028</v>
      </c>
      <c r="I92" s="431" t="b">
        <v>1</v>
      </c>
      <c r="J92" s="431" t="s">
        <v>891</v>
      </c>
      <c r="K92" s="431">
        <v>9930</v>
      </c>
      <c r="L92" s="431"/>
      <c r="M92" s="431"/>
      <c r="N92" s="431"/>
      <c r="O92" s="431" t="b">
        <v>1</v>
      </c>
      <c r="P92" s="431" t="b">
        <v>0</v>
      </c>
      <c r="Q92" s="431" t="s">
        <v>945</v>
      </c>
      <c r="R92" s="431" t="s">
        <v>946</v>
      </c>
      <c r="S92" s="431" t="s">
        <v>947</v>
      </c>
      <c r="T92" s="431" t="s">
        <v>4157</v>
      </c>
      <c r="U92" s="431"/>
      <c r="V92" s="431" t="s">
        <v>948</v>
      </c>
      <c r="W92" s="432">
        <v>43585.592125011572</v>
      </c>
      <c r="X92" s="432">
        <v>44616.046022361108</v>
      </c>
      <c r="Y92" s="431"/>
      <c r="Z92" s="433">
        <v>40511</v>
      </c>
      <c r="AA92" s="433">
        <v>40808</v>
      </c>
      <c r="AB92" s="433">
        <v>41194</v>
      </c>
      <c r="AC92" s="433">
        <v>41381</v>
      </c>
      <c r="AD92" s="436">
        <f t="shared" si="1"/>
        <v>551.66666666666663</v>
      </c>
    </row>
    <row r="93" spans="1:30" ht="14">
      <c r="A93" s="431" t="s">
        <v>942</v>
      </c>
      <c r="B93" s="431" t="s">
        <v>943</v>
      </c>
      <c r="C93" s="431" t="s">
        <v>344</v>
      </c>
      <c r="D93" s="431" t="s">
        <v>949</v>
      </c>
      <c r="E93" s="431" t="s">
        <v>950</v>
      </c>
      <c r="F93" s="431">
        <v>2005</v>
      </c>
      <c r="G93" s="431">
        <v>2014</v>
      </c>
      <c r="H93" s="431">
        <v>2037</v>
      </c>
      <c r="I93" s="431" t="b">
        <v>1</v>
      </c>
      <c r="J93" s="431" t="s">
        <v>891</v>
      </c>
      <c r="K93" s="431">
        <v>8050</v>
      </c>
      <c r="L93" s="431"/>
      <c r="M93" s="431"/>
      <c r="N93" s="431"/>
      <c r="O93" s="431" t="b">
        <v>1</v>
      </c>
      <c r="P93" s="431" t="b">
        <v>0</v>
      </c>
      <c r="Q93" s="431" t="s">
        <v>951</v>
      </c>
      <c r="R93" s="431" t="s">
        <v>952</v>
      </c>
      <c r="S93" s="431" t="s">
        <v>953</v>
      </c>
      <c r="T93" s="431" t="s">
        <v>4158</v>
      </c>
      <c r="U93" s="431"/>
      <c r="V93" s="431" t="s">
        <v>954</v>
      </c>
      <c r="W93" s="432">
        <v>43585.592108935183</v>
      </c>
      <c r="X93" s="432">
        <v>44616.042633773148</v>
      </c>
      <c r="Y93" s="431"/>
      <c r="Z93" s="433">
        <v>43671</v>
      </c>
      <c r="AA93" s="433">
        <v>43895</v>
      </c>
      <c r="AB93" s="431"/>
      <c r="AC93" s="431"/>
      <c r="AD93" s="436">
        <f t="shared" si="1"/>
        <v>350</v>
      </c>
    </row>
    <row r="94" spans="1:30" ht="14">
      <c r="A94" s="431" t="s">
        <v>1541</v>
      </c>
      <c r="B94" s="431" t="s">
        <v>1542</v>
      </c>
      <c r="C94" s="431" t="s">
        <v>302</v>
      </c>
      <c r="D94" s="431" t="s">
        <v>1543</v>
      </c>
      <c r="E94" s="431" t="s">
        <v>1544</v>
      </c>
      <c r="F94" s="431">
        <v>1706</v>
      </c>
      <c r="G94" s="431">
        <v>2014</v>
      </c>
      <c r="H94" s="431">
        <v>2032</v>
      </c>
      <c r="I94" s="431" t="b">
        <v>1</v>
      </c>
      <c r="J94" s="431" t="s">
        <v>907</v>
      </c>
      <c r="K94" s="431">
        <v>242</v>
      </c>
      <c r="L94" s="431"/>
      <c r="M94" s="431"/>
      <c r="N94" s="431"/>
      <c r="O94" s="431" t="b">
        <v>1</v>
      </c>
      <c r="P94" s="431" t="b">
        <v>0</v>
      </c>
      <c r="Q94" s="431" t="s">
        <v>1545</v>
      </c>
      <c r="R94" s="431" t="s">
        <v>1546</v>
      </c>
      <c r="S94" s="431" t="s">
        <v>1547</v>
      </c>
      <c r="T94" s="431"/>
      <c r="U94" s="431"/>
      <c r="V94" s="431" t="s">
        <v>1548</v>
      </c>
      <c r="W94" s="432">
        <v>43585.592121851849</v>
      </c>
      <c r="X94" s="432">
        <v>44616.044512986111</v>
      </c>
      <c r="Y94" s="431"/>
      <c r="Z94" s="433">
        <v>42283</v>
      </c>
      <c r="AA94" s="433">
        <v>42361</v>
      </c>
      <c r="AB94" s="433">
        <v>43342</v>
      </c>
      <c r="AC94" s="433">
        <v>43384</v>
      </c>
      <c r="AD94" s="436">
        <f t="shared" si="1"/>
        <v>242</v>
      </c>
    </row>
    <row r="95" spans="1:30" ht="14">
      <c r="A95" s="431" t="s">
        <v>1629</v>
      </c>
      <c r="B95" s="431" t="s">
        <v>1630</v>
      </c>
      <c r="C95" s="431" t="s">
        <v>282</v>
      </c>
      <c r="D95" s="431" t="s">
        <v>1631</v>
      </c>
      <c r="E95" s="431" t="s">
        <v>1632</v>
      </c>
      <c r="F95" s="431">
        <v>1382</v>
      </c>
      <c r="G95" s="431">
        <v>2013</v>
      </c>
      <c r="H95" s="431">
        <v>2031</v>
      </c>
      <c r="I95" s="431" t="b">
        <v>1</v>
      </c>
      <c r="J95" s="431" t="s">
        <v>891</v>
      </c>
      <c r="K95" s="431">
        <v>17100</v>
      </c>
      <c r="L95" s="431"/>
      <c r="M95" s="431"/>
      <c r="N95" s="431"/>
      <c r="O95" s="431" t="b">
        <v>1</v>
      </c>
      <c r="P95" s="431" t="b">
        <v>0</v>
      </c>
      <c r="Q95" s="431" t="s">
        <v>1633</v>
      </c>
      <c r="R95" s="431" t="s">
        <v>1634</v>
      </c>
      <c r="S95" s="431" t="s">
        <v>1635</v>
      </c>
      <c r="T95" s="431" t="s">
        <v>1636</v>
      </c>
      <c r="U95" s="431"/>
      <c r="V95" s="431" t="s">
        <v>1637</v>
      </c>
      <c r="W95" s="432">
        <v>43585.592120613423</v>
      </c>
      <c r="X95" s="432">
        <v>44616.046720995371</v>
      </c>
      <c r="Y95" s="431"/>
      <c r="Z95" s="433">
        <v>41229</v>
      </c>
      <c r="AA95" s="433">
        <v>41488</v>
      </c>
      <c r="AB95" s="433">
        <v>42384</v>
      </c>
      <c r="AC95" s="433">
        <v>42397</v>
      </c>
      <c r="AD95" s="436">
        <f t="shared" si="1"/>
        <v>950</v>
      </c>
    </row>
    <row r="96" spans="1:30" ht="14">
      <c r="A96" s="431" t="s">
        <v>1629</v>
      </c>
      <c r="B96" s="431" t="s">
        <v>1630</v>
      </c>
      <c r="C96" s="431" t="s">
        <v>282</v>
      </c>
      <c r="D96" s="431" t="s">
        <v>4159</v>
      </c>
      <c r="E96" s="431" t="s">
        <v>4160</v>
      </c>
      <c r="F96" s="431">
        <v>2164</v>
      </c>
      <c r="G96" s="431">
        <v>2021</v>
      </c>
      <c r="H96" s="431">
        <v>2040</v>
      </c>
      <c r="I96" s="431" t="b">
        <v>1</v>
      </c>
      <c r="J96" s="431"/>
      <c r="K96" s="431"/>
      <c r="L96" s="431"/>
      <c r="M96" s="431"/>
      <c r="N96" s="431"/>
      <c r="O96" s="431" t="b">
        <v>0</v>
      </c>
      <c r="P96" s="431" t="b">
        <v>0</v>
      </c>
      <c r="Q96" s="431"/>
      <c r="R96" s="431"/>
      <c r="S96" s="431"/>
      <c r="T96" s="431"/>
      <c r="U96" s="431"/>
      <c r="V96" s="431"/>
      <c r="W96" s="432">
        <v>44376.409140231481</v>
      </c>
      <c r="X96" s="432">
        <v>44376.409269421296</v>
      </c>
      <c r="Y96" s="431" t="s">
        <v>978</v>
      </c>
      <c r="Z96" s="431"/>
      <c r="AA96" s="431"/>
      <c r="AB96" s="431"/>
      <c r="AC96" s="431"/>
      <c r="AD96" s="436" t="str">
        <f t="shared" si="1"/>
        <v/>
      </c>
    </row>
    <row r="97" spans="1:30" ht="14">
      <c r="A97" s="431" t="s">
        <v>3323</v>
      </c>
      <c r="B97" s="431" t="s">
        <v>3324</v>
      </c>
      <c r="C97" s="431" t="s">
        <v>348</v>
      </c>
      <c r="D97" s="431" t="s">
        <v>3325</v>
      </c>
      <c r="E97" s="431" t="s">
        <v>3326</v>
      </c>
      <c r="F97" s="431">
        <v>1786</v>
      </c>
      <c r="G97" s="431">
        <v>2016</v>
      </c>
      <c r="H97" s="431">
        <v>2035</v>
      </c>
      <c r="I97" s="431" t="b">
        <v>1</v>
      </c>
      <c r="J97" s="431" t="s">
        <v>907</v>
      </c>
      <c r="K97" s="431">
        <v>1031</v>
      </c>
      <c r="L97" s="431"/>
      <c r="M97" s="431"/>
      <c r="N97" s="431"/>
      <c r="O97" s="431" t="b">
        <v>1</v>
      </c>
      <c r="P97" s="431" t="b">
        <v>0</v>
      </c>
      <c r="Q97" s="431" t="s">
        <v>3327</v>
      </c>
      <c r="R97" s="431" t="s">
        <v>3328</v>
      </c>
      <c r="S97" s="431" t="s">
        <v>4161</v>
      </c>
      <c r="T97" s="431" t="s">
        <v>4162</v>
      </c>
      <c r="U97" s="431"/>
      <c r="V97" s="431" t="s">
        <v>3329</v>
      </c>
      <c r="W97" s="432">
        <v>43585.592127303244</v>
      </c>
      <c r="X97" s="432">
        <v>44616.043453032406</v>
      </c>
      <c r="Y97" s="431"/>
      <c r="Z97" s="433">
        <v>42628</v>
      </c>
      <c r="AA97" s="433">
        <v>42794</v>
      </c>
      <c r="AB97" s="433">
        <v>43088</v>
      </c>
      <c r="AC97" s="433">
        <v>43159</v>
      </c>
      <c r="AD97" s="436">
        <f t="shared" si="1"/>
        <v>1031</v>
      </c>
    </row>
    <row r="98" spans="1:30" ht="14">
      <c r="A98" s="431" t="s">
        <v>2170</v>
      </c>
      <c r="B98" s="431" t="s">
        <v>2171</v>
      </c>
      <c r="C98" s="431" t="s">
        <v>386</v>
      </c>
      <c r="D98" s="431" t="s">
        <v>2172</v>
      </c>
      <c r="E98" s="431" t="s">
        <v>2173</v>
      </c>
      <c r="F98" s="431">
        <v>523</v>
      </c>
      <c r="G98" s="431">
        <v>2011</v>
      </c>
      <c r="H98" s="431">
        <v>2026</v>
      </c>
      <c r="I98" s="431" t="b">
        <v>1</v>
      </c>
      <c r="J98" s="431" t="s">
        <v>891</v>
      </c>
      <c r="K98" s="431">
        <v>3200</v>
      </c>
      <c r="L98" s="431"/>
      <c r="M98" s="431"/>
      <c r="N98" s="431"/>
      <c r="O98" s="431" t="b">
        <v>1</v>
      </c>
      <c r="P98" s="431" t="b">
        <v>0</v>
      </c>
      <c r="Q98" s="431" t="s">
        <v>2174</v>
      </c>
      <c r="R98" s="431" t="s">
        <v>2175</v>
      </c>
      <c r="S98" s="431" t="s">
        <v>2176</v>
      </c>
      <c r="T98" s="431" t="s">
        <v>4163</v>
      </c>
      <c r="U98" s="431"/>
      <c r="V98" s="431" t="s">
        <v>2177</v>
      </c>
      <c r="W98" s="432">
        <v>43585.592128113429</v>
      </c>
      <c r="X98" s="432">
        <v>44616.048337916669</v>
      </c>
      <c r="Y98" s="431"/>
      <c r="Z98" s="433">
        <v>40406</v>
      </c>
      <c r="AA98" s="433">
        <v>40682</v>
      </c>
      <c r="AB98" s="433">
        <v>40891</v>
      </c>
      <c r="AC98" s="433">
        <v>40927</v>
      </c>
      <c r="AD98" s="436">
        <f t="shared" si="1"/>
        <v>213.33333333333334</v>
      </c>
    </row>
    <row r="99" spans="1:30" ht="14">
      <c r="A99" s="431" t="s">
        <v>2170</v>
      </c>
      <c r="B99" s="431" t="s">
        <v>2171</v>
      </c>
      <c r="C99" s="431" t="s">
        <v>386</v>
      </c>
      <c r="D99" s="431" t="s">
        <v>2107</v>
      </c>
      <c r="E99" s="431" t="s">
        <v>2178</v>
      </c>
      <c r="F99" s="431">
        <v>2135</v>
      </c>
      <c r="G99" s="431">
        <v>2016</v>
      </c>
      <c r="H99" s="431">
        <v>2036</v>
      </c>
      <c r="I99" s="431" t="b">
        <v>1</v>
      </c>
      <c r="J99" s="431" t="s">
        <v>891</v>
      </c>
      <c r="K99" s="431">
        <v>4320</v>
      </c>
      <c r="L99" s="431"/>
      <c r="M99" s="431"/>
      <c r="N99" s="431"/>
      <c r="O99" s="431" t="b">
        <v>1</v>
      </c>
      <c r="P99" s="431" t="b">
        <v>0</v>
      </c>
      <c r="Q99" s="431" t="s">
        <v>2179</v>
      </c>
      <c r="R99" s="431" t="s">
        <v>2180</v>
      </c>
      <c r="S99" s="431" t="s">
        <v>2181</v>
      </c>
      <c r="T99" s="431" t="s">
        <v>4164</v>
      </c>
      <c r="U99" s="431"/>
      <c r="V99" s="431" t="s">
        <v>2182</v>
      </c>
      <c r="W99" s="432">
        <v>43585.592111527774</v>
      </c>
      <c r="X99" s="432">
        <v>44616.043249479168</v>
      </c>
      <c r="Y99" s="431"/>
      <c r="Z99" s="431"/>
      <c r="AA99" s="431"/>
      <c r="AB99" s="431"/>
      <c r="AC99" s="431"/>
      <c r="AD99" s="436">
        <f t="shared" si="1"/>
        <v>216</v>
      </c>
    </row>
    <row r="100" spans="1:30" ht="14">
      <c r="A100" s="431" t="s">
        <v>3774</v>
      </c>
      <c r="B100" s="431" t="s">
        <v>3775</v>
      </c>
      <c r="C100" s="431" t="s">
        <v>398</v>
      </c>
      <c r="D100" s="431" t="s">
        <v>3752</v>
      </c>
      <c r="E100" s="431" t="s">
        <v>3753</v>
      </c>
      <c r="F100" s="431">
        <v>1367</v>
      </c>
      <c r="G100" s="431">
        <v>2011</v>
      </c>
      <c r="H100" s="431">
        <v>2031</v>
      </c>
      <c r="I100" s="431" t="b">
        <v>1</v>
      </c>
      <c r="J100" s="431" t="s">
        <v>891</v>
      </c>
      <c r="K100" s="431">
        <v>10400</v>
      </c>
      <c r="L100" s="431"/>
      <c r="M100" s="431"/>
      <c r="N100" s="431"/>
      <c r="O100" s="431" t="b">
        <v>1</v>
      </c>
      <c r="P100" s="431" t="b">
        <v>1</v>
      </c>
      <c r="Q100" s="431" t="s">
        <v>3754</v>
      </c>
      <c r="R100" s="431" t="s">
        <v>3755</v>
      </c>
      <c r="S100" s="431" t="s">
        <v>3756</v>
      </c>
      <c r="T100" s="431" t="s">
        <v>4134</v>
      </c>
      <c r="U100" s="431" t="s">
        <v>3757</v>
      </c>
      <c r="V100" s="431" t="s">
        <v>3758</v>
      </c>
      <c r="W100" s="432">
        <v>43585.592121250003</v>
      </c>
      <c r="X100" s="432">
        <v>44616.043142002316</v>
      </c>
      <c r="Y100" s="431"/>
      <c r="Z100" s="433">
        <v>42030</v>
      </c>
      <c r="AA100" s="433">
        <v>42216</v>
      </c>
      <c r="AB100" s="433">
        <v>42543</v>
      </c>
      <c r="AC100" s="433">
        <v>42565</v>
      </c>
      <c r="AD100" s="436">
        <f t="shared" si="1"/>
        <v>520</v>
      </c>
    </row>
    <row r="101" spans="1:30" ht="14">
      <c r="A101" s="431" t="s">
        <v>1583</v>
      </c>
      <c r="B101" s="431" t="s">
        <v>1584</v>
      </c>
      <c r="C101" s="431" t="s">
        <v>266</v>
      </c>
      <c r="D101" s="431" t="s">
        <v>1585</v>
      </c>
      <c r="E101" s="431" t="s">
        <v>1586</v>
      </c>
      <c r="F101" s="431">
        <v>1778</v>
      </c>
      <c r="G101" s="431">
        <v>2013</v>
      </c>
      <c r="H101" s="431">
        <v>2033</v>
      </c>
      <c r="I101" s="431" t="b">
        <v>1</v>
      </c>
      <c r="J101" s="431" t="s">
        <v>907</v>
      </c>
      <c r="K101" s="431">
        <v>268</v>
      </c>
      <c r="L101" s="431"/>
      <c r="M101" s="431"/>
      <c r="N101" s="431"/>
      <c r="O101" s="431" t="b">
        <v>1</v>
      </c>
      <c r="P101" s="431" t="b">
        <v>0</v>
      </c>
      <c r="Q101" s="431" t="s">
        <v>1587</v>
      </c>
      <c r="R101" s="431" t="s">
        <v>1588</v>
      </c>
      <c r="S101" s="431" t="s">
        <v>1589</v>
      </c>
      <c r="T101" s="431"/>
      <c r="U101" s="431" t="s">
        <v>4165</v>
      </c>
      <c r="V101" s="431" t="s">
        <v>1590</v>
      </c>
      <c r="W101" s="432">
        <v>43585.592119930552</v>
      </c>
      <c r="X101" s="432">
        <v>44616.04595133102</v>
      </c>
      <c r="Y101" s="431"/>
      <c r="Z101" s="433">
        <v>42593</v>
      </c>
      <c r="AA101" s="433">
        <v>42724</v>
      </c>
      <c r="AB101" s="433">
        <v>43052</v>
      </c>
      <c r="AC101" s="433">
        <v>43076</v>
      </c>
      <c r="AD101" s="436">
        <f t="shared" si="1"/>
        <v>268</v>
      </c>
    </row>
    <row r="102" spans="1:30" ht="14">
      <c r="A102" s="431" t="s">
        <v>1693</v>
      </c>
      <c r="B102" s="431" t="s">
        <v>1694</v>
      </c>
      <c r="C102" s="431" t="s">
        <v>298</v>
      </c>
      <c r="D102" s="431" t="s">
        <v>1695</v>
      </c>
      <c r="E102" s="431" t="s">
        <v>1696</v>
      </c>
      <c r="F102" s="431">
        <v>683</v>
      </c>
      <c r="G102" s="431">
        <v>2006</v>
      </c>
      <c r="H102" s="431">
        <v>2027</v>
      </c>
      <c r="I102" s="431" t="b">
        <v>1</v>
      </c>
      <c r="J102" s="431" t="s">
        <v>891</v>
      </c>
      <c r="K102" s="431">
        <v>5022</v>
      </c>
      <c r="L102" s="431"/>
      <c r="M102" s="431"/>
      <c r="N102" s="431"/>
      <c r="O102" s="431" t="b">
        <v>1</v>
      </c>
      <c r="P102" s="431" t="b">
        <v>0</v>
      </c>
      <c r="Q102" s="431" t="s">
        <v>1697</v>
      </c>
      <c r="R102" s="431" t="s">
        <v>1698</v>
      </c>
      <c r="S102" s="431" t="s">
        <v>1699</v>
      </c>
      <c r="T102" s="431" t="s">
        <v>1700</v>
      </c>
      <c r="U102" s="431"/>
      <c r="V102" s="431" t="s">
        <v>1701</v>
      </c>
      <c r="W102" s="432">
        <v>43585.592121122689</v>
      </c>
      <c r="X102" s="432">
        <v>44616.048815520837</v>
      </c>
      <c r="Y102" s="431"/>
      <c r="Z102" s="433">
        <v>40802</v>
      </c>
      <c r="AA102" s="433">
        <v>40939</v>
      </c>
      <c r="AB102" s="433">
        <v>41234</v>
      </c>
      <c r="AC102" s="433">
        <v>41325</v>
      </c>
      <c r="AD102" s="436">
        <f t="shared" si="1"/>
        <v>239.14285714285714</v>
      </c>
    </row>
    <row r="103" spans="1:30" ht="14">
      <c r="A103" s="431" t="s">
        <v>1693</v>
      </c>
      <c r="B103" s="431" t="s">
        <v>1694</v>
      </c>
      <c r="C103" s="431" t="s">
        <v>298</v>
      </c>
      <c r="D103" s="431" t="s">
        <v>1702</v>
      </c>
      <c r="E103" s="431" t="s">
        <v>1703</v>
      </c>
      <c r="F103" s="431">
        <v>1928</v>
      </c>
      <c r="G103" s="431">
        <v>2018</v>
      </c>
      <c r="H103" s="431">
        <v>2038</v>
      </c>
      <c r="I103" s="431" t="b">
        <v>1</v>
      </c>
      <c r="J103" s="431" t="s">
        <v>907</v>
      </c>
      <c r="K103" s="431"/>
      <c r="L103" s="431"/>
      <c r="M103" s="431"/>
      <c r="N103" s="431"/>
      <c r="O103" s="431" t="b">
        <v>1</v>
      </c>
      <c r="P103" s="431" t="b">
        <v>0</v>
      </c>
      <c r="Q103" s="431" t="s">
        <v>1704</v>
      </c>
      <c r="R103" s="431"/>
      <c r="S103" s="431"/>
      <c r="T103" s="431" t="s">
        <v>1705</v>
      </c>
      <c r="U103" s="431" t="s">
        <v>1706</v>
      </c>
      <c r="V103" s="431"/>
      <c r="W103" s="432">
        <v>44139.475611585651</v>
      </c>
      <c r="X103" s="432">
        <v>44616.043174340281</v>
      </c>
      <c r="Y103" s="431"/>
      <c r="Z103" s="431"/>
      <c r="AA103" s="431"/>
      <c r="AB103" s="431"/>
      <c r="AC103" s="431"/>
      <c r="AD103" s="436">
        <f t="shared" si="1"/>
        <v>0</v>
      </c>
    </row>
    <row r="104" spans="1:30" ht="14">
      <c r="A104" s="431" t="s">
        <v>2260</v>
      </c>
      <c r="B104" s="431" t="s">
        <v>2261</v>
      </c>
      <c r="C104" s="431" t="s">
        <v>378</v>
      </c>
      <c r="D104" s="431" t="s">
        <v>931</v>
      </c>
      <c r="E104" s="431" t="s">
        <v>2262</v>
      </c>
      <c r="F104" s="431">
        <v>557</v>
      </c>
      <c r="G104" s="431">
        <v>2006</v>
      </c>
      <c r="H104" s="431">
        <v>2026</v>
      </c>
      <c r="I104" s="431" t="b">
        <v>1</v>
      </c>
      <c r="J104" s="431" t="s">
        <v>891</v>
      </c>
      <c r="K104" s="431">
        <v>9000</v>
      </c>
      <c r="L104" s="431"/>
      <c r="M104" s="431"/>
      <c r="N104" s="431"/>
      <c r="O104" s="431" t="b">
        <v>1</v>
      </c>
      <c r="P104" s="431" t="b">
        <v>0</v>
      </c>
      <c r="Q104" s="431" t="s">
        <v>2263</v>
      </c>
      <c r="R104" s="431" t="s">
        <v>2264</v>
      </c>
      <c r="S104" s="431" t="s">
        <v>4166</v>
      </c>
      <c r="T104" s="431" t="s">
        <v>4167</v>
      </c>
      <c r="U104" s="431" t="s">
        <v>2265</v>
      </c>
      <c r="V104" s="431"/>
      <c r="W104" s="432">
        <v>43585.592127754629</v>
      </c>
      <c r="X104" s="432">
        <v>44616.042647743052</v>
      </c>
      <c r="Y104" s="431"/>
      <c r="Z104" s="433">
        <v>39752</v>
      </c>
      <c r="AA104" s="433">
        <v>39843</v>
      </c>
      <c r="AB104" s="433">
        <v>40144</v>
      </c>
      <c r="AC104" s="433">
        <v>40162</v>
      </c>
      <c r="AD104" s="436">
        <f t="shared" si="1"/>
        <v>450</v>
      </c>
    </row>
    <row r="105" spans="1:30" ht="14">
      <c r="A105" s="431" t="s">
        <v>2260</v>
      </c>
      <c r="B105" s="431" t="s">
        <v>2261</v>
      </c>
      <c r="C105" s="431" t="s">
        <v>378</v>
      </c>
      <c r="D105" s="431" t="s">
        <v>1647</v>
      </c>
      <c r="E105" s="431" t="s">
        <v>2266</v>
      </c>
      <c r="F105" s="431">
        <v>2150</v>
      </c>
      <c r="G105" s="431">
        <v>2020</v>
      </c>
      <c r="H105" s="431">
        <v>2039</v>
      </c>
      <c r="I105" s="431" t="b">
        <v>1</v>
      </c>
      <c r="J105" s="431" t="s">
        <v>907</v>
      </c>
      <c r="K105" s="431">
        <v>454</v>
      </c>
      <c r="L105" s="431"/>
      <c r="M105" s="431"/>
      <c r="N105" s="431"/>
      <c r="O105" s="431" t="b">
        <v>1</v>
      </c>
      <c r="P105" s="431" t="b">
        <v>0</v>
      </c>
      <c r="Q105" s="431" t="s">
        <v>2267</v>
      </c>
      <c r="R105" s="431" t="s">
        <v>2268</v>
      </c>
      <c r="S105" s="431" t="s">
        <v>2269</v>
      </c>
      <c r="T105" s="431" t="s">
        <v>4168</v>
      </c>
      <c r="U105" s="431"/>
      <c r="V105" s="431" t="s">
        <v>2270</v>
      </c>
      <c r="W105" s="432">
        <v>43585.592126840274</v>
      </c>
      <c r="X105" s="432">
        <v>44616.044086655093</v>
      </c>
      <c r="Y105" s="431"/>
      <c r="Z105" s="431"/>
      <c r="AA105" s="431"/>
      <c r="AB105" s="431"/>
      <c r="AC105" s="431"/>
      <c r="AD105" s="436">
        <f t="shared" si="1"/>
        <v>454</v>
      </c>
    </row>
    <row r="106" spans="1:30" ht="14">
      <c r="A106" s="431" t="s">
        <v>2099</v>
      </c>
      <c r="B106" s="431" t="s">
        <v>2100</v>
      </c>
      <c r="C106" s="431" t="s">
        <v>320</v>
      </c>
      <c r="D106" s="431" t="s">
        <v>2101</v>
      </c>
      <c r="E106" s="431" t="s">
        <v>2102</v>
      </c>
      <c r="F106" s="431">
        <v>931</v>
      </c>
      <c r="G106" s="431">
        <v>2006</v>
      </c>
      <c r="H106" s="431">
        <v>2031</v>
      </c>
      <c r="I106" s="431" t="b">
        <v>1</v>
      </c>
      <c r="J106" s="431" t="s">
        <v>907</v>
      </c>
      <c r="K106" s="431">
        <v>350</v>
      </c>
      <c r="L106" s="431"/>
      <c r="M106" s="431"/>
      <c r="N106" s="431"/>
      <c r="O106" s="431" t="b">
        <v>1</v>
      </c>
      <c r="P106" s="431" t="b">
        <v>0</v>
      </c>
      <c r="Q106" s="431" t="s">
        <v>2103</v>
      </c>
      <c r="R106" s="431" t="s">
        <v>2104</v>
      </c>
      <c r="S106" s="431" t="s">
        <v>2105</v>
      </c>
      <c r="T106" s="431" t="s">
        <v>4169</v>
      </c>
      <c r="U106" s="431"/>
      <c r="V106" s="431" t="s">
        <v>2106</v>
      </c>
      <c r="W106" s="432">
        <v>43585.59212267361</v>
      </c>
      <c r="X106" s="432">
        <v>44616.046307662036</v>
      </c>
      <c r="Y106" s="431"/>
      <c r="Z106" s="433">
        <v>40751</v>
      </c>
      <c r="AA106" s="433">
        <v>40939</v>
      </c>
      <c r="AB106" s="433">
        <v>41435</v>
      </c>
      <c r="AC106" s="433">
        <v>41535</v>
      </c>
      <c r="AD106" s="436">
        <f t="shared" si="1"/>
        <v>350</v>
      </c>
    </row>
    <row r="107" spans="1:30" ht="14">
      <c r="A107" s="431" t="s">
        <v>2099</v>
      </c>
      <c r="B107" s="431" t="s">
        <v>2100</v>
      </c>
      <c r="C107" s="431" t="s">
        <v>320</v>
      </c>
      <c r="D107" s="431" t="s">
        <v>2107</v>
      </c>
      <c r="E107" s="431" t="s">
        <v>2108</v>
      </c>
      <c r="F107" s="431">
        <v>1835</v>
      </c>
      <c r="G107" s="431">
        <v>2019</v>
      </c>
      <c r="H107" s="431">
        <v>2037</v>
      </c>
      <c r="I107" s="431" t="b">
        <v>1</v>
      </c>
      <c r="J107" s="431" t="s">
        <v>907</v>
      </c>
      <c r="K107" s="431">
        <v>738</v>
      </c>
      <c r="L107" s="431"/>
      <c r="M107" s="431"/>
      <c r="N107" s="431"/>
      <c r="O107" s="431" t="b">
        <v>1</v>
      </c>
      <c r="P107" s="431" t="b">
        <v>0</v>
      </c>
      <c r="Q107" s="431" t="s">
        <v>2109</v>
      </c>
      <c r="R107" s="431"/>
      <c r="S107" s="431"/>
      <c r="T107" s="431" t="s">
        <v>2110</v>
      </c>
      <c r="U107" s="431"/>
      <c r="V107" s="431" t="s">
        <v>2111</v>
      </c>
      <c r="W107" s="432">
        <v>44112.651693935186</v>
      </c>
      <c r="X107" s="432">
        <v>44616.044010173609</v>
      </c>
      <c r="Y107" s="431"/>
      <c r="Z107" s="433">
        <v>43490</v>
      </c>
      <c r="AA107" s="433">
        <v>43900</v>
      </c>
      <c r="AB107" s="431"/>
      <c r="AC107" s="431"/>
      <c r="AD107" s="436">
        <f t="shared" si="1"/>
        <v>738</v>
      </c>
    </row>
    <row r="108" spans="1:30" ht="14">
      <c r="A108" s="431" t="s">
        <v>2156</v>
      </c>
      <c r="B108" s="431" t="s">
        <v>2157</v>
      </c>
      <c r="C108" s="431" t="s">
        <v>324</v>
      </c>
      <c r="D108" s="431" t="s">
        <v>2158</v>
      </c>
      <c r="E108" s="431" t="s">
        <v>2159</v>
      </c>
      <c r="F108" s="431">
        <v>1782</v>
      </c>
      <c r="G108" s="431">
        <v>2011</v>
      </c>
      <c r="H108" s="431">
        <v>2032</v>
      </c>
      <c r="I108" s="431" t="b">
        <v>1</v>
      </c>
      <c r="J108" s="431" t="s">
        <v>891</v>
      </c>
      <c r="K108" s="431">
        <v>8715</v>
      </c>
      <c r="L108" s="431"/>
      <c r="M108" s="431"/>
      <c r="N108" s="431"/>
      <c r="O108" s="431" t="b">
        <v>1</v>
      </c>
      <c r="P108" s="431" t="b">
        <v>0</v>
      </c>
      <c r="Q108" s="431" t="s">
        <v>2160</v>
      </c>
      <c r="R108" s="431" t="s">
        <v>2161</v>
      </c>
      <c r="S108" s="431" t="s">
        <v>2162</v>
      </c>
      <c r="T108" s="431" t="s">
        <v>2163</v>
      </c>
      <c r="U108" s="431"/>
      <c r="V108" s="431" t="s">
        <v>2164</v>
      </c>
      <c r="W108" s="432">
        <v>43585.592123576389</v>
      </c>
      <c r="X108" s="432">
        <v>44616.047095092596</v>
      </c>
      <c r="Y108" s="431"/>
      <c r="Z108" s="433">
        <v>42593</v>
      </c>
      <c r="AA108" s="433">
        <v>42713</v>
      </c>
      <c r="AB108" s="433">
        <v>43362</v>
      </c>
      <c r="AC108" s="433">
        <v>43395</v>
      </c>
      <c r="AD108" s="436">
        <f t="shared" si="1"/>
        <v>415</v>
      </c>
    </row>
    <row r="109" spans="1:30" ht="14">
      <c r="A109" s="431" t="s">
        <v>2156</v>
      </c>
      <c r="B109" s="431" t="s">
        <v>2157</v>
      </c>
      <c r="C109" s="431" t="s">
        <v>324</v>
      </c>
      <c r="D109" s="431" t="s">
        <v>4170</v>
      </c>
      <c r="E109" s="431" t="s">
        <v>2165</v>
      </c>
      <c r="F109" s="431">
        <v>2240</v>
      </c>
      <c r="G109" s="431">
        <v>2019</v>
      </c>
      <c r="H109" s="431">
        <v>2032</v>
      </c>
      <c r="I109" s="431" t="b">
        <v>1</v>
      </c>
      <c r="J109" s="431" t="s">
        <v>891</v>
      </c>
      <c r="K109" s="431">
        <v>7275</v>
      </c>
      <c r="L109" s="431"/>
      <c r="M109" s="431"/>
      <c r="N109" s="431"/>
      <c r="O109" s="431" t="b">
        <v>1</v>
      </c>
      <c r="P109" s="431" t="b">
        <v>0</v>
      </c>
      <c r="Q109" s="431" t="s">
        <v>2166</v>
      </c>
      <c r="R109" s="431" t="s">
        <v>2167</v>
      </c>
      <c r="S109" s="431" t="s">
        <v>2168</v>
      </c>
      <c r="T109" s="431" t="s">
        <v>4171</v>
      </c>
      <c r="U109" s="431" t="s">
        <v>4172</v>
      </c>
      <c r="V109" s="431" t="s">
        <v>2169</v>
      </c>
      <c r="W109" s="432">
        <v>44047.472624571761</v>
      </c>
      <c r="X109" s="432">
        <v>44616.047103090277</v>
      </c>
      <c r="Y109" s="431"/>
      <c r="Z109" s="433">
        <v>44035</v>
      </c>
      <c r="AA109" s="433">
        <v>44125</v>
      </c>
      <c r="AB109" s="433">
        <v>44490</v>
      </c>
      <c r="AC109" s="431"/>
      <c r="AD109" s="436">
        <f t="shared" si="1"/>
        <v>559.61538461538464</v>
      </c>
    </row>
    <row r="110" spans="1:30" ht="14">
      <c r="A110" s="431" t="s">
        <v>2328</v>
      </c>
      <c r="B110" s="431" t="s">
        <v>2329</v>
      </c>
      <c r="C110" s="431" t="s">
        <v>400</v>
      </c>
      <c r="D110" s="431" t="s">
        <v>2330</v>
      </c>
      <c r="E110" s="431" t="s">
        <v>2331</v>
      </c>
      <c r="F110" s="431">
        <v>620</v>
      </c>
      <c r="G110" s="431">
        <v>2001</v>
      </c>
      <c r="H110" s="431">
        <v>2026</v>
      </c>
      <c r="I110" s="431" t="b">
        <v>1</v>
      </c>
      <c r="J110" s="431" t="s">
        <v>891</v>
      </c>
      <c r="K110" s="431">
        <v>16500</v>
      </c>
      <c r="L110" s="431"/>
      <c r="M110" s="431"/>
      <c r="N110" s="431"/>
      <c r="O110" s="431" t="b">
        <v>1</v>
      </c>
      <c r="P110" s="431" t="b">
        <v>0</v>
      </c>
      <c r="Q110" s="431" t="s">
        <v>2332</v>
      </c>
      <c r="R110" s="431"/>
      <c r="S110" s="431"/>
      <c r="T110" s="431" t="s">
        <v>2333</v>
      </c>
      <c r="U110" s="431"/>
      <c r="V110" s="431" t="s">
        <v>2334</v>
      </c>
      <c r="W110" s="432">
        <v>43585.592129247685</v>
      </c>
      <c r="X110" s="432">
        <v>44616.048468449073</v>
      </c>
      <c r="Y110" s="431"/>
      <c r="Z110" s="433">
        <v>40191</v>
      </c>
      <c r="AA110" s="433">
        <v>40487</v>
      </c>
      <c r="AB110" s="433">
        <v>40686</v>
      </c>
      <c r="AC110" s="433">
        <v>40752</v>
      </c>
      <c r="AD110" s="436">
        <f t="shared" si="1"/>
        <v>660</v>
      </c>
    </row>
    <row r="111" spans="1:30" ht="14">
      <c r="A111" s="431" t="s">
        <v>2328</v>
      </c>
      <c r="B111" s="431" t="s">
        <v>2329</v>
      </c>
      <c r="C111" s="431" t="s">
        <v>400</v>
      </c>
      <c r="D111" s="431" t="s">
        <v>1647</v>
      </c>
      <c r="E111" s="431" t="s">
        <v>2335</v>
      </c>
      <c r="F111" s="431">
        <v>2105</v>
      </c>
      <c r="G111" s="431">
        <v>2016</v>
      </c>
      <c r="H111" s="431">
        <v>2036</v>
      </c>
      <c r="I111" s="431" t="b">
        <v>1</v>
      </c>
      <c r="J111" s="431" t="s">
        <v>891</v>
      </c>
      <c r="K111" s="431">
        <v>1277</v>
      </c>
      <c r="L111" s="431"/>
      <c r="M111" s="431"/>
      <c r="N111" s="431"/>
      <c r="O111" s="431" t="b">
        <v>1</v>
      </c>
      <c r="P111" s="431" t="b">
        <v>0</v>
      </c>
      <c r="Q111" s="431" t="s">
        <v>2336</v>
      </c>
      <c r="R111" s="431" t="s">
        <v>2337</v>
      </c>
      <c r="S111" s="431" t="s">
        <v>2338</v>
      </c>
      <c r="T111" s="431" t="s">
        <v>4173</v>
      </c>
      <c r="U111" s="431"/>
      <c r="V111" s="431" t="s">
        <v>2339</v>
      </c>
      <c r="W111" s="432">
        <v>43585.592115902778</v>
      </c>
      <c r="X111" s="432">
        <v>44616.048435219906</v>
      </c>
      <c r="Y111" s="431"/>
      <c r="Z111" s="433">
        <v>44410</v>
      </c>
      <c r="AA111" s="431"/>
      <c r="AB111" s="431"/>
      <c r="AC111" s="431"/>
      <c r="AD111" s="436">
        <f t="shared" si="1"/>
        <v>63.85</v>
      </c>
    </row>
    <row r="112" spans="1:30" ht="14">
      <c r="A112" s="431" t="s">
        <v>1464</v>
      </c>
      <c r="B112" s="431" t="s">
        <v>1465</v>
      </c>
      <c r="C112" s="431" t="s">
        <v>280</v>
      </c>
      <c r="D112" s="431" t="s">
        <v>1472</v>
      </c>
      <c r="E112" s="431" t="s">
        <v>1473</v>
      </c>
      <c r="F112" s="431">
        <v>1870</v>
      </c>
      <c r="G112" s="431"/>
      <c r="H112" s="431"/>
      <c r="I112" s="431" t="b">
        <v>0</v>
      </c>
      <c r="J112" s="431"/>
      <c r="K112" s="431"/>
      <c r="L112" s="431"/>
      <c r="M112" s="431"/>
      <c r="N112" s="431"/>
      <c r="O112" s="431" t="b">
        <v>0</v>
      </c>
      <c r="P112" s="431" t="b">
        <v>0</v>
      </c>
      <c r="Q112" s="431"/>
      <c r="R112" s="431"/>
      <c r="S112" s="431"/>
      <c r="T112" s="431"/>
      <c r="U112" s="431"/>
      <c r="V112" s="431"/>
      <c r="W112" s="432">
        <v>43585.59212021991</v>
      </c>
      <c r="X112" s="432">
        <v>43684.624141354165</v>
      </c>
      <c r="Y112" s="431" t="s">
        <v>978</v>
      </c>
      <c r="Z112" s="433">
        <v>43047</v>
      </c>
      <c r="AA112" s="433">
        <v>43147</v>
      </c>
      <c r="AB112" s="431"/>
      <c r="AC112" s="431"/>
      <c r="AD112" s="436" t="str">
        <f t="shared" si="1"/>
        <v/>
      </c>
    </row>
    <row r="113" spans="1:30" ht="14">
      <c r="A113" s="431" t="s">
        <v>1464</v>
      </c>
      <c r="B113" s="431" t="s">
        <v>1465</v>
      </c>
      <c r="C113" s="431" t="s">
        <v>280</v>
      </c>
      <c r="D113" s="431" t="s">
        <v>4174</v>
      </c>
      <c r="E113" s="431" t="s">
        <v>4175</v>
      </c>
      <c r="F113" s="431">
        <v>2181</v>
      </c>
      <c r="G113" s="431">
        <v>2011</v>
      </c>
      <c r="H113" s="431">
        <v>2031</v>
      </c>
      <c r="I113" s="431" t="b">
        <v>1</v>
      </c>
      <c r="J113" s="431" t="s">
        <v>891</v>
      </c>
      <c r="K113" s="431">
        <v>8922</v>
      </c>
      <c r="L113" s="431"/>
      <c r="M113" s="431"/>
      <c r="N113" s="431"/>
      <c r="O113" s="431" t="b">
        <v>1</v>
      </c>
      <c r="P113" s="431" t="b">
        <v>0</v>
      </c>
      <c r="Q113" s="431" t="s">
        <v>4176</v>
      </c>
      <c r="R113" s="431" t="s">
        <v>4177</v>
      </c>
      <c r="S113" s="431" t="s">
        <v>4178</v>
      </c>
      <c r="T113" s="431"/>
      <c r="U113" s="431" t="s">
        <v>4179</v>
      </c>
      <c r="V113" s="431" t="s">
        <v>4180</v>
      </c>
      <c r="W113" s="432">
        <v>44481.48697917824</v>
      </c>
      <c r="X113" s="432">
        <v>44616.048806724539</v>
      </c>
      <c r="Y113" s="431"/>
      <c r="Z113" s="431"/>
      <c r="AA113" s="431"/>
      <c r="AB113" s="431"/>
      <c r="AC113" s="431"/>
      <c r="AD113" s="436">
        <f t="shared" si="1"/>
        <v>446.1</v>
      </c>
    </row>
    <row r="114" spans="1:30" ht="14">
      <c r="A114" s="431" t="s">
        <v>1464</v>
      </c>
      <c r="B114" s="431" t="s">
        <v>1465</v>
      </c>
      <c r="C114" s="431" t="s">
        <v>280</v>
      </c>
      <c r="D114" s="431" t="s">
        <v>1466</v>
      </c>
      <c r="E114" s="431" t="s">
        <v>1467</v>
      </c>
      <c r="F114" s="431">
        <v>1415</v>
      </c>
      <c r="G114" s="431">
        <v>2011</v>
      </c>
      <c r="H114" s="431">
        <v>2031</v>
      </c>
      <c r="I114" s="431" t="b">
        <v>1</v>
      </c>
      <c r="J114" s="431" t="s">
        <v>891</v>
      </c>
      <c r="K114" s="431">
        <v>11500</v>
      </c>
      <c r="L114" s="431"/>
      <c r="M114" s="431"/>
      <c r="N114" s="431"/>
      <c r="O114" s="431" t="b">
        <v>1</v>
      </c>
      <c r="P114" s="431" t="b">
        <v>0</v>
      </c>
      <c r="Q114" s="431" t="s">
        <v>1468</v>
      </c>
      <c r="R114" s="431" t="s">
        <v>1469</v>
      </c>
      <c r="S114" s="431" t="s">
        <v>1470</v>
      </c>
      <c r="T114" s="431"/>
      <c r="U114" s="431" t="s">
        <v>4181</v>
      </c>
      <c r="V114" s="431" t="s">
        <v>1471</v>
      </c>
      <c r="W114" s="432">
        <v>43585.592120752313</v>
      </c>
      <c r="X114" s="432">
        <v>44616.046464560182</v>
      </c>
      <c r="Y114" s="431"/>
      <c r="Z114" s="433">
        <v>41316</v>
      </c>
      <c r="AA114" s="433">
        <v>41515</v>
      </c>
      <c r="AB114" s="433">
        <v>42072</v>
      </c>
      <c r="AC114" s="433">
        <v>42115</v>
      </c>
      <c r="AD114" s="436">
        <f t="shared" si="1"/>
        <v>575</v>
      </c>
    </row>
    <row r="115" spans="1:30" ht="14">
      <c r="A115" s="431" t="s">
        <v>1915</v>
      </c>
      <c r="B115" s="431" t="s">
        <v>1916</v>
      </c>
      <c r="C115" s="431" t="s">
        <v>360</v>
      </c>
      <c r="D115" s="431" t="s">
        <v>1917</v>
      </c>
      <c r="E115" s="431" t="s">
        <v>1918</v>
      </c>
      <c r="F115" s="431">
        <v>1904</v>
      </c>
      <c r="G115" s="431">
        <v>2014</v>
      </c>
      <c r="H115" s="431">
        <v>2032</v>
      </c>
      <c r="I115" s="431" t="b">
        <v>1</v>
      </c>
      <c r="J115" s="431" t="s">
        <v>891</v>
      </c>
      <c r="K115" s="431">
        <v>7614</v>
      </c>
      <c r="L115" s="431"/>
      <c r="M115" s="431"/>
      <c r="N115" s="431"/>
      <c r="O115" s="431" t="b">
        <v>1</v>
      </c>
      <c r="P115" s="431" t="b">
        <v>0</v>
      </c>
      <c r="Q115" s="431" t="s">
        <v>1919</v>
      </c>
      <c r="R115" s="431" t="s">
        <v>1920</v>
      </c>
      <c r="S115" s="431" t="s">
        <v>1921</v>
      </c>
      <c r="T115" s="431" t="s">
        <v>1922</v>
      </c>
      <c r="U115" s="431" t="s">
        <v>1923</v>
      </c>
      <c r="V115" s="431" t="s">
        <v>1924</v>
      </c>
      <c r="W115" s="432">
        <v>43585.59212548611</v>
      </c>
      <c r="X115" s="432">
        <v>44616.044457546297</v>
      </c>
      <c r="Y115" s="431"/>
      <c r="Z115" s="433">
        <v>43140</v>
      </c>
      <c r="AA115" s="433">
        <v>43269</v>
      </c>
      <c r="AB115" s="433">
        <v>43871</v>
      </c>
      <c r="AC115" s="433">
        <v>43951</v>
      </c>
      <c r="AD115" s="436">
        <f t="shared" si="1"/>
        <v>423</v>
      </c>
    </row>
    <row r="116" spans="1:30" ht="14">
      <c r="A116" s="431" t="s">
        <v>1800</v>
      </c>
      <c r="B116" s="431" t="s">
        <v>1801</v>
      </c>
      <c r="C116" s="431" t="s">
        <v>354</v>
      </c>
      <c r="D116" s="431" t="s">
        <v>1802</v>
      </c>
      <c r="E116" s="431" t="s">
        <v>1803</v>
      </c>
      <c r="F116" s="431">
        <v>1915</v>
      </c>
      <c r="G116" s="431">
        <v>2011</v>
      </c>
      <c r="H116" s="431">
        <v>2033</v>
      </c>
      <c r="I116" s="431" t="b">
        <v>1</v>
      </c>
      <c r="J116" s="431" t="s">
        <v>891</v>
      </c>
      <c r="K116" s="431">
        <v>9200</v>
      </c>
      <c r="L116" s="431"/>
      <c r="M116" s="431"/>
      <c r="N116" s="431"/>
      <c r="O116" s="431" t="b">
        <v>1</v>
      </c>
      <c r="P116" s="431" t="b">
        <v>0</v>
      </c>
      <c r="Q116" s="431" t="s">
        <v>4182</v>
      </c>
      <c r="R116" s="431" t="s">
        <v>1804</v>
      </c>
      <c r="S116" s="431" t="s">
        <v>4183</v>
      </c>
      <c r="T116" s="431"/>
      <c r="U116" s="431" t="s">
        <v>4184</v>
      </c>
      <c r="V116" s="431" t="s">
        <v>4185</v>
      </c>
      <c r="W116" s="432">
        <v>43585.592125416668</v>
      </c>
      <c r="X116" s="432">
        <v>44616.041949814811</v>
      </c>
      <c r="Y116" s="431"/>
      <c r="Z116" s="433">
        <v>43244</v>
      </c>
      <c r="AA116" s="433">
        <v>43392</v>
      </c>
      <c r="AB116" s="433">
        <v>44140</v>
      </c>
      <c r="AC116" s="433">
        <v>44175</v>
      </c>
      <c r="AD116" s="436">
        <f t="shared" si="1"/>
        <v>418.18181818181819</v>
      </c>
    </row>
    <row r="117" spans="1:30" ht="14">
      <c r="A117" s="431" t="s">
        <v>1906</v>
      </c>
      <c r="B117" s="431" t="s">
        <v>1907</v>
      </c>
      <c r="C117" s="431" t="s">
        <v>332</v>
      </c>
      <c r="D117" s="431" t="s">
        <v>1908</v>
      </c>
      <c r="E117" s="431" t="s">
        <v>1909</v>
      </c>
      <c r="F117" s="431">
        <v>685</v>
      </c>
      <c r="G117" s="431">
        <v>2011</v>
      </c>
      <c r="H117" s="431">
        <v>2029</v>
      </c>
      <c r="I117" s="431" t="b">
        <v>1</v>
      </c>
      <c r="J117" s="431" t="s">
        <v>891</v>
      </c>
      <c r="K117" s="431">
        <v>3060</v>
      </c>
      <c r="L117" s="431"/>
      <c r="M117" s="431"/>
      <c r="N117" s="431"/>
      <c r="O117" s="431" t="b">
        <v>1</v>
      </c>
      <c r="P117" s="431" t="b">
        <v>0</v>
      </c>
      <c r="Q117" s="431" t="s">
        <v>1910</v>
      </c>
      <c r="R117" s="431" t="s">
        <v>1911</v>
      </c>
      <c r="S117" s="434" t="s">
        <v>1912</v>
      </c>
      <c r="T117" s="431" t="s">
        <v>1913</v>
      </c>
      <c r="U117" s="431"/>
      <c r="V117" s="431" t="s">
        <v>1914</v>
      </c>
      <c r="W117" s="432">
        <v>43585.592123784721</v>
      </c>
      <c r="X117" s="432">
        <v>44616.043396620371</v>
      </c>
      <c r="Y117" s="431"/>
      <c r="Z117" s="433">
        <v>41863</v>
      </c>
      <c r="AA117" s="433">
        <v>41970</v>
      </c>
      <c r="AB117" s="433">
        <v>42254</v>
      </c>
      <c r="AC117" s="433">
        <v>42278</v>
      </c>
      <c r="AD117" s="436">
        <f t="shared" si="1"/>
        <v>170</v>
      </c>
    </row>
    <row r="118" spans="1:30" ht="14">
      <c r="A118" s="431" t="s">
        <v>1607</v>
      </c>
      <c r="B118" s="431" t="s">
        <v>1608</v>
      </c>
      <c r="C118" s="431" t="s">
        <v>374</v>
      </c>
      <c r="D118" s="431" t="s">
        <v>1609</v>
      </c>
      <c r="E118" s="431" t="s">
        <v>1610</v>
      </c>
      <c r="F118" s="431">
        <v>1420</v>
      </c>
      <c r="G118" s="431">
        <v>2011</v>
      </c>
      <c r="H118" s="431">
        <v>2031</v>
      </c>
      <c r="I118" s="431" t="b">
        <v>1</v>
      </c>
      <c r="J118" s="431" t="s">
        <v>891</v>
      </c>
      <c r="K118" s="431">
        <v>6890</v>
      </c>
      <c r="L118" s="431"/>
      <c r="M118" s="431"/>
      <c r="N118" s="431"/>
      <c r="O118" s="431" t="b">
        <v>1</v>
      </c>
      <c r="P118" s="431" t="b">
        <v>0</v>
      </c>
      <c r="Q118" s="431" t="s">
        <v>1611</v>
      </c>
      <c r="R118" s="431" t="s">
        <v>1612</v>
      </c>
      <c r="S118" s="431" t="s">
        <v>1613</v>
      </c>
      <c r="T118" s="431" t="s">
        <v>1614</v>
      </c>
      <c r="U118" s="431" t="s">
        <v>1615</v>
      </c>
      <c r="V118" s="431" t="s">
        <v>1616</v>
      </c>
      <c r="W118" s="432">
        <v>43585.592127129632</v>
      </c>
      <c r="X118" s="432">
        <v>44616.043324571758</v>
      </c>
      <c r="Y118" s="431"/>
      <c r="Z118" s="433">
        <v>41752</v>
      </c>
      <c r="AA118" s="433">
        <v>41879</v>
      </c>
      <c r="AB118" s="433">
        <v>42453</v>
      </c>
      <c r="AC118" s="433">
        <v>42474</v>
      </c>
      <c r="AD118" s="436">
        <f t="shared" si="1"/>
        <v>344.5</v>
      </c>
    </row>
    <row r="119" spans="1:30" ht="14">
      <c r="A119" s="431" t="s">
        <v>3167</v>
      </c>
      <c r="B119" s="431" t="s">
        <v>3168</v>
      </c>
      <c r="C119" s="431" t="s">
        <v>406</v>
      </c>
      <c r="D119" s="431" t="s">
        <v>3169</v>
      </c>
      <c r="E119" s="431" t="s">
        <v>3170</v>
      </c>
      <c r="F119" s="431">
        <v>1797</v>
      </c>
      <c r="G119" s="431">
        <v>2013</v>
      </c>
      <c r="H119" s="431">
        <v>2031</v>
      </c>
      <c r="I119" s="431" t="b">
        <v>1</v>
      </c>
      <c r="J119" s="431" t="s">
        <v>891</v>
      </c>
      <c r="K119" s="431">
        <v>31140</v>
      </c>
      <c r="L119" s="431"/>
      <c r="M119" s="431"/>
      <c r="N119" s="431"/>
      <c r="O119" s="431" t="b">
        <v>1</v>
      </c>
      <c r="P119" s="431" t="b">
        <v>0</v>
      </c>
      <c r="Q119" s="431" t="s">
        <v>3171</v>
      </c>
      <c r="R119" s="431" t="s">
        <v>3172</v>
      </c>
      <c r="S119" s="431" t="s">
        <v>3173</v>
      </c>
      <c r="T119" s="431" t="s">
        <v>4186</v>
      </c>
      <c r="U119" s="431"/>
      <c r="V119" s="431" t="s">
        <v>3174</v>
      </c>
      <c r="W119" s="432">
        <v>43585.59212947917</v>
      </c>
      <c r="X119" s="432">
        <v>44616.047332488422</v>
      </c>
      <c r="Y119" s="431"/>
      <c r="Z119" s="433">
        <v>42681</v>
      </c>
      <c r="AA119" s="433">
        <v>42849</v>
      </c>
      <c r="AB119" s="433">
        <v>43495</v>
      </c>
      <c r="AC119" s="433">
        <v>43523</v>
      </c>
      <c r="AD119" s="436">
        <f t="shared" si="1"/>
        <v>1730</v>
      </c>
    </row>
    <row r="120" spans="1:30" ht="14">
      <c r="A120" s="431" t="s">
        <v>1843</v>
      </c>
      <c r="B120" s="431" t="s">
        <v>1844</v>
      </c>
      <c r="C120" s="431" t="s">
        <v>322</v>
      </c>
      <c r="D120" s="431" t="s">
        <v>1845</v>
      </c>
      <c r="E120" s="431" t="s">
        <v>1846</v>
      </c>
      <c r="F120" s="431">
        <v>509</v>
      </c>
      <c r="G120" s="431">
        <v>2006</v>
      </c>
      <c r="H120" s="431">
        <v>2026</v>
      </c>
      <c r="I120" s="431" t="b">
        <v>1</v>
      </c>
      <c r="J120" s="431" t="s">
        <v>891</v>
      </c>
      <c r="K120" s="431">
        <v>6600</v>
      </c>
      <c r="L120" s="431"/>
      <c r="M120" s="431"/>
      <c r="N120" s="431"/>
      <c r="O120" s="431" t="b">
        <v>1</v>
      </c>
      <c r="P120" s="431" t="b">
        <v>0</v>
      </c>
      <c r="Q120" s="431" t="s">
        <v>1847</v>
      </c>
      <c r="R120" s="431" t="s">
        <v>1848</v>
      </c>
      <c r="S120" s="431" t="s">
        <v>1849</v>
      </c>
      <c r="T120" s="431" t="s">
        <v>1850</v>
      </c>
      <c r="U120" s="431" t="s">
        <v>1851</v>
      </c>
      <c r="V120" s="431" t="s">
        <v>1852</v>
      </c>
      <c r="W120" s="432">
        <v>43585.592122800925</v>
      </c>
      <c r="X120" s="432">
        <v>44616.048091087963</v>
      </c>
      <c r="Y120" s="431"/>
      <c r="Z120" s="433">
        <v>40623</v>
      </c>
      <c r="AA120" s="433">
        <v>40750</v>
      </c>
      <c r="AB120" s="433">
        <v>40898</v>
      </c>
      <c r="AC120" s="433">
        <v>40962</v>
      </c>
      <c r="AD120" s="436">
        <f t="shared" si="1"/>
        <v>330</v>
      </c>
    </row>
    <row r="121" spans="1:30" ht="14">
      <c r="A121" s="431" t="s">
        <v>1843</v>
      </c>
      <c r="B121" s="431" t="s">
        <v>1844</v>
      </c>
      <c r="C121" s="431" t="s">
        <v>322</v>
      </c>
      <c r="D121" s="431" t="s">
        <v>1853</v>
      </c>
      <c r="E121" s="431" t="s">
        <v>1854</v>
      </c>
      <c r="F121" s="431">
        <v>2115</v>
      </c>
      <c r="G121" s="431">
        <v>2021</v>
      </c>
      <c r="H121" s="431">
        <v>2041</v>
      </c>
      <c r="I121" s="431" t="b">
        <v>1</v>
      </c>
      <c r="J121" s="431" t="s">
        <v>891</v>
      </c>
      <c r="K121" s="431">
        <v>7420</v>
      </c>
      <c r="L121" s="431"/>
      <c r="M121" s="431"/>
      <c r="N121" s="431"/>
      <c r="O121" s="431" t="b">
        <v>1</v>
      </c>
      <c r="P121" s="431" t="b">
        <v>0</v>
      </c>
      <c r="Q121" s="431" t="s">
        <v>1855</v>
      </c>
      <c r="R121" s="431" t="s">
        <v>1856</v>
      </c>
      <c r="S121" s="431" t="s">
        <v>1857</v>
      </c>
      <c r="T121" s="431" t="s">
        <v>4187</v>
      </c>
      <c r="U121" s="431" t="s">
        <v>1858</v>
      </c>
      <c r="V121" s="431" t="s">
        <v>1859</v>
      </c>
      <c r="W121" s="432">
        <v>44097.385295208333</v>
      </c>
      <c r="X121" s="432">
        <v>44616.045904247687</v>
      </c>
      <c r="Y121" s="431"/>
      <c r="Z121" s="431"/>
      <c r="AA121" s="431"/>
      <c r="AB121" s="431"/>
      <c r="AC121" s="431"/>
      <c r="AD121" s="436">
        <f t="shared" si="1"/>
        <v>371</v>
      </c>
    </row>
    <row r="122" spans="1:30" ht="14">
      <c r="A122" s="431" t="s">
        <v>3840</v>
      </c>
      <c r="B122" s="431" t="s">
        <v>3841</v>
      </c>
      <c r="C122" s="431" t="s">
        <v>326</v>
      </c>
      <c r="D122" s="431" t="s">
        <v>3817</v>
      </c>
      <c r="E122" s="431" t="s">
        <v>3818</v>
      </c>
      <c r="F122" s="431">
        <v>1501</v>
      </c>
      <c r="G122" s="431">
        <v>2010</v>
      </c>
      <c r="H122" s="431">
        <v>2030</v>
      </c>
      <c r="I122" s="431" t="b">
        <v>1</v>
      </c>
      <c r="J122" s="431" t="s">
        <v>891</v>
      </c>
      <c r="K122" s="431">
        <v>8500</v>
      </c>
      <c r="L122" s="431"/>
      <c r="M122" s="431"/>
      <c r="N122" s="431"/>
      <c r="O122" s="431" t="b">
        <v>1</v>
      </c>
      <c r="P122" s="431" t="b">
        <v>1</v>
      </c>
      <c r="Q122" s="431" t="s">
        <v>3819</v>
      </c>
      <c r="R122" s="431" t="s">
        <v>3820</v>
      </c>
      <c r="S122" s="431" t="s">
        <v>3821</v>
      </c>
      <c r="T122" s="431" t="s">
        <v>4188</v>
      </c>
      <c r="U122" s="431"/>
      <c r="V122" s="431" t="s">
        <v>3822</v>
      </c>
      <c r="W122" s="432">
        <v>43585.592133831022</v>
      </c>
      <c r="X122" s="432">
        <v>44616.044006793978</v>
      </c>
      <c r="Y122" s="431"/>
      <c r="Z122" s="433">
        <v>41526</v>
      </c>
      <c r="AA122" s="433">
        <v>41694</v>
      </c>
      <c r="AB122" s="433">
        <v>42059</v>
      </c>
      <c r="AC122" s="433">
        <v>42089</v>
      </c>
      <c r="AD122" s="436">
        <f t="shared" si="1"/>
        <v>425</v>
      </c>
    </row>
    <row r="123" spans="1:30" ht="14">
      <c r="A123" s="431" t="s">
        <v>1638</v>
      </c>
      <c r="B123" s="431" t="s">
        <v>1639</v>
      </c>
      <c r="C123" s="431" t="s">
        <v>314</v>
      </c>
      <c r="D123" s="431" t="s">
        <v>931</v>
      </c>
      <c r="E123" s="431" t="s">
        <v>1640</v>
      </c>
      <c r="F123" s="431">
        <v>298</v>
      </c>
      <c r="G123" s="431">
        <v>2006</v>
      </c>
      <c r="H123" s="431">
        <v>2026</v>
      </c>
      <c r="I123" s="431" t="b">
        <v>1</v>
      </c>
      <c r="J123" s="431" t="s">
        <v>891</v>
      </c>
      <c r="K123" s="431">
        <v>12000</v>
      </c>
      <c r="L123" s="431"/>
      <c r="M123" s="431"/>
      <c r="N123" s="431"/>
      <c r="O123" s="431" t="b">
        <v>1</v>
      </c>
      <c r="P123" s="431" t="b">
        <v>0</v>
      </c>
      <c r="Q123" s="431" t="s">
        <v>1641</v>
      </c>
      <c r="R123" s="431" t="s">
        <v>1642</v>
      </c>
      <c r="S123" s="431" t="s">
        <v>1643</v>
      </c>
      <c r="T123" s="431"/>
      <c r="U123" s="431"/>
      <c r="V123" s="431" t="s">
        <v>1644</v>
      </c>
      <c r="W123" s="432">
        <v>43585.592122974536</v>
      </c>
      <c r="X123" s="432">
        <v>44616.043304328705</v>
      </c>
      <c r="Y123" s="431"/>
      <c r="Z123" s="433">
        <v>40388</v>
      </c>
      <c r="AA123" s="433">
        <v>40602</v>
      </c>
      <c r="AB123" s="433">
        <v>40869</v>
      </c>
      <c r="AC123" s="433">
        <v>40960</v>
      </c>
      <c r="AD123" s="436">
        <f t="shared" si="1"/>
        <v>600</v>
      </c>
    </row>
    <row r="124" spans="1:30" ht="14">
      <c r="A124" s="431" t="s">
        <v>1638</v>
      </c>
      <c r="B124" s="431" t="s">
        <v>1639</v>
      </c>
      <c r="C124" s="431" t="s">
        <v>314</v>
      </c>
      <c r="D124" s="431" t="s">
        <v>4189</v>
      </c>
      <c r="E124" s="431" t="s">
        <v>4190</v>
      </c>
      <c r="F124" s="431">
        <v>2180</v>
      </c>
      <c r="G124" s="431">
        <v>2020</v>
      </c>
      <c r="H124" s="431">
        <v>2040</v>
      </c>
      <c r="I124" s="431" t="b">
        <v>1</v>
      </c>
      <c r="J124" s="431"/>
      <c r="K124" s="431"/>
      <c r="L124" s="431"/>
      <c r="M124" s="431"/>
      <c r="N124" s="431"/>
      <c r="O124" s="431" t="b">
        <v>0</v>
      </c>
      <c r="P124" s="431" t="b">
        <v>0</v>
      </c>
      <c r="Q124" s="431"/>
      <c r="R124" s="431"/>
      <c r="S124" s="431"/>
      <c r="T124" s="431"/>
      <c r="U124" s="431"/>
      <c r="V124" s="431"/>
      <c r="W124" s="432">
        <v>44481.490683124997</v>
      </c>
      <c r="X124" s="432">
        <v>44481.490835138888</v>
      </c>
      <c r="Y124" s="431" t="s">
        <v>978</v>
      </c>
      <c r="Z124" s="431"/>
      <c r="AA124" s="431"/>
      <c r="AB124" s="431"/>
      <c r="AC124" s="431"/>
      <c r="AD124" s="436" t="str">
        <f t="shared" si="1"/>
        <v/>
      </c>
    </row>
    <row r="125" spans="1:30" ht="14">
      <c r="A125" s="431" t="s">
        <v>1792</v>
      </c>
      <c r="B125" s="431" t="s">
        <v>1793</v>
      </c>
      <c r="C125" s="431" t="s">
        <v>308</v>
      </c>
      <c r="D125" s="431" t="s">
        <v>1794</v>
      </c>
      <c r="E125" s="431" t="s">
        <v>1795</v>
      </c>
      <c r="F125" s="431">
        <v>1881</v>
      </c>
      <c r="G125" s="431">
        <v>2011</v>
      </c>
      <c r="H125" s="431">
        <v>2033</v>
      </c>
      <c r="I125" s="431" t="b">
        <v>1</v>
      </c>
      <c r="J125" s="431" t="s">
        <v>891</v>
      </c>
      <c r="K125" s="431">
        <v>11400</v>
      </c>
      <c r="L125" s="431"/>
      <c r="M125" s="431"/>
      <c r="N125" s="431"/>
      <c r="O125" s="431" t="b">
        <v>1</v>
      </c>
      <c r="P125" s="431" t="b">
        <v>0</v>
      </c>
      <c r="Q125" s="431" t="s">
        <v>1796</v>
      </c>
      <c r="R125" s="431" t="s">
        <v>1797</v>
      </c>
      <c r="S125" s="431" t="s">
        <v>1798</v>
      </c>
      <c r="T125" s="431"/>
      <c r="U125" s="431"/>
      <c r="V125" s="431" t="s">
        <v>1799</v>
      </c>
      <c r="W125" s="432">
        <v>43585.592121793983</v>
      </c>
      <c r="X125" s="432">
        <v>44616.042186446757</v>
      </c>
      <c r="Y125" s="431"/>
      <c r="Z125" s="433">
        <v>43087</v>
      </c>
      <c r="AA125" s="433">
        <v>43364</v>
      </c>
      <c r="AB125" s="431"/>
      <c r="AC125" s="431"/>
      <c r="AD125" s="436">
        <f t="shared" si="1"/>
        <v>518.18181818181813</v>
      </c>
    </row>
    <row r="126" spans="1:30" ht="14">
      <c r="A126" s="431" t="s">
        <v>1591</v>
      </c>
      <c r="B126" s="431" t="s">
        <v>1592</v>
      </c>
      <c r="C126" s="431" t="s">
        <v>312</v>
      </c>
      <c r="D126" s="431" t="s">
        <v>1593</v>
      </c>
      <c r="E126" s="431" t="s">
        <v>1594</v>
      </c>
      <c r="F126" s="431">
        <v>1147</v>
      </c>
      <c r="G126" s="431">
        <v>2011</v>
      </c>
      <c r="H126" s="431">
        <v>2028</v>
      </c>
      <c r="I126" s="431" t="b">
        <v>1</v>
      </c>
      <c r="J126" s="431" t="s">
        <v>891</v>
      </c>
      <c r="K126" s="431">
        <v>6250</v>
      </c>
      <c r="L126" s="431"/>
      <c r="M126" s="431"/>
      <c r="N126" s="431"/>
      <c r="O126" s="431" t="b">
        <v>1</v>
      </c>
      <c r="P126" s="431" t="b">
        <v>0</v>
      </c>
      <c r="Q126" s="431" t="s">
        <v>1595</v>
      </c>
      <c r="R126" s="431" t="s">
        <v>1596</v>
      </c>
      <c r="S126" s="431" t="s">
        <v>1597</v>
      </c>
      <c r="T126" s="431" t="s">
        <v>1598</v>
      </c>
      <c r="U126" s="431"/>
      <c r="V126" s="431" t="s">
        <v>1599</v>
      </c>
      <c r="W126" s="432">
        <v>43585.592122141206</v>
      </c>
      <c r="X126" s="432">
        <v>44616.048313159721</v>
      </c>
      <c r="Y126" s="431"/>
      <c r="Z126" s="433">
        <v>41088</v>
      </c>
      <c r="AA126" s="433">
        <v>41243</v>
      </c>
      <c r="AB126" s="433">
        <v>41653</v>
      </c>
      <c r="AC126" s="433">
        <v>41704</v>
      </c>
      <c r="AD126" s="436">
        <f t="shared" si="1"/>
        <v>367.64705882352939</v>
      </c>
    </row>
    <row r="127" spans="1:30" ht="14">
      <c r="A127" s="431" t="s">
        <v>1591</v>
      </c>
      <c r="B127" s="431" t="s">
        <v>1592</v>
      </c>
      <c r="C127" s="431" t="s">
        <v>312</v>
      </c>
      <c r="D127" s="431" t="s">
        <v>1600</v>
      </c>
      <c r="E127" s="431" t="s">
        <v>1601</v>
      </c>
      <c r="F127" s="431">
        <v>2113</v>
      </c>
      <c r="G127" s="431">
        <v>2020</v>
      </c>
      <c r="H127" s="431">
        <v>2037</v>
      </c>
      <c r="I127" s="431" t="b">
        <v>1</v>
      </c>
      <c r="J127" s="431" t="s">
        <v>907</v>
      </c>
      <c r="K127" s="431">
        <v>393</v>
      </c>
      <c r="L127" s="431"/>
      <c r="M127" s="431"/>
      <c r="N127" s="431"/>
      <c r="O127" s="431" t="b">
        <v>1</v>
      </c>
      <c r="P127" s="431" t="b">
        <v>0</v>
      </c>
      <c r="Q127" s="431" t="s">
        <v>1602</v>
      </c>
      <c r="R127" s="431" t="s">
        <v>1603</v>
      </c>
      <c r="S127" s="431" t="s">
        <v>1604</v>
      </c>
      <c r="T127" s="431" t="s">
        <v>4191</v>
      </c>
      <c r="U127" s="431" t="s">
        <v>1605</v>
      </c>
      <c r="V127" s="431" t="s">
        <v>1606</v>
      </c>
      <c r="W127" s="432">
        <v>44140.619899490739</v>
      </c>
      <c r="X127" s="432">
        <v>44616.046249803243</v>
      </c>
      <c r="Y127" s="431"/>
      <c r="Z127" s="431"/>
      <c r="AA127" s="431"/>
      <c r="AB127" s="431"/>
      <c r="AC127" s="431"/>
      <c r="AD127" s="436">
        <f t="shared" si="1"/>
        <v>393</v>
      </c>
    </row>
    <row r="128" spans="1:30" ht="14">
      <c r="A128" s="431" t="s">
        <v>1925</v>
      </c>
      <c r="B128" s="431" t="s">
        <v>1926</v>
      </c>
      <c r="C128" s="431" t="s">
        <v>366</v>
      </c>
      <c r="D128" s="431" t="s">
        <v>1927</v>
      </c>
      <c r="E128" s="431" t="s">
        <v>1928</v>
      </c>
      <c r="F128" s="431">
        <v>569</v>
      </c>
      <c r="G128" s="431">
        <v>2006</v>
      </c>
      <c r="H128" s="431">
        <v>2026</v>
      </c>
      <c r="I128" s="431" t="b">
        <v>1</v>
      </c>
      <c r="J128" s="431" t="s">
        <v>891</v>
      </c>
      <c r="K128" s="431">
        <v>6300</v>
      </c>
      <c r="L128" s="431"/>
      <c r="M128" s="431"/>
      <c r="N128" s="431"/>
      <c r="O128" s="431" t="b">
        <v>1</v>
      </c>
      <c r="P128" s="431" t="b">
        <v>0</v>
      </c>
      <c r="Q128" s="431" t="s">
        <v>1929</v>
      </c>
      <c r="R128" s="431" t="s">
        <v>1930</v>
      </c>
      <c r="S128" s="431" t="s">
        <v>1931</v>
      </c>
      <c r="T128" s="431" t="s">
        <v>4192</v>
      </c>
      <c r="U128" s="431"/>
      <c r="V128" s="431" t="s">
        <v>1932</v>
      </c>
      <c r="W128" s="432">
        <v>43585.592126631942</v>
      </c>
      <c r="X128" s="432">
        <v>44616.043768553238</v>
      </c>
      <c r="Y128" s="431"/>
      <c r="Z128" s="433">
        <v>40268</v>
      </c>
      <c r="AA128" s="433">
        <v>40331</v>
      </c>
      <c r="AB128" s="433">
        <v>40541</v>
      </c>
      <c r="AC128" s="433">
        <v>40603</v>
      </c>
      <c r="AD128" s="436">
        <f t="shared" si="1"/>
        <v>315</v>
      </c>
    </row>
    <row r="129" spans="1:30" ht="14">
      <c r="A129" s="431" t="s">
        <v>1925</v>
      </c>
      <c r="B129" s="431" t="s">
        <v>1926</v>
      </c>
      <c r="C129" s="431" t="s">
        <v>366</v>
      </c>
      <c r="D129" s="431" t="s">
        <v>1933</v>
      </c>
      <c r="E129" s="431" t="s">
        <v>1934</v>
      </c>
      <c r="F129" s="431">
        <v>1374</v>
      </c>
      <c r="G129" s="431">
        <v>2016</v>
      </c>
      <c r="H129" s="431">
        <v>2037</v>
      </c>
      <c r="I129" s="431" t="b">
        <v>1</v>
      </c>
      <c r="J129" s="431" t="s">
        <v>891</v>
      </c>
      <c r="K129" s="431">
        <v>10733</v>
      </c>
      <c r="L129" s="431"/>
      <c r="M129" s="431"/>
      <c r="N129" s="431"/>
      <c r="O129" s="431" t="b">
        <v>1</v>
      </c>
      <c r="P129" s="431" t="b">
        <v>0</v>
      </c>
      <c r="Q129" s="431" t="s">
        <v>4193</v>
      </c>
      <c r="R129" s="431" t="s">
        <v>1935</v>
      </c>
      <c r="S129" s="431" t="s">
        <v>4194</v>
      </c>
      <c r="T129" s="431" t="s">
        <v>4195</v>
      </c>
      <c r="U129" s="431"/>
      <c r="V129" s="431" t="s">
        <v>4196</v>
      </c>
      <c r="W129" s="432">
        <v>43585.592109849538</v>
      </c>
      <c r="X129" s="432">
        <v>44616.042059699073</v>
      </c>
      <c r="Y129" s="431"/>
      <c r="Z129" s="433">
        <v>43500</v>
      </c>
      <c r="AA129" s="433">
        <v>44239</v>
      </c>
      <c r="AB129" s="431"/>
      <c r="AC129" s="431"/>
      <c r="AD129" s="436">
        <f t="shared" si="1"/>
        <v>511.09523809523807</v>
      </c>
    </row>
    <row r="130" spans="1:30" ht="14">
      <c r="A130" s="431" t="s">
        <v>1892</v>
      </c>
      <c r="B130" s="431" t="s">
        <v>1893</v>
      </c>
      <c r="C130" s="431" t="s">
        <v>300</v>
      </c>
      <c r="D130" s="431" t="s">
        <v>1894</v>
      </c>
      <c r="E130" s="431" t="s">
        <v>1895</v>
      </c>
      <c r="F130" s="431">
        <v>1929</v>
      </c>
      <c r="G130" s="431">
        <v>2016</v>
      </c>
      <c r="H130" s="431">
        <v>2036</v>
      </c>
      <c r="I130" s="431" t="b">
        <v>1</v>
      </c>
      <c r="J130" s="431" t="s">
        <v>891</v>
      </c>
      <c r="K130" s="431">
        <v>14580</v>
      </c>
      <c r="L130" s="431"/>
      <c r="M130" s="431"/>
      <c r="N130" s="431"/>
      <c r="O130" s="431" t="b">
        <v>1</v>
      </c>
      <c r="P130" s="431" t="b">
        <v>0</v>
      </c>
      <c r="Q130" s="431" t="s">
        <v>1896</v>
      </c>
      <c r="R130" s="431" t="s">
        <v>1897</v>
      </c>
      <c r="S130" s="431" t="s">
        <v>1898</v>
      </c>
      <c r="T130" s="431"/>
      <c r="U130" s="431"/>
      <c r="V130" s="431" t="s">
        <v>1899</v>
      </c>
      <c r="W130" s="432">
        <v>43585.592120983798</v>
      </c>
      <c r="X130" s="432">
        <v>44616.044715393517</v>
      </c>
      <c r="Y130" s="431"/>
      <c r="Z130" s="433">
        <v>43276</v>
      </c>
      <c r="AA130" s="433">
        <v>43404</v>
      </c>
      <c r="AB130" s="431"/>
      <c r="AC130" s="431"/>
      <c r="AD130" s="436">
        <f t="shared" ref="AD130:AD193" si="2">IF(AND(N130&lt;&gt;"",P130=TRUE,J130="HOUSING_REQUIREMENT_TOTAL"),N130/(H130-G130),IF(J130="HOUSING_REQUIREMENT_TOTAL",K130/(H130-G130),IF(J130="HOUSING_REQUIREMENT_RANGE",L130/(H130-G130),IF(J130="HOUSING_REQUIREMENT_YEARLY_AVERAGE",K130,IF(J130="HOUSING_REQUIREMENT_YEARLY_RANGE",L130,"")))))</f>
        <v>729</v>
      </c>
    </row>
    <row r="131" spans="1:30" ht="14">
      <c r="A131" s="431" t="s">
        <v>3823</v>
      </c>
      <c r="B131" s="431" t="s">
        <v>3824</v>
      </c>
      <c r="C131" s="431" t="s">
        <v>274</v>
      </c>
      <c r="D131" s="431" t="s">
        <v>3825</v>
      </c>
      <c r="E131" s="431" t="s">
        <v>3826</v>
      </c>
      <c r="F131" s="431">
        <v>766</v>
      </c>
      <c r="G131" s="431">
        <v>2006</v>
      </c>
      <c r="H131" s="431">
        <v>2026</v>
      </c>
      <c r="I131" s="431" t="b">
        <v>1</v>
      </c>
      <c r="J131" s="431" t="s">
        <v>891</v>
      </c>
      <c r="K131" s="431">
        <v>16127</v>
      </c>
      <c r="L131" s="431"/>
      <c r="M131" s="431"/>
      <c r="N131" s="431"/>
      <c r="O131" s="431" t="b">
        <v>1</v>
      </c>
      <c r="P131" s="431" t="b">
        <v>1</v>
      </c>
      <c r="Q131" s="431" t="s">
        <v>3827</v>
      </c>
      <c r="R131" s="431" t="s">
        <v>3828</v>
      </c>
      <c r="S131" s="431" t="s">
        <v>3829</v>
      </c>
      <c r="T131" s="431" t="s">
        <v>3830</v>
      </c>
      <c r="U131" s="431"/>
      <c r="V131" s="431" t="s">
        <v>3831</v>
      </c>
      <c r="W131" s="432">
        <v>43585.592139849534</v>
      </c>
      <c r="X131" s="432">
        <v>44616.043866828702</v>
      </c>
      <c r="Y131" s="431"/>
      <c r="Z131" s="433">
        <v>40147</v>
      </c>
      <c r="AA131" s="433">
        <v>40235</v>
      </c>
      <c r="AB131" s="433">
        <v>40466</v>
      </c>
      <c r="AC131" s="433">
        <v>40577</v>
      </c>
      <c r="AD131" s="436">
        <f t="shared" si="2"/>
        <v>806.35</v>
      </c>
    </row>
    <row r="132" spans="1:30" ht="14">
      <c r="A132" s="431" t="s">
        <v>3823</v>
      </c>
      <c r="B132" s="431" t="s">
        <v>3824</v>
      </c>
      <c r="C132" s="431" t="s">
        <v>274</v>
      </c>
      <c r="D132" s="431" t="s">
        <v>4197</v>
      </c>
      <c r="E132" s="431" t="s">
        <v>3832</v>
      </c>
      <c r="F132" s="431">
        <v>2044</v>
      </c>
      <c r="G132" s="431">
        <v>2020</v>
      </c>
      <c r="H132" s="431">
        <v>2039</v>
      </c>
      <c r="I132" s="431" t="b">
        <v>1</v>
      </c>
      <c r="J132" s="431" t="s">
        <v>891</v>
      </c>
      <c r="K132" s="431">
        <v>13235</v>
      </c>
      <c r="L132" s="431"/>
      <c r="M132" s="431"/>
      <c r="N132" s="431"/>
      <c r="O132" s="431" t="b">
        <v>1</v>
      </c>
      <c r="P132" s="431" t="b">
        <v>1</v>
      </c>
      <c r="Q132" s="431" t="s">
        <v>4198</v>
      </c>
      <c r="R132" s="431" t="s">
        <v>3833</v>
      </c>
      <c r="S132" s="431" t="s">
        <v>4199</v>
      </c>
      <c r="T132" s="431"/>
      <c r="U132" s="431" t="s">
        <v>4200</v>
      </c>
      <c r="V132" s="431" t="s">
        <v>4201</v>
      </c>
      <c r="W132" s="432">
        <v>43585.592111041668</v>
      </c>
      <c r="X132" s="432">
        <v>44616.04876297454</v>
      </c>
      <c r="Y132" s="431"/>
      <c r="Z132" s="431"/>
      <c r="AA132" s="431"/>
      <c r="AB132" s="431"/>
      <c r="AC132" s="431"/>
      <c r="AD132" s="436">
        <f t="shared" si="2"/>
        <v>696.57894736842104</v>
      </c>
    </row>
    <row r="133" spans="1:30" ht="14">
      <c r="A133" s="431" t="s">
        <v>3064</v>
      </c>
      <c r="B133" s="431" t="s">
        <v>3065</v>
      </c>
      <c r="C133" s="431" t="s">
        <v>268</v>
      </c>
      <c r="D133" s="431" t="s">
        <v>3066</v>
      </c>
      <c r="E133" s="431" t="s">
        <v>3067</v>
      </c>
      <c r="F133" s="431">
        <v>1989</v>
      </c>
      <c r="G133" s="431">
        <v>2018</v>
      </c>
      <c r="H133" s="431">
        <v>2035</v>
      </c>
      <c r="I133" s="431" t="b">
        <v>1</v>
      </c>
      <c r="J133" s="431" t="s">
        <v>891</v>
      </c>
      <c r="K133" s="431">
        <v>15640</v>
      </c>
      <c r="L133" s="431"/>
      <c r="M133" s="431"/>
      <c r="N133" s="431"/>
      <c r="O133" s="431" t="b">
        <v>1</v>
      </c>
      <c r="P133" s="431" t="b">
        <v>0</v>
      </c>
      <c r="Q133" s="431" t="s">
        <v>4202</v>
      </c>
      <c r="R133" s="431" t="s">
        <v>3068</v>
      </c>
      <c r="S133" s="431" t="s">
        <v>4203</v>
      </c>
      <c r="T133" s="431"/>
      <c r="U133" s="431" t="s">
        <v>4204</v>
      </c>
      <c r="V133" s="431" t="s">
        <v>4205</v>
      </c>
      <c r="W133" s="432">
        <v>43629.61878517361</v>
      </c>
      <c r="X133" s="432">
        <v>44616.042660856481</v>
      </c>
      <c r="Y133" s="431"/>
      <c r="Z133" s="433">
        <v>43689</v>
      </c>
      <c r="AA133" s="433">
        <v>43894</v>
      </c>
      <c r="AB133" s="433">
        <v>44377</v>
      </c>
      <c r="AC133" s="433">
        <v>44462</v>
      </c>
      <c r="AD133" s="436">
        <f t="shared" si="2"/>
        <v>920</v>
      </c>
    </row>
    <row r="134" spans="1:30" ht="14">
      <c r="A134" s="431" t="s">
        <v>2676</v>
      </c>
      <c r="B134" s="431" t="s">
        <v>2677</v>
      </c>
      <c r="C134" s="431" t="s">
        <v>310</v>
      </c>
      <c r="D134" s="431" t="s">
        <v>2678</v>
      </c>
      <c r="E134" s="431" t="s">
        <v>2679</v>
      </c>
      <c r="F134" s="431">
        <v>374</v>
      </c>
      <c r="G134" s="431">
        <v>2007</v>
      </c>
      <c r="H134" s="431">
        <v>2022</v>
      </c>
      <c r="I134" s="431" t="b">
        <v>1</v>
      </c>
      <c r="J134" s="431" t="s">
        <v>891</v>
      </c>
      <c r="K134" s="431">
        <v>2715</v>
      </c>
      <c r="L134" s="431"/>
      <c r="M134" s="431"/>
      <c r="N134" s="431"/>
      <c r="O134" s="431" t="b">
        <v>1</v>
      </c>
      <c r="P134" s="431" t="b">
        <v>0</v>
      </c>
      <c r="Q134" s="431" t="s">
        <v>2680</v>
      </c>
      <c r="R134" s="431" t="s">
        <v>2681</v>
      </c>
      <c r="S134" s="431" t="s">
        <v>2682</v>
      </c>
      <c r="T134" s="431"/>
      <c r="U134" s="431"/>
      <c r="V134" s="431" t="s">
        <v>2683</v>
      </c>
      <c r="W134" s="432">
        <v>43585.592122256945</v>
      </c>
      <c r="X134" s="432">
        <v>44616.047965937498</v>
      </c>
      <c r="Y134" s="431"/>
      <c r="Z134" s="433">
        <v>38869</v>
      </c>
      <c r="AA134" s="433">
        <v>38903</v>
      </c>
      <c r="AB134" s="433">
        <v>39218</v>
      </c>
      <c r="AC134" s="433">
        <v>39287</v>
      </c>
      <c r="AD134" s="436">
        <f t="shared" si="2"/>
        <v>181</v>
      </c>
    </row>
    <row r="135" spans="1:30" ht="14">
      <c r="A135" s="431" t="s">
        <v>2676</v>
      </c>
      <c r="B135" s="431" t="s">
        <v>2677</v>
      </c>
      <c r="C135" s="431" t="s">
        <v>310</v>
      </c>
      <c r="D135" s="431" t="s">
        <v>4206</v>
      </c>
      <c r="E135" s="431" t="s">
        <v>2684</v>
      </c>
      <c r="F135" s="431">
        <v>2148</v>
      </c>
      <c r="G135" s="431">
        <v>2017</v>
      </c>
      <c r="H135" s="431">
        <v>2037</v>
      </c>
      <c r="I135" s="431" t="b">
        <v>1</v>
      </c>
      <c r="J135" s="431" t="s">
        <v>907</v>
      </c>
      <c r="K135" s="431">
        <v>418</v>
      </c>
      <c r="L135" s="431"/>
      <c r="M135" s="431"/>
      <c r="N135" s="431"/>
      <c r="O135" s="431" t="b">
        <v>1</v>
      </c>
      <c r="P135" s="431" t="b">
        <v>0</v>
      </c>
      <c r="Q135" s="431" t="s">
        <v>2685</v>
      </c>
      <c r="R135" s="431" t="s">
        <v>2686</v>
      </c>
      <c r="S135" s="431" t="s">
        <v>2687</v>
      </c>
      <c r="T135" s="431"/>
      <c r="U135" s="431"/>
      <c r="V135" s="431" t="s">
        <v>2688</v>
      </c>
      <c r="W135" s="432">
        <v>43585.592135069448</v>
      </c>
      <c r="X135" s="432">
        <v>44616.043532638891</v>
      </c>
      <c r="Y135" s="431"/>
      <c r="Z135" s="431"/>
      <c r="AA135" s="431"/>
      <c r="AB135" s="431"/>
      <c r="AC135" s="431"/>
      <c r="AD135" s="436">
        <f t="shared" si="2"/>
        <v>418</v>
      </c>
    </row>
    <row r="136" spans="1:30" ht="14">
      <c r="A136" s="431" t="s">
        <v>2534</v>
      </c>
      <c r="B136" s="431" t="s">
        <v>2535</v>
      </c>
      <c r="C136" s="431" t="s">
        <v>294</v>
      </c>
      <c r="D136" s="431" t="s">
        <v>2536</v>
      </c>
      <c r="E136" s="431" t="s">
        <v>2537</v>
      </c>
      <c r="F136" s="431">
        <v>1085</v>
      </c>
      <c r="G136" s="431">
        <v>2012</v>
      </c>
      <c r="H136" s="431">
        <v>2031</v>
      </c>
      <c r="I136" s="431" t="b">
        <v>1</v>
      </c>
      <c r="J136" s="431" t="s">
        <v>891</v>
      </c>
      <c r="K136" s="431">
        <v>11648</v>
      </c>
      <c r="L136" s="431"/>
      <c r="M136" s="431"/>
      <c r="N136" s="431"/>
      <c r="O136" s="431" t="b">
        <v>1</v>
      </c>
      <c r="P136" s="431" t="b">
        <v>0</v>
      </c>
      <c r="Q136" s="431" t="s">
        <v>2538</v>
      </c>
      <c r="R136" s="431" t="s">
        <v>2539</v>
      </c>
      <c r="S136" s="431" t="s">
        <v>2540</v>
      </c>
      <c r="T136" s="431" t="s">
        <v>2541</v>
      </c>
      <c r="U136" s="431"/>
      <c r="V136" s="431" t="s">
        <v>2542</v>
      </c>
      <c r="W136" s="432">
        <v>43585.592121365742</v>
      </c>
      <c r="X136" s="432">
        <v>44616.047349062501</v>
      </c>
      <c r="Y136" s="431"/>
      <c r="Z136" s="433">
        <v>41565</v>
      </c>
      <c r="AA136" s="433">
        <v>41740</v>
      </c>
      <c r="AB136" s="433">
        <v>42284</v>
      </c>
      <c r="AC136" s="433">
        <v>42292</v>
      </c>
      <c r="AD136" s="436">
        <f t="shared" si="2"/>
        <v>613.0526315789474</v>
      </c>
    </row>
    <row r="137" spans="1:30" ht="14">
      <c r="A137" s="431" t="s">
        <v>1994</v>
      </c>
      <c r="B137" s="431" t="s">
        <v>1995</v>
      </c>
      <c r="C137" s="431" t="s">
        <v>372</v>
      </c>
      <c r="D137" s="431" t="s">
        <v>1996</v>
      </c>
      <c r="E137" s="431" t="s">
        <v>1997</v>
      </c>
      <c r="F137" s="431">
        <v>1220</v>
      </c>
      <c r="G137" s="431">
        <v>2012</v>
      </c>
      <c r="H137" s="431">
        <v>2027</v>
      </c>
      <c r="I137" s="431" t="b">
        <v>1</v>
      </c>
      <c r="J137" s="431" t="s">
        <v>891</v>
      </c>
      <c r="K137" s="431">
        <v>3990</v>
      </c>
      <c r="L137" s="431"/>
      <c r="M137" s="431"/>
      <c r="N137" s="431"/>
      <c r="O137" s="431" t="b">
        <v>1</v>
      </c>
      <c r="P137" s="431" t="b">
        <v>0</v>
      </c>
      <c r="Q137" s="431" t="s">
        <v>1998</v>
      </c>
      <c r="R137" s="431" t="s">
        <v>1999</v>
      </c>
      <c r="S137" s="431" t="s">
        <v>2000</v>
      </c>
      <c r="T137" s="431" t="s">
        <v>2001</v>
      </c>
      <c r="U137" s="431"/>
      <c r="V137" s="431" t="s">
        <v>2002</v>
      </c>
      <c r="W137" s="432">
        <v>43585.592126932868</v>
      </c>
      <c r="X137" s="432">
        <v>44616.042261215276</v>
      </c>
      <c r="Y137" s="431"/>
      <c r="Z137" s="433">
        <v>40875</v>
      </c>
      <c r="AA137" s="433">
        <v>40949</v>
      </c>
      <c r="AB137" s="433">
        <v>41248</v>
      </c>
      <c r="AC137" s="433">
        <v>41290</v>
      </c>
      <c r="AD137" s="436">
        <f t="shared" si="2"/>
        <v>266</v>
      </c>
    </row>
    <row r="138" spans="1:30" ht="14">
      <c r="A138" s="431" t="s">
        <v>1994</v>
      </c>
      <c r="B138" s="431" t="s">
        <v>1995</v>
      </c>
      <c r="C138" s="431" t="s">
        <v>372</v>
      </c>
      <c r="D138" s="431" t="s">
        <v>2003</v>
      </c>
      <c r="E138" s="431" t="s">
        <v>2004</v>
      </c>
      <c r="F138" s="431">
        <v>2149</v>
      </c>
      <c r="G138" s="431">
        <v>2022</v>
      </c>
      <c r="H138" s="431">
        <v>2038</v>
      </c>
      <c r="I138" s="431" t="b">
        <v>1</v>
      </c>
      <c r="J138" s="431" t="s">
        <v>891</v>
      </c>
      <c r="K138" s="431">
        <v>12160</v>
      </c>
      <c r="L138" s="431"/>
      <c r="M138" s="431"/>
      <c r="N138" s="431"/>
      <c r="O138" s="431" t="b">
        <v>1</v>
      </c>
      <c r="P138" s="431" t="b">
        <v>0</v>
      </c>
      <c r="Q138" s="431" t="s">
        <v>4207</v>
      </c>
      <c r="R138" s="431"/>
      <c r="S138" s="431"/>
      <c r="T138" s="431" t="s">
        <v>4208</v>
      </c>
      <c r="U138" s="431" t="s">
        <v>4209</v>
      </c>
      <c r="V138" s="431" t="s">
        <v>4210</v>
      </c>
      <c r="W138" s="432">
        <v>43585.592134085651</v>
      </c>
      <c r="X138" s="432">
        <v>44616.047231643519</v>
      </c>
      <c r="Y138" s="431"/>
      <c r="Z138" s="431"/>
      <c r="AA138" s="431"/>
      <c r="AB138" s="431"/>
      <c r="AC138" s="431"/>
      <c r="AD138" s="436">
        <f t="shared" si="2"/>
        <v>760</v>
      </c>
    </row>
    <row r="139" spans="1:30" ht="14">
      <c r="A139" s="431" t="s">
        <v>2358</v>
      </c>
      <c r="B139" s="431" t="s">
        <v>2359</v>
      </c>
      <c r="C139" s="431" t="s">
        <v>346</v>
      </c>
      <c r="D139" s="431" t="s">
        <v>2360</v>
      </c>
      <c r="E139" s="431" t="s">
        <v>2361</v>
      </c>
      <c r="F139" s="431">
        <v>49</v>
      </c>
      <c r="G139" s="431">
        <v>2004</v>
      </c>
      <c r="H139" s="431">
        <v>2021</v>
      </c>
      <c r="I139" s="431" t="b">
        <v>1</v>
      </c>
      <c r="J139" s="431" t="s">
        <v>891</v>
      </c>
      <c r="K139" s="431">
        <v>4990</v>
      </c>
      <c r="L139" s="431"/>
      <c r="M139" s="431"/>
      <c r="N139" s="431"/>
      <c r="O139" s="431" t="b">
        <v>1</v>
      </c>
      <c r="P139" s="431" t="b">
        <v>0</v>
      </c>
      <c r="Q139" s="431" t="s">
        <v>2362</v>
      </c>
      <c r="R139" s="431" t="s">
        <v>2363</v>
      </c>
      <c r="S139" s="431" t="s">
        <v>2364</v>
      </c>
      <c r="T139" s="431" t="s">
        <v>4211</v>
      </c>
      <c r="U139" s="431"/>
      <c r="V139" s="431" t="s">
        <v>2365</v>
      </c>
      <c r="W139" s="432">
        <v>43585.592123981478</v>
      </c>
      <c r="X139" s="432">
        <v>44616.04232659722</v>
      </c>
      <c r="Y139" s="431"/>
      <c r="Z139" s="433">
        <v>38763</v>
      </c>
      <c r="AA139" s="433">
        <v>38763</v>
      </c>
      <c r="AB139" s="433">
        <v>39132</v>
      </c>
      <c r="AC139" s="433">
        <v>39175</v>
      </c>
      <c r="AD139" s="436">
        <f t="shared" si="2"/>
        <v>293.52941176470586</v>
      </c>
    </row>
    <row r="140" spans="1:30" ht="14">
      <c r="A140" s="431" t="s">
        <v>2358</v>
      </c>
      <c r="B140" s="431" t="s">
        <v>2359</v>
      </c>
      <c r="C140" s="431" t="s">
        <v>346</v>
      </c>
      <c r="D140" s="431" t="s">
        <v>2366</v>
      </c>
      <c r="E140" s="431" t="s">
        <v>2367</v>
      </c>
      <c r="F140" s="431">
        <v>1991</v>
      </c>
      <c r="G140" s="431">
        <v>2014</v>
      </c>
      <c r="H140" s="431">
        <v>2036</v>
      </c>
      <c r="I140" s="431" t="b">
        <v>1</v>
      </c>
      <c r="J140" s="431" t="s">
        <v>891</v>
      </c>
      <c r="K140" s="431">
        <v>6930</v>
      </c>
      <c r="L140" s="431"/>
      <c r="M140" s="431"/>
      <c r="N140" s="431"/>
      <c r="O140" s="431" t="b">
        <v>1</v>
      </c>
      <c r="P140" s="431" t="b">
        <v>0</v>
      </c>
      <c r="Q140" s="431" t="s">
        <v>4212</v>
      </c>
      <c r="R140" s="431" t="s">
        <v>4213</v>
      </c>
      <c r="S140" s="431" t="s">
        <v>4214</v>
      </c>
      <c r="T140" s="431"/>
      <c r="U140" s="431" t="s">
        <v>4215</v>
      </c>
      <c r="V140" s="431" t="s">
        <v>4216</v>
      </c>
      <c r="W140" s="432">
        <v>43585.592111863429</v>
      </c>
      <c r="X140" s="432">
        <v>44616.043092569445</v>
      </c>
      <c r="Y140" s="431"/>
      <c r="Z140" s="433">
        <v>43676</v>
      </c>
      <c r="AA140" s="433">
        <v>43921</v>
      </c>
      <c r="AB140" s="433">
        <v>44580</v>
      </c>
      <c r="AC140" s="431"/>
      <c r="AD140" s="436">
        <f t="shared" si="2"/>
        <v>315</v>
      </c>
    </row>
    <row r="141" spans="1:30" ht="14">
      <c r="A141" s="431" t="s">
        <v>2846</v>
      </c>
      <c r="B141" s="431" t="s">
        <v>2847</v>
      </c>
      <c r="C141" s="431" t="s">
        <v>380</v>
      </c>
      <c r="D141" s="431" t="s">
        <v>2848</v>
      </c>
      <c r="E141" s="431" t="s">
        <v>2849</v>
      </c>
      <c r="F141" s="431">
        <v>1568</v>
      </c>
      <c r="G141" s="431">
        <v>2011</v>
      </c>
      <c r="H141" s="431">
        <v>2031</v>
      </c>
      <c r="I141" s="431" t="b">
        <v>1</v>
      </c>
      <c r="J141" s="431" t="s">
        <v>891</v>
      </c>
      <c r="K141" s="431">
        <v>16000</v>
      </c>
      <c r="L141" s="431"/>
      <c r="M141" s="431"/>
      <c r="N141" s="431"/>
      <c r="O141" s="431" t="b">
        <v>1</v>
      </c>
      <c r="P141" s="431" t="b">
        <v>0</v>
      </c>
      <c r="Q141" s="431" t="s">
        <v>2850</v>
      </c>
      <c r="R141" s="431" t="s">
        <v>2851</v>
      </c>
      <c r="S141" s="431" t="s">
        <v>2852</v>
      </c>
      <c r="T141" s="431" t="s">
        <v>2853</v>
      </c>
      <c r="U141" s="431"/>
      <c r="V141" s="431" t="s">
        <v>2854</v>
      </c>
      <c r="W141" s="432">
        <v>43585.592127361109</v>
      </c>
      <c r="X141" s="432">
        <v>44616.043805347224</v>
      </c>
      <c r="Y141" s="431"/>
      <c r="Z141" s="433">
        <v>41775</v>
      </c>
      <c r="AA141" s="433">
        <v>41859</v>
      </c>
      <c r="AB141" s="433">
        <v>42285</v>
      </c>
      <c r="AC141" s="433">
        <v>42335</v>
      </c>
      <c r="AD141" s="436">
        <f t="shared" si="2"/>
        <v>800</v>
      </c>
    </row>
    <row r="142" spans="1:30" ht="14">
      <c r="A142" s="431" t="s">
        <v>2846</v>
      </c>
      <c r="B142" s="431" t="s">
        <v>2847</v>
      </c>
      <c r="C142" s="431" t="s">
        <v>380</v>
      </c>
      <c r="D142" s="431" t="s">
        <v>2855</v>
      </c>
      <c r="E142" s="431" t="s">
        <v>2856</v>
      </c>
      <c r="F142" s="431">
        <v>2116</v>
      </c>
      <c r="G142" s="431">
        <v>2019</v>
      </c>
      <c r="H142" s="431">
        <v>2036</v>
      </c>
      <c r="I142" s="431" t="b">
        <v>1</v>
      </c>
      <c r="J142" s="431" t="s">
        <v>907</v>
      </c>
      <c r="K142" s="431">
        <v>1000</v>
      </c>
      <c r="L142" s="431"/>
      <c r="M142" s="431"/>
      <c r="N142" s="431"/>
      <c r="O142" s="431" t="b">
        <v>1</v>
      </c>
      <c r="P142" s="431" t="b">
        <v>0</v>
      </c>
      <c r="Q142" s="431" t="s">
        <v>2857</v>
      </c>
      <c r="R142" s="431"/>
      <c r="S142" s="431"/>
      <c r="T142" s="431" t="s">
        <v>2858</v>
      </c>
      <c r="U142" s="431" t="s">
        <v>2859</v>
      </c>
      <c r="V142" s="431" t="s">
        <v>2860</v>
      </c>
      <c r="W142" s="432">
        <v>44096.572215555556</v>
      </c>
      <c r="X142" s="432">
        <v>44616.048352708334</v>
      </c>
      <c r="Y142" s="431"/>
      <c r="Z142" s="431"/>
      <c r="AA142" s="431"/>
      <c r="AB142" s="431"/>
      <c r="AC142" s="431"/>
      <c r="AD142" s="436">
        <f t="shared" si="2"/>
        <v>1000</v>
      </c>
    </row>
    <row r="143" spans="1:30" ht="14">
      <c r="A143" s="431" t="s">
        <v>1065</v>
      </c>
      <c r="B143" s="431" t="s">
        <v>1066</v>
      </c>
      <c r="C143" s="431" t="s">
        <v>370</v>
      </c>
      <c r="D143" s="431" t="s">
        <v>1067</v>
      </c>
      <c r="E143" s="431" t="s">
        <v>1068</v>
      </c>
      <c r="F143" s="431">
        <v>1425</v>
      </c>
      <c r="G143" s="431">
        <v>2011</v>
      </c>
      <c r="H143" s="431">
        <v>2031</v>
      </c>
      <c r="I143" s="431" t="b">
        <v>1</v>
      </c>
      <c r="J143" s="431" t="s">
        <v>891</v>
      </c>
      <c r="K143" s="431">
        <v>16500</v>
      </c>
      <c r="L143" s="431"/>
      <c r="M143" s="431"/>
      <c r="N143" s="431"/>
      <c r="O143" s="431" t="b">
        <v>1</v>
      </c>
      <c r="P143" s="431" t="b">
        <v>0</v>
      </c>
      <c r="Q143" s="431" t="s">
        <v>1069</v>
      </c>
      <c r="R143" s="431" t="s">
        <v>1070</v>
      </c>
      <c r="S143" s="431" t="s">
        <v>1071</v>
      </c>
      <c r="T143" s="431" t="s">
        <v>4217</v>
      </c>
      <c r="U143" s="431" t="s">
        <v>1072</v>
      </c>
      <c r="V143" s="431" t="s">
        <v>1073</v>
      </c>
      <c r="W143" s="432">
        <v>43585.592126527779</v>
      </c>
      <c r="X143" s="432">
        <v>44616.0487971412</v>
      </c>
      <c r="Y143" s="431"/>
      <c r="Z143" s="433">
        <v>41781</v>
      </c>
      <c r="AA143" s="433">
        <v>41905</v>
      </c>
      <c r="AB143" s="433">
        <v>42276</v>
      </c>
      <c r="AC143" s="433">
        <v>42293</v>
      </c>
      <c r="AD143" s="436">
        <f t="shared" si="2"/>
        <v>825</v>
      </c>
    </row>
    <row r="144" spans="1:30" ht="14">
      <c r="A144" s="431" t="s">
        <v>2666</v>
      </c>
      <c r="B144" s="431" t="s">
        <v>2667</v>
      </c>
      <c r="C144" s="431" t="s">
        <v>304</v>
      </c>
      <c r="D144" s="431" t="s">
        <v>2668</v>
      </c>
      <c r="E144" s="431" t="s">
        <v>2669</v>
      </c>
      <c r="F144" s="431">
        <v>551</v>
      </c>
      <c r="G144" s="431">
        <v>2011</v>
      </c>
      <c r="H144" s="431">
        <v>2026</v>
      </c>
      <c r="I144" s="431" t="b">
        <v>1</v>
      </c>
      <c r="J144" s="431" t="s">
        <v>891</v>
      </c>
      <c r="K144" s="431">
        <v>3375</v>
      </c>
      <c r="L144" s="431"/>
      <c r="M144" s="431"/>
      <c r="N144" s="431"/>
      <c r="O144" s="431" t="b">
        <v>1</v>
      </c>
      <c r="P144" s="431" t="b">
        <v>0</v>
      </c>
      <c r="Q144" s="431" t="s">
        <v>2670</v>
      </c>
      <c r="R144" s="431" t="s">
        <v>2671</v>
      </c>
      <c r="S144" s="431" t="s">
        <v>2672</v>
      </c>
      <c r="T144" s="431"/>
      <c r="U144" s="431"/>
      <c r="V144" s="431" t="s">
        <v>2673</v>
      </c>
      <c r="W144" s="432">
        <v>43585.592121909722</v>
      </c>
      <c r="X144" s="432">
        <v>44616.046011967592</v>
      </c>
      <c r="Y144" s="431"/>
      <c r="Z144" s="433">
        <v>40189</v>
      </c>
      <c r="AA144" s="433">
        <v>40268</v>
      </c>
      <c r="AB144" s="433">
        <v>40707</v>
      </c>
      <c r="AC144" s="433">
        <v>40744</v>
      </c>
      <c r="AD144" s="436">
        <f t="shared" si="2"/>
        <v>225</v>
      </c>
    </row>
    <row r="145" spans="1:30" ht="14">
      <c r="A145" s="431" t="s">
        <v>2666</v>
      </c>
      <c r="B145" s="431" t="s">
        <v>2667</v>
      </c>
      <c r="C145" s="431" t="s">
        <v>304</v>
      </c>
      <c r="D145" s="431" t="s">
        <v>2674</v>
      </c>
      <c r="E145" s="431" t="s">
        <v>2675</v>
      </c>
      <c r="F145" s="431">
        <v>2147</v>
      </c>
      <c r="G145" s="431">
        <v>2020</v>
      </c>
      <c r="H145" s="431">
        <v>2036</v>
      </c>
      <c r="I145" s="431" t="b">
        <v>1</v>
      </c>
      <c r="J145" s="431"/>
      <c r="K145" s="431"/>
      <c r="L145" s="431"/>
      <c r="M145" s="431"/>
      <c r="N145" s="431"/>
      <c r="O145" s="431" t="b">
        <v>0</v>
      </c>
      <c r="P145" s="431" t="b">
        <v>0</v>
      </c>
      <c r="Q145" s="431"/>
      <c r="R145" s="431"/>
      <c r="S145" s="431"/>
      <c r="T145" s="431"/>
      <c r="U145" s="431"/>
      <c r="V145" s="431"/>
      <c r="W145" s="432">
        <v>43585.592113935185</v>
      </c>
      <c r="X145" s="432">
        <v>44364.489753622685</v>
      </c>
      <c r="Y145" s="431" t="s">
        <v>978</v>
      </c>
      <c r="Z145" s="431"/>
      <c r="AA145" s="431"/>
      <c r="AB145" s="431"/>
      <c r="AC145" s="431"/>
      <c r="AD145" s="436" t="str">
        <f t="shared" si="2"/>
        <v/>
      </c>
    </row>
    <row r="146" spans="1:30" ht="14">
      <c r="A146" s="431" t="s">
        <v>991</v>
      </c>
      <c r="B146" s="431" t="s">
        <v>992</v>
      </c>
      <c r="C146" s="431" t="s">
        <v>292</v>
      </c>
      <c r="D146" s="431" t="s">
        <v>993</v>
      </c>
      <c r="E146" s="431" t="s">
        <v>994</v>
      </c>
      <c r="F146" s="431">
        <v>1533</v>
      </c>
      <c r="G146" s="431">
        <v>2012</v>
      </c>
      <c r="H146" s="431">
        <v>2029</v>
      </c>
      <c r="I146" s="431" t="b">
        <v>1</v>
      </c>
      <c r="J146" s="431" t="s">
        <v>907</v>
      </c>
      <c r="K146" s="431">
        <v>1400</v>
      </c>
      <c r="L146" s="431"/>
      <c r="M146" s="431"/>
      <c r="N146" s="431"/>
      <c r="O146" s="431" t="b">
        <v>1</v>
      </c>
      <c r="P146" s="431" t="b">
        <v>0</v>
      </c>
      <c r="Q146" s="431" t="s">
        <v>995</v>
      </c>
      <c r="R146" s="431" t="s">
        <v>996</v>
      </c>
      <c r="S146" s="431" t="s">
        <v>997</v>
      </c>
      <c r="T146" s="431"/>
      <c r="U146" s="431"/>
      <c r="V146" s="431" t="s">
        <v>998</v>
      </c>
      <c r="W146" s="432">
        <v>43585.59212144676</v>
      </c>
      <c r="X146" s="432">
        <v>44616.048076261577</v>
      </c>
      <c r="Y146" s="431"/>
      <c r="Z146" s="433">
        <v>41666</v>
      </c>
      <c r="AA146" s="433">
        <v>41757</v>
      </c>
      <c r="AB146" s="433">
        <v>42394</v>
      </c>
      <c r="AC146" s="433">
        <v>42466</v>
      </c>
      <c r="AD146" s="436">
        <f t="shared" si="2"/>
        <v>1400</v>
      </c>
    </row>
    <row r="147" spans="1:30" ht="14">
      <c r="A147" s="431" t="s">
        <v>991</v>
      </c>
      <c r="B147" s="431" t="s">
        <v>992</v>
      </c>
      <c r="C147" s="431" t="s">
        <v>292</v>
      </c>
      <c r="D147" s="431" t="s">
        <v>999</v>
      </c>
      <c r="E147" s="431" t="s">
        <v>1000</v>
      </c>
      <c r="F147" s="431">
        <v>2036</v>
      </c>
      <c r="G147" s="431">
        <v>2025</v>
      </c>
      <c r="H147" s="431">
        <v>2040</v>
      </c>
      <c r="I147" s="431" t="b">
        <v>1</v>
      </c>
      <c r="J147" s="431" t="s">
        <v>907</v>
      </c>
      <c r="K147" s="431">
        <v>706</v>
      </c>
      <c r="L147" s="431"/>
      <c r="M147" s="431"/>
      <c r="N147" s="431"/>
      <c r="O147" s="431" t="b">
        <v>1</v>
      </c>
      <c r="P147" s="431" t="b">
        <v>0</v>
      </c>
      <c r="Q147" s="431" t="s">
        <v>1001</v>
      </c>
      <c r="R147" s="431" t="s">
        <v>1002</v>
      </c>
      <c r="S147" s="431" t="s">
        <v>1003</v>
      </c>
      <c r="T147" s="431"/>
      <c r="U147" s="431" t="s">
        <v>1004</v>
      </c>
      <c r="V147" s="431" t="s">
        <v>1005</v>
      </c>
      <c r="W147" s="432">
        <v>44139.453148541666</v>
      </c>
      <c r="X147" s="432">
        <v>44616.04835740741</v>
      </c>
      <c r="Y147" s="431"/>
      <c r="Z147" s="431"/>
      <c r="AA147" s="431"/>
      <c r="AB147" s="431"/>
      <c r="AC147" s="431"/>
      <c r="AD147" s="436">
        <f t="shared" si="2"/>
        <v>706</v>
      </c>
    </row>
    <row r="148" spans="1:30" ht="14">
      <c r="A148" s="431" t="s">
        <v>1879</v>
      </c>
      <c r="B148" s="431" t="s">
        <v>1880</v>
      </c>
      <c r="C148" s="431" t="s">
        <v>284</v>
      </c>
      <c r="D148" s="431" t="s">
        <v>1881</v>
      </c>
      <c r="E148" s="431" t="s">
        <v>1882</v>
      </c>
      <c r="F148" s="431">
        <v>919</v>
      </c>
      <c r="G148" s="431">
        <v>2011</v>
      </c>
      <c r="H148" s="431">
        <v>2028</v>
      </c>
      <c r="I148" s="431" t="b">
        <v>1</v>
      </c>
      <c r="J148" s="431" t="s">
        <v>891</v>
      </c>
      <c r="K148" s="431">
        <v>10060</v>
      </c>
      <c r="L148" s="431"/>
      <c r="M148" s="431"/>
      <c r="N148" s="431"/>
      <c r="O148" s="431" t="b">
        <v>1</v>
      </c>
      <c r="P148" s="431" t="b">
        <v>0</v>
      </c>
      <c r="Q148" s="431" t="s">
        <v>1883</v>
      </c>
      <c r="R148" s="431" t="s">
        <v>1884</v>
      </c>
      <c r="S148" s="431" t="s">
        <v>1885</v>
      </c>
      <c r="T148" s="431" t="s">
        <v>4218</v>
      </c>
      <c r="U148" s="431"/>
      <c r="V148" s="431" t="s">
        <v>1886</v>
      </c>
      <c r="W148" s="432">
        <v>43585.59212040509</v>
      </c>
      <c r="X148" s="432">
        <v>44616.047074074071</v>
      </c>
      <c r="Y148" s="431"/>
      <c r="Z148" s="433">
        <v>40942</v>
      </c>
      <c r="AA148" s="433">
        <v>41054</v>
      </c>
      <c r="AB148" s="433">
        <v>41744</v>
      </c>
      <c r="AC148" s="433">
        <v>41767</v>
      </c>
      <c r="AD148" s="436">
        <f t="shared" si="2"/>
        <v>591.76470588235293</v>
      </c>
    </row>
    <row r="149" spans="1:30" ht="14">
      <c r="A149" s="431" t="s">
        <v>1879</v>
      </c>
      <c r="B149" s="431" t="s">
        <v>1880</v>
      </c>
      <c r="C149" s="431" t="s">
        <v>284</v>
      </c>
      <c r="D149" s="431" t="s">
        <v>4219</v>
      </c>
      <c r="E149" s="431" t="s">
        <v>1887</v>
      </c>
      <c r="F149" s="431">
        <v>2146</v>
      </c>
      <c r="G149" s="431">
        <v>2017</v>
      </c>
      <c r="H149" s="431">
        <v>2038</v>
      </c>
      <c r="I149" s="431" t="b">
        <v>1</v>
      </c>
      <c r="J149" s="431" t="s">
        <v>907</v>
      </c>
      <c r="K149" s="431">
        <v>550</v>
      </c>
      <c r="L149" s="431"/>
      <c r="M149" s="431"/>
      <c r="N149" s="431"/>
      <c r="O149" s="431" t="b">
        <v>1</v>
      </c>
      <c r="P149" s="431" t="b">
        <v>0</v>
      </c>
      <c r="Q149" s="431" t="s">
        <v>1888</v>
      </c>
      <c r="R149" s="431" t="s">
        <v>1889</v>
      </c>
      <c r="S149" s="431" t="s">
        <v>1890</v>
      </c>
      <c r="T149" s="431" t="s">
        <v>4220</v>
      </c>
      <c r="U149" s="431" t="s">
        <v>4221</v>
      </c>
      <c r="V149" s="431" t="s">
        <v>1891</v>
      </c>
      <c r="W149" s="432">
        <v>43585.592134016202</v>
      </c>
      <c r="X149" s="432">
        <v>44616.04645765046</v>
      </c>
      <c r="Y149" s="431"/>
      <c r="Z149" s="431"/>
      <c r="AA149" s="431"/>
      <c r="AB149" s="431"/>
      <c r="AC149" s="431"/>
      <c r="AD149" s="436">
        <f t="shared" si="2"/>
        <v>550</v>
      </c>
    </row>
    <row r="150" spans="1:30" ht="14">
      <c r="A150" s="431" t="s">
        <v>2934</v>
      </c>
      <c r="B150" s="431" t="s">
        <v>2935</v>
      </c>
      <c r="C150" s="431" t="s">
        <v>286</v>
      </c>
      <c r="D150" s="431" t="s">
        <v>2936</v>
      </c>
      <c r="E150" s="431" t="s">
        <v>2937</v>
      </c>
      <c r="F150" s="431">
        <v>1794</v>
      </c>
      <c r="G150" s="431">
        <v>2011</v>
      </c>
      <c r="H150" s="431">
        <v>2033</v>
      </c>
      <c r="I150" s="431" t="b">
        <v>1</v>
      </c>
      <c r="J150" s="431" t="s">
        <v>891</v>
      </c>
      <c r="K150" s="431">
        <v>18458</v>
      </c>
      <c r="L150" s="431"/>
      <c r="M150" s="431"/>
      <c r="N150" s="431"/>
      <c r="O150" s="431" t="b">
        <v>1</v>
      </c>
      <c r="P150" s="431" t="b">
        <v>0</v>
      </c>
      <c r="Q150" s="431" t="s">
        <v>2938</v>
      </c>
      <c r="R150" s="431" t="s">
        <v>2939</v>
      </c>
      <c r="S150" s="431" t="s">
        <v>2940</v>
      </c>
      <c r="T150" s="431" t="s">
        <v>4222</v>
      </c>
      <c r="U150" s="431"/>
      <c r="V150" s="431" t="s">
        <v>2941</v>
      </c>
      <c r="W150" s="432">
        <v>43585.59212105324</v>
      </c>
      <c r="X150" s="432">
        <v>44616.046339189816</v>
      </c>
      <c r="Y150" s="431"/>
      <c r="Z150" s="433">
        <v>42677</v>
      </c>
      <c r="AA150" s="433">
        <v>42825</v>
      </c>
      <c r="AB150" s="433">
        <v>43291</v>
      </c>
      <c r="AC150" s="433">
        <v>43396</v>
      </c>
      <c r="AD150" s="436">
        <f t="shared" si="2"/>
        <v>839</v>
      </c>
    </row>
    <row r="151" spans="1:30" ht="14">
      <c r="A151" s="431" t="s">
        <v>2060</v>
      </c>
      <c r="B151" s="431" t="s">
        <v>2061</v>
      </c>
      <c r="C151" s="431" t="s">
        <v>272</v>
      </c>
      <c r="D151" s="431" t="s">
        <v>931</v>
      </c>
      <c r="E151" s="431" t="s">
        <v>2062</v>
      </c>
      <c r="F151" s="431">
        <v>924</v>
      </c>
      <c r="G151" s="431">
        <v>2006</v>
      </c>
      <c r="H151" s="431">
        <v>2026</v>
      </c>
      <c r="I151" s="431" t="b">
        <v>1</v>
      </c>
      <c r="J151" s="431" t="s">
        <v>891</v>
      </c>
      <c r="K151" s="431">
        <v>10100</v>
      </c>
      <c r="L151" s="431"/>
      <c r="M151" s="431"/>
      <c r="N151" s="431"/>
      <c r="O151" s="431" t="b">
        <v>1</v>
      </c>
      <c r="P151" s="431" t="b">
        <v>0</v>
      </c>
      <c r="Q151" s="431" t="s">
        <v>2063</v>
      </c>
      <c r="R151" s="431" t="s">
        <v>2064</v>
      </c>
      <c r="S151" s="431" t="s">
        <v>2065</v>
      </c>
      <c r="T151" s="431"/>
      <c r="U151" s="431" t="s">
        <v>4223</v>
      </c>
      <c r="V151" s="431" t="s">
        <v>2066</v>
      </c>
      <c r="W151" s="432">
        <v>43585.592119664354</v>
      </c>
      <c r="X151" s="432">
        <v>44616.046257430557</v>
      </c>
      <c r="Y151" s="431"/>
      <c r="Z151" s="433">
        <v>39842</v>
      </c>
      <c r="AA151" s="433">
        <v>39988</v>
      </c>
      <c r="AB151" s="433">
        <v>40199</v>
      </c>
      <c r="AC151" s="433">
        <v>40233</v>
      </c>
      <c r="AD151" s="436">
        <f t="shared" si="2"/>
        <v>505</v>
      </c>
    </row>
    <row r="152" spans="1:30" ht="14">
      <c r="A152" s="431" t="s">
        <v>2060</v>
      </c>
      <c r="B152" s="431" t="s">
        <v>2061</v>
      </c>
      <c r="C152" s="431" t="s">
        <v>272</v>
      </c>
      <c r="D152" s="431" t="s">
        <v>2067</v>
      </c>
      <c r="E152" s="431" t="s">
        <v>2068</v>
      </c>
      <c r="F152" s="431">
        <v>2117</v>
      </c>
      <c r="G152" s="431">
        <v>2020</v>
      </c>
      <c r="H152" s="431">
        <v>2040</v>
      </c>
      <c r="I152" s="431" t="b">
        <v>1</v>
      </c>
      <c r="J152" s="431" t="s">
        <v>891</v>
      </c>
      <c r="K152" s="431">
        <v>11920</v>
      </c>
      <c r="L152" s="431"/>
      <c r="M152" s="431"/>
      <c r="N152" s="431"/>
      <c r="O152" s="431" t="b">
        <v>1</v>
      </c>
      <c r="P152" s="431" t="b">
        <v>0</v>
      </c>
      <c r="Q152" s="431" t="s">
        <v>4224</v>
      </c>
      <c r="R152" s="431"/>
      <c r="S152" s="431"/>
      <c r="T152" s="431" t="s">
        <v>4225</v>
      </c>
      <c r="U152" s="431"/>
      <c r="V152" s="431" t="s">
        <v>4226</v>
      </c>
      <c r="W152" s="432">
        <v>44096.455394560187</v>
      </c>
      <c r="X152" s="432">
        <v>44616.047282615742</v>
      </c>
      <c r="Y152" s="431"/>
      <c r="Z152" s="431"/>
      <c r="AA152" s="431"/>
      <c r="AB152" s="431"/>
      <c r="AC152" s="431"/>
      <c r="AD152" s="436">
        <f t="shared" si="2"/>
        <v>596</v>
      </c>
    </row>
    <row r="153" spans="1:30" ht="14">
      <c r="A153" s="431" t="s">
        <v>1474</v>
      </c>
      <c r="B153" s="431" t="s">
        <v>1475</v>
      </c>
      <c r="C153" s="431" t="s">
        <v>318</v>
      </c>
      <c r="D153" s="431" t="s">
        <v>1476</v>
      </c>
      <c r="E153" s="431" t="s">
        <v>1477</v>
      </c>
      <c r="F153" s="431">
        <v>629</v>
      </c>
      <c r="G153" s="431">
        <v>2011</v>
      </c>
      <c r="H153" s="431">
        <v>2031</v>
      </c>
      <c r="I153" s="431" t="b">
        <v>1</v>
      </c>
      <c r="J153" s="431" t="s">
        <v>891</v>
      </c>
      <c r="K153" s="431">
        <v>11000</v>
      </c>
      <c r="L153" s="431"/>
      <c r="M153" s="431"/>
      <c r="N153" s="431"/>
      <c r="O153" s="431" t="b">
        <v>1</v>
      </c>
      <c r="P153" s="431" t="b">
        <v>0</v>
      </c>
      <c r="Q153" s="431" t="s">
        <v>1478</v>
      </c>
      <c r="R153" s="431" t="s">
        <v>1479</v>
      </c>
      <c r="S153" s="431" t="s">
        <v>1480</v>
      </c>
      <c r="T153" s="431" t="s">
        <v>4227</v>
      </c>
      <c r="U153" s="431"/>
      <c r="V153" s="431" t="s">
        <v>1481</v>
      </c>
      <c r="W153" s="432">
        <v>43585.592122858798</v>
      </c>
      <c r="X153" s="432">
        <v>44616.048585648146</v>
      </c>
      <c r="Y153" s="431"/>
      <c r="Z153" s="433">
        <v>41333</v>
      </c>
      <c r="AA153" s="433">
        <v>41521</v>
      </c>
      <c r="AB153" s="433">
        <v>41738</v>
      </c>
      <c r="AC153" s="433">
        <v>41767</v>
      </c>
      <c r="AD153" s="436">
        <f t="shared" si="2"/>
        <v>550</v>
      </c>
    </row>
    <row r="154" spans="1:30" ht="14">
      <c r="A154" s="431" t="s">
        <v>1474</v>
      </c>
      <c r="B154" s="431" t="s">
        <v>1475</v>
      </c>
      <c r="C154" s="431" t="s">
        <v>318</v>
      </c>
      <c r="D154" s="431" t="s">
        <v>1482</v>
      </c>
      <c r="E154" s="431" t="s">
        <v>1483</v>
      </c>
      <c r="F154" s="431">
        <v>2218</v>
      </c>
      <c r="G154" s="431">
        <v>2019</v>
      </c>
      <c r="H154" s="431">
        <v>2040</v>
      </c>
      <c r="I154" s="431" t="b">
        <v>1</v>
      </c>
      <c r="J154" s="431" t="s">
        <v>891</v>
      </c>
      <c r="K154" s="431">
        <v>11550</v>
      </c>
      <c r="L154" s="431"/>
      <c r="M154" s="431"/>
      <c r="N154" s="431"/>
      <c r="O154" s="431" t="b">
        <v>1</v>
      </c>
      <c r="P154" s="431" t="b">
        <v>0</v>
      </c>
      <c r="Q154" s="431" t="s">
        <v>1484</v>
      </c>
      <c r="R154" s="431" t="s">
        <v>1485</v>
      </c>
      <c r="S154" s="431" t="s">
        <v>1486</v>
      </c>
      <c r="T154" s="431"/>
      <c r="U154" s="431" t="s">
        <v>1487</v>
      </c>
      <c r="V154" s="431" t="s">
        <v>1488</v>
      </c>
      <c r="W154" s="432">
        <v>44097.401283055558</v>
      </c>
      <c r="X154" s="432">
        <v>44616.043147303244</v>
      </c>
      <c r="Y154" s="431"/>
      <c r="Z154" s="431"/>
      <c r="AA154" s="431"/>
      <c r="AB154" s="431"/>
      <c r="AC154" s="431"/>
      <c r="AD154" s="436">
        <f t="shared" si="2"/>
        <v>550</v>
      </c>
    </row>
    <row r="155" spans="1:30" ht="14">
      <c r="A155" s="431" t="s">
        <v>1667</v>
      </c>
      <c r="B155" s="431" t="s">
        <v>1668</v>
      </c>
      <c r="C155" s="431" t="s">
        <v>1669</v>
      </c>
      <c r="D155" s="431" t="s">
        <v>3653</v>
      </c>
      <c r="E155" s="431" t="s">
        <v>3654</v>
      </c>
      <c r="F155" s="431">
        <v>398</v>
      </c>
      <c r="G155" s="431">
        <v>2013</v>
      </c>
      <c r="H155" s="431">
        <v>2028</v>
      </c>
      <c r="I155" s="431" t="b">
        <v>1</v>
      </c>
      <c r="J155" s="431" t="s">
        <v>891</v>
      </c>
      <c r="K155" s="431"/>
      <c r="L155" s="431"/>
      <c r="M155" s="431"/>
      <c r="N155" s="431">
        <v>8490</v>
      </c>
      <c r="O155" s="431" t="b">
        <v>1</v>
      </c>
      <c r="P155" s="431" t="b">
        <v>1</v>
      </c>
      <c r="Q155" s="431" t="s">
        <v>3655</v>
      </c>
      <c r="R155" s="431" t="s">
        <v>3656</v>
      </c>
      <c r="S155" s="431" t="s">
        <v>3657</v>
      </c>
      <c r="T155" s="431" t="s">
        <v>4016</v>
      </c>
      <c r="U155" s="431"/>
      <c r="V155" s="431" t="s">
        <v>3658</v>
      </c>
      <c r="W155" s="432">
        <v>43585.592120810186</v>
      </c>
      <c r="X155" s="432">
        <v>44616.0439934838</v>
      </c>
      <c r="Y155" s="431"/>
      <c r="Z155" s="433">
        <v>41001</v>
      </c>
      <c r="AA155" s="433">
        <v>41348</v>
      </c>
      <c r="AB155" s="433">
        <v>41719</v>
      </c>
      <c r="AC155" s="433">
        <v>41757</v>
      </c>
      <c r="AD155" s="436">
        <f t="shared" si="2"/>
        <v>566</v>
      </c>
    </row>
    <row r="156" spans="1:30" ht="14">
      <c r="A156" s="431" t="s">
        <v>3682</v>
      </c>
      <c r="B156" s="431" t="s">
        <v>3683</v>
      </c>
      <c r="C156" s="431" t="s">
        <v>330</v>
      </c>
      <c r="D156" s="431" t="s">
        <v>3673</v>
      </c>
      <c r="E156" s="431" t="s">
        <v>3674</v>
      </c>
      <c r="F156" s="431">
        <v>1109</v>
      </c>
      <c r="G156" s="431">
        <v>2011</v>
      </c>
      <c r="H156" s="431">
        <v>2031</v>
      </c>
      <c r="I156" s="431" t="b">
        <v>1</v>
      </c>
      <c r="J156" s="431" t="s">
        <v>891</v>
      </c>
      <c r="K156" s="431">
        <v>14359</v>
      </c>
      <c r="L156" s="431"/>
      <c r="M156" s="431"/>
      <c r="N156" s="431"/>
      <c r="O156" s="431" t="b">
        <v>1</v>
      </c>
      <c r="P156" s="431" t="b">
        <v>1</v>
      </c>
      <c r="Q156" s="431" t="s">
        <v>3675</v>
      </c>
      <c r="R156" s="431"/>
      <c r="S156" s="431"/>
      <c r="T156" s="431" t="s">
        <v>3676</v>
      </c>
      <c r="U156" s="431"/>
      <c r="V156" s="431" t="s">
        <v>3677</v>
      </c>
      <c r="W156" s="432">
        <v>43585.592114988423</v>
      </c>
      <c r="X156" s="432">
        <v>44616.047870532406</v>
      </c>
      <c r="Y156" s="431"/>
      <c r="Z156" s="433">
        <v>41820</v>
      </c>
      <c r="AA156" s="433">
        <v>41963</v>
      </c>
      <c r="AB156" s="433">
        <v>43034</v>
      </c>
      <c r="AC156" s="433">
        <v>43080</v>
      </c>
      <c r="AD156" s="436">
        <f t="shared" si="2"/>
        <v>717.95</v>
      </c>
    </row>
    <row r="157" spans="1:30" ht="14">
      <c r="A157" s="431" t="s">
        <v>3682</v>
      </c>
      <c r="B157" s="431" t="s">
        <v>3683</v>
      </c>
      <c r="C157" s="431" t="s">
        <v>330</v>
      </c>
      <c r="D157" s="431" t="s">
        <v>3678</v>
      </c>
      <c r="E157" s="431" t="s">
        <v>3679</v>
      </c>
      <c r="F157" s="431">
        <v>2142</v>
      </c>
      <c r="G157" s="431">
        <v>2021</v>
      </c>
      <c r="H157" s="431">
        <v>2036</v>
      </c>
      <c r="I157" s="431" t="b">
        <v>1</v>
      </c>
      <c r="J157" s="431" t="s">
        <v>891</v>
      </c>
      <c r="K157" s="431"/>
      <c r="L157" s="431"/>
      <c r="M157" s="431"/>
      <c r="N157" s="431">
        <v>35600</v>
      </c>
      <c r="O157" s="431" t="b">
        <v>1</v>
      </c>
      <c r="P157" s="431" t="b">
        <v>1</v>
      </c>
      <c r="Q157" s="431" t="s">
        <v>3680</v>
      </c>
      <c r="R157" s="431"/>
      <c r="S157" s="431"/>
      <c r="T157" s="431" t="s">
        <v>4112</v>
      </c>
      <c r="U157" s="431"/>
      <c r="V157" s="431" t="s">
        <v>3681</v>
      </c>
      <c r="W157" s="432">
        <v>43585.592134872684</v>
      </c>
      <c r="X157" s="432">
        <v>44616.048271643522</v>
      </c>
      <c r="Y157" s="431"/>
      <c r="Z157" s="431"/>
      <c r="AA157" s="431"/>
      <c r="AB157" s="431"/>
      <c r="AC157" s="431"/>
      <c r="AD157" s="436">
        <f t="shared" si="2"/>
        <v>2373.3333333333335</v>
      </c>
    </row>
    <row r="158" spans="1:30" ht="14">
      <c r="A158" s="431" t="s">
        <v>2294</v>
      </c>
      <c r="B158" s="431" t="s">
        <v>2295</v>
      </c>
      <c r="C158" s="431" t="s">
        <v>288</v>
      </c>
      <c r="D158" s="431" t="s">
        <v>2296</v>
      </c>
      <c r="E158" s="431" t="s">
        <v>2297</v>
      </c>
      <c r="F158" s="431">
        <v>1803</v>
      </c>
      <c r="G158" s="431">
        <v>2017</v>
      </c>
      <c r="H158" s="431">
        <v>2031</v>
      </c>
      <c r="I158" s="431" t="b">
        <v>1</v>
      </c>
      <c r="J158" s="431" t="s">
        <v>891</v>
      </c>
      <c r="K158" s="431">
        <v>7819</v>
      </c>
      <c r="L158" s="431"/>
      <c r="M158" s="431"/>
      <c r="N158" s="431"/>
      <c r="O158" s="431" t="b">
        <v>1</v>
      </c>
      <c r="P158" s="431" t="b">
        <v>0</v>
      </c>
      <c r="Q158" s="431" t="s">
        <v>2298</v>
      </c>
      <c r="R158" s="431" t="s">
        <v>2299</v>
      </c>
      <c r="S158" s="431" t="s">
        <v>2300</v>
      </c>
      <c r="T158" s="431"/>
      <c r="U158" s="431"/>
      <c r="V158" s="431" t="s">
        <v>2301</v>
      </c>
      <c r="W158" s="432">
        <v>43585.592121307869</v>
      </c>
      <c r="X158" s="432">
        <v>44616.048180694444</v>
      </c>
      <c r="Y158" s="431"/>
      <c r="Z158" s="433">
        <v>42704</v>
      </c>
      <c r="AA158" s="433">
        <v>42843</v>
      </c>
      <c r="AB158" s="433">
        <v>43223</v>
      </c>
      <c r="AC158" s="433">
        <v>43299</v>
      </c>
      <c r="AD158" s="436">
        <f t="shared" si="2"/>
        <v>558.5</v>
      </c>
    </row>
    <row r="159" spans="1:30" ht="14">
      <c r="A159" s="431" t="s">
        <v>2294</v>
      </c>
      <c r="B159" s="431" t="s">
        <v>2295</v>
      </c>
      <c r="C159" s="431" t="s">
        <v>288</v>
      </c>
      <c r="D159" s="431" t="s">
        <v>4228</v>
      </c>
      <c r="E159" s="431" t="s">
        <v>4229</v>
      </c>
      <c r="F159" s="431">
        <v>2165</v>
      </c>
      <c r="G159" s="431">
        <v>2022</v>
      </c>
      <c r="H159" s="431">
        <v>2041</v>
      </c>
      <c r="I159" s="431" t="b">
        <v>1</v>
      </c>
      <c r="J159" s="431"/>
      <c r="K159" s="431"/>
      <c r="L159" s="431"/>
      <c r="M159" s="431"/>
      <c r="N159" s="431"/>
      <c r="O159" s="431" t="b">
        <v>0</v>
      </c>
      <c r="P159" s="431" t="b">
        <v>0</v>
      </c>
      <c r="Q159" s="431"/>
      <c r="R159" s="431"/>
      <c r="S159" s="431"/>
      <c r="T159" s="431"/>
      <c r="U159" s="431"/>
      <c r="V159" s="431"/>
      <c r="W159" s="432">
        <v>44376.427280613425</v>
      </c>
      <c r="X159" s="432">
        <v>44376.427451238429</v>
      </c>
      <c r="Y159" s="431" t="s">
        <v>978</v>
      </c>
      <c r="Z159" s="431"/>
      <c r="AA159" s="431"/>
      <c r="AB159" s="431"/>
      <c r="AC159" s="431"/>
      <c r="AD159" s="436" t="str">
        <f t="shared" si="2"/>
        <v/>
      </c>
    </row>
    <row r="160" spans="1:30" ht="14">
      <c r="A160" s="431" t="s">
        <v>2320</v>
      </c>
      <c r="B160" s="431" t="s">
        <v>2321</v>
      </c>
      <c r="C160" s="431" t="s">
        <v>336</v>
      </c>
      <c r="D160" s="431" t="s">
        <v>2322</v>
      </c>
      <c r="E160" s="431" t="s">
        <v>2323</v>
      </c>
      <c r="F160" s="431">
        <v>269</v>
      </c>
      <c r="G160" s="431">
        <v>2013</v>
      </c>
      <c r="H160" s="431">
        <v>2030</v>
      </c>
      <c r="I160" s="431" t="b">
        <v>1</v>
      </c>
      <c r="J160" s="431" t="s">
        <v>891</v>
      </c>
      <c r="K160" s="431">
        <v>7140</v>
      </c>
      <c r="L160" s="431"/>
      <c r="M160" s="431"/>
      <c r="N160" s="431"/>
      <c r="O160" s="431" t="b">
        <v>1</v>
      </c>
      <c r="P160" s="431" t="b">
        <v>0</v>
      </c>
      <c r="Q160" s="431" t="s">
        <v>2324</v>
      </c>
      <c r="R160" s="431" t="s">
        <v>2325</v>
      </c>
      <c r="S160" s="431" t="s">
        <v>2326</v>
      </c>
      <c r="T160" s="431"/>
      <c r="U160" s="431"/>
      <c r="V160" s="431" t="s">
        <v>2327</v>
      </c>
      <c r="W160" s="432">
        <v>43585.592123101851</v>
      </c>
      <c r="X160" s="432">
        <v>44616.047182800925</v>
      </c>
      <c r="Y160" s="431"/>
      <c r="Z160" s="433">
        <v>41544</v>
      </c>
      <c r="AA160" s="433">
        <v>41729</v>
      </c>
      <c r="AB160" s="433">
        <v>42338</v>
      </c>
      <c r="AC160" s="433">
        <v>42359</v>
      </c>
      <c r="AD160" s="436">
        <f t="shared" si="2"/>
        <v>420</v>
      </c>
    </row>
    <row r="161" spans="1:30" ht="14">
      <c r="A161" s="431" t="s">
        <v>2689</v>
      </c>
      <c r="B161" s="431" t="s">
        <v>2690</v>
      </c>
      <c r="C161" s="431" t="s">
        <v>340</v>
      </c>
      <c r="D161" s="431" t="s">
        <v>4230</v>
      </c>
      <c r="E161" s="431" t="s">
        <v>2691</v>
      </c>
      <c r="F161" s="431">
        <v>1764</v>
      </c>
      <c r="G161" s="431">
        <v>2015</v>
      </c>
      <c r="H161" s="431">
        <v>2034</v>
      </c>
      <c r="I161" s="431" t="b">
        <v>1</v>
      </c>
      <c r="J161" s="431" t="s">
        <v>891</v>
      </c>
      <c r="K161" s="431">
        <v>10678</v>
      </c>
      <c r="L161" s="431"/>
      <c r="M161" s="431"/>
      <c r="N161" s="431"/>
      <c r="O161" s="431" t="b">
        <v>1</v>
      </c>
      <c r="P161" s="431" t="b">
        <v>0</v>
      </c>
      <c r="Q161" s="431" t="s">
        <v>2692</v>
      </c>
      <c r="R161" s="431" t="s">
        <v>2693</v>
      </c>
      <c r="S161" s="431" t="s">
        <v>2694</v>
      </c>
      <c r="T161" s="431"/>
      <c r="U161" s="431"/>
      <c r="V161" s="431" t="s">
        <v>2695</v>
      </c>
      <c r="W161" s="432">
        <v>43585.592124178242</v>
      </c>
      <c r="X161" s="432">
        <v>44616.043245925925</v>
      </c>
      <c r="Y161" s="431"/>
      <c r="Z161" s="433">
        <v>42527</v>
      </c>
      <c r="AA161" s="433">
        <v>43083</v>
      </c>
      <c r="AB161" s="433">
        <v>43551</v>
      </c>
      <c r="AC161" s="433">
        <v>43580</v>
      </c>
      <c r="AD161" s="436">
        <f t="shared" si="2"/>
        <v>562</v>
      </c>
    </row>
    <row r="162" spans="1:30" ht="14">
      <c r="A162" s="431" t="s">
        <v>2616</v>
      </c>
      <c r="B162" s="431" t="s">
        <v>2617</v>
      </c>
      <c r="C162" s="431" t="s">
        <v>388</v>
      </c>
      <c r="D162" s="431" t="s">
        <v>2618</v>
      </c>
      <c r="E162" s="431" t="s">
        <v>2619</v>
      </c>
      <c r="F162" s="431">
        <v>1531</v>
      </c>
      <c r="G162" s="431">
        <v>2011</v>
      </c>
      <c r="H162" s="431">
        <v>2031</v>
      </c>
      <c r="I162" s="431" t="b">
        <v>1</v>
      </c>
      <c r="J162" s="431" t="s">
        <v>891</v>
      </c>
      <c r="K162" s="431">
        <v>9777</v>
      </c>
      <c r="L162" s="431"/>
      <c r="M162" s="431"/>
      <c r="N162" s="431"/>
      <c r="O162" s="431" t="b">
        <v>1</v>
      </c>
      <c r="P162" s="431" t="b">
        <v>0</v>
      </c>
      <c r="Q162" s="431" t="s">
        <v>2620</v>
      </c>
      <c r="R162" s="431" t="s">
        <v>2621</v>
      </c>
      <c r="S162" s="431" t="s">
        <v>2622</v>
      </c>
      <c r="T162" s="431" t="s">
        <v>2623</v>
      </c>
      <c r="U162" s="431"/>
      <c r="V162" s="431" t="s">
        <v>2624</v>
      </c>
      <c r="W162" s="432">
        <v>43585.592128750002</v>
      </c>
      <c r="X162" s="432">
        <v>44616.04343863426</v>
      </c>
      <c r="Y162" s="431"/>
      <c r="Z162" s="433">
        <v>41985</v>
      </c>
      <c r="AA162" s="433">
        <v>42352</v>
      </c>
      <c r="AB162" s="433">
        <v>42752</v>
      </c>
      <c r="AC162" s="433">
        <v>42788</v>
      </c>
      <c r="AD162" s="436">
        <f t="shared" si="2"/>
        <v>488.85</v>
      </c>
    </row>
    <row r="163" spans="1:30" ht="14">
      <c r="A163" s="431" t="s">
        <v>2616</v>
      </c>
      <c r="B163" s="431" t="s">
        <v>2617</v>
      </c>
      <c r="C163" s="431" t="s">
        <v>388</v>
      </c>
      <c r="D163" s="431" t="s">
        <v>2625</v>
      </c>
      <c r="E163" s="431" t="s">
        <v>2626</v>
      </c>
      <c r="F163" s="431">
        <v>2072</v>
      </c>
      <c r="G163" s="431">
        <v>2018</v>
      </c>
      <c r="H163" s="431">
        <v>2036</v>
      </c>
      <c r="I163" s="431" t="b">
        <v>1</v>
      </c>
      <c r="J163" s="431" t="s">
        <v>891</v>
      </c>
      <c r="K163" s="431">
        <v>8010</v>
      </c>
      <c r="L163" s="431"/>
      <c r="M163" s="431"/>
      <c r="N163" s="431"/>
      <c r="O163" s="431" t="b">
        <v>1</v>
      </c>
      <c r="P163" s="431" t="b">
        <v>0</v>
      </c>
      <c r="Q163" s="431" t="s">
        <v>2627</v>
      </c>
      <c r="R163" s="431" t="s">
        <v>2628</v>
      </c>
      <c r="S163" s="431" t="s">
        <v>2629</v>
      </c>
      <c r="T163" s="431" t="s">
        <v>2630</v>
      </c>
      <c r="U163" s="431"/>
      <c r="V163" s="431" t="s">
        <v>2631</v>
      </c>
      <c r="W163" s="432">
        <v>43585.592112465281</v>
      </c>
      <c r="X163" s="432">
        <v>44616.048471226852</v>
      </c>
      <c r="Y163" s="431"/>
      <c r="Z163" s="433">
        <v>43845</v>
      </c>
      <c r="AA163" s="433">
        <v>43992</v>
      </c>
      <c r="AB163" s="431"/>
      <c r="AC163" s="431"/>
      <c r="AD163" s="436">
        <f t="shared" si="2"/>
        <v>445</v>
      </c>
    </row>
    <row r="164" spans="1:30" ht="14">
      <c r="A164" s="431" t="s">
        <v>3784</v>
      </c>
      <c r="B164" s="431" t="s">
        <v>3785</v>
      </c>
      <c r="C164" s="431" t="s">
        <v>328</v>
      </c>
      <c r="D164" s="431" t="s">
        <v>3601</v>
      </c>
      <c r="E164" s="431" t="s">
        <v>3602</v>
      </c>
      <c r="F164" s="431">
        <v>1052</v>
      </c>
      <c r="G164" s="431">
        <v>2011</v>
      </c>
      <c r="H164" s="431">
        <v>2028</v>
      </c>
      <c r="I164" s="431" t="b">
        <v>1</v>
      </c>
      <c r="J164" s="431" t="s">
        <v>891</v>
      </c>
      <c r="K164" s="431">
        <v>7250</v>
      </c>
      <c r="L164" s="431"/>
      <c r="M164" s="431"/>
      <c r="N164" s="431"/>
      <c r="O164" s="431" t="b">
        <v>1</v>
      </c>
      <c r="P164" s="431" t="b">
        <v>1</v>
      </c>
      <c r="Q164" s="431" t="s">
        <v>3603</v>
      </c>
      <c r="R164" s="431" t="s">
        <v>3604</v>
      </c>
      <c r="S164" s="431" t="s">
        <v>3605</v>
      </c>
      <c r="T164" s="431" t="s">
        <v>3606</v>
      </c>
      <c r="U164" s="431"/>
      <c r="V164" s="431" t="s">
        <v>3607</v>
      </c>
      <c r="W164" s="432">
        <v>43585.5921303125</v>
      </c>
      <c r="X164" s="432">
        <v>44616.044731574075</v>
      </c>
      <c r="Y164" s="431"/>
      <c r="Z164" s="433">
        <v>41071</v>
      </c>
      <c r="AA164" s="433">
        <v>41432</v>
      </c>
      <c r="AB164" s="433">
        <v>41844</v>
      </c>
      <c r="AC164" s="433">
        <v>41899</v>
      </c>
      <c r="AD164" s="436">
        <f t="shared" si="2"/>
        <v>426.47058823529414</v>
      </c>
    </row>
    <row r="165" spans="1:30" ht="14">
      <c r="A165" s="431" t="s">
        <v>3784</v>
      </c>
      <c r="B165" s="431" t="s">
        <v>3785</v>
      </c>
      <c r="C165" s="431" t="s">
        <v>328</v>
      </c>
      <c r="D165" s="431" t="s">
        <v>3608</v>
      </c>
      <c r="E165" s="431" t="s">
        <v>3609</v>
      </c>
      <c r="F165" s="431">
        <v>2091</v>
      </c>
      <c r="G165" s="431">
        <v>2018</v>
      </c>
      <c r="H165" s="431">
        <v>2038</v>
      </c>
      <c r="I165" s="431" t="b">
        <v>1</v>
      </c>
      <c r="J165" s="431" t="s">
        <v>891</v>
      </c>
      <c r="K165" s="431">
        <v>9160</v>
      </c>
      <c r="L165" s="431"/>
      <c r="M165" s="431"/>
      <c r="N165" s="431"/>
      <c r="O165" s="431" t="b">
        <v>1</v>
      </c>
      <c r="P165" s="431" t="b">
        <v>1</v>
      </c>
      <c r="Q165" s="431" t="s">
        <v>3610</v>
      </c>
      <c r="R165" s="431" t="s">
        <v>3611</v>
      </c>
      <c r="S165" s="431" t="s">
        <v>3612</v>
      </c>
      <c r="T165" s="431"/>
      <c r="U165" s="431" t="s">
        <v>3613</v>
      </c>
      <c r="V165" s="431" t="s">
        <v>3614</v>
      </c>
      <c r="W165" s="432">
        <v>44097.359115185187</v>
      </c>
      <c r="X165" s="432">
        <v>44616.048697256942</v>
      </c>
      <c r="Y165" s="431"/>
      <c r="Z165" s="431"/>
      <c r="AA165" s="431"/>
      <c r="AB165" s="431"/>
      <c r="AC165" s="431"/>
      <c r="AD165" s="436">
        <f t="shared" si="2"/>
        <v>458</v>
      </c>
    </row>
    <row r="166" spans="1:30" ht="14">
      <c r="A166" s="431" t="s">
        <v>1325</v>
      </c>
      <c r="B166" s="431" t="s">
        <v>1326</v>
      </c>
      <c r="C166" s="431" t="s">
        <v>390</v>
      </c>
      <c r="D166" s="431" t="s">
        <v>1327</v>
      </c>
      <c r="E166" s="431" t="s">
        <v>1328</v>
      </c>
      <c r="F166" s="431">
        <v>1202</v>
      </c>
      <c r="G166" s="431">
        <v>2011</v>
      </c>
      <c r="H166" s="431">
        <v>2027</v>
      </c>
      <c r="I166" s="431" t="b">
        <v>1</v>
      </c>
      <c r="J166" s="431" t="s">
        <v>891</v>
      </c>
      <c r="K166" s="431">
        <v>8320</v>
      </c>
      <c r="L166" s="431"/>
      <c r="M166" s="431"/>
      <c r="N166" s="431"/>
      <c r="O166" s="431" t="b">
        <v>1</v>
      </c>
      <c r="P166" s="431" t="b">
        <v>0</v>
      </c>
      <c r="Q166" s="431" t="s">
        <v>1329</v>
      </c>
      <c r="R166" s="431" t="s">
        <v>1330</v>
      </c>
      <c r="S166" s="431" t="s">
        <v>1331</v>
      </c>
      <c r="T166" s="431" t="s">
        <v>1332</v>
      </c>
      <c r="U166" s="431"/>
      <c r="V166" s="431" t="s">
        <v>1333</v>
      </c>
      <c r="W166" s="432">
        <v>43585.592128182871</v>
      </c>
      <c r="X166" s="432">
        <v>44616.043437349537</v>
      </c>
      <c r="Y166" s="431"/>
      <c r="Z166" s="433">
        <v>40647</v>
      </c>
      <c r="AA166" s="433">
        <v>40718</v>
      </c>
      <c r="AB166" s="433">
        <v>40891</v>
      </c>
      <c r="AC166" s="433">
        <v>40989</v>
      </c>
      <c r="AD166" s="436">
        <f t="shared" si="2"/>
        <v>520</v>
      </c>
    </row>
    <row r="167" spans="1:30" ht="14">
      <c r="A167" s="431" t="s">
        <v>1325</v>
      </c>
      <c r="B167" s="431" t="s">
        <v>1326</v>
      </c>
      <c r="C167" s="431" t="s">
        <v>390</v>
      </c>
      <c r="D167" s="431" t="s">
        <v>1334</v>
      </c>
      <c r="E167" s="431" t="s">
        <v>1335</v>
      </c>
      <c r="F167" s="431">
        <v>2151</v>
      </c>
      <c r="G167" s="431">
        <v>2020</v>
      </c>
      <c r="H167" s="431">
        <v>2035</v>
      </c>
      <c r="I167" s="431" t="b">
        <v>1</v>
      </c>
      <c r="J167" s="431" t="s">
        <v>891</v>
      </c>
      <c r="K167" s="431">
        <v>9615</v>
      </c>
      <c r="L167" s="431"/>
      <c r="M167" s="431"/>
      <c r="N167" s="431"/>
      <c r="O167" s="431" t="b">
        <v>1</v>
      </c>
      <c r="P167" s="431" t="b">
        <v>0</v>
      </c>
      <c r="Q167" s="431" t="s">
        <v>1336</v>
      </c>
      <c r="R167" s="431" t="s">
        <v>1337</v>
      </c>
      <c r="S167" s="431" t="s">
        <v>1338</v>
      </c>
      <c r="T167" s="431" t="s">
        <v>1339</v>
      </c>
      <c r="U167" s="431"/>
      <c r="V167" s="431" t="s">
        <v>1340</v>
      </c>
      <c r="W167" s="432">
        <v>43585.592113460647</v>
      </c>
      <c r="X167" s="432">
        <v>44616.047275833334</v>
      </c>
      <c r="Y167" s="431"/>
      <c r="Z167" s="431"/>
      <c r="AA167" s="431"/>
      <c r="AB167" s="431"/>
      <c r="AC167" s="431"/>
      <c r="AD167" s="436">
        <f t="shared" si="2"/>
        <v>641</v>
      </c>
    </row>
    <row r="168" spans="1:30" ht="14">
      <c r="A168" s="431" t="s">
        <v>3016</v>
      </c>
      <c r="B168" s="431" t="s">
        <v>3017</v>
      </c>
      <c r="C168" s="431" t="s">
        <v>408</v>
      </c>
      <c r="D168" s="431" t="s">
        <v>3018</v>
      </c>
      <c r="E168" s="431" t="s">
        <v>3019</v>
      </c>
      <c r="F168" s="431">
        <v>1112</v>
      </c>
      <c r="G168" s="431">
        <v>2010</v>
      </c>
      <c r="H168" s="431">
        <v>2028</v>
      </c>
      <c r="I168" s="431" t="b">
        <v>1</v>
      </c>
      <c r="J168" s="431" t="s">
        <v>891</v>
      </c>
      <c r="K168" s="431">
        <v>8100</v>
      </c>
      <c r="L168" s="431"/>
      <c r="M168" s="431"/>
      <c r="N168" s="431"/>
      <c r="O168" s="431" t="b">
        <v>1</v>
      </c>
      <c r="P168" s="431" t="b">
        <v>0</v>
      </c>
      <c r="Q168" s="431" t="s">
        <v>3020</v>
      </c>
      <c r="R168" s="431" t="s">
        <v>3021</v>
      </c>
      <c r="S168" s="431" t="s">
        <v>3022</v>
      </c>
      <c r="T168" s="431" t="s">
        <v>4231</v>
      </c>
      <c r="U168" s="431"/>
      <c r="V168" s="431" t="s">
        <v>3023</v>
      </c>
      <c r="W168" s="432">
        <v>43585.592129537035</v>
      </c>
      <c r="X168" s="432">
        <v>44616.047023865744</v>
      </c>
      <c r="Y168" s="431"/>
      <c r="Z168" s="433">
        <v>41221</v>
      </c>
      <c r="AA168" s="433">
        <v>41474</v>
      </c>
      <c r="AB168" s="433">
        <v>42332</v>
      </c>
      <c r="AC168" s="433">
        <v>42375</v>
      </c>
      <c r="AD168" s="436">
        <f t="shared" si="2"/>
        <v>450</v>
      </c>
    </row>
    <row r="169" spans="1:30" ht="14">
      <c r="A169" s="431" t="s">
        <v>3316</v>
      </c>
      <c r="B169" s="431" t="s">
        <v>3317</v>
      </c>
      <c r="C169" s="431" t="s">
        <v>342</v>
      </c>
      <c r="D169" s="431" t="s">
        <v>3318</v>
      </c>
      <c r="E169" s="431" t="s">
        <v>3319</v>
      </c>
      <c r="F169" s="431">
        <v>1999</v>
      </c>
      <c r="G169" s="431">
        <v>2018</v>
      </c>
      <c r="H169" s="431">
        <v>2033</v>
      </c>
      <c r="I169" s="431" t="b">
        <v>1</v>
      </c>
      <c r="J169" s="431" t="s">
        <v>891</v>
      </c>
      <c r="K169" s="431">
        <v>19950</v>
      </c>
      <c r="L169" s="431"/>
      <c r="M169" s="431"/>
      <c r="N169" s="431"/>
      <c r="O169" s="431" t="b">
        <v>1</v>
      </c>
      <c r="P169" s="431" t="b">
        <v>0</v>
      </c>
      <c r="Q169" s="431" t="s">
        <v>3320</v>
      </c>
      <c r="R169" s="431"/>
      <c r="S169" s="431"/>
      <c r="T169" s="431" t="s">
        <v>3321</v>
      </c>
      <c r="U169" s="431"/>
      <c r="V169" s="431" t="s">
        <v>3322</v>
      </c>
      <c r="W169" s="432">
        <v>43585.592118414352</v>
      </c>
      <c r="X169" s="432">
        <v>44616.042057777777</v>
      </c>
      <c r="Y169" s="431"/>
      <c r="Z169" s="433">
        <v>43423</v>
      </c>
      <c r="AA169" s="433">
        <v>43488</v>
      </c>
      <c r="AB169" s="433">
        <v>43992</v>
      </c>
      <c r="AC169" s="433">
        <v>44034</v>
      </c>
      <c r="AD169" s="436">
        <f t="shared" si="2"/>
        <v>1330</v>
      </c>
    </row>
    <row r="170" spans="1:30" ht="14">
      <c r="A170" s="431" t="s">
        <v>3330</v>
      </c>
      <c r="B170" s="431" t="s">
        <v>3331</v>
      </c>
      <c r="C170" s="431" t="s">
        <v>352</v>
      </c>
      <c r="D170" s="431" t="s">
        <v>3332</v>
      </c>
      <c r="E170" s="431" t="s">
        <v>3333</v>
      </c>
      <c r="F170" s="431">
        <v>1734</v>
      </c>
      <c r="G170" s="431">
        <v>2011</v>
      </c>
      <c r="H170" s="431">
        <v>2026</v>
      </c>
      <c r="I170" s="431" t="b">
        <v>1</v>
      </c>
      <c r="J170" s="431" t="s">
        <v>891</v>
      </c>
      <c r="K170" s="431">
        <v>19802</v>
      </c>
      <c r="L170" s="431"/>
      <c r="M170" s="431"/>
      <c r="N170" s="431"/>
      <c r="O170" s="431" t="b">
        <v>1</v>
      </c>
      <c r="P170" s="431" t="b">
        <v>0</v>
      </c>
      <c r="Q170" s="431" t="s">
        <v>3334</v>
      </c>
      <c r="R170" s="431" t="s">
        <v>3335</v>
      </c>
      <c r="S170" s="431" t="s">
        <v>4232</v>
      </c>
      <c r="T170" s="431" t="s">
        <v>3336</v>
      </c>
      <c r="U170" s="431"/>
      <c r="V170" s="431" t="s">
        <v>3337</v>
      </c>
      <c r="W170" s="432">
        <v>43585.592125555559</v>
      </c>
      <c r="X170" s="432">
        <v>44616.044069861113</v>
      </c>
      <c r="Y170" s="431"/>
      <c r="Z170" s="433">
        <v>42377</v>
      </c>
      <c r="AA170" s="433">
        <v>42514</v>
      </c>
      <c r="AB170" s="433">
        <v>42853</v>
      </c>
      <c r="AC170" s="433">
        <v>42940</v>
      </c>
      <c r="AD170" s="436">
        <f t="shared" si="2"/>
        <v>1320.1333333333334</v>
      </c>
    </row>
    <row r="171" spans="1:30" ht="14">
      <c r="A171" s="431" t="s">
        <v>3330</v>
      </c>
      <c r="B171" s="431" t="s">
        <v>3331</v>
      </c>
      <c r="C171" s="431" t="s">
        <v>352</v>
      </c>
      <c r="D171" s="431" t="s">
        <v>1323</v>
      </c>
      <c r="E171" s="431" t="s">
        <v>4233</v>
      </c>
      <c r="F171" s="431">
        <v>2166</v>
      </c>
      <c r="G171" s="431">
        <v>2022</v>
      </c>
      <c r="H171" s="431">
        <v>2037</v>
      </c>
      <c r="I171" s="431" t="b">
        <v>1</v>
      </c>
      <c r="J171" s="431"/>
      <c r="K171" s="431"/>
      <c r="L171" s="431"/>
      <c r="M171" s="431"/>
      <c r="N171" s="431"/>
      <c r="O171" s="431" t="b">
        <v>0</v>
      </c>
      <c r="P171" s="431" t="b">
        <v>0</v>
      </c>
      <c r="Q171" s="431"/>
      <c r="R171" s="431"/>
      <c r="S171" s="431"/>
      <c r="T171" s="431"/>
      <c r="U171" s="431"/>
      <c r="V171" s="431"/>
      <c r="W171" s="432">
        <v>44376.431612256943</v>
      </c>
      <c r="X171" s="432">
        <v>44376.431729965276</v>
      </c>
      <c r="Y171" s="431" t="s">
        <v>978</v>
      </c>
      <c r="Z171" s="431"/>
      <c r="AA171" s="431"/>
      <c r="AB171" s="431"/>
      <c r="AC171" s="431"/>
      <c r="AD171" s="436" t="str">
        <f t="shared" si="2"/>
        <v/>
      </c>
    </row>
    <row r="172" spans="1:30" ht="14">
      <c r="A172" s="431" t="s">
        <v>3338</v>
      </c>
      <c r="B172" s="431" t="s">
        <v>3339</v>
      </c>
      <c r="C172" s="431" t="s">
        <v>358</v>
      </c>
      <c r="D172" s="431" t="s">
        <v>3340</v>
      </c>
      <c r="E172" s="431" t="s">
        <v>3341</v>
      </c>
      <c r="F172" s="431">
        <v>1018</v>
      </c>
      <c r="G172" s="431">
        <v>2009</v>
      </c>
      <c r="H172" s="431">
        <v>2026</v>
      </c>
      <c r="I172" s="431" t="b">
        <v>1</v>
      </c>
      <c r="J172" s="431" t="s">
        <v>891</v>
      </c>
      <c r="K172" s="431">
        <v>6050</v>
      </c>
      <c r="L172" s="431"/>
      <c r="M172" s="431"/>
      <c r="N172" s="431"/>
      <c r="O172" s="431" t="b">
        <v>1</v>
      </c>
      <c r="P172" s="431" t="b">
        <v>0</v>
      </c>
      <c r="Q172" s="431" t="s">
        <v>3342</v>
      </c>
      <c r="R172" s="431" t="s">
        <v>3343</v>
      </c>
      <c r="S172" s="431" t="s">
        <v>3344</v>
      </c>
      <c r="T172" s="431" t="s">
        <v>3345</v>
      </c>
      <c r="U172" s="431"/>
      <c r="V172" s="431" t="s">
        <v>3346</v>
      </c>
      <c r="W172" s="432">
        <v>43585.592128819444</v>
      </c>
      <c r="X172" s="432">
        <v>44616.042022905094</v>
      </c>
      <c r="Y172" s="431"/>
      <c r="Z172" s="433">
        <v>40637</v>
      </c>
      <c r="AA172" s="433">
        <v>40718</v>
      </c>
      <c r="AB172" s="433">
        <v>40890</v>
      </c>
      <c r="AC172" s="433">
        <v>40955</v>
      </c>
      <c r="AD172" s="436">
        <f t="shared" si="2"/>
        <v>355.88235294117646</v>
      </c>
    </row>
    <row r="173" spans="1:30" ht="14">
      <c r="A173" s="431" t="s">
        <v>3347</v>
      </c>
      <c r="B173" s="431" t="s">
        <v>3348</v>
      </c>
      <c r="C173" s="431" t="s">
        <v>368</v>
      </c>
      <c r="D173" s="431" t="s">
        <v>3349</v>
      </c>
      <c r="E173" s="431" t="s">
        <v>4234</v>
      </c>
      <c r="F173" s="431">
        <v>1851</v>
      </c>
      <c r="G173" s="431">
        <v>2016</v>
      </c>
      <c r="H173" s="431">
        <v>2031</v>
      </c>
      <c r="I173" s="431" t="b">
        <v>1</v>
      </c>
      <c r="J173" s="431" t="s">
        <v>891</v>
      </c>
      <c r="K173" s="431">
        <v>18930</v>
      </c>
      <c r="L173" s="431"/>
      <c r="M173" s="431"/>
      <c r="N173" s="431"/>
      <c r="O173" s="431" t="b">
        <v>1</v>
      </c>
      <c r="P173" s="431" t="b">
        <v>0</v>
      </c>
      <c r="Q173" s="431" t="s">
        <v>4235</v>
      </c>
      <c r="R173" s="431"/>
      <c r="S173" s="431"/>
      <c r="T173" s="431" t="s">
        <v>4236</v>
      </c>
      <c r="U173" s="431" t="s">
        <v>4237</v>
      </c>
      <c r="V173" s="431" t="s">
        <v>4238</v>
      </c>
      <c r="W173" s="432">
        <v>44538.491667638889</v>
      </c>
      <c r="X173" s="432">
        <v>44616.04383545139</v>
      </c>
      <c r="Y173" s="431"/>
      <c r="Z173" s="433">
        <v>42954</v>
      </c>
      <c r="AA173" s="433">
        <v>43186</v>
      </c>
      <c r="AB173" s="433">
        <v>44483</v>
      </c>
      <c r="AC173" s="433">
        <v>44517</v>
      </c>
      <c r="AD173" s="436">
        <f t="shared" si="2"/>
        <v>1262</v>
      </c>
    </row>
    <row r="174" spans="1:30" ht="14">
      <c r="A174" s="431" t="s">
        <v>3350</v>
      </c>
      <c r="B174" s="431" t="s">
        <v>3351</v>
      </c>
      <c r="C174" s="431" t="s">
        <v>376</v>
      </c>
      <c r="D174" s="431" t="s">
        <v>3352</v>
      </c>
      <c r="E174" s="431" t="s">
        <v>3353</v>
      </c>
      <c r="F174" s="431">
        <v>290</v>
      </c>
      <c r="G174" s="431">
        <v>2011</v>
      </c>
      <c r="H174" s="431">
        <v>2026</v>
      </c>
      <c r="I174" s="431" t="b">
        <v>1</v>
      </c>
      <c r="J174" s="431" t="s">
        <v>907</v>
      </c>
      <c r="K174" s="431">
        <v>425</v>
      </c>
      <c r="L174" s="431"/>
      <c r="M174" s="431"/>
      <c r="N174" s="431"/>
      <c r="O174" s="431" t="b">
        <v>1</v>
      </c>
      <c r="P174" s="431" t="b">
        <v>0</v>
      </c>
      <c r="Q174" s="431" t="s">
        <v>3354</v>
      </c>
      <c r="R174" s="431" t="s">
        <v>3355</v>
      </c>
      <c r="S174" s="431" t="s">
        <v>3356</v>
      </c>
      <c r="T174" s="431" t="s">
        <v>3357</v>
      </c>
      <c r="U174" s="431"/>
      <c r="V174" s="431" t="s">
        <v>3358</v>
      </c>
      <c r="W174" s="432">
        <v>43585.592129305558</v>
      </c>
      <c r="X174" s="432">
        <v>44616.043088854167</v>
      </c>
      <c r="Y174" s="431"/>
      <c r="Z174" s="433">
        <v>40583</v>
      </c>
      <c r="AA174" s="433">
        <v>40847</v>
      </c>
      <c r="AB174" s="433">
        <v>41116</v>
      </c>
      <c r="AC174" s="433">
        <v>41221</v>
      </c>
      <c r="AD174" s="436">
        <f t="shared" si="2"/>
        <v>425</v>
      </c>
    </row>
    <row r="175" spans="1:30" ht="14">
      <c r="A175" s="431" t="s">
        <v>3369</v>
      </c>
      <c r="B175" s="431" t="s">
        <v>3370</v>
      </c>
      <c r="C175" s="431" t="s">
        <v>394</v>
      </c>
      <c r="D175" s="431" t="s">
        <v>3371</v>
      </c>
      <c r="E175" s="431" t="s">
        <v>3372</v>
      </c>
      <c r="F175" s="431">
        <v>1027</v>
      </c>
      <c r="G175" s="431">
        <v>2010</v>
      </c>
      <c r="H175" s="431">
        <v>2025</v>
      </c>
      <c r="I175" s="431" t="b">
        <v>1</v>
      </c>
      <c r="J175" s="431" t="s">
        <v>907</v>
      </c>
      <c r="K175" s="431">
        <v>1169</v>
      </c>
      <c r="L175" s="431"/>
      <c r="M175" s="431"/>
      <c r="N175" s="431"/>
      <c r="O175" s="431" t="b">
        <v>1</v>
      </c>
      <c r="P175" s="431" t="b">
        <v>0</v>
      </c>
      <c r="Q175" s="431" t="s">
        <v>3373</v>
      </c>
      <c r="R175" s="431" t="s">
        <v>3374</v>
      </c>
      <c r="S175" s="431" t="s">
        <v>3375</v>
      </c>
      <c r="T175" s="431" t="s">
        <v>4239</v>
      </c>
      <c r="U175" s="431" t="s">
        <v>3376</v>
      </c>
      <c r="V175" s="431" t="s">
        <v>3377</v>
      </c>
      <c r="W175" s="432">
        <v>43585.592128414355</v>
      </c>
      <c r="X175" s="432">
        <v>44616.047061805555</v>
      </c>
      <c r="Y175" s="431"/>
      <c r="Z175" s="433">
        <v>40112</v>
      </c>
      <c r="AA175" s="433">
        <v>40359</v>
      </c>
      <c r="AB175" s="433">
        <v>40563</v>
      </c>
      <c r="AC175" s="433">
        <v>40591</v>
      </c>
      <c r="AD175" s="436">
        <f t="shared" si="2"/>
        <v>1169</v>
      </c>
    </row>
    <row r="176" spans="1:30" ht="14">
      <c r="A176" s="431" t="s">
        <v>3369</v>
      </c>
      <c r="B176" s="431" t="s">
        <v>3370</v>
      </c>
      <c r="C176" s="431" t="s">
        <v>394</v>
      </c>
      <c r="D176" s="431" t="s">
        <v>3378</v>
      </c>
      <c r="E176" s="431" t="s">
        <v>3379</v>
      </c>
      <c r="F176" s="431">
        <v>1982</v>
      </c>
      <c r="G176" s="431">
        <v>2019</v>
      </c>
      <c r="H176" s="431">
        <v>2029</v>
      </c>
      <c r="I176" s="431" t="b">
        <v>1</v>
      </c>
      <c r="J176" s="431" t="s">
        <v>891</v>
      </c>
      <c r="K176" s="431">
        <v>7750</v>
      </c>
      <c r="L176" s="431"/>
      <c r="M176" s="431"/>
      <c r="N176" s="431"/>
      <c r="O176" s="431" t="b">
        <v>1</v>
      </c>
      <c r="P176" s="431" t="b">
        <v>0</v>
      </c>
      <c r="Q176" s="431" t="s">
        <v>3380</v>
      </c>
      <c r="R176" s="431" t="s">
        <v>3381</v>
      </c>
      <c r="S176" s="431" t="s">
        <v>3382</v>
      </c>
      <c r="T176" s="431"/>
      <c r="U176" s="431"/>
      <c r="V176" s="431" t="s">
        <v>3383</v>
      </c>
      <c r="W176" s="432">
        <v>43585.592109062498</v>
      </c>
      <c r="X176" s="432">
        <v>44616.043015995368</v>
      </c>
      <c r="Y176" s="431"/>
      <c r="Z176" s="433">
        <v>43713</v>
      </c>
      <c r="AA176" s="433">
        <v>43873</v>
      </c>
      <c r="AB176" s="431"/>
      <c r="AC176" s="431"/>
      <c r="AD176" s="436">
        <f t="shared" si="2"/>
        <v>775</v>
      </c>
    </row>
    <row r="177" spans="1:30" ht="14">
      <c r="A177" s="431" t="s">
        <v>3384</v>
      </c>
      <c r="B177" s="431" t="s">
        <v>3385</v>
      </c>
      <c r="C177" s="431" t="s">
        <v>396</v>
      </c>
      <c r="D177" s="431" t="s">
        <v>3386</v>
      </c>
      <c r="E177" s="431" t="s">
        <v>3387</v>
      </c>
      <c r="F177" s="431">
        <v>1478</v>
      </c>
      <c r="G177" s="431">
        <v>2015</v>
      </c>
      <c r="H177" s="431">
        <v>2025</v>
      </c>
      <c r="I177" s="431" t="b">
        <v>1</v>
      </c>
      <c r="J177" s="431" t="s">
        <v>907</v>
      </c>
      <c r="K177" s="431">
        <v>733</v>
      </c>
      <c r="L177" s="431"/>
      <c r="M177" s="431"/>
      <c r="N177" s="431"/>
      <c r="O177" s="431" t="b">
        <v>1</v>
      </c>
      <c r="P177" s="431" t="b">
        <v>0</v>
      </c>
      <c r="Q177" s="431" t="s">
        <v>4240</v>
      </c>
      <c r="R177" s="431" t="s">
        <v>4241</v>
      </c>
      <c r="S177" s="431" t="s">
        <v>4242</v>
      </c>
      <c r="T177" s="431"/>
      <c r="U177" s="431" t="s">
        <v>4243</v>
      </c>
      <c r="V177" s="431" t="s">
        <v>4244</v>
      </c>
      <c r="W177" s="432">
        <v>43585.592138182874</v>
      </c>
      <c r="X177" s="432">
        <v>44616.042297025466</v>
      </c>
      <c r="Y177" s="431"/>
      <c r="Z177" s="433">
        <v>42768</v>
      </c>
      <c r="AA177" s="433">
        <v>42860</v>
      </c>
      <c r="AB177" s="433">
        <v>43677</v>
      </c>
      <c r="AC177" s="433">
        <v>43719</v>
      </c>
      <c r="AD177" s="436">
        <f t="shared" si="2"/>
        <v>733</v>
      </c>
    </row>
    <row r="178" spans="1:30" ht="14">
      <c r="A178" s="431" t="s">
        <v>3388</v>
      </c>
      <c r="B178" s="431" t="s">
        <v>3389</v>
      </c>
      <c r="C178" s="431" t="s">
        <v>404</v>
      </c>
      <c r="D178" s="431" t="s">
        <v>931</v>
      </c>
      <c r="E178" s="431" t="s">
        <v>3390</v>
      </c>
      <c r="F178" s="431">
        <v>752</v>
      </c>
      <c r="G178" s="431">
        <v>2012</v>
      </c>
      <c r="H178" s="431">
        <v>2027</v>
      </c>
      <c r="I178" s="431" t="b">
        <v>1</v>
      </c>
      <c r="J178" s="431" t="s">
        <v>891</v>
      </c>
      <c r="K178" s="431">
        <v>5625</v>
      </c>
      <c r="L178" s="431"/>
      <c r="M178" s="431"/>
      <c r="N178" s="431"/>
      <c r="O178" s="431" t="b">
        <v>1</v>
      </c>
      <c r="P178" s="431" t="b">
        <v>0</v>
      </c>
      <c r="Q178" s="431" t="s">
        <v>3391</v>
      </c>
      <c r="R178" s="431" t="s">
        <v>3392</v>
      </c>
      <c r="S178" s="431" t="s">
        <v>3393</v>
      </c>
      <c r="T178" s="431" t="s">
        <v>4245</v>
      </c>
      <c r="U178" s="431"/>
      <c r="V178" s="431" t="s">
        <v>3394</v>
      </c>
      <c r="W178" s="432">
        <v>43585.592129363424</v>
      </c>
      <c r="X178" s="432">
        <v>44616.047210509256</v>
      </c>
      <c r="Y178" s="431"/>
      <c r="Z178" s="433">
        <v>40574</v>
      </c>
      <c r="AA178" s="433">
        <v>40689</v>
      </c>
      <c r="AB178" s="433">
        <v>40885</v>
      </c>
      <c r="AC178" s="433">
        <v>41016</v>
      </c>
      <c r="AD178" s="436">
        <f t="shared" si="2"/>
        <v>375</v>
      </c>
    </row>
    <row r="179" spans="1:30" ht="14">
      <c r="A179" s="431" t="s">
        <v>3388</v>
      </c>
      <c r="B179" s="431" t="s">
        <v>3389</v>
      </c>
      <c r="C179" s="431" t="s">
        <v>404</v>
      </c>
      <c r="D179" s="431" t="s">
        <v>1323</v>
      </c>
      <c r="E179" s="431" t="s">
        <v>3395</v>
      </c>
      <c r="F179" s="431">
        <v>2157</v>
      </c>
      <c r="G179" s="431">
        <v>2023</v>
      </c>
      <c r="H179" s="431">
        <v>2041</v>
      </c>
      <c r="I179" s="431" t="b">
        <v>1</v>
      </c>
      <c r="J179" s="431"/>
      <c r="K179" s="431"/>
      <c r="L179" s="431"/>
      <c r="M179" s="431"/>
      <c r="N179" s="431"/>
      <c r="O179" s="431" t="b">
        <v>0</v>
      </c>
      <c r="P179" s="431" t="b">
        <v>0</v>
      </c>
      <c r="Q179" s="431"/>
      <c r="R179" s="431"/>
      <c r="S179" s="431"/>
      <c r="T179" s="431"/>
      <c r="U179" s="431"/>
      <c r="V179" s="431"/>
      <c r="W179" s="432">
        <v>43585.592114236111</v>
      </c>
      <c r="X179" s="432">
        <v>44382.566894016207</v>
      </c>
      <c r="Y179" s="431" t="s">
        <v>978</v>
      </c>
      <c r="Z179" s="431"/>
      <c r="AA179" s="431"/>
      <c r="AB179" s="431"/>
      <c r="AC179" s="431"/>
      <c r="AD179" s="436" t="str">
        <f t="shared" si="2"/>
        <v/>
      </c>
    </row>
    <row r="180" spans="1:30" ht="14">
      <c r="A180" s="431" t="s">
        <v>2602</v>
      </c>
      <c r="B180" s="431" t="s">
        <v>2603</v>
      </c>
      <c r="C180" s="431" t="s">
        <v>2604</v>
      </c>
      <c r="D180" s="431" t="s">
        <v>1054</v>
      </c>
      <c r="E180" s="431" t="s">
        <v>2611</v>
      </c>
      <c r="F180" s="431">
        <v>191</v>
      </c>
      <c r="G180" s="431">
        <v>2001</v>
      </c>
      <c r="H180" s="431">
        <v>2031</v>
      </c>
      <c r="I180" s="431" t="b">
        <v>1</v>
      </c>
      <c r="J180" s="431" t="s">
        <v>891</v>
      </c>
      <c r="K180" s="431">
        <v>10100</v>
      </c>
      <c r="L180" s="431"/>
      <c r="M180" s="431"/>
      <c r="N180" s="431"/>
      <c r="O180" s="431" t="b">
        <v>1</v>
      </c>
      <c r="P180" s="431" t="b">
        <v>0</v>
      </c>
      <c r="Q180" s="431" t="s">
        <v>2612</v>
      </c>
      <c r="R180" s="431" t="s">
        <v>2613</v>
      </c>
      <c r="S180" s="431" t="s">
        <v>2614</v>
      </c>
      <c r="T180" s="431" t="s">
        <v>4246</v>
      </c>
      <c r="U180" s="431"/>
      <c r="V180" s="431" t="s">
        <v>2615</v>
      </c>
      <c r="W180" s="432">
        <v>43585.592122615744</v>
      </c>
      <c r="X180" s="432">
        <v>44616.044491076391</v>
      </c>
      <c r="Y180" s="431"/>
      <c r="Z180" s="433">
        <v>39903</v>
      </c>
      <c r="AA180" s="433">
        <v>40053</v>
      </c>
      <c r="AB180" s="433">
        <v>40281</v>
      </c>
      <c r="AC180" s="433">
        <v>40310</v>
      </c>
      <c r="AD180" s="436">
        <f t="shared" si="2"/>
        <v>336.66666666666669</v>
      </c>
    </row>
    <row r="181" spans="1:30" ht="14">
      <c r="A181" s="431" t="s">
        <v>2602</v>
      </c>
      <c r="B181" s="431" t="s">
        <v>2603</v>
      </c>
      <c r="C181" s="431" t="s">
        <v>2604</v>
      </c>
      <c r="D181" s="431" t="s">
        <v>2605</v>
      </c>
      <c r="E181" s="431" t="s">
        <v>2606</v>
      </c>
      <c r="F181" s="431">
        <v>1340</v>
      </c>
      <c r="G181" s="431">
        <v>2011</v>
      </c>
      <c r="H181" s="431">
        <v>2031</v>
      </c>
      <c r="I181" s="431" t="b">
        <v>1</v>
      </c>
      <c r="J181" s="431" t="s">
        <v>891</v>
      </c>
      <c r="K181" s="431">
        <v>6800</v>
      </c>
      <c r="L181" s="431"/>
      <c r="M181" s="431"/>
      <c r="N181" s="431"/>
      <c r="O181" s="431" t="b">
        <v>1</v>
      </c>
      <c r="P181" s="431" t="b">
        <v>0</v>
      </c>
      <c r="Q181" s="431" t="s">
        <v>2607</v>
      </c>
      <c r="R181" s="431" t="s">
        <v>2608</v>
      </c>
      <c r="S181" s="431" t="s">
        <v>2609</v>
      </c>
      <c r="T181" s="431" t="s">
        <v>4247</v>
      </c>
      <c r="U181" s="431"/>
      <c r="V181" s="431" t="s">
        <v>2610</v>
      </c>
      <c r="W181" s="432">
        <v>43585.592141064815</v>
      </c>
      <c r="X181" s="432">
        <v>44616.046136469908</v>
      </c>
      <c r="Y181" s="431"/>
      <c r="Z181" s="433">
        <v>42745</v>
      </c>
      <c r="AA181" s="433">
        <v>42817</v>
      </c>
      <c r="AB181" s="433">
        <v>43690</v>
      </c>
      <c r="AC181" s="433">
        <v>43727</v>
      </c>
      <c r="AD181" s="436">
        <f t="shared" si="2"/>
        <v>340</v>
      </c>
    </row>
    <row r="182" spans="1:30" ht="14">
      <c r="A182" s="431" t="s">
        <v>3284</v>
      </c>
      <c r="B182" s="431" t="s">
        <v>3285</v>
      </c>
      <c r="C182" s="431" t="s">
        <v>278</v>
      </c>
      <c r="D182" s="431" t="s">
        <v>3286</v>
      </c>
      <c r="E182" s="431" t="s">
        <v>3287</v>
      </c>
      <c r="F182" s="431">
        <v>1195</v>
      </c>
      <c r="G182" s="431">
        <v>2011</v>
      </c>
      <c r="H182" s="431">
        <v>2026</v>
      </c>
      <c r="I182" s="431" t="b">
        <v>1</v>
      </c>
      <c r="J182" s="431" t="s">
        <v>891</v>
      </c>
      <c r="K182" s="431">
        <v>14000</v>
      </c>
      <c r="L182" s="431"/>
      <c r="M182" s="431"/>
      <c r="N182" s="431"/>
      <c r="O182" s="431" t="b">
        <v>1</v>
      </c>
      <c r="P182" s="431" t="b">
        <v>0</v>
      </c>
      <c r="Q182" s="431" t="s">
        <v>3288</v>
      </c>
      <c r="R182" s="431" t="s">
        <v>3289</v>
      </c>
      <c r="S182" s="431" t="s">
        <v>3290</v>
      </c>
      <c r="T182" s="431" t="s">
        <v>4248</v>
      </c>
      <c r="U182" s="431"/>
      <c r="V182" s="431" t="s">
        <v>3291</v>
      </c>
      <c r="W182" s="432">
        <v>43585.592120069443</v>
      </c>
      <c r="X182" s="432">
        <v>44616.046075127313</v>
      </c>
      <c r="Y182" s="431"/>
      <c r="Z182" s="433">
        <v>40438</v>
      </c>
      <c r="AA182" s="433">
        <v>40745</v>
      </c>
      <c r="AB182" s="433">
        <v>40945</v>
      </c>
      <c r="AC182" s="433">
        <v>41002</v>
      </c>
      <c r="AD182" s="436">
        <f t="shared" si="2"/>
        <v>933.33333333333337</v>
      </c>
    </row>
    <row r="183" spans="1:30" ht="14">
      <c r="A183" s="431" t="s">
        <v>985</v>
      </c>
      <c r="B183" s="431" t="s">
        <v>823</v>
      </c>
      <c r="C183" s="431" t="s">
        <v>402</v>
      </c>
      <c r="D183" s="431" t="s">
        <v>986</v>
      </c>
      <c r="E183" s="431" t="s">
        <v>987</v>
      </c>
      <c r="F183" s="431">
        <v>1767</v>
      </c>
      <c r="G183" s="431">
        <v>2016</v>
      </c>
      <c r="H183" s="431">
        <v>2032</v>
      </c>
      <c r="I183" s="431" t="b">
        <v>1</v>
      </c>
      <c r="J183" s="431" t="s">
        <v>891</v>
      </c>
      <c r="K183" s="431">
        <v>9920</v>
      </c>
      <c r="L183" s="431"/>
      <c r="M183" s="431"/>
      <c r="N183" s="431"/>
      <c r="O183" s="431" t="b">
        <v>1</v>
      </c>
      <c r="P183" s="431" t="b">
        <v>0</v>
      </c>
      <c r="Q183" s="431" t="s">
        <v>988</v>
      </c>
      <c r="R183" s="431"/>
      <c r="S183" s="431"/>
      <c r="T183" s="431" t="s">
        <v>989</v>
      </c>
      <c r="U183" s="431"/>
      <c r="V183" s="431" t="s">
        <v>990</v>
      </c>
      <c r="W183" s="432">
        <v>43585.592128935183</v>
      </c>
      <c r="X183" s="432">
        <v>44616.043490659722</v>
      </c>
      <c r="Y183" s="431"/>
      <c r="Z183" s="433">
        <v>42541</v>
      </c>
      <c r="AA183" s="433">
        <v>42720</v>
      </c>
      <c r="AB183" s="433">
        <v>43012</v>
      </c>
      <c r="AC183" s="433">
        <v>43062</v>
      </c>
      <c r="AD183" s="436">
        <f t="shared" si="2"/>
        <v>620</v>
      </c>
    </row>
    <row r="184" spans="1:30" ht="14">
      <c r="A184" s="431" t="s">
        <v>3505</v>
      </c>
      <c r="B184" s="431" t="s">
        <v>3506</v>
      </c>
      <c r="C184" s="431" t="s">
        <v>3507</v>
      </c>
      <c r="D184" s="431" t="s">
        <v>3508</v>
      </c>
      <c r="E184" s="431" t="s">
        <v>3509</v>
      </c>
      <c r="F184" s="431">
        <v>574</v>
      </c>
      <c r="G184" s="431">
        <v>2011</v>
      </c>
      <c r="H184" s="431">
        <v>2031</v>
      </c>
      <c r="I184" s="431" t="b">
        <v>1</v>
      </c>
      <c r="J184" s="431" t="s">
        <v>891</v>
      </c>
      <c r="K184" s="431">
        <v>0</v>
      </c>
      <c r="L184" s="431"/>
      <c r="M184" s="431"/>
      <c r="N184" s="431"/>
      <c r="O184" s="431" t="b">
        <v>1</v>
      </c>
      <c r="P184" s="431" t="b">
        <v>0</v>
      </c>
      <c r="Q184" s="431" t="s">
        <v>3510</v>
      </c>
      <c r="R184" s="431" t="s">
        <v>3511</v>
      </c>
      <c r="S184" s="431" t="s">
        <v>3512</v>
      </c>
      <c r="T184" s="431" t="s">
        <v>3513</v>
      </c>
      <c r="U184" s="431"/>
      <c r="V184" s="431"/>
      <c r="W184" s="432">
        <v>43585.592122430557</v>
      </c>
      <c r="X184" s="432">
        <v>44616.043764409726</v>
      </c>
      <c r="Y184" s="431"/>
      <c r="Z184" s="433">
        <v>42170</v>
      </c>
      <c r="AA184" s="433">
        <v>42496</v>
      </c>
      <c r="AB184" s="433">
        <v>42901</v>
      </c>
      <c r="AC184" s="433">
        <v>42920</v>
      </c>
      <c r="AD184" s="436">
        <f t="shared" si="2"/>
        <v>0</v>
      </c>
    </row>
    <row r="185" spans="1:30" ht="14">
      <c r="A185" s="431" t="s">
        <v>1725</v>
      </c>
      <c r="B185" s="431" t="s">
        <v>1726</v>
      </c>
      <c r="C185" s="431" t="s">
        <v>540</v>
      </c>
      <c r="D185" s="431" t="s">
        <v>1727</v>
      </c>
      <c r="E185" s="431" t="s">
        <v>1728</v>
      </c>
      <c r="F185" s="431">
        <v>1009</v>
      </c>
      <c r="G185" s="431">
        <v>2011</v>
      </c>
      <c r="H185" s="431">
        <v>2028</v>
      </c>
      <c r="I185" s="431" t="b">
        <v>1</v>
      </c>
      <c r="J185" s="431" t="s">
        <v>891</v>
      </c>
      <c r="K185" s="431">
        <v>5700</v>
      </c>
      <c r="L185" s="431"/>
      <c r="M185" s="431"/>
      <c r="N185" s="431"/>
      <c r="O185" s="431" t="b">
        <v>1</v>
      </c>
      <c r="P185" s="431" t="b">
        <v>0</v>
      </c>
      <c r="Q185" s="431" t="s">
        <v>1729</v>
      </c>
      <c r="R185" s="431" t="s">
        <v>1730</v>
      </c>
      <c r="S185" s="431" t="s">
        <v>1731</v>
      </c>
      <c r="T185" s="431" t="s">
        <v>1732</v>
      </c>
      <c r="U185" s="431"/>
      <c r="V185" s="431" t="s">
        <v>1733</v>
      </c>
      <c r="W185" s="432">
        <v>43585.592139085646</v>
      </c>
      <c r="X185" s="432">
        <v>44616.04867827546</v>
      </c>
      <c r="Y185" s="431"/>
      <c r="Z185" s="433">
        <v>40774</v>
      </c>
      <c r="AA185" s="433">
        <v>41102</v>
      </c>
      <c r="AB185" s="433">
        <v>41830</v>
      </c>
      <c r="AC185" s="433">
        <v>41911</v>
      </c>
      <c r="AD185" s="436">
        <f t="shared" si="2"/>
        <v>335.29411764705884</v>
      </c>
    </row>
    <row r="186" spans="1:30" ht="14">
      <c r="A186" s="431" t="s">
        <v>3746</v>
      </c>
      <c r="B186" s="431" t="s">
        <v>3747</v>
      </c>
      <c r="C186" s="431" t="s">
        <v>496</v>
      </c>
      <c r="D186" s="431" t="s">
        <v>753</v>
      </c>
      <c r="E186" s="431" t="s">
        <v>3737</v>
      </c>
      <c r="F186" s="431">
        <v>1350</v>
      </c>
      <c r="G186" s="431">
        <v>2008</v>
      </c>
      <c r="H186" s="431">
        <v>2026</v>
      </c>
      <c r="I186" s="431" t="b">
        <v>1</v>
      </c>
      <c r="J186" s="431" t="s">
        <v>891</v>
      </c>
      <c r="K186" s="431"/>
      <c r="L186" s="431"/>
      <c r="M186" s="431"/>
      <c r="N186" s="431">
        <v>36820</v>
      </c>
      <c r="O186" s="431" t="b">
        <v>1</v>
      </c>
      <c r="P186" s="431" t="b">
        <v>1</v>
      </c>
      <c r="Q186" s="431" t="s">
        <v>3738</v>
      </c>
      <c r="R186" s="431" t="s">
        <v>3739</v>
      </c>
      <c r="S186" s="431" t="s">
        <v>3740</v>
      </c>
      <c r="T186" s="431" t="s">
        <v>4040</v>
      </c>
      <c r="U186" s="431" t="s">
        <v>3741</v>
      </c>
      <c r="V186" s="431" t="s">
        <v>3742</v>
      </c>
      <c r="W186" s="432">
        <v>43585.592136319443</v>
      </c>
      <c r="X186" s="432">
        <v>44616.048089155091</v>
      </c>
      <c r="Y186" s="431"/>
      <c r="Z186" s="433">
        <v>41131</v>
      </c>
      <c r="AA186" s="433">
        <v>41309</v>
      </c>
      <c r="AB186" s="433">
        <v>41591</v>
      </c>
      <c r="AC186" s="433">
        <v>41649</v>
      </c>
      <c r="AD186" s="436">
        <f t="shared" si="2"/>
        <v>2045.5555555555557</v>
      </c>
    </row>
    <row r="187" spans="1:30" ht="14">
      <c r="A187" s="431" t="s">
        <v>3746</v>
      </c>
      <c r="B187" s="431" t="s">
        <v>3747</v>
      </c>
      <c r="C187" s="431" t="s">
        <v>496</v>
      </c>
      <c r="D187" s="431" t="s">
        <v>3743</v>
      </c>
      <c r="E187" s="431" t="s">
        <v>3744</v>
      </c>
      <c r="F187" s="431">
        <v>2254</v>
      </c>
      <c r="G187" s="431">
        <v>2018</v>
      </c>
      <c r="H187" s="431">
        <v>2038</v>
      </c>
      <c r="I187" s="431" t="b">
        <v>1</v>
      </c>
      <c r="J187" s="431" t="s">
        <v>891</v>
      </c>
      <c r="K187" s="431"/>
      <c r="L187" s="431"/>
      <c r="M187" s="431"/>
      <c r="N187" s="431">
        <v>49492</v>
      </c>
      <c r="O187" s="431" t="b">
        <v>1</v>
      </c>
      <c r="P187" s="431" t="b">
        <v>1</v>
      </c>
      <c r="Q187" s="431" t="s">
        <v>4041</v>
      </c>
      <c r="R187" s="431" t="s">
        <v>3745</v>
      </c>
      <c r="S187" s="431" t="s">
        <v>4042</v>
      </c>
      <c r="T187" s="431"/>
      <c r="U187" s="431"/>
      <c r="V187" s="431" t="s">
        <v>4043</v>
      </c>
      <c r="W187" s="432">
        <v>43669.535810266207</v>
      </c>
      <c r="X187" s="432">
        <v>44616.047184513889</v>
      </c>
      <c r="Y187" s="431"/>
      <c r="Z187" s="433">
        <v>44228</v>
      </c>
      <c r="AA187" s="433">
        <v>44407</v>
      </c>
      <c r="AB187" s="431"/>
      <c r="AC187" s="431"/>
      <c r="AD187" s="436">
        <f t="shared" si="2"/>
        <v>2474.6</v>
      </c>
    </row>
    <row r="188" spans="1:30" ht="14">
      <c r="A188" s="431" t="s">
        <v>2206</v>
      </c>
      <c r="B188" s="431" t="s">
        <v>2207</v>
      </c>
      <c r="C188" s="431" t="s">
        <v>538</v>
      </c>
      <c r="D188" s="431" t="s">
        <v>2208</v>
      </c>
      <c r="E188" s="431" t="s">
        <v>2209</v>
      </c>
      <c r="F188" s="431">
        <v>2013</v>
      </c>
      <c r="G188" s="431">
        <v>2019</v>
      </c>
      <c r="H188" s="431">
        <v>2036</v>
      </c>
      <c r="I188" s="431" t="b">
        <v>1</v>
      </c>
      <c r="J188" s="431" t="s">
        <v>891</v>
      </c>
      <c r="K188" s="431">
        <v>3191</v>
      </c>
      <c r="L188" s="431"/>
      <c r="M188" s="431"/>
      <c r="N188" s="431"/>
      <c r="O188" s="431" t="b">
        <v>1</v>
      </c>
      <c r="P188" s="431" t="b">
        <v>0</v>
      </c>
      <c r="Q188" s="431" t="s">
        <v>4249</v>
      </c>
      <c r="R188" s="431" t="s">
        <v>2210</v>
      </c>
      <c r="S188" s="431" t="s">
        <v>4250</v>
      </c>
      <c r="T188" s="431" t="s">
        <v>4251</v>
      </c>
      <c r="U188" s="431" t="s">
        <v>4252</v>
      </c>
      <c r="V188" s="431" t="s">
        <v>4253</v>
      </c>
      <c r="W188" s="432">
        <v>43585.59213960648</v>
      </c>
      <c r="X188" s="432">
        <v>44616.046989456016</v>
      </c>
      <c r="Y188" s="431"/>
      <c r="Z188" s="433">
        <v>43335</v>
      </c>
      <c r="AA188" s="433">
        <v>43549</v>
      </c>
      <c r="AB188" s="433">
        <v>44519</v>
      </c>
      <c r="AC188" s="433">
        <v>44545</v>
      </c>
      <c r="AD188" s="436">
        <f t="shared" si="2"/>
        <v>187.70588235294119</v>
      </c>
    </row>
    <row r="189" spans="1:30" ht="14">
      <c r="A189" s="431" t="s">
        <v>2271</v>
      </c>
      <c r="B189" s="431" t="s">
        <v>2272</v>
      </c>
      <c r="C189" s="431" t="s">
        <v>442</v>
      </c>
      <c r="D189" s="431" t="s">
        <v>2273</v>
      </c>
      <c r="E189" s="431" t="s">
        <v>2274</v>
      </c>
      <c r="F189" s="431">
        <v>1795</v>
      </c>
      <c r="G189" s="431">
        <v>2011</v>
      </c>
      <c r="H189" s="431">
        <v>2036</v>
      </c>
      <c r="I189" s="431" t="b">
        <v>1</v>
      </c>
      <c r="J189" s="431" t="s">
        <v>891</v>
      </c>
      <c r="K189" s="431">
        <v>6125</v>
      </c>
      <c r="L189" s="431"/>
      <c r="M189" s="431"/>
      <c r="N189" s="431"/>
      <c r="O189" s="431" t="b">
        <v>1</v>
      </c>
      <c r="P189" s="431" t="b">
        <v>0</v>
      </c>
      <c r="Q189" s="431" t="s">
        <v>2275</v>
      </c>
      <c r="R189" s="431" t="s">
        <v>2276</v>
      </c>
      <c r="S189" s="431" t="s">
        <v>2277</v>
      </c>
      <c r="T189" s="431"/>
      <c r="U189" s="431"/>
      <c r="V189" s="431" t="s">
        <v>2278</v>
      </c>
      <c r="W189" s="432">
        <v>43585.592131817131</v>
      </c>
      <c r="X189" s="432">
        <v>44616.042087881942</v>
      </c>
      <c r="Y189" s="431"/>
      <c r="Z189" s="433">
        <v>42682</v>
      </c>
      <c r="AA189" s="433">
        <v>43012</v>
      </c>
      <c r="AB189" s="433">
        <v>43357</v>
      </c>
      <c r="AC189" s="433">
        <v>43383</v>
      </c>
      <c r="AD189" s="436">
        <f t="shared" si="2"/>
        <v>245</v>
      </c>
    </row>
    <row r="190" spans="1:30" ht="14">
      <c r="A190" s="431" t="s">
        <v>1181</v>
      </c>
      <c r="B190" s="431" t="s">
        <v>1182</v>
      </c>
      <c r="C190" s="431" t="s">
        <v>428</v>
      </c>
      <c r="D190" s="431" t="s">
        <v>1183</v>
      </c>
      <c r="E190" s="431" t="s">
        <v>1184</v>
      </c>
      <c r="F190" s="431">
        <v>1709</v>
      </c>
      <c r="G190" s="431">
        <v>2011</v>
      </c>
      <c r="H190" s="431">
        <v>2031</v>
      </c>
      <c r="I190" s="431" t="b">
        <v>1</v>
      </c>
      <c r="J190" s="431" t="s">
        <v>891</v>
      </c>
      <c r="K190" s="431">
        <v>8500</v>
      </c>
      <c r="L190" s="431"/>
      <c r="M190" s="431"/>
      <c r="N190" s="431"/>
      <c r="O190" s="431" t="b">
        <v>1</v>
      </c>
      <c r="P190" s="431" t="b">
        <v>0</v>
      </c>
      <c r="Q190" s="431" t="s">
        <v>1185</v>
      </c>
      <c r="R190" s="431" t="s">
        <v>1186</v>
      </c>
      <c r="S190" s="431" t="s">
        <v>4254</v>
      </c>
      <c r="T190" s="431" t="s">
        <v>1187</v>
      </c>
      <c r="U190" s="431"/>
      <c r="V190" s="431" t="s">
        <v>1188</v>
      </c>
      <c r="W190" s="432">
        <v>43585.592131620368</v>
      </c>
      <c r="X190" s="432">
        <v>44616.045901874997</v>
      </c>
      <c r="Y190" s="431"/>
      <c r="Z190" s="433">
        <v>42303</v>
      </c>
      <c r="AA190" s="433">
        <v>42482</v>
      </c>
      <c r="AB190" s="433">
        <v>42948</v>
      </c>
      <c r="AC190" s="433">
        <v>43046</v>
      </c>
      <c r="AD190" s="436">
        <f t="shared" si="2"/>
        <v>425</v>
      </c>
    </row>
    <row r="191" spans="1:30" ht="14">
      <c r="A191" s="431" t="s">
        <v>2982</v>
      </c>
      <c r="B191" s="431" t="s">
        <v>2983</v>
      </c>
      <c r="C191" s="431" t="s">
        <v>534</v>
      </c>
      <c r="D191" s="431" t="s">
        <v>2984</v>
      </c>
      <c r="E191" s="431" t="s">
        <v>2985</v>
      </c>
      <c r="F191" s="431">
        <v>1413</v>
      </c>
      <c r="G191" s="431">
        <v>2012</v>
      </c>
      <c r="H191" s="431">
        <v>2028</v>
      </c>
      <c r="I191" s="431" t="b">
        <v>1</v>
      </c>
      <c r="J191" s="431" t="s">
        <v>907</v>
      </c>
      <c r="K191" s="431">
        <v>460</v>
      </c>
      <c r="L191" s="431"/>
      <c r="M191" s="431"/>
      <c r="N191" s="431"/>
      <c r="O191" s="431" t="b">
        <v>1</v>
      </c>
      <c r="P191" s="431" t="b">
        <v>0</v>
      </c>
      <c r="Q191" s="431" t="s">
        <v>2986</v>
      </c>
      <c r="R191" s="431" t="s">
        <v>2987</v>
      </c>
      <c r="S191" s="431" t="s">
        <v>2988</v>
      </c>
      <c r="T191" s="431" t="s">
        <v>2506</v>
      </c>
      <c r="U191" s="431"/>
      <c r="V191" s="431" t="s">
        <v>2989</v>
      </c>
      <c r="W191" s="432">
        <v>43585.592139479166</v>
      </c>
      <c r="X191" s="432">
        <v>44616.048350868055</v>
      </c>
      <c r="Y191" s="431"/>
      <c r="Z191" s="433">
        <v>41299</v>
      </c>
      <c r="AA191" s="433">
        <v>41425</v>
      </c>
      <c r="AB191" s="433">
        <v>42604</v>
      </c>
      <c r="AC191" s="433">
        <v>42662</v>
      </c>
      <c r="AD191" s="436">
        <f t="shared" si="2"/>
        <v>460</v>
      </c>
    </row>
    <row r="192" spans="1:30" ht="14">
      <c r="A192" s="431" t="s">
        <v>2982</v>
      </c>
      <c r="B192" s="431" t="s">
        <v>2983</v>
      </c>
      <c r="C192" s="431" t="s">
        <v>534</v>
      </c>
      <c r="D192" s="431" t="s">
        <v>4103</v>
      </c>
      <c r="E192" s="431" t="s">
        <v>4104</v>
      </c>
      <c r="F192" s="431">
        <v>2175</v>
      </c>
      <c r="G192" s="431">
        <v>2021</v>
      </c>
      <c r="H192" s="431">
        <v>2037</v>
      </c>
      <c r="I192" s="431" t="b">
        <v>1</v>
      </c>
      <c r="J192" s="431" t="s">
        <v>891</v>
      </c>
      <c r="K192" s="431">
        <v>9858</v>
      </c>
      <c r="L192" s="431"/>
      <c r="M192" s="431"/>
      <c r="N192" s="431"/>
      <c r="O192" s="431" t="b">
        <v>1</v>
      </c>
      <c r="P192" s="431" t="b">
        <v>1</v>
      </c>
      <c r="Q192" s="431" t="s">
        <v>4105</v>
      </c>
      <c r="R192" s="431" t="s">
        <v>4106</v>
      </c>
      <c r="S192" s="431" t="s">
        <v>4107</v>
      </c>
      <c r="T192" s="431"/>
      <c r="U192" s="431" t="s">
        <v>4108</v>
      </c>
      <c r="V192" s="431" t="s">
        <v>4109</v>
      </c>
      <c r="W192" s="432">
        <v>44379.364462708334</v>
      </c>
      <c r="X192" s="432">
        <v>44616.048371481484</v>
      </c>
      <c r="Y192" s="431"/>
      <c r="Z192" s="433">
        <v>44417</v>
      </c>
      <c r="AA192" s="431"/>
      <c r="AB192" s="431"/>
      <c r="AC192" s="431"/>
      <c r="AD192" s="436">
        <f t="shared" si="2"/>
        <v>616.125</v>
      </c>
    </row>
    <row r="193" spans="1:30" ht="14">
      <c r="A193" s="431" t="s">
        <v>2340</v>
      </c>
      <c r="B193" s="431" t="s">
        <v>2341</v>
      </c>
      <c r="C193" s="431" t="s">
        <v>482</v>
      </c>
      <c r="D193" s="431" t="s">
        <v>931</v>
      </c>
      <c r="E193" s="431" t="s">
        <v>2342</v>
      </c>
      <c r="F193" s="431">
        <v>609</v>
      </c>
      <c r="G193" s="431">
        <v>2001</v>
      </c>
      <c r="H193" s="431">
        <v>2021</v>
      </c>
      <c r="I193" s="431" t="b">
        <v>1</v>
      </c>
      <c r="J193" s="431" t="s">
        <v>891</v>
      </c>
      <c r="K193" s="431">
        <v>8000</v>
      </c>
      <c r="L193" s="431"/>
      <c r="M193" s="431"/>
      <c r="N193" s="431"/>
      <c r="O193" s="431" t="b">
        <v>1</v>
      </c>
      <c r="P193" s="431" t="b">
        <v>0</v>
      </c>
      <c r="Q193" s="431" t="s">
        <v>2343</v>
      </c>
      <c r="R193" s="431" t="s">
        <v>2344</v>
      </c>
      <c r="S193" s="431" t="s">
        <v>2345</v>
      </c>
      <c r="T193" s="431" t="s">
        <v>4255</v>
      </c>
      <c r="U193" s="431"/>
      <c r="V193" s="431" t="s">
        <v>2346</v>
      </c>
      <c r="W193" s="432">
        <v>43585.592134293984</v>
      </c>
      <c r="X193" s="432">
        <v>44616.04347704861</v>
      </c>
      <c r="Y193" s="431"/>
      <c r="Z193" s="433">
        <v>39251</v>
      </c>
      <c r="AA193" s="433">
        <v>39251</v>
      </c>
      <c r="AB193" s="433">
        <v>39644</v>
      </c>
      <c r="AC193" s="433">
        <v>39715</v>
      </c>
      <c r="AD193" s="436">
        <f t="shared" si="2"/>
        <v>400</v>
      </c>
    </row>
    <row r="194" spans="1:30" ht="14">
      <c r="A194" s="431" t="s">
        <v>2340</v>
      </c>
      <c r="B194" s="431" t="s">
        <v>2341</v>
      </c>
      <c r="C194" s="431" t="s">
        <v>482</v>
      </c>
      <c r="D194" s="431" t="s">
        <v>2347</v>
      </c>
      <c r="E194" s="431" t="s">
        <v>2348</v>
      </c>
      <c r="F194" s="431">
        <v>2122</v>
      </c>
      <c r="G194" s="431">
        <v>2016</v>
      </c>
      <c r="H194" s="431">
        <v>2036</v>
      </c>
      <c r="I194" s="431" t="b">
        <v>1</v>
      </c>
      <c r="J194" s="431" t="s">
        <v>891</v>
      </c>
      <c r="K194" s="431">
        <v>9600</v>
      </c>
      <c r="L194" s="431"/>
      <c r="M194" s="431"/>
      <c r="N194" s="431"/>
      <c r="O194" s="431" t="b">
        <v>1</v>
      </c>
      <c r="P194" s="431" t="b">
        <v>0</v>
      </c>
      <c r="Q194" s="431" t="s">
        <v>4256</v>
      </c>
      <c r="R194" s="431" t="s">
        <v>2349</v>
      </c>
      <c r="S194" s="431" t="s">
        <v>4257</v>
      </c>
      <c r="T194" s="431"/>
      <c r="U194" s="431"/>
      <c r="V194" s="431" t="s">
        <v>4258</v>
      </c>
      <c r="W194" s="432">
        <v>44119.675293935186</v>
      </c>
      <c r="X194" s="432">
        <v>44616.046986203706</v>
      </c>
      <c r="Y194" s="431"/>
      <c r="Z194" s="433">
        <v>44578</v>
      </c>
      <c r="AA194" s="431"/>
      <c r="AB194" s="431"/>
      <c r="AC194" s="431"/>
      <c r="AD194" s="436">
        <f t="shared" ref="AD194:AD257" si="3">IF(AND(N194&lt;&gt;"",P194=TRUE,J194="HOUSING_REQUIREMENT_TOTAL"),N194/(H194-G194),IF(J194="HOUSING_REQUIREMENT_TOTAL",K194/(H194-G194),IF(J194="HOUSING_REQUIREMENT_RANGE",L194/(H194-G194),IF(J194="HOUSING_REQUIREMENT_YEARLY_AVERAGE",K194,IF(J194="HOUSING_REQUIREMENT_YEARLY_RANGE",L194,"")))))</f>
        <v>480</v>
      </c>
    </row>
    <row r="195" spans="1:30" ht="14">
      <c r="A195" s="431" t="s">
        <v>3409</v>
      </c>
      <c r="B195" s="431" t="s">
        <v>3410</v>
      </c>
      <c r="C195" s="431" t="s">
        <v>446</v>
      </c>
      <c r="D195" s="431" t="s">
        <v>3411</v>
      </c>
      <c r="E195" s="431" t="s">
        <v>3412</v>
      </c>
      <c r="F195" s="431">
        <v>776</v>
      </c>
      <c r="G195" s="431">
        <v>2011</v>
      </c>
      <c r="H195" s="431">
        <v>2026</v>
      </c>
      <c r="I195" s="431" t="b">
        <v>1</v>
      </c>
      <c r="J195" s="431" t="s">
        <v>891</v>
      </c>
      <c r="K195" s="431">
        <v>4800</v>
      </c>
      <c r="L195" s="431"/>
      <c r="M195" s="431"/>
      <c r="N195" s="431"/>
      <c r="O195" s="431" t="b">
        <v>1</v>
      </c>
      <c r="P195" s="431" t="b">
        <v>0</v>
      </c>
      <c r="Q195" s="431" t="s">
        <v>3413</v>
      </c>
      <c r="R195" s="431" t="s">
        <v>3414</v>
      </c>
      <c r="S195" s="431" t="s">
        <v>3415</v>
      </c>
      <c r="T195" s="431" t="s">
        <v>4259</v>
      </c>
      <c r="U195" s="431"/>
      <c r="V195" s="431" t="s">
        <v>3416</v>
      </c>
      <c r="W195" s="432">
        <v>43585.592132245372</v>
      </c>
      <c r="X195" s="432">
        <v>44616.048302685187</v>
      </c>
      <c r="Y195" s="431"/>
      <c r="Z195" s="433">
        <v>40399</v>
      </c>
      <c r="AA195" s="433">
        <v>40500</v>
      </c>
      <c r="AB195" s="433">
        <v>40701</v>
      </c>
      <c r="AC195" s="433">
        <v>40737</v>
      </c>
      <c r="AD195" s="436">
        <f t="shared" si="3"/>
        <v>320</v>
      </c>
    </row>
    <row r="196" spans="1:30" ht="14">
      <c r="A196" s="431" t="s">
        <v>3409</v>
      </c>
      <c r="B196" s="431" t="s">
        <v>3410</v>
      </c>
      <c r="C196" s="431" t="s">
        <v>446</v>
      </c>
      <c r="D196" s="431" t="s">
        <v>3417</v>
      </c>
      <c r="E196" s="431" t="s">
        <v>4260</v>
      </c>
      <c r="F196" s="431">
        <v>2220</v>
      </c>
      <c r="G196" s="431">
        <v>2021</v>
      </c>
      <c r="H196" s="431">
        <v>2036</v>
      </c>
      <c r="I196" s="431" t="b">
        <v>1</v>
      </c>
      <c r="J196" s="431" t="s">
        <v>891</v>
      </c>
      <c r="K196" s="431">
        <v>11732</v>
      </c>
      <c r="L196" s="431"/>
      <c r="M196" s="431"/>
      <c r="N196" s="431"/>
      <c r="O196" s="431" t="b">
        <v>1</v>
      </c>
      <c r="P196" s="431" t="b">
        <v>0</v>
      </c>
      <c r="Q196" s="431" t="s">
        <v>4261</v>
      </c>
      <c r="R196" s="431" t="s">
        <v>4262</v>
      </c>
      <c r="S196" s="431" t="s">
        <v>4263</v>
      </c>
      <c r="T196" s="431"/>
      <c r="U196" s="431" t="s">
        <v>4264</v>
      </c>
      <c r="V196" s="431" t="s">
        <v>4265</v>
      </c>
      <c r="W196" s="432">
        <v>44544.539303645834</v>
      </c>
      <c r="X196" s="432">
        <v>44616.042075138888</v>
      </c>
      <c r="Y196" s="431"/>
      <c r="Z196" s="433">
        <v>44399</v>
      </c>
      <c r="AA196" s="433">
        <v>44532</v>
      </c>
      <c r="AB196" s="431"/>
      <c r="AC196" s="431"/>
      <c r="AD196" s="436">
        <f t="shared" si="3"/>
        <v>782.13333333333333</v>
      </c>
    </row>
    <row r="197" spans="1:30" ht="14">
      <c r="A197" s="431" t="s">
        <v>3426</v>
      </c>
      <c r="B197" s="431" t="s">
        <v>3427</v>
      </c>
      <c r="C197" s="431" t="s">
        <v>520</v>
      </c>
      <c r="D197" s="431" t="s">
        <v>3361</v>
      </c>
      <c r="E197" s="431" t="s">
        <v>3428</v>
      </c>
      <c r="F197" s="431">
        <v>1776</v>
      </c>
      <c r="G197" s="431">
        <v>2015</v>
      </c>
      <c r="H197" s="431">
        <v>2030</v>
      </c>
      <c r="I197" s="431" t="b">
        <v>1</v>
      </c>
      <c r="J197" s="431" t="s">
        <v>891</v>
      </c>
      <c r="K197" s="431">
        <v>16845</v>
      </c>
      <c r="L197" s="431"/>
      <c r="M197" s="431"/>
      <c r="N197" s="431"/>
      <c r="O197" s="431" t="b">
        <v>1</v>
      </c>
      <c r="P197" s="431" t="b">
        <v>0</v>
      </c>
      <c r="Q197" s="431" t="s">
        <v>3429</v>
      </c>
      <c r="R197" s="431" t="s">
        <v>3430</v>
      </c>
      <c r="S197" s="431" t="s">
        <v>3431</v>
      </c>
      <c r="T197" s="431" t="s">
        <v>1081</v>
      </c>
      <c r="U197" s="431"/>
      <c r="V197" s="431" t="s">
        <v>3432</v>
      </c>
      <c r="W197" s="432">
        <v>43585.592138310189</v>
      </c>
      <c r="X197" s="432">
        <v>44616.043037164352</v>
      </c>
      <c r="Y197" s="431"/>
      <c r="Z197" s="433">
        <v>42579</v>
      </c>
      <c r="AA197" s="433">
        <v>42797</v>
      </c>
      <c r="AB197" s="433">
        <v>43124</v>
      </c>
      <c r="AC197" s="433">
        <v>43174</v>
      </c>
      <c r="AD197" s="436">
        <f t="shared" si="3"/>
        <v>1123</v>
      </c>
    </row>
    <row r="198" spans="1:30" ht="14">
      <c r="A198" s="431" t="s">
        <v>3433</v>
      </c>
      <c r="B198" s="431" t="s">
        <v>3434</v>
      </c>
      <c r="C198" s="431" t="s">
        <v>530</v>
      </c>
      <c r="D198" s="431" t="s">
        <v>3435</v>
      </c>
      <c r="E198" s="431" t="s">
        <v>3436</v>
      </c>
      <c r="F198" s="431">
        <v>1808</v>
      </c>
      <c r="G198" s="431">
        <v>2015</v>
      </c>
      <c r="H198" s="431">
        <v>2033</v>
      </c>
      <c r="I198" s="431" t="b">
        <v>1</v>
      </c>
      <c r="J198" s="431" t="s">
        <v>907</v>
      </c>
      <c r="K198" s="431">
        <v>315</v>
      </c>
      <c r="L198" s="431"/>
      <c r="M198" s="431"/>
      <c r="N198" s="431"/>
      <c r="O198" s="431" t="b">
        <v>1</v>
      </c>
      <c r="P198" s="431" t="b">
        <v>0</v>
      </c>
      <c r="Q198" s="431" t="s">
        <v>3437</v>
      </c>
      <c r="R198" s="431" t="s">
        <v>3438</v>
      </c>
      <c r="S198" s="431" t="s">
        <v>3439</v>
      </c>
      <c r="T198" s="431"/>
      <c r="U198" s="431"/>
      <c r="V198" s="431" t="s">
        <v>3440</v>
      </c>
      <c r="W198" s="432">
        <v>43585.592139155095</v>
      </c>
      <c r="X198" s="432">
        <v>44616.042993159725</v>
      </c>
      <c r="Y198" s="431"/>
      <c r="Z198" s="433">
        <v>42739</v>
      </c>
      <c r="AA198" s="433">
        <v>42874</v>
      </c>
      <c r="AB198" s="433">
        <v>43216</v>
      </c>
      <c r="AC198" s="433">
        <v>43284</v>
      </c>
      <c r="AD198" s="436">
        <f t="shared" si="3"/>
        <v>315</v>
      </c>
    </row>
    <row r="199" spans="1:30" ht="14">
      <c r="A199" s="431" t="s">
        <v>2632</v>
      </c>
      <c r="B199" s="431" t="s">
        <v>2633</v>
      </c>
      <c r="C199" s="431" t="s">
        <v>450</v>
      </c>
      <c r="D199" s="431" t="s">
        <v>2634</v>
      </c>
      <c r="E199" s="431" t="s">
        <v>2635</v>
      </c>
      <c r="F199" s="431">
        <v>1278</v>
      </c>
      <c r="G199" s="431">
        <v>2006</v>
      </c>
      <c r="H199" s="431">
        <v>2021</v>
      </c>
      <c r="I199" s="431" t="b">
        <v>1</v>
      </c>
      <c r="J199" s="431" t="s">
        <v>891</v>
      </c>
      <c r="K199" s="431">
        <v>6400</v>
      </c>
      <c r="L199" s="431"/>
      <c r="M199" s="431"/>
      <c r="N199" s="431"/>
      <c r="O199" s="431" t="b">
        <v>1</v>
      </c>
      <c r="P199" s="431" t="b">
        <v>0</v>
      </c>
      <c r="Q199" s="431" t="s">
        <v>2636</v>
      </c>
      <c r="R199" s="431" t="s">
        <v>2637</v>
      </c>
      <c r="S199" s="431" t="s">
        <v>2638</v>
      </c>
      <c r="T199" s="431"/>
      <c r="U199" s="431"/>
      <c r="V199" s="431" t="s">
        <v>2639</v>
      </c>
      <c r="W199" s="432">
        <v>43585.59213258102</v>
      </c>
      <c r="X199" s="432">
        <v>44616.047423113429</v>
      </c>
      <c r="Y199" s="431"/>
      <c r="Z199" s="433">
        <v>40919</v>
      </c>
      <c r="AA199" s="433">
        <v>40990</v>
      </c>
      <c r="AB199" s="433">
        <v>41179</v>
      </c>
      <c r="AC199" s="433">
        <v>41263</v>
      </c>
      <c r="AD199" s="436">
        <f t="shared" si="3"/>
        <v>426.66666666666669</v>
      </c>
    </row>
    <row r="200" spans="1:30" ht="14">
      <c r="A200" s="431" t="s">
        <v>2632</v>
      </c>
      <c r="B200" s="431" t="s">
        <v>2633</v>
      </c>
      <c r="C200" s="431" t="s">
        <v>450</v>
      </c>
      <c r="D200" s="431" t="s">
        <v>3790</v>
      </c>
      <c r="E200" s="431" t="s">
        <v>3791</v>
      </c>
      <c r="F200" s="431">
        <v>1966</v>
      </c>
      <c r="G200" s="431">
        <v>2018</v>
      </c>
      <c r="H200" s="431">
        <v>2037</v>
      </c>
      <c r="I200" s="431" t="b">
        <v>1</v>
      </c>
      <c r="J200" s="431" t="s">
        <v>891</v>
      </c>
      <c r="K200" s="431">
        <v>10165</v>
      </c>
      <c r="L200" s="431"/>
      <c r="M200" s="431"/>
      <c r="N200" s="431"/>
      <c r="O200" s="431" t="b">
        <v>1</v>
      </c>
      <c r="P200" s="431" t="b">
        <v>1</v>
      </c>
      <c r="Q200" s="431" t="s">
        <v>4130</v>
      </c>
      <c r="R200" s="431" t="s">
        <v>3792</v>
      </c>
      <c r="S200" s="431" t="s">
        <v>4131</v>
      </c>
      <c r="T200" s="431"/>
      <c r="U200" s="431" t="s">
        <v>4132</v>
      </c>
      <c r="V200" s="431" t="s">
        <v>4133</v>
      </c>
      <c r="W200" s="432">
        <v>43585.592132650461</v>
      </c>
      <c r="X200" s="432">
        <v>44616.043495231483</v>
      </c>
      <c r="Y200" s="431"/>
      <c r="Z200" s="433">
        <v>44147</v>
      </c>
      <c r="AA200" s="433">
        <v>44286</v>
      </c>
      <c r="AB200" s="431"/>
      <c r="AC200" s="431"/>
      <c r="AD200" s="436">
        <f t="shared" si="3"/>
        <v>535</v>
      </c>
    </row>
    <row r="201" spans="1:30" ht="14">
      <c r="A201" s="431" t="s">
        <v>896</v>
      </c>
      <c r="B201" s="431" t="s">
        <v>897</v>
      </c>
      <c r="C201" s="431" t="s">
        <v>454</v>
      </c>
      <c r="D201" s="431" t="s">
        <v>898</v>
      </c>
      <c r="E201" s="431" t="s">
        <v>899</v>
      </c>
      <c r="F201" s="431">
        <v>1509</v>
      </c>
      <c r="G201" s="431">
        <v>2012</v>
      </c>
      <c r="H201" s="431">
        <v>2029</v>
      </c>
      <c r="I201" s="431" t="b">
        <v>1</v>
      </c>
      <c r="J201" s="431" t="s">
        <v>891</v>
      </c>
      <c r="K201" s="431">
        <v>6970</v>
      </c>
      <c r="L201" s="431"/>
      <c r="M201" s="431"/>
      <c r="N201" s="431"/>
      <c r="O201" s="431" t="b">
        <v>1</v>
      </c>
      <c r="P201" s="431" t="b">
        <v>0</v>
      </c>
      <c r="Q201" s="431" t="s">
        <v>900</v>
      </c>
      <c r="R201" s="431" t="s">
        <v>901</v>
      </c>
      <c r="S201" s="431" t="s">
        <v>902</v>
      </c>
      <c r="T201" s="431" t="s">
        <v>903</v>
      </c>
      <c r="U201" s="431"/>
      <c r="V201" s="431" t="s">
        <v>904</v>
      </c>
      <c r="W201" s="432">
        <v>43585.592132939812</v>
      </c>
      <c r="X201" s="432">
        <v>44616.045944652775</v>
      </c>
      <c r="Y201" s="431"/>
      <c r="Z201" s="433">
        <v>41582</v>
      </c>
      <c r="AA201" s="433">
        <v>41719</v>
      </c>
      <c r="AB201" s="433">
        <v>41943</v>
      </c>
      <c r="AC201" s="433">
        <v>41969</v>
      </c>
      <c r="AD201" s="436">
        <f t="shared" si="3"/>
        <v>410</v>
      </c>
    </row>
    <row r="202" spans="1:30" ht="14">
      <c r="A202" s="431" t="s">
        <v>896</v>
      </c>
      <c r="B202" s="431" t="s">
        <v>897</v>
      </c>
      <c r="C202" s="431" t="s">
        <v>454</v>
      </c>
      <c r="D202" s="431" t="s">
        <v>905</v>
      </c>
      <c r="E202" s="431" t="s">
        <v>906</v>
      </c>
      <c r="F202" s="431">
        <v>2062</v>
      </c>
      <c r="G202" s="431">
        <v>2016</v>
      </c>
      <c r="H202" s="431">
        <v>2034</v>
      </c>
      <c r="I202" s="431" t="b">
        <v>1</v>
      </c>
      <c r="J202" s="431" t="s">
        <v>907</v>
      </c>
      <c r="K202" s="431">
        <v>425</v>
      </c>
      <c r="L202" s="431"/>
      <c r="M202" s="431"/>
      <c r="N202" s="431"/>
      <c r="O202" s="431" t="b">
        <v>1</v>
      </c>
      <c r="P202" s="431" t="b">
        <v>0</v>
      </c>
      <c r="Q202" s="431" t="s">
        <v>908</v>
      </c>
      <c r="R202" s="431" t="s">
        <v>909</v>
      </c>
      <c r="S202" s="431" t="s">
        <v>910</v>
      </c>
      <c r="T202" s="431" t="s">
        <v>4266</v>
      </c>
      <c r="U202" s="431" t="s">
        <v>911</v>
      </c>
      <c r="V202" s="431" t="s">
        <v>912</v>
      </c>
      <c r="W202" s="432">
        <v>43585.592132766207</v>
      </c>
      <c r="X202" s="432">
        <v>44616.043005381944</v>
      </c>
      <c r="Y202" s="431"/>
      <c r="Z202" s="433">
        <v>43413</v>
      </c>
      <c r="AA202" s="431"/>
      <c r="AB202" s="431"/>
      <c r="AC202" s="431"/>
      <c r="AD202" s="436">
        <f t="shared" si="3"/>
        <v>425</v>
      </c>
    </row>
    <row r="203" spans="1:30" ht="14">
      <c r="A203" s="431" t="s">
        <v>1173</v>
      </c>
      <c r="B203" s="431" t="s">
        <v>1174</v>
      </c>
      <c r="C203" s="431" t="s">
        <v>510</v>
      </c>
      <c r="D203" s="431" t="s">
        <v>1175</v>
      </c>
      <c r="E203" s="431" t="s">
        <v>1176</v>
      </c>
      <c r="F203" s="431">
        <v>1886</v>
      </c>
      <c r="G203" s="431">
        <v>2016</v>
      </c>
      <c r="H203" s="431">
        <v>2036</v>
      </c>
      <c r="I203" s="431" t="b">
        <v>1</v>
      </c>
      <c r="J203" s="431" t="s">
        <v>891</v>
      </c>
      <c r="K203" s="431">
        <v>19440</v>
      </c>
      <c r="L203" s="431"/>
      <c r="M203" s="431"/>
      <c r="N203" s="431"/>
      <c r="O203" s="431" t="b">
        <v>1</v>
      </c>
      <c r="P203" s="431" t="b">
        <v>0</v>
      </c>
      <c r="Q203" s="431" t="s">
        <v>1177</v>
      </c>
      <c r="R203" s="431"/>
      <c r="S203" s="431"/>
      <c r="T203" s="431" t="s">
        <v>1178</v>
      </c>
      <c r="U203" s="431" t="s">
        <v>1179</v>
      </c>
      <c r="V203" s="431" t="s">
        <v>1180</v>
      </c>
      <c r="W203" s="432">
        <v>43585.592137569445</v>
      </c>
      <c r="X203" s="432">
        <v>44616.047018217592</v>
      </c>
      <c r="Y203" s="431"/>
      <c r="Z203" s="433">
        <v>43108</v>
      </c>
      <c r="AA203" s="433">
        <v>43185</v>
      </c>
      <c r="AB203" s="433">
        <v>43571</v>
      </c>
      <c r="AC203" s="433">
        <v>43670</v>
      </c>
      <c r="AD203" s="436">
        <f t="shared" si="3"/>
        <v>972</v>
      </c>
    </row>
    <row r="204" spans="1:30" ht="14">
      <c r="A204" s="431" t="s">
        <v>1250</v>
      </c>
      <c r="B204" s="431" t="s">
        <v>835</v>
      </c>
      <c r="C204" s="431" t="s">
        <v>518</v>
      </c>
      <c r="D204" s="431" t="s">
        <v>1251</v>
      </c>
      <c r="E204" s="431" t="s">
        <v>1252</v>
      </c>
      <c r="F204" s="431">
        <v>1877</v>
      </c>
      <c r="G204" s="431">
        <v>2013</v>
      </c>
      <c r="H204" s="431">
        <v>2036</v>
      </c>
      <c r="I204" s="431" t="b">
        <v>1</v>
      </c>
      <c r="J204" s="431" t="s">
        <v>891</v>
      </c>
      <c r="K204" s="431">
        <v>15847</v>
      </c>
      <c r="L204" s="431"/>
      <c r="M204" s="431"/>
      <c r="N204" s="431"/>
      <c r="O204" s="431" t="b">
        <v>1</v>
      </c>
      <c r="P204" s="431" t="b">
        <v>0</v>
      </c>
      <c r="Q204" s="431" t="s">
        <v>1253</v>
      </c>
      <c r="R204" s="431" t="s">
        <v>1254</v>
      </c>
      <c r="S204" s="431" t="s">
        <v>1255</v>
      </c>
      <c r="T204" s="431" t="s">
        <v>1256</v>
      </c>
      <c r="U204" s="431"/>
      <c r="V204" s="431" t="s">
        <v>1257</v>
      </c>
      <c r="W204" s="432">
        <v>43585.592138125001</v>
      </c>
      <c r="X204" s="432">
        <v>44616.046227268518</v>
      </c>
      <c r="Y204" s="431"/>
      <c r="Z204" s="433">
        <v>43069</v>
      </c>
      <c r="AA204" s="433">
        <v>43188</v>
      </c>
      <c r="AB204" s="433">
        <v>43732</v>
      </c>
      <c r="AC204" s="433">
        <v>43773</v>
      </c>
      <c r="AD204" s="436">
        <f t="shared" si="3"/>
        <v>689</v>
      </c>
    </row>
    <row r="205" spans="1:30" ht="14">
      <c r="A205" s="431" t="s">
        <v>2198</v>
      </c>
      <c r="B205" s="431" t="s">
        <v>2199</v>
      </c>
      <c r="C205" s="431" t="s">
        <v>528</v>
      </c>
      <c r="D205" s="431" t="s">
        <v>2200</v>
      </c>
      <c r="E205" s="431" t="s">
        <v>2201</v>
      </c>
      <c r="F205" s="431">
        <v>1314</v>
      </c>
      <c r="G205" s="431">
        <v>2008</v>
      </c>
      <c r="H205" s="431">
        <v>2028</v>
      </c>
      <c r="I205" s="431" t="b">
        <v>1</v>
      </c>
      <c r="J205" s="431" t="s">
        <v>891</v>
      </c>
      <c r="K205" s="431">
        <v>5600</v>
      </c>
      <c r="L205" s="431"/>
      <c r="M205" s="431"/>
      <c r="N205" s="431"/>
      <c r="O205" s="431" t="b">
        <v>1</v>
      </c>
      <c r="P205" s="431" t="b">
        <v>0</v>
      </c>
      <c r="Q205" s="431" t="s">
        <v>2202</v>
      </c>
      <c r="R205" s="431" t="s">
        <v>2203</v>
      </c>
      <c r="S205" s="431" t="s">
        <v>2204</v>
      </c>
      <c r="T205" s="431" t="s">
        <v>4267</v>
      </c>
      <c r="U205" s="431"/>
      <c r="V205" s="431" t="s">
        <v>2205</v>
      </c>
      <c r="W205" s="432">
        <v>43585.59213837963</v>
      </c>
      <c r="X205" s="432">
        <v>44616.047846238427</v>
      </c>
      <c r="Y205" s="431"/>
      <c r="Z205" s="433">
        <v>41032</v>
      </c>
      <c r="AA205" s="433">
        <v>41180</v>
      </c>
      <c r="AB205" s="433">
        <v>41968</v>
      </c>
      <c r="AC205" s="433">
        <v>41989</v>
      </c>
      <c r="AD205" s="436">
        <f t="shared" si="3"/>
        <v>280</v>
      </c>
    </row>
    <row r="206" spans="1:30" ht="14">
      <c r="A206" s="431" t="s">
        <v>3788</v>
      </c>
      <c r="B206" s="431" t="s">
        <v>3789</v>
      </c>
      <c r="C206" s="431" t="s">
        <v>466</v>
      </c>
      <c r="D206" s="431" t="s">
        <v>3616</v>
      </c>
      <c r="E206" s="431" t="s">
        <v>3617</v>
      </c>
      <c r="F206" s="431">
        <v>550</v>
      </c>
      <c r="G206" s="431">
        <v>2006</v>
      </c>
      <c r="H206" s="431">
        <v>2026</v>
      </c>
      <c r="I206" s="431" t="b">
        <v>1</v>
      </c>
      <c r="J206" s="431" t="s">
        <v>891</v>
      </c>
      <c r="K206" s="431">
        <v>5700</v>
      </c>
      <c r="L206" s="431"/>
      <c r="M206" s="431"/>
      <c r="N206" s="431"/>
      <c r="O206" s="431" t="b">
        <v>1</v>
      </c>
      <c r="P206" s="431" t="b">
        <v>1</v>
      </c>
      <c r="Q206" s="431" t="s">
        <v>3618</v>
      </c>
      <c r="R206" s="431" t="s">
        <v>3619</v>
      </c>
      <c r="S206" s="431" t="s">
        <v>3620</v>
      </c>
      <c r="T206" s="431" t="s">
        <v>4268</v>
      </c>
      <c r="U206" s="431"/>
      <c r="V206" s="431" t="s">
        <v>3621</v>
      </c>
      <c r="W206" s="432">
        <v>43585.592124803239</v>
      </c>
      <c r="X206" s="432">
        <v>44616.04731898148</v>
      </c>
      <c r="Y206" s="431"/>
      <c r="Z206" s="433">
        <v>39689</v>
      </c>
      <c r="AA206" s="433">
        <v>39804</v>
      </c>
      <c r="AB206" s="433">
        <v>39987</v>
      </c>
      <c r="AC206" s="433">
        <v>40087</v>
      </c>
      <c r="AD206" s="436">
        <f t="shared" si="3"/>
        <v>285</v>
      </c>
    </row>
    <row r="207" spans="1:30" ht="14">
      <c r="A207" s="431" t="s">
        <v>3024</v>
      </c>
      <c r="B207" s="431" t="s">
        <v>803</v>
      </c>
      <c r="C207" s="431" t="s">
        <v>426</v>
      </c>
      <c r="D207" s="431" t="s">
        <v>3025</v>
      </c>
      <c r="E207" s="431" t="s">
        <v>3026</v>
      </c>
      <c r="F207" s="431">
        <v>1893</v>
      </c>
      <c r="G207" s="431">
        <v>2013</v>
      </c>
      <c r="H207" s="431">
        <v>2033</v>
      </c>
      <c r="I207" s="431" t="b">
        <v>1</v>
      </c>
      <c r="J207" s="431" t="s">
        <v>891</v>
      </c>
      <c r="K207" s="431">
        <v>34780</v>
      </c>
      <c r="L207" s="431"/>
      <c r="M207" s="431"/>
      <c r="N207" s="431"/>
      <c r="O207" s="431" t="b">
        <v>1</v>
      </c>
      <c r="P207" s="431" t="b">
        <v>0</v>
      </c>
      <c r="Q207" s="431" t="s">
        <v>4269</v>
      </c>
      <c r="R207" s="431" t="s">
        <v>4270</v>
      </c>
      <c r="S207" s="431" t="s">
        <v>4271</v>
      </c>
      <c r="T207" s="431"/>
      <c r="U207" s="431"/>
      <c r="V207" s="431" t="s">
        <v>4272</v>
      </c>
      <c r="W207" s="432">
        <v>43585.592130833335</v>
      </c>
      <c r="X207" s="432">
        <v>44616.047406770835</v>
      </c>
      <c r="Y207" s="431"/>
      <c r="Z207" s="433">
        <v>43126</v>
      </c>
      <c r="AA207" s="433">
        <v>43238</v>
      </c>
      <c r="AB207" s="433">
        <v>44489</v>
      </c>
      <c r="AC207" s="433">
        <v>44587</v>
      </c>
      <c r="AD207" s="436">
        <f t="shared" si="3"/>
        <v>1739</v>
      </c>
    </row>
    <row r="208" spans="1:30" ht="14">
      <c r="A208" s="431" t="s">
        <v>2479</v>
      </c>
      <c r="B208" s="431" t="s">
        <v>2480</v>
      </c>
      <c r="C208" s="431" t="s">
        <v>444</v>
      </c>
      <c r="D208" s="431" t="s">
        <v>2481</v>
      </c>
      <c r="E208" s="431" t="s">
        <v>2482</v>
      </c>
      <c r="F208" s="431">
        <v>1380</v>
      </c>
      <c r="G208" s="431">
        <v>2006</v>
      </c>
      <c r="H208" s="431">
        <v>2029</v>
      </c>
      <c r="I208" s="431" t="b">
        <v>1</v>
      </c>
      <c r="J208" s="431" t="s">
        <v>891</v>
      </c>
      <c r="K208" s="431">
        <v>9635</v>
      </c>
      <c r="L208" s="431"/>
      <c r="M208" s="431"/>
      <c r="N208" s="431"/>
      <c r="O208" s="431" t="b">
        <v>1</v>
      </c>
      <c r="P208" s="431" t="b">
        <v>0</v>
      </c>
      <c r="Q208" s="431" t="s">
        <v>2483</v>
      </c>
      <c r="R208" s="431" t="s">
        <v>2484</v>
      </c>
      <c r="S208" s="431" t="s">
        <v>4273</v>
      </c>
      <c r="T208" s="431"/>
      <c r="U208" s="431"/>
      <c r="V208" s="431" t="s">
        <v>2485</v>
      </c>
      <c r="W208" s="432">
        <v>43585.592132013888</v>
      </c>
      <c r="X208" s="432">
        <v>44616.046084803238</v>
      </c>
      <c r="Y208" s="431"/>
      <c r="Z208" s="433">
        <v>41242</v>
      </c>
      <c r="AA208" s="433">
        <v>41617</v>
      </c>
      <c r="AB208" s="433">
        <v>41914</v>
      </c>
      <c r="AC208" s="433">
        <v>41988</v>
      </c>
      <c r="AD208" s="436">
        <f t="shared" si="3"/>
        <v>418.91304347826087</v>
      </c>
    </row>
    <row r="209" spans="1:30" ht="14">
      <c r="A209" s="431" t="s">
        <v>2479</v>
      </c>
      <c r="B209" s="431" t="s">
        <v>2480</v>
      </c>
      <c r="C209" s="431" t="s">
        <v>444</v>
      </c>
      <c r="D209" s="431" t="s">
        <v>4274</v>
      </c>
      <c r="E209" s="431" t="s">
        <v>4275</v>
      </c>
      <c r="F209" s="431">
        <v>2138</v>
      </c>
      <c r="G209" s="431">
        <v>2020</v>
      </c>
      <c r="H209" s="431">
        <v>2040</v>
      </c>
      <c r="I209" s="431" t="b">
        <v>1</v>
      </c>
      <c r="J209" s="431"/>
      <c r="K209" s="431"/>
      <c r="L209" s="431"/>
      <c r="M209" s="431"/>
      <c r="N209" s="431"/>
      <c r="O209" s="431" t="b">
        <v>0</v>
      </c>
      <c r="P209" s="431" t="b">
        <v>0</v>
      </c>
      <c r="Q209" s="431"/>
      <c r="R209" s="431"/>
      <c r="S209" s="431"/>
      <c r="T209" s="431"/>
      <c r="U209" s="431"/>
      <c r="V209" s="431"/>
      <c r="W209" s="432">
        <v>44361.548627743054</v>
      </c>
      <c r="X209" s="432">
        <v>44361.654407013892</v>
      </c>
      <c r="Y209" s="431" t="s">
        <v>978</v>
      </c>
      <c r="Z209" s="431"/>
      <c r="AA209" s="431"/>
      <c r="AB209" s="431"/>
      <c r="AC209" s="431"/>
      <c r="AD209" s="436" t="str">
        <f t="shared" si="3"/>
        <v/>
      </c>
    </row>
    <row r="210" spans="1:30" ht="14">
      <c r="A210" s="431" t="s">
        <v>1814</v>
      </c>
      <c r="B210" s="431" t="s">
        <v>1815</v>
      </c>
      <c r="C210" s="431" t="s">
        <v>536</v>
      </c>
      <c r="D210" s="431" t="s">
        <v>1816</v>
      </c>
      <c r="E210" s="431" t="s">
        <v>1817</v>
      </c>
      <c r="F210" s="431">
        <v>1083</v>
      </c>
      <c r="G210" s="431">
        <v>2006</v>
      </c>
      <c r="H210" s="431">
        <v>2025</v>
      </c>
      <c r="I210" s="431" t="b">
        <v>1</v>
      </c>
      <c r="J210" s="431" t="s">
        <v>891</v>
      </c>
      <c r="K210" s="431">
        <v>4750</v>
      </c>
      <c r="L210" s="431"/>
      <c r="M210" s="431"/>
      <c r="N210" s="431"/>
      <c r="O210" s="431" t="b">
        <v>1</v>
      </c>
      <c r="P210" s="431" t="b">
        <v>0</v>
      </c>
      <c r="Q210" s="431" t="s">
        <v>1818</v>
      </c>
      <c r="R210" s="431" t="s">
        <v>1819</v>
      </c>
      <c r="S210" s="431" t="s">
        <v>1820</v>
      </c>
      <c r="T210" s="431"/>
      <c r="U210" s="431"/>
      <c r="V210" s="431" t="s">
        <v>1821</v>
      </c>
      <c r="W210" s="432">
        <v>43585.592139016204</v>
      </c>
      <c r="X210" s="432">
        <v>44616.043120752314</v>
      </c>
      <c r="Y210" s="431"/>
      <c r="Z210" s="433">
        <v>40077</v>
      </c>
      <c r="AA210" s="433">
        <v>40192</v>
      </c>
      <c r="AB210" s="433">
        <v>40843</v>
      </c>
      <c r="AC210" s="433">
        <v>40890</v>
      </c>
      <c r="AD210" s="436">
        <f t="shared" si="3"/>
        <v>250</v>
      </c>
    </row>
    <row r="211" spans="1:30" ht="14">
      <c r="A211" s="431" t="s">
        <v>1814</v>
      </c>
      <c r="B211" s="431" t="s">
        <v>1815</v>
      </c>
      <c r="C211" s="431" t="s">
        <v>536</v>
      </c>
      <c r="D211" s="431" t="s">
        <v>4276</v>
      </c>
      <c r="E211" s="431" t="s">
        <v>4277</v>
      </c>
      <c r="F211" s="431">
        <v>2130</v>
      </c>
      <c r="G211" s="431">
        <v>2020</v>
      </c>
      <c r="H211" s="431">
        <v>2040</v>
      </c>
      <c r="I211" s="431" t="b">
        <v>1</v>
      </c>
      <c r="J211" s="431" t="s">
        <v>891</v>
      </c>
      <c r="K211" s="431">
        <v>7200</v>
      </c>
      <c r="L211" s="431"/>
      <c r="M211" s="431"/>
      <c r="N211" s="431"/>
      <c r="O211" s="431" t="b">
        <v>1</v>
      </c>
      <c r="P211" s="431" t="b">
        <v>0</v>
      </c>
      <c r="Q211" s="431" t="s">
        <v>4278</v>
      </c>
      <c r="R211" s="431" t="s">
        <v>4279</v>
      </c>
      <c r="S211" s="431" t="s">
        <v>4280</v>
      </c>
      <c r="T211" s="431" t="s">
        <v>4281</v>
      </c>
      <c r="U211" s="431" t="s">
        <v>4282</v>
      </c>
      <c r="V211" s="431" t="s">
        <v>4283</v>
      </c>
      <c r="W211" s="432">
        <v>44151.729182326388</v>
      </c>
      <c r="X211" s="432">
        <v>44616.046242939818</v>
      </c>
      <c r="Y211" s="431"/>
      <c r="Z211" s="431"/>
      <c r="AA211" s="431"/>
      <c r="AB211" s="431"/>
      <c r="AC211" s="431"/>
      <c r="AD211" s="436">
        <f t="shared" si="3"/>
        <v>360</v>
      </c>
    </row>
    <row r="212" spans="1:30" ht="14">
      <c r="A212" s="431" t="s">
        <v>2776</v>
      </c>
      <c r="B212" s="431" t="s">
        <v>2777</v>
      </c>
      <c r="C212" s="431" t="s">
        <v>500</v>
      </c>
      <c r="D212" s="431" t="s">
        <v>2778</v>
      </c>
      <c r="E212" s="431" t="s">
        <v>2779</v>
      </c>
      <c r="F212" s="431">
        <v>1678</v>
      </c>
      <c r="G212" s="431">
        <v>2011</v>
      </c>
      <c r="H212" s="431">
        <v>2031</v>
      </c>
      <c r="I212" s="431" t="b">
        <v>1</v>
      </c>
      <c r="J212" s="431" t="s">
        <v>891</v>
      </c>
      <c r="K212" s="431">
        <v>14060</v>
      </c>
      <c r="L212" s="431"/>
      <c r="M212" s="431"/>
      <c r="N212" s="431"/>
      <c r="O212" s="431" t="b">
        <v>1</v>
      </c>
      <c r="P212" s="431" t="b">
        <v>0</v>
      </c>
      <c r="Q212" s="431" t="s">
        <v>2780</v>
      </c>
      <c r="R212" s="431"/>
      <c r="S212" s="431"/>
      <c r="T212" s="431" t="s">
        <v>2781</v>
      </c>
      <c r="U212" s="431" t="s">
        <v>4284</v>
      </c>
      <c r="V212" s="431" t="s">
        <v>2782</v>
      </c>
      <c r="W212" s="432">
        <v>43585.592136585648</v>
      </c>
      <c r="X212" s="432">
        <v>44616.046763587961</v>
      </c>
      <c r="Y212" s="431"/>
      <c r="Z212" s="433">
        <v>42765</v>
      </c>
      <c r="AA212" s="433">
        <v>42892</v>
      </c>
      <c r="AB212" s="433">
        <v>43564</v>
      </c>
      <c r="AC212" s="433">
        <v>43627</v>
      </c>
      <c r="AD212" s="436">
        <f t="shared" si="3"/>
        <v>703</v>
      </c>
    </row>
    <row r="213" spans="1:30" ht="14">
      <c r="A213" s="431" t="s">
        <v>1679</v>
      </c>
      <c r="B213" s="431" t="s">
        <v>1680</v>
      </c>
      <c r="C213" s="431" t="s">
        <v>1681</v>
      </c>
      <c r="D213" s="431" t="s">
        <v>1682</v>
      </c>
      <c r="E213" s="431" t="s">
        <v>1683</v>
      </c>
      <c r="F213" s="431">
        <v>1080</v>
      </c>
      <c r="G213" s="431">
        <v>2006</v>
      </c>
      <c r="H213" s="431">
        <v>2027</v>
      </c>
      <c r="I213" s="431" t="b">
        <v>1</v>
      </c>
      <c r="J213" s="431" t="s">
        <v>891</v>
      </c>
      <c r="K213" s="431">
        <v>2520</v>
      </c>
      <c r="L213" s="431"/>
      <c r="M213" s="431"/>
      <c r="N213" s="431"/>
      <c r="O213" s="431" t="b">
        <v>1</v>
      </c>
      <c r="P213" s="431" t="b">
        <v>0</v>
      </c>
      <c r="Q213" s="431" t="s">
        <v>1684</v>
      </c>
      <c r="R213" s="431" t="s">
        <v>1685</v>
      </c>
      <c r="S213" s="431" t="s">
        <v>1686</v>
      </c>
      <c r="T213" s="431" t="s">
        <v>4285</v>
      </c>
      <c r="U213" s="431"/>
      <c r="V213" s="431" t="s">
        <v>1687</v>
      </c>
      <c r="W213" s="432">
        <v>43585.59213769676</v>
      </c>
      <c r="X213" s="432">
        <v>44616.043808020833</v>
      </c>
      <c r="Y213" s="431"/>
      <c r="Z213" s="433">
        <v>40483</v>
      </c>
      <c r="AA213" s="433">
        <v>40933</v>
      </c>
      <c r="AB213" s="433">
        <v>41213</v>
      </c>
      <c r="AC213" s="433">
        <v>41226</v>
      </c>
      <c r="AD213" s="436">
        <f t="shared" si="3"/>
        <v>120</v>
      </c>
    </row>
    <row r="214" spans="1:30" ht="14">
      <c r="A214" s="431" t="s">
        <v>1679</v>
      </c>
      <c r="B214" s="431" t="s">
        <v>1680</v>
      </c>
      <c r="C214" s="431" t="s">
        <v>1681</v>
      </c>
      <c r="D214" s="431" t="s">
        <v>1688</v>
      </c>
      <c r="E214" s="431" t="s">
        <v>1689</v>
      </c>
      <c r="F214" s="431">
        <v>2016</v>
      </c>
      <c r="G214" s="431">
        <v>2018</v>
      </c>
      <c r="H214" s="431">
        <v>2034</v>
      </c>
      <c r="I214" s="431" t="b">
        <v>1</v>
      </c>
      <c r="J214" s="431" t="s">
        <v>907</v>
      </c>
      <c r="K214" s="431">
        <v>168</v>
      </c>
      <c r="L214" s="431"/>
      <c r="M214" s="431"/>
      <c r="N214" s="431"/>
      <c r="O214" s="431" t="b">
        <v>1</v>
      </c>
      <c r="P214" s="431" t="b">
        <v>0</v>
      </c>
      <c r="Q214" s="431" t="s">
        <v>1690</v>
      </c>
      <c r="R214" s="431" t="s">
        <v>1691</v>
      </c>
      <c r="S214" s="431" t="s">
        <v>1692</v>
      </c>
      <c r="T214" s="431" t="s">
        <v>4286</v>
      </c>
      <c r="U214" s="431"/>
      <c r="V214" s="431"/>
      <c r="W214" s="432">
        <v>43585.592138043983</v>
      </c>
      <c r="X214" s="432">
        <v>44616.048780671299</v>
      </c>
      <c r="Y214" s="431"/>
      <c r="Z214" s="433">
        <v>43395</v>
      </c>
      <c r="AA214" s="433">
        <v>43493</v>
      </c>
      <c r="AB214" s="431"/>
      <c r="AC214" s="431"/>
      <c r="AD214" s="436">
        <f t="shared" si="3"/>
        <v>168</v>
      </c>
    </row>
    <row r="215" spans="1:30" ht="14">
      <c r="A215" s="431" t="s">
        <v>2861</v>
      </c>
      <c r="B215" s="431" t="s">
        <v>2862</v>
      </c>
      <c r="C215" s="431" t="s">
        <v>452</v>
      </c>
      <c r="D215" s="431" t="s">
        <v>2863</v>
      </c>
      <c r="E215" s="431" t="s">
        <v>2864</v>
      </c>
      <c r="F215" s="431">
        <v>1676</v>
      </c>
      <c r="G215" s="431">
        <v>2014</v>
      </c>
      <c r="H215" s="431">
        <v>2031</v>
      </c>
      <c r="I215" s="431" t="b">
        <v>1</v>
      </c>
      <c r="J215" s="431" t="s">
        <v>891</v>
      </c>
      <c r="K215" s="431">
        <v>16390</v>
      </c>
      <c r="L215" s="431"/>
      <c r="M215" s="431"/>
      <c r="N215" s="431"/>
      <c r="O215" s="431" t="b">
        <v>1</v>
      </c>
      <c r="P215" s="431" t="b">
        <v>0</v>
      </c>
      <c r="Q215" s="431" t="s">
        <v>2865</v>
      </c>
      <c r="R215" s="431" t="s">
        <v>2866</v>
      </c>
      <c r="S215" s="431" t="s">
        <v>2867</v>
      </c>
      <c r="T215" s="431" t="s">
        <v>4287</v>
      </c>
      <c r="U215" s="431" t="s">
        <v>2868</v>
      </c>
      <c r="V215" s="431" t="s">
        <v>2869</v>
      </c>
      <c r="W215" s="432">
        <v>43585.592132314814</v>
      </c>
      <c r="X215" s="432">
        <v>44616.047861377316</v>
      </c>
      <c r="Y215" s="431"/>
      <c r="Z215" s="433">
        <v>42167</v>
      </c>
      <c r="AA215" s="433">
        <v>42599</v>
      </c>
      <c r="AB215" s="433">
        <v>43171</v>
      </c>
      <c r="AC215" s="433">
        <v>43187</v>
      </c>
      <c r="AD215" s="436">
        <f t="shared" si="3"/>
        <v>964.11764705882354</v>
      </c>
    </row>
    <row r="216" spans="1:30" ht="14">
      <c r="A216" s="431" t="s">
        <v>3702</v>
      </c>
      <c r="B216" s="431" t="s">
        <v>3703</v>
      </c>
      <c r="C216" s="431" t="s">
        <v>516</v>
      </c>
      <c r="D216" s="431" t="s">
        <v>3688</v>
      </c>
      <c r="E216" s="431" t="s">
        <v>3689</v>
      </c>
      <c r="F216" s="431">
        <v>842</v>
      </c>
      <c r="G216" s="431">
        <v>2010</v>
      </c>
      <c r="H216" s="431">
        <v>2026</v>
      </c>
      <c r="I216" s="431" t="b">
        <v>1</v>
      </c>
      <c r="J216" s="431" t="s">
        <v>907</v>
      </c>
      <c r="K216" s="431">
        <v>507</v>
      </c>
      <c r="L216" s="431"/>
      <c r="M216" s="431"/>
      <c r="N216" s="431"/>
      <c r="O216" s="431" t="b">
        <v>1</v>
      </c>
      <c r="P216" s="431" t="b">
        <v>1</v>
      </c>
      <c r="Q216" s="431" t="s">
        <v>3690</v>
      </c>
      <c r="R216" s="431" t="s">
        <v>3691</v>
      </c>
      <c r="S216" s="431" t="s">
        <v>3692</v>
      </c>
      <c r="T216" s="431" t="s">
        <v>4288</v>
      </c>
      <c r="U216" s="431" t="s">
        <v>3693</v>
      </c>
      <c r="V216" s="431" t="s">
        <v>3694</v>
      </c>
      <c r="W216" s="432">
        <v>43585.592131527781</v>
      </c>
      <c r="X216" s="432">
        <v>44616.046451111113</v>
      </c>
      <c r="Y216" s="431"/>
      <c r="Z216" s="433">
        <v>40520</v>
      </c>
      <c r="AA216" s="433">
        <v>40633</v>
      </c>
      <c r="AB216" s="433">
        <v>41067</v>
      </c>
      <c r="AC216" s="433">
        <v>41108</v>
      </c>
      <c r="AD216" s="436">
        <f t="shared" si="3"/>
        <v>507</v>
      </c>
    </row>
    <row r="217" spans="1:30" ht="14">
      <c r="A217" s="431" t="s">
        <v>3702</v>
      </c>
      <c r="B217" s="431" t="s">
        <v>3703</v>
      </c>
      <c r="C217" s="431" t="s">
        <v>516</v>
      </c>
      <c r="D217" s="431" t="s">
        <v>3695</v>
      </c>
      <c r="E217" s="431" t="s">
        <v>3696</v>
      </c>
      <c r="F217" s="431">
        <v>2100</v>
      </c>
      <c r="G217" s="431">
        <v>2021</v>
      </c>
      <c r="H217" s="431">
        <v>2036</v>
      </c>
      <c r="I217" s="431" t="b">
        <v>1</v>
      </c>
      <c r="J217" s="431" t="s">
        <v>907</v>
      </c>
      <c r="K217" s="431">
        <v>241</v>
      </c>
      <c r="L217" s="431"/>
      <c r="M217" s="431"/>
      <c r="N217" s="431"/>
      <c r="O217" s="431" t="b">
        <v>1</v>
      </c>
      <c r="P217" s="431" t="b">
        <v>1</v>
      </c>
      <c r="Q217" s="431" t="s">
        <v>3697</v>
      </c>
      <c r="R217" s="431" t="s">
        <v>3698</v>
      </c>
      <c r="S217" s="431" t="s">
        <v>3699</v>
      </c>
      <c r="T217" s="431" t="s">
        <v>4289</v>
      </c>
      <c r="U217" s="431" t="s">
        <v>3700</v>
      </c>
      <c r="V217" s="431" t="s">
        <v>3701</v>
      </c>
      <c r="W217" s="432">
        <v>44111.594910624997</v>
      </c>
      <c r="X217" s="432">
        <v>44616.043776840277</v>
      </c>
      <c r="Y217" s="431"/>
      <c r="Z217" s="431"/>
      <c r="AA217" s="431"/>
      <c r="AB217" s="431"/>
      <c r="AC217" s="431"/>
      <c r="AD217" s="436">
        <f t="shared" si="3"/>
        <v>241</v>
      </c>
    </row>
    <row r="218" spans="1:30" ht="14">
      <c r="A218" s="431" t="s">
        <v>1015</v>
      </c>
      <c r="B218" s="431" t="s">
        <v>1016</v>
      </c>
      <c r="C218" s="431" t="s">
        <v>480</v>
      </c>
      <c r="D218" s="431" t="s">
        <v>1017</v>
      </c>
      <c r="E218" s="431" t="s">
        <v>1018</v>
      </c>
      <c r="F218" s="431">
        <v>437</v>
      </c>
      <c r="G218" s="431">
        <v>2004</v>
      </c>
      <c r="H218" s="431">
        <v>2026</v>
      </c>
      <c r="I218" s="431" t="b">
        <v>1</v>
      </c>
      <c r="J218" s="431" t="s">
        <v>891</v>
      </c>
      <c r="K218" s="431">
        <v>15700</v>
      </c>
      <c r="L218" s="431"/>
      <c r="M218" s="431"/>
      <c r="N218" s="431"/>
      <c r="O218" s="431" t="b">
        <v>1</v>
      </c>
      <c r="P218" s="431" t="b">
        <v>0</v>
      </c>
      <c r="Q218" s="431" t="s">
        <v>1019</v>
      </c>
      <c r="R218" s="431" t="s">
        <v>1020</v>
      </c>
      <c r="S218" s="431" t="s">
        <v>1021</v>
      </c>
      <c r="T218" s="431" t="s">
        <v>4290</v>
      </c>
      <c r="U218" s="431" t="s">
        <v>1022</v>
      </c>
      <c r="V218" s="431" t="s">
        <v>1023</v>
      </c>
      <c r="W218" s="432">
        <v>43585.592134386578</v>
      </c>
      <c r="X218" s="432">
        <v>44616.048258668983</v>
      </c>
      <c r="Y218" s="431"/>
      <c r="Z218" s="433">
        <v>40319</v>
      </c>
      <c r="AA218" s="433">
        <v>40415</v>
      </c>
      <c r="AB218" s="433">
        <v>40680</v>
      </c>
      <c r="AC218" s="433">
        <v>40722</v>
      </c>
      <c r="AD218" s="436">
        <f t="shared" si="3"/>
        <v>713.63636363636363</v>
      </c>
    </row>
    <row r="219" spans="1:30" ht="14">
      <c r="A219" s="431" t="s">
        <v>1015</v>
      </c>
      <c r="B219" s="431" t="s">
        <v>1016</v>
      </c>
      <c r="C219" s="431" t="s">
        <v>480</v>
      </c>
      <c r="D219" s="431" t="s">
        <v>1024</v>
      </c>
      <c r="E219" s="431" t="s">
        <v>1025</v>
      </c>
      <c r="F219" s="431">
        <v>2154</v>
      </c>
      <c r="G219" s="431">
        <v>2020</v>
      </c>
      <c r="H219" s="431">
        <v>2038</v>
      </c>
      <c r="I219" s="431" t="b">
        <v>1</v>
      </c>
      <c r="J219" s="431" t="s">
        <v>891</v>
      </c>
      <c r="K219" s="431">
        <v>7128</v>
      </c>
      <c r="L219" s="431"/>
      <c r="M219" s="431"/>
      <c r="N219" s="431"/>
      <c r="O219" s="431" t="b">
        <v>1</v>
      </c>
      <c r="P219" s="431" t="b">
        <v>0</v>
      </c>
      <c r="Q219" s="431" t="s">
        <v>4291</v>
      </c>
      <c r="R219" s="431" t="s">
        <v>1027</v>
      </c>
      <c r="S219" s="431" t="s">
        <v>4292</v>
      </c>
      <c r="T219" s="431"/>
      <c r="U219" s="431"/>
      <c r="V219" s="431" t="s">
        <v>4293</v>
      </c>
      <c r="W219" s="432">
        <v>43585.592117025466</v>
      </c>
      <c r="X219" s="432">
        <v>44616.04298766204</v>
      </c>
      <c r="Y219" s="431"/>
      <c r="Z219" s="433">
        <v>44484</v>
      </c>
      <c r="AA219" s="431"/>
      <c r="AB219" s="431"/>
      <c r="AC219" s="431"/>
      <c r="AD219" s="436">
        <f t="shared" si="3"/>
        <v>396</v>
      </c>
    </row>
    <row r="220" spans="1:30" ht="14">
      <c r="A220" s="431" t="s">
        <v>2183</v>
      </c>
      <c r="B220" s="431" t="s">
        <v>2184</v>
      </c>
      <c r="C220" s="431" t="s">
        <v>412</v>
      </c>
      <c r="D220" s="431" t="s">
        <v>2185</v>
      </c>
      <c r="E220" s="431" t="s">
        <v>2186</v>
      </c>
      <c r="F220" s="431">
        <v>1906</v>
      </c>
      <c r="G220" s="431">
        <v>2011</v>
      </c>
      <c r="H220" s="431">
        <v>2034</v>
      </c>
      <c r="I220" s="431" t="b">
        <v>1</v>
      </c>
      <c r="J220" s="431" t="s">
        <v>891</v>
      </c>
      <c r="K220" s="431">
        <v>12006</v>
      </c>
      <c r="L220" s="431"/>
      <c r="M220" s="431"/>
      <c r="N220" s="431"/>
      <c r="O220" s="431" t="b">
        <v>1</v>
      </c>
      <c r="P220" s="431" t="b">
        <v>0</v>
      </c>
      <c r="Q220" s="431" t="s">
        <v>2187</v>
      </c>
      <c r="R220" s="431" t="s">
        <v>2188</v>
      </c>
      <c r="S220" s="431" t="s">
        <v>2189</v>
      </c>
      <c r="T220" s="431"/>
      <c r="U220" s="431" t="s">
        <v>4294</v>
      </c>
      <c r="V220" s="431" t="s">
        <v>4295</v>
      </c>
      <c r="W220" s="432">
        <v>43585.592129988428</v>
      </c>
      <c r="X220" s="432">
        <v>44616.043526481481</v>
      </c>
      <c r="Y220" s="431"/>
      <c r="Z220" s="433">
        <v>43140</v>
      </c>
      <c r="AA220" s="433">
        <v>43235</v>
      </c>
      <c r="AB220" s="433">
        <v>43994</v>
      </c>
      <c r="AC220" s="433">
        <v>44042</v>
      </c>
      <c r="AD220" s="436">
        <f t="shared" si="3"/>
        <v>522</v>
      </c>
    </row>
    <row r="221" spans="1:30" ht="14">
      <c r="A221" s="431" t="s">
        <v>3641</v>
      </c>
      <c r="B221" s="431" t="s">
        <v>3642</v>
      </c>
      <c r="C221" s="431" t="s">
        <v>470</v>
      </c>
      <c r="D221" s="431" t="s">
        <v>751</v>
      </c>
      <c r="E221" s="431" t="s">
        <v>3643</v>
      </c>
      <c r="F221" s="431">
        <v>1585</v>
      </c>
      <c r="G221" s="431">
        <v>2011</v>
      </c>
      <c r="H221" s="431">
        <v>2031</v>
      </c>
      <c r="I221" s="431" t="b">
        <v>1</v>
      </c>
      <c r="J221" s="431" t="s">
        <v>891</v>
      </c>
      <c r="K221" s="431"/>
      <c r="L221" s="431"/>
      <c r="M221" s="431"/>
      <c r="N221" s="431">
        <v>17220</v>
      </c>
      <c r="O221" s="431" t="b">
        <v>1</v>
      </c>
      <c r="P221" s="431" t="b">
        <v>1</v>
      </c>
      <c r="Q221" s="431" t="s">
        <v>3644</v>
      </c>
      <c r="R221" s="431"/>
      <c r="S221" s="431"/>
      <c r="T221" s="431" t="s">
        <v>3645</v>
      </c>
      <c r="U221" s="431"/>
      <c r="V221" s="431" t="s">
        <v>3646</v>
      </c>
      <c r="W221" s="432">
        <v>43585.592133692131</v>
      </c>
      <c r="X221" s="432">
        <v>44616.044726932872</v>
      </c>
      <c r="Y221" s="431"/>
      <c r="Z221" s="433">
        <v>41816</v>
      </c>
      <c r="AA221" s="433">
        <v>42531</v>
      </c>
      <c r="AB221" s="433">
        <v>43354</v>
      </c>
      <c r="AC221" s="433">
        <v>43402</v>
      </c>
      <c r="AD221" s="436">
        <f t="shared" si="3"/>
        <v>861</v>
      </c>
    </row>
    <row r="222" spans="1:30" ht="14">
      <c r="A222" s="431" t="s">
        <v>2080</v>
      </c>
      <c r="B222" s="431" t="s">
        <v>2081</v>
      </c>
      <c r="C222" s="431" t="s">
        <v>430</v>
      </c>
      <c r="D222" s="431" t="s">
        <v>2082</v>
      </c>
      <c r="E222" s="431" t="s">
        <v>2083</v>
      </c>
      <c r="F222" s="431">
        <v>693</v>
      </c>
      <c r="G222" s="431">
        <v>2011</v>
      </c>
      <c r="H222" s="431">
        <v>2031</v>
      </c>
      <c r="I222" s="431" t="b">
        <v>1</v>
      </c>
      <c r="J222" s="431" t="s">
        <v>891</v>
      </c>
      <c r="K222" s="431">
        <v>17660</v>
      </c>
      <c r="L222" s="431"/>
      <c r="M222" s="431"/>
      <c r="N222" s="431"/>
      <c r="O222" s="431" t="b">
        <v>1</v>
      </c>
      <c r="P222" s="431" t="b">
        <v>0</v>
      </c>
      <c r="Q222" s="431" t="s">
        <v>2084</v>
      </c>
      <c r="R222" s="431" t="s">
        <v>2085</v>
      </c>
      <c r="S222" s="431" t="s">
        <v>4296</v>
      </c>
      <c r="T222" s="431"/>
      <c r="U222" s="431"/>
      <c r="V222" s="431" t="s">
        <v>2086</v>
      </c>
      <c r="W222" s="432">
        <v>43585.592131122685</v>
      </c>
      <c r="X222" s="432">
        <v>44616.04345902778</v>
      </c>
      <c r="Y222" s="431"/>
      <c r="Z222" s="433">
        <v>42405</v>
      </c>
      <c r="AA222" s="433">
        <v>42510</v>
      </c>
      <c r="AB222" s="433">
        <v>42943</v>
      </c>
      <c r="AC222" s="433">
        <v>43033</v>
      </c>
      <c r="AD222" s="436">
        <f t="shared" si="3"/>
        <v>883</v>
      </c>
    </row>
    <row r="223" spans="1:30" ht="14">
      <c r="A223" s="431" t="s">
        <v>2080</v>
      </c>
      <c r="B223" s="431" t="s">
        <v>2081</v>
      </c>
      <c r="C223" s="431" t="s">
        <v>430</v>
      </c>
      <c r="D223" s="431" t="s">
        <v>4297</v>
      </c>
      <c r="E223" s="431" t="s">
        <v>4298</v>
      </c>
      <c r="F223" s="431">
        <v>2125</v>
      </c>
      <c r="G223" s="431">
        <v>2022</v>
      </c>
      <c r="H223" s="431">
        <v>2037</v>
      </c>
      <c r="I223" s="431" t="b">
        <v>1</v>
      </c>
      <c r="J223" s="431" t="s">
        <v>891</v>
      </c>
      <c r="K223" s="431">
        <v>17746</v>
      </c>
      <c r="L223" s="431"/>
      <c r="M223" s="431"/>
      <c r="N223" s="431"/>
      <c r="O223" s="431" t="b">
        <v>1</v>
      </c>
      <c r="P223" s="431" t="b">
        <v>0</v>
      </c>
      <c r="Q223" s="431" t="s">
        <v>4299</v>
      </c>
      <c r="R223" s="431" t="s">
        <v>4300</v>
      </c>
      <c r="S223" s="431" t="s">
        <v>4301</v>
      </c>
      <c r="T223" s="431"/>
      <c r="U223" s="431" t="s">
        <v>4302</v>
      </c>
      <c r="V223" s="431" t="s">
        <v>4303</v>
      </c>
      <c r="W223" s="432">
        <v>44151.642985115737</v>
      </c>
      <c r="X223" s="432">
        <v>44616.043855474534</v>
      </c>
      <c r="Y223" s="431"/>
      <c r="Z223" s="433">
        <v>44498</v>
      </c>
      <c r="AA223" s="431"/>
      <c r="AB223" s="431"/>
      <c r="AC223" s="431"/>
      <c r="AD223" s="436">
        <f t="shared" si="3"/>
        <v>1183.0666666666666</v>
      </c>
    </row>
    <row r="224" spans="1:30" ht="14">
      <c r="A224" s="431" t="s">
        <v>3418</v>
      </c>
      <c r="B224" s="431" t="s">
        <v>3419</v>
      </c>
      <c r="C224" s="431" t="s">
        <v>468</v>
      </c>
      <c r="D224" s="431" t="s">
        <v>1647</v>
      </c>
      <c r="E224" s="431" t="s">
        <v>3420</v>
      </c>
      <c r="F224" s="431">
        <v>1876</v>
      </c>
      <c r="G224" s="431">
        <v>2018</v>
      </c>
      <c r="H224" s="431">
        <v>2033</v>
      </c>
      <c r="I224" s="431" t="b">
        <v>1</v>
      </c>
      <c r="J224" s="431" t="s">
        <v>891</v>
      </c>
      <c r="K224" s="431">
        <v>43000</v>
      </c>
      <c r="L224" s="431"/>
      <c r="M224" s="431"/>
      <c r="N224" s="431"/>
      <c r="O224" s="431" t="b">
        <v>1</v>
      </c>
      <c r="P224" s="431" t="b">
        <v>0</v>
      </c>
      <c r="Q224" s="431" t="s">
        <v>3421</v>
      </c>
      <c r="R224" s="431" t="s">
        <v>3422</v>
      </c>
      <c r="S224" s="431" t="s">
        <v>3423</v>
      </c>
      <c r="T224" s="431" t="s">
        <v>3424</v>
      </c>
      <c r="U224" s="431"/>
      <c r="V224" s="431" t="s">
        <v>3425</v>
      </c>
      <c r="W224" s="432">
        <v>43585.592133437502</v>
      </c>
      <c r="X224" s="432">
        <v>44616.042034537037</v>
      </c>
      <c r="Y224" s="431"/>
      <c r="Z224" s="433">
        <v>43067</v>
      </c>
      <c r="AA224" s="433">
        <v>43159</v>
      </c>
      <c r="AB224" s="433">
        <v>43430</v>
      </c>
      <c r="AC224" s="433">
        <v>43444</v>
      </c>
      <c r="AD224" s="436">
        <f t="shared" si="3"/>
        <v>2866.6666666666665</v>
      </c>
    </row>
    <row r="225" spans="1:30" ht="14">
      <c r="A225" s="431" t="s">
        <v>2279</v>
      </c>
      <c r="B225" s="431" t="s">
        <v>2280</v>
      </c>
      <c r="C225" s="431" t="s">
        <v>490</v>
      </c>
      <c r="D225" s="431" t="s">
        <v>4304</v>
      </c>
      <c r="E225" s="431" t="s">
        <v>2281</v>
      </c>
      <c r="F225" s="431">
        <v>1770</v>
      </c>
      <c r="G225" s="431">
        <v>2011</v>
      </c>
      <c r="H225" s="431">
        <v>2031</v>
      </c>
      <c r="I225" s="431" t="b">
        <v>1</v>
      </c>
      <c r="J225" s="431" t="s">
        <v>891</v>
      </c>
      <c r="K225" s="431">
        <v>9620</v>
      </c>
      <c r="L225" s="431"/>
      <c r="M225" s="431"/>
      <c r="N225" s="431"/>
      <c r="O225" s="431" t="b">
        <v>1</v>
      </c>
      <c r="P225" s="431" t="b">
        <v>0</v>
      </c>
      <c r="Q225" s="431" t="s">
        <v>2282</v>
      </c>
      <c r="R225" s="431" t="s">
        <v>2283</v>
      </c>
      <c r="S225" s="431" t="s">
        <v>2284</v>
      </c>
      <c r="T225" s="431"/>
      <c r="U225" s="431" t="s">
        <v>4305</v>
      </c>
      <c r="V225" s="431" t="s">
        <v>2285</v>
      </c>
      <c r="W225" s="432">
        <v>43585.592135682869</v>
      </c>
      <c r="X225" s="432">
        <v>44616.047084201389</v>
      </c>
      <c r="Y225" s="431"/>
      <c r="Z225" s="433">
        <v>42555</v>
      </c>
      <c r="AA225" s="433">
        <v>42647</v>
      </c>
      <c r="AB225" s="433">
        <v>43020</v>
      </c>
      <c r="AC225" s="433">
        <v>43060</v>
      </c>
      <c r="AD225" s="436">
        <f t="shared" si="3"/>
        <v>481</v>
      </c>
    </row>
    <row r="226" spans="1:30" ht="14">
      <c r="A226" s="431" t="s">
        <v>2279</v>
      </c>
      <c r="B226" s="431" t="s">
        <v>2280</v>
      </c>
      <c r="C226" s="431" t="s">
        <v>490</v>
      </c>
      <c r="D226" s="431" t="s">
        <v>2286</v>
      </c>
      <c r="E226" s="431" t="s">
        <v>4306</v>
      </c>
      <c r="F226" s="431">
        <v>2123</v>
      </c>
      <c r="G226" s="431">
        <v>2022</v>
      </c>
      <c r="H226" s="431">
        <v>2039</v>
      </c>
      <c r="I226" s="431" t="b">
        <v>1</v>
      </c>
      <c r="J226" s="431"/>
      <c r="K226" s="431"/>
      <c r="L226" s="431"/>
      <c r="M226" s="431"/>
      <c r="N226" s="431"/>
      <c r="O226" s="431" t="b">
        <v>0</v>
      </c>
      <c r="P226" s="431" t="b">
        <v>0</v>
      </c>
      <c r="Q226" s="431"/>
      <c r="R226" s="431"/>
      <c r="S226" s="431"/>
      <c r="T226" s="431"/>
      <c r="U226" s="431"/>
      <c r="V226" s="431"/>
      <c r="W226" s="432">
        <v>44384.462036331017</v>
      </c>
      <c r="X226" s="432">
        <v>44384.462497824075</v>
      </c>
      <c r="Y226" s="431" t="s">
        <v>978</v>
      </c>
      <c r="Z226" s="431"/>
      <c r="AA226" s="431"/>
      <c r="AB226" s="431"/>
      <c r="AC226" s="431"/>
      <c r="AD226" s="436" t="str">
        <f t="shared" si="3"/>
        <v/>
      </c>
    </row>
    <row r="227" spans="1:30" ht="14">
      <c r="A227" s="431" t="s">
        <v>2005</v>
      </c>
      <c r="B227" s="431" t="s">
        <v>2006</v>
      </c>
      <c r="C227" s="431" t="s">
        <v>476</v>
      </c>
      <c r="D227" s="431" t="s">
        <v>2007</v>
      </c>
      <c r="E227" s="431" t="s">
        <v>2008</v>
      </c>
      <c r="F227" s="431">
        <v>1792</v>
      </c>
      <c r="G227" s="431">
        <v>2011</v>
      </c>
      <c r="H227" s="431">
        <v>2031</v>
      </c>
      <c r="I227" s="431" t="b">
        <v>1</v>
      </c>
      <c r="J227" s="431" t="s">
        <v>891</v>
      </c>
      <c r="K227" s="431">
        <v>14000</v>
      </c>
      <c r="L227" s="431"/>
      <c r="M227" s="431"/>
      <c r="N227" s="431"/>
      <c r="O227" s="431" t="b">
        <v>1</v>
      </c>
      <c r="P227" s="431" t="b">
        <v>0</v>
      </c>
      <c r="Q227" s="431" t="s">
        <v>2009</v>
      </c>
      <c r="R227" s="431" t="s">
        <v>2010</v>
      </c>
      <c r="S227" s="431" t="s">
        <v>2011</v>
      </c>
      <c r="T227" s="431"/>
      <c r="U227" s="431"/>
      <c r="V227" s="431" t="s">
        <v>2012</v>
      </c>
      <c r="W227" s="432">
        <v>43585.592139282409</v>
      </c>
      <c r="X227" s="432">
        <v>44616.048060995374</v>
      </c>
      <c r="Y227" s="431"/>
      <c r="Z227" s="433">
        <v>42662</v>
      </c>
      <c r="AA227" s="433">
        <v>42895</v>
      </c>
      <c r="AB227" s="431"/>
      <c r="AC227" s="431"/>
      <c r="AD227" s="436">
        <f t="shared" si="3"/>
        <v>700</v>
      </c>
    </row>
    <row r="228" spans="1:30" ht="14">
      <c r="A228" s="431" t="s">
        <v>3628</v>
      </c>
      <c r="B228" s="431" t="s">
        <v>831</v>
      </c>
      <c r="C228" s="431" t="s">
        <v>512</v>
      </c>
      <c r="D228" s="431" t="s">
        <v>749</v>
      </c>
      <c r="E228" s="431" t="s">
        <v>3629</v>
      </c>
      <c r="F228" s="431">
        <v>1819</v>
      </c>
      <c r="G228" s="431">
        <v>2014</v>
      </c>
      <c r="H228" s="431">
        <v>2034</v>
      </c>
      <c r="I228" s="431" t="b">
        <v>1</v>
      </c>
      <c r="J228" s="431" t="s">
        <v>891</v>
      </c>
      <c r="K228" s="431"/>
      <c r="L228" s="431"/>
      <c r="M228" s="431"/>
      <c r="N228" s="431">
        <v>26700</v>
      </c>
      <c r="O228" s="431" t="b">
        <v>1</v>
      </c>
      <c r="P228" s="431" t="b">
        <v>1</v>
      </c>
      <c r="Q228" s="431" t="s">
        <v>3630</v>
      </c>
      <c r="R228" s="431"/>
      <c r="S228" s="431"/>
      <c r="T228" s="431" t="s">
        <v>3631</v>
      </c>
      <c r="U228" s="431"/>
      <c r="V228" s="431" t="s">
        <v>3632</v>
      </c>
      <c r="W228" s="432">
        <v>43585.592142037036</v>
      </c>
      <c r="X228" s="432">
        <v>44616.042032048608</v>
      </c>
      <c r="Y228" s="431"/>
      <c r="Z228" s="433">
        <v>42809</v>
      </c>
      <c r="AA228" s="433">
        <v>42947</v>
      </c>
      <c r="AB228" s="433">
        <v>43542</v>
      </c>
      <c r="AC228" s="433">
        <v>43550</v>
      </c>
      <c r="AD228" s="436">
        <f t="shared" si="3"/>
        <v>1335</v>
      </c>
    </row>
    <row r="229" spans="1:30" ht="14">
      <c r="A229" s="431" t="s">
        <v>1006</v>
      </c>
      <c r="B229" s="431" t="s">
        <v>1007</v>
      </c>
      <c r="C229" s="431" t="s">
        <v>474</v>
      </c>
      <c r="D229" s="431" t="s">
        <v>1008</v>
      </c>
      <c r="E229" s="431" t="s">
        <v>1009</v>
      </c>
      <c r="F229" s="431">
        <v>1747</v>
      </c>
      <c r="G229" s="431">
        <v>2013</v>
      </c>
      <c r="H229" s="431">
        <v>2032</v>
      </c>
      <c r="I229" s="431" t="b">
        <v>1</v>
      </c>
      <c r="J229" s="431" t="s">
        <v>891</v>
      </c>
      <c r="K229" s="431">
        <v>9742</v>
      </c>
      <c r="L229" s="431"/>
      <c r="M229" s="431"/>
      <c r="N229" s="431"/>
      <c r="O229" s="431" t="b">
        <v>1</v>
      </c>
      <c r="P229" s="431" t="b">
        <v>0</v>
      </c>
      <c r="Q229" s="431" t="s">
        <v>1010</v>
      </c>
      <c r="R229" s="431" t="s">
        <v>1011</v>
      </c>
      <c r="S229" s="431" t="s">
        <v>1012</v>
      </c>
      <c r="T229" s="431" t="s">
        <v>1013</v>
      </c>
      <c r="U229" s="431"/>
      <c r="V229" s="431" t="s">
        <v>1014</v>
      </c>
      <c r="W229" s="432">
        <v>43585.592134942126</v>
      </c>
      <c r="X229" s="432">
        <v>44616.046966886577</v>
      </c>
      <c r="Y229" s="431"/>
      <c r="Z229" s="433">
        <v>42429</v>
      </c>
      <c r="AA229" s="433">
        <v>42725</v>
      </c>
      <c r="AB229" s="433">
        <v>43138</v>
      </c>
      <c r="AC229" s="433">
        <v>43181</v>
      </c>
      <c r="AD229" s="436">
        <f t="shared" si="3"/>
        <v>512.73684210526312</v>
      </c>
    </row>
    <row r="230" spans="1:30" ht="14">
      <c r="A230" s="431" t="s">
        <v>3776</v>
      </c>
      <c r="B230" s="431" t="s">
        <v>3777</v>
      </c>
      <c r="C230" s="431" t="s">
        <v>492</v>
      </c>
      <c r="D230" s="431" t="s">
        <v>3761</v>
      </c>
      <c r="E230" s="431" t="s">
        <v>3762</v>
      </c>
      <c r="F230" s="431">
        <v>803</v>
      </c>
      <c r="G230" s="431">
        <v>2011</v>
      </c>
      <c r="H230" s="431">
        <v>2029</v>
      </c>
      <c r="I230" s="431" t="b">
        <v>1</v>
      </c>
      <c r="J230" s="431" t="s">
        <v>891</v>
      </c>
      <c r="K230" s="431">
        <v>18870</v>
      </c>
      <c r="L230" s="431"/>
      <c r="M230" s="431"/>
      <c r="N230" s="431"/>
      <c r="O230" s="431" t="b">
        <v>1</v>
      </c>
      <c r="P230" s="431" t="b">
        <v>1</v>
      </c>
      <c r="Q230" s="431" t="s">
        <v>3763</v>
      </c>
      <c r="R230" s="431"/>
      <c r="S230" s="431"/>
      <c r="T230" s="431" t="s">
        <v>3764</v>
      </c>
      <c r="U230" s="431"/>
      <c r="V230" s="431" t="s">
        <v>3765</v>
      </c>
      <c r="W230" s="432">
        <v>43585.592135486113</v>
      </c>
      <c r="X230" s="432">
        <v>44616.042630821757</v>
      </c>
      <c r="Y230" s="431"/>
      <c r="Z230" s="433">
        <v>40591</v>
      </c>
      <c r="AA230" s="433">
        <v>41274</v>
      </c>
      <c r="AB230" s="433">
        <v>41914</v>
      </c>
      <c r="AC230" s="433">
        <v>41988</v>
      </c>
      <c r="AD230" s="436">
        <f t="shared" si="3"/>
        <v>1048.3333333333333</v>
      </c>
    </row>
    <row r="231" spans="1:30" ht="14">
      <c r="A231" s="431" t="s">
        <v>3776</v>
      </c>
      <c r="B231" s="431" t="s">
        <v>3777</v>
      </c>
      <c r="C231" s="431" t="s">
        <v>492</v>
      </c>
      <c r="D231" s="431" t="s">
        <v>3766</v>
      </c>
      <c r="E231" s="431" t="s">
        <v>3767</v>
      </c>
      <c r="F231" s="431">
        <v>2086</v>
      </c>
      <c r="G231" s="431">
        <v>2019</v>
      </c>
      <c r="H231" s="431">
        <v>2041</v>
      </c>
      <c r="I231" s="431" t="b">
        <v>1</v>
      </c>
      <c r="J231" s="431" t="s">
        <v>891</v>
      </c>
      <c r="K231" s="431">
        <v>29326</v>
      </c>
      <c r="L231" s="431"/>
      <c r="M231" s="431"/>
      <c r="N231" s="431"/>
      <c r="O231" s="431" t="b">
        <v>1</v>
      </c>
      <c r="P231" s="431" t="b">
        <v>1</v>
      </c>
      <c r="Q231" s="431" t="s">
        <v>3768</v>
      </c>
      <c r="R231" s="431"/>
      <c r="S231" s="431"/>
      <c r="T231" s="431" t="s">
        <v>3769</v>
      </c>
      <c r="U231" s="431" t="s">
        <v>3770</v>
      </c>
      <c r="V231" s="431" t="s">
        <v>3771</v>
      </c>
      <c r="W231" s="432">
        <v>44146.588348425925</v>
      </c>
      <c r="X231" s="432">
        <v>44616.048069027776</v>
      </c>
      <c r="Y231" s="431"/>
      <c r="Z231" s="431"/>
      <c r="AA231" s="431"/>
      <c r="AB231" s="431"/>
      <c r="AC231" s="431"/>
      <c r="AD231" s="436">
        <f t="shared" si="3"/>
        <v>1333</v>
      </c>
    </row>
    <row r="232" spans="1:30" ht="14">
      <c r="A232" s="431" t="s">
        <v>1153</v>
      </c>
      <c r="B232" s="431" t="s">
        <v>1154</v>
      </c>
      <c r="C232" s="431" t="s">
        <v>1155</v>
      </c>
      <c r="D232" s="431" t="s">
        <v>1156</v>
      </c>
      <c r="E232" s="431" t="s">
        <v>1157</v>
      </c>
      <c r="F232" s="431">
        <v>1850</v>
      </c>
      <c r="G232" s="431">
        <v>2013</v>
      </c>
      <c r="H232" s="431">
        <v>2033</v>
      </c>
      <c r="I232" s="431" t="b">
        <v>1</v>
      </c>
      <c r="J232" s="431" t="s">
        <v>891</v>
      </c>
      <c r="K232" s="431">
        <v>14200</v>
      </c>
      <c r="L232" s="431"/>
      <c r="M232" s="431"/>
      <c r="N232" s="431"/>
      <c r="O232" s="431" t="b">
        <v>1</v>
      </c>
      <c r="P232" s="431" t="b">
        <v>0</v>
      </c>
      <c r="Q232" s="431" t="s">
        <v>1158</v>
      </c>
      <c r="R232" s="431" t="s">
        <v>1159</v>
      </c>
      <c r="S232" s="431" t="s">
        <v>1160</v>
      </c>
      <c r="T232" s="431" t="s">
        <v>1161</v>
      </c>
      <c r="U232" s="431" t="s">
        <v>1162</v>
      </c>
      <c r="V232" s="431" t="s">
        <v>1163</v>
      </c>
      <c r="W232" s="432">
        <v>43585.592137789354</v>
      </c>
      <c r="X232" s="432">
        <v>44616.047724398151</v>
      </c>
      <c r="Y232" s="431"/>
      <c r="Z232" s="433">
        <v>42947</v>
      </c>
      <c r="AA232" s="433">
        <v>43063</v>
      </c>
      <c r="AB232" s="433">
        <v>43397</v>
      </c>
      <c r="AC232" s="433">
        <v>43417</v>
      </c>
      <c r="AD232" s="436">
        <f t="shared" si="3"/>
        <v>710</v>
      </c>
    </row>
    <row r="233" spans="1:30" ht="14">
      <c r="A233" s="431" t="s">
        <v>2376</v>
      </c>
      <c r="B233" s="431" t="s">
        <v>2377</v>
      </c>
      <c r="C233" s="431" t="s">
        <v>532</v>
      </c>
      <c r="D233" s="431" t="s">
        <v>2378</v>
      </c>
      <c r="E233" s="431" t="s">
        <v>2379</v>
      </c>
      <c r="F233" s="431">
        <v>1345</v>
      </c>
      <c r="G233" s="431">
        <v>2012</v>
      </c>
      <c r="H233" s="431">
        <v>2028</v>
      </c>
      <c r="I233" s="431" t="b">
        <v>1</v>
      </c>
      <c r="J233" s="431" t="s">
        <v>907</v>
      </c>
      <c r="K233" s="431">
        <v>180</v>
      </c>
      <c r="L233" s="431"/>
      <c r="M233" s="431"/>
      <c r="N233" s="431"/>
      <c r="O233" s="431" t="b">
        <v>1</v>
      </c>
      <c r="P233" s="431" t="b">
        <v>0</v>
      </c>
      <c r="Q233" s="431" t="s">
        <v>2380</v>
      </c>
      <c r="R233" s="431" t="s">
        <v>2381</v>
      </c>
      <c r="S233" s="431" t="s">
        <v>2382</v>
      </c>
      <c r="T233" s="431"/>
      <c r="U233" s="431"/>
      <c r="V233" s="431" t="s">
        <v>2383</v>
      </c>
      <c r="W233" s="432">
        <v>43585.592139537039</v>
      </c>
      <c r="X233" s="432">
        <v>44616.048703402776</v>
      </c>
      <c r="Y233" s="431"/>
      <c r="Z233" s="433">
        <v>41124</v>
      </c>
      <c r="AA233" s="433">
        <v>41330</v>
      </c>
      <c r="AB233" s="433">
        <v>41932</v>
      </c>
      <c r="AC233" s="433">
        <v>41982</v>
      </c>
      <c r="AD233" s="436">
        <f t="shared" si="3"/>
        <v>180</v>
      </c>
    </row>
    <row r="234" spans="1:30" ht="14">
      <c r="A234" s="431" t="s">
        <v>2376</v>
      </c>
      <c r="B234" s="431" t="s">
        <v>2377</v>
      </c>
      <c r="C234" s="431" t="s">
        <v>532</v>
      </c>
      <c r="D234" s="431" t="s">
        <v>4307</v>
      </c>
      <c r="E234" s="431" t="s">
        <v>2384</v>
      </c>
      <c r="F234" s="431">
        <v>2134</v>
      </c>
      <c r="G234" s="431">
        <v>2018</v>
      </c>
      <c r="H234" s="431">
        <v>2039</v>
      </c>
      <c r="I234" s="431" t="b">
        <v>1</v>
      </c>
      <c r="J234" s="431" t="s">
        <v>907</v>
      </c>
      <c r="K234" s="431">
        <v>160</v>
      </c>
      <c r="L234" s="431"/>
      <c r="M234" s="431"/>
      <c r="N234" s="431"/>
      <c r="O234" s="431" t="b">
        <v>1</v>
      </c>
      <c r="P234" s="431" t="b">
        <v>0</v>
      </c>
      <c r="Q234" s="431" t="s">
        <v>4308</v>
      </c>
      <c r="R234" s="431" t="s">
        <v>2385</v>
      </c>
      <c r="S234" s="431" t="s">
        <v>4309</v>
      </c>
      <c r="T234" s="431"/>
      <c r="U234" s="431"/>
      <c r="V234" s="431" t="s">
        <v>4310</v>
      </c>
      <c r="W234" s="432">
        <v>43670.664892615743</v>
      </c>
      <c r="X234" s="432">
        <v>44616.04596653935</v>
      </c>
      <c r="Y234" s="431"/>
      <c r="Z234" s="431"/>
      <c r="AA234" s="431"/>
      <c r="AB234" s="431"/>
      <c r="AC234" s="431"/>
      <c r="AD234" s="436">
        <f t="shared" si="3"/>
        <v>160</v>
      </c>
    </row>
    <row r="235" spans="1:30" ht="14">
      <c r="A235" s="431" t="s">
        <v>2543</v>
      </c>
      <c r="B235" s="431" t="s">
        <v>2544</v>
      </c>
      <c r="C235" s="431" t="s">
        <v>422</v>
      </c>
      <c r="D235" s="431" t="s">
        <v>2545</v>
      </c>
      <c r="E235" s="431" t="s">
        <v>2546</v>
      </c>
      <c r="F235" s="431">
        <v>1333</v>
      </c>
      <c r="G235" s="431">
        <v>2008</v>
      </c>
      <c r="H235" s="431">
        <v>2029</v>
      </c>
      <c r="I235" s="431" t="b">
        <v>1</v>
      </c>
      <c r="J235" s="431" t="s">
        <v>891</v>
      </c>
      <c r="K235" s="431">
        <v>10030</v>
      </c>
      <c r="L235" s="431"/>
      <c r="M235" s="431"/>
      <c r="N235" s="431"/>
      <c r="O235" s="431" t="b">
        <v>1</v>
      </c>
      <c r="P235" s="431" t="b">
        <v>0</v>
      </c>
      <c r="Q235" s="431" t="s">
        <v>2547</v>
      </c>
      <c r="R235" s="431"/>
      <c r="S235" s="431"/>
      <c r="T235" s="431" t="s">
        <v>2548</v>
      </c>
      <c r="U235" s="431" t="s">
        <v>4311</v>
      </c>
      <c r="V235" s="431" t="s">
        <v>2549</v>
      </c>
      <c r="W235" s="432">
        <v>43585.592130763886</v>
      </c>
      <c r="X235" s="432">
        <v>44616.043248344904</v>
      </c>
      <c r="Y235" s="431"/>
      <c r="Z235" s="433">
        <v>41120</v>
      </c>
      <c r="AA235" s="433">
        <v>41355</v>
      </c>
      <c r="AB235" s="433">
        <v>42020</v>
      </c>
      <c r="AC235" s="433">
        <v>42052</v>
      </c>
      <c r="AD235" s="436">
        <f t="shared" si="3"/>
        <v>477.61904761904759</v>
      </c>
    </row>
    <row r="236" spans="1:30" ht="14">
      <c r="A236" s="431" t="s">
        <v>2543</v>
      </c>
      <c r="B236" s="431" t="s">
        <v>2544</v>
      </c>
      <c r="C236" s="431" t="s">
        <v>422</v>
      </c>
      <c r="D236" s="431" t="s">
        <v>1647</v>
      </c>
      <c r="E236" s="431" t="s">
        <v>2550</v>
      </c>
      <c r="F236" s="431">
        <v>2152</v>
      </c>
      <c r="G236" s="431">
        <v>2018</v>
      </c>
      <c r="H236" s="431">
        <v>2040</v>
      </c>
      <c r="I236" s="431" t="b">
        <v>1</v>
      </c>
      <c r="J236" s="431" t="s">
        <v>891</v>
      </c>
      <c r="K236" s="431">
        <v>9727</v>
      </c>
      <c r="L236" s="431"/>
      <c r="M236" s="431"/>
      <c r="N236" s="431"/>
      <c r="O236" s="431" t="b">
        <v>1</v>
      </c>
      <c r="P236" s="431" t="b">
        <v>0</v>
      </c>
      <c r="Q236" s="431" t="s">
        <v>4312</v>
      </c>
      <c r="R236" s="431" t="s">
        <v>2551</v>
      </c>
      <c r="S236" s="431" t="s">
        <v>4313</v>
      </c>
      <c r="T236" s="431" t="s">
        <v>4314</v>
      </c>
      <c r="U236" s="431" t="s">
        <v>4315</v>
      </c>
      <c r="V236" s="431" t="s">
        <v>4316</v>
      </c>
      <c r="W236" s="432">
        <v>43585.592114884261</v>
      </c>
      <c r="X236" s="432">
        <v>44616.042038680556</v>
      </c>
      <c r="Y236" s="431"/>
      <c r="Z236" s="433">
        <v>44382</v>
      </c>
      <c r="AA236" s="431"/>
      <c r="AB236" s="431"/>
      <c r="AC236" s="431"/>
      <c r="AD236" s="436">
        <f t="shared" si="3"/>
        <v>442.13636363636363</v>
      </c>
    </row>
    <row r="237" spans="1:30" ht="14">
      <c r="A237" s="431" t="s">
        <v>2431</v>
      </c>
      <c r="B237" s="431" t="s">
        <v>2432</v>
      </c>
      <c r="C237" s="431" t="s">
        <v>462</v>
      </c>
      <c r="D237" s="431" t="s">
        <v>2107</v>
      </c>
      <c r="E237" s="431" t="s">
        <v>2433</v>
      </c>
      <c r="F237" s="431">
        <v>1847</v>
      </c>
      <c r="G237" s="431">
        <v>2013</v>
      </c>
      <c r="H237" s="431">
        <v>2033</v>
      </c>
      <c r="I237" s="431" t="b">
        <v>1</v>
      </c>
      <c r="J237" s="431" t="s">
        <v>891</v>
      </c>
      <c r="K237" s="431">
        <v>9080</v>
      </c>
      <c r="L237" s="431"/>
      <c r="M237" s="431"/>
      <c r="N237" s="431"/>
      <c r="O237" s="431" t="b">
        <v>1</v>
      </c>
      <c r="P237" s="431" t="b">
        <v>0</v>
      </c>
      <c r="Q237" s="431" t="s">
        <v>2434</v>
      </c>
      <c r="R237" s="431" t="s">
        <v>2435</v>
      </c>
      <c r="S237" s="431" t="s">
        <v>2436</v>
      </c>
      <c r="T237" s="431" t="s">
        <v>2437</v>
      </c>
      <c r="U237" s="431"/>
      <c r="V237" s="431" t="s">
        <v>2438</v>
      </c>
      <c r="W237" s="432">
        <v>43585.592133761573</v>
      </c>
      <c r="X237" s="432">
        <v>44616.044732337963</v>
      </c>
      <c r="Y237" s="431"/>
      <c r="Z237" s="433">
        <v>42933</v>
      </c>
      <c r="AA237" s="433">
        <v>43007</v>
      </c>
      <c r="AB237" s="433">
        <v>43521</v>
      </c>
      <c r="AC237" s="433">
        <v>43531</v>
      </c>
      <c r="AD237" s="436">
        <f t="shared" si="3"/>
        <v>454</v>
      </c>
    </row>
    <row r="238" spans="1:30" ht="14">
      <c r="A238" s="431" t="s">
        <v>1670</v>
      </c>
      <c r="B238" s="431" t="s">
        <v>1671</v>
      </c>
      <c r="C238" s="431" t="s">
        <v>1672</v>
      </c>
      <c r="D238" s="431" t="s">
        <v>1673</v>
      </c>
      <c r="E238" s="431" t="s">
        <v>1674</v>
      </c>
      <c r="F238" s="431">
        <v>1514</v>
      </c>
      <c r="G238" s="431">
        <v>2011</v>
      </c>
      <c r="H238" s="431">
        <v>2031</v>
      </c>
      <c r="I238" s="431" t="b">
        <v>1</v>
      </c>
      <c r="J238" s="431" t="s">
        <v>891</v>
      </c>
      <c r="K238" s="431">
        <v>5700</v>
      </c>
      <c r="L238" s="431"/>
      <c r="M238" s="431"/>
      <c r="N238" s="431"/>
      <c r="O238" s="431" t="b">
        <v>1</v>
      </c>
      <c r="P238" s="431" t="b">
        <v>0</v>
      </c>
      <c r="Q238" s="431" t="s">
        <v>1675</v>
      </c>
      <c r="R238" s="431" t="s">
        <v>1676</v>
      </c>
      <c r="S238" s="431" t="s">
        <v>1677</v>
      </c>
      <c r="T238" s="431" t="s">
        <v>4317</v>
      </c>
      <c r="U238" s="431"/>
      <c r="V238" s="431" t="s">
        <v>1678</v>
      </c>
      <c r="W238" s="432">
        <v>43585.592135196763</v>
      </c>
      <c r="X238" s="432">
        <v>44616.047241527776</v>
      </c>
      <c r="Y238" s="431"/>
      <c r="Z238" s="433">
        <v>41607</v>
      </c>
      <c r="AA238" s="433">
        <v>41978</v>
      </c>
      <c r="AB238" s="433">
        <v>42355</v>
      </c>
      <c r="AC238" s="433">
        <v>42384</v>
      </c>
      <c r="AD238" s="436">
        <f t="shared" si="3"/>
        <v>285</v>
      </c>
    </row>
    <row r="239" spans="1:30" ht="14">
      <c r="A239" s="431" t="s">
        <v>2423</v>
      </c>
      <c r="B239" s="431" t="s">
        <v>2424</v>
      </c>
      <c r="C239" s="431" t="s">
        <v>438</v>
      </c>
      <c r="D239" s="431" t="s">
        <v>2425</v>
      </c>
      <c r="E239" s="431" t="s">
        <v>2426</v>
      </c>
      <c r="F239" s="431">
        <v>1939</v>
      </c>
      <c r="G239" s="431">
        <v>2013</v>
      </c>
      <c r="H239" s="431">
        <v>2033</v>
      </c>
      <c r="I239" s="431" t="b">
        <v>1</v>
      </c>
      <c r="J239" s="431" t="s">
        <v>891</v>
      </c>
      <c r="K239" s="431">
        <v>6500</v>
      </c>
      <c r="L239" s="431"/>
      <c r="M239" s="431"/>
      <c r="N239" s="431"/>
      <c r="O239" s="431" t="b">
        <v>1</v>
      </c>
      <c r="P239" s="431" t="b">
        <v>0</v>
      </c>
      <c r="Q239" s="431" t="s">
        <v>2427</v>
      </c>
      <c r="R239" s="431" t="s">
        <v>2428</v>
      </c>
      <c r="S239" s="431" t="s">
        <v>2429</v>
      </c>
      <c r="T239" s="431" t="s">
        <v>4318</v>
      </c>
      <c r="U239" s="431"/>
      <c r="V239" s="431" t="s">
        <v>2430</v>
      </c>
      <c r="W239" s="432">
        <v>43585.592131423611</v>
      </c>
      <c r="X239" s="432">
        <v>44616.048135590281</v>
      </c>
      <c r="Y239" s="431"/>
      <c r="Z239" s="433">
        <v>43363</v>
      </c>
      <c r="AA239" s="433">
        <v>43455</v>
      </c>
      <c r="AB239" s="433">
        <v>43921</v>
      </c>
      <c r="AC239" s="433">
        <v>44082</v>
      </c>
      <c r="AD239" s="436">
        <f t="shared" si="3"/>
        <v>325</v>
      </c>
    </row>
    <row r="240" spans="1:30" ht="14">
      <c r="A240" s="431" t="s">
        <v>2974</v>
      </c>
      <c r="B240" s="431" t="s">
        <v>2975</v>
      </c>
      <c r="C240" s="431" t="s">
        <v>504</v>
      </c>
      <c r="D240" s="431" t="s">
        <v>2976</v>
      </c>
      <c r="E240" s="431" t="s">
        <v>2977</v>
      </c>
      <c r="F240" s="431">
        <v>1161</v>
      </c>
      <c r="G240" s="431">
        <v>2010</v>
      </c>
      <c r="H240" s="431">
        <v>2026</v>
      </c>
      <c r="I240" s="431" t="b">
        <v>1</v>
      </c>
      <c r="J240" s="431" t="s">
        <v>907</v>
      </c>
      <c r="K240" s="431">
        <v>289</v>
      </c>
      <c r="L240" s="431"/>
      <c r="M240" s="431"/>
      <c r="N240" s="431"/>
      <c r="O240" s="431" t="b">
        <v>1</v>
      </c>
      <c r="P240" s="431" t="b">
        <v>0</v>
      </c>
      <c r="Q240" s="431" t="s">
        <v>2978</v>
      </c>
      <c r="R240" s="431" t="s">
        <v>2979</v>
      </c>
      <c r="S240" s="431" t="s">
        <v>2980</v>
      </c>
      <c r="T240" s="431" t="s">
        <v>4319</v>
      </c>
      <c r="U240" s="431"/>
      <c r="V240" s="431" t="s">
        <v>2981</v>
      </c>
      <c r="W240" s="432">
        <v>43585.592136921296</v>
      </c>
      <c r="X240" s="432">
        <v>44616.044467546293</v>
      </c>
      <c r="Y240" s="431"/>
      <c r="Z240" s="433">
        <v>40465</v>
      </c>
      <c r="AA240" s="433">
        <v>40602</v>
      </c>
      <c r="AB240" s="433">
        <v>40785</v>
      </c>
      <c r="AC240" s="433">
        <v>40856</v>
      </c>
      <c r="AD240" s="436">
        <f t="shared" si="3"/>
        <v>289</v>
      </c>
    </row>
    <row r="241" spans="1:30" ht="14">
      <c r="A241" s="431" t="s">
        <v>2974</v>
      </c>
      <c r="B241" s="431" t="s">
        <v>2975</v>
      </c>
      <c r="C241" s="431" t="s">
        <v>504</v>
      </c>
      <c r="D241" s="431" t="s">
        <v>4320</v>
      </c>
      <c r="E241" s="431" t="s">
        <v>4321</v>
      </c>
      <c r="F241" s="431">
        <v>2169</v>
      </c>
      <c r="G241" s="431">
        <v>2017</v>
      </c>
      <c r="H241" s="431">
        <v>2032</v>
      </c>
      <c r="I241" s="431" t="b">
        <v>1</v>
      </c>
      <c r="J241" s="431"/>
      <c r="K241" s="431"/>
      <c r="L241" s="431"/>
      <c r="M241" s="431"/>
      <c r="N241" s="431"/>
      <c r="O241" s="431" t="b">
        <v>0</v>
      </c>
      <c r="P241" s="431" t="b">
        <v>0</v>
      </c>
      <c r="Q241" s="431"/>
      <c r="R241" s="431"/>
      <c r="S241" s="431"/>
      <c r="T241" s="431"/>
      <c r="U241" s="431"/>
      <c r="V241" s="431"/>
      <c r="W241" s="432">
        <v>44376.484387222219</v>
      </c>
      <c r="X241" s="432">
        <v>44376.484816215278</v>
      </c>
      <c r="Y241" s="431" t="s">
        <v>978</v>
      </c>
      <c r="Z241" s="431"/>
      <c r="AA241" s="431"/>
      <c r="AB241" s="431"/>
      <c r="AC241" s="431"/>
      <c r="AD241" s="436" t="str">
        <f t="shared" si="3"/>
        <v/>
      </c>
    </row>
    <row r="242" spans="1:30" ht="14">
      <c r="A242" s="431" t="s">
        <v>2974</v>
      </c>
      <c r="B242" s="431" t="s">
        <v>2975</v>
      </c>
      <c r="C242" s="431" t="s">
        <v>504</v>
      </c>
      <c r="D242" s="431" t="s">
        <v>4103</v>
      </c>
      <c r="E242" s="431" t="s">
        <v>4104</v>
      </c>
      <c r="F242" s="431">
        <v>2175</v>
      </c>
      <c r="G242" s="431">
        <v>2021</v>
      </c>
      <c r="H242" s="431">
        <v>2037</v>
      </c>
      <c r="I242" s="431" t="b">
        <v>1</v>
      </c>
      <c r="J242" s="431" t="s">
        <v>891</v>
      </c>
      <c r="K242" s="431">
        <v>10884</v>
      </c>
      <c r="L242" s="431"/>
      <c r="M242" s="431"/>
      <c r="N242" s="431"/>
      <c r="O242" s="431" t="b">
        <v>1</v>
      </c>
      <c r="P242" s="431" t="b">
        <v>1</v>
      </c>
      <c r="Q242" s="431" t="s">
        <v>4105</v>
      </c>
      <c r="R242" s="431" t="s">
        <v>4106</v>
      </c>
      <c r="S242" s="431" t="s">
        <v>4107</v>
      </c>
      <c r="T242" s="431"/>
      <c r="U242" s="431" t="s">
        <v>4108</v>
      </c>
      <c r="V242" s="431" t="s">
        <v>4109</v>
      </c>
      <c r="W242" s="432">
        <v>44379.364462708334</v>
      </c>
      <c r="X242" s="432">
        <v>44616.048371481484</v>
      </c>
      <c r="Y242" s="431"/>
      <c r="Z242" s="433">
        <v>44417</v>
      </c>
      <c r="AA242" s="431"/>
      <c r="AB242" s="431"/>
      <c r="AC242" s="431"/>
      <c r="AD242" s="436">
        <f t="shared" si="3"/>
        <v>680.25</v>
      </c>
    </row>
    <row r="243" spans="1:30" ht="14">
      <c r="A243" s="431" t="s">
        <v>3586</v>
      </c>
      <c r="B243" s="431" t="s">
        <v>3587</v>
      </c>
      <c r="C243" s="431" t="s">
        <v>3588</v>
      </c>
      <c r="D243" s="431" t="s">
        <v>4322</v>
      </c>
      <c r="E243" s="431" t="s">
        <v>3589</v>
      </c>
      <c r="F243" s="431">
        <v>2017</v>
      </c>
      <c r="G243" s="431">
        <v>2020</v>
      </c>
      <c r="H243" s="431">
        <v>2036</v>
      </c>
      <c r="I243" s="431" t="b">
        <v>1</v>
      </c>
      <c r="J243" s="431" t="s">
        <v>907</v>
      </c>
      <c r="K243" s="431">
        <v>2154</v>
      </c>
      <c r="L243" s="431"/>
      <c r="M243" s="431"/>
      <c r="N243" s="431"/>
      <c r="O243" s="431" t="b">
        <v>1</v>
      </c>
      <c r="P243" s="431" t="b">
        <v>0</v>
      </c>
      <c r="Q243" s="431" t="s">
        <v>3590</v>
      </c>
      <c r="R243" s="431" t="s">
        <v>3591</v>
      </c>
      <c r="S243" s="431" t="s">
        <v>3592</v>
      </c>
      <c r="T243" s="431"/>
      <c r="U243" s="431"/>
      <c r="V243" s="431" t="s">
        <v>4323</v>
      </c>
      <c r="W243" s="432">
        <v>43585.592130625002</v>
      </c>
      <c r="X243" s="432">
        <v>44616.047201875001</v>
      </c>
      <c r="Y243" s="431"/>
      <c r="Z243" s="433">
        <v>43409</v>
      </c>
      <c r="AA243" s="433">
        <v>43532</v>
      </c>
      <c r="AB243" s="433">
        <v>43946</v>
      </c>
      <c r="AC243" s="433">
        <v>44033</v>
      </c>
      <c r="AD243" s="436">
        <f t="shared" si="3"/>
        <v>2154</v>
      </c>
    </row>
    <row r="244" spans="1:30" ht="14">
      <c r="A244" s="431" t="s">
        <v>3815</v>
      </c>
      <c r="B244" s="431" t="s">
        <v>3816</v>
      </c>
      <c r="C244" s="431" t="s">
        <v>464</v>
      </c>
      <c r="D244" s="431" t="s">
        <v>3817</v>
      </c>
      <c r="E244" s="431" t="s">
        <v>3818</v>
      </c>
      <c r="F244" s="431">
        <v>1501</v>
      </c>
      <c r="G244" s="431">
        <v>2010</v>
      </c>
      <c r="H244" s="431">
        <v>2030</v>
      </c>
      <c r="I244" s="431" t="b">
        <v>1</v>
      </c>
      <c r="J244" s="431" t="s">
        <v>891</v>
      </c>
      <c r="K244" s="431">
        <v>17000</v>
      </c>
      <c r="L244" s="431"/>
      <c r="M244" s="431"/>
      <c r="N244" s="431"/>
      <c r="O244" s="431" t="b">
        <v>1</v>
      </c>
      <c r="P244" s="431" t="b">
        <v>1</v>
      </c>
      <c r="Q244" s="431" t="s">
        <v>3819</v>
      </c>
      <c r="R244" s="431" t="s">
        <v>3820</v>
      </c>
      <c r="S244" s="431" t="s">
        <v>3821</v>
      </c>
      <c r="T244" s="431" t="s">
        <v>4188</v>
      </c>
      <c r="U244" s="431"/>
      <c r="V244" s="431" t="s">
        <v>3822</v>
      </c>
      <c r="W244" s="432">
        <v>43585.592133831022</v>
      </c>
      <c r="X244" s="432">
        <v>44616.044006793978</v>
      </c>
      <c r="Y244" s="431"/>
      <c r="Z244" s="433">
        <v>41526</v>
      </c>
      <c r="AA244" s="433">
        <v>41694</v>
      </c>
      <c r="AB244" s="433">
        <v>42059</v>
      </c>
      <c r="AC244" s="433">
        <v>42089</v>
      </c>
      <c r="AD244" s="436">
        <f t="shared" si="3"/>
        <v>850</v>
      </c>
    </row>
    <row r="245" spans="1:30" ht="14">
      <c r="A245" s="431" t="s">
        <v>2703</v>
      </c>
      <c r="B245" s="431" t="s">
        <v>2704</v>
      </c>
      <c r="C245" s="431" t="s">
        <v>526</v>
      </c>
      <c r="D245" s="431" t="s">
        <v>2705</v>
      </c>
      <c r="E245" s="431" t="s">
        <v>2706</v>
      </c>
      <c r="F245" s="431">
        <v>1305</v>
      </c>
      <c r="G245" s="431">
        <v>2012</v>
      </c>
      <c r="H245" s="431">
        <v>2027</v>
      </c>
      <c r="I245" s="431" t="b">
        <v>1</v>
      </c>
      <c r="J245" s="431" t="s">
        <v>891</v>
      </c>
      <c r="K245" s="431">
        <v>6900</v>
      </c>
      <c r="L245" s="431"/>
      <c r="M245" s="431"/>
      <c r="N245" s="431"/>
      <c r="O245" s="431" t="b">
        <v>1</v>
      </c>
      <c r="P245" s="431" t="b">
        <v>0</v>
      </c>
      <c r="Q245" s="431" t="s">
        <v>2707</v>
      </c>
      <c r="R245" s="431" t="s">
        <v>2708</v>
      </c>
      <c r="S245" s="431" t="s">
        <v>2709</v>
      </c>
      <c r="T245" s="431" t="s">
        <v>4324</v>
      </c>
      <c r="U245" s="431"/>
      <c r="V245" s="431" t="s">
        <v>2710</v>
      </c>
      <c r="W245" s="432">
        <v>43585.592138831016</v>
      </c>
      <c r="X245" s="432">
        <v>44616.043151736114</v>
      </c>
      <c r="Y245" s="431"/>
      <c r="Z245" s="433">
        <v>40970</v>
      </c>
      <c r="AA245" s="433">
        <v>41050</v>
      </c>
      <c r="AB245" s="433">
        <v>41670</v>
      </c>
      <c r="AC245" s="433">
        <v>41823</v>
      </c>
      <c r="AD245" s="436">
        <f t="shared" si="3"/>
        <v>460</v>
      </c>
    </row>
    <row r="246" spans="1:30" ht="14">
      <c r="A246" s="431" t="s">
        <v>1044</v>
      </c>
      <c r="B246" s="431" t="s">
        <v>813</v>
      </c>
      <c r="C246" s="431" t="s">
        <v>416</v>
      </c>
      <c r="D246" s="431" t="s">
        <v>1045</v>
      </c>
      <c r="E246" s="431" t="s">
        <v>1046</v>
      </c>
      <c r="F246" s="431">
        <v>1485</v>
      </c>
      <c r="G246" s="431">
        <v>2006</v>
      </c>
      <c r="H246" s="431">
        <v>2026</v>
      </c>
      <c r="I246" s="431" t="b">
        <v>1</v>
      </c>
      <c r="J246" s="431" t="s">
        <v>891</v>
      </c>
      <c r="K246" s="431">
        <v>25600</v>
      </c>
      <c r="L246" s="431"/>
      <c r="M246" s="431"/>
      <c r="N246" s="431"/>
      <c r="O246" s="431" t="b">
        <v>1</v>
      </c>
      <c r="P246" s="431" t="b">
        <v>0</v>
      </c>
      <c r="Q246" s="431" t="s">
        <v>1047</v>
      </c>
      <c r="R246" s="431" t="s">
        <v>1048</v>
      </c>
      <c r="S246" s="431" t="s">
        <v>1049</v>
      </c>
      <c r="T246" s="431" t="s">
        <v>1050</v>
      </c>
      <c r="U246" s="431"/>
      <c r="V246" s="431" t="s">
        <v>1051</v>
      </c>
      <c r="W246" s="432">
        <v>43585.592130555553</v>
      </c>
      <c r="X246" s="432">
        <v>44616.042572384256</v>
      </c>
      <c r="Y246" s="431"/>
      <c r="Z246" s="433">
        <v>41153</v>
      </c>
      <c r="AA246" s="433">
        <v>41604</v>
      </c>
      <c r="AB246" s="433">
        <v>41724</v>
      </c>
      <c r="AC246" s="433">
        <v>41809</v>
      </c>
      <c r="AD246" s="436">
        <f t="shared" si="3"/>
        <v>1280</v>
      </c>
    </row>
    <row r="247" spans="1:30" ht="14">
      <c r="A247" s="431" t="s">
        <v>1044</v>
      </c>
      <c r="B247" s="431" t="s">
        <v>813</v>
      </c>
      <c r="C247" s="431" t="s">
        <v>416</v>
      </c>
      <c r="D247" s="431" t="s">
        <v>4325</v>
      </c>
      <c r="E247" s="431" t="s">
        <v>4326</v>
      </c>
      <c r="F247" s="431">
        <v>2128</v>
      </c>
      <c r="G247" s="431">
        <v>2019</v>
      </c>
      <c r="H247" s="431">
        <v>2036</v>
      </c>
      <c r="I247" s="431" t="b">
        <v>1</v>
      </c>
      <c r="J247" s="431" t="s">
        <v>891</v>
      </c>
      <c r="K247" s="431">
        <v>29104</v>
      </c>
      <c r="L247" s="431"/>
      <c r="M247" s="431"/>
      <c r="N247" s="431"/>
      <c r="O247" s="431" t="b">
        <v>1</v>
      </c>
      <c r="P247" s="431" t="b">
        <v>0</v>
      </c>
      <c r="Q247" s="431" t="s">
        <v>4327</v>
      </c>
      <c r="R247" s="431" t="s">
        <v>4328</v>
      </c>
      <c r="S247" s="431" t="s">
        <v>4329</v>
      </c>
      <c r="T247" s="431" t="s">
        <v>4330</v>
      </c>
      <c r="U247" s="431" t="s">
        <v>4331</v>
      </c>
      <c r="V247" s="431" t="s">
        <v>4332</v>
      </c>
      <c r="W247" s="432">
        <v>44151.707808067127</v>
      </c>
      <c r="X247" s="432">
        <v>44616.042255462962</v>
      </c>
      <c r="Y247" s="431"/>
      <c r="Z247" s="431"/>
      <c r="AA247" s="431"/>
      <c r="AB247" s="431"/>
      <c r="AC247" s="431"/>
      <c r="AD247" s="436">
        <f t="shared" si="3"/>
        <v>1712</v>
      </c>
    </row>
    <row r="248" spans="1:30" ht="14">
      <c r="A248" s="431" t="s">
        <v>3593</v>
      </c>
      <c r="B248" s="431" t="s">
        <v>3594</v>
      </c>
      <c r="C248" s="431" t="s">
        <v>3595</v>
      </c>
      <c r="D248" s="431" t="s">
        <v>2536</v>
      </c>
      <c r="E248" s="431" t="s">
        <v>3596</v>
      </c>
      <c r="F248" s="431">
        <v>1843</v>
      </c>
      <c r="G248" s="431">
        <v>2018</v>
      </c>
      <c r="H248" s="431">
        <v>2038</v>
      </c>
      <c r="I248" s="431" t="b">
        <v>1</v>
      </c>
      <c r="J248" s="431" t="s">
        <v>891</v>
      </c>
      <c r="K248" s="431">
        <v>20100</v>
      </c>
      <c r="L248" s="431"/>
      <c r="M248" s="431"/>
      <c r="N248" s="431"/>
      <c r="O248" s="431" t="b">
        <v>1</v>
      </c>
      <c r="P248" s="431" t="b">
        <v>0</v>
      </c>
      <c r="Q248" s="431" t="s">
        <v>3597</v>
      </c>
      <c r="R248" s="431" t="s">
        <v>3598</v>
      </c>
      <c r="S248" s="431" t="s">
        <v>4333</v>
      </c>
      <c r="T248" s="431"/>
      <c r="U248" s="431"/>
      <c r="V248" s="431" t="s">
        <v>3599</v>
      </c>
      <c r="W248" s="432">
        <v>43585.592136527775</v>
      </c>
      <c r="X248" s="432">
        <v>44616.043721932867</v>
      </c>
      <c r="Y248" s="431"/>
      <c r="Z248" s="433">
        <v>43265</v>
      </c>
      <c r="AA248" s="433">
        <v>43377</v>
      </c>
      <c r="AB248" s="431"/>
      <c r="AC248" s="431"/>
      <c r="AD248" s="436">
        <f t="shared" si="3"/>
        <v>1005</v>
      </c>
    </row>
    <row r="249" spans="1:30" ht="14">
      <c r="A249" s="431" t="s">
        <v>1413</v>
      </c>
      <c r="B249" s="431" t="s">
        <v>1414</v>
      </c>
      <c r="C249" s="431" t="s">
        <v>494</v>
      </c>
      <c r="D249" s="431" t="s">
        <v>1415</v>
      </c>
      <c r="E249" s="431" t="s">
        <v>1416</v>
      </c>
      <c r="F249" s="431">
        <v>2068</v>
      </c>
      <c r="G249" s="431">
        <v>2016</v>
      </c>
      <c r="H249" s="431">
        <v>2036</v>
      </c>
      <c r="I249" s="431" t="b">
        <v>1</v>
      </c>
      <c r="J249" s="431" t="s">
        <v>891</v>
      </c>
      <c r="K249" s="431">
        <v>17700</v>
      </c>
      <c r="L249" s="431"/>
      <c r="M249" s="431"/>
      <c r="N249" s="431"/>
      <c r="O249" s="431" t="b">
        <v>1</v>
      </c>
      <c r="P249" s="431" t="b">
        <v>0</v>
      </c>
      <c r="Q249" s="431" t="s">
        <v>1417</v>
      </c>
      <c r="R249" s="431" t="s">
        <v>1418</v>
      </c>
      <c r="S249" s="431" t="s">
        <v>1419</v>
      </c>
      <c r="T249" s="431" t="s">
        <v>4334</v>
      </c>
      <c r="U249" s="431" t="s">
        <v>4335</v>
      </c>
      <c r="V249" s="431" t="s">
        <v>1420</v>
      </c>
      <c r="W249" s="432">
        <v>43585.592135416664</v>
      </c>
      <c r="X249" s="432">
        <v>44616.043556238423</v>
      </c>
      <c r="Y249" s="431"/>
      <c r="Z249" s="433">
        <v>43495</v>
      </c>
      <c r="AA249" s="433">
        <v>43614</v>
      </c>
      <c r="AB249" s="433">
        <v>44587</v>
      </c>
      <c r="AC249" s="431"/>
      <c r="AD249" s="436">
        <f t="shared" si="3"/>
        <v>885</v>
      </c>
    </row>
    <row r="250" spans="1:30" ht="14">
      <c r="A250" s="431" t="s">
        <v>2287</v>
      </c>
      <c r="B250" s="431" t="s">
        <v>2288</v>
      </c>
      <c r="C250" s="431" t="s">
        <v>502</v>
      </c>
      <c r="D250" s="431" t="s">
        <v>1323</v>
      </c>
      <c r="E250" s="431" t="s">
        <v>2289</v>
      </c>
      <c r="F250" s="431">
        <v>1867</v>
      </c>
      <c r="G250" s="431">
        <v>2011</v>
      </c>
      <c r="H250" s="431">
        <v>2031</v>
      </c>
      <c r="I250" s="431" t="b">
        <v>1</v>
      </c>
      <c r="J250" s="431" t="s">
        <v>891</v>
      </c>
      <c r="K250" s="431">
        <v>2960</v>
      </c>
      <c r="L250" s="431"/>
      <c r="M250" s="431"/>
      <c r="N250" s="431"/>
      <c r="O250" s="431" t="b">
        <v>1</v>
      </c>
      <c r="P250" s="431" t="b">
        <v>0</v>
      </c>
      <c r="Q250" s="431" t="s">
        <v>2290</v>
      </c>
      <c r="R250" s="431" t="s">
        <v>2291</v>
      </c>
      <c r="S250" s="431" t="s">
        <v>2292</v>
      </c>
      <c r="T250" s="431"/>
      <c r="U250" s="431" t="s">
        <v>4336</v>
      </c>
      <c r="V250" s="431" t="s">
        <v>2293</v>
      </c>
      <c r="W250" s="432">
        <v>43585.592136458334</v>
      </c>
      <c r="X250" s="432">
        <v>44616.048079849534</v>
      </c>
      <c r="Y250" s="431"/>
      <c r="Z250" s="433">
        <v>43045</v>
      </c>
      <c r="AA250" s="433">
        <v>43129</v>
      </c>
      <c r="AB250" s="433">
        <v>43549</v>
      </c>
      <c r="AC250" s="433">
        <v>43571</v>
      </c>
      <c r="AD250" s="436">
        <f t="shared" si="3"/>
        <v>148</v>
      </c>
    </row>
    <row r="251" spans="1:30" ht="14">
      <c r="A251" s="431" t="s">
        <v>1805</v>
      </c>
      <c r="B251" s="431" t="s">
        <v>1806</v>
      </c>
      <c r="C251" s="431" t="s">
        <v>432</v>
      </c>
      <c r="D251" s="431" t="s">
        <v>1807</v>
      </c>
      <c r="E251" s="431" t="s">
        <v>1808</v>
      </c>
      <c r="F251" s="431">
        <v>1056</v>
      </c>
      <c r="G251" s="431">
        <v>2014</v>
      </c>
      <c r="H251" s="431">
        <v>2029</v>
      </c>
      <c r="I251" s="431" t="b">
        <v>1</v>
      </c>
      <c r="J251" s="431" t="s">
        <v>891</v>
      </c>
      <c r="K251" s="431">
        <v>4650</v>
      </c>
      <c r="L251" s="431"/>
      <c r="M251" s="431"/>
      <c r="N251" s="431"/>
      <c r="O251" s="431" t="b">
        <v>1</v>
      </c>
      <c r="P251" s="431" t="b">
        <v>0</v>
      </c>
      <c r="Q251" s="431" t="s">
        <v>1809</v>
      </c>
      <c r="R251" s="431" t="s">
        <v>1810</v>
      </c>
      <c r="S251" s="431" t="s">
        <v>1811</v>
      </c>
      <c r="T251" s="431" t="s">
        <v>1812</v>
      </c>
      <c r="U251" s="431"/>
      <c r="V251" s="431" t="s">
        <v>1813</v>
      </c>
      <c r="W251" s="432">
        <v>43585.592131226855</v>
      </c>
      <c r="X251" s="432">
        <v>44616.048267696759</v>
      </c>
      <c r="Y251" s="431"/>
      <c r="Z251" s="433">
        <v>41661</v>
      </c>
      <c r="AA251" s="433">
        <v>41754</v>
      </c>
      <c r="AB251" s="433">
        <v>42937</v>
      </c>
      <c r="AC251" s="433">
        <v>42937</v>
      </c>
      <c r="AD251" s="436">
        <f t="shared" si="3"/>
        <v>310</v>
      </c>
    </row>
    <row r="252" spans="1:30" ht="14">
      <c r="A252" s="431" t="s">
        <v>1645</v>
      </c>
      <c r="B252" s="431" t="s">
        <v>1646</v>
      </c>
      <c r="C252" s="431" t="s">
        <v>448</v>
      </c>
      <c r="D252" s="431" t="s">
        <v>1647</v>
      </c>
      <c r="E252" s="431" t="s">
        <v>1648</v>
      </c>
      <c r="F252" s="431">
        <v>1648</v>
      </c>
      <c r="G252" s="431">
        <v>2013</v>
      </c>
      <c r="H252" s="431">
        <v>2033</v>
      </c>
      <c r="I252" s="431" t="b">
        <v>1</v>
      </c>
      <c r="J252" s="431" t="s">
        <v>891</v>
      </c>
      <c r="K252" s="431">
        <v>7860</v>
      </c>
      <c r="L252" s="431"/>
      <c r="M252" s="431"/>
      <c r="N252" s="431"/>
      <c r="O252" s="431" t="b">
        <v>1</v>
      </c>
      <c r="P252" s="431" t="b">
        <v>0</v>
      </c>
      <c r="Q252" s="431" t="s">
        <v>4337</v>
      </c>
      <c r="R252" s="431" t="s">
        <v>1649</v>
      </c>
      <c r="S252" s="431" t="s">
        <v>4338</v>
      </c>
      <c r="T252" s="431"/>
      <c r="U252" s="431" t="s">
        <v>4339</v>
      </c>
      <c r="V252" s="431" t="s">
        <v>4340</v>
      </c>
      <c r="W252" s="432">
        <v>43585.592132118058</v>
      </c>
      <c r="X252" s="432">
        <v>44616.045923807869</v>
      </c>
      <c r="Y252" s="431"/>
      <c r="Z252" s="433">
        <v>42044</v>
      </c>
      <c r="AA252" s="433">
        <v>42825</v>
      </c>
      <c r="AB252" s="433">
        <v>44009</v>
      </c>
      <c r="AC252" s="433">
        <v>44041</v>
      </c>
      <c r="AD252" s="436">
        <f t="shared" si="3"/>
        <v>393</v>
      </c>
    </row>
    <row r="253" spans="1:30" ht="14">
      <c r="A253" s="431" t="s">
        <v>2967</v>
      </c>
      <c r="B253" s="431" t="s">
        <v>807</v>
      </c>
      <c r="C253" s="431" t="s">
        <v>436</v>
      </c>
      <c r="D253" s="431" t="s">
        <v>2968</v>
      </c>
      <c r="E253" s="431" t="s">
        <v>2969</v>
      </c>
      <c r="F253" s="431">
        <v>1232</v>
      </c>
      <c r="G253" s="431">
        <v>2009</v>
      </c>
      <c r="H253" s="431">
        <v>2027</v>
      </c>
      <c r="I253" s="431" t="b">
        <v>1</v>
      </c>
      <c r="J253" s="431" t="s">
        <v>891</v>
      </c>
      <c r="K253" s="431">
        <v>60000</v>
      </c>
      <c r="L253" s="431"/>
      <c r="M253" s="431"/>
      <c r="N253" s="431"/>
      <c r="O253" s="431" t="b">
        <v>1</v>
      </c>
      <c r="P253" s="431" t="b">
        <v>0</v>
      </c>
      <c r="Q253" s="431" t="s">
        <v>2970</v>
      </c>
      <c r="R253" s="431" t="s">
        <v>2971</v>
      </c>
      <c r="S253" s="431" t="s">
        <v>2972</v>
      </c>
      <c r="T253" s="431" t="s">
        <v>4341</v>
      </c>
      <c r="U253" s="431"/>
      <c r="V253" s="431" t="s">
        <v>2973</v>
      </c>
      <c r="W253" s="432">
        <v>43585.592131331017</v>
      </c>
      <c r="X253" s="432">
        <v>44616.046032557868</v>
      </c>
      <c r="Y253" s="431"/>
      <c r="Z253" s="433">
        <v>40584</v>
      </c>
      <c r="AA253" s="433">
        <v>40742</v>
      </c>
      <c r="AB253" s="433">
        <v>40994</v>
      </c>
      <c r="AC253" s="433">
        <v>41101</v>
      </c>
      <c r="AD253" s="436">
        <f t="shared" si="3"/>
        <v>3333.3333333333335</v>
      </c>
    </row>
    <row r="254" spans="1:30" ht="14">
      <c r="A254" s="431" t="s">
        <v>2967</v>
      </c>
      <c r="B254" s="431" t="s">
        <v>807</v>
      </c>
      <c r="C254" s="431" t="s">
        <v>436</v>
      </c>
      <c r="D254" s="431" t="s">
        <v>4103</v>
      </c>
      <c r="E254" s="431" t="s">
        <v>4104</v>
      </c>
      <c r="F254" s="431">
        <v>2175</v>
      </c>
      <c r="G254" s="431">
        <v>2021</v>
      </c>
      <c r="H254" s="431">
        <v>2037</v>
      </c>
      <c r="I254" s="431" t="b">
        <v>1</v>
      </c>
      <c r="J254" s="431" t="s">
        <v>891</v>
      </c>
      <c r="K254" s="431">
        <v>56528</v>
      </c>
      <c r="L254" s="431"/>
      <c r="M254" s="431"/>
      <c r="N254" s="431"/>
      <c r="O254" s="431" t="b">
        <v>1</v>
      </c>
      <c r="P254" s="431" t="b">
        <v>1</v>
      </c>
      <c r="Q254" s="431" t="s">
        <v>4105</v>
      </c>
      <c r="R254" s="431" t="s">
        <v>4106</v>
      </c>
      <c r="S254" s="431" t="s">
        <v>4107</v>
      </c>
      <c r="T254" s="431"/>
      <c r="U254" s="431" t="s">
        <v>4108</v>
      </c>
      <c r="V254" s="431" t="s">
        <v>4109</v>
      </c>
      <c r="W254" s="432">
        <v>44379.364462708334</v>
      </c>
      <c r="X254" s="432">
        <v>44616.048371481484</v>
      </c>
      <c r="Y254" s="431"/>
      <c r="Z254" s="433">
        <v>44417</v>
      </c>
      <c r="AA254" s="431"/>
      <c r="AB254" s="431"/>
      <c r="AC254" s="431"/>
      <c r="AD254" s="436">
        <f t="shared" si="3"/>
        <v>3533</v>
      </c>
    </row>
    <row r="255" spans="1:30" ht="14">
      <c r="A255" s="431" t="s">
        <v>2967</v>
      </c>
      <c r="B255" s="431" t="s">
        <v>807</v>
      </c>
      <c r="C255" s="431" t="s">
        <v>436</v>
      </c>
      <c r="D255" s="431" t="s">
        <v>4342</v>
      </c>
      <c r="E255" s="431" t="s">
        <v>4343</v>
      </c>
      <c r="F255" s="431">
        <v>2126</v>
      </c>
      <c r="G255" s="431">
        <v>2023</v>
      </c>
      <c r="H255" s="431">
        <v>2038</v>
      </c>
      <c r="I255" s="431" t="b">
        <v>1</v>
      </c>
      <c r="J255" s="431"/>
      <c r="K255" s="431"/>
      <c r="L255" s="431"/>
      <c r="M255" s="431"/>
      <c r="N255" s="431"/>
      <c r="O255" s="431" t="b">
        <v>0</v>
      </c>
      <c r="P255" s="431" t="b">
        <v>0</v>
      </c>
      <c r="Q255" s="431"/>
      <c r="R255" s="431"/>
      <c r="S255" s="431"/>
      <c r="T255" s="431"/>
      <c r="U255" s="431"/>
      <c r="V255" s="431"/>
      <c r="W255" s="432">
        <v>44379.367922094905</v>
      </c>
      <c r="X255" s="432">
        <v>44440.649470659722</v>
      </c>
      <c r="Y255" s="431" t="s">
        <v>978</v>
      </c>
      <c r="Z255" s="431"/>
      <c r="AA255" s="431"/>
      <c r="AB255" s="431"/>
      <c r="AC255" s="431"/>
      <c r="AD255" s="436" t="str">
        <f t="shared" si="3"/>
        <v/>
      </c>
    </row>
    <row r="256" spans="1:30" ht="14">
      <c r="A256" s="431" t="s">
        <v>3714</v>
      </c>
      <c r="B256" s="431" t="s">
        <v>3715</v>
      </c>
      <c r="C256" s="431" t="s">
        <v>424</v>
      </c>
      <c r="D256" s="431" t="s">
        <v>755</v>
      </c>
      <c r="E256" s="431" t="s">
        <v>3716</v>
      </c>
      <c r="F256" s="431">
        <v>1753</v>
      </c>
      <c r="G256" s="431">
        <v>2012</v>
      </c>
      <c r="H256" s="431">
        <v>2036</v>
      </c>
      <c r="I256" s="431" t="b">
        <v>1</v>
      </c>
      <c r="J256" s="431" t="s">
        <v>891</v>
      </c>
      <c r="K256" s="431"/>
      <c r="L256" s="431"/>
      <c r="M256" s="431"/>
      <c r="N256" s="431">
        <v>36960</v>
      </c>
      <c r="O256" s="431" t="b">
        <v>1</v>
      </c>
      <c r="P256" s="431" t="b">
        <v>1</v>
      </c>
      <c r="Q256" s="431" t="s">
        <v>3717</v>
      </c>
      <c r="R256" s="431" t="s">
        <v>3718</v>
      </c>
      <c r="S256" s="431" t="s">
        <v>3719</v>
      </c>
      <c r="T256" s="431" t="s">
        <v>3720</v>
      </c>
      <c r="U256" s="431" t="s">
        <v>3721</v>
      </c>
      <c r="V256" s="431" t="s">
        <v>3722</v>
      </c>
      <c r="W256" s="432">
        <v>43585.59213478009</v>
      </c>
      <c r="X256" s="432">
        <v>44616.047099791664</v>
      </c>
      <c r="Y256" s="431"/>
      <c r="Z256" s="433">
        <v>42475</v>
      </c>
      <c r="AA256" s="433">
        <v>42551</v>
      </c>
      <c r="AB256" s="433">
        <v>42835</v>
      </c>
      <c r="AC256" s="433">
        <v>42849</v>
      </c>
      <c r="AD256" s="436">
        <f t="shared" si="3"/>
        <v>1540</v>
      </c>
    </row>
    <row r="257" spans="1:30" ht="14">
      <c r="A257" s="431" t="s">
        <v>3714</v>
      </c>
      <c r="B257" s="431" t="s">
        <v>3715</v>
      </c>
      <c r="C257" s="431" t="s">
        <v>424</v>
      </c>
      <c r="D257" s="431" t="s">
        <v>3723</v>
      </c>
      <c r="E257" s="431" t="s">
        <v>3724</v>
      </c>
      <c r="F257" s="431">
        <v>2110</v>
      </c>
      <c r="G257" s="431">
        <v>2018</v>
      </c>
      <c r="H257" s="431">
        <v>2040</v>
      </c>
      <c r="I257" s="431" t="b">
        <v>1</v>
      </c>
      <c r="J257" s="431" t="s">
        <v>907</v>
      </c>
      <c r="K257" s="431"/>
      <c r="L257" s="431"/>
      <c r="M257" s="431"/>
      <c r="N257" s="431">
        <v>1300</v>
      </c>
      <c r="O257" s="431" t="b">
        <v>1</v>
      </c>
      <c r="P257" s="431" t="b">
        <v>1</v>
      </c>
      <c r="Q257" s="431" t="s">
        <v>3725</v>
      </c>
      <c r="R257" s="431"/>
      <c r="S257" s="431"/>
      <c r="T257" s="431" t="s">
        <v>3726</v>
      </c>
      <c r="U257" s="431" t="s">
        <v>3727</v>
      </c>
      <c r="V257" s="431" t="s">
        <v>3728</v>
      </c>
      <c r="W257" s="432">
        <v>44111.628201712963</v>
      </c>
      <c r="X257" s="432">
        <v>44616.046260960647</v>
      </c>
      <c r="Y257" s="431"/>
      <c r="Z257" s="431"/>
      <c r="AA257" s="431"/>
      <c r="AB257" s="431"/>
      <c r="AC257" s="431"/>
      <c r="AD257" s="436">
        <f t="shared" si="3"/>
        <v>0</v>
      </c>
    </row>
    <row r="258" spans="1:30" ht="14">
      <c r="A258" s="431" t="s">
        <v>2454</v>
      </c>
      <c r="B258" s="431" t="s">
        <v>2455</v>
      </c>
      <c r="C258" s="431" t="s">
        <v>506</v>
      </c>
      <c r="D258" s="431" t="s">
        <v>2456</v>
      </c>
      <c r="E258" s="431" t="s">
        <v>2457</v>
      </c>
      <c r="F258" s="431">
        <v>2003</v>
      </c>
      <c r="G258" s="431">
        <v>2016</v>
      </c>
      <c r="H258" s="431">
        <v>2036</v>
      </c>
      <c r="I258" s="431" t="b">
        <v>1</v>
      </c>
      <c r="J258" s="431" t="s">
        <v>891</v>
      </c>
      <c r="K258" s="431">
        <v>10884</v>
      </c>
      <c r="L258" s="431"/>
      <c r="M258" s="431"/>
      <c r="N258" s="431"/>
      <c r="O258" s="431" t="b">
        <v>1</v>
      </c>
      <c r="P258" s="431" t="b">
        <v>0</v>
      </c>
      <c r="Q258" s="431" t="s">
        <v>2458</v>
      </c>
      <c r="R258" s="431"/>
      <c r="S258" s="431"/>
      <c r="T258" s="431" t="s">
        <v>2459</v>
      </c>
      <c r="U258" s="431" t="s">
        <v>2460</v>
      </c>
      <c r="V258" s="431" t="s">
        <v>2461</v>
      </c>
      <c r="W258" s="432">
        <v>43585.592122372684</v>
      </c>
      <c r="X258" s="432">
        <v>44616.047303252315</v>
      </c>
      <c r="Y258" s="431"/>
      <c r="Z258" s="433">
        <v>43405</v>
      </c>
      <c r="AA258" s="433">
        <v>43546</v>
      </c>
      <c r="AB258" s="433">
        <v>43966</v>
      </c>
      <c r="AC258" s="433">
        <v>43990</v>
      </c>
      <c r="AD258" s="436">
        <f t="shared" ref="AD258:AD321" si="4">IF(AND(N258&lt;&gt;"",P258=TRUE,J258="HOUSING_REQUIREMENT_TOTAL"),N258/(H258-G258),IF(J258="HOUSING_REQUIREMENT_TOTAL",K258/(H258-G258),IF(J258="HOUSING_REQUIREMENT_RANGE",L258/(H258-G258),IF(J258="HOUSING_REQUIREMENT_YEARLY_AVERAGE",K258,IF(J258="HOUSING_REQUIREMENT_YEARLY_RANGE",L258,"")))))</f>
        <v>544.20000000000005</v>
      </c>
    </row>
    <row r="259" spans="1:30" ht="14">
      <c r="A259" s="431" t="s">
        <v>2454</v>
      </c>
      <c r="B259" s="431" t="s">
        <v>2455</v>
      </c>
      <c r="C259" s="431" t="s">
        <v>506</v>
      </c>
      <c r="D259" s="431" t="s">
        <v>3786</v>
      </c>
      <c r="E259" s="431" t="s">
        <v>3787</v>
      </c>
      <c r="F259" s="431">
        <v>2085</v>
      </c>
      <c r="G259" s="431">
        <v>2020</v>
      </c>
      <c r="H259" s="431">
        <v>2050</v>
      </c>
      <c r="I259" s="431" t="b">
        <v>1</v>
      </c>
      <c r="J259" s="431"/>
      <c r="K259" s="431"/>
      <c r="L259" s="431"/>
      <c r="M259" s="431"/>
      <c r="N259" s="431"/>
      <c r="O259" s="431" t="b">
        <v>0</v>
      </c>
      <c r="P259" s="431" t="b">
        <v>1</v>
      </c>
      <c r="Q259" s="431"/>
      <c r="R259" s="431"/>
      <c r="S259" s="431"/>
      <c r="T259" s="431"/>
      <c r="U259" s="431"/>
      <c r="V259" s="431"/>
      <c r="W259" s="432">
        <v>44146.567369247685</v>
      </c>
      <c r="X259" s="432">
        <v>44146.569047962963</v>
      </c>
      <c r="Y259" s="431" t="s">
        <v>978</v>
      </c>
      <c r="Z259" s="431"/>
      <c r="AA259" s="431"/>
      <c r="AB259" s="431"/>
      <c r="AC259" s="431"/>
      <c r="AD259" s="436" t="str">
        <f t="shared" si="4"/>
        <v/>
      </c>
    </row>
    <row r="260" spans="1:30" ht="14">
      <c r="A260" s="431" t="s">
        <v>2454</v>
      </c>
      <c r="B260" s="431" t="s">
        <v>2455</v>
      </c>
      <c r="C260" s="431" t="s">
        <v>506</v>
      </c>
      <c r="D260" s="431" t="s">
        <v>4344</v>
      </c>
      <c r="E260" s="431" t="s">
        <v>4345</v>
      </c>
      <c r="F260" s="431">
        <v>2132</v>
      </c>
      <c r="G260" s="431">
        <v>2020</v>
      </c>
      <c r="H260" s="431">
        <v>2040</v>
      </c>
      <c r="I260" s="431" t="b">
        <v>1</v>
      </c>
      <c r="J260" s="431"/>
      <c r="K260" s="431"/>
      <c r="L260" s="431"/>
      <c r="M260" s="431"/>
      <c r="N260" s="431"/>
      <c r="O260" s="431" t="b">
        <v>0</v>
      </c>
      <c r="P260" s="431" t="b">
        <v>0</v>
      </c>
      <c r="Q260" s="431"/>
      <c r="R260" s="431"/>
      <c r="S260" s="431"/>
      <c r="T260" s="431"/>
      <c r="U260" s="431"/>
      <c r="V260" s="431"/>
      <c r="W260" s="432">
        <v>44155.557468611114</v>
      </c>
      <c r="X260" s="432">
        <v>44155.559463726851</v>
      </c>
      <c r="Y260" s="431" t="s">
        <v>978</v>
      </c>
      <c r="Z260" s="431"/>
      <c r="AA260" s="431"/>
      <c r="AB260" s="431"/>
      <c r="AC260" s="431"/>
      <c r="AD260" s="436" t="str">
        <f t="shared" si="4"/>
        <v/>
      </c>
    </row>
    <row r="261" spans="1:30" ht="14">
      <c r="A261" s="431" t="s">
        <v>3396</v>
      </c>
      <c r="B261" s="431" t="s">
        <v>3397</v>
      </c>
      <c r="C261" s="431" t="s">
        <v>410</v>
      </c>
      <c r="D261" s="431" t="s">
        <v>3398</v>
      </c>
      <c r="E261" s="431" t="s">
        <v>3399</v>
      </c>
      <c r="F261" s="431">
        <v>2030</v>
      </c>
      <c r="G261" s="431">
        <v>2020</v>
      </c>
      <c r="H261" s="431">
        <v>2035</v>
      </c>
      <c r="I261" s="431" t="b">
        <v>1</v>
      </c>
      <c r="J261" s="431" t="s">
        <v>891</v>
      </c>
      <c r="K261" s="431">
        <v>18416</v>
      </c>
      <c r="L261" s="431"/>
      <c r="M261" s="431"/>
      <c r="N261" s="431"/>
      <c r="O261" s="431" t="b">
        <v>1</v>
      </c>
      <c r="P261" s="431" t="b">
        <v>0</v>
      </c>
      <c r="Q261" s="431" t="s">
        <v>4346</v>
      </c>
      <c r="R261" s="431" t="s">
        <v>3400</v>
      </c>
      <c r="S261" s="431" t="s">
        <v>4347</v>
      </c>
      <c r="T261" s="431"/>
      <c r="U261" s="431" t="s">
        <v>4348</v>
      </c>
      <c r="V261" s="431" t="s">
        <v>4349</v>
      </c>
      <c r="W261" s="432">
        <v>43865.708423090276</v>
      </c>
      <c r="X261" s="432">
        <v>44616.04616297454</v>
      </c>
      <c r="Y261" s="431"/>
      <c r="Z261" s="433">
        <v>43861</v>
      </c>
      <c r="AA261" s="433">
        <v>43973</v>
      </c>
      <c r="AB261" s="433">
        <v>44399</v>
      </c>
      <c r="AC261" s="433">
        <v>44461</v>
      </c>
      <c r="AD261" s="436">
        <f t="shared" si="4"/>
        <v>1227.7333333333333</v>
      </c>
    </row>
    <row r="262" spans="1:30" ht="14">
      <c r="A262" s="431" t="s">
        <v>1936</v>
      </c>
      <c r="B262" s="431" t="s">
        <v>1937</v>
      </c>
      <c r="C262" s="431" t="s">
        <v>460</v>
      </c>
      <c r="D262" s="431" t="s">
        <v>1938</v>
      </c>
      <c r="E262" s="431" t="s">
        <v>1939</v>
      </c>
      <c r="F262" s="431">
        <v>1935</v>
      </c>
      <c r="G262" s="431">
        <v>2016</v>
      </c>
      <c r="H262" s="431">
        <v>2036</v>
      </c>
      <c r="I262" s="431" t="b">
        <v>1</v>
      </c>
      <c r="J262" s="431" t="s">
        <v>891</v>
      </c>
      <c r="K262" s="431">
        <v>10420</v>
      </c>
      <c r="L262" s="431"/>
      <c r="M262" s="431"/>
      <c r="N262" s="431"/>
      <c r="O262" s="431" t="b">
        <v>1</v>
      </c>
      <c r="P262" s="431" t="b">
        <v>0</v>
      </c>
      <c r="Q262" s="431" t="s">
        <v>1940</v>
      </c>
      <c r="R262" s="431" t="s">
        <v>1941</v>
      </c>
      <c r="S262" s="431" t="s">
        <v>1942</v>
      </c>
      <c r="T262" s="431"/>
      <c r="U262" s="431" t="s">
        <v>1943</v>
      </c>
      <c r="V262" s="431" t="s">
        <v>1944</v>
      </c>
      <c r="W262" s="432">
        <v>43585.592133148151</v>
      </c>
      <c r="X262" s="432">
        <v>44616.04341677083</v>
      </c>
      <c r="Y262" s="431"/>
      <c r="Z262" s="433">
        <v>43280</v>
      </c>
      <c r="AA262" s="433">
        <v>43405</v>
      </c>
      <c r="AB262" s="433">
        <v>43915</v>
      </c>
      <c r="AC262" s="433">
        <v>44018</v>
      </c>
      <c r="AD262" s="436">
        <f t="shared" si="4"/>
        <v>521</v>
      </c>
    </row>
    <row r="263" spans="1:30" ht="14">
      <c r="A263" s="431" t="s">
        <v>3729</v>
      </c>
      <c r="B263" s="431" t="s">
        <v>3730</v>
      </c>
      <c r="C263" s="431" t="s">
        <v>478</v>
      </c>
      <c r="D263" s="431" t="s">
        <v>755</v>
      </c>
      <c r="E263" s="431" t="s">
        <v>3716</v>
      </c>
      <c r="F263" s="431">
        <v>1753</v>
      </c>
      <c r="G263" s="431">
        <v>2012</v>
      </c>
      <c r="H263" s="431">
        <v>2036</v>
      </c>
      <c r="I263" s="431" t="b">
        <v>1</v>
      </c>
      <c r="J263" s="431" t="s">
        <v>891</v>
      </c>
      <c r="K263" s="431"/>
      <c r="L263" s="431"/>
      <c r="M263" s="431"/>
      <c r="N263" s="431">
        <v>36960</v>
      </c>
      <c r="O263" s="431" t="b">
        <v>1</v>
      </c>
      <c r="P263" s="431" t="b">
        <v>1</v>
      </c>
      <c r="Q263" s="431" t="s">
        <v>3717</v>
      </c>
      <c r="R263" s="431" t="s">
        <v>3718</v>
      </c>
      <c r="S263" s="431" t="s">
        <v>3719</v>
      </c>
      <c r="T263" s="431" t="s">
        <v>3720</v>
      </c>
      <c r="U263" s="431" t="s">
        <v>3721</v>
      </c>
      <c r="V263" s="431" t="s">
        <v>3722</v>
      </c>
      <c r="W263" s="432">
        <v>43585.59213478009</v>
      </c>
      <c r="X263" s="432">
        <v>44616.047099791664</v>
      </c>
      <c r="Y263" s="431"/>
      <c r="Z263" s="433">
        <v>42475</v>
      </c>
      <c r="AA263" s="433">
        <v>42551</v>
      </c>
      <c r="AB263" s="433">
        <v>42835</v>
      </c>
      <c r="AC263" s="433">
        <v>42849</v>
      </c>
      <c r="AD263" s="436">
        <f t="shared" si="4"/>
        <v>1540</v>
      </c>
    </row>
    <row r="264" spans="1:30" ht="14">
      <c r="A264" s="431" t="s">
        <v>3729</v>
      </c>
      <c r="B264" s="431" t="s">
        <v>3730</v>
      </c>
      <c r="C264" s="431" t="s">
        <v>478</v>
      </c>
      <c r="D264" s="431" t="s">
        <v>3723</v>
      </c>
      <c r="E264" s="431" t="s">
        <v>3724</v>
      </c>
      <c r="F264" s="431">
        <v>2110</v>
      </c>
      <c r="G264" s="431">
        <v>2018</v>
      </c>
      <c r="H264" s="431">
        <v>2040</v>
      </c>
      <c r="I264" s="431" t="b">
        <v>1</v>
      </c>
      <c r="J264" s="431" t="s">
        <v>907</v>
      </c>
      <c r="K264" s="431"/>
      <c r="L264" s="431"/>
      <c r="M264" s="431"/>
      <c r="N264" s="431">
        <v>1300</v>
      </c>
      <c r="O264" s="431" t="b">
        <v>1</v>
      </c>
      <c r="P264" s="431" t="b">
        <v>1</v>
      </c>
      <c r="Q264" s="431" t="s">
        <v>3725</v>
      </c>
      <c r="R264" s="431"/>
      <c r="S264" s="431"/>
      <c r="T264" s="431" t="s">
        <v>3726</v>
      </c>
      <c r="U264" s="431" t="s">
        <v>3727</v>
      </c>
      <c r="V264" s="431" t="s">
        <v>3728</v>
      </c>
      <c r="W264" s="432">
        <v>44111.628201712963</v>
      </c>
      <c r="X264" s="432">
        <v>44616.046260960647</v>
      </c>
      <c r="Y264" s="431"/>
      <c r="Z264" s="431"/>
      <c r="AA264" s="431"/>
      <c r="AB264" s="431"/>
      <c r="AC264" s="431"/>
      <c r="AD264" s="436">
        <f t="shared" si="4"/>
        <v>0</v>
      </c>
    </row>
    <row r="265" spans="1:30" ht="14">
      <c r="A265" s="431" t="s">
        <v>1617</v>
      </c>
      <c r="B265" s="431" t="s">
        <v>1618</v>
      </c>
      <c r="C265" s="431" t="s">
        <v>472</v>
      </c>
      <c r="D265" s="431" t="s">
        <v>1619</v>
      </c>
      <c r="E265" s="431" t="s">
        <v>1620</v>
      </c>
      <c r="F265" s="431">
        <v>1905</v>
      </c>
      <c r="G265" s="431">
        <v>2014</v>
      </c>
      <c r="H265" s="431">
        <v>2034</v>
      </c>
      <c r="I265" s="431" t="b">
        <v>1</v>
      </c>
      <c r="J265" s="431" t="s">
        <v>891</v>
      </c>
      <c r="K265" s="431">
        <v>6600</v>
      </c>
      <c r="L265" s="431"/>
      <c r="M265" s="431"/>
      <c r="N265" s="431"/>
      <c r="O265" s="431" t="b">
        <v>1</v>
      </c>
      <c r="P265" s="431" t="b">
        <v>0</v>
      </c>
      <c r="Q265" s="431" t="s">
        <v>4350</v>
      </c>
      <c r="R265" s="431" t="s">
        <v>4351</v>
      </c>
      <c r="S265" s="431" t="s">
        <v>4352</v>
      </c>
      <c r="T265" s="431"/>
      <c r="U265" s="431"/>
      <c r="V265" s="431" t="s">
        <v>4353</v>
      </c>
      <c r="W265" s="432">
        <v>43585.592134699073</v>
      </c>
      <c r="X265" s="432">
        <v>44616.046268530095</v>
      </c>
      <c r="Y265" s="431"/>
      <c r="Z265" s="433">
        <v>43152</v>
      </c>
      <c r="AA265" s="433">
        <v>43244</v>
      </c>
      <c r="AB265" s="433">
        <v>44396</v>
      </c>
      <c r="AC265" s="433">
        <v>44529</v>
      </c>
      <c r="AD265" s="436">
        <f t="shared" si="4"/>
        <v>330</v>
      </c>
    </row>
    <row r="266" spans="1:30" ht="14">
      <c r="A266" s="431" t="s">
        <v>1284</v>
      </c>
      <c r="B266" s="431" t="s">
        <v>1285</v>
      </c>
      <c r="C266" s="431" t="s">
        <v>456</v>
      </c>
      <c r="D266" s="431" t="s">
        <v>1286</v>
      </c>
      <c r="E266" s="431" t="s">
        <v>1287</v>
      </c>
      <c r="F266" s="431">
        <v>1874</v>
      </c>
      <c r="G266" s="431">
        <v>2016</v>
      </c>
      <c r="H266" s="431">
        <v>2031</v>
      </c>
      <c r="I266" s="431" t="b">
        <v>1</v>
      </c>
      <c r="J266" s="431" t="s">
        <v>891</v>
      </c>
      <c r="K266" s="431">
        <v>26500</v>
      </c>
      <c r="L266" s="431"/>
      <c r="M266" s="431"/>
      <c r="N266" s="431"/>
      <c r="O266" s="431" t="b">
        <v>1</v>
      </c>
      <c r="P266" s="431" t="b">
        <v>0</v>
      </c>
      <c r="Q266" s="431" t="s">
        <v>1288</v>
      </c>
      <c r="R266" s="431" t="s">
        <v>1289</v>
      </c>
      <c r="S266" s="431" t="s">
        <v>1290</v>
      </c>
      <c r="T266" s="431" t="s">
        <v>1291</v>
      </c>
      <c r="U266" s="431"/>
      <c r="V266" s="431" t="s">
        <v>1292</v>
      </c>
      <c r="W266" s="432">
        <v>43585.592133078702</v>
      </c>
      <c r="X266" s="432">
        <v>44616.046351585646</v>
      </c>
      <c r="Y266" s="431"/>
      <c r="Z266" s="433">
        <v>43047</v>
      </c>
      <c r="AA266" s="433">
        <v>43188</v>
      </c>
      <c r="AB266" s="433">
        <v>43508</v>
      </c>
      <c r="AC266" s="433">
        <v>43544</v>
      </c>
      <c r="AD266" s="436">
        <f t="shared" si="4"/>
        <v>1766.6666666666667</v>
      </c>
    </row>
    <row r="267" spans="1:30" ht="14">
      <c r="A267" s="431" t="s">
        <v>3534</v>
      </c>
      <c r="B267" s="431" t="s">
        <v>3535</v>
      </c>
      <c r="C267" s="431" t="s">
        <v>3536</v>
      </c>
      <c r="D267" s="431" t="s">
        <v>3537</v>
      </c>
      <c r="E267" s="431" t="s">
        <v>3538</v>
      </c>
      <c r="F267" s="431">
        <v>1043</v>
      </c>
      <c r="G267" s="431">
        <v>2011</v>
      </c>
      <c r="H267" s="431">
        <v>2026</v>
      </c>
      <c r="I267" s="431" t="b">
        <v>1</v>
      </c>
      <c r="J267" s="431"/>
      <c r="K267" s="431"/>
      <c r="L267" s="431"/>
      <c r="M267" s="431"/>
      <c r="N267" s="431"/>
      <c r="O267" s="431" t="b">
        <v>0</v>
      </c>
      <c r="P267" s="431" t="b">
        <v>0</v>
      </c>
      <c r="Q267" s="431"/>
      <c r="R267" s="431"/>
      <c r="S267" s="431"/>
      <c r="T267" s="431"/>
      <c r="U267" s="431"/>
      <c r="V267" s="431"/>
      <c r="W267" s="432">
        <v>43585.592137372689</v>
      </c>
      <c r="X267" s="432">
        <v>44078.467910937499</v>
      </c>
      <c r="Y267" s="431" t="s">
        <v>1221</v>
      </c>
      <c r="Z267" s="433">
        <v>40436</v>
      </c>
      <c r="AA267" s="433">
        <v>40529</v>
      </c>
      <c r="AB267" s="433">
        <v>40739</v>
      </c>
      <c r="AC267" s="433">
        <v>40823</v>
      </c>
      <c r="AD267" s="436" t="str">
        <f t="shared" si="4"/>
        <v/>
      </c>
    </row>
    <row r="268" spans="1:30" ht="14">
      <c r="A268" s="431" t="s">
        <v>3570</v>
      </c>
      <c r="B268" s="431" t="s">
        <v>3571</v>
      </c>
      <c r="C268" s="431" t="s">
        <v>3572</v>
      </c>
      <c r="D268" s="431" t="s">
        <v>3573</v>
      </c>
      <c r="E268" s="431" t="s">
        <v>3574</v>
      </c>
      <c r="F268" s="431">
        <v>2032</v>
      </c>
      <c r="G268" s="431">
        <v>2020</v>
      </c>
      <c r="H268" s="431">
        <v>2035</v>
      </c>
      <c r="I268" s="431" t="b">
        <v>1</v>
      </c>
      <c r="J268" s="431" t="s">
        <v>891</v>
      </c>
      <c r="K268" s="431">
        <v>1200</v>
      </c>
      <c r="L268" s="431"/>
      <c r="M268" s="431"/>
      <c r="N268" s="431"/>
      <c r="O268" s="431" t="b">
        <v>1</v>
      </c>
      <c r="P268" s="431" t="b">
        <v>0</v>
      </c>
      <c r="Q268" s="431" t="s">
        <v>4354</v>
      </c>
      <c r="R268" s="431" t="s">
        <v>3575</v>
      </c>
      <c r="S268" s="431" t="s">
        <v>4355</v>
      </c>
      <c r="T268" s="431"/>
      <c r="U268" s="431"/>
      <c r="V268" s="431" t="s">
        <v>4356</v>
      </c>
      <c r="W268" s="432">
        <v>43585.59213459491</v>
      </c>
      <c r="X268" s="432">
        <v>44616.048663020832</v>
      </c>
      <c r="Y268" s="431"/>
      <c r="Z268" s="433">
        <v>43563</v>
      </c>
      <c r="AA268" s="433">
        <v>43678</v>
      </c>
      <c r="AB268" s="433">
        <v>44270</v>
      </c>
      <c r="AC268" s="433">
        <v>44335</v>
      </c>
      <c r="AD268" s="436">
        <f t="shared" si="4"/>
        <v>80</v>
      </c>
    </row>
    <row r="269" spans="1:30" ht="14">
      <c r="A269" s="431" t="s">
        <v>3550</v>
      </c>
      <c r="B269" s="431" t="s">
        <v>3551</v>
      </c>
      <c r="C269" s="431" t="s">
        <v>3552</v>
      </c>
      <c r="D269" s="431" t="s">
        <v>3553</v>
      </c>
      <c r="E269" s="431" t="s">
        <v>3554</v>
      </c>
      <c r="F269" s="431">
        <v>1891</v>
      </c>
      <c r="G269" s="431">
        <v>2016</v>
      </c>
      <c r="H269" s="431">
        <v>2036</v>
      </c>
      <c r="I269" s="431" t="b">
        <v>1</v>
      </c>
      <c r="J269" s="431" t="s">
        <v>891</v>
      </c>
      <c r="K269" s="431">
        <v>800</v>
      </c>
      <c r="L269" s="431"/>
      <c r="M269" s="431"/>
      <c r="N269" s="431"/>
      <c r="O269" s="431" t="b">
        <v>1</v>
      </c>
      <c r="P269" s="431" t="b">
        <v>0</v>
      </c>
      <c r="Q269" s="431" t="s">
        <v>3555</v>
      </c>
      <c r="R269" s="431" t="s">
        <v>3556</v>
      </c>
      <c r="S269" s="431" t="s">
        <v>3557</v>
      </c>
      <c r="T269" s="431" t="s">
        <v>3558</v>
      </c>
      <c r="U269" s="431"/>
      <c r="V269" s="431" t="s">
        <v>3559</v>
      </c>
      <c r="W269" s="432">
        <v>43585.592132881946</v>
      </c>
      <c r="X269" s="432">
        <v>44616.043505092595</v>
      </c>
      <c r="Y269" s="431"/>
      <c r="Z269" s="433">
        <v>43117</v>
      </c>
      <c r="AA269" s="433">
        <v>43234</v>
      </c>
      <c r="AB269" s="433">
        <v>43670</v>
      </c>
      <c r="AC269" s="433">
        <v>43706</v>
      </c>
      <c r="AD269" s="436">
        <f t="shared" si="4"/>
        <v>40</v>
      </c>
    </row>
    <row r="270" spans="1:30" ht="14">
      <c r="A270" s="431" t="s">
        <v>3525</v>
      </c>
      <c r="B270" s="431" t="s">
        <v>3526</v>
      </c>
      <c r="C270" s="431" t="s">
        <v>3527</v>
      </c>
      <c r="D270" s="431" t="s">
        <v>3528</v>
      </c>
      <c r="E270" s="431" t="s">
        <v>3529</v>
      </c>
      <c r="F270" s="431">
        <v>2015</v>
      </c>
      <c r="G270" s="431">
        <v>2016</v>
      </c>
      <c r="H270" s="431">
        <v>2035</v>
      </c>
      <c r="I270" s="431" t="b">
        <v>1</v>
      </c>
      <c r="J270" s="431" t="s">
        <v>891</v>
      </c>
      <c r="K270" s="431">
        <v>551</v>
      </c>
      <c r="L270" s="431"/>
      <c r="M270" s="431"/>
      <c r="N270" s="431"/>
      <c r="O270" s="431" t="b">
        <v>1</v>
      </c>
      <c r="P270" s="431" t="b">
        <v>0</v>
      </c>
      <c r="Q270" s="431" t="s">
        <v>3530</v>
      </c>
      <c r="R270" s="431" t="s">
        <v>3531</v>
      </c>
      <c r="S270" s="431" t="s">
        <v>3532</v>
      </c>
      <c r="T270" s="431" t="s">
        <v>4357</v>
      </c>
      <c r="U270" s="431"/>
      <c r="V270" s="431" t="s">
        <v>3533</v>
      </c>
      <c r="W270" s="432">
        <v>43585.592132442129</v>
      </c>
      <c r="X270" s="432">
        <v>44616.044506412036</v>
      </c>
      <c r="Y270" s="431"/>
      <c r="Z270" s="433">
        <v>43565</v>
      </c>
      <c r="AA270" s="433">
        <v>43648</v>
      </c>
      <c r="AB270" s="433">
        <v>43966</v>
      </c>
      <c r="AC270" s="433">
        <v>44039</v>
      </c>
      <c r="AD270" s="436">
        <f t="shared" si="4"/>
        <v>29</v>
      </c>
    </row>
    <row r="271" spans="1:30" ht="14">
      <c r="A271" s="431" t="s">
        <v>3103</v>
      </c>
      <c r="B271" s="431" t="s">
        <v>3104</v>
      </c>
      <c r="C271" s="431" t="s">
        <v>606</v>
      </c>
      <c r="D271" s="431" t="s">
        <v>3105</v>
      </c>
      <c r="E271" s="431" t="s">
        <v>3106</v>
      </c>
      <c r="F271" s="431">
        <v>300</v>
      </c>
      <c r="G271" s="431">
        <v>2004</v>
      </c>
      <c r="H271" s="431">
        <v>2021</v>
      </c>
      <c r="I271" s="431" t="b">
        <v>1</v>
      </c>
      <c r="J271" s="431" t="s">
        <v>907</v>
      </c>
      <c r="K271" s="431">
        <v>325</v>
      </c>
      <c r="L271" s="431"/>
      <c r="M271" s="431"/>
      <c r="N271" s="431"/>
      <c r="O271" s="431" t="b">
        <v>1</v>
      </c>
      <c r="P271" s="431" t="b">
        <v>0</v>
      </c>
      <c r="Q271" s="431" t="s">
        <v>3107</v>
      </c>
      <c r="R271" s="431" t="s">
        <v>3108</v>
      </c>
      <c r="S271" s="431" t="s">
        <v>3109</v>
      </c>
      <c r="T271" s="431" t="s">
        <v>4358</v>
      </c>
      <c r="U271" s="431"/>
      <c r="V271" s="431" t="s">
        <v>3110</v>
      </c>
      <c r="W271" s="432">
        <v>43585.592112627317</v>
      </c>
      <c r="X271" s="432">
        <v>44616.046169525463</v>
      </c>
      <c r="Y271" s="431"/>
      <c r="Z271" s="433">
        <v>38800</v>
      </c>
      <c r="AA271" s="433">
        <v>38800</v>
      </c>
      <c r="AB271" s="433">
        <v>39197</v>
      </c>
      <c r="AC271" s="433">
        <v>39261</v>
      </c>
      <c r="AD271" s="436">
        <f t="shared" si="4"/>
        <v>325</v>
      </c>
    </row>
    <row r="272" spans="1:30" ht="14">
      <c r="A272" s="431" t="s">
        <v>3103</v>
      </c>
      <c r="B272" s="431" t="s">
        <v>3104</v>
      </c>
      <c r="C272" s="431" t="s">
        <v>606</v>
      </c>
      <c r="D272" s="431" t="s">
        <v>3111</v>
      </c>
      <c r="E272" s="431" t="s">
        <v>3112</v>
      </c>
      <c r="F272" s="431">
        <v>1422</v>
      </c>
      <c r="G272" s="431">
        <v>2016</v>
      </c>
      <c r="H272" s="431">
        <v>2036</v>
      </c>
      <c r="I272" s="431" t="b">
        <v>1</v>
      </c>
      <c r="J272" s="431" t="s">
        <v>891</v>
      </c>
      <c r="K272" s="431">
        <v>7000</v>
      </c>
      <c r="L272" s="431"/>
      <c r="M272" s="431"/>
      <c r="N272" s="431"/>
      <c r="O272" s="431" t="b">
        <v>1</v>
      </c>
      <c r="P272" s="431" t="b">
        <v>0</v>
      </c>
      <c r="Q272" s="431" t="s">
        <v>3113</v>
      </c>
      <c r="R272" s="431" t="s">
        <v>3114</v>
      </c>
      <c r="S272" s="431" t="s">
        <v>3115</v>
      </c>
      <c r="T272" s="431" t="s">
        <v>4359</v>
      </c>
      <c r="U272" s="431"/>
      <c r="V272" s="431" t="s">
        <v>3116</v>
      </c>
      <c r="W272" s="432">
        <v>44090.624611631945</v>
      </c>
      <c r="X272" s="432">
        <v>44616.042106203706</v>
      </c>
      <c r="Y272" s="431"/>
      <c r="Z272" s="431"/>
      <c r="AA272" s="431"/>
      <c r="AB272" s="431"/>
      <c r="AC272" s="431"/>
      <c r="AD272" s="436">
        <f t="shared" si="4"/>
        <v>350</v>
      </c>
    </row>
    <row r="273" spans="1:30" ht="14">
      <c r="A273" s="431" t="s">
        <v>3615</v>
      </c>
      <c r="B273" s="431" t="s">
        <v>827</v>
      </c>
      <c r="C273" s="431" t="s">
        <v>630</v>
      </c>
      <c r="D273" s="431" t="s">
        <v>3616</v>
      </c>
      <c r="E273" s="431" t="s">
        <v>3617</v>
      </c>
      <c r="F273" s="431">
        <v>550</v>
      </c>
      <c r="G273" s="431">
        <v>2006</v>
      </c>
      <c r="H273" s="431">
        <v>2026</v>
      </c>
      <c r="I273" s="431" t="b">
        <v>1</v>
      </c>
      <c r="J273" s="431" t="s">
        <v>891</v>
      </c>
      <c r="K273" s="431">
        <v>11400</v>
      </c>
      <c r="L273" s="431"/>
      <c r="M273" s="431"/>
      <c r="N273" s="431"/>
      <c r="O273" s="431" t="b">
        <v>1</v>
      </c>
      <c r="P273" s="431" t="b">
        <v>1</v>
      </c>
      <c r="Q273" s="431" t="s">
        <v>3618</v>
      </c>
      <c r="R273" s="431" t="s">
        <v>3619</v>
      </c>
      <c r="S273" s="431" t="s">
        <v>3620</v>
      </c>
      <c r="T273" s="431" t="s">
        <v>4268</v>
      </c>
      <c r="U273" s="431"/>
      <c r="V273" s="431" t="s">
        <v>3621</v>
      </c>
      <c r="W273" s="432">
        <v>43585.592124803239</v>
      </c>
      <c r="X273" s="432">
        <v>44616.04731898148</v>
      </c>
      <c r="Y273" s="431"/>
      <c r="Z273" s="433">
        <v>39689</v>
      </c>
      <c r="AA273" s="433">
        <v>39804</v>
      </c>
      <c r="AB273" s="433">
        <v>39987</v>
      </c>
      <c r="AC273" s="433">
        <v>40087</v>
      </c>
      <c r="AD273" s="436">
        <f t="shared" si="4"/>
        <v>570</v>
      </c>
    </row>
    <row r="274" spans="1:30" ht="14">
      <c r="A274" s="431" t="s">
        <v>3615</v>
      </c>
      <c r="B274" s="431" t="s">
        <v>827</v>
      </c>
      <c r="C274" s="431" t="s">
        <v>630</v>
      </c>
      <c r="D274" s="431" t="s">
        <v>4360</v>
      </c>
      <c r="E274" s="431" t="s">
        <v>4361</v>
      </c>
      <c r="F274" s="431">
        <v>2136</v>
      </c>
      <c r="G274" s="431">
        <v>2020</v>
      </c>
      <c r="H274" s="431">
        <v>2040</v>
      </c>
      <c r="I274" s="431" t="b">
        <v>1</v>
      </c>
      <c r="J274" s="431" t="s">
        <v>907</v>
      </c>
      <c r="K274" s="431">
        <v>684</v>
      </c>
      <c r="L274" s="431"/>
      <c r="M274" s="431"/>
      <c r="N274" s="431"/>
      <c r="O274" s="431" t="b">
        <v>1</v>
      </c>
      <c r="P274" s="431" t="b">
        <v>0</v>
      </c>
      <c r="Q274" s="431" t="s">
        <v>4362</v>
      </c>
      <c r="R274" s="431"/>
      <c r="S274" s="431"/>
      <c r="T274" s="431" t="s">
        <v>4363</v>
      </c>
      <c r="U274" s="431" t="s">
        <v>4364</v>
      </c>
      <c r="V274" s="431" t="s">
        <v>4365</v>
      </c>
      <c r="W274" s="432">
        <v>44354.560028553242</v>
      </c>
      <c r="X274" s="432">
        <v>44616.043287280096</v>
      </c>
      <c r="Y274" s="431"/>
      <c r="Z274" s="431"/>
      <c r="AA274" s="431"/>
      <c r="AB274" s="431"/>
      <c r="AC274" s="431"/>
      <c r="AD274" s="436">
        <f t="shared" si="4"/>
        <v>684</v>
      </c>
    </row>
    <row r="275" spans="1:30" ht="14">
      <c r="A275" s="431" t="s">
        <v>2130</v>
      </c>
      <c r="B275" s="431" t="s">
        <v>2131</v>
      </c>
      <c r="C275" s="431" t="s">
        <v>668</v>
      </c>
      <c r="D275" s="431" t="s">
        <v>931</v>
      </c>
      <c r="E275" s="431" t="s">
        <v>2132</v>
      </c>
      <c r="F275" s="431">
        <v>264</v>
      </c>
      <c r="G275" s="431">
        <v>2006</v>
      </c>
      <c r="H275" s="431">
        <v>2021</v>
      </c>
      <c r="I275" s="431" t="b">
        <v>1</v>
      </c>
      <c r="J275" s="431" t="s">
        <v>891</v>
      </c>
      <c r="K275" s="431">
        <v>6375</v>
      </c>
      <c r="L275" s="431"/>
      <c r="M275" s="431"/>
      <c r="N275" s="431"/>
      <c r="O275" s="431" t="b">
        <v>1</v>
      </c>
      <c r="P275" s="431" t="b">
        <v>0</v>
      </c>
      <c r="Q275" s="431" t="s">
        <v>2133</v>
      </c>
      <c r="R275" s="431" t="s">
        <v>2134</v>
      </c>
      <c r="S275" s="431" t="s">
        <v>2135</v>
      </c>
      <c r="T275" s="431" t="s">
        <v>4366</v>
      </c>
      <c r="U275" s="431"/>
      <c r="V275" s="431" t="s">
        <v>2136</v>
      </c>
      <c r="W275" s="432">
        <v>43585.592112303239</v>
      </c>
      <c r="X275" s="432">
        <v>44616.043633217596</v>
      </c>
      <c r="Y275" s="431"/>
      <c r="Z275" s="433">
        <v>38960</v>
      </c>
      <c r="AA275" s="433">
        <v>38960</v>
      </c>
      <c r="AB275" s="433">
        <v>39309</v>
      </c>
      <c r="AC275" s="433">
        <v>39350</v>
      </c>
      <c r="AD275" s="436">
        <f t="shared" si="4"/>
        <v>425</v>
      </c>
    </row>
    <row r="276" spans="1:30" ht="14">
      <c r="A276" s="431" t="s">
        <v>2130</v>
      </c>
      <c r="B276" s="431" t="s">
        <v>2131</v>
      </c>
      <c r="C276" s="431" t="s">
        <v>668</v>
      </c>
      <c r="D276" s="431" t="s">
        <v>4367</v>
      </c>
      <c r="E276" s="431" t="s">
        <v>2137</v>
      </c>
      <c r="F276" s="431">
        <v>1469</v>
      </c>
      <c r="G276" s="431">
        <v>2011</v>
      </c>
      <c r="H276" s="431">
        <v>2031</v>
      </c>
      <c r="I276" s="431" t="b">
        <v>1</v>
      </c>
      <c r="J276" s="431" t="s">
        <v>891</v>
      </c>
      <c r="K276" s="431">
        <v>6834</v>
      </c>
      <c r="L276" s="431"/>
      <c r="M276" s="431"/>
      <c r="N276" s="431"/>
      <c r="O276" s="431" t="b">
        <v>1</v>
      </c>
      <c r="P276" s="431" t="b">
        <v>0</v>
      </c>
      <c r="Q276" s="431" t="s">
        <v>2138</v>
      </c>
      <c r="R276" s="431" t="s">
        <v>2139</v>
      </c>
      <c r="S276" s="431" t="s">
        <v>2140</v>
      </c>
      <c r="T276" s="431" t="s">
        <v>4368</v>
      </c>
      <c r="U276" s="431"/>
      <c r="V276" s="431" t="s">
        <v>2141</v>
      </c>
      <c r="W276" s="432">
        <v>43585.592123368056</v>
      </c>
      <c r="X276" s="432">
        <v>44616.048335358799</v>
      </c>
      <c r="Y276" s="431"/>
      <c r="Z276" s="433">
        <v>43378</v>
      </c>
      <c r="AA276" s="433">
        <v>43488</v>
      </c>
      <c r="AB276" s="431"/>
      <c r="AC276" s="431"/>
      <c r="AD276" s="436">
        <f t="shared" si="4"/>
        <v>341.7</v>
      </c>
    </row>
    <row r="277" spans="1:30" ht="14">
      <c r="A277" s="431" t="s">
        <v>921</v>
      </c>
      <c r="B277" s="431" t="s">
        <v>922</v>
      </c>
      <c r="C277" s="431" t="s">
        <v>628</v>
      </c>
      <c r="D277" s="431" t="s">
        <v>923</v>
      </c>
      <c r="E277" s="431" t="s">
        <v>924</v>
      </c>
      <c r="F277" s="431">
        <v>1856</v>
      </c>
      <c r="G277" s="431">
        <v>2017</v>
      </c>
      <c r="H277" s="431">
        <v>2032</v>
      </c>
      <c r="I277" s="431" t="b">
        <v>1</v>
      </c>
      <c r="J277" s="431" t="s">
        <v>891</v>
      </c>
      <c r="K277" s="431">
        <v>10150</v>
      </c>
      <c r="L277" s="431"/>
      <c r="M277" s="431"/>
      <c r="N277" s="431"/>
      <c r="O277" s="431" t="b">
        <v>1</v>
      </c>
      <c r="P277" s="431" t="b">
        <v>0</v>
      </c>
      <c r="Q277" s="431" t="s">
        <v>925</v>
      </c>
      <c r="R277" s="431" t="s">
        <v>926</v>
      </c>
      <c r="S277" s="431" t="s">
        <v>927</v>
      </c>
      <c r="T277" s="431"/>
      <c r="U277" s="431"/>
      <c r="V277" s="431" t="s">
        <v>928</v>
      </c>
      <c r="W277" s="432">
        <v>43585.592120555557</v>
      </c>
      <c r="X277" s="432">
        <v>44616.046766793981</v>
      </c>
      <c r="Y277" s="431"/>
      <c r="Z277" s="433">
        <v>43003</v>
      </c>
      <c r="AA277" s="433">
        <v>43090</v>
      </c>
      <c r="AB277" s="433">
        <v>43451</v>
      </c>
      <c r="AC277" s="433">
        <v>43495</v>
      </c>
      <c r="AD277" s="436">
        <f t="shared" si="4"/>
        <v>676.66666666666663</v>
      </c>
    </row>
    <row r="278" spans="1:30" ht="14">
      <c r="A278" s="431" t="s">
        <v>1164</v>
      </c>
      <c r="B278" s="431" t="s">
        <v>1165</v>
      </c>
      <c r="C278" s="431" t="s">
        <v>644</v>
      </c>
      <c r="D278" s="431" t="s">
        <v>1166</v>
      </c>
      <c r="E278" s="434" t="s">
        <v>1167</v>
      </c>
      <c r="F278" s="431">
        <v>1386</v>
      </c>
      <c r="G278" s="431">
        <v>2011</v>
      </c>
      <c r="H278" s="431">
        <v>2026</v>
      </c>
      <c r="I278" s="431" t="b">
        <v>1</v>
      </c>
      <c r="J278" s="431" t="s">
        <v>891</v>
      </c>
      <c r="K278" s="431">
        <v>22000</v>
      </c>
      <c r="L278" s="431"/>
      <c r="M278" s="431"/>
      <c r="N278" s="431"/>
      <c r="O278" s="431" t="b">
        <v>1</v>
      </c>
      <c r="P278" s="431" t="b">
        <v>0</v>
      </c>
      <c r="Q278" s="431" t="s">
        <v>1168</v>
      </c>
      <c r="R278" s="431" t="s">
        <v>1169</v>
      </c>
      <c r="S278" s="431" t="s">
        <v>1170</v>
      </c>
      <c r="T278" s="431"/>
      <c r="U278" s="431"/>
      <c r="V278" s="431" t="s">
        <v>1171</v>
      </c>
      <c r="W278" s="432">
        <v>43585.592116099535</v>
      </c>
      <c r="X278" s="432">
        <v>44616.042743692131</v>
      </c>
      <c r="Y278" s="431"/>
      <c r="Z278" s="433">
        <v>41263</v>
      </c>
      <c r="AA278" s="433">
        <v>41453</v>
      </c>
      <c r="AB278" s="433">
        <v>42040</v>
      </c>
      <c r="AC278" s="433">
        <v>42089</v>
      </c>
      <c r="AD278" s="436">
        <f t="shared" si="4"/>
        <v>1466.6666666666667</v>
      </c>
    </row>
    <row r="279" spans="1:30" ht="14">
      <c r="A279" s="431" t="s">
        <v>1164</v>
      </c>
      <c r="B279" s="431" t="s">
        <v>1165</v>
      </c>
      <c r="C279" s="431" t="s">
        <v>644</v>
      </c>
      <c r="D279" s="431" t="s">
        <v>1172</v>
      </c>
      <c r="E279" s="431" t="s">
        <v>4369</v>
      </c>
      <c r="F279" s="431">
        <v>2226</v>
      </c>
      <c r="G279" s="431">
        <v>2018</v>
      </c>
      <c r="H279" s="431">
        <v>2036</v>
      </c>
      <c r="I279" s="431" t="b">
        <v>1</v>
      </c>
      <c r="J279" s="431" t="s">
        <v>891</v>
      </c>
      <c r="K279" s="431">
        <v>21100</v>
      </c>
      <c r="L279" s="431"/>
      <c r="M279" s="431"/>
      <c r="N279" s="431"/>
      <c r="O279" s="431" t="b">
        <v>1</v>
      </c>
      <c r="P279" s="431" t="b">
        <v>0</v>
      </c>
      <c r="Q279" s="431" t="s">
        <v>4370</v>
      </c>
      <c r="R279" s="431"/>
      <c r="S279" s="431"/>
      <c r="T279" s="431" t="s">
        <v>4371</v>
      </c>
      <c r="U279" s="431"/>
      <c r="V279" s="431" t="s">
        <v>4372</v>
      </c>
      <c r="W279" s="432">
        <v>44412.442340138892</v>
      </c>
      <c r="X279" s="432">
        <v>44616.047480879628</v>
      </c>
      <c r="Y279" s="431"/>
      <c r="Z279" s="433">
        <v>44406</v>
      </c>
      <c r="AA279" s="431"/>
      <c r="AB279" s="431"/>
      <c r="AC279" s="431"/>
      <c r="AD279" s="436">
        <f t="shared" si="4"/>
        <v>1172.2222222222222</v>
      </c>
    </row>
    <row r="280" spans="1:30" ht="14">
      <c r="A280" s="431" t="s">
        <v>3441</v>
      </c>
      <c r="B280" s="431" t="s">
        <v>3442</v>
      </c>
      <c r="C280" s="431" t="s">
        <v>612</v>
      </c>
      <c r="D280" s="431" t="s">
        <v>931</v>
      </c>
      <c r="E280" s="431" t="s">
        <v>3443</v>
      </c>
      <c r="F280" s="431">
        <v>1129</v>
      </c>
      <c r="G280" s="431">
        <v>2011</v>
      </c>
      <c r="H280" s="431">
        <v>2026</v>
      </c>
      <c r="I280" s="431" t="b">
        <v>1</v>
      </c>
      <c r="J280" s="431" t="s">
        <v>891</v>
      </c>
      <c r="K280" s="431">
        <v>24450</v>
      </c>
      <c r="L280" s="431"/>
      <c r="M280" s="431"/>
      <c r="N280" s="431"/>
      <c r="O280" s="431" t="b">
        <v>1</v>
      </c>
      <c r="P280" s="431" t="b">
        <v>0</v>
      </c>
      <c r="Q280" s="431" t="s">
        <v>3444</v>
      </c>
      <c r="R280" s="431" t="s">
        <v>3445</v>
      </c>
      <c r="S280" s="434" t="s">
        <v>3446</v>
      </c>
      <c r="T280" s="431" t="s">
        <v>4373</v>
      </c>
      <c r="U280" s="431"/>
      <c r="V280" s="431" t="s">
        <v>3447</v>
      </c>
      <c r="W280" s="432">
        <v>43585.592115335647</v>
      </c>
      <c r="X280" s="432">
        <v>44616.048376562503</v>
      </c>
      <c r="Y280" s="431"/>
      <c r="Z280" s="433">
        <v>40200</v>
      </c>
      <c r="AA280" s="433">
        <v>40263</v>
      </c>
      <c r="AB280" s="433">
        <v>40577</v>
      </c>
      <c r="AC280" s="433">
        <v>40639</v>
      </c>
      <c r="AD280" s="436">
        <f t="shared" si="4"/>
        <v>1630</v>
      </c>
    </row>
    <row r="281" spans="1:30" ht="14">
      <c r="A281" s="431" t="s">
        <v>3441</v>
      </c>
      <c r="B281" s="431" t="s">
        <v>3442</v>
      </c>
      <c r="C281" s="431" t="s">
        <v>612</v>
      </c>
      <c r="D281" s="431" t="s">
        <v>3448</v>
      </c>
      <c r="E281" s="431" t="s">
        <v>3449</v>
      </c>
      <c r="F281" s="431">
        <v>1883</v>
      </c>
      <c r="G281" s="431">
        <v>2019</v>
      </c>
      <c r="H281" s="431">
        <v>2036</v>
      </c>
      <c r="I281" s="431" t="b">
        <v>1</v>
      </c>
      <c r="J281" s="431" t="s">
        <v>891</v>
      </c>
      <c r="K281" s="431">
        <v>40035</v>
      </c>
      <c r="L281" s="431"/>
      <c r="M281" s="431"/>
      <c r="N281" s="431"/>
      <c r="O281" s="431" t="b">
        <v>1</v>
      </c>
      <c r="P281" s="431" t="b">
        <v>0</v>
      </c>
      <c r="Q281" s="431" t="s">
        <v>3450</v>
      </c>
      <c r="R281" s="431" t="s">
        <v>3451</v>
      </c>
      <c r="S281" s="431" t="s">
        <v>3452</v>
      </c>
      <c r="T281" s="431" t="s">
        <v>4374</v>
      </c>
      <c r="U281" s="431" t="s">
        <v>4375</v>
      </c>
      <c r="V281" s="431" t="s">
        <v>4376</v>
      </c>
      <c r="W281" s="432">
        <v>43585.592140486115</v>
      </c>
      <c r="X281" s="432">
        <v>44616.045963611112</v>
      </c>
      <c r="Y281" s="431"/>
      <c r="Z281" s="433">
        <v>43102</v>
      </c>
      <c r="AA281" s="433">
        <v>43846</v>
      </c>
      <c r="AB281" s="433">
        <v>44517</v>
      </c>
      <c r="AC281" s="431"/>
      <c r="AD281" s="436">
        <f t="shared" si="4"/>
        <v>2355</v>
      </c>
    </row>
    <row r="282" spans="1:30" ht="14">
      <c r="A282" s="431" t="s">
        <v>2942</v>
      </c>
      <c r="B282" s="431" t="s">
        <v>2943</v>
      </c>
      <c r="C282" s="431" t="s">
        <v>624</v>
      </c>
      <c r="D282" s="431" t="s">
        <v>2944</v>
      </c>
      <c r="E282" s="431" t="s">
        <v>2945</v>
      </c>
      <c r="F282" s="431">
        <v>844</v>
      </c>
      <c r="G282" s="431">
        <v>2011</v>
      </c>
      <c r="H282" s="431">
        <v>2031</v>
      </c>
      <c r="I282" s="431" t="b">
        <v>1</v>
      </c>
      <c r="J282" s="431" t="s">
        <v>891</v>
      </c>
      <c r="K282" s="431">
        <v>7600</v>
      </c>
      <c r="L282" s="431"/>
      <c r="M282" s="431"/>
      <c r="N282" s="431"/>
      <c r="O282" s="431" t="b">
        <v>1</v>
      </c>
      <c r="P282" s="431" t="b">
        <v>0</v>
      </c>
      <c r="Q282" s="431" t="s">
        <v>2946</v>
      </c>
      <c r="R282" s="431" t="s">
        <v>2947</v>
      </c>
      <c r="S282" s="431" t="s">
        <v>2948</v>
      </c>
      <c r="T282" s="431" t="s">
        <v>2949</v>
      </c>
      <c r="U282" s="431"/>
      <c r="V282" s="431" t="s">
        <v>2950</v>
      </c>
      <c r="W282" s="432">
        <v>43585.592120335648</v>
      </c>
      <c r="X282" s="432">
        <v>44616.046222002318</v>
      </c>
      <c r="Y282" s="431"/>
      <c r="Z282" s="433">
        <v>42375</v>
      </c>
      <c r="AA282" s="433">
        <v>42573</v>
      </c>
      <c r="AB282" s="433">
        <v>43026</v>
      </c>
      <c r="AC282" s="433">
        <v>43607</v>
      </c>
      <c r="AD282" s="436">
        <f t="shared" si="4"/>
        <v>380</v>
      </c>
    </row>
    <row r="283" spans="1:30" ht="14">
      <c r="A283" s="431" t="s">
        <v>2741</v>
      </c>
      <c r="B283" s="431" t="s">
        <v>2742</v>
      </c>
      <c r="C283" s="431" t="s">
        <v>650</v>
      </c>
      <c r="D283" s="431" t="s">
        <v>2743</v>
      </c>
      <c r="E283" s="431" t="s">
        <v>2744</v>
      </c>
      <c r="F283" s="431">
        <v>812</v>
      </c>
      <c r="G283" s="431">
        <v>2006</v>
      </c>
      <c r="H283" s="431">
        <v>2026</v>
      </c>
      <c r="I283" s="431" t="b">
        <v>1</v>
      </c>
      <c r="J283" s="431" t="s">
        <v>891</v>
      </c>
      <c r="K283" s="431">
        <v>2500</v>
      </c>
      <c r="L283" s="431"/>
      <c r="M283" s="431"/>
      <c r="N283" s="431"/>
      <c r="O283" s="431" t="b">
        <v>1</v>
      </c>
      <c r="P283" s="431" t="b">
        <v>0</v>
      </c>
      <c r="Q283" s="431" t="s">
        <v>2745</v>
      </c>
      <c r="R283" s="431" t="s">
        <v>2746</v>
      </c>
      <c r="S283" s="431" t="s">
        <v>2747</v>
      </c>
      <c r="T283" s="431" t="s">
        <v>4377</v>
      </c>
      <c r="U283" s="431"/>
      <c r="V283" s="431" t="s">
        <v>2748</v>
      </c>
      <c r="W283" s="432">
        <v>43585.592126226853</v>
      </c>
      <c r="X283" s="432">
        <v>44616.043762384259</v>
      </c>
      <c r="Y283" s="431"/>
      <c r="Z283" s="433">
        <v>39444</v>
      </c>
      <c r="AA283" s="433">
        <v>39464</v>
      </c>
      <c r="AB283" s="433">
        <v>39706</v>
      </c>
      <c r="AC283" s="433">
        <v>39736</v>
      </c>
      <c r="AD283" s="436">
        <f t="shared" si="4"/>
        <v>125</v>
      </c>
    </row>
    <row r="284" spans="1:30" ht="14">
      <c r="A284" s="431" t="s">
        <v>2741</v>
      </c>
      <c r="B284" s="431" t="s">
        <v>2742</v>
      </c>
      <c r="C284" s="431" t="s">
        <v>650</v>
      </c>
      <c r="D284" s="431" t="s">
        <v>2749</v>
      </c>
      <c r="E284" s="431" t="s">
        <v>2750</v>
      </c>
      <c r="F284" s="431">
        <v>1933</v>
      </c>
      <c r="G284" s="431">
        <v>2013</v>
      </c>
      <c r="H284" s="431">
        <v>2033</v>
      </c>
      <c r="I284" s="431" t="b">
        <v>1</v>
      </c>
      <c r="J284" s="431" t="s">
        <v>891</v>
      </c>
      <c r="K284" s="431">
        <v>6056</v>
      </c>
      <c r="L284" s="431"/>
      <c r="M284" s="431"/>
      <c r="N284" s="431"/>
      <c r="O284" s="431" t="b">
        <v>1</v>
      </c>
      <c r="P284" s="431" t="b">
        <v>0</v>
      </c>
      <c r="Q284" s="431" t="s">
        <v>2751</v>
      </c>
      <c r="R284" s="431" t="s">
        <v>2752</v>
      </c>
      <c r="S284" s="431" t="s">
        <v>4378</v>
      </c>
      <c r="T284" s="431" t="s">
        <v>4379</v>
      </c>
      <c r="U284" s="431"/>
      <c r="V284" s="431" t="s">
        <v>2753</v>
      </c>
      <c r="W284" s="432">
        <v>43585.592126435185</v>
      </c>
      <c r="X284" s="432">
        <v>44616.042734502313</v>
      </c>
      <c r="Y284" s="431"/>
      <c r="Z284" s="433">
        <v>43311</v>
      </c>
      <c r="AA284" s="433">
        <v>43483</v>
      </c>
      <c r="AB284" s="431"/>
      <c r="AC284" s="431"/>
      <c r="AD284" s="436">
        <f t="shared" si="4"/>
        <v>302.8</v>
      </c>
    </row>
    <row r="285" spans="1:30" ht="14">
      <c r="A285" s="431" t="s">
        <v>2508</v>
      </c>
      <c r="B285" s="431" t="s">
        <v>2509</v>
      </c>
      <c r="C285" s="431" t="s">
        <v>2510</v>
      </c>
      <c r="D285" s="431" t="s">
        <v>2511</v>
      </c>
      <c r="E285" s="431" t="s">
        <v>2512</v>
      </c>
      <c r="F285" s="431">
        <v>1256</v>
      </c>
      <c r="G285" s="431">
        <v>2008</v>
      </c>
      <c r="H285" s="431">
        <v>2028</v>
      </c>
      <c r="I285" s="431" t="b">
        <v>1</v>
      </c>
      <c r="J285" s="431" t="s">
        <v>891</v>
      </c>
      <c r="K285" s="431">
        <v>17000</v>
      </c>
      <c r="L285" s="431"/>
      <c r="M285" s="431"/>
      <c r="N285" s="431"/>
      <c r="O285" s="431" t="b">
        <v>1</v>
      </c>
      <c r="P285" s="431" t="b">
        <v>0</v>
      </c>
      <c r="Q285" s="431" t="s">
        <v>2513</v>
      </c>
      <c r="R285" s="431" t="s">
        <v>2514</v>
      </c>
      <c r="S285" s="431" t="s">
        <v>2515</v>
      </c>
      <c r="T285" s="431" t="s">
        <v>4380</v>
      </c>
      <c r="U285" s="431"/>
      <c r="V285" s="431" t="s">
        <v>2516</v>
      </c>
      <c r="W285" s="432">
        <v>43585.592116840278</v>
      </c>
      <c r="X285" s="432">
        <v>44616.044090555559</v>
      </c>
      <c r="Y285" s="431"/>
      <c r="Z285" s="433">
        <v>40739</v>
      </c>
      <c r="AA285" s="433">
        <v>40861</v>
      </c>
      <c r="AB285" s="433">
        <v>41093</v>
      </c>
      <c r="AC285" s="433">
        <v>41163</v>
      </c>
      <c r="AD285" s="436">
        <f t="shared" si="4"/>
        <v>850</v>
      </c>
    </row>
    <row r="286" spans="1:30" ht="14">
      <c r="A286" s="431" t="s">
        <v>2112</v>
      </c>
      <c r="B286" s="431" t="s">
        <v>2113</v>
      </c>
      <c r="C286" s="431" t="s">
        <v>642</v>
      </c>
      <c r="D286" s="431" t="s">
        <v>2114</v>
      </c>
      <c r="E286" s="431" t="s">
        <v>2115</v>
      </c>
      <c r="F286" s="431">
        <v>1636</v>
      </c>
      <c r="G286" s="431">
        <v>2014</v>
      </c>
      <c r="H286" s="431">
        <v>2031</v>
      </c>
      <c r="I286" s="431" t="b">
        <v>1</v>
      </c>
      <c r="J286" s="431" t="s">
        <v>891</v>
      </c>
      <c r="K286" s="431">
        <v>13192</v>
      </c>
      <c r="L286" s="431"/>
      <c r="M286" s="431"/>
      <c r="N286" s="431"/>
      <c r="O286" s="431" t="b">
        <v>1</v>
      </c>
      <c r="P286" s="431" t="b">
        <v>0</v>
      </c>
      <c r="Q286" s="431" t="s">
        <v>2116</v>
      </c>
      <c r="R286" s="431" t="s">
        <v>2117</v>
      </c>
      <c r="S286" s="431" t="s">
        <v>2118</v>
      </c>
      <c r="T286" s="431" t="s">
        <v>4381</v>
      </c>
      <c r="U286" s="431"/>
      <c r="V286" s="431" t="s">
        <v>2119</v>
      </c>
      <c r="W286" s="432">
        <v>43585.59211085648</v>
      </c>
      <c r="X286" s="432">
        <v>44616.04794236111</v>
      </c>
      <c r="Y286" s="431"/>
      <c r="Z286" s="433">
        <v>41992</v>
      </c>
      <c r="AA286" s="433">
        <v>42114</v>
      </c>
      <c r="AB286" s="433">
        <v>42906</v>
      </c>
      <c r="AC286" s="433">
        <v>42942</v>
      </c>
      <c r="AD286" s="436">
        <f t="shared" si="4"/>
        <v>776</v>
      </c>
    </row>
    <row r="287" spans="1:30" ht="14">
      <c r="A287" s="431" t="s">
        <v>2112</v>
      </c>
      <c r="B287" s="431" t="s">
        <v>2113</v>
      </c>
      <c r="C287" s="431" t="s">
        <v>642</v>
      </c>
      <c r="D287" s="431" t="s">
        <v>1647</v>
      </c>
      <c r="E287" s="431" t="s">
        <v>2120</v>
      </c>
      <c r="F287" s="431">
        <v>2257</v>
      </c>
      <c r="G287" s="431">
        <v>2022</v>
      </c>
      <c r="H287" s="431">
        <v>2038</v>
      </c>
      <c r="I287" s="431" t="b">
        <v>1</v>
      </c>
      <c r="J287" s="431" t="s">
        <v>891</v>
      </c>
      <c r="K287" s="431">
        <v>16608</v>
      </c>
      <c r="L287" s="431"/>
      <c r="M287" s="431"/>
      <c r="N287" s="431"/>
      <c r="O287" s="431" t="b">
        <v>1</v>
      </c>
      <c r="P287" s="431" t="b">
        <v>0</v>
      </c>
      <c r="Q287" s="431" t="s">
        <v>4382</v>
      </c>
      <c r="R287" s="431" t="s">
        <v>4383</v>
      </c>
      <c r="S287" s="431" t="s">
        <v>4384</v>
      </c>
      <c r="T287" s="431" t="s">
        <v>4385</v>
      </c>
      <c r="U287" s="431"/>
      <c r="V287" s="431" t="s">
        <v>4386</v>
      </c>
      <c r="W287" s="432">
        <v>43585.592111168982</v>
      </c>
      <c r="X287" s="432">
        <v>44616.047704282406</v>
      </c>
      <c r="Y287" s="431"/>
      <c r="Z287" s="433">
        <v>44235</v>
      </c>
      <c r="AA287" s="431"/>
      <c r="AB287" s="431"/>
      <c r="AC287" s="431"/>
      <c r="AD287" s="436">
        <f t="shared" si="4"/>
        <v>1038</v>
      </c>
    </row>
    <row r="288" spans="1:30" ht="14">
      <c r="A288" s="431" t="s">
        <v>1128</v>
      </c>
      <c r="B288" s="431" t="s">
        <v>1129</v>
      </c>
      <c r="C288" s="431" t="s">
        <v>584</v>
      </c>
      <c r="D288" s="431" t="s">
        <v>931</v>
      </c>
      <c r="E288" s="431" t="s">
        <v>1130</v>
      </c>
      <c r="F288" s="431">
        <v>1133</v>
      </c>
      <c r="G288" s="431">
        <v>2006</v>
      </c>
      <c r="H288" s="431">
        <v>2027</v>
      </c>
      <c r="I288" s="431" t="b">
        <v>1</v>
      </c>
      <c r="J288" s="431" t="s">
        <v>891</v>
      </c>
      <c r="K288" s="431">
        <v>28355</v>
      </c>
      <c r="L288" s="431"/>
      <c r="M288" s="431"/>
      <c r="N288" s="431"/>
      <c r="O288" s="431" t="b">
        <v>1</v>
      </c>
      <c r="P288" s="431" t="b">
        <v>0</v>
      </c>
      <c r="Q288" s="431" t="s">
        <v>1131</v>
      </c>
      <c r="R288" s="431" t="s">
        <v>1132</v>
      </c>
      <c r="S288" s="431" t="s">
        <v>1133</v>
      </c>
      <c r="T288" s="431" t="s">
        <v>1134</v>
      </c>
      <c r="U288" s="431"/>
      <c r="V288" s="431" t="s">
        <v>1135</v>
      </c>
      <c r="W288" s="432">
        <v>43585.592141712965</v>
      </c>
      <c r="X288" s="432">
        <v>44616.048789247689</v>
      </c>
      <c r="Y288" s="431"/>
      <c r="Z288" s="433">
        <v>40330</v>
      </c>
      <c r="AA288" s="433">
        <v>40633</v>
      </c>
      <c r="AB288" s="433">
        <v>41593</v>
      </c>
      <c r="AC288" s="433">
        <v>41619</v>
      </c>
      <c r="AD288" s="436">
        <f t="shared" si="4"/>
        <v>1350.2380952380952</v>
      </c>
    </row>
    <row r="289" spans="1:30" ht="14">
      <c r="A289" s="431" t="s">
        <v>1128</v>
      </c>
      <c r="B289" s="431" t="s">
        <v>1129</v>
      </c>
      <c r="C289" s="431" t="s">
        <v>584</v>
      </c>
      <c r="D289" s="431" t="s">
        <v>3622</v>
      </c>
      <c r="E289" s="431" t="s">
        <v>3623</v>
      </c>
      <c r="F289" s="431">
        <v>1873</v>
      </c>
      <c r="G289" s="431">
        <v>2016</v>
      </c>
      <c r="H289" s="431">
        <v>2036</v>
      </c>
      <c r="I289" s="431" t="b">
        <v>1</v>
      </c>
      <c r="J289" s="431" t="s">
        <v>891</v>
      </c>
      <c r="K289" s="431">
        <v>32500</v>
      </c>
      <c r="L289" s="431"/>
      <c r="M289" s="431"/>
      <c r="N289" s="431"/>
      <c r="O289" s="431" t="b">
        <v>1</v>
      </c>
      <c r="P289" s="431" t="b">
        <v>1</v>
      </c>
      <c r="Q289" s="431" t="s">
        <v>3624</v>
      </c>
      <c r="R289" s="431"/>
      <c r="S289" s="431"/>
      <c r="T289" s="431" t="s">
        <v>3625</v>
      </c>
      <c r="U289" s="431" t="s">
        <v>3626</v>
      </c>
      <c r="V289" s="431" t="s">
        <v>3627</v>
      </c>
      <c r="W289" s="432">
        <v>43585.592110115744</v>
      </c>
      <c r="X289" s="432">
        <v>44616.048784398146</v>
      </c>
      <c r="Y289" s="431"/>
      <c r="Z289" s="433">
        <v>43061</v>
      </c>
      <c r="AA289" s="433">
        <v>43203</v>
      </c>
      <c r="AB289" s="431"/>
      <c r="AC289" s="431"/>
      <c r="AD289" s="436">
        <f t="shared" si="4"/>
        <v>1625</v>
      </c>
    </row>
    <row r="290" spans="1:30" ht="14">
      <c r="A290" s="431" t="s">
        <v>2439</v>
      </c>
      <c r="B290" s="431" t="s">
        <v>2440</v>
      </c>
      <c r="C290" s="431" t="s">
        <v>548</v>
      </c>
      <c r="D290" s="431" t="s">
        <v>2441</v>
      </c>
      <c r="E290" s="431" t="s">
        <v>2442</v>
      </c>
      <c r="F290" s="431">
        <v>1293</v>
      </c>
      <c r="G290" s="431">
        <v>2011</v>
      </c>
      <c r="H290" s="431">
        <v>2028</v>
      </c>
      <c r="I290" s="431" t="b">
        <v>1</v>
      </c>
      <c r="J290" s="431" t="s">
        <v>891</v>
      </c>
      <c r="K290" s="431">
        <v>13150</v>
      </c>
      <c r="L290" s="431"/>
      <c r="M290" s="431"/>
      <c r="N290" s="431"/>
      <c r="O290" s="431" t="b">
        <v>1</v>
      </c>
      <c r="P290" s="431" t="b">
        <v>0</v>
      </c>
      <c r="Q290" s="431" t="s">
        <v>2443</v>
      </c>
      <c r="R290" s="431" t="s">
        <v>2444</v>
      </c>
      <c r="S290" s="431" t="s">
        <v>2445</v>
      </c>
      <c r="T290" s="431"/>
      <c r="U290" s="431"/>
      <c r="V290" s="431" t="s">
        <v>2446</v>
      </c>
      <c r="W290" s="432">
        <v>43585.592140173612</v>
      </c>
      <c r="X290" s="432">
        <v>44616.046104918983</v>
      </c>
      <c r="Y290" s="431"/>
      <c r="Z290" s="433">
        <v>40991</v>
      </c>
      <c r="AA290" s="433">
        <v>41213</v>
      </c>
      <c r="AB290" s="433">
        <v>41981</v>
      </c>
      <c r="AC290" s="433">
        <v>41995</v>
      </c>
      <c r="AD290" s="436">
        <f t="shared" si="4"/>
        <v>773.52941176470586</v>
      </c>
    </row>
    <row r="291" spans="1:30" ht="14">
      <c r="A291" s="431" t="s">
        <v>2439</v>
      </c>
      <c r="B291" s="431" t="s">
        <v>2440</v>
      </c>
      <c r="C291" s="431" t="s">
        <v>548</v>
      </c>
      <c r="D291" s="431" t="s">
        <v>3608</v>
      </c>
      <c r="E291" s="431" t="s">
        <v>3609</v>
      </c>
      <c r="F291" s="431">
        <v>2091</v>
      </c>
      <c r="G291" s="431">
        <v>2018</v>
      </c>
      <c r="H291" s="431">
        <v>2038</v>
      </c>
      <c r="I291" s="431" t="b">
        <v>1</v>
      </c>
      <c r="J291" s="431" t="s">
        <v>891</v>
      </c>
      <c r="K291" s="431">
        <v>12080</v>
      </c>
      <c r="L291" s="431"/>
      <c r="M291" s="431"/>
      <c r="N291" s="431"/>
      <c r="O291" s="431" t="b">
        <v>1</v>
      </c>
      <c r="P291" s="431" t="b">
        <v>1</v>
      </c>
      <c r="Q291" s="431" t="s">
        <v>3610</v>
      </c>
      <c r="R291" s="431" t="s">
        <v>3611</v>
      </c>
      <c r="S291" s="431" t="s">
        <v>3612</v>
      </c>
      <c r="T291" s="431"/>
      <c r="U291" s="431" t="s">
        <v>3613</v>
      </c>
      <c r="V291" s="431" t="s">
        <v>3614</v>
      </c>
      <c r="W291" s="432">
        <v>44097.359115185187</v>
      </c>
      <c r="X291" s="432">
        <v>44616.048697256942</v>
      </c>
      <c r="Y291" s="431"/>
      <c r="Z291" s="431"/>
      <c r="AA291" s="431"/>
      <c r="AB291" s="431"/>
      <c r="AC291" s="431"/>
      <c r="AD291" s="436">
        <f t="shared" si="4"/>
        <v>604</v>
      </c>
    </row>
    <row r="292" spans="1:30" ht="14">
      <c r="A292" s="431" t="s">
        <v>3748</v>
      </c>
      <c r="B292" s="431" t="s">
        <v>3749</v>
      </c>
      <c r="C292" s="431" t="s">
        <v>594</v>
      </c>
      <c r="D292" s="431" t="s">
        <v>753</v>
      </c>
      <c r="E292" s="431" t="s">
        <v>3737</v>
      </c>
      <c r="F292" s="431">
        <v>1350</v>
      </c>
      <c r="G292" s="431">
        <v>2008</v>
      </c>
      <c r="H292" s="431">
        <v>2026</v>
      </c>
      <c r="I292" s="431" t="b">
        <v>1</v>
      </c>
      <c r="J292" s="431" t="s">
        <v>891</v>
      </c>
      <c r="K292" s="431"/>
      <c r="L292" s="431"/>
      <c r="M292" s="431"/>
      <c r="N292" s="431">
        <v>36820</v>
      </c>
      <c r="O292" s="431" t="b">
        <v>1</v>
      </c>
      <c r="P292" s="431" t="b">
        <v>1</v>
      </c>
      <c r="Q292" s="431" t="s">
        <v>3738</v>
      </c>
      <c r="R292" s="431" t="s">
        <v>3739</v>
      </c>
      <c r="S292" s="431" t="s">
        <v>3740</v>
      </c>
      <c r="T292" s="431" t="s">
        <v>4040</v>
      </c>
      <c r="U292" s="431" t="s">
        <v>3741</v>
      </c>
      <c r="V292" s="431" t="s">
        <v>3742</v>
      </c>
      <c r="W292" s="432">
        <v>43585.592136319443</v>
      </c>
      <c r="X292" s="432">
        <v>44616.048089155091</v>
      </c>
      <c r="Y292" s="431"/>
      <c r="Z292" s="433">
        <v>41131</v>
      </c>
      <c r="AA292" s="433">
        <v>41309</v>
      </c>
      <c r="AB292" s="433">
        <v>41591</v>
      </c>
      <c r="AC292" s="433">
        <v>41649</v>
      </c>
      <c r="AD292" s="436">
        <f t="shared" si="4"/>
        <v>2045.5555555555557</v>
      </c>
    </row>
    <row r="293" spans="1:30" ht="14">
      <c r="A293" s="431" t="s">
        <v>3748</v>
      </c>
      <c r="B293" s="431" t="s">
        <v>3749</v>
      </c>
      <c r="C293" s="431" t="s">
        <v>594</v>
      </c>
      <c r="D293" s="431" t="s">
        <v>3743</v>
      </c>
      <c r="E293" s="431" t="s">
        <v>3744</v>
      </c>
      <c r="F293" s="431">
        <v>2254</v>
      </c>
      <c r="G293" s="431">
        <v>2018</v>
      </c>
      <c r="H293" s="431">
        <v>2038</v>
      </c>
      <c r="I293" s="431" t="b">
        <v>1</v>
      </c>
      <c r="J293" s="431" t="s">
        <v>891</v>
      </c>
      <c r="K293" s="431"/>
      <c r="L293" s="431"/>
      <c r="M293" s="431"/>
      <c r="N293" s="431">
        <v>49492</v>
      </c>
      <c r="O293" s="431" t="b">
        <v>1</v>
      </c>
      <c r="P293" s="431" t="b">
        <v>1</v>
      </c>
      <c r="Q293" s="431" t="s">
        <v>4041</v>
      </c>
      <c r="R293" s="431" t="s">
        <v>3745</v>
      </c>
      <c r="S293" s="431" t="s">
        <v>4042</v>
      </c>
      <c r="T293" s="431"/>
      <c r="U293" s="431"/>
      <c r="V293" s="431" t="s">
        <v>4043</v>
      </c>
      <c r="W293" s="432">
        <v>43669.535810266207</v>
      </c>
      <c r="X293" s="432">
        <v>44616.047184513889</v>
      </c>
      <c r="Y293" s="431"/>
      <c r="Z293" s="433">
        <v>44228</v>
      </c>
      <c r="AA293" s="433">
        <v>44407</v>
      </c>
      <c r="AB293" s="431"/>
      <c r="AC293" s="431"/>
      <c r="AD293" s="436">
        <f t="shared" si="4"/>
        <v>2474.6</v>
      </c>
    </row>
    <row r="294" spans="1:30" ht="14">
      <c r="A294" s="431" t="s">
        <v>2462</v>
      </c>
      <c r="B294" s="431" t="s">
        <v>2463</v>
      </c>
      <c r="C294" s="431" t="s">
        <v>598</v>
      </c>
      <c r="D294" s="431" t="s">
        <v>4387</v>
      </c>
      <c r="E294" s="431" t="s">
        <v>2464</v>
      </c>
      <c r="F294" s="431">
        <v>1859</v>
      </c>
      <c r="G294" s="431">
        <v>2011</v>
      </c>
      <c r="H294" s="431">
        <v>2035</v>
      </c>
      <c r="I294" s="431" t="b">
        <v>1</v>
      </c>
      <c r="J294" s="431" t="s">
        <v>891</v>
      </c>
      <c r="K294" s="431">
        <v>23550</v>
      </c>
      <c r="L294" s="431"/>
      <c r="M294" s="431"/>
      <c r="N294" s="431"/>
      <c r="O294" s="431" t="b">
        <v>1</v>
      </c>
      <c r="P294" s="431" t="b">
        <v>0</v>
      </c>
      <c r="Q294" s="431" t="s">
        <v>4388</v>
      </c>
      <c r="R294" s="431" t="s">
        <v>4389</v>
      </c>
      <c r="S294" s="431" t="s">
        <v>4390</v>
      </c>
      <c r="T294" s="431"/>
      <c r="U294" s="431" t="s">
        <v>4391</v>
      </c>
      <c r="V294" s="431" t="s">
        <v>4392</v>
      </c>
      <c r="W294" s="432">
        <v>43585.592120150461</v>
      </c>
      <c r="X294" s="432">
        <v>44616.042096990743</v>
      </c>
      <c r="Y294" s="431"/>
      <c r="Z294" s="433">
        <v>43472</v>
      </c>
      <c r="AA294" s="433">
        <v>43553</v>
      </c>
      <c r="AB294" s="433">
        <v>44162</v>
      </c>
      <c r="AC294" s="433">
        <v>44175</v>
      </c>
      <c r="AD294" s="436">
        <f t="shared" si="4"/>
        <v>981.25</v>
      </c>
    </row>
    <row r="295" spans="1:30" ht="14">
      <c r="A295" s="431" t="s">
        <v>2462</v>
      </c>
      <c r="B295" s="431" t="s">
        <v>2463</v>
      </c>
      <c r="C295" s="431" t="s">
        <v>598</v>
      </c>
      <c r="D295" s="431" t="s">
        <v>3786</v>
      </c>
      <c r="E295" s="431" t="s">
        <v>3787</v>
      </c>
      <c r="F295" s="431">
        <v>2085</v>
      </c>
      <c r="G295" s="431">
        <v>2020</v>
      </c>
      <c r="H295" s="431">
        <v>2050</v>
      </c>
      <c r="I295" s="431" t="b">
        <v>1</v>
      </c>
      <c r="J295" s="431"/>
      <c r="K295" s="431"/>
      <c r="L295" s="431"/>
      <c r="M295" s="431"/>
      <c r="N295" s="431"/>
      <c r="O295" s="431" t="b">
        <v>0</v>
      </c>
      <c r="P295" s="431" t="b">
        <v>1</v>
      </c>
      <c r="Q295" s="431"/>
      <c r="R295" s="431"/>
      <c r="S295" s="431"/>
      <c r="T295" s="431"/>
      <c r="U295" s="431"/>
      <c r="V295" s="431"/>
      <c r="W295" s="432">
        <v>44146.567369247685</v>
      </c>
      <c r="X295" s="432">
        <v>44146.569047962963</v>
      </c>
      <c r="Y295" s="431" t="s">
        <v>978</v>
      </c>
      <c r="Z295" s="431"/>
      <c r="AA295" s="431"/>
      <c r="AB295" s="431"/>
      <c r="AC295" s="431"/>
      <c r="AD295" s="436" t="str">
        <f t="shared" si="4"/>
        <v/>
      </c>
    </row>
    <row r="296" spans="1:30" ht="14">
      <c r="A296" s="431" t="s">
        <v>2494</v>
      </c>
      <c r="B296" s="431" t="s">
        <v>2495</v>
      </c>
      <c r="C296" s="431" t="s">
        <v>602</v>
      </c>
      <c r="D296" s="431" t="s">
        <v>2496</v>
      </c>
      <c r="E296" s="431" t="s">
        <v>2497</v>
      </c>
      <c r="F296" s="431">
        <v>1323</v>
      </c>
      <c r="G296" s="431">
        <v>2006</v>
      </c>
      <c r="H296" s="431">
        <v>2028</v>
      </c>
      <c r="I296" s="431" t="b">
        <v>1</v>
      </c>
      <c r="J296" s="431" t="s">
        <v>891</v>
      </c>
      <c r="K296" s="431">
        <v>15950</v>
      </c>
      <c r="L296" s="431"/>
      <c r="M296" s="431"/>
      <c r="N296" s="431"/>
      <c r="O296" s="431" t="b">
        <v>1</v>
      </c>
      <c r="P296" s="431" t="b">
        <v>0</v>
      </c>
      <c r="Q296" s="431" t="s">
        <v>2498</v>
      </c>
      <c r="R296" s="431" t="s">
        <v>2499</v>
      </c>
      <c r="S296" s="431" t="s">
        <v>2500</v>
      </c>
      <c r="T296" s="431"/>
      <c r="U296" s="431"/>
      <c r="V296" s="431" t="s">
        <v>2501</v>
      </c>
      <c r="W296" s="432">
        <v>43585.5921084375</v>
      </c>
      <c r="X296" s="432">
        <v>44616.04631795139</v>
      </c>
      <c r="Y296" s="431"/>
      <c r="Z296" s="433">
        <v>41088</v>
      </c>
      <c r="AA296" s="433">
        <v>41295</v>
      </c>
      <c r="AB296" s="433">
        <v>42012</v>
      </c>
      <c r="AC296" s="433">
        <v>42068</v>
      </c>
      <c r="AD296" s="436">
        <f t="shared" si="4"/>
        <v>725</v>
      </c>
    </row>
    <row r="297" spans="1:30" ht="14">
      <c r="A297" s="431" t="s">
        <v>2494</v>
      </c>
      <c r="B297" s="431" t="s">
        <v>2495</v>
      </c>
      <c r="C297" s="431" t="s">
        <v>602</v>
      </c>
      <c r="D297" s="431" t="s">
        <v>1647</v>
      </c>
      <c r="E297" s="431" t="s">
        <v>2502</v>
      </c>
      <c r="F297" s="431">
        <v>2158</v>
      </c>
      <c r="G297" s="431">
        <v>2020</v>
      </c>
      <c r="H297" s="431">
        <v>2040</v>
      </c>
      <c r="I297" s="431" t="b">
        <v>1</v>
      </c>
      <c r="J297" s="431" t="s">
        <v>891</v>
      </c>
      <c r="K297" s="431">
        <v>14510</v>
      </c>
      <c r="L297" s="431"/>
      <c r="M297" s="431"/>
      <c r="N297" s="431"/>
      <c r="O297" s="431" t="b">
        <v>1</v>
      </c>
      <c r="P297" s="431" t="b">
        <v>0</v>
      </c>
      <c r="Q297" s="431" t="s">
        <v>2503</v>
      </c>
      <c r="R297" s="431" t="s">
        <v>2504</v>
      </c>
      <c r="S297" s="431" t="s">
        <v>2505</v>
      </c>
      <c r="T297" s="431"/>
      <c r="U297" s="431" t="s">
        <v>4393</v>
      </c>
      <c r="V297" s="431" t="s">
        <v>2507</v>
      </c>
      <c r="W297" s="432">
        <v>43585.592135752318</v>
      </c>
      <c r="X297" s="432">
        <v>44616.048659502318</v>
      </c>
      <c r="Y297" s="431"/>
      <c r="Z297" s="431"/>
      <c r="AA297" s="431"/>
      <c r="AB297" s="431"/>
      <c r="AC297" s="431"/>
      <c r="AD297" s="436">
        <f t="shared" si="4"/>
        <v>725.5</v>
      </c>
    </row>
    <row r="298" spans="1:30" ht="14">
      <c r="A298" s="431" t="s">
        <v>1363</v>
      </c>
      <c r="B298" s="431" t="s">
        <v>1364</v>
      </c>
      <c r="C298" s="431" t="s">
        <v>572</v>
      </c>
      <c r="D298" s="431" t="s">
        <v>1365</v>
      </c>
      <c r="E298" s="431" t="s">
        <v>1366</v>
      </c>
      <c r="F298" s="431">
        <v>1181</v>
      </c>
      <c r="G298" s="431">
        <v>2006</v>
      </c>
      <c r="H298" s="431">
        <v>2026</v>
      </c>
      <c r="I298" s="431" t="b">
        <v>1</v>
      </c>
      <c r="J298" s="431" t="s">
        <v>891</v>
      </c>
      <c r="K298" s="431">
        <v>27500</v>
      </c>
      <c r="L298" s="431"/>
      <c r="M298" s="431"/>
      <c r="N298" s="431"/>
      <c r="O298" s="431" t="b">
        <v>1</v>
      </c>
      <c r="P298" s="431" t="b">
        <v>0</v>
      </c>
      <c r="Q298" s="431" t="s">
        <v>1367</v>
      </c>
      <c r="R298" s="431" t="s">
        <v>1368</v>
      </c>
      <c r="S298" s="431" t="s">
        <v>1369</v>
      </c>
      <c r="T298" s="431" t="s">
        <v>4394</v>
      </c>
      <c r="U298" s="431"/>
      <c r="V298" s="431" t="s">
        <v>1370</v>
      </c>
      <c r="W298" s="432">
        <v>43585.592141400462</v>
      </c>
      <c r="X298" s="432">
        <v>44616.043082442127</v>
      </c>
      <c r="Y298" s="431"/>
      <c r="Z298" s="433">
        <v>40224</v>
      </c>
      <c r="AA298" s="433">
        <v>40389</v>
      </c>
      <c r="AB298" s="433">
        <v>40581</v>
      </c>
      <c r="AC298" s="433">
        <v>40598</v>
      </c>
      <c r="AD298" s="436">
        <f t="shared" si="4"/>
        <v>1375</v>
      </c>
    </row>
    <row r="299" spans="1:30" ht="14">
      <c r="A299" s="431" t="s">
        <v>1363</v>
      </c>
      <c r="B299" s="431" t="s">
        <v>1364</v>
      </c>
      <c r="C299" s="431" t="s">
        <v>572</v>
      </c>
      <c r="D299" s="431" t="s">
        <v>1371</v>
      </c>
      <c r="E299" s="431" t="s">
        <v>1372</v>
      </c>
      <c r="F299" s="431">
        <v>2011</v>
      </c>
      <c r="G299" s="431">
        <v>2016</v>
      </c>
      <c r="H299" s="431">
        <v>2038</v>
      </c>
      <c r="I299" s="431" t="b">
        <v>1</v>
      </c>
      <c r="J299" s="431" t="s">
        <v>891</v>
      </c>
      <c r="K299" s="431">
        <v>30800</v>
      </c>
      <c r="L299" s="431"/>
      <c r="M299" s="431"/>
      <c r="N299" s="431"/>
      <c r="O299" s="431" t="b">
        <v>1</v>
      </c>
      <c r="P299" s="431" t="b">
        <v>0</v>
      </c>
      <c r="Q299" s="431" t="s">
        <v>4395</v>
      </c>
      <c r="R299" s="431" t="s">
        <v>1373</v>
      </c>
      <c r="S299" s="431" t="s">
        <v>4396</v>
      </c>
      <c r="T299" s="431" t="s">
        <v>4397</v>
      </c>
      <c r="U299" s="431" t="s">
        <v>4398</v>
      </c>
      <c r="V299" s="431" t="s">
        <v>4399</v>
      </c>
      <c r="W299" s="432">
        <v>43670.637431550924</v>
      </c>
      <c r="X299" s="432">
        <v>44616.04705710648</v>
      </c>
      <c r="Y299" s="431"/>
      <c r="Z299" s="433">
        <v>44183</v>
      </c>
      <c r="AA299" s="433">
        <v>44442</v>
      </c>
      <c r="AB299" s="431"/>
      <c r="AC299" s="431"/>
      <c r="AD299" s="436">
        <f t="shared" si="4"/>
        <v>1400</v>
      </c>
    </row>
    <row r="300" spans="1:30" ht="14">
      <c r="A300" s="431" t="s">
        <v>3453</v>
      </c>
      <c r="B300" s="431" t="s">
        <v>3454</v>
      </c>
      <c r="C300" s="431" t="s">
        <v>640</v>
      </c>
      <c r="D300" s="431" t="s">
        <v>3455</v>
      </c>
      <c r="E300" s="431" t="s">
        <v>3456</v>
      </c>
      <c r="F300" s="431">
        <v>1810</v>
      </c>
      <c r="G300" s="431">
        <v>2016</v>
      </c>
      <c r="H300" s="431">
        <v>2031</v>
      </c>
      <c r="I300" s="431" t="b">
        <v>1</v>
      </c>
      <c r="J300" s="431" t="s">
        <v>891</v>
      </c>
      <c r="K300" s="431">
        <v>6405</v>
      </c>
      <c r="L300" s="431"/>
      <c r="M300" s="431"/>
      <c r="N300" s="431"/>
      <c r="O300" s="431" t="b">
        <v>1</v>
      </c>
      <c r="P300" s="431" t="b">
        <v>0</v>
      </c>
      <c r="Q300" s="431" t="s">
        <v>3457</v>
      </c>
      <c r="R300" s="431"/>
      <c r="S300" s="431"/>
      <c r="T300" s="431" t="s">
        <v>4400</v>
      </c>
      <c r="U300" s="431"/>
      <c r="V300" s="431" t="s">
        <v>3458</v>
      </c>
      <c r="W300" s="432">
        <v>43585.592130243058</v>
      </c>
      <c r="X300" s="432">
        <v>44616.04449359954</v>
      </c>
      <c r="Y300" s="431"/>
      <c r="Z300" s="433">
        <v>42744</v>
      </c>
      <c r="AA300" s="433">
        <v>42837</v>
      </c>
      <c r="AB300" s="433">
        <v>43130</v>
      </c>
      <c r="AC300" s="433">
        <v>43157</v>
      </c>
      <c r="AD300" s="436">
        <f t="shared" si="4"/>
        <v>427</v>
      </c>
    </row>
    <row r="301" spans="1:30" ht="14">
      <c r="A301" s="431" t="s">
        <v>3647</v>
      </c>
      <c r="B301" s="431" t="s">
        <v>3648</v>
      </c>
      <c r="C301" s="431" t="s">
        <v>586</v>
      </c>
      <c r="D301" s="431" t="s">
        <v>749</v>
      </c>
      <c r="E301" s="431" t="s">
        <v>3629</v>
      </c>
      <c r="F301" s="431">
        <v>1819</v>
      </c>
      <c r="G301" s="431">
        <v>2014</v>
      </c>
      <c r="H301" s="431">
        <v>2034</v>
      </c>
      <c r="I301" s="431" t="b">
        <v>1</v>
      </c>
      <c r="J301" s="431" t="s">
        <v>891</v>
      </c>
      <c r="K301" s="431"/>
      <c r="L301" s="431"/>
      <c r="M301" s="431"/>
      <c r="N301" s="431">
        <v>26700</v>
      </c>
      <c r="O301" s="431" t="b">
        <v>1</v>
      </c>
      <c r="P301" s="431" t="b">
        <v>1</v>
      </c>
      <c r="Q301" s="431" t="s">
        <v>3630</v>
      </c>
      <c r="R301" s="431"/>
      <c r="S301" s="431"/>
      <c r="T301" s="431" t="s">
        <v>3631</v>
      </c>
      <c r="U301" s="431"/>
      <c r="V301" s="431" t="s">
        <v>3632</v>
      </c>
      <c r="W301" s="432">
        <v>43585.592142037036</v>
      </c>
      <c r="X301" s="432">
        <v>44616.042032048608</v>
      </c>
      <c r="Y301" s="431"/>
      <c r="Z301" s="433">
        <v>42809</v>
      </c>
      <c r="AA301" s="433">
        <v>42947</v>
      </c>
      <c r="AB301" s="433">
        <v>43542</v>
      </c>
      <c r="AC301" s="433">
        <v>43550</v>
      </c>
      <c r="AD301" s="436">
        <f t="shared" si="4"/>
        <v>1335</v>
      </c>
    </row>
    <row r="302" spans="1:30" ht="14">
      <c r="A302" s="431" t="s">
        <v>1497</v>
      </c>
      <c r="B302" s="431" t="s">
        <v>1498</v>
      </c>
      <c r="C302" s="431" t="s">
        <v>580</v>
      </c>
      <c r="D302" s="431" t="s">
        <v>1499</v>
      </c>
      <c r="E302" s="431" t="s">
        <v>1500</v>
      </c>
      <c r="F302" s="431">
        <v>1401</v>
      </c>
      <c r="G302" s="431">
        <v>2011</v>
      </c>
      <c r="H302" s="431">
        <v>2031</v>
      </c>
      <c r="I302" s="431" t="b">
        <v>1</v>
      </c>
      <c r="J302" s="431" t="s">
        <v>891</v>
      </c>
      <c r="K302" s="431">
        <v>19500</v>
      </c>
      <c r="L302" s="431"/>
      <c r="M302" s="431"/>
      <c r="N302" s="431"/>
      <c r="O302" s="431" t="b">
        <v>1</v>
      </c>
      <c r="P302" s="431" t="b">
        <v>0</v>
      </c>
      <c r="Q302" s="431" t="s">
        <v>1501</v>
      </c>
      <c r="R302" s="431" t="s">
        <v>1502</v>
      </c>
      <c r="S302" s="431" t="s">
        <v>1503</v>
      </c>
      <c r="T302" s="431" t="s">
        <v>4401</v>
      </c>
      <c r="U302" s="431"/>
      <c r="V302" s="431" t="s">
        <v>1504</v>
      </c>
      <c r="W302" s="432">
        <v>43585.59214119213</v>
      </c>
      <c r="X302" s="432">
        <v>44616.048438449077</v>
      </c>
      <c r="Y302" s="431"/>
      <c r="Z302" s="433">
        <v>41474</v>
      </c>
      <c r="AA302" s="433">
        <v>41726</v>
      </c>
      <c r="AB302" s="433">
        <v>43341</v>
      </c>
      <c r="AC302" s="433">
        <v>43370</v>
      </c>
      <c r="AD302" s="436">
        <f t="shared" si="4"/>
        <v>975</v>
      </c>
    </row>
    <row r="303" spans="1:30" ht="14">
      <c r="A303" s="431" t="s">
        <v>1497</v>
      </c>
      <c r="B303" s="431" t="s">
        <v>1498</v>
      </c>
      <c r="C303" s="431" t="s">
        <v>580</v>
      </c>
      <c r="D303" s="431" t="s">
        <v>4127</v>
      </c>
      <c r="E303" s="431" t="s">
        <v>4128</v>
      </c>
      <c r="F303" s="431">
        <v>2139</v>
      </c>
      <c r="G303" s="431">
        <v>2017</v>
      </c>
      <c r="H303" s="431">
        <v>2040</v>
      </c>
      <c r="I303" s="431" t="b">
        <v>1</v>
      </c>
      <c r="J303" s="431"/>
      <c r="K303" s="431"/>
      <c r="L303" s="431"/>
      <c r="M303" s="431"/>
      <c r="N303" s="431"/>
      <c r="O303" s="431" t="b">
        <v>0</v>
      </c>
      <c r="P303" s="431" t="b">
        <v>1</v>
      </c>
      <c r="Q303" s="431"/>
      <c r="R303" s="431"/>
      <c r="S303" s="431"/>
      <c r="T303" s="431"/>
      <c r="U303" s="431"/>
      <c r="V303" s="431"/>
      <c r="W303" s="432">
        <v>44361.655118356481</v>
      </c>
      <c r="X303" s="432">
        <v>44361.658614618056</v>
      </c>
      <c r="Y303" s="431" t="s">
        <v>978</v>
      </c>
      <c r="Z303" s="431"/>
      <c r="AA303" s="431"/>
      <c r="AB303" s="431"/>
      <c r="AC303" s="431"/>
      <c r="AD303" s="436" t="str">
        <f t="shared" si="4"/>
        <v/>
      </c>
    </row>
    <row r="304" spans="1:30" ht="14">
      <c r="A304" s="431" t="s">
        <v>1136</v>
      </c>
      <c r="B304" s="431" t="s">
        <v>1137</v>
      </c>
      <c r="C304" s="431" t="s">
        <v>670</v>
      </c>
      <c r="D304" s="431" t="s">
        <v>1138</v>
      </c>
      <c r="E304" s="431" t="s">
        <v>1139</v>
      </c>
      <c r="F304" s="431">
        <v>456</v>
      </c>
      <c r="G304" s="431">
        <v>2012</v>
      </c>
      <c r="H304" s="431">
        <v>2030</v>
      </c>
      <c r="I304" s="431" t="b">
        <v>1</v>
      </c>
      <c r="J304" s="431" t="s">
        <v>891</v>
      </c>
      <c r="K304" s="431">
        <v>8900</v>
      </c>
      <c r="L304" s="431"/>
      <c r="M304" s="431"/>
      <c r="N304" s="431"/>
      <c r="O304" s="431" t="b">
        <v>1</v>
      </c>
      <c r="P304" s="431" t="b">
        <v>0</v>
      </c>
      <c r="Q304" s="431" t="s">
        <v>1140</v>
      </c>
      <c r="R304" s="431" t="s">
        <v>1141</v>
      </c>
      <c r="S304" s="431" t="s">
        <v>1142</v>
      </c>
      <c r="T304" s="431" t="s">
        <v>4402</v>
      </c>
      <c r="U304" s="431"/>
      <c r="V304" s="431" t="s">
        <v>1143</v>
      </c>
      <c r="W304" s="432">
        <v>43585.592112222221</v>
      </c>
      <c r="X304" s="432">
        <v>44616.047968125</v>
      </c>
      <c r="Y304" s="431"/>
      <c r="Z304" s="433">
        <v>41694</v>
      </c>
      <c r="AA304" s="433">
        <v>41851</v>
      </c>
      <c r="AB304" s="433">
        <v>42289</v>
      </c>
      <c r="AC304" s="433">
        <v>42348</v>
      </c>
      <c r="AD304" s="436">
        <f t="shared" si="4"/>
        <v>494.44444444444446</v>
      </c>
    </row>
    <row r="305" spans="1:30" ht="14">
      <c r="A305" s="431" t="s">
        <v>1650</v>
      </c>
      <c r="B305" s="431" t="s">
        <v>1651</v>
      </c>
      <c r="C305" s="431" t="s">
        <v>652</v>
      </c>
      <c r="D305" s="431" t="s">
        <v>1652</v>
      </c>
      <c r="E305" s="431" t="s">
        <v>1653</v>
      </c>
      <c r="F305" s="431">
        <v>1371</v>
      </c>
      <c r="G305" s="431">
        <v>2013</v>
      </c>
      <c r="H305" s="431">
        <v>2033</v>
      </c>
      <c r="I305" s="431" t="b">
        <v>1</v>
      </c>
      <c r="J305" s="431" t="s">
        <v>891</v>
      </c>
      <c r="K305" s="431">
        <v>12400</v>
      </c>
      <c r="L305" s="431"/>
      <c r="M305" s="431"/>
      <c r="N305" s="431"/>
      <c r="O305" s="431" t="b">
        <v>1</v>
      </c>
      <c r="P305" s="431" t="b">
        <v>0</v>
      </c>
      <c r="Q305" s="431" t="s">
        <v>1654</v>
      </c>
      <c r="R305" s="431" t="s">
        <v>1655</v>
      </c>
      <c r="S305" s="431" t="s">
        <v>1656</v>
      </c>
      <c r="T305" s="431"/>
      <c r="U305" s="431"/>
      <c r="V305" s="431" t="s">
        <v>1657</v>
      </c>
      <c r="W305" s="432">
        <v>43585.592110983795</v>
      </c>
      <c r="X305" s="432">
        <v>44616.047469965277</v>
      </c>
      <c r="Y305" s="431"/>
      <c r="Z305" s="433">
        <v>41220</v>
      </c>
      <c r="AA305" s="433">
        <v>41445</v>
      </c>
      <c r="AB305" s="433">
        <v>41738</v>
      </c>
      <c r="AC305" s="433">
        <v>41765</v>
      </c>
      <c r="AD305" s="436">
        <f t="shared" si="4"/>
        <v>620</v>
      </c>
    </row>
    <row r="306" spans="1:30" ht="14">
      <c r="A306" s="431" t="s">
        <v>1650</v>
      </c>
      <c r="B306" s="431" t="s">
        <v>1651</v>
      </c>
      <c r="C306" s="431" t="s">
        <v>652</v>
      </c>
      <c r="D306" s="431" t="s">
        <v>1658</v>
      </c>
      <c r="E306" s="431" t="s">
        <v>1659</v>
      </c>
      <c r="F306" s="431">
        <v>2217</v>
      </c>
      <c r="G306" s="431">
        <v>2020</v>
      </c>
      <c r="H306" s="431">
        <v>2040</v>
      </c>
      <c r="I306" s="431" t="b">
        <v>1</v>
      </c>
      <c r="J306" s="431" t="s">
        <v>891</v>
      </c>
      <c r="K306" s="431">
        <v>15120</v>
      </c>
      <c r="L306" s="431"/>
      <c r="M306" s="431"/>
      <c r="N306" s="431"/>
      <c r="O306" s="431" t="b">
        <v>1</v>
      </c>
      <c r="P306" s="431" t="b">
        <v>0</v>
      </c>
      <c r="Q306" s="431" t="s">
        <v>1660</v>
      </c>
      <c r="R306" s="431" t="s">
        <v>1661</v>
      </c>
      <c r="S306" s="431" t="s">
        <v>1662</v>
      </c>
      <c r="T306" s="431"/>
      <c r="U306" s="431"/>
      <c r="V306" s="431" t="s">
        <v>1663</v>
      </c>
      <c r="W306" s="432">
        <v>43585.59213513889</v>
      </c>
      <c r="X306" s="432">
        <v>44616.046345856485</v>
      </c>
      <c r="Y306" s="431"/>
      <c r="Z306" s="431"/>
      <c r="AA306" s="431"/>
      <c r="AB306" s="431"/>
      <c r="AC306" s="431"/>
      <c r="AD306" s="436">
        <f t="shared" si="4"/>
        <v>756</v>
      </c>
    </row>
    <row r="307" spans="1:30" ht="14">
      <c r="A307" s="431" t="s">
        <v>1204</v>
      </c>
      <c r="B307" s="431" t="s">
        <v>1205</v>
      </c>
      <c r="C307" s="431" t="s">
        <v>666</v>
      </c>
      <c r="D307" s="431" t="s">
        <v>1214</v>
      </c>
      <c r="E307" s="431" t="s">
        <v>1215</v>
      </c>
      <c r="F307" s="431">
        <v>582</v>
      </c>
      <c r="G307" s="431">
        <v>2001</v>
      </c>
      <c r="H307" s="431">
        <v>2026</v>
      </c>
      <c r="I307" s="431" t="b">
        <v>1</v>
      </c>
      <c r="J307" s="431" t="s">
        <v>891</v>
      </c>
      <c r="K307" s="431">
        <v>23250</v>
      </c>
      <c r="L307" s="431"/>
      <c r="M307" s="431"/>
      <c r="N307" s="431"/>
      <c r="O307" s="431" t="b">
        <v>1</v>
      </c>
      <c r="P307" s="431" t="b">
        <v>0</v>
      </c>
      <c r="Q307" s="431" t="s">
        <v>1208</v>
      </c>
      <c r="R307" s="431" t="s">
        <v>1216</v>
      </c>
      <c r="S307" s="431" t="s">
        <v>1210</v>
      </c>
      <c r="T307" s="431"/>
      <c r="U307" s="431" t="s">
        <v>1217</v>
      </c>
      <c r="V307" s="431" t="s">
        <v>1218</v>
      </c>
      <c r="W307" s="432">
        <v>43585.592109791665</v>
      </c>
      <c r="X307" s="432">
        <v>44616.048344085648</v>
      </c>
      <c r="Y307" s="431"/>
      <c r="Z307" s="433">
        <v>40235</v>
      </c>
      <c r="AA307" s="433">
        <v>40298</v>
      </c>
      <c r="AB307" s="433">
        <v>40886</v>
      </c>
      <c r="AC307" s="433">
        <v>40898</v>
      </c>
      <c r="AD307" s="436">
        <f t="shared" si="4"/>
        <v>930</v>
      </c>
    </row>
    <row r="308" spans="1:30" ht="14">
      <c r="A308" s="431" t="s">
        <v>1204</v>
      </c>
      <c r="B308" s="431" t="s">
        <v>1205</v>
      </c>
      <c r="C308" s="431" t="s">
        <v>666</v>
      </c>
      <c r="D308" s="431" t="s">
        <v>1206</v>
      </c>
      <c r="E308" s="431" t="s">
        <v>1207</v>
      </c>
      <c r="F308" s="431">
        <v>1456</v>
      </c>
      <c r="G308" s="431">
        <v>2001</v>
      </c>
      <c r="H308" s="431">
        <v>2026</v>
      </c>
      <c r="I308" s="431" t="b">
        <v>1</v>
      </c>
      <c r="J308" s="431" t="s">
        <v>891</v>
      </c>
      <c r="K308" s="431">
        <v>23250</v>
      </c>
      <c r="L308" s="431"/>
      <c r="M308" s="431"/>
      <c r="N308" s="431"/>
      <c r="O308" s="431" t="b">
        <v>1</v>
      </c>
      <c r="P308" s="431" t="b">
        <v>0</v>
      </c>
      <c r="Q308" s="431" t="s">
        <v>1208</v>
      </c>
      <c r="R308" s="431" t="s">
        <v>1209</v>
      </c>
      <c r="S308" s="431" t="s">
        <v>1210</v>
      </c>
      <c r="T308" s="431" t="s">
        <v>1211</v>
      </c>
      <c r="U308" s="431" t="s">
        <v>1212</v>
      </c>
      <c r="V308" s="431" t="s">
        <v>1213</v>
      </c>
      <c r="W308" s="432">
        <v>43585.592111458333</v>
      </c>
      <c r="X308" s="432">
        <v>44616.042018900465</v>
      </c>
      <c r="Y308" s="431"/>
      <c r="Z308" s="433">
        <v>41418</v>
      </c>
      <c r="AA308" s="433">
        <v>41486</v>
      </c>
      <c r="AB308" s="433">
        <v>41927</v>
      </c>
      <c r="AC308" s="433">
        <v>42032</v>
      </c>
      <c r="AD308" s="436">
        <f t="shared" si="4"/>
        <v>930</v>
      </c>
    </row>
    <row r="309" spans="1:30" ht="14">
      <c r="A309" s="431" t="s">
        <v>1204</v>
      </c>
      <c r="B309" s="431" t="s">
        <v>1205</v>
      </c>
      <c r="C309" s="431" t="s">
        <v>666</v>
      </c>
      <c r="D309" s="431" t="s">
        <v>1219</v>
      </c>
      <c r="E309" s="431" t="s">
        <v>1220</v>
      </c>
      <c r="F309" s="431">
        <v>1953</v>
      </c>
      <c r="G309" s="431">
        <v>2014</v>
      </c>
      <c r="H309" s="431">
        <v>2037</v>
      </c>
      <c r="I309" s="431" t="b">
        <v>1</v>
      </c>
      <c r="J309" s="431"/>
      <c r="K309" s="431"/>
      <c r="L309" s="431"/>
      <c r="M309" s="431"/>
      <c r="N309" s="431"/>
      <c r="O309" s="431" t="b">
        <v>0</v>
      </c>
      <c r="P309" s="431" t="b">
        <v>0</v>
      </c>
      <c r="Q309" s="431"/>
      <c r="R309" s="431"/>
      <c r="S309" s="431"/>
      <c r="T309" s="431"/>
      <c r="U309" s="431"/>
      <c r="V309" s="431"/>
      <c r="W309" s="432">
        <v>43629.634123553238</v>
      </c>
      <c r="X309" s="432">
        <v>44375.633196805553</v>
      </c>
      <c r="Y309" s="431" t="s">
        <v>978</v>
      </c>
      <c r="Z309" s="431"/>
      <c r="AA309" s="431"/>
      <c r="AB309" s="431"/>
      <c r="AC309" s="431"/>
      <c r="AD309" s="436" t="str">
        <f t="shared" si="4"/>
        <v/>
      </c>
    </row>
    <row r="310" spans="1:30" ht="14">
      <c r="A310" s="431" t="s">
        <v>1826</v>
      </c>
      <c r="B310" s="431" t="s">
        <v>1827</v>
      </c>
      <c r="C310" s="431" t="s">
        <v>680</v>
      </c>
      <c r="D310" s="431" t="s">
        <v>1828</v>
      </c>
      <c r="E310" s="431" t="s">
        <v>1829</v>
      </c>
      <c r="F310" s="431">
        <v>1924</v>
      </c>
      <c r="G310" s="431">
        <v>2011</v>
      </c>
      <c r="H310" s="431">
        <v>2033</v>
      </c>
      <c r="I310" s="431" t="b">
        <v>1</v>
      </c>
      <c r="J310" s="431" t="s">
        <v>891</v>
      </c>
      <c r="K310" s="431">
        <v>14000</v>
      </c>
      <c r="L310" s="431"/>
      <c r="M310" s="431"/>
      <c r="N310" s="431"/>
      <c r="O310" s="431" t="b">
        <v>1</v>
      </c>
      <c r="P310" s="431" t="b">
        <v>0</v>
      </c>
      <c r="Q310" s="431" t="s">
        <v>1830</v>
      </c>
      <c r="R310" s="431" t="s">
        <v>1831</v>
      </c>
      <c r="S310" s="431" t="s">
        <v>1832</v>
      </c>
      <c r="T310" s="431" t="s">
        <v>4403</v>
      </c>
      <c r="U310" s="431"/>
      <c r="V310" s="431" t="s">
        <v>1833</v>
      </c>
      <c r="W310" s="432">
        <v>43585.592110046295</v>
      </c>
      <c r="X310" s="432">
        <v>44616.044080590276</v>
      </c>
      <c r="Y310" s="431"/>
      <c r="Z310" s="433">
        <v>43266</v>
      </c>
      <c r="AA310" s="433">
        <v>43483</v>
      </c>
      <c r="AB310" s="431"/>
      <c r="AC310" s="431"/>
      <c r="AD310" s="436">
        <f t="shared" si="4"/>
        <v>636.36363636363637</v>
      </c>
    </row>
    <row r="311" spans="1:30" ht="14">
      <c r="A311" s="431" t="s">
        <v>2386</v>
      </c>
      <c r="B311" s="431" t="s">
        <v>2387</v>
      </c>
      <c r="C311" s="431" t="s">
        <v>554</v>
      </c>
      <c r="D311" s="431" t="s">
        <v>2388</v>
      </c>
      <c r="E311" s="431" t="s">
        <v>2389</v>
      </c>
      <c r="F311" s="431">
        <v>791</v>
      </c>
      <c r="G311" s="431">
        <v>2012</v>
      </c>
      <c r="H311" s="431">
        <v>2027</v>
      </c>
      <c r="I311" s="431" t="b">
        <v>1</v>
      </c>
      <c r="J311" s="431" t="s">
        <v>891</v>
      </c>
      <c r="K311" s="431">
        <v>3000</v>
      </c>
      <c r="L311" s="431"/>
      <c r="M311" s="431"/>
      <c r="N311" s="431"/>
      <c r="O311" s="431" t="b">
        <v>1</v>
      </c>
      <c r="P311" s="431" t="b">
        <v>0</v>
      </c>
      <c r="Q311" s="431" t="s">
        <v>2390</v>
      </c>
      <c r="R311" s="431" t="s">
        <v>2391</v>
      </c>
      <c r="S311" s="431" t="s">
        <v>2392</v>
      </c>
      <c r="T311" s="431" t="s">
        <v>4404</v>
      </c>
      <c r="U311" s="431"/>
      <c r="V311" s="431" t="s">
        <v>2393</v>
      </c>
      <c r="W311" s="432">
        <v>43585.592139988425</v>
      </c>
      <c r="X311" s="432">
        <v>44616.048148275462</v>
      </c>
      <c r="Y311" s="431"/>
      <c r="Z311" s="433">
        <v>40933</v>
      </c>
      <c r="AA311" s="433">
        <v>41050</v>
      </c>
      <c r="AB311" s="433">
        <v>41500</v>
      </c>
      <c r="AC311" s="433">
        <v>41522</v>
      </c>
      <c r="AD311" s="436">
        <f t="shared" si="4"/>
        <v>200</v>
      </c>
    </row>
    <row r="312" spans="1:30" ht="14">
      <c r="A312" s="431" t="s">
        <v>2394</v>
      </c>
      <c r="B312" s="431" t="s">
        <v>2395</v>
      </c>
      <c r="C312" s="431" t="s">
        <v>560</v>
      </c>
      <c r="D312" s="431" t="s">
        <v>2396</v>
      </c>
      <c r="E312" s="431" t="s">
        <v>2397</v>
      </c>
      <c r="F312" s="431">
        <v>1715</v>
      </c>
      <c r="G312" s="431">
        <v>2011</v>
      </c>
      <c r="H312" s="431">
        <v>2032</v>
      </c>
      <c r="I312" s="431" t="b">
        <v>1</v>
      </c>
      <c r="J312" s="431" t="s">
        <v>891</v>
      </c>
      <c r="K312" s="431">
        <v>9450</v>
      </c>
      <c r="L312" s="431"/>
      <c r="M312" s="431"/>
      <c r="N312" s="431"/>
      <c r="O312" s="431" t="b">
        <v>1</v>
      </c>
      <c r="P312" s="431" t="b">
        <v>0</v>
      </c>
      <c r="Q312" s="431" t="s">
        <v>2398</v>
      </c>
      <c r="R312" s="431" t="s">
        <v>2399</v>
      </c>
      <c r="S312" s="431" t="s">
        <v>2400</v>
      </c>
      <c r="T312" s="431"/>
      <c r="U312" s="431"/>
      <c r="V312" s="431" t="s">
        <v>2401</v>
      </c>
      <c r="W312" s="432">
        <v>43585.592140925924</v>
      </c>
      <c r="X312" s="432">
        <v>44616.046077905092</v>
      </c>
      <c r="Y312" s="431"/>
      <c r="Z312" s="433">
        <v>42314</v>
      </c>
      <c r="AA312" s="433">
        <v>42499</v>
      </c>
      <c r="AB312" s="433">
        <v>42775</v>
      </c>
      <c r="AC312" s="433">
        <v>42919</v>
      </c>
      <c r="AD312" s="436">
        <f t="shared" si="4"/>
        <v>450</v>
      </c>
    </row>
    <row r="313" spans="1:30" ht="14">
      <c r="A313" s="431" t="s">
        <v>2394</v>
      </c>
      <c r="B313" s="431" t="s">
        <v>2395</v>
      </c>
      <c r="C313" s="431" t="s">
        <v>560</v>
      </c>
      <c r="D313" s="431" t="s">
        <v>4405</v>
      </c>
      <c r="E313" s="431" t="s">
        <v>4406</v>
      </c>
      <c r="F313" s="431">
        <v>2174</v>
      </c>
      <c r="G313" s="431">
        <v>2022</v>
      </c>
      <c r="H313" s="431">
        <v>2038</v>
      </c>
      <c r="I313" s="431" t="b">
        <v>1</v>
      </c>
      <c r="J313" s="431" t="s">
        <v>891</v>
      </c>
      <c r="K313" s="431">
        <v>5600</v>
      </c>
      <c r="L313" s="431"/>
      <c r="M313" s="431"/>
      <c r="N313" s="431"/>
      <c r="O313" s="431" t="b">
        <v>1</v>
      </c>
      <c r="P313" s="431" t="b">
        <v>0</v>
      </c>
      <c r="Q313" s="431" t="s">
        <v>4407</v>
      </c>
      <c r="R313" s="431" t="s">
        <v>4408</v>
      </c>
      <c r="S313" s="431" t="s">
        <v>4409</v>
      </c>
      <c r="T313" s="431"/>
      <c r="U313" s="431" t="s">
        <v>4410</v>
      </c>
      <c r="V313" s="431" t="s">
        <v>4411</v>
      </c>
      <c r="W313" s="432">
        <v>44378.443506643518</v>
      </c>
      <c r="X313" s="432">
        <v>44616.043184907408</v>
      </c>
      <c r="Y313" s="431"/>
      <c r="Z313" s="431"/>
      <c r="AA313" s="431"/>
      <c r="AB313" s="431"/>
      <c r="AC313" s="431"/>
      <c r="AD313" s="436">
        <f t="shared" si="4"/>
        <v>350</v>
      </c>
    </row>
    <row r="314" spans="1:30" ht="14">
      <c r="A314" s="431" t="s">
        <v>3649</v>
      </c>
      <c r="B314" s="431" t="s">
        <v>3650</v>
      </c>
      <c r="C314" s="431" t="s">
        <v>672</v>
      </c>
      <c r="D314" s="431" t="s">
        <v>751</v>
      </c>
      <c r="E314" s="431" t="s">
        <v>3643</v>
      </c>
      <c r="F314" s="431">
        <v>1585</v>
      </c>
      <c r="G314" s="431">
        <v>2011</v>
      </c>
      <c r="H314" s="431">
        <v>2031</v>
      </c>
      <c r="I314" s="431" t="b">
        <v>1</v>
      </c>
      <c r="J314" s="431" t="s">
        <v>891</v>
      </c>
      <c r="K314" s="431"/>
      <c r="L314" s="431"/>
      <c r="M314" s="431"/>
      <c r="N314" s="431">
        <v>17220</v>
      </c>
      <c r="O314" s="431" t="b">
        <v>1</v>
      </c>
      <c r="P314" s="431" t="b">
        <v>1</v>
      </c>
      <c r="Q314" s="431" t="s">
        <v>3644</v>
      </c>
      <c r="R314" s="431"/>
      <c r="S314" s="431"/>
      <c r="T314" s="431" t="s">
        <v>3645</v>
      </c>
      <c r="U314" s="431"/>
      <c r="V314" s="431" t="s">
        <v>3646</v>
      </c>
      <c r="W314" s="432">
        <v>43585.592133692131</v>
      </c>
      <c r="X314" s="432">
        <v>44616.044726932872</v>
      </c>
      <c r="Y314" s="431"/>
      <c r="Z314" s="433">
        <v>41816</v>
      </c>
      <c r="AA314" s="433">
        <v>42531</v>
      </c>
      <c r="AB314" s="433">
        <v>43354</v>
      </c>
      <c r="AC314" s="433">
        <v>43402</v>
      </c>
      <c r="AD314" s="436">
        <f t="shared" si="4"/>
        <v>861</v>
      </c>
    </row>
    <row r="315" spans="1:30" ht="14">
      <c r="A315" s="431" t="s">
        <v>2402</v>
      </c>
      <c r="B315" s="431" t="s">
        <v>2403</v>
      </c>
      <c r="C315" s="431" t="s">
        <v>566</v>
      </c>
      <c r="D315" s="431" t="s">
        <v>2404</v>
      </c>
      <c r="E315" s="431" t="s">
        <v>2405</v>
      </c>
      <c r="F315" s="431">
        <v>1079</v>
      </c>
      <c r="G315" s="431">
        <v>2011</v>
      </c>
      <c r="H315" s="431">
        <v>2027</v>
      </c>
      <c r="I315" s="431" t="b">
        <v>1</v>
      </c>
      <c r="J315" s="431" t="s">
        <v>907</v>
      </c>
      <c r="K315" s="431">
        <v>450</v>
      </c>
      <c r="L315" s="431"/>
      <c r="M315" s="431"/>
      <c r="N315" s="431"/>
      <c r="O315" s="431" t="b">
        <v>1</v>
      </c>
      <c r="P315" s="431" t="b">
        <v>0</v>
      </c>
      <c r="Q315" s="431" t="s">
        <v>2406</v>
      </c>
      <c r="R315" s="431" t="s">
        <v>2407</v>
      </c>
      <c r="S315" s="431" t="s">
        <v>2408</v>
      </c>
      <c r="T315" s="431" t="s">
        <v>4412</v>
      </c>
      <c r="U315" s="431"/>
      <c r="V315" s="431" t="s">
        <v>2409</v>
      </c>
      <c r="W315" s="432">
        <v>43585.592140416666</v>
      </c>
      <c r="X315" s="432">
        <v>44616.047277638892</v>
      </c>
      <c r="Y315" s="431"/>
      <c r="Z315" s="433">
        <v>40553</v>
      </c>
      <c r="AA315" s="433">
        <v>40668</v>
      </c>
      <c r="AB315" s="433">
        <v>41445</v>
      </c>
      <c r="AC315" s="433">
        <v>41569</v>
      </c>
      <c r="AD315" s="436">
        <f t="shared" si="4"/>
        <v>450</v>
      </c>
    </row>
    <row r="316" spans="1:30" ht="14">
      <c r="A316" s="431" t="s">
        <v>2402</v>
      </c>
      <c r="B316" s="431" t="s">
        <v>2403</v>
      </c>
      <c r="C316" s="431" t="s">
        <v>566</v>
      </c>
      <c r="D316" s="431" t="s">
        <v>4413</v>
      </c>
      <c r="E316" s="431" t="s">
        <v>2410</v>
      </c>
      <c r="F316" s="431">
        <v>2121</v>
      </c>
      <c r="G316" s="431">
        <v>2020</v>
      </c>
      <c r="H316" s="431">
        <v>2040</v>
      </c>
      <c r="I316" s="431" t="b">
        <v>1</v>
      </c>
      <c r="J316" s="431" t="s">
        <v>891</v>
      </c>
      <c r="K316" s="431">
        <v>8040</v>
      </c>
      <c r="L316" s="431"/>
      <c r="M316" s="431"/>
      <c r="N316" s="431"/>
      <c r="O316" s="431" t="b">
        <v>1</v>
      </c>
      <c r="P316" s="431" t="b">
        <v>0</v>
      </c>
      <c r="Q316" s="431" t="s">
        <v>4414</v>
      </c>
      <c r="R316" s="431" t="s">
        <v>2411</v>
      </c>
      <c r="S316" s="431" t="s">
        <v>4415</v>
      </c>
      <c r="T316" s="431"/>
      <c r="U316" s="431" t="s">
        <v>4416</v>
      </c>
      <c r="V316" s="431" t="s">
        <v>4417</v>
      </c>
      <c r="W316" s="432">
        <v>44147.612658749997</v>
      </c>
      <c r="X316" s="432">
        <v>44616.048593854168</v>
      </c>
      <c r="Y316" s="431"/>
      <c r="Z316" s="431"/>
      <c r="AA316" s="431"/>
      <c r="AB316" s="431"/>
      <c r="AC316" s="431"/>
      <c r="AD316" s="436">
        <f t="shared" si="4"/>
        <v>402</v>
      </c>
    </row>
    <row r="317" spans="1:30" ht="14">
      <c r="A317" s="431" t="s">
        <v>2711</v>
      </c>
      <c r="B317" s="431" t="s">
        <v>2712</v>
      </c>
      <c r="C317" s="431" t="s">
        <v>546</v>
      </c>
      <c r="D317" s="431" t="s">
        <v>2713</v>
      </c>
      <c r="E317" s="431" t="s">
        <v>2714</v>
      </c>
      <c r="F317" s="431">
        <v>1889</v>
      </c>
      <c r="G317" s="431">
        <v>2015</v>
      </c>
      <c r="H317" s="431">
        <v>2030</v>
      </c>
      <c r="I317" s="431" t="b">
        <v>1</v>
      </c>
      <c r="J317" s="431" t="s">
        <v>891</v>
      </c>
      <c r="K317" s="431">
        <v>7507</v>
      </c>
      <c r="L317" s="431"/>
      <c r="M317" s="431"/>
      <c r="N317" s="431"/>
      <c r="O317" s="431" t="b">
        <v>1</v>
      </c>
      <c r="P317" s="431" t="b">
        <v>0</v>
      </c>
      <c r="Q317" s="431" t="s">
        <v>2715</v>
      </c>
      <c r="R317" s="431" t="s">
        <v>2716</v>
      </c>
      <c r="S317" s="431" t="s">
        <v>2717</v>
      </c>
      <c r="T317" s="431" t="s">
        <v>2718</v>
      </c>
      <c r="U317" s="431"/>
      <c r="V317" s="431" t="s">
        <v>2719</v>
      </c>
      <c r="W317" s="432">
        <v>43585.592140046298</v>
      </c>
      <c r="X317" s="432">
        <v>44616.048283159726</v>
      </c>
      <c r="Y317" s="431"/>
      <c r="Z317" s="433">
        <v>43238</v>
      </c>
      <c r="AA317" s="433">
        <v>43312</v>
      </c>
      <c r="AB317" s="433">
        <v>43979</v>
      </c>
      <c r="AC317" s="433">
        <v>44028</v>
      </c>
      <c r="AD317" s="436">
        <f t="shared" si="4"/>
        <v>500.46666666666664</v>
      </c>
    </row>
    <row r="318" spans="1:30" ht="14">
      <c r="A318" s="431" t="s">
        <v>2720</v>
      </c>
      <c r="B318" s="431" t="s">
        <v>2721</v>
      </c>
      <c r="C318" s="431" t="s">
        <v>614</v>
      </c>
      <c r="D318" s="431" t="s">
        <v>2722</v>
      </c>
      <c r="E318" s="431" t="s">
        <v>2723</v>
      </c>
      <c r="F318" s="431">
        <v>484</v>
      </c>
      <c r="G318" s="431">
        <v>2006</v>
      </c>
      <c r="H318" s="431">
        <v>2026</v>
      </c>
      <c r="I318" s="431" t="b">
        <v>1</v>
      </c>
      <c r="J318" s="431" t="s">
        <v>891</v>
      </c>
      <c r="K318" s="431">
        <v>3320</v>
      </c>
      <c r="L318" s="431"/>
      <c r="M318" s="431"/>
      <c r="N318" s="431"/>
      <c r="O318" s="431" t="b">
        <v>1</v>
      </c>
      <c r="P318" s="431" t="b">
        <v>0</v>
      </c>
      <c r="Q318" s="431" t="s">
        <v>2724</v>
      </c>
      <c r="R318" s="431" t="s">
        <v>2725</v>
      </c>
      <c r="S318" s="431" t="s">
        <v>2726</v>
      </c>
      <c r="T318" s="431"/>
      <c r="U318" s="431"/>
      <c r="V318" s="431" t="s">
        <v>2727</v>
      </c>
      <c r="W318" s="432">
        <v>43585.592108576391</v>
      </c>
      <c r="X318" s="432">
        <v>44616.047298888887</v>
      </c>
      <c r="Y318" s="431"/>
      <c r="Z318" s="433">
        <v>39247</v>
      </c>
      <c r="AA318" s="433">
        <v>39247</v>
      </c>
      <c r="AB318" s="433">
        <v>39801</v>
      </c>
      <c r="AC318" s="433">
        <v>39870</v>
      </c>
      <c r="AD318" s="436">
        <f t="shared" si="4"/>
        <v>166</v>
      </c>
    </row>
    <row r="319" spans="1:30" ht="14">
      <c r="A319" s="431" t="s">
        <v>2720</v>
      </c>
      <c r="B319" s="431" t="s">
        <v>2721</v>
      </c>
      <c r="C319" s="431" t="s">
        <v>614</v>
      </c>
      <c r="D319" s="431" t="s">
        <v>2728</v>
      </c>
      <c r="E319" s="431" t="s">
        <v>2729</v>
      </c>
      <c r="F319" s="431">
        <v>2141</v>
      </c>
      <c r="G319" s="431">
        <v>2020</v>
      </c>
      <c r="H319" s="431">
        <v>2035</v>
      </c>
      <c r="I319" s="431" t="b">
        <v>1</v>
      </c>
      <c r="J319" s="431" t="s">
        <v>907</v>
      </c>
      <c r="K319" s="431">
        <v>603</v>
      </c>
      <c r="L319" s="431"/>
      <c r="M319" s="431"/>
      <c r="N319" s="431"/>
      <c r="O319" s="431" t="b">
        <v>1</v>
      </c>
      <c r="P319" s="431" t="b">
        <v>0</v>
      </c>
      <c r="Q319" s="431" t="s">
        <v>4418</v>
      </c>
      <c r="R319" s="431" t="s">
        <v>2730</v>
      </c>
      <c r="S319" s="431" t="s">
        <v>4419</v>
      </c>
      <c r="T319" s="431"/>
      <c r="U319" s="431" t="s">
        <v>4420</v>
      </c>
      <c r="V319" s="431" t="s">
        <v>4421</v>
      </c>
      <c r="W319" s="432">
        <v>43669.427613287036</v>
      </c>
      <c r="X319" s="432">
        <v>44616.046225833335</v>
      </c>
      <c r="Y319" s="431"/>
      <c r="Z319" s="431"/>
      <c r="AA319" s="431"/>
      <c r="AB319" s="431"/>
      <c r="AC319" s="431"/>
      <c r="AD319" s="436">
        <f t="shared" si="4"/>
        <v>603</v>
      </c>
    </row>
    <row r="320" spans="1:30" ht="14">
      <c r="A320" s="431" t="s">
        <v>2585</v>
      </c>
      <c r="B320" s="431" t="s">
        <v>2586</v>
      </c>
      <c r="C320" s="431" t="s">
        <v>648</v>
      </c>
      <c r="D320" s="431" t="s">
        <v>2587</v>
      </c>
      <c r="E320" s="431" t="s">
        <v>2588</v>
      </c>
      <c r="F320" s="431">
        <v>1617</v>
      </c>
      <c r="G320" s="431">
        <v>2006</v>
      </c>
      <c r="H320" s="431">
        <v>2031</v>
      </c>
      <c r="I320" s="431" t="b">
        <v>1</v>
      </c>
      <c r="J320" s="431" t="s">
        <v>891</v>
      </c>
      <c r="K320" s="431">
        <v>4425</v>
      </c>
      <c r="L320" s="431"/>
      <c r="M320" s="431"/>
      <c r="N320" s="431"/>
      <c r="O320" s="431" t="b">
        <v>1</v>
      </c>
      <c r="P320" s="431" t="b">
        <v>0</v>
      </c>
      <c r="Q320" s="431" t="s">
        <v>2589</v>
      </c>
      <c r="R320" s="431" t="s">
        <v>2590</v>
      </c>
      <c r="S320" s="431" t="s">
        <v>2591</v>
      </c>
      <c r="T320" s="431" t="s">
        <v>4422</v>
      </c>
      <c r="U320" s="431" t="s">
        <v>4423</v>
      </c>
      <c r="V320" s="431" t="s">
        <v>2592</v>
      </c>
      <c r="W320" s="432">
        <v>43585.592116539352</v>
      </c>
      <c r="X320" s="432">
        <v>44616.0460284375</v>
      </c>
      <c r="Y320" s="431"/>
      <c r="Z320" s="433">
        <v>41934</v>
      </c>
      <c r="AA320" s="433">
        <v>42040</v>
      </c>
      <c r="AB320" s="433">
        <v>42403</v>
      </c>
      <c r="AC320" s="433">
        <v>42423</v>
      </c>
      <c r="AD320" s="436">
        <f t="shared" si="4"/>
        <v>177</v>
      </c>
    </row>
    <row r="321" spans="1:30" ht="14">
      <c r="A321" s="431" t="s">
        <v>3459</v>
      </c>
      <c r="B321" s="431" t="s">
        <v>3460</v>
      </c>
      <c r="C321" s="431" t="s">
        <v>674</v>
      </c>
      <c r="D321" s="431" t="s">
        <v>3461</v>
      </c>
      <c r="E321" s="431" t="s">
        <v>3462</v>
      </c>
      <c r="F321" s="431">
        <v>1858</v>
      </c>
      <c r="G321" s="431">
        <v>2016</v>
      </c>
      <c r="H321" s="431">
        <v>2031</v>
      </c>
      <c r="I321" s="431" t="b">
        <v>1</v>
      </c>
      <c r="J321" s="431" t="s">
        <v>891</v>
      </c>
      <c r="K321" s="431">
        <v>58965</v>
      </c>
      <c r="L321" s="431"/>
      <c r="M321" s="431"/>
      <c r="N321" s="431"/>
      <c r="O321" s="431" t="b">
        <v>1</v>
      </c>
      <c r="P321" s="431" t="b">
        <v>0</v>
      </c>
      <c r="Q321" s="431" t="s">
        <v>3463</v>
      </c>
      <c r="R321" s="431" t="s">
        <v>3464</v>
      </c>
      <c r="S321" s="431" t="s">
        <v>3465</v>
      </c>
      <c r="T321" s="431" t="s">
        <v>4424</v>
      </c>
      <c r="U321" s="431"/>
      <c r="V321" s="431" t="s">
        <v>3466</v>
      </c>
      <c r="W321" s="432">
        <v>43585.592110173609</v>
      </c>
      <c r="X321" s="432">
        <v>44616.044222303244</v>
      </c>
      <c r="Y321" s="431"/>
      <c r="Z321" s="433">
        <v>43010</v>
      </c>
      <c r="AA321" s="433">
        <v>43159</v>
      </c>
      <c r="AB321" s="433">
        <v>43728</v>
      </c>
      <c r="AC321" s="433">
        <v>43845</v>
      </c>
      <c r="AD321" s="436">
        <f t="shared" si="4"/>
        <v>3931</v>
      </c>
    </row>
    <row r="322" spans="1:30" ht="14">
      <c r="A322" s="431" t="s">
        <v>1549</v>
      </c>
      <c r="B322" s="431" t="s">
        <v>1550</v>
      </c>
      <c r="C322" s="431" t="s">
        <v>592</v>
      </c>
      <c r="D322" s="431" t="s">
        <v>1551</v>
      </c>
      <c r="E322" s="431" t="s">
        <v>1552</v>
      </c>
      <c r="F322" s="431">
        <v>936</v>
      </c>
      <c r="G322" s="431">
        <v>2003</v>
      </c>
      <c r="H322" s="431">
        <v>2025</v>
      </c>
      <c r="I322" s="431" t="b">
        <v>1</v>
      </c>
      <c r="J322" s="431" t="s">
        <v>891</v>
      </c>
      <c r="K322" s="431">
        <v>8800</v>
      </c>
      <c r="L322" s="431"/>
      <c r="M322" s="431"/>
      <c r="N322" s="431"/>
      <c r="O322" s="431" t="b">
        <v>1</v>
      </c>
      <c r="P322" s="431" t="b">
        <v>0</v>
      </c>
      <c r="Q322" s="431" t="s">
        <v>1553</v>
      </c>
      <c r="R322" s="431" t="s">
        <v>1554</v>
      </c>
      <c r="S322" s="431" t="s">
        <v>1555</v>
      </c>
      <c r="T322" s="431"/>
      <c r="U322" s="431"/>
      <c r="V322" s="431" t="s">
        <v>1556</v>
      </c>
      <c r="W322" s="432">
        <v>43585.592141782407</v>
      </c>
      <c r="X322" s="432">
        <v>44616.046057928237</v>
      </c>
      <c r="Y322" s="431"/>
      <c r="Z322" s="433">
        <v>40051</v>
      </c>
      <c r="AA322" s="433">
        <v>40143</v>
      </c>
      <c r="AB322" s="433">
        <v>40421</v>
      </c>
      <c r="AC322" s="433">
        <v>40471</v>
      </c>
      <c r="AD322" s="436">
        <f t="shared" ref="AD322:AD385" si="5">IF(AND(N322&lt;&gt;"",P322=TRUE,J322="HOUSING_REQUIREMENT_TOTAL"),N322/(H322-G322),IF(J322="HOUSING_REQUIREMENT_TOTAL",K322/(H322-G322),IF(J322="HOUSING_REQUIREMENT_RANGE",L322/(H322-G322),IF(J322="HOUSING_REQUIREMENT_YEARLY_AVERAGE",K322,IF(J322="HOUSING_REQUIREMENT_YEARLY_RANGE",L322,"")))))</f>
        <v>400</v>
      </c>
    </row>
    <row r="323" spans="1:30" ht="14">
      <c r="A323" s="431" t="s">
        <v>1315</v>
      </c>
      <c r="B323" s="431" t="s">
        <v>829</v>
      </c>
      <c r="C323" s="431" t="s">
        <v>608</v>
      </c>
      <c r="D323" s="431" t="s">
        <v>1316</v>
      </c>
      <c r="E323" s="431" t="s">
        <v>1317</v>
      </c>
      <c r="F323" s="431">
        <v>1493</v>
      </c>
      <c r="G323" s="431">
        <v>2006</v>
      </c>
      <c r="H323" s="431">
        <v>2026</v>
      </c>
      <c r="I323" s="431" t="b">
        <v>1</v>
      </c>
      <c r="J323" s="431" t="s">
        <v>891</v>
      </c>
      <c r="K323" s="431">
        <v>16300</v>
      </c>
      <c r="L323" s="431"/>
      <c r="M323" s="431"/>
      <c r="N323" s="431"/>
      <c r="O323" s="431" t="b">
        <v>1</v>
      </c>
      <c r="P323" s="431" t="b">
        <v>0</v>
      </c>
      <c r="Q323" s="431" t="s">
        <v>1318</v>
      </c>
      <c r="R323" s="431" t="s">
        <v>1319</v>
      </c>
      <c r="S323" s="431" t="s">
        <v>1320</v>
      </c>
      <c r="T323" s="431" t="s">
        <v>4425</v>
      </c>
      <c r="U323" s="431" t="s">
        <v>1321</v>
      </c>
      <c r="V323" s="431" t="s">
        <v>1322</v>
      </c>
      <c r="W323" s="432">
        <v>43585.59211834491</v>
      </c>
      <c r="X323" s="432">
        <v>44616.043529756942</v>
      </c>
      <c r="Y323" s="431"/>
      <c r="Z323" s="433">
        <v>41523</v>
      </c>
      <c r="AA323" s="433">
        <v>41627</v>
      </c>
      <c r="AB323" s="433">
        <v>41974</v>
      </c>
      <c r="AC323" s="433">
        <v>42081</v>
      </c>
      <c r="AD323" s="436">
        <f t="shared" si="5"/>
        <v>815</v>
      </c>
    </row>
    <row r="324" spans="1:30" ht="14">
      <c r="A324" s="431" t="s">
        <v>1315</v>
      </c>
      <c r="B324" s="431" t="s">
        <v>829</v>
      </c>
      <c r="C324" s="431" t="s">
        <v>608</v>
      </c>
      <c r="D324" s="431" t="s">
        <v>4426</v>
      </c>
      <c r="E324" s="431" t="s">
        <v>1324</v>
      </c>
      <c r="F324" s="431">
        <v>2140</v>
      </c>
      <c r="G324" s="431">
        <v>2016</v>
      </c>
      <c r="H324" s="431">
        <v>2036</v>
      </c>
      <c r="I324" s="431" t="b">
        <v>1</v>
      </c>
      <c r="J324" s="431" t="s">
        <v>907</v>
      </c>
      <c r="K324" s="431">
        <v>1000</v>
      </c>
      <c r="L324" s="431"/>
      <c r="M324" s="431"/>
      <c r="N324" s="431"/>
      <c r="O324" s="431" t="b">
        <v>1</v>
      </c>
      <c r="P324" s="431" t="b">
        <v>0</v>
      </c>
      <c r="Q324" s="431" t="s">
        <v>4427</v>
      </c>
      <c r="R324" s="431" t="s">
        <v>4428</v>
      </c>
      <c r="S324" s="431" t="s">
        <v>4429</v>
      </c>
      <c r="T324" s="431"/>
      <c r="U324" s="431" t="s">
        <v>4430</v>
      </c>
      <c r="V324" s="431" t="s">
        <v>4431</v>
      </c>
      <c r="W324" s="432">
        <v>43629.622288229169</v>
      </c>
      <c r="X324" s="432">
        <v>44616.047217928244</v>
      </c>
      <c r="Y324" s="431"/>
      <c r="Z324" s="431"/>
      <c r="AA324" s="431"/>
      <c r="AB324" s="431"/>
      <c r="AC324" s="431"/>
      <c r="AD324" s="436">
        <f t="shared" si="5"/>
        <v>1000</v>
      </c>
    </row>
    <row r="325" spans="1:30" ht="14">
      <c r="A325" s="431" t="s">
        <v>2783</v>
      </c>
      <c r="B325" s="431" t="s">
        <v>2784</v>
      </c>
      <c r="C325" s="431" t="s">
        <v>544</v>
      </c>
      <c r="D325" s="431" t="s">
        <v>2785</v>
      </c>
      <c r="E325" s="431" t="s">
        <v>2786</v>
      </c>
      <c r="F325" s="431">
        <v>1745</v>
      </c>
      <c r="G325" s="431">
        <v>2011</v>
      </c>
      <c r="H325" s="431">
        <v>2031</v>
      </c>
      <c r="I325" s="431" t="b">
        <v>1</v>
      </c>
      <c r="J325" s="431" t="s">
        <v>891</v>
      </c>
      <c r="K325" s="431">
        <v>12400</v>
      </c>
      <c r="L325" s="431"/>
      <c r="M325" s="431"/>
      <c r="N325" s="431"/>
      <c r="O325" s="431" t="b">
        <v>1</v>
      </c>
      <c r="P325" s="431" t="b">
        <v>0</v>
      </c>
      <c r="Q325" s="431" t="s">
        <v>2787</v>
      </c>
      <c r="R325" s="431" t="s">
        <v>2788</v>
      </c>
      <c r="S325" s="431" t="s">
        <v>2789</v>
      </c>
      <c r="T325" s="431" t="s">
        <v>4432</v>
      </c>
      <c r="U325" s="431" t="s">
        <v>4433</v>
      </c>
      <c r="V325" s="431" t="s">
        <v>2790</v>
      </c>
      <c r="W325" s="432">
        <v>43585.592140289351</v>
      </c>
      <c r="X325" s="432">
        <v>44616.047187418983</v>
      </c>
      <c r="Y325" s="431"/>
      <c r="Z325" s="433">
        <v>42639</v>
      </c>
      <c r="AA325" s="433">
        <v>42930</v>
      </c>
      <c r="AB325" s="433">
        <v>43551</v>
      </c>
      <c r="AC325" s="433">
        <v>43620</v>
      </c>
      <c r="AD325" s="436">
        <f t="shared" si="5"/>
        <v>620</v>
      </c>
    </row>
    <row r="326" spans="1:30" ht="14">
      <c r="A326" s="431" t="s">
        <v>1437</v>
      </c>
      <c r="B326" s="431" t="s">
        <v>1438</v>
      </c>
      <c r="C326" s="431" t="s">
        <v>1439</v>
      </c>
      <c r="D326" s="431" t="s">
        <v>931</v>
      </c>
      <c r="E326" s="431" t="s">
        <v>1440</v>
      </c>
      <c r="F326" s="431">
        <v>601</v>
      </c>
      <c r="G326" s="431">
        <v>2006</v>
      </c>
      <c r="H326" s="431">
        <v>2026</v>
      </c>
      <c r="I326" s="431" t="b">
        <v>1</v>
      </c>
      <c r="J326" s="431" t="s">
        <v>1199</v>
      </c>
      <c r="K326" s="431"/>
      <c r="L326" s="431">
        <v>2200</v>
      </c>
      <c r="M326" s="431">
        <v>2800</v>
      </c>
      <c r="N326" s="431"/>
      <c r="O326" s="431" t="b">
        <v>1</v>
      </c>
      <c r="P326" s="431" t="b">
        <v>0</v>
      </c>
      <c r="Q326" s="431" t="s">
        <v>1441</v>
      </c>
      <c r="R326" s="431" t="s">
        <v>1442</v>
      </c>
      <c r="S326" s="431" t="s">
        <v>1443</v>
      </c>
      <c r="T326" s="431" t="s">
        <v>1444</v>
      </c>
      <c r="U326" s="431"/>
      <c r="V326" s="431" t="s">
        <v>1445</v>
      </c>
      <c r="W326" s="432">
        <v>43585.592141469904</v>
      </c>
      <c r="X326" s="432">
        <v>44616.045936875002</v>
      </c>
      <c r="Y326" s="431"/>
      <c r="Z326" s="433">
        <v>40268</v>
      </c>
      <c r="AA326" s="433">
        <v>40380</v>
      </c>
      <c r="AB326" s="433">
        <v>40574</v>
      </c>
      <c r="AC326" s="433">
        <v>40596</v>
      </c>
      <c r="AD326" s="436">
        <f t="shared" si="5"/>
        <v>110</v>
      </c>
    </row>
    <row r="327" spans="1:30" ht="14">
      <c r="A327" s="431" t="s">
        <v>1437</v>
      </c>
      <c r="B327" s="431" t="s">
        <v>1438</v>
      </c>
      <c r="C327" s="431" t="s">
        <v>1439</v>
      </c>
      <c r="D327" s="431" t="s">
        <v>3633</v>
      </c>
      <c r="E327" s="431" t="s">
        <v>3634</v>
      </c>
      <c r="F327" s="431">
        <v>1940</v>
      </c>
      <c r="G327" s="431">
        <v>2016</v>
      </c>
      <c r="H327" s="431">
        <v>2036</v>
      </c>
      <c r="I327" s="431" t="b">
        <v>1</v>
      </c>
      <c r="J327" s="431" t="s">
        <v>891</v>
      </c>
      <c r="K327" s="431"/>
      <c r="L327" s="431"/>
      <c r="M327" s="431"/>
      <c r="N327" s="431">
        <v>11099</v>
      </c>
      <c r="O327" s="431" t="b">
        <v>1</v>
      </c>
      <c r="P327" s="431" t="b">
        <v>1</v>
      </c>
      <c r="Q327" s="431" t="s">
        <v>3635</v>
      </c>
      <c r="R327" s="431" t="s">
        <v>3636</v>
      </c>
      <c r="S327" s="431" t="s">
        <v>3637</v>
      </c>
      <c r="T327" s="431" t="s">
        <v>3638</v>
      </c>
      <c r="U327" s="431" t="s">
        <v>3639</v>
      </c>
      <c r="V327" s="431" t="s">
        <v>3640</v>
      </c>
      <c r="W327" s="432">
        <v>43585.592135879633</v>
      </c>
      <c r="X327" s="432">
        <v>44616.045996678244</v>
      </c>
      <c r="Y327" s="431"/>
      <c r="Z327" s="433">
        <v>43623</v>
      </c>
      <c r="AA327" s="433">
        <v>43734</v>
      </c>
      <c r="AB327" s="431"/>
      <c r="AC327" s="431"/>
      <c r="AD327" s="436">
        <f t="shared" si="5"/>
        <v>554.95000000000005</v>
      </c>
    </row>
    <row r="328" spans="1:30" ht="14">
      <c r="A328" s="431" t="s">
        <v>3078</v>
      </c>
      <c r="B328" s="431" t="s">
        <v>809</v>
      </c>
      <c r="C328" s="431" t="s">
        <v>570</v>
      </c>
      <c r="D328" s="431" t="s">
        <v>3079</v>
      </c>
      <c r="E328" s="431" t="s">
        <v>3080</v>
      </c>
      <c r="F328" s="431">
        <v>410</v>
      </c>
      <c r="G328" s="431">
        <v>2004</v>
      </c>
      <c r="H328" s="431">
        <v>2026</v>
      </c>
      <c r="I328" s="431" t="b">
        <v>1</v>
      </c>
      <c r="J328" s="431" t="s">
        <v>891</v>
      </c>
      <c r="K328" s="431">
        <v>29750</v>
      </c>
      <c r="L328" s="431"/>
      <c r="M328" s="431"/>
      <c r="N328" s="431"/>
      <c r="O328" s="431" t="b">
        <v>1</v>
      </c>
      <c r="P328" s="431" t="b">
        <v>0</v>
      </c>
      <c r="Q328" s="431" t="s">
        <v>3081</v>
      </c>
      <c r="R328" s="431" t="s">
        <v>3082</v>
      </c>
      <c r="S328" s="431" t="s">
        <v>3083</v>
      </c>
      <c r="T328" s="431" t="s">
        <v>3084</v>
      </c>
      <c r="U328" s="431"/>
      <c r="V328" s="431" t="s">
        <v>3085</v>
      </c>
      <c r="W328" s="432">
        <v>43585.592140636574</v>
      </c>
      <c r="X328" s="432">
        <v>44616.042099432867</v>
      </c>
      <c r="Y328" s="431"/>
      <c r="Z328" s="433">
        <v>39353</v>
      </c>
      <c r="AA328" s="433">
        <v>39353</v>
      </c>
      <c r="AB328" s="433">
        <v>39854</v>
      </c>
      <c r="AC328" s="433">
        <v>39876</v>
      </c>
      <c r="AD328" s="436">
        <f t="shared" si="5"/>
        <v>1352.2727272727273</v>
      </c>
    </row>
    <row r="329" spans="1:30" ht="14">
      <c r="A329" s="431" t="s">
        <v>3078</v>
      </c>
      <c r="B329" s="431" t="s">
        <v>809</v>
      </c>
      <c r="C329" s="431" t="s">
        <v>570</v>
      </c>
      <c r="D329" s="431" t="s">
        <v>3086</v>
      </c>
      <c r="E329" s="431" t="s">
        <v>3087</v>
      </c>
      <c r="F329" s="431">
        <v>2155</v>
      </c>
      <c r="G329" s="431">
        <v>2023</v>
      </c>
      <c r="H329" s="431">
        <v>2038</v>
      </c>
      <c r="I329" s="431" t="b">
        <v>1</v>
      </c>
      <c r="J329" s="431" t="s">
        <v>1199</v>
      </c>
      <c r="K329" s="431"/>
      <c r="L329" s="431">
        <v>40000</v>
      </c>
      <c r="M329" s="431">
        <v>46000</v>
      </c>
      <c r="N329" s="431"/>
      <c r="O329" s="431" t="b">
        <v>1</v>
      </c>
      <c r="P329" s="431" t="b">
        <v>0</v>
      </c>
      <c r="Q329" s="431" t="s">
        <v>3088</v>
      </c>
      <c r="R329" s="431" t="s">
        <v>3089</v>
      </c>
      <c r="S329" s="431" t="s">
        <v>3090</v>
      </c>
      <c r="T329" s="431" t="s">
        <v>3091</v>
      </c>
      <c r="U329" s="431" t="s">
        <v>3092</v>
      </c>
      <c r="V329" s="431" t="s">
        <v>3093</v>
      </c>
      <c r="W329" s="432">
        <v>43670.642620474537</v>
      </c>
      <c r="X329" s="432">
        <v>44616.04338638889</v>
      </c>
      <c r="Y329" s="431"/>
      <c r="Z329" s="431"/>
      <c r="AA329" s="431"/>
      <c r="AB329" s="431"/>
      <c r="AC329" s="431"/>
      <c r="AD329" s="436">
        <f t="shared" si="5"/>
        <v>2666.6666666666665</v>
      </c>
    </row>
    <row r="330" spans="1:30" ht="14">
      <c r="A330" s="431" t="s">
        <v>1945</v>
      </c>
      <c r="B330" s="431" t="s">
        <v>1946</v>
      </c>
      <c r="C330" s="431" t="s">
        <v>550</v>
      </c>
      <c r="D330" s="431" t="s">
        <v>1947</v>
      </c>
      <c r="E330" s="431" t="s">
        <v>1948</v>
      </c>
      <c r="F330" s="431">
        <v>1839</v>
      </c>
      <c r="G330" s="431">
        <v>2014</v>
      </c>
      <c r="H330" s="431">
        <v>2032</v>
      </c>
      <c r="I330" s="431" t="b">
        <v>1</v>
      </c>
      <c r="J330" s="431" t="s">
        <v>891</v>
      </c>
      <c r="K330" s="431">
        <v>7850</v>
      </c>
      <c r="L330" s="431"/>
      <c r="M330" s="431"/>
      <c r="N330" s="431"/>
      <c r="O330" s="431" t="b">
        <v>1</v>
      </c>
      <c r="P330" s="431" t="b">
        <v>0</v>
      </c>
      <c r="Q330" s="431" t="s">
        <v>1949</v>
      </c>
      <c r="R330" s="431" t="s">
        <v>1950</v>
      </c>
      <c r="S330" s="431" t="s">
        <v>4434</v>
      </c>
      <c r="T330" s="431"/>
      <c r="U330" s="431"/>
      <c r="V330" s="431" t="s">
        <v>1951</v>
      </c>
      <c r="W330" s="432">
        <v>43585.592139918983</v>
      </c>
      <c r="X330" s="432">
        <v>44616.047892210649</v>
      </c>
      <c r="Y330" s="431"/>
      <c r="Z330" s="433">
        <v>42895</v>
      </c>
      <c r="AA330" s="433">
        <v>43133</v>
      </c>
      <c r="AB330" s="433">
        <v>43479</v>
      </c>
      <c r="AC330" s="433">
        <v>43517</v>
      </c>
      <c r="AD330" s="436">
        <f t="shared" si="5"/>
        <v>436.11111111111109</v>
      </c>
    </row>
    <row r="331" spans="1:30" ht="14">
      <c r="A331" s="431" t="s">
        <v>1952</v>
      </c>
      <c r="B331" s="431" t="s">
        <v>1953</v>
      </c>
      <c r="C331" s="431" t="s">
        <v>658</v>
      </c>
      <c r="D331" s="431" t="s">
        <v>1954</v>
      </c>
      <c r="E331" s="431" t="s">
        <v>1955</v>
      </c>
      <c r="F331" s="431">
        <v>1197</v>
      </c>
      <c r="G331" s="431">
        <v>2011</v>
      </c>
      <c r="H331" s="431">
        <v>2029</v>
      </c>
      <c r="I331" s="431" t="b">
        <v>1</v>
      </c>
      <c r="J331" s="431" t="s">
        <v>891</v>
      </c>
      <c r="K331" s="431">
        <v>10584</v>
      </c>
      <c r="L331" s="431"/>
      <c r="M331" s="431"/>
      <c r="N331" s="431"/>
      <c r="O331" s="431" t="b">
        <v>1</v>
      </c>
      <c r="P331" s="431" t="b">
        <v>0</v>
      </c>
      <c r="Q331" s="431" t="s">
        <v>1956</v>
      </c>
      <c r="R331" s="431" t="s">
        <v>1957</v>
      </c>
      <c r="S331" s="431" t="s">
        <v>1958</v>
      </c>
      <c r="T331" s="431" t="s">
        <v>1959</v>
      </c>
      <c r="U331" s="431"/>
      <c r="V331" s="431" t="s">
        <v>1960</v>
      </c>
      <c r="W331" s="432">
        <v>43585.59212119213</v>
      </c>
      <c r="X331" s="432">
        <v>44616.043311608795</v>
      </c>
      <c r="Y331" s="431"/>
      <c r="Z331" s="433">
        <v>41663</v>
      </c>
      <c r="AA331" s="433">
        <v>41851</v>
      </c>
      <c r="AB331" s="433">
        <v>42353</v>
      </c>
      <c r="AC331" s="433">
        <v>42396</v>
      </c>
      <c r="AD331" s="436">
        <f t="shared" si="5"/>
        <v>588</v>
      </c>
    </row>
    <row r="332" spans="1:30" ht="14">
      <c r="A332" s="431" t="s">
        <v>1952</v>
      </c>
      <c r="B332" s="431" t="s">
        <v>1953</v>
      </c>
      <c r="C332" s="431" t="s">
        <v>658</v>
      </c>
      <c r="D332" s="431" t="s">
        <v>1961</v>
      </c>
      <c r="E332" s="431" t="s">
        <v>1962</v>
      </c>
      <c r="F332" s="431">
        <v>2161</v>
      </c>
      <c r="G332" s="431">
        <v>2017</v>
      </c>
      <c r="H332" s="431">
        <v>2036</v>
      </c>
      <c r="I332" s="431" t="b">
        <v>1</v>
      </c>
      <c r="J332" s="431" t="s">
        <v>907</v>
      </c>
      <c r="K332" s="431">
        <v>570</v>
      </c>
      <c r="L332" s="431"/>
      <c r="M332" s="431"/>
      <c r="N332" s="431"/>
      <c r="O332" s="431" t="b">
        <v>1</v>
      </c>
      <c r="P332" s="431" t="b">
        <v>0</v>
      </c>
      <c r="Q332" s="431" t="s">
        <v>1963</v>
      </c>
      <c r="R332" s="431" t="s">
        <v>1964</v>
      </c>
      <c r="S332" s="431" t="s">
        <v>1965</v>
      </c>
      <c r="T332" s="431" t="s">
        <v>4435</v>
      </c>
      <c r="U332" s="431"/>
      <c r="V332" s="431" t="s">
        <v>1966</v>
      </c>
      <c r="W332" s="432">
        <v>43658.67934693287</v>
      </c>
      <c r="X332" s="432">
        <v>44616.042563090276</v>
      </c>
      <c r="Y332" s="431"/>
      <c r="Z332" s="431"/>
      <c r="AA332" s="431"/>
      <c r="AB332" s="431"/>
      <c r="AC332" s="431"/>
      <c r="AD332" s="436">
        <f t="shared" si="5"/>
        <v>570</v>
      </c>
    </row>
    <row r="333" spans="1:30" ht="14">
      <c r="A333" s="431" t="s">
        <v>3027</v>
      </c>
      <c r="B333" s="431" t="s">
        <v>3028</v>
      </c>
      <c r="C333" s="431" t="s">
        <v>618</v>
      </c>
      <c r="D333" s="431" t="s">
        <v>3029</v>
      </c>
      <c r="E333" s="431" t="s">
        <v>3030</v>
      </c>
      <c r="F333" s="431">
        <v>131</v>
      </c>
      <c r="G333" s="431">
        <v>2003</v>
      </c>
      <c r="H333" s="431">
        <v>2027</v>
      </c>
      <c r="I333" s="431" t="b">
        <v>1</v>
      </c>
      <c r="J333" s="431" t="s">
        <v>891</v>
      </c>
      <c r="K333" s="431">
        <v>13680</v>
      </c>
      <c r="L333" s="431"/>
      <c r="M333" s="431"/>
      <c r="N333" s="431"/>
      <c r="O333" s="431" t="b">
        <v>1</v>
      </c>
      <c r="P333" s="431" t="b">
        <v>0</v>
      </c>
      <c r="Q333" s="431" t="s">
        <v>3031</v>
      </c>
      <c r="R333" s="431" t="s">
        <v>3032</v>
      </c>
      <c r="S333" s="431" t="s">
        <v>3033</v>
      </c>
      <c r="T333" s="431" t="s">
        <v>3034</v>
      </c>
      <c r="U333" s="431"/>
      <c r="V333" s="431" t="s">
        <v>3035</v>
      </c>
      <c r="W333" s="432">
        <v>43585.59211672454</v>
      </c>
      <c r="X333" s="432">
        <v>44616.046020335649</v>
      </c>
      <c r="Y333" s="431"/>
      <c r="Z333" s="433">
        <v>40570</v>
      </c>
      <c r="AA333" s="433">
        <v>40694</v>
      </c>
      <c r="AB333" s="433">
        <v>41183</v>
      </c>
      <c r="AC333" s="433">
        <v>41213</v>
      </c>
      <c r="AD333" s="436">
        <f t="shared" si="5"/>
        <v>570</v>
      </c>
    </row>
    <row r="334" spans="1:30" ht="14">
      <c r="A334" s="431" t="s">
        <v>3027</v>
      </c>
      <c r="B334" s="431" t="s">
        <v>3028</v>
      </c>
      <c r="C334" s="431" t="s">
        <v>618</v>
      </c>
      <c r="D334" s="431" t="s">
        <v>3036</v>
      </c>
      <c r="E334" s="431" t="s">
        <v>3037</v>
      </c>
      <c r="F334" s="431">
        <v>1985</v>
      </c>
      <c r="G334" s="431">
        <v>2016</v>
      </c>
      <c r="H334" s="431">
        <v>2035</v>
      </c>
      <c r="I334" s="431" t="b">
        <v>1</v>
      </c>
      <c r="J334" s="431" t="s">
        <v>891</v>
      </c>
      <c r="K334" s="431">
        <v>9234</v>
      </c>
      <c r="L334" s="431"/>
      <c r="M334" s="431"/>
      <c r="N334" s="431"/>
      <c r="O334" s="431" t="b">
        <v>1</v>
      </c>
      <c r="P334" s="431" t="b">
        <v>0</v>
      </c>
      <c r="Q334" s="431" t="s">
        <v>3038</v>
      </c>
      <c r="R334" s="431" t="s">
        <v>3039</v>
      </c>
      <c r="S334" s="431" t="s">
        <v>3040</v>
      </c>
      <c r="T334" s="431" t="s">
        <v>3041</v>
      </c>
      <c r="U334" s="431"/>
      <c r="V334" s="431" t="s">
        <v>3042</v>
      </c>
      <c r="W334" s="432">
        <v>43585.592119872686</v>
      </c>
      <c r="X334" s="432">
        <v>44616.043757824074</v>
      </c>
      <c r="Y334" s="431"/>
      <c r="Z334" s="433">
        <v>43482</v>
      </c>
      <c r="AA334" s="433">
        <v>44133</v>
      </c>
      <c r="AB334" s="431"/>
      <c r="AC334" s="431"/>
      <c r="AD334" s="436">
        <f t="shared" si="5"/>
        <v>486</v>
      </c>
    </row>
    <row r="335" spans="1:30" ht="14">
      <c r="A335" s="431" t="s">
        <v>3043</v>
      </c>
      <c r="B335" s="431" t="s">
        <v>3044</v>
      </c>
      <c r="C335" s="431" t="s">
        <v>564</v>
      </c>
      <c r="D335" s="431" t="s">
        <v>3045</v>
      </c>
      <c r="E335" s="431" t="s">
        <v>3046</v>
      </c>
      <c r="F335" s="431">
        <v>1645</v>
      </c>
      <c r="G335" s="431">
        <v>2012</v>
      </c>
      <c r="H335" s="431">
        <v>2030</v>
      </c>
      <c r="I335" s="431" t="b">
        <v>1</v>
      </c>
      <c r="J335" s="431" t="s">
        <v>891</v>
      </c>
      <c r="K335" s="431">
        <v>11520</v>
      </c>
      <c r="L335" s="431"/>
      <c r="M335" s="431"/>
      <c r="N335" s="431"/>
      <c r="O335" s="431" t="b">
        <v>1</v>
      </c>
      <c r="P335" s="431" t="b">
        <v>0</v>
      </c>
      <c r="Q335" s="431" t="s">
        <v>3047</v>
      </c>
      <c r="R335" s="431" t="s">
        <v>3048</v>
      </c>
      <c r="S335" s="431" t="s">
        <v>3049</v>
      </c>
      <c r="T335" s="431" t="s">
        <v>4436</v>
      </c>
      <c r="U335" s="431" t="s">
        <v>3050</v>
      </c>
      <c r="V335" s="431" t="s">
        <v>3051</v>
      </c>
      <c r="W335" s="432">
        <v>43585.592140844907</v>
      </c>
      <c r="X335" s="432">
        <v>44616.045970925923</v>
      </c>
      <c r="Y335" s="431"/>
      <c r="Z335" s="433">
        <v>42034</v>
      </c>
      <c r="AA335" s="433">
        <v>42219</v>
      </c>
      <c r="AB335" s="433">
        <v>42808</v>
      </c>
      <c r="AC335" s="433">
        <v>42845</v>
      </c>
      <c r="AD335" s="436">
        <f t="shared" si="5"/>
        <v>640</v>
      </c>
    </row>
    <row r="336" spans="1:30" ht="14">
      <c r="A336" s="431" t="s">
        <v>1052</v>
      </c>
      <c r="B336" s="431" t="s">
        <v>1053</v>
      </c>
      <c r="C336" s="431" t="s">
        <v>552</v>
      </c>
      <c r="D336" s="431" t="s">
        <v>1054</v>
      </c>
      <c r="E336" s="431" t="s">
        <v>1055</v>
      </c>
      <c r="F336" s="431">
        <v>965</v>
      </c>
      <c r="G336" s="431">
        <v>2006</v>
      </c>
      <c r="H336" s="431">
        <v>2026</v>
      </c>
      <c r="I336" s="431" t="b">
        <v>1</v>
      </c>
      <c r="J336" s="431" t="s">
        <v>891</v>
      </c>
      <c r="K336" s="431">
        <v>3000</v>
      </c>
      <c r="L336" s="431"/>
      <c r="M336" s="431"/>
      <c r="N336" s="431"/>
      <c r="O336" s="431" t="b">
        <v>1</v>
      </c>
      <c r="P336" s="431" t="b">
        <v>0</v>
      </c>
      <c r="Q336" s="431" t="s">
        <v>1056</v>
      </c>
      <c r="R336" s="431" t="s">
        <v>1057</v>
      </c>
      <c r="S336" s="431" t="s">
        <v>1058</v>
      </c>
      <c r="T336" s="431" t="s">
        <v>1081</v>
      </c>
      <c r="U336" s="431"/>
      <c r="V336" s="431" t="s">
        <v>1059</v>
      </c>
      <c r="W336" s="432">
        <v>43585.592139791668</v>
      </c>
      <c r="X336" s="432">
        <v>44616.047963113429</v>
      </c>
      <c r="Y336" s="431"/>
      <c r="Z336" s="433">
        <v>40402</v>
      </c>
      <c r="AA336" s="433">
        <v>40511</v>
      </c>
      <c r="AB336" s="433">
        <v>40689</v>
      </c>
      <c r="AC336" s="433">
        <v>40735</v>
      </c>
      <c r="AD336" s="436">
        <f t="shared" si="5"/>
        <v>150</v>
      </c>
    </row>
    <row r="337" spans="1:30" ht="14">
      <c r="A337" s="431" t="s">
        <v>1052</v>
      </c>
      <c r="B337" s="431" t="s">
        <v>1053</v>
      </c>
      <c r="C337" s="431" t="s">
        <v>552</v>
      </c>
      <c r="D337" s="431" t="s">
        <v>4437</v>
      </c>
      <c r="E337" s="431" t="s">
        <v>1060</v>
      </c>
      <c r="F337" s="431">
        <v>1963</v>
      </c>
      <c r="G337" s="431">
        <v>2018</v>
      </c>
      <c r="H337" s="431">
        <v>2036</v>
      </c>
      <c r="I337" s="431" t="b">
        <v>1</v>
      </c>
      <c r="J337" s="431" t="s">
        <v>891</v>
      </c>
      <c r="K337" s="431">
        <v>2340</v>
      </c>
      <c r="L337" s="431"/>
      <c r="M337" s="431"/>
      <c r="N337" s="431"/>
      <c r="O337" s="431" t="b">
        <v>1</v>
      </c>
      <c r="P337" s="431" t="b">
        <v>0</v>
      </c>
      <c r="Q337" s="431" t="s">
        <v>1061</v>
      </c>
      <c r="R337" s="431" t="s">
        <v>1062</v>
      </c>
      <c r="S337" s="431" t="s">
        <v>1063</v>
      </c>
      <c r="T337" s="431"/>
      <c r="U337" s="431" t="s">
        <v>4438</v>
      </c>
      <c r="V337" s="431" t="s">
        <v>1064</v>
      </c>
      <c r="W337" s="432">
        <v>43585.592124282404</v>
      </c>
      <c r="X337" s="432">
        <v>44616.042999849538</v>
      </c>
      <c r="Y337" s="431"/>
      <c r="Z337" s="433">
        <v>44070</v>
      </c>
      <c r="AA337" s="433">
        <v>44230</v>
      </c>
      <c r="AB337" s="431"/>
      <c r="AC337" s="431"/>
      <c r="AD337" s="436">
        <f t="shared" si="5"/>
        <v>130</v>
      </c>
    </row>
    <row r="338" spans="1:30" ht="14">
      <c r="A338" s="431" t="s">
        <v>1189</v>
      </c>
      <c r="B338" s="431" t="s">
        <v>1190</v>
      </c>
      <c r="C338" s="431" t="s">
        <v>610</v>
      </c>
      <c r="D338" s="431" t="s">
        <v>931</v>
      </c>
      <c r="E338" s="431" t="s">
        <v>1191</v>
      </c>
      <c r="F338" s="431">
        <v>595</v>
      </c>
      <c r="G338" s="431">
        <v>2001</v>
      </c>
      <c r="H338" s="431">
        <v>2021</v>
      </c>
      <c r="I338" s="431" t="b">
        <v>1</v>
      </c>
      <c r="J338" s="431" t="s">
        <v>891</v>
      </c>
      <c r="K338" s="431">
        <v>6500</v>
      </c>
      <c r="L338" s="431"/>
      <c r="M338" s="431"/>
      <c r="N338" s="431"/>
      <c r="O338" s="431" t="b">
        <v>1</v>
      </c>
      <c r="P338" s="431" t="b">
        <v>0</v>
      </c>
      <c r="Q338" s="431" t="s">
        <v>1192</v>
      </c>
      <c r="R338" s="431" t="s">
        <v>1193</v>
      </c>
      <c r="S338" s="431" t="s">
        <v>1194</v>
      </c>
      <c r="T338" s="431" t="s">
        <v>1195</v>
      </c>
      <c r="U338" s="431"/>
      <c r="V338" s="431" t="s">
        <v>1196</v>
      </c>
      <c r="W338" s="432">
        <v>43585.59210947917</v>
      </c>
      <c r="X338" s="432">
        <v>44616.048306226854</v>
      </c>
      <c r="Y338" s="431"/>
      <c r="Z338" s="433">
        <v>38960</v>
      </c>
      <c r="AA338" s="433">
        <v>38960</v>
      </c>
      <c r="AB338" s="433">
        <v>39359</v>
      </c>
      <c r="AC338" s="433">
        <v>39429</v>
      </c>
      <c r="AD338" s="436">
        <f t="shared" si="5"/>
        <v>325</v>
      </c>
    </row>
    <row r="339" spans="1:30" ht="14">
      <c r="A339" s="431" t="s">
        <v>1189</v>
      </c>
      <c r="B339" s="431" t="s">
        <v>1190</v>
      </c>
      <c r="C339" s="431" t="s">
        <v>610</v>
      </c>
      <c r="D339" s="431" t="s">
        <v>1197</v>
      </c>
      <c r="E339" s="431" t="s">
        <v>1198</v>
      </c>
      <c r="F339" s="431">
        <v>2118</v>
      </c>
      <c r="G339" s="431">
        <v>2019</v>
      </c>
      <c r="H339" s="431">
        <v>2039</v>
      </c>
      <c r="I339" s="431" t="b">
        <v>1</v>
      </c>
      <c r="J339" s="431" t="s">
        <v>1199</v>
      </c>
      <c r="K339" s="431"/>
      <c r="L339" s="431">
        <v>18000</v>
      </c>
      <c r="M339" s="431">
        <v>24000</v>
      </c>
      <c r="N339" s="431"/>
      <c r="O339" s="431" t="b">
        <v>1</v>
      </c>
      <c r="P339" s="431" t="b">
        <v>0</v>
      </c>
      <c r="Q339" s="431" t="s">
        <v>1200</v>
      </c>
      <c r="R339" s="431" t="s">
        <v>1201</v>
      </c>
      <c r="S339" s="431" t="s">
        <v>1202</v>
      </c>
      <c r="T339" s="431"/>
      <c r="U339" s="431"/>
      <c r="V339" s="431" t="s">
        <v>1203</v>
      </c>
      <c r="W339" s="432">
        <v>44147.518735046295</v>
      </c>
      <c r="X339" s="432">
        <v>44616.043463101851</v>
      </c>
      <c r="Y339" s="431"/>
      <c r="Z339" s="431"/>
      <c r="AA339" s="431"/>
      <c r="AB339" s="431"/>
      <c r="AC339" s="431"/>
      <c r="AD339" s="436">
        <f t="shared" si="5"/>
        <v>900</v>
      </c>
    </row>
    <row r="340" spans="1:30" ht="14">
      <c r="A340" s="431" t="s">
        <v>2999</v>
      </c>
      <c r="B340" s="431" t="s">
        <v>3000</v>
      </c>
      <c r="C340" s="431" t="s">
        <v>676</v>
      </c>
      <c r="D340" s="431" t="s">
        <v>3001</v>
      </c>
      <c r="E340" s="434" t="s">
        <v>3002</v>
      </c>
      <c r="F340" s="431">
        <v>1069</v>
      </c>
      <c r="G340" s="431">
        <v>2008</v>
      </c>
      <c r="H340" s="431">
        <v>2026</v>
      </c>
      <c r="I340" s="431" t="b">
        <v>1</v>
      </c>
      <c r="J340" s="431" t="s">
        <v>891</v>
      </c>
      <c r="K340" s="431">
        <v>12210</v>
      </c>
      <c r="L340" s="431"/>
      <c r="M340" s="431"/>
      <c r="N340" s="431"/>
      <c r="O340" s="431" t="b">
        <v>1</v>
      </c>
      <c r="P340" s="431" t="b">
        <v>0</v>
      </c>
      <c r="Q340" s="431" t="s">
        <v>3003</v>
      </c>
      <c r="R340" s="431" t="s">
        <v>3004</v>
      </c>
      <c r="S340" s="431" t="s">
        <v>3005</v>
      </c>
      <c r="T340" s="431" t="s">
        <v>3006</v>
      </c>
      <c r="U340" s="431"/>
      <c r="V340" s="431" t="s">
        <v>3007</v>
      </c>
      <c r="W340" s="432">
        <v>43585.592142303241</v>
      </c>
      <c r="X340" s="432">
        <v>44616.042592939812</v>
      </c>
      <c r="Y340" s="431"/>
      <c r="Z340" s="433">
        <v>40441</v>
      </c>
      <c r="AA340" s="433">
        <v>40515</v>
      </c>
      <c r="AB340" s="433">
        <v>40872</v>
      </c>
      <c r="AC340" s="433">
        <v>40933</v>
      </c>
      <c r="AD340" s="436">
        <f t="shared" si="5"/>
        <v>678.33333333333337</v>
      </c>
    </row>
    <row r="341" spans="1:30" ht="14">
      <c r="A341" s="431" t="s">
        <v>2999</v>
      </c>
      <c r="B341" s="431" t="s">
        <v>3000</v>
      </c>
      <c r="C341" s="431" t="s">
        <v>676</v>
      </c>
      <c r="D341" s="431" t="s">
        <v>4439</v>
      </c>
      <c r="E341" s="431" t="s">
        <v>4440</v>
      </c>
      <c r="F341" s="431">
        <v>2173</v>
      </c>
      <c r="G341" s="431">
        <v>2018</v>
      </c>
      <c r="H341" s="431">
        <v>2037</v>
      </c>
      <c r="I341" s="431" t="b">
        <v>1</v>
      </c>
      <c r="J341" s="431"/>
      <c r="K341" s="431"/>
      <c r="L341" s="431"/>
      <c r="M341" s="431"/>
      <c r="N341" s="431"/>
      <c r="O341" s="431" t="b">
        <v>0</v>
      </c>
      <c r="P341" s="431" t="b">
        <v>0</v>
      </c>
      <c r="Q341" s="431"/>
      <c r="R341" s="431"/>
      <c r="S341" s="431"/>
      <c r="T341" s="431"/>
      <c r="U341" s="431"/>
      <c r="V341" s="431"/>
      <c r="W341" s="432">
        <v>44376.493493877315</v>
      </c>
      <c r="X341" s="432">
        <v>44376.493643032409</v>
      </c>
      <c r="Y341" s="431" t="s">
        <v>978</v>
      </c>
      <c r="Z341" s="431"/>
      <c r="AA341" s="431"/>
      <c r="AB341" s="431"/>
      <c r="AC341" s="431"/>
      <c r="AD341" s="436" t="str">
        <f t="shared" si="5"/>
        <v/>
      </c>
    </row>
    <row r="342" spans="1:30" ht="14">
      <c r="A342" s="431" t="s">
        <v>2999</v>
      </c>
      <c r="B342" s="431" t="s">
        <v>3000</v>
      </c>
      <c r="C342" s="431" t="s">
        <v>676</v>
      </c>
      <c r="D342" s="431" t="s">
        <v>4103</v>
      </c>
      <c r="E342" s="431" t="s">
        <v>4104</v>
      </c>
      <c r="F342" s="431">
        <v>2175</v>
      </c>
      <c r="G342" s="431">
        <v>2021</v>
      </c>
      <c r="H342" s="431">
        <v>2037</v>
      </c>
      <c r="I342" s="431" t="b">
        <v>1</v>
      </c>
      <c r="J342" s="431" t="s">
        <v>891</v>
      </c>
      <c r="K342" s="431">
        <v>17954</v>
      </c>
      <c r="L342" s="431"/>
      <c r="M342" s="431"/>
      <c r="N342" s="431"/>
      <c r="O342" s="431" t="b">
        <v>1</v>
      </c>
      <c r="P342" s="431" t="b">
        <v>1</v>
      </c>
      <c r="Q342" s="431" t="s">
        <v>4105</v>
      </c>
      <c r="R342" s="431" t="s">
        <v>4106</v>
      </c>
      <c r="S342" s="431" t="s">
        <v>4107</v>
      </c>
      <c r="T342" s="431"/>
      <c r="U342" s="431" t="s">
        <v>4108</v>
      </c>
      <c r="V342" s="431" t="s">
        <v>4109</v>
      </c>
      <c r="W342" s="432">
        <v>44379.364462708334</v>
      </c>
      <c r="X342" s="432">
        <v>44616.048371481484</v>
      </c>
      <c r="Y342" s="431"/>
      <c r="Z342" s="433">
        <v>44417</v>
      </c>
      <c r="AA342" s="431"/>
      <c r="AB342" s="431"/>
      <c r="AC342" s="431"/>
      <c r="AD342" s="436">
        <f t="shared" si="5"/>
        <v>1122.125</v>
      </c>
    </row>
    <row r="343" spans="1:30" ht="14">
      <c r="A343" s="431" t="s">
        <v>2791</v>
      </c>
      <c r="B343" s="431" t="s">
        <v>2792</v>
      </c>
      <c r="C343" s="431" t="s">
        <v>632</v>
      </c>
      <c r="D343" s="431" t="s">
        <v>2793</v>
      </c>
      <c r="E343" s="431" t="s">
        <v>2794</v>
      </c>
      <c r="F343" s="431">
        <v>1578</v>
      </c>
      <c r="G343" s="431">
        <v>2011</v>
      </c>
      <c r="H343" s="431">
        <v>2031</v>
      </c>
      <c r="I343" s="431" t="b">
        <v>1</v>
      </c>
      <c r="J343" s="431" t="s">
        <v>891</v>
      </c>
      <c r="K343" s="431">
        <v>14600</v>
      </c>
      <c r="L343" s="431"/>
      <c r="M343" s="431"/>
      <c r="N343" s="431"/>
      <c r="O343" s="431" t="b">
        <v>1</v>
      </c>
      <c r="P343" s="431" t="b">
        <v>0</v>
      </c>
      <c r="Q343" s="431" t="s">
        <v>2795</v>
      </c>
      <c r="R343" s="431"/>
      <c r="S343" s="431"/>
      <c r="T343" s="431" t="s">
        <v>2796</v>
      </c>
      <c r="U343" s="431"/>
      <c r="V343" s="431" t="s">
        <v>2797</v>
      </c>
      <c r="W343" s="432">
        <v>43585.592116481479</v>
      </c>
      <c r="X343" s="432">
        <v>44616.04264446759</v>
      </c>
      <c r="Y343" s="431"/>
      <c r="Z343" s="433">
        <v>41795</v>
      </c>
      <c r="AA343" s="433">
        <v>41912</v>
      </c>
      <c r="AB343" s="433">
        <v>42541</v>
      </c>
      <c r="AC343" s="433">
        <v>42562</v>
      </c>
      <c r="AD343" s="436">
        <f t="shared" si="5"/>
        <v>730</v>
      </c>
    </row>
    <row r="344" spans="1:30" ht="14">
      <c r="A344" s="431" t="s">
        <v>3834</v>
      </c>
      <c r="B344" s="431" t="s">
        <v>3835</v>
      </c>
      <c r="C344" s="431" t="s">
        <v>558</v>
      </c>
      <c r="D344" s="431" t="s">
        <v>3825</v>
      </c>
      <c r="E344" s="431" t="s">
        <v>3826</v>
      </c>
      <c r="F344" s="431">
        <v>766</v>
      </c>
      <c r="G344" s="431">
        <v>2006</v>
      </c>
      <c r="H344" s="431">
        <v>2026</v>
      </c>
      <c r="I344" s="431" t="b">
        <v>1</v>
      </c>
      <c r="J344" s="431" t="s">
        <v>891</v>
      </c>
      <c r="K344" s="431">
        <v>21489</v>
      </c>
      <c r="L344" s="431"/>
      <c r="M344" s="431"/>
      <c r="N344" s="431"/>
      <c r="O344" s="431" t="b">
        <v>1</v>
      </c>
      <c r="P344" s="431" t="b">
        <v>1</v>
      </c>
      <c r="Q344" s="431" t="s">
        <v>3827</v>
      </c>
      <c r="R344" s="431" t="s">
        <v>3828</v>
      </c>
      <c r="S344" s="431" t="s">
        <v>3829</v>
      </c>
      <c r="T344" s="431" t="s">
        <v>3830</v>
      </c>
      <c r="U344" s="431"/>
      <c r="V344" s="431" t="s">
        <v>3831</v>
      </c>
      <c r="W344" s="432">
        <v>43585.592139849534</v>
      </c>
      <c r="X344" s="432">
        <v>44616.043866828702</v>
      </c>
      <c r="Y344" s="431"/>
      <c r="Z344" s="433">
        <v>40147</v>
      </c>
      <c r="AA344" s="433">
        <v>40235</v>
      </c>
      <c r="AB344" s="433">
        <v>40466</v>
      </c>
      <c r="AC344" s="433">
        <v>40577</v>
      </c>
      <c r="AD344" s="436">
        <f t="shared" si="5"/>
        <v>1074.45</v>
      </c>
    </row>
    <row r="345" spans="1:30" ht="14">
      <c r="A345" s="431" t="s">
        <v>3834</v>
      </c>
      <c r="B345" s="431" t="s">
        <v>3835</v>
      </c>
      <c r="C345" s="431" t="s">
        <v>558</v>
      </c>
      <c r="D345" s="431" t="s">
        <v>4197</v>
      </c>
      <c r="E345" s="431" t="s">
        <v>3832</v>
      </c>
      <c r="F345" s="431">
        <v>2044</v>
      </c>
      <c r="G345" s="431">
        <v>2020</v>
      </c>
      <c r="H345" s="431">
        <v>2039</v>
      </c>
      <c r="I345" s="431" t="b">
        <v>1</v>
      </c>
      <c r="J345" s="431" t="s">
        <v>891</v>
      </c>
      <c r="K345" s="431">
        <v>9158</v>
      </c>
      <c r="L345" s="431"/>
      <c r="M345" s="431"/>
      <c r="N345" s="431"/>
      <c r="O345" s="431" t="b">
        <v>1</v>
      </c>
      <c r="P345" s="431" t="b">
        <v>1</v>
      </c>
      <c r="Q345" s="431" t="s">
        <v>4198</v>
      </c>
      <c r="R345" s="431" t="s">
        <v>3833</v>
      </c>
      <c r="S345" s="431" t="s">
        <v>4199</v>
      </c>
      <c r="T345" s="431"/>
      <c r="U345" s="431" t="s">
        <v>4200</v>
      </c>
      <c r="V345" s="431" t="s">
        <v>4201</v>
      </c>
      <c r="W345" s="432">
        <v>43585.592111041668</v>
      </c>
      <c r="X345" s="432">
        <v>44616.04876297454</v>
      </c>
      <c r="Y345" s="431"/>
      <c r="Z345" s="431"/>
      <c r="AA345" s="431"/>
      <c r="AB345" s="431"/>
      <c r="AC345" s="431"/>
      <c r="AD345" s="436">
        <f t="shared" si="5"/>
        <v>482</v>
      </c>
    </row>
    <row r="346" spans="1:30" ht="14">
      <c r="A346" s="431" t="s">
        <v>1074</v>
      </c>
      <c r="B346" s="431" t="s">
        <v>1075</v>
      </c>
      <c r="C346" s="431" t="s">
        <v>654</v>
      </c>
      <c r="D346" s="431" t="s">
        <v>1076</v>
      </c>
      <c r="E346" s="431" t="s">
        <v>1077</v>
      </c>
      <c r="F346" s="431">
        <v>1740</v>
      </c>
      <c r="G346" s="431">
        <v>2011</v>
      </c>
      <c r="H346" s="431">
        <v>2031</v>
      </c>
      <c r="I346" s="431" t="b">
        <v>1</v>
      </c>
      <c r="J346" s="431" t="s">
        <v>891</v>
      </c>
      <c r="K346" s="431">
        <v>17280</v>
      </c>
      <c r="L346" s="431"/>
      <c r="M346" s="431"/>
      <c r="N346" s="431"/>
      <c r="O346" s="431" t="b">
        <v>1</v>
      </c>
      <c r="P346" s="431" t="b">
        <v>0</v>
      </c>
      <c r="Q346" s="431" t="s">
        <v>1078</v>
      </c>
      <c r="R346" s="431" t="s">
        <v>1079</v>
      </c>
      <c r="S346" s="431" t="s">
        <v>1080</v>
      </c>
      <c r="T346" s="431" t="s">
        <v>1081</v>
      </c>
      <c r="U346" s="431"/>
      <c r="V346" s="431" t="s">
        <v>1082</v>
      </c>
      <c r="W346" s="432">
        <v>43585.592114606479</v>
      </c>
      <c r="X346" s="432">
        <v>44616.047807303243</v>
      </c>
      <c r="Y346" s="431"/>
      <c r="Z346" s="433">
        <v>42401</v>
      </c>
      <c r="AA346" s="433">
        <v>42551</v>
      </c>
      <c r="AB346" s="433">
        <v>43045</v>
      </c>
      <c r="AC346" s="433">
        <v>43111</v>
      </c>
      <c r="AD346" s="436">
        <f t="shared" si="5"/>
        <v>864</v>
      </c>
    </row>
    <row r="347" spans="1:30" ht="14">
      <c r="A347" s="431" t="s">
        <v>1074</v>
      </c>
      <c r="B347" s="431" t="s">
        <v>1075</v>
      </c>
      <c r="C347" s="431" t="s">
        <v>654</v>
      </c>
      <c r="D347" s="431" t="s">
        <v>4441</v>
      </c>
      <c r="E347" s="431" t="s">
        <v>4442</v>
      </c>
      <c r="F347" s="431">
        <v>2171</v>
      </c>
      <c r="G347" s="431">
        <v>2020</v>
      </c>
      <c r="H347" s="431">
        <v>2040</v>
      </c>
      <c r="I347" s="431" t="b">
        <v>1</v>
      </c>
      <c r="J347" s="431"/>
      <c r="K347" s="431"/>
      <c r="L347" s="431"/>
      <c r="M347" s="431"/>
      <c r="N347" s="431"/>
      <c r="O347" s="431" t="b">
        <v>0</v>
      </c>
      <c r="P347" s="431" t="b">
        <v>0</v>
      </c>
      <c r="Q347" s="431"/>
      <c r="R347" s="431"/>
      <c r="S347" s="431"/>
      <c r="T347" s="431"/>
      <c r="U347" s="431"/>
      <c r="V347" s="431"/>
      <c r="W347" s="432">
        <v>44376.474561655094</v>
      </c>
      <c r="X347" s="432">
        <v>44376.475265833331</v>
      </c>
      <c r="Y347" s="431" t="s">
        <v>978</v>
      </c>
      <c r="Z347" s="431"/>
      <c r="AA347" s="431"/>
      <c r="AB347" s="431"/>
      <c r="AC347" s="431"/>
      <c r="AD347" s="436" t="str">
        <f t="shared" si="5"/>
        <v/>
      </c>
    </row>
    <row r="348" spans="1:30" ht="14">
      <c r="A348" s="431" t="s">
        <v>2013</v>
      </c>
      <c r="B348" s="431" t="s">
        <v>2014</v>
      </c>
      <c r="C348" s="431" t="s">
        <v>664</v>
      </c>
      <c r="D348" s="431" t="s">
        <v>931</v>
      </c>
      <c r="E348" s="431" t="s">
        <v>2015</v>
      </c>
      <c r="F348" s="431">
        <v>1016</v>
      </c>
      <c r="G348" s="431">
        <v>2001</v>
      </c>
      <c r="H348" s="431">
        <v>2026</v>
      </c>
      <c r="I348" s="431" t="b">
        <v>1</v>
      </c>
      <c r="J348" s="431" t="s">
        <v>891</v>
      </c>
      <c r="K348" s="431">
        <v>4500</v>
      </c>
      <c r="L348" s="431"/>
      <c r="M348" s="431"/>
      <c r="N348" s="431"/>
      <c r="O348" s="431" t="b">
        <v>1</v>
      </c>
      <c r="P348" s="431" t="b">
        <v>0</v>
      </c>
      <c r="Q348" s="431" t="s">
        <v>2016</v>
      </c>
      <c r="R348" s="431" t="s">
        <v>2017</v>
      </c>
      <c r="S348" s="431" t="s">
        <v>4443</v>
      </c>
      <c r="T348" s="431"/>
      <c r="U348" s="431"/>
      <c r="V348" s="431" t="s">
        <v>2018</v>
      </c>
      <c r="W348" s="432">
        <v>43585.592120682872</v>
      </c>
      <c r="X348" s="432">
        <v>44616.043536006946</v>
      </c>
      <c r="Y348" s="431"/>
      <c r="Z348" s="433">
        <v>40340</v>
      </c>
      <c r="AA348" s="433">
        <v>40597</v>
      </c>
      <c r="AB348" s="433">
        <v>40802</v>
      </c>
      <c r="AC348" s="433">
        <v>40833</v>
      </c>
      <c r="AD348" s="436">
        <f t="shared" si="5"/>
        <v>180</v>
      </c>
    </row>
    <row r="349" spans="1:30" ht="14">
      <c r="A349" s="431" t="s">
        <v>2013</v>
      </c>
      <c r="B349" s="431" t="s">
        <v>2014</v>
      </c>
      <c r="C349" s="431" t="s">
        <v>664</v>
      </c>
      <c r="D349" s="431" t="s">
        <v>2019</v>
      </c>
      <c r="E349" s="431" t="s">
        <v>2020</v>
      </c>
      <c r="F349" s="431">
        <v>1958</v>
      </c>
      <c r="G349" s="431">
        <v>2020</v>
      </c>
      <c r="H349" s="431">
        <v>2036</v>
      </c>
      <c r="I349" s="431" t="b">
        <v>1</v>
      </c>
      <c r="J349" s="431" t="s">
        <v>891</v>
      </c>
      <c r="K349" s="431">
        <v>9600</v>
      </c>
      <c r="L349" s="431"/>
      <c r="M349" s="431"/>
      <c r="N349" s="431"/>
      <c r="O349" s="431" t="b">
        <v>1</v>
      </c>
      <c r="P349" s="431" t="b">
        <v>0</v>
      </c>
      <c r="Q349" s="431" t="s">
        <v>2021</v>
      </c>
      <c r="R349" s="431" t="s">
        <v>2022</v>
      </c>
      <c r="S349" s="431" t="s">
        <v>4444</v>
      </c>
      <c r="T349" s="431"/>
      <c r="U349" s="431"/>
      <c r="V349" s="431" t="s">
        <v>2023</v>
      </c>
      <c r="W349" s="432">
        <v>43585.59213597222</v>
      </c>
      <c r="X349" s="432">
        <v>44616.046322800925</v>
      </c>
      <c r="Y349" s="431"/>
      <c r="Z349" s="431"/>
      <c r="AA349" s="431"/>
      <c r="AB349" s="431"/>
      <c r="AC349" s="431"/>
      <c r="AD349" s="436">
        <f t="shared" si="5"/>
        <v>600</v>
      </c>
    </row>
    <row r="350" spans="1:30" ht="14">
      <c r="A350" s="431" t="s">
        <v>2918</v>
      </c>
      <c r="B350" s="431" t="s">
        <v>2919</v>
      </c>
      <c r="C350" s="431" t="s">
        <v>616</v>
      </c>
      <c r="D350" s="431" t="s">
        <v>4445</v>
      </c>
      <c r="E350" s="431" t="s">
        <v>2920</v>
      </c>
      <c r="F350" s="431">
        <v>1962</v>
      </c>
      <c r="G350" s="431">
        <v>2020</v>
      </c>
      <c r="H350" s="431">
        <v>2036</v>
      </c>
      <c r="I350" s="431" t="b">
        <v>1</v>
      </c>
      <c r="J350" s="431" t="s">
        <v>891</v>
      </c>
      <c r="K350" s="431">
        <v>14608</v>
      </c>
      <c r="L350" s="431"/>
      <c r="M350" s="431"/>
      <c r="N350" s="431"/>
      <c r="O350" s="431" t="b">
        <v>1</v>
      </c>
      <c r="P350" s="431" t="b">
        <v>0</v>
      </c>
      <c r="Q350" s="431" t="s">
        <v>2921</v>
      </c>
      <c r="R350" s="431" t="s">
        <v>2922</v>
      </c>
      <c r="S350" s="431" t="s">
        <v>2923</v>
      </c>
      <c r="T350" s="431" t="s">
        <v>2924</v>
      </c>
      <c r="U350" s="431"/>
      <c r="V350" s="431" t="s">
        <v>2925</v>
      </c>
      <c r="W350" s="432">
        <v>43585.592142164351</v>
      </c>
      <c r="X350" s="432">
        <v>44616.043319745368</v>
      </c>
      <c r="Y350" s="431"/>
      <c r="Z350" s="433">
        <v>43347</v>
      </c>
      <c r="AA350" s="433">
        <v>43553</v>
      </c>
      <c r="AB350" s="431"/>
      <c r="AC350" s="431"/>
      <c r="AD350" s="436">
        <f t="shared" si="5"/>
        <v>913</v>
      </c>
    </row>
    <row r="351" spans="1:30" ht="14">
      <c r="A351" s="431" t="s">
        <v>2731</v>
      </c>
      <c r="B351" s="431" t="s">
        <v>2732</v>
      </c>
      <c r="C351" s="431" t="s">
        <v>638</v>
      </c>
      <c r="D351" s="431" t="s">
        <v>2733</v>
      </c>
      <c r="E351" s="431" t="s">
        <v>2734</v>
      </c>
      <c r="F351" s="431">
        <v>251</v>
      </c>
      <c r="G351" s="431">
        <v>2011</v>
      </c>
      <c r="H351" s="431">
        <v>2028</v>
      </c>
      <c r="I351" s="431" t="b">
        <v>1</v>
      </c>
      <c r="J351" s="431" t="s">
        <v>891</v>
      </c>
      <c r="K351" s="431">
        <v>3240</v>
      </c>
      <c r="L351" s="431"/>
      <c r="M351" s="431"/>
      <c r="N351" s="431"/>
      <c r="O351" s="431" t="b">
        <v>1</v>
      </c>
      <c r="P351" s="431" t="b">
        <v>0</v>
      </c>
      <c r="Q351" s="431" t="s">
        <v>2735</v>
      </c>
      <c r="R351" s="431" t="s">
        <v>2736</v>
      </c>
      <c r="S351" s="431" t="s">
        <v>2737</v>
      </c>
      <c r="T351" s="431"/>
      <c r="U351" s="431"/>
      <c r="V351" s="431" t="s">
        <v>2738</v>
      </c>
      <c r="W351" s="432">
        <v>43585.59210991898</v>
      </c>
      <c r="X351" s="432">
        <v>44616.043872893519</v>
      </c>
      <c r="Y351" s="431"/>
      <c r="Z351" s="433">
        <v>40394</v>
      </c>
      <c r="AA351" s="433">
        <v>40478</v>
      </c>
      <c r="AB351" s="433">
        <v>40912</v>
      </c>
      <c r="AC351" s="433">
        <v>40940</v>
      </c>
      <c r="AD351" s="436">
        <f t="shared" si="5"/>
        <v>190.58823529411765</v>
      </c>
    </row>
    <row r="352" spans="1:30" ht="14">
      <c r="A352" s="431" t="s">
        <v>2731</v>
      </c>
      <c r="B352" s="431" t="s">
        <v>2732</v>
      </c>
      <c r="C352" s="431" t="s">
        <v>638</v>
      </c>
      <c r="D352" s="431" t="s">
        <v>2739</v>
      </c>
      <c r="E352" s="431" t="s">
        <v>2740</v>
      </c>
      <c r="F352" s="431">
        <v>2160</v>
      </c>
      <c r="G352" s="431">
        <v>2016</v>
      </c>
      <c r="H352" s="431">
        <v>2032</v>
      </c>
      <c r="I352" s="431" t="b">
        <v>1</v>
      </c>
      <c r="J352" s="431"/>
      <c r="K352" s="431"/>
      <c r="L352" s="431"/>
      <c r="M352" s="431"/>
      <c r="N352" s="431"/>
      <c r="O352" s="431" t="b">
        <v>0</v>
      </c>
      <c r="P352" s="431" t="b">
        <v>0</v>
      </c>
      <c r="Q352" s="431"/>
      <c r="R352" s="431"/>
      <c r="S352" s="431"/>
      <c r="T352" s="431"/>
      <c r="U352" s="431"/>
      <c r="V352" s="431"/>
      <c r="W352" s="432">
        <v>43585.592125856485</v>
      </c>
      <c r="X352" s="432">
        <v>44375.624317372683</v>
      </c>
      <c r="Y352" s="431" t="s">
        <v>978</v>
      </c>
      <c r="Z352" s="431"/>
      <c r="AA352" s="431"/>
      <c r="AB352" s="431"/>
      <c r="AC352" s="431"/>
      <c r="AD352" s="436" t="str">
        <f t="shared" si="5"/>
        <v/>
      </c>
    </row>
    <row r="353" spans="1:30" ht="14">
      <c r="A353" s="431" t="s">
        <v>3684</v>
      </c>
      <c r="B353" s="431" t="s">
        <v>3685</v>
      </c>
      <c r="C353" s="431" t="s">
        <v>660</v>
      </c>
      <c r="D353" s="431" t="s">
        <v>3673</v>
      </c>
      <c r="E353" s="431" t="s">
        <v>3674</v>
      </c>
      <c r="F353" s="431">
        <v>1109</v>
      </c>
      <c r="G353" s="431">
        <v>2011</v>
      </c>
      <c r="H353" s="431">
        <v>2031</v>
      </c>
      <c r="I353" s="431" t="b">
        <v>1</v>
      </c>
      <c r="J353" s="431" t="s">
        <v>891</v>
      </c>
      <c r="K353" s="431">
        <v>9899</v>
      </c>
      <c r="L353" s="431"/>
      <c r="M353" s="431"/>
      <c r="N353" s="431"/>
      <c r="O353" s="431" t="b">
        <v>1</v>
      </c>
      <c r="P353" s="431" t="b">
        <v>1</v>
      </c>
      <c r="Q353" s="431" t="s">
        <v>3675</v>
      </c>
      <c r="R353" s="431"/>
      <c r="S353" s="431"/>
      <c r="T353" s="431" t="s">
        <v>3676</v>
      </c>
      <c r="U353" s="431"/>
      <c r="V353" s="431" t="s">
        <v>3677</v>
      </c>
      <c r="W353" s="432">
        <v>43585.592114988423</v>
      </c>
      <c r="X353" s="432">
        <v>44616.047870532406</v>
      </c>
      <c r="Y353" s="431"/>
      <c r="Z353" s="433">
        <v>41820</v>
      </c>
      <c r="AA353" s="433">
        <v>41963</v>
      </c>
      <c r="AB353" s="433">
        <v>43034</v>
      </c>
      <c r="AC353" s="433">
        <v>43080</v>
      </c>
      <c r="AD353" s="436">
        <f t="shared" si="5"/>
        <v>494.95</v>
      </c>
    </row>
    <row r="354" spans="1:30" ht="14">
      <c r="A354" s="431" t="s">
        <v>3684</v>
      </c>
      <c r="B354" s="431" t="s">
        <v>3685</v>
      </c>
      <c r="C354" s="431" t="s">
        <v>660</v>
      </c>
      <c r="D354" s="431" t="s">
        <v>3678</v>
      </c>
      <c r="E354" s="431" t="s">
        <v>3679</v>
      </c>
      <c r="F354" s="431">
        <v>2142</v>
      </c>
      <c r="G354" s="431">
        <v>2021</v>
      </c>
      <c r="H354" s="431">
        <v>2036</v>
      </c>
      <c r="I354" s="431" t="b">
        <v>1</v>
      </c>
      <c r="J354" s="431" t="s">
        <v>891</v>
      </c>
      <c r="K354" s="431"/>
      <c r="L354" s="431"/>
      <c r="M354" s="431"/>
      <c r="N354" s="431">
        <v>35600</v>
      </c>
      <c r="O354" s="431" t="b">
        <v>1</v>
      </c>
      <c r="P354" s="431" t="b">
        <v>1</v>
      </c>
      <c r="Q354" s="431" t="s">
        <v>3680</v>
      </c>
      <c r="R354" s="431"/>
      <c r="S354" s="431"/>
      <c r="T354" s="431" t="s">
        <v>4112</v>
      </c>
      <c r="U354" s="431"/>
      <c r="V354" s="431" t="s">
        <v>3681</v>
      </c>
      <c r="W354" s="432">
        <v>43585.592134872684</v>
      </c>
      <c r="X354" s="432">
        <v>44616.048271643522</v>
      </c>
      <c r="Y354" s="431"/>
      <c r="Z354" s="431"/>
      <c r="AA354" s="431"/>
      <c r="AB354" s="431"/>
      <c r="AC354" s="431"/>
      <c r="AD354" s="436">
        <f t="shared" si="5"/>
        <v>2373.3333333333335</v>
      </c>
    </row>
    <row r="355" spans="1:30" ht="14">
      <c r="A355" s="431" t="s">
        <v>1258</v>
      </c>
      <c r="B355" s="431" t="s">
        <v>1259</v>
      </c>
      <c r="C355" s="431" t="s">
        <v>574</v>
      </c>
      <c r="D355" s="431" t="s">
        <v>1260</v>
      </c>
      <c r="E355" s="431" t="s">
        <v>1261</v>
      </c>
      <c r="F355" s="431">
        <v>688</v>
      </c>
      <c r="G355" s="431">
        <v>2006</v>
      </c>
      <c r="H355" s="431">
        <v>2026</v>
      </c>
      <c r="I355" s="431" t="b">
        <v>1</v>
      </c>
      <c r="J355" s="431" t="s">
        <v>891</v>
      </c>
      <c r="K355" s="431">
        <v>6250</v>
      </c>
      <c r="L355" s="431"/>
      <c r="M355" s="431"/>
      <c r="N355" s="431"/>
      <c r="O355" s="431" t="b">
        <v>1</v>
      </c>
      <c r="P355" s="431" t="b">
        <v>0</v>
      </c>
      <c r="Q355" s="431" t="s">
        <v>1262</v>
      </c>
      <c r="R355" s="431" t="s">
        <v>1263</v>
      </c>
      <c r="S355" s="431" t="s">
        <v>1264</v>
      </c>
      <c r="T355" s="431" t="s">
        <v>4446</v>
      </c>
      <c r="U355" s="431"/>
      <c r="V355" s="431" t="s">
        <v>1265</v>
      </c>
      <c r="W355" s="432">
        <v>43585.592141261572</v>
      </c>
      <c r="X355" s="432">
        <v>44616.04836090278</v>
      </c>
      <c r="Y355" s="431"/>
      <c r="Z355" s="433">
        <v>39398</v>
      </c>
      <c r="AA355" s="433">
        <v>39398</v>
      </c>
      <c r="AB355" s="433">
        <v>39682</v>
      </c>
      <c r="AC355" s="433">
        <v>39798</v>
      </c>
      <c r="AD355" s="436">
        <f t="shared" si="5"/>
        <v>312.5</v>
      </c>
    </row>
    <row r="356" spans="1:30" ht="14">
      <c r="A356" s="431" t="s">
        <v>1258</v>
      </c>
      <c r="B356" s="431" t="s">
        <v>1259</v>
      </c>
      <c r="C356" s="431" t="s">
        <v>574</v>
      </c>
      <c r="D356" s="431" t="s">
        <v>1266</v>
      </c>
      <c r="E356" s="431" t="s">
        <v>1267</v>
      </c>
      <c r="F356" s="431">
        <v>2156</v>
      </c>
      <c r="G356" s="431">
        <v>2016</v>
      </c>
      <c r="H356" s="431">
        <v>2036</v>
      </c>
      <c r="I356" s="431" t="b">
        <v>1</v>
      </c>
      <c r="J356" s="431"/>
      <c r="K356" s="431"/>
      <c r="L356" s="431"/>
      <c r="M356" s="431"/>
      <c r="N356" s="431"/>
      <c r="O356" s="431" t="b">
        <v>0</v>
      </c>
      <c r="P356" s="431" t="b">
        <v>0</v>
      </c>
      <c r="Q356" s="431"/>
      <c r="R356" s="431"/>
      <c r="S356" s="431"/>
      <c r="T356" s="431"/>
      <c r="U356" s="431"/>
      <c r="V356" s="431"/>
      <c r="W356" s="432">
        <v>43585.592125914351</v>
      </c>
      <c r="X356" s="432">
        <v>44364.522129409721</v>
      </c>
      <c r="Y356" s="431" t="s">
        <v>978</v>
      </c>
      <c r="Z356" s="431"/>
      <c r="AA356" s="431"/>
      <c r="AB356" s="431"/>
      <c r="AC356" s="431"/>
      <c r="AD356" s="436" t="str">
        <f t="shared" si="5"/>
        <v/>
      </c>
    </row>
    <row r="357" spans="1:30" ht="14">
      <c r="A357" s="431" t="s">
        <v>2121</v>
      </c>
      <c r="B357" s="431" t="s">
        <v>2122</v>
      </c>
      <c r="C357" s="431" t="s">
        <v>662</v>
      </c>
      <c r="D357" s="431" t="s">
        <v>2123</v>
      </c>
      <c r="E357" s="431" t="s">
        <v>2124</v>
      </c>
      <c r="F357" s="431">
        <v>1969</v>
      </c>
      <c r="G357" s="431">
        <v>2011</v>
      </c>
      <c r="H357" s="431">
        <v>2031</v>
      </c>
      <c r="I357" s="431" t="b">
        <v>1</v>
      </c>
      <c r="J357" s="431" t="s">
        <v>891</v>
      </c>
      <c r="K357" s="431">
        <v>17140</v>
      </c>
      <c r="L357" s="431"/>
      <c r="M357" s="431"/>
      <c r="N357" s="431"/>
      <c r="O357" s="431" t="b">
        <v>1</v>
      </c>
      <c r="P357" s="431" t="b">
        <v>0</v>
      </c>
      <c r="Q357" s="431" t="s">
        <v>2125</v>
      </c>
      <c r="R357" s="431" t="s">
        <v>2126</v>
      </c>
      <c r="S357" s="431" t="s">
        <v>2127</v>
      </c>
      <c r="T357" s="431" t="s">
        <v>1081</v>
      </c>
      <c r="U357" s="431" t="s">
        <v>2128</v>
      </c>
      <c r="V357" s="431" t="s">
        <v>2129</v>
      </c>
      <c r="W357" s="432">
        <v>43585.592113090279</v>
      </c>
      <c r="X357" s="432">
        <v>44616.047173425926</v>
      </c>
      <c r="Y357" s="431"/>
      <c r="Z357" s="433">
        <v>43335</v>
      </c>
      <c r="AA357" s="433">
        <v>43404</v>
      </c>
      <c r="AB357" s="433">
        <v>43912</v>
      </c>
      <c r="AC357" s="433">
        <v>44021</v>
      </c>
      <c r="AD357" s="436">
        <f t="shared" si="5"/>
        <v>857</v>
      </c>
    </row>
    <row r="358" spans="1:30" ht="14">
      <c r="A358" s="431" t="s">
        <v>2578</v>
      </c>
      <c r="B358" s="431" t="s">
        <v>2579</v>
      </c>
      <c r="C358" s="431" t="s">
        <v>622</v>
      </c>
      <c r="D358" s="431" t="s">
        <v>2580</v>
      </c>
      <c r="E358" s="431" t="s">
        <v>2581</v>
      </c>
      <c r="F358" s="431">
        <v>1902</v>
      </c>
      <c r="G358" s="431">
        <v>2014</v>
      </c>
      <c r="H358" s="431">
        <v>2033</v>
      </c>
      <c r="I358" s="431" t="b">
        <v>1</v>
      </c>
      <c r="J358" s="431" t="s">
        <v>907</v>
      </c>
      <c r="K358" s="431">
        <v>315</v>
      </c>
      <c r="L358" s="431"/>
      <c r="M358" s="431"/>
      <c r="N358" s="431"/>
      <c r="O358" s="431" t="b">
        <v>1</v>
      </c>
      <c r="P358" s="431" t="b">
        <v>0</v>
      </c>
      <c r="Q358" s="431" t="s">
        <v>2582</v>
      </c>
      <c r="R358" s="431" t="s">
        <v>4447</v>
      </c>
      <c r="S358" s="431" t="s">
        <v>4448</v>
      </c>
      <c r="T358" s="431" t="s">
        <v>2583</v>
      </c>
      <c r="U358" s="431" t="s">
        <v>4449</v>
      </c>
      <c r="V358" s="431" t="s">
        <v>2584</v>
      </c>
      <c r="W358" s="432">
        <v>43585.592109594909</v>
      </c>
      <c r="X358" s="432">
        <v>44616.043468275464</v>
      </c>
      <c r="Y358" s="431"/>
      <c r="Z358" s="433">
        <v>43158</v>
      </c>
      <c r="AA358" s="433">
        <v>43280</v>
      </c>
      <c r="AB358" s="433">
        <v>44000</v>
      </c>
      <c r="AC358" s="433">
        <v>44083</v>
      </c>
      <c r="AD358" s="436">
        <f t="shared" si="5"/>
        <v>315</v>
      </c>
    </row>
    <row r="359" spans="1:30" ht="14">
      <c r="A359" s="431" t="s">
        <v>3731</v>
      </c>
      <c r="B359" s="431" t="s">
        <v>3732</v>
      </c>
      <c r="C359" s="431" t="s">
        <v>588</v>
      </c>
      <c r="D359" s="431" t="s">
        <v>3708</v>
      </c>
      <c r="E359" s="431" t="s">
        <v>3709</v>
      </c>
      <c r="F359" s="431">
        <v>1833</v>
      </c>
      <c r="G359" s="431">
        <v>2011</v>
      </c>
      <c r="H359" s="431">
        <v>2036</v>
      </c>
      <c r="I359" s="431" t="b">
        <v>1</v>
      </c>
      <c r="J359" s="431" t="s">
        <v>891</v>
      </c>
      <c r="K359" s="431">
        <v>11681</v>
      </c>
      <c r="L359" s="431"/>
      <c r="M359" s="431"/>
      <c r="N359" s="431"/>
      <c r="O359" s="431" t="b">
        <v>1</v>
      </c>
      <c r="P359" s="431" t="b">
        <v>1</v>
      </c>
      <c r="Q359" s="431" t="s">
        <v>3710</v>
      </c>
      <c r="R359" s="431" t="s">
        <v>3711</v>
      </c>
      <c r="S359" s="431" t="s">
        <v>3712</v>
      </c>
      <c r="T359" s="431"/>
      <c r="U359" s="431"/>
      <c r="V359" s="431" t="s">
        <v>3713</v>
      </c>
      <c r="W359" s="432">
        <v>43585.592131030091</v>
      </c>
      <c r="X359" s="432">
        <v>44616.044505393518</v>
      </c>
      <c r="Y359" s="431"/>
      <c r="Z359" s="433">
        <v>42835</v>
      </c>
      <c r="AA359" s="433">
        <v>42909</v>
      </c>
      <c r="AB359" s="433">
        <v>43494</v>
      </c>
      <c r="AC359" s="433">
        <v>43532</v>
      </c>
      <c r="AD359" s="436">
        <f t="shared" si="5"/>
        <v>467.24</v>
      </c>
    </row>
    <row r="360" spans="1:30" ht="14">
      <c r="A360" s="431" t="s">
        <v>2552</v>
      </c>
      <c r="B360" s="431" t="s">
        <v>2553</v>
      </c>
      <c r="C360" s="431" t="s">
        <v>604</v>
      </c>
      <c r="D360" s="431" t="s">
        <v>2554</v>
      </c>
      <c r="E360" s="431" t="s">
        <v>2555</v>
      </c>
      <c r="F360" s="431">
        <v>1227</v>
      </c>
      <c r="G360" s="431">
        <v>2006</v>
      </c>
      <c r="H360" s="431">
        <v>2028</v>
      </c>
      <c r="I360" s="431" t="b">
        <v>1</v>
      </c>
      <c r="J360" s="431" t="s">
        <v>891</v>
      </c>
      <c r="K360" s="431">
        <v>3850</v>
      </c>
      <c r="L360" s="431"/>
      <c r="M360" s="431"/>
      <c r="N360" s="431"/>
      <c r="O360" s="431" t="b">
        <v>1</v>
      </c>
      <c r="P360" s="431" t="b">
        <v>0</v>
      </c>
      <c r="Q360" s="431" t="s">
        <v>2556</v>
      </c>
      <c r="R360" s="431"/>
      <c r="S360" s="431"/>
      <c r="T360" s="431" t="s">
        <v>2557</v>
      </c>
      <c r="U360" s="431"/>
      <c r="V360" s="431" t="s">
        <v>2558</v>
      </c>
      <c r="W360" s="432">
        <v>43585.59211322917</v>
      </c>
      <c r="X360" s="432">
        <v>44616.046203472222</v>
      </c>
      <c r="Y360" s="431"/>
      <c r="Z360" s="433">
        <v>40616</v>
      </c>
      <c r="AA360" s="433">
        <v>40794</v>
      </c>
      <c r="AB360" s="433">
        <v>41199</v>
      </c>
      <c r="AC360" s="433">
        <v>41254</v>
      </c>
      <c r="AD360" s="436">
        <f t="shared" si="5"/>
        <v>175</v>
      </c>
    </row>
    <row r="361" spans="1:30" ht="14">
      <c r="A361" s="431" t="s">
        <v>2552</v>
      </c>
      <c r="B361" s="431" t="s">
        <v>2553</v>
      </c>
      <c r="C361" s="431" t="s">
        <v>604</v>
      </c>
      <c r="D361" s="431" t="s">
        <v>1647</v>
      </c>
      <c r="E361" s="431" t="s">
        <v>2559</v>
      </c>
      <c r="F361" s="431">
        <v>2159</v>
      </c>
      <c r="G361" s="431">
        <v>2018</v>
      </c>
      <c r="H361" s="431">
        <v>2038</v>
      </c>
      <c r="I361" s="431" t="b">
        <v>1</v>
      </c>
      <c r="J361" s="431" t="s">
        <v>891</v>
      </c>
      <c r="K361" s="431">
        <v>9130</v>
      </c>
      <c r="L361" s="431"/>
      <c r="M361" s="431"/>
      <c r="N361" s="431"/>
      <c r="O361" s="431" t="b">
        <v>1</v>
      </c>
      <c r="P361" s="431" t="b">
        <v>0</v>
      </c>
      <c r="Q361" s="431" t="s">
        <v>2560</v>
      </c>
      <c r="R361" s="431"/>
      <c r="S361" s="431"/>
      <c r="T361" s="431" t="s">
        <v>2561</v>
      </c>
      <c r="U361" s="431" t="s">
        <v>4450</v>
      </c>
      <c r="V361" s="431" t="s">
        <v>2562</v>
      </c>
      <c r="W361" s="432">
        <v>43669.433877291667</v>
      </c>
      <c r="X361" s="432">
        <v>44616.047472662038</v>
      </c>
      <c r="Y361" s="431"/>
      <c r="Z361" s="431"/>
      <c r="AA361" s="431"/>
      <c r="AB361" s="431"/>
      <c r="AC361" s="431"/>
      <c r="AD361" s="436">
        <f t="shared" si="5"/>
        <v>456.5</v>
      </c>
    </row>
    <row r="362" spans="1:30" ht="14">
      <c r="A362" s="431" t="s">
        <v>2302</v>
      </c>
      <c r="B362" s="431" t="s">
        <v>2303</v>
      </c>
      <c r="C362" s="431" t="s">
        <v>590</v>
      </c>
      <c r="D362" s="431" t="s">
        <v>2304</v>
      </c>
      <c r="E362" s="431" t="s">
        <v>2305</v>
      </c>
      <c r="F362" s="431">
        <v>1936</v>
      </c>
      <c r="G362" s="431">
        <v>2011</v>
      </c>
      <c r="H362" s="431">
        <v>2036</v>
      </c>
      <c r="I362" s="431" t="b">
        <v>1</v>
      </c>
      <c r="J362" s="431" t="s">
        <v>891</v>
      </c>
      <c r="K362" s="431">
        <v>16125</v>
      </c>
      <c r="L362" s="431"/>
      <c r="M362" s="431"/>
      <c r="N362" s="431"/>
      <c r="O362" s="431" t="b">
        <v>1</v>
      </c>
      <c r="P362" s="431" t="b">
        <v>0</v>
      </c>
      <c r="Q362" s="431" t="s">
        <v>2306</v>
      </c>
      <c r="R362" s="431" t="s">
        <v>2307</v>
      </c>
      <c r="S362" s="431" t="s">
        <v>2308</v>
      </c>
      <c r="T362" s="431"/>
      <c r="U362" s="431" t="s">
        <v>2309</v>
      </c>
      <c r="V362" s="431" t="s">
        <v>2310</v>
      </c>
      <c r="W362" s="432">
        <v>43585.59214197917</v>
      </c>
      <c r="X362" s="432">
        <v>44616.046143240739</v>
      </c>
      <c r="Y362" s="431"/>
      <c r="Z362" s="433">
        <v>43262</v>
      </c>
      <c r="AA362" s="433">
        <v>43479</v>
      </c>
      <c r="AB362" s="433">
        <v>43836</v>
      </c>
      <c r="AC362" s="433">
        <v>43860</v>
      </c>
      <c r="AD362" s="436">
        <f t="shared" si="5"/>
        <v>645</v>
      </c>
    </row>
    <row r="363" spans="1:30" ht="14">
      <c r="A363" s="431" t="s">
        <v>2563</v>
      </c>
      <c r="B363" s="431" t="s">
        <v>2564</v>
      </c>
      <c r="C363" s="431" t="s">
        <v>620</v>
      </c>
      <c r="D363" s="431" t="s">
        <v>2565</v>
      </c>
      <c r="E363" s="431" t="s">
        <v>2566</v>
      </c>
      <c r="F363" s="431">
        <v>1406</v>
      </c>
      <c r="G363" s="431">
        <v>2011</v>
      </c>
      <c r="H363" s="431">
        <v>2031</v>
      </c>
      <c r="I363" s="431" t="b">
        <v>1</v>
      </c>
      <c r="J363" s="431" t="s">
        <v>907</v>
      </c>
      <c r="K363" s="431">
        <v>500</v>
      </c>
      <c r="L363" s="431"/>
      <c r="M363" s="431"/>
      <c r="N363" s="431"/>
      <c r="O363" s="431" t="b">
        <v>1</v>
      </c>
      <c r="P363" s="431" t="b">
        <v>0</v>
      </c>
      <c r="Q363" s="431" t="s">
        <v>2567</v>
      </c>
      <c r="R363" s="431" t="s">
        <v>2568</v>
      </c>
      <c r="S363" s="431" t="s">
        <v>2569</v>
      </c>
      <c r="T363" s="431"/>
      <c r="U363" s="431"/>
      <c r="V363" s="431" t="s">
        <v>2570</v>
      </c>
      <c r="W363" s="432">
        <v>43585.592125324074</v>
      </c>
      <c r="X363" s="432">
        <v>44616.048220474535</v>
      </c>
      <c r="Y363" s="431"/>
      <c r="Z363" s="433">
        <v>41289</v>
      </c>
      <c r="AA363" s="433">
        <v>41506</v>
      </c>
      <c r="AB363" s="433">
        <v>41801</v>
      </c>
      <c r="AC363" s="433">
        <v>41809</v>
      </c>
      <c r="AD363" s="436">
        <f t="shared" si="5"/>
        <v>500</v>
      </c>
    </row>
    <row r="364" spans="1:30" ht="14">
      <c r="A364" s="431" t="s">
        <v>2563</v>
      </c>
      <c r="B364" s="431" t="s">
        <v>2564</v>
      </c>
      <c r="C364" s="431" t="s">
        <v>620</v>
      </c>
      <c r="D364" s="431" t="s">
        <v>2571</v>
      </c>
      <c r="E364" s="431" t="s">
        <v>2572</v>
      </c>
      <c r="F364" s="431">
        <v>2219</v>
      </c>
      <c r="G364" s="431">
        <v>2020</v>
      </c>
      <c r="H364" s="431">
        <v>2040</v>
      </c>
      <c r="I364" s="431" t="b">
        <v>1</v>
      </c>
      <c r="J364" s="431" t="s">
        <v>891</v>
      </c>
      <c r="K364" s="431">
        <v>8160</v>
      </c>
      <c r="L364" s="431"/>
      <c r="M364" s="431"/>
      <c r="N364" s="431"/>
      <c r="O364" s="431" t="b">
        <v>1</v>
      </c>
      <c r="P364" s="431" t="b">
        <v>0</v>
      </c>
      <c r="Q364" s="431" t="s">
        <v>2573</v>
      </c>
      <c r="R364" s="431" t="s">
        <v>2574</v>
      </c>
      <c r="S364" s="431" t="s">
        <v>2575</v>
      </c>
      <c r="T364" s="431" t="s">
        <v>4451</v>
      </c>
      <c r="U364" s="431" t="s">
        <v>2576</v>
      </c>
      <c r="V364" s="431" t="s">
        <v>2577</v>
      </c>
      <c r="W364" s="432">
        <v>43669.419052951387</v>
      </c>
      <c r="X364" s="432">
        <v>44616.046126550929</v>
      </c>
      <c r="Y364" s="431"/>
      <c r="Z364" s="431"/>
      <c r="AA364" s="431"/>
      <c r="AB364" s="431"/>
      <c r="AC364" s="431"/>
      <c r="AD364" s="437">
        <f t="shared" si="5"/>
        <v>408</v>
      </c>
    </row>
    <row r="365" spans="1:30" ht="14">
      <c r="A365" s="431" t="s">
        <v>2992</v>
      </c>
      <c r="B365" s="431" t="s">
        <v>2993</v>
      </c>
      <c r="C365" s="431" t="s">
        <v>626</v>
      </c>
      <c r="D365" s="431" t="s">
        <v>1054</v>
      </c>
      <c r="E365" s="431" t="s">
        <v>2994</v>
      </c>
      <c r="F365" s="431">
        <v>1093</v>
      </c>
      <c r="G365" s="431">
        <v>2011</v>
      </c>
      <c r="H365" s="431">
        <v>2026</v>
      </c>
      <c r="I365" s="431" t="b">
        <v>1</v>
      </c>
      <c r="J365" s="431" t="s">
        <v>891</v>
      </c>
      <c r="K365" s="431">
        <v>7200</v>
      </c>
      <c r="L365" s="431"/>
      <c r="M365" s="431"/>
      <c r="N365" s="431"/>
      <c r="O365" s="431" t="b">
        <v>1</v>
      </c>
      <c r="P365" s="431" t="b">
        <v>0</v>
      </c>
      <c r="Q365" s="431" t="s">
        <v>2995</v>
      </c>
      <c r="R365" s="431" t="s">
        <v>2996</v>
      </c>
      <c r="S365" s="431" t="s">
        <v>2997</v>
      </c>
      <c r="T365" s="431"/>
      <c r="U365" s="431"/>
      <c r="V365" s="431" t="s">
        <v>2998</v>
      </c>
      <c r="W365" s="432">
        <v>43585.592129050929</v>
      </c>
      <c r="X365" s="432">
        <v>44616.04378792824</v>
      </c>
      <c r="Y365" s="431"/>
      <c r="Z365" s="433">
        <v>40336</v>
      </c>
      <c r="AA365" s="433">
        <v>40410</v>
      </c>
      <c r="AB365" s="433">
        <v>40576</v>
      </c>
      <c r="AC365" s="433">
        <v>40619</v>
      </c>
      <c r="AD365" s="436">
        <f t="shared" si="5"/>
        <v>480</v>
      </c>
    </row>
    <row r="366" spans="1:30" ht="14">
      <c r="A366" s="431" t="s">
        <v>2992</v>
      </c>
      <c r="B366" s="431" t="s">
        <v>2993</v>
      </c>
      <c r="C366" s="431" t="s">
        <v>626</v>
      </c>
      <c r="D366" s="431" t="s">
        <v>4452</v>
      </c>
      <c r="E366" s="431" t="s">
        <v>4453</v>
      </c>
      <c r="F366" s="431">
        <v>2170</v>
      </c>
      <c r="G366" s="431">
        <v>2020</v>
      </c>
      <c r="H366" s="431">
        <v>2035</v>
      </c>
      <c r="I366" s="431" t="b">
        <v>1</v>
      </c>
      <c r="J366" s="431"/>
      <c r="K366" s="431"/>
      <c r="L366" s="431"/>
      <c r="M366" s="431"/>
      <c r="N366" s="431"/>
      <c r="O366" s="431" t="b">
        <v>0</v>
      </c>
      <c r="P366" s="431" t="b">
        <v>0</v>
      </c>
      <c r="Q366" s="431"/>
      <c r="R366" s="431"/>
      <c r="S366" s="431"/>
      <c r="T366" s="431"/>
      <c r="U366" s="431"/>
      <c r="V366" s="431"/>
      <c r="W366" s="432">
        <v>44376.486404849536</v>
      </c>
      <c r="X366" s="432">
        <v>44376.486678738424</v>
      </c>
      <c r="Y366" s="431" t="s">
        <v>978</v>
      </c>
      <c r="Z366" s="431"/>
      <c r="AA366" s="431"/>
      <c r="AB366" s="431"/>
      <c r="AC366" s="431"/>
      <c r="AD366" s="436" t="str">
        <f t="shared" si="5"/>
        <v/>
      </c>
    </row>
    <row r="367" spans="1:30" ht="14">
      <c r="A367" s="431" t="s">
        <v>3069</v>
      </c>
      <c r="B367" s="431" t="s">
        <v>3070</v>
      </c>
      <c r="C367" s="431" t="s">
        <v>542</v>
      </c>
      <c r="D367" s="431" t="s">
        <v>3071</v>
      </c>
      <c r="E367" s="431" t="s">
        <v>3072</v>
      </c>
      <c r="F367" s="431">
        <v>699</v>
      </c>
      <c r="G367" s="431">
        <v>2013</v>
      </c>
      <c r="H367" s="431">
        <v>2028</v>
      </c>
      <c r="I367" s="431" t="b">
        <v>1</v>
      </c>
      <c r="J367" s="431" t="s">
        <v>891</v>
      </c>
      <c r="K367" s="431">
        <v>12750</v>
      </c>
      <c r="L367" s="431"/>
      <c r="M367" s="431"/>
      <c r="N367" s="431"/>
      <c r="O367" s="431" t="b">
        <v>1</v>
      </c>
      <c r="P367" s="431" t="b">
        <v>0</v>
      </c>
      <c r="Q367" s="431" t="s">
        <v>3073</v>
      </c>
      <c r="R367" s="431" t="s">
        <v>3074</v>
      </c>
      <c r="S367" s="431" t="s">
        <v>3075</v>
      </c>
      <c r="T367" s="431" t="s">
        <v>3076</v>
      </c>
      <c r="U367" s="431"/>
      <c r="V367" s="431" t="s">
        <v>3077</v>
      </c>
      <c r="W367" s="432">
        <v>43585.59213967593</v>
      </c>
      <c r="X367" s="432">
        <v>44616.043811770833</v>
      </c>
      <c r="Y367" s="431"/>
      <c r="Z367" s="433">
        <v>41085</v>
      </c>
      <c r="AA367" s="433">
        <v>41431</v>
      </c>
      <c r="AB367" s="433">
        <v>41820</v>
      </c>
      <c r="AC367" s="433">
        <v>41892</v>
      </c>
      <c r="AD367" s="437">
        <f t="shared" si="5"/>
        <v>850</v>
      </c>
    </row>
    <row r="368" spans="1:30" ht="14">
      <c r="A368" s="431" t="s">
        <v>3560</v>
      </c>
      <c r="B368" s="431" t="s">
        <v>3561</v>
      </c>
      <c r="C368" s="431" t="s">
        <v>3562</v>
      </c>
      <c r="D368" s="431" t="s">
        <v>3563</v>
      </c>
      <c r="E368" s="431" t="s">
        <v>3564</v>
      </c>
      <c r="F368" s="431">
        <v>1857</v>
      </c>
      <c r="G368" s="431">
        <v>2014</v>
      </c>
      <c r="H368" s="431">
        <v>2033</v>
      </c>
      <c r="I368" s="431" t="b">
        <v>1</v>
      </c>
      <c r="J368" s="431" t="s">
        <v>891</v>
      </c>
      <c r="K368" s="431">
        <v>4750</v>
      </c>
      <c r="L368" s="431"/>
      <c r="M368" s="431"/>
      <c r="N368" s="431"/>
      <c r="O368" s="431" t="b">
        <v>1</v>
      </c>
      <c r="P368" s="431" t="b">
        <v>0</v>
      </c>
      <c r="Q368" s="431" t="s">
        <v>3565</v>
      </c>
      <c r="R368" s="431" t="s">
        <v>3566</v>
      </c>
      <c r="S368" s="431" t="s">
        <v>3567</v>
      </c>
      <c r="T368" s="431" t="s">
        <v>3568</v>
      </c>
      <c r="U368" s="431"/>
      <c r="V368" s="431" t="s">
        <v>3569</v>
      </c>
      <c r="W368" s="432">
        <v>43585.592141851848</v>
      </c>
      <c r="X368" s="432">
        <v>44616.047295798613</v>
      </c>
      <c r="Y368" s="431"/>
      <c r="Z368" s="433">
        <v>43004</v>
      </c>
      <c r="AA368" s="433">
        <v>43217</v>
      </c>
      <c r="AB368" s="433">
        <v>43634</v>
      </c>
      <c r="AC368" s="433">
        <v>43648</v>
      </c>
      <c r="AD368" s="436">
        <f t="shared" si="5"/>
        <v>250</v>
      </c>
    </row>
    <row r="369" spans="1:30" ht="14">
      <c r="A369" s="431" t="s">
        <v>2517</v>
      </c>
      <c r="B369" s="431" t="s">
        <v>2518</v>
      </c>
      <c r="C369" s="431" t="s">
        <v>2519</v>
      </c>
      <c r="D369" s="431" t="s">
        <v>2520</v>
      </c>
      <c r="E369" s="431" t="s">
        <v>2521</v>
      </c>
      <c r="F369" s="431">
        <v>1647</v>
      </c>
      <c r="G369" s="431">
        <v>2012</v>
      </c>
      <c r="H369" s="431">
        <v>2032</v>
      </c>
      <c r="I369" s="431" t="b">
        <v>1</v>
      </c>
      <c r="J369" s="431" t="s">
        <v>891</v>
      </c>
      <c r="K369" s="431">
        <v>2900</v>
      </c>
      <c r="L369" s="431"/>
      <c r="M369" s="431"/>
      <c r="N369" s="431"/>
      <c r="O369" s="431" t="b">
        <v>1</v>
      </c>
      <c r="P369" s="431" t="b">
        <v>0</v>
      </c>
      <c r="Q369" s="431" t="s">
        <v>2522</v>
      </c>
      <c r="R369" s="431" t="s">
        <v>2523</v>
      </c>
      <c r="S369" s="431" t="s">
        <v>2524</v>
      </c>
      <c r="T369" s="431" t="s">
        <v>4454</v>
      </c>
      <c r="U369" s="431"/>
      <c r="V369" s="431" t="s">
        <v>2525</v>
      </c>
      <c r="W369" s="432">
        <v>43585.592118472225</v>
      </c>
      <c r="X369" s="432">
        <v>44616.048804074075</v>
      </c>
      <c r="Y369" s="431"/>
      <c r="Z369" s="433">
        <v>42045</v>
      </c>
      <c r="AA369" s="433">
        <v>42216</v>
      </c>
      <c r="AB369" s="433">
        <v>42627</v>
      </c>
      <c r="AC369" s="433">
        <v>42697</v>
      </c>
      <c r="AD369" s="436">
        <f t="shared" si="5"/>
        <v>145</v>
      </c>
    </row>
    <row r="370" spans="1:30" ht="14">
      <c r="A370" s="431" t="s">
        <v>1083</v>
      </c>
      <c r="B370" s="431" t="s">
        <v>1084</v>
      </c>
      <c r="C370" s="431" t="s">
        <v>145</v>
      </c>
      <c r="D370" s="431" t="s">
        <v>1091</v>
      </c>
      <c r="E370" s="431" t="s">
        <v>1092</v>
      </c>
      <c r="F370" s="431">
        <v>2103</v>
      </c>
      <c r="G370" s="431">
        <v>2011</v>
      </c>
      <c r="H370" s="431">
        <v>2029</v>
      </c>
      <c r="I370" s="431" t="b">
        <v>1</v>
      </c>
      <c r="J370" s="431" t="s">
        <v>891</v>
      </c>
      <c r="K370" s="431">
        <v>13000</v>
      </c>
      <c r="L370" s="431"/>
      <c r="M370" s="431"/>
      <c r="N370" s="431"/>
      <c r="O370" s="431" t="b">
        <v>1</v>
      </c>
      <c r="P370" s="431" t="b">
        <v>0</v>
      </c>
      <c r="Q370" s="431" t="s">
        <v>1090</v>
      </c>
      <c r="R370" s="431"/>
      <c r="S370" s="431"/>
      <c r="T370" s="431" t="s">
        <v>1093</v>
      </c>
      <c r="U370" s="431" t="s">
        <v>1094</v>
      </c>
      <c r="V370" s="431" t="s">
        <v>1095</v>
      </c>
      <c r="W370" s="432">
        <v>44085.519782118055</v>
      </c>
      <c r="X370" s="432">
        <v>44616.048808993059</v>
      </c>
      <c r="Y370" s="431"/>
      <c r="Z370" s="433">
        <v>44435</v>
      </c>
      <c r="AA370" s="433">
        <v>44547</v>
      </c>
      <c r="AB370" s="431"/>
      <c r="AC370" s="431"/>
      <c r="AD370" s="437">
        <f t="shared" si="5"/>
        <v>722.22222222222217</v>
      </c>
    </row>
    <row r="371" spans="1:30" ht="14">
      <c r="A371" s="431" t="s">
        <v>1083</v>
      </c>
      <c r="B371" s="431" t="s">
        <v>1084</v>
      </c>
      <c r="C371" s="431" t="s">
        <v>145</v>
      </c>
      <c r="D371" s="431" t="s">
        <v>1085</v>
      </c>
      <c r="E371" s="431" t="s">
        <v>1086</v>
      </c>
      <c r="F371" s="431">
        <v>1123</v>
      </c>
      <c r="G371" s="431">
        <v>2011</v>
      </c>
      <c r="H371" s="431">
        <v>2029</v>
      </c>
      <c r="I371" s="431" t="b">
        <v>1</v>
      </c>
      <c r="J371" s="431" t="s">
        <v>891</v>
      </c>
      <c r="K371" s="431">
        <v>13000</v>
      </c>
      <c r="L371" s="431"/>
      <c r="M371" s="431"/>
      <c r="N371" s="431"/>
      <c r="O371" s="431" t="b">
        <v>1</v>
      </c>
      <c r="P371" s="431" t="b">
        <v>0</v>
      </c>
      <c r="Q371" s="431" t="s">
        <v>1087</v>
      </c>
      <c r="R371" s="431" t="s">
        <v>1088</v>
      </c>
      <c r="S371" s="431" t="s">
        <v>1089</v>
      </c>
      <c r="T371" s="431" t="s">
        <v>4455</v>
      </c>
      <c r="U371" s="431"/>
      <c r="V371" s="431" t="s">
        <v>1090</v>
      </c>
      <c r="W371" s="432">
        <v>43585.592139351851</v>
      </c>
      <c r="X371" s="432">
        <v>44616.046754803239</v>
      </c>
      <c r="Y371" s="431"/>
      <c r="Z371" s="433">
        <v>40528</v>
      </c>
      <c r="AA371" s="433">
        <v>40666</v>
      </c>
      <c r="AB371" s="433">
        <v>41814</v>
      </c>
      <c r="AC371" s="433">
        <v>41830</v>
      </c>
      <c r="AD371" s="436">
        <f t="shared" si="5"/>
        <v>722.22222222222217</v>
      </c>
    </row>
    <row r="372" spans="1:30" ht="14">
      <c r="A372" s="431" t="s">
        <v>1083</v>
      </c>
      <c r="B372" s="431" t="s">
        <v>1084</v>
      </c>
      <c r="C372" s="431" t="s">
        <v>145</v>
      </c>
      <c r="D372" s="431" t="s">
        <v>3622</v>
      </c>
      <c r="E372" s="431" t="s">
        <v>3623</v>
      </c>
      <c r="F372" s="431">
        <v>1873</v>
      </c>
      <c r="G372" s="431">
        <v>2016</v>
      </c>
      <c r="H372" s="431">
        <v>2036</v>
      </c>
      <c r="I372" s="431" t="b">
        <v>1</v>
      </c>
      <c r="J372" s="431" t="s">
        <v>891</v>
      </c>
      <c r="K372" s="431">
        <v>14500</v>
      </c>
      <c r="L372" s="431"/>
      <c r="M372" s="431"/>
      <c r="N372" s="431"/>
      <c r="O372" s="431" t="b">
        <v>1</v>
      </c>
      <c r="P372" s="431" t="b">
        <v>1</v>
      </c>
      <c r="Q372" s="431" t="s">
        <v>3624</v>
      </c>
      <c r="R372" s="431"/>
      <c r="S372" s="431"/>
      <c r="T372" s="431" t="s">
        <v>3625</v>
      </c>
      <c r="U372" s="431" t="s">
        <v>3626</v>
      </c>
      <c r="V372" s="431" t="s">
        <v>3627</v>
      </c>
      <c r="W372" s="432">
        <v>43585.592110115744</v>
      </c>
      <c r="X372" s="432">
        <v>44616.048784398146</v>
      </c>
      <c r="Y372" s="431"/>
      <c r="Z372" s="433">
        <v>43061</v>
      </c>
      <c r="AA372" s="433">
        <v>43203</v>
      </c>
      <c r="AB372" s="431"/>
      <c r="AC372" s="431"/>
      <c r="AD372" s="436">
        <f t="shared" si="5"/>
        <v>725</v>
      </c>
    </row>
    <row r="373" spans="1:30" ht="14">
      <c r="A373" s="431" t="s">
        <v>1387</v>
      </c>
      <c r="B373" s="431" t="s">
        <v>1388</v>
      </c>
      <c r="C373" s="431" t="s">
        <v>722</v>
      </c>
      <c r="D373" s="431" t="s">
        <v>1389</v>
      </c>
      <c r="E373" s="431" t="s">
        <v>1390</v>
      </c>
      <c r="F373" s="431">
        <v>1111</v>
      </c>
      <c r="G373" s="431">
        <v>2006</v>
      </c>
      <c r="H373" s="431">
        <v>2026</v>
      </c>
      <c r="I373" s="431" t="b">
        <v>1</v>
      </c>
      <c r="J373" s="431" t="s">
        <v>891</v>
      </c>
      <c r="K373" s="431">
        <v>42000</v>
      </c>
      <c r="L373" s="431"/>
      <c r="M373" s="431"/>
      <c r="N373" s="431"/>
      <c r="O373" s="431" t="b">
        <v>1</v>
      </c>
      <c r="P373" s="431" t="b">
        <v>0</v>
      </c>
      <c r="Q373" s="431" t="s">
        <v>1391</v>
      </c>
      <c r="R373" s="431" t="s">
        <v>1392</v>
      </c>
      <c r="S373" s="431" t="s">
        <v>1393</v>
      </c>
      <c r="T373" s="431" t="s">
        <v>1394</v>
      </c>
      <c r="U373" s="431"/>
      <c r="V373" s="431" t="s">
        <v>1395</v>
      </c>
      <c r="W373" s="432">
        <v>43585.592142430556</v>
      </c>
      <c r="X373" s="432">
        <v>44616.046460324076</v>
      </c>
      <c r="Y373" s="431"/>
      <c r="Z373" s="433">
        <v>40959</v>
      </c>
      <c r="AA373" s="433">
        <v>41100</v>
      </c>
      <c r="AB373" s="433">
        <v>41974</v>
      </c>
      <c r="AC373" s="433">
        <v>42024</v>
      </c>
      <c r="AD373" s="437">
        <f t="shared" si="5"/>
        <v>2100</v>
      </c>
    </row>
    <row r="374" spans="1:30" ht="14">
      <c r="A374" s="431" t="s">
        <v>1387</v>
      </c>
      <c r="B374" s="431" t="s">
        <v>1388</v>
      </c>
      <c r="C374" s="431" t="s">
        <v>722</v>
      </c>
      <c r="D374" s="431" t="s">
        <v>1396</v>
      </c>
      <c r="E374" s="431" t="s">
        <v>1397</v>
      </c>
      <c r="F374" s="431">
        <v>2026</v>
      </c>
      <c r="G374" s="431">
        <v>2016</v>
      </c>
      <c r="H374" s="431">
        <v>2036</v>
      </c>
      <c r="I374" s="431" t="b">
        <v>1</v>
      </c>
      <c r="J374" s="431" t="s">
        <v>891</v>
      </c>
      <c r="K374" s="431">
        <v>44000</v>
      </c>
      <c r="L374" s="431"/>
      <c r="M374" s="431"/>
      <c r="N374" s="431"/>
      <c r="O374" s="431" t="b">
        <v>1</v>
      </c>
      <c r="P374" s="431" t="b">
        <v>0</v>
      </c>
      <c r="Q374" s="431" t="s">
        <v>1398</v>
      </c>
      <c r="R374" s="431"/>
      <c r="S374" s="431"/>
      <c r="T374" s="431" t="s">
        <v>1399</v>
      </c>
      <c r="U374" s="431"/>
      <c r="V374" s="431"/>
      <c r="W374" s="432">
        <v>44146.633283055555</v>
      </c>
      <c r="X374" s="432">
        <v>44616.046103379631</v>
      </c>
      <c r="Y374" s="431"/>
      <c r="Z374" s="431"/>
      <c r="AA374" s="431"/>
      <c r="AB374" s="431"/>
      <c r="AC374" s="431"/>
      <c r="AD374" s="436">
        <f t="shared" si="5"/>
        <v>2200</v>
      </c>
    </row>
    <row r="375" spans="1:30" ht="14">
      <c r="A375" s="431" t="s">
        <v>3772</v>
      </c>
      <c r="B375" s="431" t="s">
        <v>3773</v>
      </c>
      <c r="C375" s="431" t="s">
        <v>290</v>
      </c>
      <c r="D375" s="431" t="s">
        <v>3752</v>
      </c>
      <c r="E375" s="431" t="s">
        <v>3753</v>
      </c>
      <c r="F375" s="431">
        <v>1367</v>
      </c>
      <c r="G375" s="431">
        <v>2011</v>
      </c>
      <c r="H375" s="431">
        <v>2031</v>
      </c>
      <c r="I375" s="431" t="b">
        <v>1</v>
      </c>
      <c r="J375" s="431" t="s">
        <v>891</v>
      </c>
      <c r="K375" s="431">
        <v>8400</v>
      </c>
      <c r="L375" s="431"/>
      <c r="M375" s="431"/>
      <c r="N375" s="431"/>
      <c r="O375" s="431" t="b">
        <v>1</v>
      </c>
      <c r="P375" s="431" t="b">
        <v>1</v>
      </c>
      <c r="Q375" s="431" t="s">
        <v>3754</v>
      </c>
      <c r="R375" s="431" t="s">
        <v>3755</v>
      </c>
      <c r="S375" s="431" t="s">
        <v>3756</v>
      </c>
      <c r="T375" s="431" t="s">
        <v>4134</v>
      </c>
      <c r="U375" s="431" t="s">
        <v>3757</v>
      </c>
      <c r="V375" s="431" t="s">
        <v>3758</v>
      </c>
      <c r="W375" s="432">
        <v>43585.592121250003</v>
      </c>
      <c r="X375" s="432">
        <v>44616.043142002316</v>
      </c>
      <c r="Y375" s="431"/>
      <c r="Z375" s="433">
        <v>42030</v>
      </c>
      <c r="AA375" s="433">
        <v>42216</v>
      </c>
      <c r="AB375" s="433">
        <v>42543</v>
      </c>
      <c r="AC375" s="433">
        <v>42565</v>
      </c>
      <c r="AD375" s="437">
        <f t="shared" si="5"/>
        <v>420</v>
      </c>
    </row>
    <row r="376" spans="1:30" ht="14">
      <c r="A376" s="431" t="s">
        <v>2024</v>
      </c>
      <c r="B376" s="431" t="s">
        <v>2025</v>
      </c>
      <c r="C376" s="431" t="s">
        <v>696</v>
      </c>
      <c r="D376" s="431" t="s">
        <v>2026</v>
      </c>
      <c r="E376" s="431" t="s">
        <v>2027</v>
      </c>
      <c r="F376" s="431">
        <v>1007</v>
      </c>
      <c r="G376" s="431">
        <v>2006</v>
      </c>
      <c r="H376" s="431">
        <v>2031</v>
      </c>
      <c r="I376" s="431" t="b">
        <v>1</v>
      </c>
      <c r="J376" s="431" t="s">
        <v>891</v>
      </c>
      <c r="K376" s="431">
        <v>6500</v>
      </c>
      <c r="L376" s="431"/>
      <c r="M376" s="431"/>
      <c r="N376" s="431"/>
      <c r="O376" s="431" t="b">
        <v>1</v>
      </c>
      <c r="P376" s="431" t="b">
        <v>0</v>
      </c>
      <c r="Q376" s="431" t="s">
        <v>2028</v>
      </c>
      <c r="R376" s="431" t="s">
        <v>2029</v>
      </c>
      <c r="S376" s="431" t="s">
        <v>2030</v>
      </c>
      <c r="T376" s="431" t="s">
        <v>4456</v>
      </c>
      <c r="U376" s="431"/>
      <c r="V376" s="431" t="s">
        <v>2031</v>
      </c>
      <c r="W376" s="432">
        <v>43585.592128564815</v>
      </c>
      <c r="X376" s="432">
        <v>44616.04338826389</v>
      </c>
      <c r="Y376" s="431"/>
      <c r="Z376" s="433">
        <v>40681</v>
      </c>
      <c r="AA376" s="433">
        <v>40967</v>
      </c>
      <c r="AB376" s="433">
        <v>41233</v>
      </c>
      <c r="AC376" s="433">
        <v>41304</v>
      </c>
      <c r="AD376" s="436">
        <f t="shared" si="5"/>
        <v>260</v>
      </c>
    </row>
    <row r="377" spans="1:30" ht="14">
      <c r="A377" s="431" t="s">
        <v>2024</v>
      </c>
      <c r="B377" s="431" t="s">
        <v>2025</v>
      </c>
      <c r="C377" s="431" t="s">
        <v>696</v>
      </c>
      <c r="D377" s="431" t="s">
        <v>4457</v>
      </c>
      <c r="E377" s="431" t="s">
        <v>2032</v>
      </c>
      <c r="F377" s="431">
        <v>2251</v>
      </c>
      <c r="G377" s="431">
        <v>2018</v>
      </c>
      <c r="H377" s="431">
        <v>2036</v>
      </c>
      <c r="I377" s="431" t="b">
        <v>1</v>
      </c>
      <c r="J377" s="431" t="s">
        <v>891</v>
      </c>
      <c r="K377" s="431">
        <v>14988</v>
      </c>
      <c r="L377" s="431"/>
      <c r="M377" s="431"/>
      <c r="N377" s="431"/>
      <c r="O377" s="431" t="b">
        <v>1</v>
      </c>
      <c r="P377" s="431" t="b">
        <v>0</v>
      </c>
      <c r="Q377" s="431" t="s">
        <v>4458</v>
      </c>
      <c r="R377" s="431"/>
      <c r="S377" s="431"/>
      <c r="T377" s="431" t="s">
        <v>4459</v>
      </c>
      <c r="U377" s="431" t="s">
        <v>4460</v>
      </c>
      <c r="V377" s="431" t="s">
        <v>4461</v>
      </c>
      <c r="W377" s="432">
        <v>43664.944362685186</v>
      </c>
      <c r="X377" s="432">
        <v>44616.044745115738</v>
      </c>
      <c r="Y377" s="431"/>
      <c r="Z377" s="433">
        <v>44214</v>
      </c>
      <c r="AA377" s="433">
        <v>44414</v>
      </c>
      <c r="AB377" s="431"/>
      <c r="AC377" s="431"/>
      <c r="AD377" s="436">
        <f t="shared" si="5"/>
        <v>832.66666666666663</v>
      </c>
    </row>
    <row r="378" spans="1:30" ht="14">
      <c r="A378" s="431" t="s">
        <v>2658</v>
      </c>
      <c r="B378" s="431" t="s">
        <v>2659</v>
      </c>
      <c r="C378" s="431" t="s">
        <v>2660</v>
      </c>
      <c r="D378" s="431" t="s">
        <v>2661</v>
      </c>
      <c r="E378" s="431" t="s">
        <v>2662</v>
      </c>
      <c r="F378" s="431">
        <v>1908</v>
      </c>
      <c r="G378" s="431">
        <v>2014</v>
      </c>
      <c r="H378" s="431">
        <v>2036</v>
      </c>
      <c r="I378" s="431" t="b">
        <v>1</v>
      </c>
      <c r="J378" s="431" t="s">
        <v>891</v>
      </c>
      <c r="K378" s="431">
        <v>8223</v>
      </c>
      <c r="L378" s="431"/>
      <c r="M378" s="431"/>
      <c r="N378" s="431"/>
      <c r="O378" s="431" t="b">
        <v>1</v>
      </c>
      <c r="P378" s="431" t="b">
        <v>0</v>
      </c>
      <c r="Q378" s="431" t="s">
        <v>2663</v>
      </c>
      <c r="R378" s="431"/>
      <c r="S378" s="431"/>
      <c r="T378" s="431" t="s">
        <v>2664</v>
      </c>
      <c r="U378" s="431"/>
      <c r="V378" s="431" t="s">
        <v>2665</v>
      </c>
      <c r="W378" s="432">
        <v>43585.592121550922</v>
      </c>
      <c r="X378" s="432">
        <v>44616.043815081015</v>
      </c>
      <c r="Y378" s="431"/>
      <c r="Z378" s="433">
        <v>43188</v>
      </c>
      <c r="AA378" s="433">
        <v>43273</v>
      </c>
      <c r="AB378" s="433">
        <v>43525</v>
      </c>
      <c r="AC378" s="433">
        <v>43544</v>
      </c>
      <c r="AD378" s="437">
        <f t="shared" si="5"/>
        <v>373.77272727272725</v>
      </c>
    </row>
    <row r="379" spans="1:30" ht="14">
      <c r="A379" s="431" t="s">
        <v>2033</v>
      </c>
      <c r="B379" s="431" t="s">
        <v>2034</v>
      </c>
      <c r="C379" s="431" t="s">
        <v>124</v>
      </c>
      <c r="D379" s="431" t="s">
        <v>2035</v>
      </c>
      <c r="E379" s="431" t="s">
        <v>2036</v>
      </c>
      <c r="F379" s="431">
        <v>1344</v>
      </c>
      <c r="G379" s="431">
        <v>2011</v>
      </c>
      <c r="H379" s="431">
        <v>2030</v>
      </c>
      <c r="I379" s="431" t="b">
        <v>1</v>
      </c>
      <c r="J379" s="431" t="s">
        <v>891</v>
      </c>
      <c r="K379" s="431">
        <v>16872</v>
      </c>
      <c r="L379" s="431"/>
      <c r="M379" s="431"/>
      <c r="N379" s="431"/>
      <c r="O379" s="431" t="b">
        <v>1</v>
      </c>
      <c r="P379" s="431" t="b">
        <v>0</v>
      </c>
      <c r="Q379" s="431" t="s">
        <v>2037</v>
      </c>
      <c r="R379" s="431" t="s">
        <v>2038</v>
      </c>
      <c r="S379" s="431" t="s">
        <v>2039</v>
      </c>
      <c r="T379" s="431" t="s">
        <v>2040</v>
      </c>
      <c r="U379" s="431"/>
      <c r="V379" s="431" t="s">
        <v>2041</v>
      </c>
      <c r="W379" s="432">
        <v>43585.592114328705</v>
      </c>
      <c r="X379" s="432">
        <v>44616.048783020837</v>
      </c>
      <c r="Y379" s="431"/>
      <c r="Z379" s="433">
        <v>42536</v>
      </c>
      <c r="AA379" s="433">
        <v>43090</v>
      </c>
      <c r="AB379" s="433">
        <v>43467</v>
      </c>
      <c r="AC379" s="433">
        <v>43517</v>
      </c>
      <c r="AD379" s="436">
        <f t="shared" si="5"/>
        <v>888</v>
      </c>
    </row>
    <row r="380" spans="1:30" ht="14">
      <c r="A380" s="431" t="s">
        <v>3659</v>
      </c>
      <c r="B380" s="431" t="s">
        <v>3660</v>
      </c>
      <c r="C380" s="431" t="s">
        <v>3661</v>
      </c>
      <c r="D380" s="431" t="s">
        <v>3662</v>
      </c>
      <c r="E380" s="431" t="s">
        <v>3663</v>
      </c>
      <c r="F380" s="431">
        <v>1319</v>
      </c>
      <c r="G380" s="431">
        <v>2011</v>
      </c>
      <c r="H380" s="431">
        <v>2031</v>
      </c>
      <c r="I380" s="431" t="b">
        <v>1</v>
      </c>
      <c r="J380" s="431" t="s">
        <v>891</v>
      </c>
      <c r="K380" s="431"/>
      <c r="L380" s="431"/>
      <c r="M380" s="431"/>
      <c r="N380" s="431">
        <v>15500</v>
      </c>
      <c r="O380" s="431" t="b">
        <v>1</v>
      </c>
      <c r="P380" s="431" t="b">
        <v>1</v>
      </c>
      <c r="Q380" s="431" t="s">
        <v>3664</v>
      </c>
      <c r="R380" s="431" t="s">
        <v>3665</v>
      </c>
      <c r="S380" s="431" t="s">
        <v>3666</v>
      </c>
      <c r="T380" s="431" t="s">
        <v>4462</v>
      </c>
      <c r="U380" s="431"/>
      <c r="V380" s="431" t="s">
        <v>3667</v>
      </c>
      <c r="W380" s="432">
        <v>43585.592119166664</v>
      </c>
      <c r="X380" s="432">
        <v>44616.047409224535</v>
      </c>
      <c r="Y380" s="431"/>
      <c r="Z380" s="433">
        <v>41061</v>
      </c>
      <c r="AA380" s="433">
        <v>41449</v>
      </c>
      <c r="AB380" s="433">
        <v>42230</v>
      </c>
      <c r="AC380" s="433">
        <v>42292</v>
      </c>
      <c r="AD380" s="437">
        <f t="shared" si="5"/>
        <v>775</v>
      </c>
    </row>
    <row r="381" spans="1:30" ht="14">
      <c r="A381" s="431" t="s">
        <v>3668</v>
      </c>
      <c r="B381" s="431" t="s">
        <v>3669</v>
      </c>
      <c r="C381" s="431" t="s">
        <v>3670</v>
      </c>
      <c r="D381" s="431" t="s">
        <v>3662</v>
      </c>
      <c r="E381" s="431" t="s">
        <v>3663</v>
      </c>
      <c r="F381" s="431">
        <v>1319</v>
      </c>
      <c r="G381" s="431">
        <v>2011</v>
      </c>
      <c r="H381" s="431">
        <v>2031</v>
      </c>
      <c r="I381" s="431" t="b">
        <v>1</v>
      </c>
      <c r="J381" s="431" t="s">
        <v>891</v>
      </c>
      <c r="K381" s="431"/>
      <c r="L381" s="431"/>
      <c r="M381" s="431"/>
      <c r="N381" s="431">
        <v>15500</v>
      </c>
      <c r="O381" s="431" t="b">
        <v>1</v>
      </c>
      <c r="P381" s="431" t="b">
        <v>1</v>
      </c>
      <c r="Q381" s="431" t="s">
        <v>3664</v>
      </c>
      <c r="R381" s="431" t="s">
        <v>3665</v>
      </c>
      <c r="S381" s="431" t="s">
        <v>3666</v>
      </c>
      <c r="T381" s="431" t="s">
        <v>4462</v>
      </c>
      <c r="U381" s="431"/>
      <c r="V381" s="431" t="s">
        <v>3667</v>
      </c>
      <c r="W381" s="432">
        <v>43585.592119166664</v>
      </c>
      <c r="X381" s="432">
        <v>44616.047409224535</v>
      </c>
      <c r="Y381" s="431"/>
      <c r="Z381" s="433">
        <v>41061</v>
      </c>
      <c r="AA381" s="433">
        <v>41449</v>
      </c>
      <c r="AB381" s="433">
        <v>42230</v>
      </c>
      <c r="AC381" s="433">
        <v>42292</v>
      </c>
      <c r="AD381" s="436">
        <f t="shared" si="5"/>
        <v>775</v>
      </c>
    </row>
    <row r="382" spans="1:30" ht="14">
      <c r="A382" s="431" t="s">
        <v>3686</v>
      </c>
      <c r="B382" s="431" t="s">
        <v>3687</v>
      </c>
      <c r="C382" s="431" t="s">
        <v>233</v>
      </c>
      <c r="D382" s="431" t="s">
        <v>3688</v>
      </c>
      <c r="E382" s="431" t="s">
        <v>3689</v>
      </c>
      <c r="F382" s="431">
        <v>842</v>
      </c>
      <c r="G382" s="431">
        <v>2010</v>
      </c>
      <c r="H382" s="431">
        <v>2026</v>
      </c>
      <c r="I382" s="431" t="b">
        <v>1</v>
      </c>
      <c r="J382" s="431" t="s">
        <v>907</v>
      </c>
      <c r="K382" s="431">
        <v>417</v>
      </c>
      <c r="L382" s="431"/>
      <c r="M382" s="431"/>
      <c r="N382" s="431"/>
      <c r="O382" s="431" t="b">
        <v>1</v>
      </c>
      <c r="P382" s="431" t="b">
        <v>1</v>
      </c>
      <c r="Q382" s="431" t="s">
        <v>3690</v>
      </c>
      <c r="R382" s="431" t="s">
        <v>3691</v>
      </c>
      <c r="S382" s="431" t="s">
        <v>3692</v>
      </c>
      <c r="T382" s="431" t="s">
        <v>4288</v>
      </c>
      <c r="U382" s="431" t="s">
        <v>3693</v>
      </c>
      <c r="V382" s="431" t="s">
        <v>3694</v>
      </c>
      <c r="W382" s="432">
        <v>43585.592131527781</v>
      </c>
      <c r="X382" s="432">
        <v>44616.046451111113</v>
      </c>
      <c r="Y382" s="431"/>
      <c r="Z382" s="433">
        <v>40520</v>
      </c>
      <c r="AA382" s="433">
        <v>40633</v>
      </c>
      <c r="AB382" s="433">
        <v>41067</v>
      </c>
      <c r="AC382" s="433">
        <v>41108</v>
      </c>
      <c r="AD382" s="437">
        <f t="shared" si="5"/>
        <v>417</v>
      </c>
    </row>
    <row r="383" spans="1:30" ht="14">
      <c r="A383" s="431" t="s">
        <v>3686</v>
      </c>
      <c r="B383" s="431" t="s">
        <v>3687</v>
      </c>
      <c r="C383" s="431" t="s">
        <v>233</v>
      </c>
      <c r="D383" s="431" t="s">
        <v>3695</v>
      </c>
      <c r="E383" s="431" t="s">
        <v>3696</v>
      </c>
      <c r="F383" s="431">
        <v>2100</v>
      </c>
      <c r="G383" s="431">
        <v>2021</v>
      </c>
      <c r="H383" s="431">
        <v>2036</v>
      </c>
      <c r="I383" s="431" t="b">
        <v>1</v>
      </c>
      <c r="J383" s="431" t="s">
        <v>907</v>
      </c>
      <c r="K383" s="431">
        <v>579</v>
      </c>
      <c r="L383" s="431"/>
      <c r="M383" s="431"/>
      <c r="N383" s="431"/>
      <c r="O383" s="431" t="b">
        <v>1</v>
      </c>
      <c r="P383" s="431" t="b">
        <v>1</v>
      </c>
      <c r="Q383" s="431" t="s">
        <v>3697</v>
      </c>
      <c r="R383" s="431" t="s">
        <v>3698</v>
      </c>
      <c r="S383" s="431" t="s">
        <v>3699</v>
      </c>
      <c r="T383" s="431" t="s">
        <v>4289</v>
      </c>
      <c r="U383" s="431" t="s">
        <v>3700</v>
      </c>
      <c r="V383" s="431" t="s">
        <v>3701</v>
      </c>
      <c r="W383" s="432">
        <v>44111.594910624997</v>
      </c>
      <c r="X383" s="432">
        <v>44616.043776840277</v>
      </c>
      <c r="Y383" s="431"/>
      <c r="Z383" s="431"/>
      <c r="AA383" s="431"/>
      <c r="AB383" s="431"/>
      <c r="AC383" s="431"/>
      <c r="AD383" s="436">
        <f t="shared" si="5"/>
        <v>579</v>
      </c>
    </row>
    <row r="384" spans="1:30" ht="14">
      <c r="A384" s="431" t="s">
        <v>2211</v>
      </c>
      <c r="B384" s="431" t="s">
        <v>2212</v>
      </c>
      <c r="C384" s="431" t="s">
        <v>710</v>
      </c>
      <c r="D384" s="431" t="s">
        <v>2213</v>
      </c>
      <c r="E384" s="431" t="s">
        <v>2214</v>
      </c>
      <c r="F384" s="431">
        <v>1347</v>
      </c>
      <c r="G384" s="431">
        <v>2012</v>
      </c>
      <c r="H384" s="431">
        <v>2027</v>
      </c>
      <c r="I384" s="431" t="b">
        <v>1</v>
      </c>
      <c r="J384" s="431" t="s">
        <v>891</v>
      </c>
      <c r="K384" s="431">
        <v>4860</v>
      </c>
      <c r="L384" s="431"/>
      <c r="M384" s="431"/>
      <c r="N384" s="431"/>
      <c r="O384" s="431" t="b">
        <v>1</v>
      </c>
      <c r="P384" s="431" t="b">
        <v>0</v>
      </c>
      <c r="Q384" s="431" t="s">
        <v>2215</v>
      </c>
      <c r="R384" s="431" t="s">
        <v>2216</v>
      </c>
      <c r="S384" s="431" t="s">
        <v>2217</v>
      </c>
      <c r="T384" s="431" t="s">
        <v>4463</v>
      </c>
      <c r="U384" s="431"/>
      <c r="V384" s="431" t="s">
        <v>2218</v>
      </c>
      <c r="W384" s="432">
        <v>43585.592117476852</v>
      </c>
      <c r="X384" s="432">
        <v>44616.04714934028</v>
      </c>
      <c r="Y384" s="431"/>
      <c r="Z384" s="433">
        <v>41130</v>
      </c>
      <c r="AA384" s="433">
        <v>41212</v>
      </c>
      <c r="AB384" s="433">
        <v>41543</v>
      </c>
      <c r="AC384" s="433">
        <v>41563</v>
      </c>
      <c r="AD384" s="437">
        <f t="shared" si="5"/>
        <v>324</v>
      </c>
    </row>
    <row r="385" spans="1:30" ht="14">
      <c r="A385" s="431" t="s">
        <v>2806</v>
      </c>
      <c r="B385" s="431" t="s">
        <v>2807</v>
      </c>
      <c r="C385" s="431" t="s">
        <v>111</v>
      </c>
      <c r="D385" s="431" t="s">
        <v>2808</v>
      </c>
      <c r="E385" s="431" t="s">
        <v>2809</v>
      </c>
      <c r="F385" s="431">
        <v>995</v>
      </c>
      <c r="G385" s="431">
        <v>2011</v>
      </c>
      <c r="H385" s="431">
        <v>2032</v>
      </c>
      <c r="I385" s="431" t="b">
        <v>1</v>
      </c>
      <c r="J385" s="431" t="s">
        <v>891</v>
      </c>
      <c r="K385" s="431">
        <v>3718</v>
      </c>
      <c r="L385" s="431"/>
      <c r="M385" s="431"/>
      <c r="N385" s="431"/>
      <c r="O385" s="431" t="b">
        <v>1</v>
      </c>
      <c r="P385" s="431" t="b">
        <v>0</v>
      </c>
      <c r="Q385" s="431" t="s">
        <v>2810</v>
      </c>
      <c r="R385" s="431" t="s">
        <v>2811</v>
      </c>
      <c r="S385" s="431" t="s">
        <v>2812</v>
      </c>
      <c r="T385" s="431" t="s">
        <v>2813</v>
      </c>
      <c r="U385" s="431"/>
      <c r="V385" s="431" t="s">
        <v>2814</v>
      </c>
      <c r="W385" s="432">
        <v>43585.592112696759</v>
      </c>
      <c r="X385" s="432">
        <v>44616.042648692128</v>
      </c>
      <c r="Y385" s="431"/>
      <c r="Z385" s="433">
        <v>42460</v>
      </c>
      <c r="AA385" s="433">
        <v>42663</v>
      </c>
      <c r="AB385" s="433">
        <v>43007</v>
      </c>
      <c r="AC385" s="433">
        <v>43083</v>
      </c>
      <c r="AD385" s="436">
        <f t="shared" si="5"/>
        <v>177.04761904761904</v>
      </c>
    </row>
    <row r="386" spans="1:30" ht="14">
      <c r="A386" s="431" t="s">
        <v>3778</v>
      </c>
      <c r="B386" s="431" t="s">
        <v>3779</v>
      </c>
      <c r="C386" s="431" t="s">
        <v>596</v>
      </c>
      <c r="D386" s="431" t="s">
        <v>3761</v>
      </c>
      <c r="E386" s="431" t="s">
        <v>3762</v>
      </c>
      <c r="F386" s="431">
        <v>803</v>
      </c>
      <c r="G386" s="431">
        <v>2011</v>
      </c>
      <c r="H386" s="431">
        <v>2029</v>
      </c>
      <c r="I386" s="431" t="b">
        <v>1</v>
      </c>
      <c r="J386" s="431" t="s">
        <v>891</v>
      </c>
      <c r="K386" s="431">
        <v>11020</v>
      </c>
      <c r="L386" s="431"/>
      <c r="M386" s="431"/>
      <c r="N386" s="431"/>
      <c r="O386" s="431" t="b">
        <v>1</v>
      </c>
      <c r="P386" s="431" t="b">
        <v>1</v>
      </c>
      <c r="Q386" s="431" t="s">
        <v>3763</v>
      </c>
      <c r="R386" s="431"/>
      <c r="S386" s="431"/>
      <c r="T386" s="431" t="s">
        <v>3764</v>
      </c>
      <c r="U386" s="431"/>
      <c r="V386" s="431" t="s">
        <v>3765</v>
      </c>
      <c r="W386" s="432">
        <v>43585.592135486113</v>
      </c>
      <c r="X386" s="432">
        <v>44616.042630821757</v>
      </c>
      <c r="Y386" s="431"/>
      <c r="Z386" s="433">
        <v>40591</v>
      </c>
      <c r="AA386" s="433">
        <v>41274</v>
      </c>
      <c r="AB386" s="433">
        <v>41914</v>
      </c>
      <c r="AC386" s="433">
        <v>41988</v>
      </c>
      <c r="AD386" s="437">
        <f t="shared" ref="AD386:AD449" si="6">IF(AND(N386&lt;&gt;"",P386=TRUE,J386="HOUSING_REQUIREMENT_TOTAL"),N386/(H386-G386),IF(J386="HOUSING_REQUIREMENT_TOTAL",K386/(H386-G386),IF(J386="HOUSING_REQUIREMENT_RANGE",L386/(H386-G386),IF(J386="HOUSING_REQUIREMENT_YEARLY_AVERAGE",K386,IF(J386="HOUSING_REQUIREMENT_YEARLY_RANGE",L386,"")))))</f>
        <v>612.22222222222217</v>
      </c>
    </row>
    <row r="387" spans="1:30" ht="14">
      <c r="A387" s="431" t="s">
        <v>3778</v>
      </c>
      <c r="B387" s="431" t="s">
        <v>3779</v>
      </c>
      <c r="C387" s="431" t="s">
        <v>596</v>
      </c>
      <c r="D387" s="431" t="s">
        <v>3766</v>
      </c>
      <c r="E387" s="431" t="s">
        <v>3767</v>
      </c>
      <c r="F387" s="431">
        <v>2086</v>
      </c>
      <c r="G387" s="431">
        <v>2019</v>
      </c>
      <c r="H387" s="431">
        <v>2041</v>
      </c>
      <c r="I387" s="431" t="b">
        <v>1</v>
      </c>
      <c r="J387" s="431" t="s">
        <v>891</v>
      </c>
      <c r="K387" s="431">
        <v>11352</v>
      </c>
      <c r="L387" s="431"/>
      <c r="M387" s="431"/>
      <c r="N387" s="431"/>
      <c r="O387" s="431" t="b">
        <v>1</v>
      </c>
      <c r="P387" s="431" t="b">
        <v>1</v>
      </c>
      <c r="Q387" s="431" t="s">
        <v>3768</v>
      </c>
      <c r="R387" s="431"/>
      <c r="S387" s="431"/>
      <c r="T387" s="431" t="s">
        <v>3769</v>
      </c>
      <c r="U387" s="431" t="s">
        <v>3770</v>
      </c>
      <c r="V387" s="431" t="s">
        <v>3771</v>
      </c>
      <c r="W387" s="432">
        <v>44146.588348425925</v>
      </c>
      <c r="X387" s="432">
        <v>44616.048069027776</v>
      </c>
      <c r="Y387" s="431"/>
      <c r="Z387" s="431"/>
      <c r="AA387" s="431"/>
      <c r="AB387" s="431"/>
      <c r="AC387" s="431"/>
      <c r="AD387" s="436">
        <f t="shared" si="6"/>
        <v>516</v>
      </c>
    </row>
    <row r="388" spans="1:30" ht="14">
      <c r="A388" s="431" t="s">
        <v>1144</v>
      </c>
      <c r="B388" s="431" t="s">
        <v>1145</v>
      </c>
      <c r="C388" s="431" t="s">
        <v>1146</v>
      </c>
      <c r="D388" s="431" t="s">
        <v>1147</v>
      </c>
      <c r="E388" s="431" t="s">
        <v>1148</v>
      </c>
      <c r="F388" s="431">
        <v>1097</v>
      </c>
      <c r="G388" s="431">
        <v>2006</v>
      </c>
      <c r="H388" s="431">
        <v>2026</v>
      </c>
      <c r="I388" s="431" t="b">
        <v>1</v>
      </c>
      <c r="J388" s="431" t="s">
        <v>891</v>
      </c>
      <c r="K388" s="431">
        <v>14600</v>
      </c>
      <c r="L388" s="431"/>
      <c r="M388" s="431"/>
      <c r="N388" s="431"/>
      <c r="O388" s="431" t="b">
        <v>1</v>
      </c>
      <c r="P388" s="431" t="b">
        <v>0</v>
      </c>
      <c r="Q388" s="431" t="s">
        <v>1149</v>
      </c>
      <c r="R388" s="431" t="s">
        <v>1150</v>
      </c>
      <c r="S388" s="431" t="s">
        <v>1151</v>
      </c>
      <c r="T388" s="431" t="s">
        <v>4464</v>
      </c>
      <c r="U388" s="431"/>
      <c r="V388" s="431" t="s">
        <v>1152</v>
      </c>
      <c r="W388" s="432">
        <v>43585.592116967593</v>
      </c>
      <c r="X388" s="432">
        <v>44616.048802893521</v>
      </c>
      <c r="Y388" s="431"/>
      <c r="Z388" s="433">
        <v>40786</v>
      </c>
      <c r="AA388" s="433">
        <v>40863</v>
      </c>
      <c r="AB388" s="433">
        <v>41151</v>
      </c>
      <c r="AC388" s="433">
        <v>41212</v>
      </c>
      <c r="AD388" s="436">
        <f t="shared" si="6"/>
        <v>730</v>
      </c>
    </row>
    <row r="389" spans="1:30" ht="14">
      <c r="A389" s="431" t="s">
        <v>2897</v>
      </c>
      <c r="B389" s="431" t="s">
        <v>2898</v>
      </c>
      <c r="C389" s="431" t="s">
        <v>524</v>
      </c>
      <c r="D389" s="431" t="s">
        <v>4465</v>
      </c>
      <c r="E389" s="431" t="s">
        <v>2899</v>
      </c>
      <c r="F389" s="431">
        <v>1502</v>
      </c>
      <c r="G389" s="431">
        <v>2011</v>
      </c>
      <c r="H389" s="431">
        <v>2030</v>
      </c>
      <c r="I389" s="431" t="b">
        <v>1</v>
      </c>
      <c r="J389" s="431" t="s">
        <v>891</v>
      </c>
      <c r="K389" s="431">
        <v>3000</v>
      </c>
      <c r="L389" s="431"/>
      <c r="M389" s="431"/>
      <c r="N389" s="431"/>
      <c r="O389" s="431" t="b">
        <v>1</v>
      </c>
      <c r="P389" s="431" t="b">
        <v>0</v>
      </c>
      <c r="Q389" s="431" t="s">
        <v>2900</v>
      </c>
      <c r="R389" s="431" t="s">
        <v>2901</v>
      </c>
      <c r="S389" s="431" t="s">
        <v>4466</v>
      </c>
      <c r="T389" s="431" t="s">
        <v>4467</v>
      </c>
      <c r="U389" s="431" t="s">
        <v>2902</v>
      </c>
      <c r="V389" s="431" t="s">
        <v>2903</v>
      </c>
      <c r="W389" s="432">
        <v>43585.592138692133</v>
      </c>
      <c r="X389" s="432">
        <v>44616.042012986109</v>
      </c>
      <c r="Y389" s="431"/>
      <c r="Z389" s="433">
        <v>41547</v>
      </c>
      <c r="AA389" s="433">
        <v>41710</v>
      </c>
      <c r="AB389" s="433">
        <v>42720</v>
      </c>
      <c r="AC389" s="433">
        <v>42765</v>
      </c>
      <c r="AD389" s="437">
        <f t="shared" si="6"/>
        <v>157.89473684210526</v>
      </c>
    </row>
    <row r="390" spans="1:30" ht="14">
      <c r="A390" s="431" t="s">
        <v>3467</v>
      </c>
      <c r="B390" s="431" t="s">
        <v>3468</v>
      </c>
      <c r="C390" s="431" t="s">
        <v>688</v>
      </c>
      <c r="D390" s="431" t="s">
        <v>3469</v>
      </c>
      <c r="E390" s="431" t="s">
        <v>3470</v>
      </c>
      <c r="F390" s="431">
        <v>1078</v>
      </c>
      <c r="G390" s="431">
        <v>2011</v>
      </c>
      <c r="H390" s="431">
        <v>2026</v>
      </c>
      <c r="I390" s="431" t="b">
        <v>1</v>
      </c>
      <c r="J390" s="431" t="s">
        <v>891</v>
      </c>
      <c r="K390" s="431">
        <v>10365</v>
      </c>
      <c r="L390" s="431"/>
      <c r="M390" s="431"/>
      <c r="N390" s="431"/>
      <c r="O390" s="431" t="b">
        <v>1</v>
      </c>
      <c r="P390" s="431" t="b">
        <v>0</v>
      </c>
      <c r="Q390" s="431" t="s">
        <v>3471</v>
      </c>
      <c r="R390" s="431" t="s">
        <v>3472</v>
      </c>
      <c r="S390" s="431" t="s">
        <v>3473</v>
      </c>
      <c r="T390" s="431" t="s">
        <v>3474</v>
      </c>
      <c r="U390" s="431" t="s">
        <v>3475</v>
      </c>
      <c r="V390" s="431" t="s">
        <v>3476</v>
      </c>
      <c r="W390" s="432">
        <v>43585.592114027779</v>
      </c>
      <c r="X390" s="432">
        <v>44616.04337702546</v>
      </c>
      <c r="Y390" s="431"/>
      <c r="Z390" s="433">
        <v>40560</v>
      </c>
      <c r="AA390" s="433">
        <v>40694</v>
      </c>
      <c r="AB390" s="433">
        <v>40878</v>
      </c>
      <c r="AC390" s="433">
        <v>40969</v>
      </c>
      <c r="AD390" s="436">
        <f t="shared" si="6"/>
        <v>691</v>
      </c>
    </row>
    <row r="391" spans="1:30" ht="14">
      <c r="A391" s="431" t="s">
        <v>3467</v>
      </c>
      <c r="B391" s="431" t="s">
        <v>3468</v>
      </c>
      <c r="C391" s="431" t="s">
        <v>688</v>
      </c>
      <c r="D391" s="431" t="s">
        <v>3477</v>
      </c>
      <c r="E391" s="431" t="s">
        <v>3478</v>
      </c>
      <c r="F391" s="431">
        <v>1977</v>
      </c>
      <c r="G391" s="431">
        <v>2020</v>
      </c>
      <c r="H391" s="431">
        <v>2035</v>
      </c>
      <c r="I391" s="431" t="b">
        <v>1</v>
      </c>
      <c r="J391" s="431" t="s">
        <v>891</v>
      </c>
      <c r="K391" s="431">
        <v>27000</v>
      </c>
      <c r="L391" s="431"/>
      <c r="M391" s="431"/>
      <c r="N391" s="431"/>
      <c r="O391" s="431" t="b">
        <v>1</v>
      </c>
      <c r="P391" s="431" t="b">
        <v>0</v>
      </c>
      <c r="Q391" s="431" t="s">
        <v>3479</v>
      </c>
      <c r="R391" s="431" t="s">
        <v>3480</v>
      </c>
      <c r="S391" s="431" t="s">
        <v>3481</v>
      </c>
      <c r="T391" s="431" t="s">
        <v>4468</v>
      </c>
      <c r="U391" s="431" t="s">
        <v>3482</v>
      </c>
      <c r="V391" s="431" t="s">
        <v>4469</v>
      </c>
      <c r="W391" s="432">
        <v>43664.9364421875</v>
      </c>
      <c r="X391" s="432">
        <v>44616.042569571757</v>
      </c>
      <c r="Y391" s="431"/>
      <c r="Z391" s="433">
        <v>44130</v>
      </c>
      <c r="AA391" s="433">
        <v>44316</v>
      </c>
      <c r="AB391" s="431"/>
      <c r="AC391" s="431"/>
      <c r="AD391" s="436">
        <f t="shared" si="6"/>
        <v>1800</v>
      </c>
    </row>
    <row r="392" spans="1:30" ht="14">
      <c r="A392" s="431" t="s">
        <v>1781</v>
      </c>
      <c r="B392" s="431" t="s">
        <v>1782</v>
      </c>
      <c r="C392" s="431" t="s">
        <v>219</v>
      </c>
      <c r="D392" s="431" t="s">
        <v>1323</v>
      </c>
      <c r="E392" s="431" t="s">
        <v>1783</v>
      </c>
      <c r="F392" s="431">
        <v>1896</v>
      </c>
      <c r="G392" s="431">
        <v>2013</v>
      </c>
      <c r="H392" s="431">
        <v>2036</v>
      </c>
      <c r="I392" s="431" t="b">
        <v>1</v>
      </c>
      <c r="J392" s="431" t="s">
        <v>891</v>
      </c>
      <c r="K392" s="431">
        <v>18515</v>
      </c>
      <c r="L392" s="431"/>
      <c r="M392" s="431"/>
      <c r="N392" s="431"/>
      <c r="O392" s="431" t="b">
        <v>1</v>
      </c>
      <c r="P392" s="431" t="b">
        <v>0</v>
      </c>
      <c r="Q392" s="431" t="s">
        <v>1784</v>
      </c>
      <c r="R392" s="431" t="s">
        <v>4470</v>
      </c>
      <c r="S392" s="431" t="s">
        <v>4471</v>
      </c>
      <c r="T392" s="431" t="s">
        <v>1785</v>
      </c>
      <c r="U392" s="431"/>
      <c r="V392" s="431" t="s">
        <v>1786</v>
      </c>
      <c r="W392" s="432">
        <v>43585.592115173611</v>
      </c>
      <c r="X392" s="432">
        <v>44616.046755428244</v>
      </c>
      <c r="Y392" s="431"/>
      <c r="Z392" s="433">
        <v>43131</v>
      </c>
      <c r="AA392" s="433">
        <v>43280</v>
      </c>
      <c r="AB392" s="433">
        <v>43886</v>
      </c>
      <c r="AC392" s="433">
        <v>43978</v>
      </c>
      <c r="AD392" s="437">
        <f t="shared" si="6"/>
        <v>805</v>
      </c>
    </row>
    <row r="393" spans="1:30" ht="14">
      <c r="A393" s="431" t="s">
        <v>3153</v>
      </c>
      <c r="B393" s="431" t="s">
        <v>3154</v>
      </c>
      <c r="C393" s="431" t="s">
        <v>171</v>
      </c>
      <c r="D393" s="431" t="s">
        <v>3155</v>
      </c>
      <c r="E393" s="431" t="s">
        <v>3156</v>
      </c>
      <c r="F393" s="431">
        <v>1543</v>
      </c>
      <c r="G393" s="431">
        <v>2013</v>
      </c>
      <c r="H393" s="431">
        <v>2030</v>
      </c>
      <c r="I393" s="431" t="b">
        <v>1</v>
      </c>
      <c r="J393" s="431" t="s">
        <v>907</v>
      </c>
      <c r="K393" s="431">
        <v>2476</v>
      </c>
      <c r="L393" s="431"/>
      <c r="M393" s="431"/>
      <c r="N393" s="431"/>
      <c r="O393" s="431" t="b">
        <v>1</v>
      </c>
      <c r="P393" s="431" t="b">
        <v>0</v>
      </c>
      <c r="Q393" s="431" t="s">
        <v>3157</v>
      </c>
      <c r="R393" s="431"/>
      <c r="S393" s="431"/>
      <c r="T393" s="431" t="s">
        <v>4472</v>
      </c>
      <c r="U393" s="431" t="s">
        <v>4473</v>
      </c>
      <c r="V393" s="431" t="s">
        <v>3158</v>
      </c>
      <c r="W393" s="432">
        <v>43585.592120474539</v>
      </c>
      <c r="X393" s="432">
        <v>44616.048237442126</v>
      </c>
      <c r="Y393" s="431"/>
      <c r="Z393" s="433">
        <v>41687</v>
      </c>
      <c r="AA393" s="433">
        <v>41988</v>
      </c>
      <c r="AB393" s="433">
        <v>42604</v>
      </c>
      <c r="AC393" s="433">
        <v>42934</v>
      </c>
      <c r="AD393" s="436">
        <f t="shared" si="6"/>
        <v>2476</v>
      </c>
    </row>
    <row r="394" spans="1:30" ht="14">
      <c r="A394" s="431" t="s">
        <v>3153</v>
      </c>
      <c r="B394" s="431" t="s">
        <v>3154</v>
      </c>
      <c r="C394" s="431" t="s">
        <v>171</v>
      </c>
      <c r="D394" s="431" t="s">
        <v>4474</v>
      </c>
      <c r="E394" s="431" t="s">
        <v>3159</v>
      </c>
      <c r="F394" s="431">
        <v>2208</v>
      </c>
      <c r="G394" s="431">
        <v>2020</v>
      </c>
      <c r="H394" s="431">
        <v>2038</v>
      </c>
      <c r="I394" s="431" t="b">
        <v>1</v>
      </c>
      <c r="J394" s="431" t="s">
        <v>891</v>
      </c>
      <c r="K394" s="431">
        <v>30672</v>
      </c>
      <c r="L394" s="431"/>
      <c r="M394" s="431"/>
      <c r="N394" s="431"/>
      <c r="O394" s="431" t="b">
        <v>1</v>
      </c>
      <c r="P394" s="431" t="b">
        <v>0</v>
      </c>
      <c r="Q394" s="431" t="s">
        <v>4475</v>
      </c>
      <c r="R394" s="431"/>
      <c r="S394" s="431"/>
      <c r="T394" s="431" t="s">
        <v>4476</v>
      </c>
      <c r="U394" s="431" t="s">
        <v>4477</v>
      </c>
      <c r="V394" s="431" t="s">
        <v>4478</v>
      </c>
      <c r="W394" s="432">
        <v>44134.733401782411</v>
      </c>
      <c r="X394" s="432">
        <v>44616.046998518519</v>
      </c>
      <c r="Y394" s="431"/>
      <c r="Z394" s="431"/>
      <c r="AA394" s="431"/>
      <c r="AB394" s="431"/>
      <c r="AC394" s="431"/>
      <c r="AD394" s="437">
        <f t="shared" si="6"/>
        <v>1704</v>
      </c>
    </row>
    <row r="395" spans="1:30" ht="14">
      <c r="A395" s="431" t="s">
        <v>1860</v>
      </c>
      <c r="B395" s="431" t="s">
        <v>1861</v>
      </c>
      <c r="C395" s="431" t="s">
        <v>634</v>
      </c>
      <c r="D395" s="431" t="s">
        <v>1862</v>
      </c>
      <c r="E395" s="431" t="s">
        <v>1863</v>
      </c>
      <c r="F395" s="431">
        <v>1497</v>
      </c>
      <c r="G395" s="431">
        <v>2006</v>
      </c>
      <c r="H395" s="431">
        <v>2031</v>
      </c>
      <c r="I395" s="431" t="b">
        <v>1</v>
      </c>
      <c r="J395" s="431" t="s">
        <v>891</v>
      </c>
      <c r="K395" s="431">
        <v>11400</v>
      </c>
      <c r="L395" s="431"/>
      <c r="M395" s="431"/>
      <c r="N395" s="431"/>
      <c r="O395" s="431" t="b">
        <v>1</v>
      </c>
      <c r="P395" s="431" t="b">
        <v>0</v>
      </c>
      <c r="Q395" s="431" t="s">
        <v>1864</v>
      </c>
      <c r="R395" s="431" t="s">
        <v>1865</v>
      </c>
      <c r="S395" s="431" t="s">
        <v>1866</v>
      </c>
      <c r="T395" s="431" t="s">
        <v>1867</v>
      </c>
      <c r="U395" s="431"/>
      <c r="V395" s="431" t="s">
        <v>1868</v>
      </c>
      <c r="W395" s="432">
        <v>43585.592114421299</v>
      </c>
      <c r="X395" s="432">
        <v>44616.048466979169</v>
      </c>
      <c r="Y395" s="431"/>
      <c r="Z395" s="433">
        <v>41521</v>
      </c>
      <c r="AA395" s="433">
        <v>41626</v>
      </c>
      <c r="AB395" s="433">
        <v>42310</v>
      </c>
      <c r="AC395" s="433">
        <v>42327</v>
      </c>
      <c r="AD395" s="436">
        <f t="shared" si="6"/>
        <v>456</v>
      </c>
    </row>
    <row r="396" spans="1:30" ht="14">
      <c r="A396" s="431" t="s">
        <v>1860</v>
      </c>
      <c r="B396" s="431" t="s">
        <v>1861</v>
      </c>
      <c r="C396" s="431" t="s">
        <v>634</v>
      </c>
      <c r="D396" s="431" t="s">
        <v>1869</v>
      </c>
      <c r="E396" s="431" t="s">
        <v>1870</v>
      </c>
      <c r="F396" s="431">
        <v>2260</v>
      </c>
      <c r="G396" s="431">
        <v>2020</v>
      </c>
      <c r="H396" s="431">
        <v>2040</v>
      </c>
      <c r="I396" s="431" t="b">
        <v>1</v>
      </c>
      <c r="J396" s="431" t="s">
        <v>907</v>
      </c>
      <c r="K396" s="431">
        <v>630</v>
      </c>
      <c r="L396" s="431"/>
      <c r="M396" s="431"/>
      <c r="N396" s="431"/>
      <c r="O396" s="431" t="b">
        <v>1</v>
      </c>
      <c r="P396" s="431" t="b">
        <v>0</v>
      </c>
      <c r="Q396" s="431" t="s">
        <v>4479</v>
      </c>
      <c r="R396" s="431" t="s">
        <v>4480</v>
      </c>
      <c r="S396" s="431" t="s">
        <v>4481</v>
      </c>
      <c r="T396" s="431"/>
      <c r="U396" s="431" t="s">
        <v>4482</v>
      </c>
      <c r="V396" s="431" t="s">
        <v>4483</v>
      </c>
      <c r="W396" s="432">
        <v>43585.592134224535</v>
      </c>
      <c r="X396" s="432">
        <v>44616.044053321762</v>
      </c>
      <c r="Y396" s="431"/>
      <c r="Z396" s="433">
        <v>44342</v>
      </c>
      <c r="AA396" s="433">
        <v>44494</v>
      </c>
      <c r="AB396" s="431"/>
      <c r="AC396" s="431"/>
      <c r="AD396" s="437">
        <f t="shared" si="6"/>
        <v>630</v>
      </c>
    </row>
    <row r="397" spans="1:30" ht="14">
      <c r="A397" s="431" t="s">
        <v>955</v>
      </c>
      <c r="B397" s="431" t="s">
        <v>956</v>
      </c>
      <c r="C397" s="431" t="s">
        <v>692</v>
      </c>
      <c r="D397" s="431" t="s">
        <v>931</v>
      </c>
      <c r="E397" s="431" t="s">
        <v>957</v>
      </c>
      <c r="F397" s="431">
        <v>1316</v>
      </c>
      <c r="G397" s="431">
        <v>2012</v>
      </c>
      <c r="H397" s="431">
        <v>2027</v>
      </c>
      <c r="I397" s="431" t="b">
        <v>1</v>
      </c>
      <c r="J397" s="431" t="s">
        <v>891</v>
      </c>
      <c r="K397" s="431"/>
      <c r="L397" s="431"/>
      <c r="M397" s="431"/>
      <c r="N397" s="431"/>
      <c r="O397" s="431" t="b">
        <v>1</v>
      </c>
      <c r="P397" s="431" t="b">
        <v>0</v>
      </c>
      <c r="Q397" s="431" t="s">
        <v>958</v>
      </c>
      <c r="R397" s="431"/>
      <c r="S397" s="431"/>
      <c r="T397" s="431" t="s">
        <v>4484</v>
      </c>
      <c r="U397" s="431" t="s">
        <v>959</v>
      </c>
      <c r="V397" s="431" t="s">
        <v>960</v>
      </c>
      <c r="W397" s="432">
        <v>43585.592115069441</v>
      </c>
      <c r="X397" s="432">
        <v>44616.042642280096</v>
      </c>
      <c r="Y397" s="431"/>
      <c r="Z397" s="433">
        <v>41050</v>
      </c>
      <c r="AA397" s="433">
        <v>41171</v>
      </c>
      <c r="AB397" s="433">
        <v>41771</v>
      </c>
      <c r="AC397" s="433">
        <v>41841</v>
      </c>
      <c r="AD397" s="436">
        <f t="shared" si="6"/>
        <v>0</v>
      </c>
    </row>
    <row r="398" spans="1:30" ht="14">
      <c r="A398" s="431" t="s">
        <v>955</v>
      </c>
      <c r="B398" s="431" t="s">
        <v>956</v>
      </c>
      <c r="C398" s="431" t="s">
        <v>692</v>
      </c>
      <c r="D398" s="431" t="s">
        <v>961</v>
      </c>
      <c r="E398" s="431" t="s">
        <v>962</v>
      </c>
      <c r="F398" s="431">
        <v>2092</v>
      </c>
      <c r="G398" s="431">
        <v>2017</v>
      </c>
      <c r="H398" s="431">
        <v>2037</v>
      </c>
      <c r="I398" s="431" t="b">
        <v>1</v>
      </c>
      <c r="J398" s="431" t="s">
        <v>891</v>
      </c>
      <c r="K398" s="431">
        <v>18900</v>
      </c>
      <c r="L398" s="431"/>
      <c r="M398" s="431"/>
      <c r="N398" s="431"/>
      <c r="O398" s="431" t="b">
        <v>1</v>
      </c>
      <c r="P398" s="431" t="b">
        <v>0</v>
      </c>
      <c r="Q398" s="431" t="s">
        <v>963</v>
      </c>
      <c r="R398" s="431" t="s">
        <v>964</v>
      </c>
      <c r="S398" s="431" t="s">
        <v>965</v>
      </c>
      <c r="T398" s="431" t="s">
        <v>966</v>
      </c>
      <c r="U398" s="431" t="s">
        <v>967</v>
      </c>
      <c r="V398" s="431" t="s">
        <v>968</v>
      </c>
      <c r="W398" s="432">
        <v>43585.592117858796</v>
      </c>
      <c r="X398" s="432">
        <v>44616.042623043984</v>
      </c>
      <c r="Y398" s="431"/>
      <c r="Z398" s="433">
        <v>43570</v>
      </c>
      <c r="AA398" s="431"/>
      <c r="AB398" s="431"/>
      <c r="AC398" s="431"/>
      <c r="AD398" s="437">
        <f t="shared" si="6"/>
        <v>945</v>
      </c>
    </row>
    <row r="399" spans="1:30" ht="14">
      <c r="A399" s="431" t="s">
        <v>3780</v>
      </c>
      <c r="B399" s="431" t="s">
        <v>3781</v>
      </c>
      <c r="C399" s="431" t="s">
        <v>702</v>
      </c>
      <c r="D399" s="431" t="s">
        <v>3752</v>
      </c>
      <c r="E399" s="431" t="s">
        <v>3753</v>
      </c>
      <c r="F399" s="431">
        <v>1367</v>
      </c>
      <c r="G399" s="431">
        <v>2011</v>
      </c>
      <c r="H399" s="431">
        <v>2031</v>
      </c>
      <c r="I399" s="431" t="b">
        <v>1</v>
      </c>
      <c r="J399" s="431" t="s">
        <v>891</v>
      </c>
      <c r="K399" s="431">
        <v>7000</v>
      </c>
      <c r="L399" s="431"/>
      <c r="M399" s="431"/>
      <c r="N399" s="431"/>
      <c r="O399" s="431" t="b">
        <v>1</v>
      </c>
      <c r="P399" s="431" t="b">
        <v>1</v>
      </c>
      <c r="Q399" s="431" t="s">
        <v>3754</v>
      </c>
      <c r="R399" s="431" t="s">
        <v>3755</v>
      </c>
      <c r="S399" s="431" t="s">
        <v>3756</v>
      </c>
      <c r="T399" s="431" t="s">
        <v>4134</v>
      </c>
      <c r="U399" s="431" t="s">
        <v>3757</v>
      </c>
      <c r="V399" s="431" t="s">
        <v>3758</v>
      </c>
      <c r="W399" s="432">
        <v>43585.592121250003</v>
      </c>
      <c r="X399" s="432">
        <v>44616.043142002316</v>
      </c>
      <c r="Y399" s="431"/>
      <c r="Z399" s="433">
        <v>42030</v>
      </c>
      <c r="AA399" s="433">
        <v>42216</v>
      </c>
      <c r="AB399" s="433">
        <v>42543</v>
      </c>
      <c r="AC399" s="433">
        <v>42565</v>
      </c>
      <c r="AD399" s="436">
        <f t="shared" si="6"/>
        <v>350</v>
      </c>
    </row>
    <row r="400" spans="1:30" ht="14">
      <c r="A400" s="431" t="s">
        <v>3483</v>
      </c>
      <c r="B400" s="431" t="s">
        <v>3484</v>
      </c>
      <c r="C400" s="431" t="s">
        <v>690</v>
      </c>
      <c r="D400" s="431" t="s">
        <v>3485</v>
      </c>
      <c r="E400" s="431" t="s">
        <v>3486</v>
      </c>
      <c r="F400" s="431">
        <v>1625</v>
      </c>
      <c r="G400" s="431">
        <v>2015</v>
      </c>
      <c r="H400" s="431">
        <v>2030</v>
      </c>
      <c r="I400" s="431" t="b">
        <v>1</v>
      </c>
      <c r="J400" s="431" t="s">
        <v>891</v>
      </c>
      <c r="K400" s="431">
        <v>27180</v>
      </c>
      <c r="L400" s="431"/>
      <c r="M400" s="431"/>
      <c r="N400" s="431"/>
      <c r="O400" s="431" t="b">
        <v>1</v>
      </c>
      <c r="P400" s="431" t="b">
        <v>0</v>
      </c>
      <c r="Q400" s="431" t="s">
        <v>3487</v>
      </c>
      <c r="R400" s="431" t="s">
        <v>3488</v>
      </c>
      <c r="S400" s="431" t="s">
        <v>3489</v>
      </c>
      <c r="T400" s="431"/>
      <c r="U400" s="431" t="s">
        <v>3490</v>
      </c>
      <c r="V400" s="431" t="s">
        <v>3491</v>
      </c>
      <c r="W400" s="432">
        <v>43585.592114143517</v>
      </c>
      <c r="X400" s="432">
        <v>44616.043220104169</v>
      </c>
      <c r="Y400" s="431"/>
      <c r="Z400" s="433">
        <v>41929</v>
      </c>
      <c r="AA400" s="433">
        <v>42074</v>
      </c>
      <c r="AB400" s="433">
        <v>42361</v>
      </c>
      <c r="AC400" s="433">
        <v>42438</v>
      </c>
      <c r="AD400" s="437">
        <f t="shared" si="6"/>
        <v>1812</v>
      </c>
    </row>
    <row r="401" spans="1:30" ht="14">
      <c r="A401" s="431" t="s">
        <v>3483</v>
      </c>
      <c r="B401" s="431" t="s">
        <v>3484</v>
      </c>
      <c r="C401" s="431" t="s">
        <v>690</v>
      </c>
      <c r="D401" s="431" t="s">
        <v>4485</v>
      </c>
      <c r="E401" s="431" t="s">
        <v>4486</v>
      </c>
      <c r="F401" s="431">
        <v>2124</v>
      </c>
      <c r="G401" s="431">
        <v>2023</v>
      </c>
      <c r="H401" s="431">
        <v>2038</v>
      </c>
      <c r="I401" s="431" t="b">
        <v>1</v>
      </c>
      <c r="J401" s="431" t="s">
        <v>891</v>
      </c>
      <c r="K401" s="431">
        <v>20311</v>
      </c>
      <c r="L401" s="431"/>
      <c r="M401" s="431"/>
      <c r="N401" s="431"/>
      <c r="O401" s="431" t="b">
        <v>1</v>
      </c>
      <c r="P401" s="431" t="b">
        <v>0</v>
      </c>
      <c r="Q401" s="431" t="s">
        <v>4487</v>
      </c>
      <c r="R401" s="431" t="s">
        <v>4488</v>
      </c>
      <c r="S401" s="431" t="s">
        <v>4489</v>
      </c>
      <c r="T401" s="431"/>
      <c r="U401" s="431" t="s">
        <v>4490</v>
      </c>
      <c r="V401" s="431" t="s">
        <v>4491</v>
      </c>
      <c r="W401" s="432">
        <v>44151.620687002316</v>
      </c>
      <c r="X401" s="432">
        <v>44616.042129618058</v>
      </c>
      <c r="Y401" s="431"/>
      <c r="Z401" s="433">
        <v>44571</v>
      </c>
      <c r="AA401" s="431"/>
      <c r="AB401" s="431"/>
      <c r="AC401" s="431"/>
      <c r="AD401" s="436">
        <f t="shared" si="6"/>
        <v>1354.0666666666666</v>
      </c>
    </row>
    <row r="402" spans="1:30" ht="14">
      <c r="A402" s="431" t="s">
        <v>1235</v>
      </c>
      <c r="B402" s="431" t="s">
        <v>1236</v>
      </c>
      <c r="C402" s="431" t="s">
        <v>706</v>
      </c>
      <c r="D402" s="431" t="s">
        <v>1237</v>
      </c>
      <c r="E402" s="431" t="s">
        <v>1238</v>
      </c>
      <c r="F402" s="431">
        <v>1050</v>
      </c>
      <c r="G402" s="431">
        <v>2006</v>
      </c>
      <c r="H402" s="431">
        <v>2026</v>
      </c>
      <c r="I402" s="431" t="b">
        <v>1</v>
      </c>
      <c r="J402" s="431" t="s">
        <v>891</v>
      </c>
      <c r="K402" s="431">
        <v>10500</v>
      </c>
      <c r="L402" s="431"/>
      <c r="M402" s="431"/>
      <c r="N402" s="431"/>
      <c r="O402" s="431" t="b">
        <v>1</v>
      </c>
      <c r="P402" s="431" t="b">
        <v>0</v>
      </c>
      <c r="Q402" s="431" t="s">
        <v>1239</v>
      </c>
      <c r="R402" s="431" t="s">
        <v>1240</v>
      </c>
      <c r="S402" s="431" t="s">
        <v>1241</v>
      </c>
      <c r="T402" s="431" t="s">
        <v>1242</v>
      </c>
      <c r="U402" s="431"/>
      <c r="V402" s="431" t="s">
        <v>1243</v>
      </c>
      <c r="W402" s="432">
        <v>43585.592112407408</v>
      </c>
      <c r="X402" s="432">
        <v>44616.044040000001</v>
      </c>
      <c r="Y402" s="431"/>
      <c r="Z402" s="433">
        <v>40277</v>
      </c>
      <c r="AA402" s="433">
        <v>40371</v>
      </c>
      <c r="AB402" s="433">
        <v>41093</v>
      </c>
      <c r="AC402" s="433">
        <v>41106</v>
      </c>
      <c r="AD402" s="436">
        <f t="shared" si="6"/>
        <v>525</v>
      </c>
    </row>
    <row r="403" spans="1:30" ht="14">
      <c r="A403" s="431" t="s">
        <v>1235</v>
      </c>
      <c r="B403" s="431" t="s">
        <v>1236</v>
      </c>
      <c r="C403" s="431" t="s">
        <v>706</v>
      </c>
      <c r="D403" s="431" t="s">
        <v>4492</v>
      </c>
      <c r="E403" s="431" t="s">
        <v>1244</v>
      </c>
      <c r="F403" s="431">
        <v>2162</v>
      </c>
      <c r="G403" s="431">
        <v>2018</v>
      </c>
      <c r="H403" s="431">
        <v>2037</v>
      </c>
      <c r="I403" s="431" t="b">
        <v>1</v>
      </c>
      <c r="J403" s="431" t="s">
        <v>1026</v>
      </c>
      <c r="K403" s="431"/>
      <c r="L403" s="431">
        <v>551</v>
      </c>
      <c r="M403" s="431">
        <v>631</v>
      </c>
      <c r="N403" s="431"/>
      <c r="O403" s="431" t="b">
        <v>1</v>
      </c>
      <c r="P403" s="431" t="b">
        <v>0</v>
      </c>
      <c r="Q403" s="431" t="s">
        <v>1245</v>
      </c>
      <c r="R403" s="431" t="s">
        <v>1246</v>
      </c>
      <c r="S403" s="431" t="s">
        <v>1247</v>
      </c>
      <c r="T403" s="431" t="s">
        <v>1248</v>
      </c>
      <c r="U403" s="431"/>
      <c r="V403" s="431" t="s">
        <v>1249</v>
      </c>
      <c r="W403" s="432">
        <v>43664.953393518517</v>
      </c>
      <c r="X403" s="432">
        <v>44616.043826226851</v>
      </c>
      <c r="Y403" s="431"/>
      <c r="Z403" s="431"/>
      <c r="AA403" s="431"/>
      <c r="AB403" s="431"/>
      <c r="AC403" s="431"/>
      <c r="AD403" s="437">
        <f t="shared" si="6"/>
        <v>551</v>
      </c>
    </row>
    <row r="404" spans="1:30" ht="14">
      <c r="A404" s="431" t="s">
        <v>2219</v>
      </c>
      <c r="B404" s="431" t="s">
        <v>2220</v>
      </c>
      <c r="C404" s="431" t="s">
        <v>742</v>
      </c>
      <c r="D404" s="431" t="s">
        <v>4493</v>
      </c>
      <c r="E404" s="431" t="s">
        <v>4494</v>
      </c>
      <c r="F404" s="431">
        <v>2248</v>
      </c>
      <c r="G404" s="431">
        <v>2011</v>
      </c>
      <c r="H404" s="431">
        <v>2031</v>
      </c>
      <c r="I404" s="431" t="b">
        <v>1</v>
      </c>
      <c r="J404" s="431" t="s">
        <v>891</v>
      </c>
      <c r="K404" s="431">
        <v>7232</v>
      </c>
      <c r="L404" s="431"/>
      <c r="M404" s="431"/>
      <c r="N404" s="431"/>
      <c r="O404" s="431" t="b">
        <v>1</v>
      </c>
      <c r="P404" s="431" t="b">
        <v>0</v>
      </c>
      <c r="Q404" s="431" t="s">
        <v>4495</v>
      </c>
      <c r="R404" s="431" t="s">
        <v>4496</v>
      </c>
      <c r="S404" s="431" t="s">
        <v>4497</v>
      </c>
      <c r="T404" s="431" t="s">
        <v>4498</v>
      </c>
      <c r="U404" s="431" t="s">
        <v>4499</v>
      </c>
      <c r="V404" s="431" t="s">
        <v>4500</v>
      </c>
      <c r="W404" s="432">
        <v>44540.757139675923</v>
      </c>
      <c r="X404" s="432">
        <v>44616.044083229164</v>
      </c>
      <c r="Y404" s="431"/>
      <c r="Z404" s="433">
        <v>44530</v>
      </c>
      <c r="AA404" s="431"/>
      <c r="AB404" s="431"/>
      <c r="AC404" s="431"/>
      <c r="AD404" s="436">
        <f t="shared" si="6"/>
        <v>361.6</v>
      </c>
    </row>
    <row r="405" spans="1:30" ht="14">
      <c r="A405" s="431" t="s">
        <v>2219</v>
      </c>
      <c r="B405" s="431" t="s">
        <v>2220</v>
      </c>
      <c r="C405" s="431" t="s">
        <v>742</v>
      </c>
      <c r="D405" s="431" t="s">
        <v>2221</v>
      </c>
      <c r="E405" s="431" t="s">
        <v>2222</v>
      </c>
      <c r="F405" s="431">
        <v>1853</v>
      </c>
      <c r="G405" s="431">
        <v>2011</v>
      </c>
      <c r="H405" s="431">
        <v>2031</v>
      </c>
      <c r="I405" s="431" t="b">
        <v>1</v>
      </c>
      <c r="J405" s="431" t="s">
        <v>891</v>
      </c>
      <c r="K405" s="431">
        <v>9200</v>
      </c>
      <c r="L405" s="431"/>
      <c r="M405" s="431"/>
      <c r="N405" s="431"/>
      <c r="O405" s="431" t="b">
        <v>1</v>
      </c>
      <c r="P405" s="431" t="b">
        <v>0</v>
      </c>
      <c r="Q405" s="431" t="s">
        <v>2223</v>
      </c>
      <c r="R405" s="431" t="s">
        <v>2224</v>
      </c>
      <c r="S405" s="431" t="s">
        <v>2225</v>
      </c>
      <c r="T405" s="431" t="s">
        <v>4501</v>
      </c>
      <c r="U405" s="431"/>
      <c r="V405" s="431" t="s">
        <v>2226</v>
      </c>
      <c r="W405" s="432">
        <v>43585.592115694446</v>
      </c>
      <c r="X405" s="432">
        <v>44616.042318449072</v>
      </c>
      <c r="Y405" s="431"/>
      <c r="Z405" s="433">
        <v>43000</v>
      </c>
      <c r="AA405" s="433">
        <v>43123</v>
      </c>
      <c r="AB405" s="433">
        <v>43497</v>
      </c>
      <c r="AC405" s="433">
        <v>43524</v>
      </c>
      <c r="AD405" s="437">
        <f t="shared" si="6"/>
        <v>460</v>
      </c>
    </row>
    <row r="406" spans="1:30" ht="14">
      <c r="A406" s="431" t="s">
        <v>3836</v>
      </c>
      <c r="B406" s="431" t="s">
        <v>3837</v>
      </c>
      <c r="C406" s="431" t="s">
        <v>686</v>
      </c>
      <c r="D406" s="431" t="s">
        <v>3825</v>
      </c>
      <c r="E406" s="431" t="s">
        <v>3826</v>
      </c>
      <c r="F406" s="431">
        <v>766</v>
      </c>
      <c r="G406" s="431">
        <v>2006</v>
      </c>
      <c r="H406" s="431">
        <v>2026</v>
      </c>
      <c r="I406" s="431" t="b">
        <v>1</v>
      </c>
      <c r="J406" s="431" t="s">
        <v>891</v>
      </c>
      <c r="K406" s="431">
        <v>11973</v>
      </c>
      <c r="L406" s="431"/>
      <c r="M406" s="431"/>
      <c r="N406" s="431"/>
      <c r="O406" s="431" t="b">
        <v>1</v>
      </c>
      <c r="P406" s="431" t="b">
        <v>1</v>
      </c>
      <c r="Q406" s="431" t="s">
        <v>3827</v>
      </c>
      <c r="R406" s="431" t="s">
        <v>3828</v>
      </c>
      <c r="S406" s="431" t="s">
        <v>3829</v>
      </c>
      <c r="T406" s="431" t="s">
        <v>3830</v>
      </c>
      <c r="U406" s="431"/>
      <c r="V406" s="431" t="s">
        <v>3831</v>
      </c>
      <c r="W406" s="432">
        <v>43585.592139849534</v>
      </c>
      <c r="X406" s="432">
        <v>44616.043866828702</v>
      </c>
      <c r="Y406" s="431"/>
      <c r="Z406" s="433">
        <v>40147</v>
      </c>
      <c r="AA406" s="433">
        <v>40235</v>
      </c>
      <c r="AB406" s="433">
        <v>40466</v>
      </c>
      <c r="AC406" s="433">
        <v>40577</v>
      </c>
      <c r="AD406" s="436">
        <f t="shared" si="6"/>
        <v>598.65</v>
      </c>
    </row>
    <row r="407" spans="1:30" ht="14">
      <c r="A407" s="431" t="s">
        <v>3836</v>
      </c>
      <c r="B407" s="431" t="s">
        <v>3837</v>
      </c>
      <c r="C407" s="431" t="s">
        <v>686</v>
      </c>
      <c r="D407" s="431" t="s">
        <v>4197</v>
      </c>
      <c r="E407" s="431" t="s">
        <v>3832</v>
      </c>
      <c r="F407" s="431">
        <v>2044</v>
      </c>
      <c r="G407" s="431">
        <v>2020</v>
      </c>
      <c r="H407" s="431">
        <v>2039</v>
      </c>
      <c r="I407" s="431" t="b">
        <v>1</v>
      </c>
      <c r="J407" s="431" t="s">
        <v>891</v>
      </c>
      <c r="K407" s="431">
        <v>13344</v>
      </c>
      <c r="L407" s="431"/>
      <c r="M407" s="431"/>
      <c r="N407" s="431"/>
      <c r="O407" s="431" t="b">
        <v>1</v>
      </c>
      <c r="P407" s="431" t="b">
        <v>1</v>
      </c>
      <c r="Q407" s="431" t="s">
        <v>4198</v>
      </c>
      <c r="R407" s="431" t="s">
        <v>3833</v>
      </c>
      <c r="S407" s="431" t="s">
        <v>4199</v>
      </c>
      <c r="T407" s="431"/>
      <c r="U407" s="431" t="s">
        <v>4200</v>
      </c>
      <c r="V407" s="431" t="s">
        <v>4201</v>
      </c>
      <c r="W407" s="432">
        <v>43585.592111041668</v>
      </c>
      <c r="X407" s="432">
        <v>44616.04876297454</v>
      </c>
      <c r="Y407" s="431"/>
      <c r="Z407" s="431"/>
      <c r="AA407" s="431"/>
      <c r="AB407" s="431"/>
      <c r="AC407" s="431"/>
      <c r="AD407" s="436">
        <f t="shared" si="6"/>
        <v>702.31578947368416</v>
      </c>
    </row>
    <row r="408" spans="1:30" ht="14">
      <c r="A408" s="431" t="s">
        <v>2754</v>
      </c>
      <c r="B408" s="431" t="s">
        <v>2755</v>
      </c>
      <c r="C408" s="431" t="s">
        <v>698</v>
      </c>
      <c r="D408" s="431" t="s">
        <v>2756</v>
      </c>
      <c r="E408" s="431" t="s">
        <v>2757</v>
      </c>
      <c r="F408" s="431">
        <v>1779</v>
      </c>
      <c r="G408" s="431">
        <v>2013</v>
      </c>
      <c r="H408" s="431">
        <v>2032</v>
      </c>
      <c r="I408" s="431" t="b">
        <v>1</v>
      </c>
      <c r="J408" s="431" t="s">
        <v>891</v>
      </c>
      <c r="K408" s="431">
        <v>11210</v>
      </c>
      <c r="L408" s="431"/>
      <c r="M408" s="431"/>
      <c r="N408" s="431"/>
      <c r="O408" s="431" t="b">
        <v>1</v>
      </c>
      <c r="P408" s="431" t="b">
        <v>0</v>
      </c>
      <c r="Q408" s="431" t="s">
        <v>2758</v>
      </c>
      <c r="R408" s="431" t="s">
        <v>2759</v>
      </c>
      <c r="S408" s="431" t="s">
        <v>2760</v>
      </c>
      <c r="T408" s="431" t="s">
        <v>2761</v>
      </c>
      <c r="U408" s="431"/>
      <c r="V408" s="431" t="s">
        <v>2762</v>
      </c>
      <c r="W408" s="432">
        <v>43585.592110486112</v>
      </c>
      <c r="X408" s="432">
        <v>44616.041930069441</v>
      </c>
      <c r="Y408" s="431"/>
      <c r="Z408" s="433">
        <v>42601</v>
      </c>
      <c r="AA408" s="433">
        <v>42725</v>
      </c>
      <c r="AB408" s="433">
        <v>43132</v>
      </c>
      <c r="AC408" s="433">
        <v>43151</v>
      </c>
      <c r="AD408" s="437">
        <f t="shared" si="6"/>
        <v>590</v>
      </c>
    </row>
    <row r="409" spans="1:30" ht="14">
      <c r="A409" s="431" t="s">
        <v>3807</v>
      </c>
      <c r="B409" s="431" t="s">
        <v>3808</v>
      </c>
      <c r="C409" s="431" t="s">
        <v>736</v>
      </c>
      <c r="D409" s="431" t="s">
        <v>3795</v>
      </c>
      <c r="E409" s="434" t="s">
        <v>3796</v>
      </c>
      <c r="F409" s="431">
        <v>1402</v>
      </c>
      <c r="G409" s="431">
        <v>2006</v>
      </c>
      <c r="H409" s="431">
        <v>2030</v>
      </c>
      <c r="I409" s="431" t="b">
        <v>1</v>
      </c>
      <c r="J409" s="431" t="s">
        <v>891</v>
      </c>
      <c r="K409" s="431">
        <v>6800</v>
      </c>
      <c r="L409" s="431"/>
      <c r="M409" s="431"/>
      <c r="N409" s="431"/>
      <c r="O409" s="431" t="b">
        <v>1</v>
      </c>
      <c r="P409" s="431" t="b">
        <v>1</v>
      </c>
      <c r="Q409" s="431" t="s">
        <v>3797</v>
      </c>
      <c r="R409" s="431" t="s">
        <v>3798</v>
      </c>
      <c r="S409" s="431" t="s">
        <v>3799</v>
      </c>
      <c r="T409" s="431" t="s">
        <v>4502</v>
      </c>
      <c r="U409" s="431" t="s">
        <v>3800</v>
      </c>
      <c r="V409" s="431" t="s">
        <v>3801</v>
      </c>
      <c r="W409" s="432">
        <v>43585.592131921294</v>
      </c>
      <c r="X409" s="432">
        <v>44616.043847962967</v>
      </c>
      <c r="Y409" s="431"/>
      <c r="Z409" s="433">
        <v>41285</v>
      </c>
      <c r="AA409" s="433">
        <v>41422</v>
      </c>
      <c r="AB409" s="433">
        <v>42404</v>
      </c>
      <c r="AC409" s="433">
        <v>42425</v>
      </c>
      <c r="AD409" s="436">
        <f t="shared" si="6"/>
        <v>283.33333333333331</v>
      </c>
    </row>
    <row r="410" spans="1:30" ht="14">
      <c r="A410" s="431" t="s">
        <v>3807</v>
      </c>
      <c r="B410" s="431" t="s">
        <v>3808</v>
      </c>
      <c r="C410" s="431" t="s">
        <v>736</v>
      </c>
      <c r="D410" s="431" t="s">
        <v>3802</v>
      </c>
      <c r="E410" s="431" t="s">
        <v>3803</v>
      </c>
      <c r="F410" s="431">
        <v>2137</v>
      </c>
      <c r="G410" s="431">
        <v>2016</v>
      </c>
      <c r="H410" s="431">
        <v>2041</v>
      </c>
      <c r="I410" s="431" t="b">
        <v>1</v>
      </c>
      <c r="J410" s="431" t="s">
        <v>891</v>
      </c>
      <c r="K410" s="431"/>
      <c r="L410" s="431"/>
      <c r="M410" s="431"/>
      <c r="N410" s="431">
        <v>13998</v>
      </c>
      <c r="O410" s="431" t="b">
        <v>1</v>
      </c>
      <c r="P410" s="431" t="b">
        <v>1</v>
      </c>
      <c r="Q410" s="431" t="s">
        <v>3804</v>
      </c>
      <c r="R410" s="431"/>
      <c r="S410" s="431"/>
      <c r="T410" s="431" t="s">
        <v>3805</v>
      </c>
      <c r="U410" s="431"/>
      <c r="V410" s="431" t="s">
        <v>3806</v>
      </c>
      <c r="W410" s="432">
        <v>43600.56328130787</v>
      </c>
      <c r="X410" s="432">
        <v>44616.043795636571</v>
      </c>
      <c r="Y410" s="431"/>
      <c r="Z410" s="431"/>
      <c r="AA410" s="431"/>
      <c r="AB410" s="431"/>
      <c r="AC410" s="431"/>
      <c r="AD410" s="436">
        <f t="shared" si="6"/>
        <v>559.91999999999996</v>
      </c>
    </row>
    <row r="411" spans="1:30" ht="14">
      <c r="A411" s="431" t="s">
        <v>3492</v>
      </c>
      <c r="B411" s="431" t="s">
        <v>3493</v>
      </c>
      <c r="C411" s="431" t="s">
        <v>718</v>
      </c>
      <c r="D411" s="431" t="s">
        <v>4503</v>
      </c>
      <c r="E411" s="431" t="s">
        <v>4504</v>
      </c>
      <c r="F411" s="431"/>
      <c r="G411" s="431">
        <v>2016</v>
      </c>
      <c r="H411" s="431">
        <v>2037</v>
      </c>
      <c r="I411" s="431" t="b">
        <v>1</v>
      </c>
      <c r="J411" s="431" t="s">
        <v>907</v>
      </c>
      <c r="K411" s="431">
        <v>1068</v>
      </c>
      <c r="L411" s="431"/>
      <c r="M411" s="431"/>
      <c r="N411" s="431"/>
      <c r="O411" s="431" t="b">
        <v>1</v>
      </c>
      <c r="P411" s="431" t="b">
        <v>0</v>
      </c>
      <c r="Q411" s="431" t="s">
        <v>3494</v>
      </c>
      <c r="R411" s="431" t="s">
        <v>4505</v>
      </c>
      <c r="S411" s="431" t="s">
        <v>3495</v>
      </c>
      <c r="T411" s="431" t="s">
        <v>4506</v>
      </c>
      <c r="U411" s="431"/>
      <c r="V411" s="431" t="s">
        <v>4507</v>
      </c>
      <c r="W411" s="432">
        <v>43585.592118275461</v>
      </c>
      <c r="X411" s="432">
        <v>44616.047206053241</v>
      </c>
      <c r="Y411" s="431"/>
      <c r="Z411" s="433">
        <v>40129</v>
      </c>
      <c r="AA411" s="433">
        <v>40280</v>
      </c>
      <c r="AB411" s="433">
        <v>40492</v>
      </c>
      <c r="AC411" s="433">
        <v>40569</v>
      </c>
      <c r="AD411" s="437">
        <f t="shared" si="6"/>
        <v>1068</v>
      </c>
    </row>
    <row r="412" spans="1:30" ht="14">
      <c r="A412" s="431" t="s">
        <v>3492</v>
      </c>
      <c r="B412" s="431" t="s">
        <v>3493</v>
      </c>
      <c r="C412" s="431" t="s">
        <v>718</v>
      </c>
      <c r="D412" s="431" t="s">
        <v>3496</v>
      </c>
      <c r="E412" s="431" t="s">
        <v>3497</v>
      </c>
      <c r="F412" s="431">
        <v>1997</v>
      </c>
      <c r="G412" s="431">
        <v>2019</v>
      </c>
      <c r="H412" s="431">
        <v>2040</v>
      </c>
      <c r="I412" s="431" t="b">
        <v>1</v>
      </c>
      <c r="J412" s="431" t="s">
        <v>891</v>
      </c>
      <c r="K412" s="431">
        <v>20685</v>
      </c>
      <c r="L412" s="431"/>
      <c r="M412" s="431"/>
      <c r="N412" s="431"/>
      <c r="O412" s="431" t="b">
        <v>1</v>
      </c>
      <c r="P412" s="431" t="b">
        <v>0</v>
      </c>
      <c r="Q412" s="431" t="s">
        <v>4508</v>
      </c>
      <c r="R412" s="431" t="s">
        <v>3498</v>
      </c>
      <c r="S412" s="431" t="s">
        <v>4509</v>
      </c>
      <c r="T412" s="431"/>
      <c r="U412" s="431" t="s">
        <v>3499</v>
      </c>
      <c r="V412" s="431" t="s">
        <v>4510</v>
      </c>
      <c r="W412" s="432">
        <v>43648.658709872689</v>
      </c>
      <c r="X412" s="432">
        <v>44616.046727013891</v>
      </c>
      <c r="Y412" s="431"/>
      <c r="Z412" s="433">
        <v>43635</v>
      </c>
      <c r="AA412" s="433">
        <v>43788</v>
      </c>
      <c r="AB412" s="433">
        <v>44274</v>
      </c>
      <c r="AC412" s="433">
        <v>44307</v>
      </c>
      <c r="AD412" s="436">
        <f t="shared" si="6"/>
        <v>985</v>
      </c>
    </row>
    <row r="413" spans="1:30" ht="14">
      <c r="A413" s="431" t="s">
        <v>3651</v>
      </c>
      <c r="B413" s="431" t="s">
        <v>3652</v>
      </c>
      <c r="C413" s="431" t="s">
        <v>708</v>
      </c>
      <c r="D413" s="431" t="s">
        <v>749</v>
      </c>
      <c r="E413" s="431" t="s">
        <v>3629</v>
      </c>
      <c r="F413" s="431">
        <v>1819</v>
      </c>
      <c r="G413" s="431">
        <v>2014</v>
      </c>
      <c r="H413" s="431">
        <v>2034</v>
      </c>
      <c r="I413" s="431" t="b">
        <v>1</v>
      </c>
      <c r="J413" s="431" t="s">
        <v>891</v>
      </c>
      <c r="K413" s="431"/>
      <c r="L413" s="431"/>
      <c r="M413" s="431"/>
      <c r="N413" s="431">
        <v>26700</v>
      </c>
      <c r="O413" s="431" t="b">
        <v>1</v>
      </c>
      <c r="P413" s="431" t="b">
        <v>1</v>
      </c>
      <c r="Q413" s="431" t="s">
        <v>3630</v>
      </c>
      <c r="R413" s="431"/>
      <c r="S413" s="431"/>
      <c r="T413" s="431" t="s">
        <v>3631</v>
      </c>
      <c r="U413" s="431"/>
      <c r="V413" s="431" t="s">
        <v>3632</v>
      </c>
      <c r="W413" s="432">
        <v>43585.592142037036</v>
      </c>
      <c r="X413" s="432">
        <v>44616.042032048608</v>
      </c>
      <c r="Y413" s="431"/>
      <c r="Z413" s="433">
        <v>42809</v>
      </c>
      <c r="AA413" s="433">
        <v>42947</v>
      </c>
      <c r="AB413" s="433">
        <v>43542</v>
      </c>
      <c r="AC413" s="433">
        <v>43550</v>
      </c>
      <c r="AD413" s="437">
        <f t="shared" si="6"/>
        <v>1335</v>
      </c>
    </row>
    <row r="414" spans="1:30" ht="14">
      <c r="A414" s="431" t="s">
        <v>1900</v>
      </c>
      <c r="B414" s="431" t="s">
        <v>1901</v>
      </c>
      <c r="C414" s="431" t="s">
        <v>316</v>
      </c>
      <c r="D414" s="431" t="s">
        <v>4511</v>
      </c>
      <c r="E414" s="431" t="s">
        <v>1902</v>
      </c>
      <c r="F414" s="431">
        <v>536</v>
      </c>
      <c r="G414" s="431">
        <v>2011</v>
      </c>
      <c r="H414" s="431">
        <v>2026</v>
      </c>
      <c r="I414" s="431" t="b">
        <v>1</v>
      </c>
      <c r="J414" s="431" t="s">
        <v>907</v>
      </c>
      <c r="K414" s="431">
        <v>338</v>
      </c>
      <c r="L414" s="431"/>
      <c r="M414" s="431"/>
      <c r="N414" s="431"/>
      <c r="O414" s="431" t="b">
        <v>1</v>
      </c>
      <c r="P414" s="431" t="b">
        <v>0</v>
      </c>
      <c r="Q414" s="431" t="s">
        <v>4512</v>
      </c>
      <c r="R414" s="431" t="s">
        <v>1903</v>
      </c>
      <c r="S414" s="431" t="s">
        <v>4513</v>
      </c>
      <c r="T414" s="431" t="s">
        <v>4514</v>
      </c>
      <c r="U414" s="431" t="s">
        <v>4515</v>
      </c>
      <c r="V414" s="431" t="s">
        <v>4516</v>
      </c>
      <c r="W414" s="432">
        <v>43585.592122488422</v>
      </c>
      <c r="X414" s="432">
        <v>44616.043214849538</v>
      </c>
      <c r="Y414" s="431"/>
      <c r="Z414" s="433">
        <v>40525</v>
      </c>
      <c r="AA414" s="433">
        <v>40602</v>
      </c>
      <c r="AB414" s="433">
        <v>40744</v>
      </c>
      <c r="AC414" s="433">
        <v>40759</v>
      </c>
      <c r="AD414" s="436">
        <f t="shared" si="6"/>
        <v>338</v>
      </c>
    </row>
    <row r="415" spans="1:30" ht="14">
      <c r="A415" s="431" t="s">
        <v>1900</v>
      </c>
      <c r="B415" s="431" t="s">
        <v>1901</v>
      </c>
      <c r="C415" s="431" t="s">
        <v>316</v>
      </c>
      <c r="D415" s="431" t="s">
        <v>4517</v>
      </c>
      <c r="E415" s="431" t="s">
        <v>1904</v>
      </c>
      <c r="F415" s="431">
        <v>1927</v>
      </c>
      <c r="G415" s="431">
        <v>2021</v>
      </c>
      <c r="H415" s="431">
        <v>2037</v>
      </c>
      <c r="I415" s="431" t="b">
        <v>1</v>
      </c>
      <c r="J415" s="431" t="s">
        <v>891</v>
      </c>
      <c r="K415" s="431">
        <v>9560</v>
      </c>
      <c r="L415" s="431"/>
      <c r="M415" s="431"/>
      <c r="N415" s="431"/>
      <c r="O415" s="431" t="b">
        <v>1</v>
      </c>
      <c r="P415" s="431" t="b">
        <v>0</v>
      </c>
      <c r="Q415" s="431" t="s">
        <v>4518</v>
      </c>
      <c r="R415" s="431" t="s">
        <v>1905</v>
      </c>
      <c r="S415" s="431" t="s">
        <v>4519</v>
      </c>
      <c r="T415" s="431"/>
      <c r="U415" s="431" t="s">
        <v>4520</v>
      </c>
      <c r="V415" s="431" t="s">
        <v>4521</v>
      </c>
      <c r="W415" s="432">
        <v>43585.592133009261</v>
      </c>
      <c r="X415" s="432">
        <v>44616.04820099537</v>
      </c>
      <c r="Y415" s="431"/>
      <c r="Z415" s="433">
        <v>44141</v>
      </c>
      <c r="AA415" s="433">
        <v>44469</v>
      </c>
      <c r="AB415" s="431"/>
      <c r="AC415" s="431"/>
      <c r="AD415" s="436">
        <f t="shared" si="6"/>
        <v>597.5</v>
      </c>
    </row>
    <row r="416" spans="1:30" ht="14">
      <c r="A416" s="431" t="s">
        <v>3838</v>
      </c>
      <c r="B416" s="431" t="s">
        <v>3839</v>
      </c>
      <c r="C416" s="431" t="s">
        <v>734</v>
      </c>
      <c r="D416" s="431" t="s">
        <v>3825</v>
      </c>
      <c r="E416" s="431" t="s">
        <v>3826</v>
      </c>
      <c r="F416" s="431">
        <v>766</v>
      </c>
      <c r="G416" s="431">
        <v>2006</v>
      </c>
      <c r="H416" s="431">
        <v>2026</v>
      </c>
      <c r="I416" s="431" t="b">
        <v>1</v>
      </c>
      <c r="J416" s="431" t="s">
        <v>891</v>
      </c>
      <c r="K416" s="431">
        <v>13411</v>
      </c>
      <c r="L416" s="431"/>
      <c r="M416" s="431"/>
      <c r="N416" s="431"/>
      <c r="O416" s="431" t="b">
        <v>1</v>
      </c>
      <c r="P416" s="431" t="b">
        <v>1</v>
      </c>
      <c r="Q416" s="431" t="s">
        <v>3827</v>
      </c>
      <c r="R416" s="431" t="s">
        <v>3828</v>
      </c>
      <c r="S416" s="431" t="s">
        <v>3829</v>
      </c>
      <c r="T416" s="431" t="s">
        <v>3830</v>
      </c>
      <c r="U416" s="431"/>
      <c r="V416" s="431" t="s">
        <v>3831</v>
      </c>
      <c r="W416" s="432">
        <v>43585.592139849534</v>
      </c>
      <c r="X416" s="432">
        <v>44616.043866828702</v>
      </c>
      <c r="Y416" s="431"/>
      <c r="Z416" s="433">
        <v>40147</v>
      </c>
      <c r="AA416" s="433">
        <v>40235</v>
      </c>
      <c r="AB416" s="433">
        <v>40466</v>
      </c>
      <c r="AC416" s="433">
        <v>40577</v>
      </c>
      <c r="AD416" s="437">
        <f t="shared" si="6"/>
        <v>670.55</v>
      </c>
    </row>
    <row r="417" spans="1:30" ht="14">
      <c r="A417" s="431" t="s">
        <v>3838</v>
      </c>
      <c r="B417" s="431" t="s">
        <v>3839</v>
      </c>
      <c r="C417" s="431" t="s">
        <v>734</v>
      </c>
      <c r="D417" s="431" t="s">
        <v>4197</v>
      </c>
      <c r="E417" s="431" t="s">
        <v>3832</v>
      </c>
      <c r="F417" s="431">
        <v>2044</v>
      </c>
      <c r="G417" s="431">
        <v>2020</v>
      </c>
      <c r="H417" s="431">
        <v>2039</v>
      </c>
      <c r="I417" s="431" t="b">
        <v>1</v>
      </c>
      <c r="J417" s="431" t="s">
        <v>891</v>
      </c>
      <c r="K417" s="431">
        <v>12100</v>
      </c>
      <c r="L417" s="431"/>
      <c r="M417" s="431"/>
      <c r="N417" s="431"/>
      <c r="O417" s="431" t="b">
        <v>1</v>
      </c>
      <c r="P417" s="431" t="b">
        <v>1</v>
      </c>
      <c r="Q417" s="431" t="s">
        <v>4198</v>
      </c>
      <c r="R417" s="431" t="s">
        <v>3833</v>
      </c>
      <c r="S417" s="431" t="s">
        <v>4199</v>
      </c>
      <c r="T417" s="431"/>
      <c r="U417" s="431" t="s">
        <v>4200</v>
      </c>
      <c r="V417" s="431" t="s">
        <v>4201</v>
      </c>
      <c r="W417" s="432">
        <v>43585.592111041668</v>
      </c>
      <c r="X417" s="432">
        <v>44616.04876297454</v>
      </c>
      <c r="Y417" s="431"/>
      <c r="Z417" s="431"/>
      <c r="AA417" s="431"/>
      <c r="AB417" s="431"/>
      <c r="AC417" s="431"/>
      <c r="AD417" s="436">
        <f t="shared" si="6"/>
        <v>636.84210526315792</v>
      </c>
    </row>
    <row r="418" spans="1:30" ht="14">
      <c r="A418" s="431" t="s">
        <v>1268</v>
      </c>
      <c r="B418" s="431" t="s">
        <v>1269</v>
      </c>
      <c r="C418" s="431" t="s">
        <v>726</v>
      </c>
      <c r="D418" s="431" t="s">
        <v>1270</v>
      </c>
      <c r="E418" s="431" t="s">
        <v>1271</v>
      </c>
      <c r="F418" s="431">
        <v>1844</v>
      </c>
      <c r="G418" s="431">
        <v>2013</v>
      </c>
      <c r="H418" s="431">
        <v>2033</v>
      </c>
      <c r="I418" s="431" t="b">
        <v>1</v>
      </c>
      <c r="J418" s="431" t="s">
        <v>891</v>
      </c>
      <c r="K418" s="431">
        <v>14240</v>
      </c>
      <c r="L418" s="431"/>
      <c r="M418" s="431"/>
      <c r="N418" s="431"/>
      <c r="O418" s="431" t="b">
        <v>1</v>
      </c>
      <c r="P418" s="431" t="b">
        <v>0</v>
      </c>
      <c r="Q418" s="431" t="s">
        <v>1272</v>
      </c>
      <c r="R418" s="431"/>
      <c r="S418" s="431"/>
      <c r="T418" s="431" t="s">
        <v>1273</v>
      </c>
      <c r="U418" s="431"/>
      <c r="V418" s="431" t="s">
        <v>1274</v>
      </c>
      <c r="W418" s="432">
        <v>43585.592126736112</v>
      </c>
      <c r="X418" s="432">
        <v>44616.046060046297</v>
      </c>
      <c r="Y418" s="431"/>
      <c r="Z418" s="433">
        <v>42916</v>
      </c>
      <c r="AA418" s="433">
        <v>43131</v>
      </c>
      <c r="AB418" s="433">
        <v>44587</v>
      </c>
      <c r="AC418" s="431"/>
      <c r="AD418" s="436">
        <f t="shared" si="6"/>
        <v>712</v>
      </c>
    </row>
    <row r="419" spans="1:30" ht="14">
      <c r="A419" s="431" t="s">
        <v>2465</v>
      </c>
      <c r="B419" s="431" t="s">
        <v>2466</v>
      </c>
      <c r="C419" s="431" t="s">
        <v>682</v>
      </c>
      <c r="D419" s="431" t="s">
        <v>4522</v>
      </c>
      <c r="E419" s="431" t="s">
        <v>2467</v>
      </c>
      <c r="F419" s="431">
        <v>832</v>
      </c>
      <c r="G419" s="431">
        <v>2011</v>
      </c>
      <c r="H419" s="431">
        <v>2031</v>
      </c>
      <c r="I419" s="431" t="b">
        <v>1</v>
      </c>
      <c r="J419" s="431" t="s">
        <v>891</v>
      </c>
      <c r="K419" s="431">
        <v>22760</v>
      </c>
      <c r="L419" s="431"/>
      <c r="M419" s="431"/>
      <c r="N419" s="431"/>
      <c r="O419" s="431" t="b">
        <v>1</v>
      </c>
      <c r="P419" s="431" t="b">
        <v>0</v>
      </c>
      <c r="Q419" s="431" t="s">
        <v>4523</v>
      </c>
      <c r="R419" s="431" t="s">
        <v>4524</v>
      </c>
      <c r="S419" s="431" t="s">
        <v>4525</v>
      </c>
      <c r="T419" s="431"/>
      <c r="U419" s="431" t="s">
        <v>4526</v>
      </c>
      <c r="V419" s="431" t="s">
        <v>4527</v>
      </c>
      <c r="W419" s="432">
        <v>43585.592110729165</v>
      </c>
      <c r="X419" s="432">
        <v>44616.046281793984</v>
      </c>
      <c r="Y419" s="431"/>
      <c r="Z419" s="433">
        <v>41950</v>
      </c>
      <c r="AA419" s="433">
        <v>42081</v>
      </c>
      <c r="AB419" s="433">
        <v>42704</v>
      </c>
      <c r="AC419" s="433">
        <v>42718</v>
      </c>
      <c r="AD419" s="437">
        <f t="shared" si="6"/>
        <v>1138</v>
      </c>
    </row>
    <row r="420" spans="1:30" ht="14">
      <c r="A420" s="431" t="s">
        <v>2465</v>
      </c>
      <c r="B420" s="431" t="s">
        <v>2466</v>
      </c>
      <c r="C420" s="431" t="s">
        <v>682</v>
      </c>
      <c r="D420" s="431" t="s">
        <v>3786</v>
      </c>
      <c r="E420" s="431" t="s">
        <v>3787</v>
      </c>
      <c r="F420" s="431">
        <v>2085</v>
      </c>
      <c r="G420" s="431">
        <v>2020</v>
      </c>
      <c r="H420" s="431">
        <v>2050</v>
      </c>
      <c r="I420" s="431" t="b">
        <v>1</v>
      </c>
      <c r="J420" s="431"/>
      <c r="K420" s="431"/>
      <c r="L420" s="431"/>
      <c r="M420" s="431"/>
      <c r="N420" s="431"/>
      <c r="O420" s="431" t="b">
        <v>0</v>
      </c>
      <c r="P420" s="431" t="b">
        <v>1</v>
      </c>
      <c r="Q420" s="431"/>
      <c r="R420" s="431"/>
      <c r="S420" s="431"/>
      <c r="T420" s="431"/>
      <c r="U420" s="431"/>
      <c r="V420" s="431"/>
      <c r="W420" s="432">
        <v>44146.567369247685</v>
      </c>
      <c r="X420" s="432">
        <v>44146.569047962963</v>
      </c>
      <c r="Y420" s="431" t="s">
        <v>978</v>
      </c>
      <c r="Z420" s="431"/>
      <c r="AA420" s="431"/>
      <c r="AB420" s="431"/>
      <c r="AC420" s="431"/>
      <c r="AD420" s="436" t="str">
        <f t="shared" si="6"/>
        <v/>
      </c>
    </row>
    <row r="421" spans="1:30" ht="14">
      <c r="A421" s="431" t="s">
        <v>2465</v>
      </c>
      <c r="B421" s="431" t="s">
        <v>2466</v>
      </c>
      <c r="C421" s="431" t="s">
        <v>682</v>
      </c>
      <c r="D421" s="431" t="s">
        <v>2468</v>
      </c>
      <c r="E421" s="431" t="s">
        <v>2469</v>
      </c>
      <c r="F421" s="431">
        <v>2114</v>
      </c>
      <c r="G421" s="431">
        <v>2021</v>
      </c>
      <c r="H421" s="431">
        <v>2041</v>
      </c>
      <c r="I421" s="431" t="b">
        <v>1</v>
      </c>
      <c r="J421" s="431"/>
      <c r="K421" s="431"/>
      <c r="L421" s="431"/>
      <c r="M421" s="431"/>
      <c r="N421" s="431"/>
      <c r="O421" s="431" t="b">
        <v>0</v>
      </c>
      <c r="P421" s="431" t="b">
        <v>0</v>
      </c>
      <c r="Q421" s="431"/>
      <c r="R421" s="431"/>
      <c r="S421" s="431"/>
      <c r="T421" s="431"/>
      <c r="U421" s="431"/>
      <c r="V421" s="431"/>
      <c r="W421" s="432">
        <v>44140.638145196761</v>
      </c>
      <c r="X421" s="432">
        <v>44140.640367118052</v>
      </c>
      <c r="Y421" s="431" t="s">
        <v>978</v>
      </c>
      <c r="Z421" s="431"/>
      <c r="AA421" s="431"/>
      <c r="AB421" s="431"/>
      <c r="AC421" s="431"/>
      <c r="AD421" s="437" t="str">
        <f t="shared" si="6"/>
        <v/>
      </c>
    </row>
    <row r="422" spans="1:30" ht="14">
      <c r="A422" s="431" t="s">
        <v>1446</v>
      </c>
      <c r="B422" s="431" t="s">
        <v>1447</v>
      </c>
      <c r="C422" s="431" t="s">
        <v>1448</v>
      </c>
      <c r="D422" s="431" t="s">
        <v>1449</v>
      </c>
      <c r="E422" s="431" t="s">
        <v>1450</v>
      </c>
      <c r="F422" s="431">
        <v>1539</v>
      </c>
      <c r="G422" s="431">
        <v>2013</v>
      </c>
      <c r="H422" s="431">
        <v>2033</v>
      </c>
      <c r="I422" s="431" t="b">
        <v>1</v>
      </c>
      <c r="J422" s="431" t="s">
        <v>891</v>
      </c>
      <c r="K422" s="431">
        <v>10925</v>
      </c>
      <c r="L422" s="431"/>
      <c r="M422" s="431"/>
      <c r="N422" s="431"/>
      <c r="O422" s="431" t="b">
        <v>1</v>
      </c>
      <c r="P422" s="431" t="b">
        <v>0</v>
      </c>
      <c r="Q422" s="431" t="s">
        <v>1451</v>
      </c>
      <c r="R422" s="431" t="s">
        <v>1452</v>
      </c>
      <c r="S422" s="431" t="s">
        <v>1453</v>
      </c>
      <c r="T422" s="431"/>
      <c r="U422" s="431"/>
      <c r="V422" s="431" t="s">
        <v>1454</v>
      </c>
      <c r="W422" s="432">
        <v>43585.59211041667</v>
      </c>
      <c r="X422" s="432">
        <v>44616.043641365737</v>
      </c>
      <c r="Y422" s="431"/>
      <c r="Z422" s="433">
        <v>43024</v>
      </c>
      <c r="AA422" s="433">
        <v>43187</v>
      </c>
      <c r="AB422" s="433">
        <v>43656</v>
      </c>
      <c r="AC422" s="433">
        <v>43696</v>
      </c>
      <c r="AD422" s="436">
        <f t="shared" si="6"/>
        <v>546.25</v>
      </c>
    </row>
    <row r="423" spans="1:30" ht="14">
      <c r="A423" s="431" t="s">
        <v>3706</v>
      </c>
      <c r="B423" s="431" t="s">
        <v>3707</v>
      </c>
      <c r="C423" s="431" t="s">
        <v>165</v>
      </c>
      <c r="D423" s="431" t="s">
        <v>3708</v>
      </c>
      <c r="E423" s="431" t="s">
        <v>3709</v>
      </c>
      <c r="F423" s="431">
        <v>1833</v>
      </c>
      <c r="G423" s="431">
        <v>2011</v>
      </c>
      <c r="H423" s="431">
        <v>2036</v>
      </c>
      <c r="I423" s="431" t="b">
        <v>1</v>
      </c>
      <c r="J423" s="431" t="s">
        <v>891</v>
      </c>
      <c r="K423" s="431">
        <v>7744</v>
      </c>
      <c r="L423" s="431"/>
      <c r="M423" s="431"/>
      <c r="N423" s="431"/>
      <c r="O423" s="431" t="b">
        <v>1</v>
      </c>
      <c r="P423" s="431" t="b">
        <v>1</v>
      </c>
      <c r="Q423" s="431" t="s">
        <v>3710</v>
      </c>
      <c r="R423" s="431" t="s">
        <v>3711</v>
      </c>
      <c r="S423" s="431" t="s">
        <v>3712</v>
      </c>
      <c r="T423" s="431"/>
      <c r="U423" s="431"/>
      <c r="V423" s="431" t="s">
        <v>3713</v>
      </c>
      <c r="W423" s="432">
        <v>43585.592131030091</v>
      </c>
      <c r="X423" s="432">
        <v>44616.044505393518</v>
      </c>
      <c r="Y423" s="431"/>
      <c r="Z423" s="433">
        <v>42835</v>
      </c>
      <c r="AA423" s="433">
        <v>42909</v>
      </c>
      <c r="AB423" s="433">
        <v>43494</v>
      </c>
      <c r="AC423" s="433">
        <v>43532</v>
      </c>
      <c r="AD423" s="436">
        <f t="shared" si="6"/>
        <v>309.76</v>
      </c>
    </row>
    <row r="424" spans="1:30" ht="14">
      <c r="A424" s="431" t="s">
        <v>1293</v>
      </c>
      <c r="B424" s="431" t="s">
        <v>837</v>
      </c>
      <c r="C424" s="431" t="s">
        <v>181</v>
      </c>
      <c r="D424" s="431" t="s">
        <v>1294</v>
      </c>
      <c r="E424" s="431" t="s">
        <v>1295</v>
      </c>
      <c r="F424" s="431">
        <v>1418</v>
      </c>
      <c r="G424" s="431">
        <v>2010</v>
      </c>
      <c r="H424" s="431">
        <v>2030</v>
      </c>
      <c r="I424" s="431" t="b">
        <v>1</v>
      </c>
      <c r="J424" s="431" t="s">
        <v>891</v>
      </c>
      <c r="K424" s="431">
        <v>13200</v>
      </c>
      <c r="L424" s="431"/>
      <c r="M424" s="431"/>
      <c r="N424" s="431"/>
      <c r="O424" s="431" t="b">
        <v>1</v>
      </c>
      <c r="P424" s="431" t="b">
        <v>0</v>
      </c>
      <c r="Q424" s="431" t="s">
        <v>1296</v>
      </c>
      <c r="R424" s="431" t="s">
        <v>1297</v>
      </c>
      <c r="S424" s="431" t="s">
        <v>1298</v>
      </c>
      <c r="T424" s="431"/>
      <c r="U424" s="431"/>
      <c r="V424" s="431" t="s">
        <v>1299</v>
      </c>
      <c r="W424" s="432">
        <v>43585.592112152779</v>
      </c>
      <c r="X424" s="432">
        <v>44616.044748368055</v>
      </c>
      <c r="Y424" s="431"/>
      <c r="Z424" s="433">
        <v>41330</v>
      </c>
      <c r="AA424" s="433">
        <v>41452</v>
      </c>
      <c r="AB424" s="433">
        <v>42405</v>
      </c>
      <c r="AC424" s="433">
        <v>42453</v>
      </c>
      <c r="AD424" s="437">
        <f t="shared" si="6"/>
        <v>660</v>
      </c>
    </row>
    <row r="425" spans="1:30" ht="14">
      <c r="A425" s="431" t="s">
        <v>2763</v>
      </c>
      <c r="B425" s="431" t="s">
        <v>2764</v>
      </c>
      <c r="C425" s="431" t="s">
        <v>730</v>
      </c>
      <c r="D425" s="431" t="s">
        <v>2765</v>
      </c>
      <c r="E425" s="431" t="s">
        <v>2766</v>
      </c>
      <c r="F425" s="431">
        <v>1073</v>
      </c>
      <c r="G425" s="431">
        <v>2010</v>
      </c>
      <c r="H425" s="431">
        <v>2027</v>
      </c>
      <c r="I425" s="431" t="b">
        <v>1</v>
      </c>
      <c r="J425" s="431" t="s">
        <v>891</v>
      </c>
      <c r="K425" s="431">
        <v>4964</v>
      </c>
      <c r="L425" s="431"/>
      <c r="M425" s="431"/>
      <c r="N425" s="431"/>
      <c r="O425" s="431" t="b">
        <v>1</v>
      </c>
      <c r="P425" s="431" t="b">
        <v>0</v>
      </c>
      <c r="Q425" s="431" t="s">
        <v>2767</v>
      </c>
      <c r="R425" s="431" t="s">
        <v>2768</v>
      </c>
      <c r="S425" s="431" t="s">
        <v>2769</v>
      </c>
      <c r="T425" s="431"/>
      <c r="U425" s="431"/>
      <c r="V425" s="431" t="s">
        <v>2770</v>
      </c>
      <c r="W425" s="432">
        <v>43585.59211351852</v>
      </c>
      <c r="X425" s="432">
        <v>44616.043628553241</v>
      </c>
      <c r="Y425" s="431"/>
      <c r="Z425" s="433">
        <v>40749</v>
      </c>
      <c r="AA425" s="433">
        <v>40896</v>
      </c>
      <c r="AB425" s="433">
        <v>41116</v>
      </c>
      <c r="AC425" s="433">
        <v>41207</v>
      </c>
      <c r="AD425" s="436">
        <f t="shared" si="6"/>
        <v>292</v>
      </c>
    </row>
    <row r="426" spans="1:30" ht="14">
      <c r="A426" s="431" t="s">
        <v>1707</v>
      </c>
      <c r="B426" s="431" t="s">
        <v>1708</v>
      </c>
      <c r="C426" s="431" t="s">
        <v>364</v>
      </c>
      <c r="D426" s="431" t="s">
        <v>1709</v>
      </c>
      <c r="E426" s="431" t="s">
        <v>1710</v>
      </c>
      <c r="F426" s="431">
        <v>944</v>
      </c>
      <c r="G426" s="431">
        <v>2011</v>
      </c>
      <c r="H426" s="431">
        <v>2028</v>
      </c>
      <c r="I426" s="431" t="b">
        <v>1</v>
      </c>
      <c r="J426" s="431" t="s">
        <v>891</v>
      </c>
      <c r="K426" s="431">
        <v>3400</v>
      </c>
      <c r="L426" s="431"/>
      <c r="M426" s="431"/>
      <c r="N426" s="431"/>
      <c r="O426" s="431" t="b">
        <v>1</v>
      </c>
      <c r="P426" s="431" t="b">
        <v>0</v>
      </c>
      <c r="Q426" s="431" t="s">
        <v>1711</v>
      </c>
      <c r="R426" s="431" t="s">
        <v>1712</v>
      </c>
      <c r="S426" s="431" t="s">
        <v>1713</v>
      </c>
      <c r="T426" s="431" t="s">
        <v>1081</v>
      </c>
      <c r="U426" s="431"/>
      <c r="V426" s="431" t="s">
        <v>1714</v>
      </c>
      <c r="W426" s="432">
        <v>43585.592126342592</v>
      </c>
      <c r="X426" s="432">
        <v>44616.044256111112</v>
      </c>
      <c r="Y426" s="431"/>
      <c r="Z426" s="433">
        <v>41054</v>
      </c>
      <c r="AA426" s="433">
        <v>41213</v>
      </c>
      <c r="AB426" s="433">
        <v>41568</v>
      </c>
      <c r="AC426" s="433">
        <v>41689</v>
      </c>
      <c r="AD426" s="437">
        <f t="shared" si="6"/>
        <v>200</v>
      </c>
    </row>
    <row r="427" spans="1:30" ht="14">
      <c r="A427" s="431" t="s">
        <v>1707</v>
      </c>
      <c r="B427" s="431" t="s">
        <v>1708</v>
      </c>
      <c r="C427" s="431" t="s">
        <v>364</v>
      </c>
      <c r="D427" s="431" t="s">
        <v>4528</v>
      </c>
      <c r="E427" s="431" t="s">
        <v>4529</v>
      </c>
      <c r="F427" s="431">
        <v>2167</v>
      </c>
      <c r="G427" s="431">
        <v>2019</v>
      </c>
      <c r="H427" s="431">
        <v>2039</v>
      </c>
      <c r="I427" s="431" t="b">
        <v>1</v>
      </c>
      <c r="J427" s="431"/>
      <c r="K427" s="431"/>
      <c r="L427" s="431"/>
      <c r="M427" s="431"/>
      <c r="N427" s="431"/>
      <c r="O427" s="431" t="b">
        <v>0</v>
      </c>
      <c r="P427" s="431" t="b">
        <v>0</v>
      </c>
      <c r="Q427" s="431"/>
      <c r="R427" s="431"/>
      <c r="S427" s="431"/>
      <c r="T427" s="431"/>
      <c r="U427" s="431"/>
      <c r="V427" s="431"/>
      <c r="W427" s="432">
        <v>44376.435709606485</v>
      </c>
      <c r="X427" s="432">
        <v>44376.435885949075</v>
      </c>
      <c r="Y427" s="431" t="s">
        <v>978</v>
      </c>
      <c r="Z427" s="431"/>
      <c r="AA427" s="431"/>
      <c r="AB427" s="431"/>
      <c r="AC427" s="431"/>
      <c r="AD427" s="436" t="str">
        <f t="shared" si="6"/>
        <v/>
      </c>
    </row>
    <row r="428" spans="1:30" ht="14">
      <c r="A428" s="431" t="s">
        <v>2904</v>
      </c>
      <c r="B428" s="431" t="s">
        <v>2905</v>
      </c>
      <c r="C428" s="431" t="s">
        <v>744</v>
      </c>
      <c r="D428" s="431" t="s">
        <v>2906</v>
      </c>
      <c r="E428" s="434" t="s">
        <v>2907</v>
      </c>
      <c r="F428" s="431">
        <v>794</v>
      </c>
      <c r="G428" s="431">
        <v>2006</v>
      </c>
      <c r="H428" s="431">
        <v>2026</v>
      </c>
      <c r="I428" s="431" t="b">
        <v>1</v>
      </c>
      <c r="J428" s="431" t="s">
        <v>891</v>
      </c>
      <c r="K428" s="431">
        <v>4000</v>
      </c>
      <c r="L428" s="431"/>
      <c r="M428" s="431"/>
      <c r="N428" s="431"/>
      <c r="O428" s="431" t="b">
        <v>1</v>
      </c>
      <c r="P428" s="431" t="b">
        <v>0</v>
      </c>
      <c r="Q428" s="431" t="s">
        <v>2908</v>
      </c>
      <c r="R428" s="431" t="s">
        <v>2909</v>
      </c>
      <c r="S428" s="431" t="s">
        <v>2910</v>
      </c>
      <c r="T428" s="431" t="s">
        <v>4530</v>
      </c>
      <c r="U428" s="431"/>
      <c r="V428" s="431" t="s">
        <v>2911</v>
      </c>
      <c r="W428" s="432">
        <v>43585.592118761575</v>
      </c>
      <c r="X428" s="432">
        <v>44616.044088391202</v>
      </c>
      <c r="Y428" s="431"/>
      <c r="Z428" s="433">
        <v>40185</v>
      </c>
      <c r="AA428" s="433">
        <v>40276</v>
      </c>
      <c r="AB428" s="433">
        <v>40471</v>
      </c>
      <c r="AC428" s="433">
        <v>40521</v>
      </c>
      <c r="AD428" s="437">
        <f t="shared" si="6"/>
        <v>200</v>
      </c>
    </row>
    <row r="429" spans="1:30" ht="14">
      <c r="A429" s="431" t="s">
        <v>2904</v>
      </c>
      <c r="B429" s="431" t="s">
        <v>2905</v>
      </c>
      <c r="C429" s="431" t="s">
        <v>744</v>
      </c>
      <c r="D429" s="431" t="s">
        <v>2912</v>
      </c>
      <c r="E429" s="431" t="s">
        <v>2913</v>
      </c>
      <c r="F429" s="431">
        <v>2004</v>
      </c>
      <c r="G429" s="431">
        <v>2016</v>
      </c>
      <c r="H429" s="431">
        <v>2036</v>
      </c>
      <c r="I429" s="431" t="b">
        <v>1</v>
      </c>
      <c r="J429" s="431" t="s">
        <v>891</v>
      </c>
      <c r="K429" s="431">
        <v>5520</v>
      </c>
      <c r="L429" s="431"/>
      <c r="M429" s="431"/>
      <c r="N429" s="431"/>
      <c r="O429" s="431" t="b">
        <v>1</v>
      </c>
      <c r="P429" s="431" t="b">
        <v>0</v>
      </c>
      <c r="Q429" s="431" t="s">
        <v>2914</v>
      </c>
      <c r="R429" s="431" t="s">
        <v>2915</v>
      </c>
      <c r="S429" s="431" t="s">
        <v>2916</v>
      </c>
      <c r="T429" s="431" t="s">
        <v>4531</v>
      </c>
      <c r="U429" s="431"/>
      <c r="V429" s="431" t="s">
        <v>2917</v>
      </c>
      <c r="W429" s="432">
        <v>43585.59211853009</v>
      </c>
      <c r="X429" s="432">
        <v>44616.043394004628</v>
      </c>
      <c r="Y429" s="431"/>
      <c r="Z429" s="433">
        <v>43405</v>
      </c>
      <c r="AA429" s="433">
        <v>43951</v>
      </c>
      <c r="AB429" s="431"/>
      <c r="AC429" s="431"/>
      <c r="AD429" s="436">
        <f t="shared" si="6"/>
        <v>276</v>
      </c>
    </row>
    <row r="430" spans="1:30" ht="14">
      <c r="A430" s="431" t="s">
        <v>3733</v>
      </c>
      <c r="B430" s="431" t="s">
        <v>3734</v>
      </c>
      <c r="C430" s="431" t="s">
        <v>712</v>
      </c>
      <c r="D430" s="431" t="s">
        <v>755</v>
      </c>
      <c r="E430" s="431" t="s">
        <v>3716</v>
      </c>
      <c r="F430" s="431">
        <v>1753</v>
      </c>
      <c r="G430" s="431">
        <v>2012</v>
      </c>
      <c r="H430" s="431">
        <v>2036</v>
      </c>
      <c r="I430" s="431" t="b">
        <v>1</v>
      </c>
      <c r="J430" s="431" t="s">
        <v>891</v>
      </c>
      <c r="K430" s="431"/>
      <c r="L430" s="431"/>
      <c r="M430" s="431"/>
      <c r="N430" s="431">
        <v>36960</v>
      </c>
      <c r="O430" s="431" t="b">
        <v>1</v>
      </c>
      <c r="P430" s="431" t="b">
        <v>1</v>
      </c>
      <c r="Q430" s="431" t="s">
        <v>3717</v>
      </c>
      <c r="R430" s="431" t="s">
        <v>3718</v>
      </c>
      <c r="S430" s="431" t="s">
        <v>3719</v>
      </c>
      <c r="T430" s="431" t="s">
        <v>3720</v>
      </c>
      <c r="U430" s="431" t="s">
        <v>3721</v>
      </c>
      <c r="V430" s="431" t="s">
        <v>3722</v>
      </c>
      <c r="W430" s="432">
        <v>43585.59213478009</v>
      </c>
      <c r="X430" s="432">
        <v>44616.047099791664</v>
      </c>
      <c r="Y430" s="431"/>
      <c r="Z430" s="433">
        <v>42475</v>
      </c>
      <c r="AA430" s="433">
        <v>42551</v>
      </c>
      <c r="AB430" s="433">
        <v>42835</v>
      </c>
      <c r="AC430" s="433">
        <v>42849</v>
      </c>
      <c r="AD430" s="437">
        <f t="shared" si="6"/>
        <v>1540</v>
      </c>
    </row>
    <row r="431" spans="1:30" ht="14">
      <c r="A431" s="431" t="s">
        <v>3733</v>
      </c>
      <c r="B431" s="431" t="s">
        <v>3734</v>
      </c>
      <c r="C431" s="431" t="s">
        <v>712</v>
      </c>
      <c r="D431" s="431" t="s">
        <v>3723</v>
      </c>
      <c r="E431" s="431" t="s">
        <v>3724</v>
      </c>
      <c r="F431" s="431">
        <v>2110</v>
      </c>
      <c r="G431" s="431">
        <v>2018</v>
      </c>
      <c r="H431" s="431">
        <v>2040</v>
      </c>
      <c r="I431" s="431" t="b">
        <v>1</v>
      </c>
      <c r="J431" s="431" t="s">
        <v>907</v>
      </c>
      <c r="K431" s="431"/>
      <c r="L431" s="431"/>
      <c r="M431" s="431"/>
      <c r="N431" s="431">
        <v>1300</v>
      </c>
      <c r="O431" s="431" t="b">
        <v>1</v>
      </c>
      <c r="P431" s="431" t="b">
        <v>1</v>
      </c>
      <c r="Q431" s="431" t="s">
        <v>3725</v>
      </c>
      <c r="R431" s="431"/>
      <c r="S431" s="431"/>
      <c r="T431" s="431" t="s">
        <v>3726</v>
      </c>
      <c r="U431" s="431" t="s">
        <v>3727</v>
      </c>
      <c r="V431" s="431" t="s">
        <v>3728</v>
      </c>
      <c r="W431" s="432">
        <v>44111.628201712963</v>
      </c>
      <c r="X431" s="432">
        <v>44616.046260960647</v>
      </c>
      <c r="Y431" s="431"/>
      <c r="Z431" s="431"/>
      <c r="AA431" s="431"/>
      <c r="AB431" s="431"/>
      <c r="AC431" s="431"/>
      <c r="AD431" s="436">
        <f t="shared" si="6"/>
        <v>0</v>
      </c>
    </row>
    <row r="432" spans="1:30" ht="14">
      <c r="A432" s="431" t="s">
        <v>2470</v>
      </c>
      <c r="B432" s="431" t="s">
        <v>2471</v>
      </c>
      <c r="C432" s="431" t="s">
        <v>714</v>
      </c>
      <c r="D432" s="431" t="s">
        <v>2472</v>
      </c>
      <c r="E432" s="431" t="s">
        <v>2473</v>
      </c>
      <c r="F432" s="431">
        <v>928</v>
      </c>
      <c r="G432" s="431">
        <v>2011</v>
      </c>
      <c r="H432" s="431">
        <v>2031</v>
      </c>
      <c r="I432" s="431" t="b">
        <v>1</v>
      </c>
      <c r="J432" s="431" t="s">
        <v>891</v>
      </c>
      <c r="K432" s="431">
        <v>15950</v>
      </c>
      <c r="L432" s="431"/>
      <c r="M432" s="431"/>
      <c r="N432" s="431"/>
      <c r="O432" s="431" t="b">
        <v>1</v>
      </c>
      <c r="P432" s="431" t="b">
        <v>0</v>
      </c>
      <c r="Q432" s="431" t="s">
        <v>2474</v>
      </c>
      <c r="R432" s="431" t="s">
        <v>2475</v>
      </c>
      <c r="S432" s="431" t="s">
        <v>2476</v>
      </c>
      <c r="T432" s="431" t="s">
        <v>2477</v>
      </c>
      <c r="U432" s="431"/>
      <c r="V432" s="431" t="s">
        <v>2478</v>
      </c>
      <c r="W432" s="432">
        <v>43585.592128634256</v>
      </c>
      <c r="X432" s="432">
        <v>44616.043440729169</v>
      </c>
      <c r="Y432" s="431"/>
      <c r="Z432" s="433">
        <v>42090</v>
      </c>
      <c r="AA432" s="433">
        <v>42199</v>
      </c>
      <c r="AB432" s="433">
        <v>43336</v>
      </c>
      <c r="AC432" s="433">
        <v>43370</v>
      </c>
      <c r="AD432" s="436">
        <f t="shared" si="6"/>
        <v>797.5</v>
      </c>
    </row>
    <row r="433" spans="1:30" ht="14">
      <c r="A433" s="431" t="s">
        <v>2470</v>
      </c>
      <c r="B433" s="431" t="s">
        <v>2471</v>
      </c>
      <c r="C433" s="431" t="s">
        <v>714</v>
      </c>
      <c r="D433" s="431" t="s">
        <v>3786</v>
      </c>
      <c r="E433" s="431" t="s">
        <v>3787</v>
      </c>
      <c r="F433" s="431">
        <v>2085</v>
      </c>
      <c r="G433" s="431">
        <v>2020</v>
      </c>
      <c r="H433" s="431">
        <v>2050</v>
      </c>
      <c r="I433" s="431" t="b">
        <v>1</v>
      </c>
      <c r="J433" s="431"/>
      <c r="K433" s="431"/>
      <c r="L433" s="431"/>
      <c r="M433" s="431"/>
      <c r="N433" s="431"/>
      <c r="O433" s="431" t="b">
        <v>0</v>
      </c>
      <c r="P433" s="431" t="b">
        <v>1</v>
      </c>
      <c r="Q433" s="431"/>
      <c r="R433" s="431"/>
      <c r="S433" s="431"/>
      <c r="T433" s="431"/>
      <c r="U433" s="431"/>
      <c r="V433" s="431"/>
      <c r="W433" s="432">
        <v>44146.567369247685</v>
      </c>
      <c r="X433" s="432">
        <v>44146.569047962963</v>
      </c>
      <c r="Y433" s="431" t="s">
        <v>978</v>
      </c>
      <c r="Z433" s="431"/>
      <c r="AA433" s="431"/>
      <c r="AB433" s="431"/>
      <c r="AC433" s="431"/>
      <c r="AD433" s="437" t="str">
        <f t="shared" si="6"/>
        <v/>
      </c>
    </row>
    <row r="434" spans="1:30" ht="14">
      <c r="A434" s="431" t="s">
        <v>2798</v>
      </c>
      <c r="B434" s="431" t="s">
        <v>2799</v>
      </c>
      <c r="C434" s="431" t="s">
        <v>694</v>
      </c>
      <c r="D434" s="431" t="s">
        <v>2800</v>
      </c>
      <c r="E434" s="431" t="s">
        <v>2801</v>
      </c>
      <c r="F434" s="431">
        <v>1570</v>
      </c>
      <c r="G434" s="431">
        <v>2011</v>
      </c>
      <c r="H434" s="431">
        <v>2029</v>
      </c>
      <c r="I434" s="431" t="b">
        <v>1</v>
      </c>
      <c r="J434" s="431" t="s">
        <v>891</v>
      </c>
      <c r="K434" s="431">
        <v>16776</v>
      </c>
      <c r="L434" s="431"/>
      <c r="M434" s="431"/>
      <c r="N434" s="431"/>
      <c r="O434" s="431" t="b">
        <v>1</v>
      </c>
      <c r="P434" s="431" t="b">
        <v>0</v>
      </c>
      <c r="Q434" s="431" t="s">
        <v>2802</v>
      </c>
      <c r="R434" s="431" t="s">
        <v>2803</v>
      </c>
      <c r="S434" s="431" t="s">
        <v>2804</v>
      </c>
      <c r="T434" s="431" t="s">
        <v>4532</v>
      </c>
      <c r="U434" s="431"/>
      <c r="V434" s="431" t="s">
        <v>2805</v>
      </c>
      <c r="W434" s="432">
        <v>43585.592109178244</v>
      </c>
      <c r="X434" s="432">
        <v>44616.047430613427</v>
      </c>
      <c r="Y434" s="431"/>
      <c r="Z434" s="433">
        <v>41775</v>
      </c>
      <c r="AA434" s="433">
        <v>42034</v>
      </c>
      <c r="AB434" s="433">
        <v>42944</v>
      </c>
      <c r="AC434" s="433">
        <v>42999</v>
      </c>
      <c r="AD434" s="436">
        <f t="shared" si="6"/>
        <v>932</v>
      </c>
    </row>
    <row r="435" spans="1:30" ht="14">
      <c r="A435" s="431" t="s">
        <v>3191</v>
      </c>
      <c r="B435" s="431" t="s">
        <v>3192</v>
      </c>
      <c r="C435" s="431" t="s">
        <v>684</v>
      </c>
      <c r="D435" s="431" t="s">
        <v>3193</v>
      </c>
      <c r="E435" s="431" t="s">
        <v>3194</v>
      </c>
      <c r="F435" s="431">
        <v>539</v>
      </c>
      <c r="G435" s="431">
        <v>2004</v>
      </c>
      <c r="H435" s="431">
        <v>2026</v>
      </c>
      <c r="I435" s="431" t="b">
        <v>1</v>
      </c>
      <c r="J435" s="431" t="s">
        <v>891</v>
      </c>
      <c r="K435" s="431">
        <v>33480</v>
      </c>
      <c r="L435" s="431"/>
      <c r="M435" s="431"/>
      <c r="N435" s="431"/>
      <c r="O435" s="431" t="b">
        <v>1</v>
      </c>
      <c r="P435" s="431" t="b">
        <v>0</v>
      </c>
      <c r="Q435" s="431" t="s">
        <v>3195</v>
      </c>
      <c r="R435" s="431" t="s">
        <v>3196</v>
      </c>
      <c r="S435" s="431" t="s">
        <v>3197</v>
      </c>
      <c r="T435" s="431" t="s">
        <v>3198</v>
      </c>
      <c r="U435" s="431"/>
      <c r="V435" s="431" t="s">
        <v>3199</v>
      </c>
      <c r="W435" s="432">
        <v>43585.592113611114</v>
      </c>
      <c r="X435" s="432">
        <v>44616.046210902779</v>
      </c>
      <c r="Y435" s="431"/>
      <c r="Z435" s="433">
        <v>39464</v>
      </c>
      <c r="AA435" s="433">
        <v>39464</v>
      </c>
      <c r="AB435" s="433">
        <v>39875</v>
      </c>
      <c r="AC435" s="433">
        <v>39918</v>
      </c>
      <c r="AD435" s="437">
        <f t="shared" si="6"/>
        <v>1521.8181818181818</v>
      </c>
    </row>
    <row r="436" spans="1:30" ht="14">
      <c r="A436" s="431" t="s">
        <v>3191</v>
      </c>
      <c r="B436" s="431" t="s">
        <v>3192</v>
      </c>
      <c r="C436" s="431" t="s">
        <v>684</v>
      </c>
      <c r="D436" s="431" t="s">
        <v>3200</v>
      </c>
      <c r="E436" s="431" t="s">
        <v>3201</v>
      </c>
      <c r="F436" s="431">
        <v>2070</v>
      </c>
      <c r="G436" s="431">
        <v>2017</v>
      </c>
      <c r="H436" s="431">
        <v>2036</v>
      </c>
      <c r="I436" s="431" t="b">
        <v>1</v>
      </c>
      <c r="J436" s="431" t="s">
        <v>907</v>
      </c>
      <c r="K436" s="431">
        <v>1400</v>
      </c>
      <c r="L436" s="431"/>
      <c r="M436" s="431"/>
      <c r="N436" s="431"/>
      <c r="O436" s="431" t="b">
        <v>1</v>
      </c>
      <c r="P436" s="431" t="b">
        <v>0</v>
      </c>
      <c r="Q436" s="431" t="s">
        <v>3202</v>
      </c>
      <c r="R436" s="431" t="s">
        <v>3203</v>
      </c>
      <c r="S436" s="431" t="s">
        <v>3204</v>
      </c>
      <c r="T436" s="431" t="s">
        <v>4533</v>
      </c>
      <c r="U436" s="431" t="s">
        <v>3205</v>
      </c>
      <c r="V436" s="431" t="s">
        <v>3206</v>
      </c>
      <c r="W436" s="432">
        <v>43664.929280601849</v>
      </c>
      <c r="X436" s="432">
        <v>44616.042726099535</v>
      </c>
      <c r="Y436" s="431"/>
      <c r="Z436" s="433">
        <v>44133</v>
      </c>
      <c r="AA436" s="433">
        <v>44320</v>
      </c>
      <c r="AB436" s="431"/>
      <c r="AC436" s="431"/>
      <c r="AD436" s="436">
        <f t="shared" si="6"/>
        <v>1400</v>
      </c>
    </row>
    <row r="437" spans="1:30" ht="14">
      <c r="A437" s="431" t="s">
        <v>2926</v>
      </c>
      <c r="B437" s="431" t="s">
        <v>2927</v>
      </c>
      <c r="C437" s="431" t="s">
        <v>704</v>
      </c>
      <c r="D437" s="431" t="s">
        <v>2928</v>
      </c>
      <c r="E437" s="431" t="s">
        <v>2929</v>
      </c>
      <c r="F437" s="431">
        <v>1717</v>
      </c>
      <c r="G437" s="431">
        <v>2013</v>
      </c>
      <c r="H437" s="431">
        <v>2032</v>
      </c>
      <c r="I437" s="431" t="b">
        <v>1</v>
      </c>
      <c r="J437" s="431" t="s">
        <v>891</v>
      </c>
      <c r="K437" s="431">
        <v>12000</v>
      </c>
      <c r="L437" s="431"/>
      <c r="M437" s="431"/>
      <c r="N437" s="431"/>
      <c r="O437" s="431" t="b">
        <v>1</v>
      </c>
      <c r="P437" s="431" t="b">
        <v>0</v>
      </c>
      <c r="Q437" s="431" t="s">
        <v>2930</v>
      </c>
      <c r="R437" s="431" t="s">
        <v>2931</v>
      </c>
      <c r="S437" s="431" t="s">
        <v>2932</v>
      </c>
      <c r="T437" s="431" t="s">
        <v>4534</v>
      </c>
      <c r="U437" s="431"/>
      <c r="V437" s="431" t="s">
        <v>2933</v>
      </c>
      <c r="W437" s="432">
        <v>43585.592119236113</v>
      </c>
      <c r="X437" s="432">
        <v>44616.043086793979</v>
      </c>
      <c r="Y437" s="431"/>
      <c r="Z437" s="433">
        <v>42612</v>
      </c>
      <c r="AA437" s="433">
        <v>42870</v>
      </c>
      <c r="AB437" s="431"/>
      <c r="AC437" s="431"/>
      <c r="AD437" s="437">
        <f t="shared" si="6"/>
        <v>631.57894736842104</v>
      </c>
    </row>
    <row r="438" spans="1:30" ht="14">
      <c r="A438" s="431" t="s">
        <v>3008</v>
      </c>
      <c r="B438" s="431" t="s">
        <v>3009</v>
      </c>
      <c r="C438" s="431" t="s">
        <v>720</v>
      </c>
      <c r="D438" s="431" t="s">
        <v>3010</v>
      </c>
      <c r="E438" s="431" t="s">
        <v>3011</v>
      </c>
      <c r="F438" s="431">
        <v>1233</v>
      </c>
      <c r="G438" s="431">
        <v>2011</v>
      </c>
      <c r="H438" s="431">
        <v>2026</v>
      </c>
      <c r="I438" s="431" t="b">
        <v>1</v>
      </c>
      <c r="J438" s="431" t="s">
        <v>891</v>
      </c>
      <c r="K438" s="431">
        <v>15000</v>
      </c>
      <c r="L438" s="431"/>
      <c r="M438" s="431"/>
      <c r="N438" s="431"/>
      <c r="O438" s="431" t="b">
        <v>1</v>
      </c>
      <c r="P438" s="431" t="b">
        <v>0</v>
      </c>
      <c r="Q438" s="431" t="s">
        <v>3012</v>
      </c>
      <c r="R438" s="431" t="s">
        <v>3013</v>
      </c>
      <c r="S438" s="431" t="s">
        <v>3014</v>
      </c>
      <c r="T438" s="431"/>
      <c r="U438" s="431"/>
      <c r="V438" s="431" t="s">
        <v>3015</v>
      </c>
      <c r="W438" s="432">
        <v>43585.592142488429</v>
      </c>
      <c r="X438" s="432">
        <v>44616.042739606484</v>
      </c>
      <c r="Y438" s="431"/>
      <c r="Z438" s="433">
        <v>40584</v>
      </c>
      <c r="AA438" s="433">
        <v>40788</v>
      </c>
      <c r="AB438" s="433">
        <v>41501</v>
      </c>
      <c r="AC438" s="433">
        <v>41528</v>
      </c>
      <c r="AD438" s="436">
        <f t="shared" si="6"/>
        <v>1000</v>
      </c>
    </row>
    <row r="439" spans="1:30" ht="14">
      <c r="A439" s="431" t="s">
        <v>3008</v>
      </c>
      <c r="B439" s="431" t="s">
        <v>3009</v>
      </c>
      <c r="C439" s="431" t="s">
        <v>720</v>
      </c>
      <c r="D439" s="431" t="s">
        <v>4103</v>
      </c>
      <c r="E439" s="431" t="s">
        <v>4104</v>
      </c>
      <c r="F439" s="431">
        <v>2175</v>
      </c>
      <c r="G439" s="431">
        <v>2021</v>
      </c>
      <c r="H439" s="431">
        <v>2037</v>
      </c>
      <c r="I439" s="431" t="b">
        <v>1</v>
      </c>
      <c r="J439" s="431" t="s">
        <v>891</v>
      </c>
      <c r="K439" s="431">
        <v>15554</v>
      </c>
      <c r="L439" s="431"/>
      <c r="M439" s="431"/>
      <c r="N439" s="431"/>
      <c r="O439" s="431" t="b">
        <v>1</v>
      </c>
      <c r="P439" s="431" t="b">
        <v>1</v>
      </c>
      <c r="Q439" s="431" t="s">
        <v>4105</v>
      </c>
      <c r="R439" s="431" t="s">
        <v>4106</v>
      </c>
      <c r="S439" s="431" t="s">
        <v>4107</v>
      </c>
      <c r="T439" s="431"/>
      <c r="U439" s="431" t="s">
        <v>4108</v>
      </c>
      <c r="V439" s="431" t="s">
        <v>4109</v>
      </c>
      <c r="W439" s="432">
        <v>44379.364462708334</v>
      </c>
      <c r="X439" s="432">
        <v>44616.048371481484</v>
      </c>
      <c r="Y439" s="431"/>
      <c r="Z439" s="433">
        <v>44417</v>
      </c>
      <c r="AA439" s="431"/>
      <c r="AB439" s="431"/>
      <c r="AC439" s="431"/>
      <c r="AD439" s="436">
        <f t="shared" si="6"/>
        <v>972.125</v>
      </c>
    </row>
    <row r="440" spans="1:30" ht="14">
      <c r="A440" s="431" t="s">
        <v>3117</v>
      </c>
      <c r="B440" s="431" t="s">
        <v>3118</v>
      </c>
      <c r="C440" s="431" t="s">
        <v>636</v>
      </c>
      <c r="D440" s="431" t="s">
        <v>3119</v>
      </c>
      <c r="E440" s="431" t="s">
        <v>3120</v>
      </c>
      <c r="F440" s="431">
        <v>1943</v>
      </c>
      <c r="G440" s="431">
        <v>2015</v>
      </c>
      <c r="H440" s="431">
        <v>2033</v>
      </c>
      <c r="I440" s="431" t="b">
        <v>1</v>
      </c>
      <c r="J440" s="431" t="s">
        <v>891</v>
      </c>
      <c r="K440" s="431">
        <v>13410</v>
      </c>
      <c r="L440" s="431"/>
      <c r="M440" s="431"/>
      <c r="N440" s="431"/>
      <c r="O440" s="431" t="b">
        <v>1</v>
      </c>
      <c r="P440" s="431" t="b">
        <v>0</v>
      </c>
      <c r="Q440" s="431" t="s">
        <v>3121</v>
      </c>
      <c r="R440" s="431" t="s">
        <v>3122</v>
      </c>
      <c r="S440" s="431" t="s">
        <v>3123</v>
      </c>
      <c r="T440" s="431" t="s">
        <v>3124</v>
      </c>
      <c r="U440" s="431"/>
      <c r="V440" s="431" t="s">
        <v>3125</v>
      </c>
      <c r="W440" s="432">
        <v>43865.739326504627</v>
      </c>
      <c r="X440" s="432">
        <v>44616.042286701391</v>
      </c>
      <c r="Y440" s="431"/>
      <c r="Z440" s="433">
        <v>43266</v>
      </c>
      <c r="AA440" s="433">
        <v>43455</v>
      </c>
      <c r="AB440" s="433">
        <v>43837</v>
      </c>
      <c r="AC440" s="433">
        <v>43860</v>
      </c>
      <c r="AD440" s="437">
        <f t="shared" si="6"/>
        <v>745</v>
      </c>
    </row>
    <row r="441" spans="1:30" ht="14">
      <c r="A441" s="431" t="s">
        <v>3576</v>
      </c>
      <c r="B441" s="431" t="s">
        <v>3577</v>
      </c>
      <c r="C441" s="431" t="s">
        <v>3578</v>
      </c>
      <c r="D441" s="431" t="s">
        <v>3579</v>
      </c>
      <c r="E441" s="431" t="s">
        <v>3580</v>
      </c>
      <c r="F441" s="431">
        <v>1688</v>
      </c>
      <c r="G441" s="431">
        <v>2015</v>
      </c>
      <c r="H441" s="431">
        <v>2030</v>
      </c>
      <c r="I441" s="431" t="b">
        <v>1</v>
      </c>
      <c r="J441" s="431" t="s">
        <v>907</v>
      </c>
      <c r="K441" s="431">
        <v>55</v>
      </c>
      <c r="L441" s="431"/>
      <c r="M441" s="431"/>
      <c r="N441" s="431"/>
      <c r="O441" s="431" t="b">
        <v>1</v>
      </c>
      <c r="P441" s="431" t="b">
        <v>0</v>
      </c>
      <c r="Q441" s="431" t="s">
        <v>3581</v>
      </c>
      <c r="R441" s="431" t="s">
        <v>3582</v>
      </c>
      <c r="S441" s="431" t="s">
        <v>3583</v>
      </c>
      <c r="T441" s="431" t="s">
        <v>3584</v>
      </c>
      <c r="U441" s="431"/>
      <c r="V441" s="431" t="s">
        <v>3585</v>
      </c>
      <c r="W441" s="432">
        <v>43585.592142557871</v>
      </c>
      <c r="X441" s="432">
        <v>44616.042176053241</v>
      </c>
      <c r="Y441" s="431"/>
      <c r="Z441" s="433">
        <v>42213</v>
      </c>
      <c r="AA441" s="433">
        <v>42397</v>
      </c>
      <c r="AB441" s="433">
        <v>42719</v>
      </c>
      <c r="AC441" s="433">
        <v>42724</v>
      </c>
      <c r="AD441" s="436">
        <f t="shared" si="6"/>
        <v>55</v>
      </c>
    </row>
    <row r="442" spans="1:30" ht="14">
      <c r="A442" s="431" t="s">
        <v>3576</v>
      </c>
      <c r="B442" s="431" t="s">
        <v>3577</v>
      </c>
      <c r="C442" s="431" t="s">
        <v>3578</v>
      </c>
      <c r="D442" s="431" t="s">
        <v>4535</v>
      </c>
      <c r="E442" s="431" t="s">
        <v>4536</v>
      </c>
      <c r="F442" s="431">
        <v>2129</v>
      </c>
      <c r="G442" s="431">
        <v>2023</v>
      </c>
      <c r="H442" s="431">
        <v>2040</v>
      </c>
      <c r="I442" s="431" t="b">
        <v>1</v>
      </c>
      <c r="J442" s="431" t="s">
        <v>907</v>
      </c>
      <c r="K442" s="431">
        <v>70</v>
      </c>
      <c r="L442" s="431"/>
      <c r="M442" s="431"/>
      <c r="N442" s="431"/>
      <c r="O442" s="431" t="b">
        <v>1</v>
      </c>
      <c r="P442" s="431" t="b">
        <v>0</v>
      </c>
      <c r="Q442" s="431" t="s">
        <v>4537</v>
      </c>
      <c r="R442" s="431" t="s">
        <v>4538</v>
      </c>
      <c r="S442" s="431" t="s">
        <v>4539</v>
      </c>
      <c r="T442" s="431" t="s">
        <v>4540</v>
      </c>
      <c r="U442" s="431" t="s">
        <v>4541</v>
      </c>
      <c r="V442" s="431" t="s">
        <v>4542</v>
      </c>
      <c r="W442" s="432">
        <v>44151.721237962964</v>
      </c>
      <c r="X442" s="432">
        <v>44616.043063159719</v>
      </c>
      <c r="Y442" s="431"/>
      <c r="Z442" s="431"/>
      <c r="AA442" s="431"/>
      <c r="AB442" s="431"/>
      <c r="AC442" s="431"/>
      <c r="AD442" s="437">
        <f t="shared" si="6"/>
        <v>70</v>
      </c>
    </row>
    <row r="443" spans="1:30" ht="14">
      <c r="A443" s="431" t="s">
        <v>1028</v>
      </c>
      <c r="B443" s="431" t="s">
        <v>1029</v>
      </c>
      <c r="C443" s="431" t="s">
        <v>746</v>
      </c>
      <c r="D443" s="431" t="s">
        <v>1030</v>
      </c>
      <c r="E443" s="431" t="s">
        <v>1031</v>
      </c>
      <c r="F443" s="431">
        <v>1901</v>
      </c>
      <c r="G443" s="431">
        <v>2012</v>
      </c>
      <c r="H443" s="431">
        <v>2033</v>
      </c>
      <c r="I443" s="431" t="b">
        <v>1</v>
      </c>
      <c r="J443" s="431" t="s">
        <v>907</v>
      </c>
      <c r="K443" s="431">
        <v>867</v>
      </c>
      <c r="L443" s="431"/>
      <c r="M443" s="431"/>
      <c r="N443" s="431"/>
      <c r="O443" s="431" t="b">
        <v>1</v>
      </c>
      <c r="P443" s="431" t="b">
        <v>0</v>
      </c>
      <c r="Q443" s="431" t="s">
        <v>1032</v>
      </c>
      <c r="R443" s="431" t="s">
        <v>1033</v>
      </c>
      <c r="S443" s="431" t="s">
        <v>1034</v>
      </c>
      <c r="T443" s="431" t="s">
        <v>1035</v>
      </c>
      <c r="U443" s="431"/>
      <c r="V443" s="431" t="s">
        <v>1036</v>
      </c>
      <c r="W443" s="432">
        <v>43585.592142627313</v>
      </c>
      <c r="X443" s="432">
        <v>44616.042323055553</v>
      </c>
      <c r="Y443" s="431"/>
      <c r="Z443" s="433">
        <v>43152</v>
      </c>
      <c r="AA443" s="433">
        <v>43245</v>
      </c>
      <c r="AB443" s="431"/>
      <c r="AC443" s="431"/>
      <c r="AD443" s="436">
        <f t="shared" si="6"/>
        <v>867</v>
      </c>
    </row>
    <row r="444" spans="1:30" ht="14">
      <c r="A444" s="431" t="s">
        <v>3600</v>
      </c>
      <c r="B444" s="431" t="s">
        <v>821</v>
      </c>
      <c r="C444" s="431" t="s">
        <v>498</v>
      </c>
      <c r="D444" s="431" t="s">
        <v>3601</v>
      </c>
      <c r="E444" s="431" t="s">
        <v>3602</v>
      </c>
      <c r="F444" s="431">
        <v>1052</v>
      </c>
      <c r="G444" s="431">
        <v>2011</v>
      </c>
      <c r="H444" s="431">
        <v>2028</v>
      </c>
      <c r="I444" s="431" t="b">
        <v>1</v>
      </c>
      <c r="J444" s="431" t="s">
        <v>891</v>
      </c>
      <c r="K444" s="431">
        <v>17150</v>
      </c>
      <c r="L444" s="431"/>
      <c r="M444" s="431"/>
      <c r="N444" s="431"/>
      <c r="O444" s="431" t="b">
        <v>1</v>
      </c>
      <c r="P444" s="431" t="b">
        <v>1</v>
      </c>
      <c r="Q444" s="431" t="s">
        <v>3603</v>
      </c>
      <c r="R444" s="431" t="s">
        <v>3604</v>
      </c>
      <c r="S444" s="431" t="s">
        <v>3605</v>
      </c>
      <c r="T444" s="431" t="s">
        <v>3606</v>
      </c>
      <c r="U444" s="431"/>
      <c r="V444" s="431" t="s">
        <v>3607</v>
      </c>
      <c r="W444" s="432">
        <v>43585.5921303125</v>
      </c>
      <c r="X444" s="432">
        <v>44616.044731574075</v>
      </c>
      <c r="Y444" s="431"/>
      <c r="Z444" s="433">
        <v>41071</v>
      </c>
      <c r="AA444" s="433">
        <v>41432</v>
      </c>
      <c r="AB444" s="433">
        <v>41844</v>
      </c>
      <c r="AC444" s="433">
        <v>41899</v>
      </c>
      <c r="AD444" s="436">
        <f t="shared" si="6"/>
        <v>1008.8235294117648</v>
      </c>
    </row>
    <row r="445" spans="1:30" ht="14">
      <c r="A445" s="431" t="s">
        <v>3600</v>
      </c>
      <c r="B445" s="431" t="s">
        <v>821</v>
      </c>
      <c r="C445" s="431" t="s">
        <v>498</v>
      </c>
      <c r="D445" s="431" t="s">
        <v>3608</v>
      </c>
      <c r="E445" s="431" t="s">
        <v>3609</v>
      </c>
      <c r="F445" s="431">
        <v>2091</v>
      </c>
      <c r="G445" s="431">
        <v>2018</v>
      </c>
      <c r="H445" s="431">
        <v>2038</v>
      </c>
      <c r="I445" s="431" t="b">
        <v>1</v>
      </c>
      <c r="J445" s="431" t="s">
        <v>891</v>
      </c>
      <c r="K445" s="431">
        <v>22980</v>
      </c>
      <c r="L445" s="431"/>
      <c r="M445" s="431"/>
      <c r="N445" s="431"/>
      <c r="O445" s="431" t="b">
        <v>1</v>
      </c>
      <c r="P445" s="431" t="b">
        <v>1</v>
      </c>
      <c r="Q445" s="431" t="s">
        <v>3610</v>
      </c>
      <c r="R445" s="431" t="s">
        <v>3611</v>
      </c>
      <c r="S445" s="431" t="s">
        <v>3612</v>
      </c>
      <c r="T445" s="431"/>
      <c r="U445" s="431" t="s">
        <v>3613</v>
      </c>
      <c r="V445" s="431" t="s">
        <v>3614</v>
      </c>
      <c r="W445" s="432">
        <v>44097.359115185187</v>
      </c>
      <c r="X445" s="432">
        <v>44616.048697256942</v>
      </c>
      <c r="Y445" s="431"/>
      <c r="Z445" s="431"/>
      <c r="AA445" s="431"/>
      <c r="AB445" s="431"/>
      <c r="AC445" s="431"/>
      <c r="AD445" s="436">
        <f t="shared" si="6"/>
        <v>1149</v>
      </c>
    </row>
    <row r="446" spans="1:30" ht="14">
      <c r="A446" s="431" t="s">
        <v>1734</v>
      </c>
      <c r="B446" s="431" t="s">
        <v>1735</v>
      </c>
      <c r="C446" s="431" t="s">
        <v>700</v>
      </c>
      <c r="D446" s="431" t="s">
        <v>1736</v>
      </c>
      <c r="E446" s="431" t="s">
        <v>1737</v>
      </c>
      <c r="F446" s="431">
        <v>762</v>
      </c>
      <c r="G446" s="431">
        <v>2006</v>
      </c>
      <c r="H446" s="431">
        <v>2027</v>
      </c>
      <c r="I446" s="431" t="b">
        <v>1</v>
      </c>
      <c r="J446" s="431" t="s">
        <v>891</v>
      </c>
      <c r="K446" s="431">
        <v>9440</v>
      </c>
      <c r="L446" s="431"/>
      <c r="M446" s="431"/>
      <c r="N446" s="431"/>
      <c r="O446" s="431" t="b">
        <v>1</v>
      </c>
      <c r="P446" s="431" t="b">
        <v>0</v>
      </c>
      <c r="Q446" s="431" t="s">
        <v>1738</v>
      </c>
      <c r="R446" s="431" t="s">
        <v>1739</v>
      </c>
      <c r="S446" s="431" t="s">
        <v>1740</v>
      </c>
      <c r="T446" s="431" t="s">
        <v>4543</v>
      </c>
      <c r="U446" s="431"/>
      <c r="V446" s="431" t="s">
        <v>1741</v>
      </c>
      <c r="W446" s="432">
        <v>43585.592124907409</v>
      </c>
      <c r="X446" s="432">
        <v>44616.043837685182</v>
      </c>
      <c r="Y446" s="431"/>
      <c r="Z446" s="433">
        <v>40588</v>
      </c>
      <c r="AA446" s="433">
        <v>40759</v>
      </c>
      <c r="AB446" s="433">
        <v>41212</v>
      </c>
      <c r="AC446" s="433">
        <v>41324</v>
      </c>
      <c r="AD446" s="436">
        <f t="shared" si="6"/>
        <v>449.52380952380952</v>
      </c>
    </row>
    <row r="447" spans="1:30" ht="14">
      <c r="A447" s="431" t="s">
        <v>1734</v>
      </c>
      <c r="B447" s="431" t="s">
        <v>1735</v>
      </c>
      <c r="C447" s="431" t="s">
        <v>700</v>
      </c>
      <c r="D447" s="431" t="s">
        <v>1742</v>
      </c>
      <c r="E447" s="431" t="s">
        <v>1743</v>
      </c>
      <c r="F447" s="431">
        <v>1948</v>
      </c>
      <c r="G447" s="431">
        <v>2013</v>
      </c>
      <c r="H447" s="431">
        <v>2028</v>
      </c>
      <c r="I447" s="431" t="b">
        <v>1</v>
      </c>
      <c r="J447" s="431" t="s">
        <v>891</v>
      </c>
      <c r="K447" s="431">
        <v>14228</v>
      </c>
      <c r="L447" s="431"/>
      <c r="M447" s="431"/>
      <c r="N447" s="431"/>
      <c r="O447" s="431" t="b">
        <v>1</v>
      </c>
      <c r="P447" s="431" t="b">
        <v>0</v>
      </c>
      <c r="Q447" s="431" t="s">
        <v>1744</v>
      </c>
      <c r="R447" s="431" t="s">
        <v>1745</v>
      </c>
      <c r="S447" s="431" t="s">
        <v>1746</v>
      </c>
      <c r="T447" s="431" t="s">
        <v>4544</v>
      </c>
      <c r="U447" s="431"/>
      <c r="V447" s="431" t="s">
        <v>1747</v>
      </c>
      <c r="W447" s="432">
        <v>43585.592132511571</v>
      </c>
      <c r="X447" s="432">
        <v>44616.048581620373</v>
      </c>
      <c r="Y447" s="431"/>
      <c r="Z447" s="433">
        <v>43325</v>
      </c>
      <c r="AA447" s="433">
        <v>43483</v>
      </c>
      <c r="AB447" s="431"/>
      <c r="AC447" s="431"/>
      <c r="AD447" s="436">
        <f t="shared" si="6"/>
        <v>948.5333333333333</v>
      </c>
    </row>
    <row r="448" spans="1:30" ht="14">
      <c r="A448" s="431" t="s">
        <v>2640</v>
      </c>
      <c r="B448" s="431" t="s">
        <v>2641</v>
      </c>
      <c r="C448" s="431" t="s">
        <v>2642</v>
      </c>
      <c r="D448" s="431" t="s">
        <v>2643</v>
      </c>
      <c r="E448" s="431" t="s">
        <v>2644</v>
      </c>
      <c r="F448" s="431">
        <v>1029</v>
      </c>
      <c r="G448" s="431">
        <v>2001</v>
      </c>
      <c r="H448" s="431">
        <v>2031</v>
      </c>
      <c r="I448" s="431" t="b">
        <v>1</v>
      </c>
      <c r="J448" s="431" t="s">
        <v>891</v>
      </c>
      <c r="K448" s="431">
        <v>15400</v>
      </c>
      <c r="L448" s="431"/>
      <c r="M448" s="431"/>
      <c r="N448" s="431"/>
      <c r="O448" s="431" t="b">
        <v>1</v>
      </c>
      <c r="P448" s="431" t="b">
        <v>0</v>
      </c>
      <c r="Q448" s="431" t="s">
        <v>2645</v>
      </c>
      <c r="R448" s="431" t="s">
        <v>2646</v>
      </c>
      <c r="S448" s="431" t="s">
        <v>2647</v>
      </c>
      <c r="T448" s="431" t="s">
        <v>4545</v>
      </c>
      <c r="U448" s="431"/>
      <c r="V448" s="431" t="s">
        <v>2648</v>
      </c>
      <c r="W448" s="432">
        <v>43585.592108645833</v>
      </c>
      <c r="X448" s="432">
        <v>44616.042008414355</v>
      </c>
      <c r="Y448" s="431"/>
      <c r="Z448" s="433">
        <v>40037</v>
      </c>
      <c r="AA448" s="433">
        <v>40186</v>
      </c>
      <c r="AB448" s="433">
        <v>40414</v>
      </c>
      <c r="AC448" s="433">
        <v>40526</v>
      </c>
      <c r="AD448" s="436">
        <f t="shared" si="6"/>
        <v>513.33333333333337</v>
      </c>
    </row>
    <row r="449" spans="1:30" ht="14">
      <c r="A449" s="431" t="s">
        <v>887</v>
      </c>
      <c r="B449" s="431" t="s">
        <v>888</v>
      </c>
      <c r="C449" s="431" t="s">
        <v>362</v>
      </c>
      <c r="D449" s="431" t="s">
        <v>889</v>
      </c>
      <c r="E449" s="431" t="s">
        <v>890</v>
      </c>
      <c r="F449" s="431">
        <v>1807</v>
      </c>
      <c r="G449" s="431">
        <v>2016</v>
      </c>
      <c r="H449" s="431">
        <v>2031</v>
      </c>
      <c r="I449" s="431" t="b">
        <v>1</v>
      </c>
      <c r="J449" s="431" t="s">
        <v>891</v>
      </c>
      <c r="K449" s="431">
        <v>6150</v>
      </c>
      <c r="L449" s="431"/>
      <c r="M449" s="431"/>
      <c r="N449" s="431"/>
      <c r="O449" s="431" t="b">
        <v>1</v>
      </c>
      <c r="P449" s="431" t="b">
        <v>0</v>
      </c>
      <c r="Q449" s="431" t="s">
        <v>892</v>
      </c>
      <c r="R449" s="431" t="s">
        <v>893</v>
      </c>
      <c r="S449" s="431" t="s">
        <v>894</v>
      </c>
      <c r="T449" s="431" t="s">
        <v>4546</v>
      </c>
      <c r="U449" s="431"/>
      <c r="V449" s="431" t="s">
        <v>895</v>
      </c>
      <c r="W449" s="432">
        <v>43585.592126087962</v>
      </c>
      <c r="X449" s="432">
        <v>44616.047855011573</v>
      </c>
      <c r="Y449" s="431"/>
      <c r="Z449" s="433">
        <v>42713</v>
      </c>
      <c r="AA449" s="433">
        <v>42817</v>
      </c>
      <c r="AB449" s="433">
        <v>43203</v>
      </c>
      <c r="AC449" s="433">
        <v>43242</v>
      </c>
      <c r="AD449" s="436">
        <f t="shared" si="6"/>
        <v>410</v>
      </c>
    </row>
    <row r="450" spans="1:30" ht="14">
      <c r="A450" s="431" t="s">
        <v>913</v>
      </c>
      <c r="B450" s="431" t="s">
        <v>914</v>
      </c>
      <c r="C450" s="431" t="s">
        <v>522</v>
      </c>
      <c r="D450" s="431" t="s">
        <v>915</v>
      </c>
      <c r="E450" s="431" t="s">
        <v>916</v>
      </c>
      <c r="F450" s="431">
        <v>1372</v>
      </c>
      <c r="G450" s="431">
        <v>2015</v>
      </c>
      <c r="H450" s="431">
        <v>2032</v>
      </c>
      <c r="I450" s="431" t="b">
        <v>1</v>
      </c>
      <c r="J450" s="431" t="s">
        <v>891</v>
      </c>
      <c r="K450" s="431">
        <v>3978</v>
      </c>
      <c r="L450" s="431"/>
      <c r="M450" s="431"/>
      <c r="N450" s="431"/>
      <c r="O450" s="431" t="b">
        <v>1</v>
      </c>
      <c r="P450" s="431" t="b">
        <v>0</v>
      </c>
      <c r="Q450" s="431" t="s">
        <v>917</v>
      </c>
      <c r="R450" s="431" t="s">
        <v>918</v>
      </c>
      <c r="S450" s="431" t="s">
        <v>919</v>
      </c>
      <c r="T450" s="431" t="s">
        <v>4547</v>
      </c>
      <c r="U450" s="431"/>
      <c r="V450" s="431" t="s">
        <v>920</v>
      </c>
      <c r="W450" s="432">
        <v>43585.592138888889</v>
      </c>
      <c r="X450" s="432">
        <v>44616.047315497686</v>
      </c>
      <c r="Y450" s="431"/>
      <c r="Z450" s="433">
        <v>42710</v>
      </c>
      <c r="AA450" s="433">
        <v>42843</v>
      </c>
      <c r="AB450" s="433">
        <v>43182</v>
      </c>
      <c r="AC450" s="433">
        <v>43244</v>
      </c>
      <c r="AD450" s="436">
        <f t="shared" ref="AD450:AD513" si="7">IF(AND(N450&lt;&gt;"",P450=TRUE,J450="HOUSING_REQUIREMENT_TOTAL"),N450/(H450-G450),IF(J450="HOUSING_REQUIREMENT_TOTAL",K450/(H450-G450),IF(J450="HOUSING_REQUIREMENT_RANGE",L450/(H450-G450),IF(J450="HOUSING_REQUIREMENT_YEARLY_AVERAGE",K450,IF(J450="HOUSING_REQUIREMENT_YEARLY_RANGE",L450,"")))))</f>
        <v>234</v>
      </c>
    </row>
    <row r="451" spans="1:30" ht="14">
      <c r="A451" s="431" t="s">
        <v>2649</v>
      </c>
      <c r="B451" s="431" t="s">
        <v>2650</v>
      </c>
      <c r="C451" s="431" t="s">
        <v>2651</v>
      </c>
      <c r="D451" s="431" t="s">
        <v>2652</v>
      </c>
      <c r="E451" s="431" t="s">
        <v>2653</v>
      </c>
      <c r="F451" s="431">
        <v>1960</v>
      </c>
      <c r="G451" s="431">
        <v>2018</v>
      </c>
      <c r="H451" s="431">
        <v>2036</v>
      </c>
      <c r="I451" s="431" t="b">
        <v>1</v>
      </c>
      <c r="J451" s="431" t="s">
        <v>891</v>
      </c>
      <c r="K451" s="431">
        <v>9756</v>
      </c>
      <c r="L451" s="431"/>
      <c r="M451" s="431"/>
      <c r="N451" s="431"/>
      <c r="O451" s="431" t="b">
        <v>1</v>
      </c>
      <c r="P451" s="431" t="b">
        <v>0</v>
      </c>
      <c r="Q451" s="431" t="s">
        <v>2654</v>
      </c>
      <c r="R451" s="431" t="s">
        <v>2655</v>
      </c>
      <c r="S451" s="431" t="s">
        <v>2656</v>
      </c>
      <c r="T451" s="431"/>
      <c r="U451" s="431"/>
      <c r="V451" s="431" t="s">
        <v>2657</v>
      </c>
      <c r="W451" s="432">
        <v>43585.592112951388</v>
      </c>
      <c r="X451" s="432">
        <v>44616.046116898149</v>
      </c>
      <c r="Y451" s="431"/>
      <c r="Z451" s="433">
        <v>43479</v>
      </c>
      <c r="AA451" s="433">
        <v>43553</v>
      </c>
      <c r="AB451" s="433">
        <v>44082</v>
      </c>
      <c r="AC451" s="433">
        <v>44097</v>
      </c>
      <c r="AD451" s="436">
        <f t="shared" si="7"/>
        <v>542</v>
      </c>
    </row>
    <row r="452" spans="1:30" ht="14">
      <c r="A452" s="431" t="s">
        <v>2696</v>
      </c>
      <c r="B452" s="431" t="s">
        <v>2697</v>
      </c>
      <c r="C452" s="431" t="s">
        <v>458</v>
      </c>
      <c r="D452" s="431" t="s">
        <v>2698</v>
      </c>
      <c r="E452" s="431" t="s">
        <v>2699</v>
      </c>
      <c r="F452" s="431">
        <v>511</v>
      </c>
      <c r="G452" s="431">
        <v>2006</v>
      </c>
      <c r="H452" s="431">
        <v>2026</v>
      </c>
      <c r="I452" s="431" t="b">
        <v>1</v>
      </c>
      <c r="J452" s="431" t="s">
        <v>891</v>
      </c>
      <c r="K452" s="431">
        <v>3760</v>
      </c>
      <c r="L452" s="431"/>
      <c r="M452" s="431"/>
      <c r="N452" s="431"/>
      <c r="O452" s="431" t="b">
        <v>1</v>
      </c>
      <c r="P452" s="431" t="b">
        <v>0</v>
      </c>
      <c r="Q452" s="431" t="s">
        <v>2700</v>
      </c>
      <c r="R452" s="431"/>
      <c r="S452" s="431"/>
      <c r="T452" s="431" t="s">
        <v>4548</v>
      </c>
      <c r="U452" s="431"/>
      <c r="V452" s="431" t="s">
        <v>2701</v>
      </c>
      <c r="W452" s="432">
        <v>43585.592133275466</v>
      </c>
      <c r="X452" s="432">
        <v>44616.048336354164</v>
      </c>
      <c r="Y452" s="431"/>
      <c r="Z452" s="433">
        <v>39766</v>
      </c>
      <c r="AA452" s="433">
        <v>39864</v>
      </c>
      <c r="AB452" s="433">
        <v>40025</v>
      </c>
      <c r="AC452" s="433">
        <v>40087</v>
      </c>
      <c r="AD452" s="436">
        <f t="shared" si="7"/>
        <v>188</v>
      </c>
    </row>
    <row r="453" spans="1:30" ht="14">
      <c r="A453" s="431" t="s">
        <v>2696</v>
      </c>
      <c r="B453" s="431" t="s">
        <v>2697</v>
      </c>
      <c r="C453" s="431" t="s">
        <v>458</v>
      </c>
      <c r="D453" s="431" t="s">
        <v>4549</v>
      </c>
      <c r="E453" s="431" t="s">
        <v>2702</v>
      </c>
      <c r="F453" s="431">
        <v>2153</v>
      </c>
      <c r="G453" s="431">
        <v>2020</v>
      </c>
      <c r="H453" s="431">
        <v>2037</v>
      </c>
      <c r="I453" s="431" t="b">
        <v>1</v>
      </c>
      <c r="J453" s="431" t="s">
        <v>891</v>
      </c>
      <c r="K453" s="431">
        <v>6000</v>
      </c>
      <c r="L453" s="431"/>
      <c r="M453" s="431"/>
      <c r="N453" s="431"/>
      <c r="O453" s="431" t="b">
        <v>1</v>
      </c>
      <c r="P453" s="431" t="b">
        <v>0</v>
      </c>
      <c r="Q453" s="431" t="s">
        <v>4550</v>
      </c>
      <c r="R453" s="431" t="s">
        <v>4551</v>
      </c>
      <c r="S453" s="431" t="s">
        <v>4552</v>
      </c>
      <c r="T453" s="431"/>
      <c r="U453" s="431"/>
      <c r="V453" s="431" t="s">
        <v>4553</v>
      </c>
      <c r="W453" s="432">
        <v>44005.561462453705</v>
      </c>
      <c r="X453" s="432">
        <v>44616.042671736112</v>
      </c>
      <c r="Y453" s="431"/>
      <c r="Z453" s="433">
        <v>44459</v>
      </c>
      <c r="AA453" s="431"/>
      <c r="AB453" s="431"/>
      <c r="AC453" s="431"/>
      <c r="AD453" s="436">
        <f t="shared" si="7"/>
        <v>352.94117647058823</v>
      </c>
    </row>
    <row r="454" spans="1:30" ht="14">
      <c r="A454" s="431" t="s">
        <v>2771</v>
      </c>
      <c r="B454" s="431" t="s">
        <v>2772</v>
      </c>
      <c r="C454" s="431" t="s">
        <v>488</v>
      </c>
      <c r="D454" s="431" t="s">
        <v>2773</v>
      </c>
      <c r="E454" s="431" t="s">
        <v>2774</v>
      </c>
      <c r="F454" s="431">
        <v>1815</v>
      </c>
      <c r="G454" s="431">
        <v>2011</v>
      </c>
      <c r="H454" s="431">
        <v>2033</v>
      </c>
      <c r="I454" s="431" t="b">
        <v>1</v>
      </c>
      <c r="J454" s="431" t="s">
        <v>891</v>
      </c>
      <c r="K454" s="431">
        <v>9598</v>
      </c>
      <c r="L454" s="431"/>
      <c r="M454" s="431"/>
      <c r="N454" s="431"/>
      <c r="O454" s="431" t="b">
        <v>1</v>
      </c>
      <c r="P454" s="431" t="b">
        <v>0</v>
      </c>
      <c r="Q454" s="431" t="s">
        <v>4554</v>
      </c>
      <c r="R454" s="431" t="s">
        <v>2775</v>
      </c>
      <c r="S454" s="431" t="s">
        <v>4555</v>
      </c>
      <c r="T454" s="431"/>
      <c r="U454" s="431" t="s">
        <v>4556</v>
      </c>
      <c r="V454" s="431" t="s">
        <v>4557</v>
      </c>
      <c r="W454" s="432">
        <v>43585.592136041669</v>
      </c>
      <c r="X454" s="432">
        <v>44616.043488668984</v>
      </c>
      <c r="Y454" s="431"/>
      <c r="Z454" s="433">
        <v>43049</v>
      </c>
      <c r="AA454" s="433">
        <v>43186</v>
      </c>
      <c r="AB454" s="433">
        <v>44393</v>
      </c>
      <c r="AC454" s="433">
        <v>44468</v>
      </c>
      <c r="AD454" s="436">
        <f t="shared" si="7"/>
        <v>436.27272727272725</v>
      </c>
    </row>
    <row r="455" spans="1:30" ht="14">
      <c r="A455" s="431" t="s">
        <v>3175</v>
      </c>
      <c r="B455" s="431" t="s">
        <v>811</v>
      </c>
      <c r="C455" s="431" t="s">
        <v>414</v>
      </c>
      <c r="D455" s="431" t="s">
        <v>3184</v>
      </c>
      <c r="E455" s="431" t="s">
        <v>3185</v>
      </c>
      <c r="F455" s="431">
        <v>974</v>
      </c>
      <c r="G455" s="431">
        <v>2012</v>
      </c>
      <c r="H455" s="431">
        <v>2028</v>
      </c>
      <c r="I455" s="431" t="b">
        <v>1</v>
      </c>
      <c r="J455" s="431" t="s">
        <v>891</v>
      </c>
      <c r="K455" s="431">
        <v>70000</v>
      </c>
      <c r="L455" s="431"/>
      <c r="M455" s="431"/>
      <c r="N455" s="431"/>
      <c r="O455" s="431" t="b">
        <v>1</v>
      </c>
      <c r="P455" s="431" t="b">
        <v>0</v>
      </c>
      <c r="Q455" s="431" t="s">
        <v>3186</v>
      </c>
      <c r="R455" s="431" t="s">
        <v>3187</v>
      </c>
      <c r="S455" s="431" t="s">
        <v>3188</v>
      </c>
      <c r="T455" s="431" t="s">
        <v>3189</v>
      </c>
      <c r="U455" s="431"/>
      <c r="V455" s="431" t="s">
        <v>3190</v>
      </c>
      <c r="W455" s="432">
        <v>43585.592130127312</v>
      </c>
      <c r="X455" s="432">
        <v>44616.046711238429</v>
      </c>
      <c r="Y455" s="431"/>
      <c r="Z455" s="433">
        <v>41281</v>
      </c>
      <c r="AA455" s="433">
        <v>41389</v>
      </c>
      <c r="AB455" s="433">
        <v>41887</v>
      </c>
      <c r="AC455" s="433">
        <v>41955</v>
      </c>
      <c r="AD455" s="436">
        <f t="shared" si="7"/>
        <v>4375</v>
      </c>
    </row>
    <row r="456" spans="1:30" ht="14">
      <c r="A456" s="431" t="s">
        <v>3175</v>
      </c>
      <c r="B456" s="431" t="s">
        <v>811</v>
      </c>
      <c r="C456" s="431" t="s">
        <v>414</v>
      </c>
      <c r="D456" s="431" t="s">
        <v>3176</v>
      </c>
      <c r="E456" s="431" t="s">
        <v>3177</v>
      </c>
      <c r="F456" s="431">
        <v>1899</v>
      </c>
      <c r="G456" s="431">
        <v>2017</v>
      </c>
      <c r="H456" s="431">
        <v>2033</v>
      </c>
      <c r="I456" s="431" t="b">
        <v>1</v>
      </c>
      <c r="J456" s="431" t="s">
        <v>891</v>
      </c>
      <c r="K456" s="431">
        <v>51952</v>
      </c>
      <c r="L456" s="431"/>
      <c r="M456" s="431"/>
      <c r="N456" s="431"/>
      <c r="O456" s="431" t="b">
        <v>1</v>
      </c>
      <c r="P456" s="431" t="b">
        <v>0</v>
      </c>
      <c r="Q456" s="431" t="s">
        <v>3178</v>
      </c>
      <c r="R456" s="431" t="s">
        <v>3179</v>
      </c>
      <c r="S456" s="431" t="s">
        <v>3180</v>
      </c>
      <c r="T456" s="431" t="s">
        <v>3181</v>
      </c>
      <c r="U456" s="431" t="s">
        <v>3182</v>
      </c>
      <c r="V456" s="431" t="s">
        <v>3183</v>
      </c>
      <c r="W456" s="432">
        <v>43585.592130046294</v>
      </c>
      <c r="X456" s="432">
        <v>44616.047012615738</v>
      </c>
      <c r="Y456" s="431"/>
      <c r="Z456" s="433">
        <v>43140</v>
      </c>
      <c r="AA456" s="433">
        <v>43321</v>
      </c>
      <c r="AB456" s="433">
        <v>43704</v>
      </c>
      <c r="AC456" s="433">
        <v>43719</v>
      </c>
      <c r="AD456" s="436">
        <f t="shared" si="7"/>
        <v>3247</v>
      </c>
    </row>
    <row r="457" spans="1:30" ht="14">
      <c r="A457" s="431" t="s">
        <v>3793</v>
      </c>
      <c r="B457" s="431" t="s">
        <v>3794</v>
      </c>
      <c r="C457" s="431" t="s">
        <v>434</v>
      </c>
      <c r="D457" s="431" t="s">
        <v>3795</v>
      </c>
      <c r="E457" s="434" t="s">
        <v>3796</v>
      </c>
      <c r="F457" s="431">
        <v>1402</v>
      </c>
      <c r="G457" s="431">
        <v>2006</v>
      </c>
      <c r="H457" s="431">
        <v>2030</v>
      </c>
      <c r="I457" s="431" t="b">
        <v>1</v>
      </c>
      <c r="J457" s="431" t="s">
        <v>891</v>
      </c>
      <c r="K457" s="431">
        <v>10100</v>
      </c>
      <c r="L457" s="431"/>
      <c r="M457" s="431"/>
      <c r="N457" s="431"/>
      <c r="O457" s="431" t="b">
        <v>1</v>
      </c>
      <c r="P457" s="431" t="b">
        <v>1</v>
      </c>
      <c r="Q457" s="431" t="s">
        <v>3797</v>
      </c>
      <c r="R457" s="431" t="s">
        <v>3798</v>
      </c>
      <c r="S457" s="431" t="s">
        <v>3799</v>
      </c>
      <c r="T457" s="431" t="s">
        <v>4502</v>
      </c>
      <c r="U457" s="431" t="s">
        <v>3800</v>
      </c>
      <c r="V457" s="431" t="s">
        <v>3801</v>
      </c>
      <c r="W457" s="432">
        <v>43585.592131921294</v>
      </c>
      <c r="X457" s="432">
        <v>44616.043847962967</v>
      </c>
      <c r="Y457" s="431"/>
      <c r="Z457" s="433">
        <v>41285</v>
      </c>
      <c r="AA457" s="433">
        <v>41422</v>
      </c>
      <c r="AB457" s="433">
        <v>42404</v>
      </c>
      <c r="AC457" s="433">
        <v>42425</v>
      </c>
      <c r="AD457" s="436">
        <f t="shared" si="7"/>
        <v>420.83333333333331</v>
      </c>
    </row>
    <row r="458" spans="1:30" ht="14">
      <c r="A458" s="431" t="s">
        <v>3793</v>
      </c>
      <c r="B458" s="431" t="s">
        <v>3794</v>
      </c>
      <c r="C458" s="431" t="s">
        <v>434</v>
      </c>
      <c r="D458" s="431" t="s">
        <v>3802</v>
      </c>
      <c r="E458" s="431" t="s">
        <v>3803</v>
      </c>
      <c r="F458" s="431">
        <v>2137</v>
      </c>
      <c r="G458" s="431">
        <v>2016</v>
      </c>
      <c r="H458" s="431">
        <v>2041</v>
      </c>
      <c r="I458" s="431" t="b">
        <v>1</v>
      </c>
      <c r="J458" s="431" t="s">
        <v>891</v>
      </c>
      <c r="K458" s="431"/>
      <c r="L458" s="431"/>
      <c r="M458" s="431"/>
      <c r="N458" s="431">
        <v>13998</v>
      </c>
      <c r="O458" s="431" t="b">
        <v>1</v>
      </c>
      <c r="P458" s="431" t="b">
        <v>1</v>
      </c>
      <c r="Q458" s="431" t="s">
        <v>3804</v>
      </c>
      <c r="R458" s="431"/>
      <c r="S458" s="431"/>
      <c r="T458" s="431" t="s">
        <v>3805</v>
      </c>
      <c r="U458" s="431"/>
      <c r="V458" s="431" t="s">
        <v>3806</v>
      </c>
      <c r="W458" s="432">
        <v>43600.56328130787</v>
      </c>
      <c r="X458" s="432">
        <v>44616.043795636571</v>
      </c>
      <c r="Y458" s="431"/>
      <c r="Z458" s="431"/>
      <c r="AA458" s="431"/>
      <c r="AB458" s="431"/>
      <c r="AC458" s="431"/>
      <c r="AD458" s="436">
        <f t="shared" si="7"/>
        <v>559.91999999999996</v>
      </c>
    </row>
    <row r="459" spans="1:30" ht="14">
      <c r="A459" s="431" t="s">
        <v>3809</v>
      </c>
      <c r="B459" s="431" t="s">
        <v>3810</v>
      </c>
      <c r="C459" s="431" t="s">
        <v>740</v>
      </c>
      <c r="D459" s="431" t="s">
        <v>3795</v>
      </c>
      <c r="E459" s="434" t="s">
        <v>3796</v>
      </c>
      <c r="F459" s="431">
        <v>1402</v>
      </c>
      <c r="G459" s="431">
        <v>2006</v>
      </c>
      <c r="H459" s="431">
        <v>2030</v>
      </c>
      <c r="I459" s="431" t="b">
        <v>1</v>
      </c>
      <c r="J459" s="431" t="s">
        <v>891</v>
      </c>
      <c r="K459" s="431">
        <v>11500</v>
      </c>
      <c r="L459" s="431"/>
      <c r="M459" s="431"/>
      <c r="N459" s="431"/>
      <c r="O459" s="431" t="b">
        <v>1</v>
      </c>
      <c r="P459" s="431" t="b">
        <v>1</v>
      </c>
      <c r="Q459" s="431" t="s">
        <v>3797</v>
      </c>
      <c r="R459" s="431" t="s">
        <v>3798</v>
      </c>
      <c r="S459" s="431" t="s">
        <v>3799</v>
      </c>
      <c r="T459" s="431" t="s">
        <v>4502</v>
      </c>
      <c r="U459" s="431" t="s">
        <v>3800</v>
      </c>
      <c r="V459" s="431" t="s">
        <v>3801</v>
      </c>
      <c r="W459" s="432">
        <v>43585.592131921294</v>
      </c>
      <c r="X459" s="432">
        <v>44616.043847962967</v>
      </c>
      <c r="Y459" s="431"/>
      <c r="Z459" s="433">
        <v>41285</v>
      </c>
      <c r="AA459" s="433">
        <v>41422</v>
      </c>
      <c r="AB459" s="433">
        <v>42404</v>
      </c>
      <c r="AC459" s="433">
        <v>42425</v>
      </c>
      <c r="AD459" s="436">
        <f t="shared" si="7"/>
        <v>479.16666666666669</v>
      </c>
    </row>
    <row r="460" spans="1:30" ht="14">
      <c r="A460" s="431" t="s">
        <v>3809</v>
      </c>
      <c r="B460" s="431" t="s">
        <v>3810</v>
      </c>
      <c r="C460" s="431" t="s">
        <v>740</v>
      </c>
      <c r="D460" s="431" t="s">
        <v>3802</v>
      </c>
      <c r="E460" s="431" t="s">
        <v>3803</v>
      </c>
      <c r="F460" s="431">
        <v>2137</v>
      </c>
      <c r="G460" s="431">
        <v>2016</v>
      </c>
      <c r="H460" s="431">
        <v>2041</v>
      </c>
      <c r="I460" s="431" t="b">
        <v>1</v>
      </c>
      <c r="J460" s="431" t="s">
        <v>891</v>
      </c>
      <c r="K460" s="431"/>
      <c r="L460" s="431"/>
      <c r="M460" s="431"/>
      <c r="N460" s="431">
        <v>13998</v>
      </c>
      <c r="O460" s="431" t="b">
        <v>1</v>
      </c>
      <c r="P460" s="431" t="b">
        <v>1</v>
      </c>
      <c r="Q460" s="431" t="s">
        <v>3804</v>
      </c>
      <c r="R460" s="431"/>
      <c r="S460" s="431"/>
      <c r="T460" s="431" t="s">
        <v>3805</v>
      </c>
      <c r="U460" s="431"/>
      <c r="V460" s="431" t="s">
        <v>3806</v>
      </c>
      <c r="W460" s="432">
        <v>43600.56328130787</v>
      </c>
      <c r="X460" s="432">
        <v>44616.043795636571</v>
      </c>
      <c r="Y460" s="431"/>
      <c r="Z460" s="431"/>
      <c r="AA460" s="431"/>
      <c r="AB460" s="431"/>
      <c r="AC460" s="431"/>
      <c r="AD460" s="436">
        <f t="shared" si="7"/>
        <v>559.91999999999996</v>
      </c>
    </row>
    <row r="461" spans="1:30" ht="14">
      <c r="A461" s="431" t="s">
        <v>3257</v>
      </c>
      <c r="B461" s="431" t="s">
        <v>3258</v>
      </c>
      <c r="C461" s="431" t="s">
        <v>187</v>
      </c>
      <c r="D461" s="431" t="s">
        <v>2536</v>
      </c>
      <c r="E461" s="431" t="s">
        <v>3259</v>
      </c>
      <c r="F461" s="431">
        <v>1798</v>
      </c>
      <c r="G461" s="431">
        <v>2015</v>
      </c>
      <c r="H461" s="431">
        <v>2030</v>
      </c>
      <c r="I461" s="431" t="b">
        <v>1</v>
      </c>
      <c r="J461" s="431" t="s">
        <v>907</v>
      </c>
      <c r="K461" s="431">
        <v>641</v>
      </c>
      <c r="L461" s="431"/>
      <c r="M461" s="431"/>
      <c r="N461" s="431"/>
      <c r="O461" s="431" t="b">
        <v>1</v>
      </c>
      <c r="P461" s="431" t="b">
        <v>0</v>
      </c>
      <c r="Q461" s="431" t="s">
        <v>3260</v>
      </c>
      <c r="R461" s="431" t="s">
        <v>3261</v>
      </c>
      <c r="S461" s="431" t="s">
        <v>3262</v>
      </c>
      <c r="T461" s="431" t="s">
        <v>3263</v>
      </c>
      <c r="U461" s="431"/>
      <c r="V461" s="431" t="s">
        <v>3264</v>
      </c>
      <c r="W461" s="432">
        <v>43585.59212202546</v>
      </c>
      <c r="X461" s="432">
        <v>44616.043959768518</v>
      </c>
      <c r="Y461" s="431"/>
      <c r="Z461" s="433">
        <v>42688</v>
      </c>
      <c r="AA461" s="433">
        <v>42958</v>
      </c>
      <c r="AB461" s="433">
        <v>43445</v>
      </c>
      <c r="AC461" s="433">
        <v>43481</v>
      </c>
      <c r="AD461" s="436">
        <f t="shared" si="7"/>
        <v>641</v>
      </c>
    </row>
    <row r="462" spans="1:30" ht="14">
      <c r="A462" s="431" t="s">
        <v>3292</v>
      </c>
      <c r="B462" s="431" t="s">
        <v>3293</v>
      </c>
      <c r="C462" s="431" t="s">
        <v>306</v>
      </c>
      <c r="D462" s="431" t="s">
        <v>3294</v>
      </c>
      <c r="E462" s="431" t="s">
        <v>3295</v>
      </c>
      <c r="F462" s="431">
        <v>738</v>
      </c>
      <c r="G462" s="431">
        <v>2010</v>
      </c>
      <c r="H462" s="431">
        <v>2025</v>
      </c>
      <c r="I462" s="431" t="b">
        <v>1</v>
      </c>
      <c r="J462" s="431" t="s">
        <v>891</v>
      </c>
      <c r="K462" s="431">
        <v>11000</v>
      </c>
      <c r="L462" s="431"/>
      <c r="M462" s="431"/>
      <c r="N462" s="431"/>
      <c r="O462" s="431" t="b">
        <v>1</v>
      </c>
      <c r="P462" s="431" t="b">
        <v>0</v>
      </c>
      <c r="Q462" s="431" t="s">
        <v>3296</v>
      </c>
      <c r="R462" s="431" t="s">
        <v>3297</v>
      </c>
      <c r="S462" s="431" t="s">
        <v>3298</v>
      </c>
      <c r="T462" s="431" t="s">
        <v>3299</v>
      </c>
      <c r="U462" s="431"/>
      <c r="V462" s="431" t="s">
        <v>3300</v>
      </c>
      <c r="W462" s="432">
        <v>43585.592121967595</v>
      </c>
      <c r="X462" s="432">
        <v>44616.048328090277</v>
      </c>
      <c r="Y462" s="431"/>
      <c r="Z462" s="433">
        <v>40161</v>
      </c>
      <c r="AA462" s="433">
        <v>40252</v>
      </c>
      <c r="AB462" s="433">
        <v>40441</v>
      </c>
      <c r="AC462" s="433">
        <v>40492</v>
      </c>
      <c r="AD462" s="437">
        <f t="shared" si="7"/>
        <v>733.33333333333337</v>
      </c>
    </row>
    <row r="463" spans="1:30" ht="14">
      <c r="A463" s="431" t="s">
        <v>3292</v>
      </c>
      <c r="B463" s="431" t="s">
        <v>3293</v>
      </c>
      <c r="C463" s="431" t="s">
        <v>306</v>
      </c>
      <c r="D463" s="431" t="s">
        <v>3301</v>
      </c>
      <c r="E463" s="431" t="s">
        <v>3302</v>
      </c>
      <c r="F463" s="431">
        <v>1980</v>
      </c>
      <c r="G463" s="431">
        <v>2018</v>
      </c>
      <c r="H463" s="431">
        <v>2036</v>
      </c>
      <c r="I463" s="431" t="b">
        <v>1</v>
      </c>
      <c r="J463" s="431" t="s">
        <v>907</v>
      </c>
      <c r="K463" s="431">
        <v>1876</v>
      </c>
      <c r="L463" s="431"/>
      <c r="M463" s="431"/>
      <c r="N463" s="431"/>
      <c r="O463" s="431" t="b">
        <v>1</v>
      </c>
      <c r="P463" s="431" t="b">
        <v>0</v>
      </c>
      <c r="Q463" s="431" t="s">
        <v>3303</v>
      </c>
      <c r="R463" s="431" t="s">
        <v>3304</v>
      </c>
      <c r="S463" s="431" t="s">
        <v>3305</v>
      </c>
      <c r="T463" s="431" t="s">
        <v>4558</v>
      </c>
      <c r="U463" s="431"/>
      <c r="V463" s="431" t="s">
        <v>3306</v>
      </c>
      <c r="W463" s="432">
        <v>44139.530738020832</v>
      </c>
      <c r="X463" s="432">
        <v>44616.043990995371</v>
      </c>
      <c r="Y463" s="431"/>
      <c r="Z463" s="431"/>
      <c r="AA463" s="431"/>
      <c r="AB463" s="431"/>
      <c r="AC463" s="431"/>
      <c r="AD463" s="437">
        <f t="shared" si="7"/>
        <v>1876</v>
      </c>
    </row>
    <row r="464" spans="1:30" ht="14">
      <c r="A464" s="431" t="s">
        <v>3307</v>
      </c>
      <c r="B464" s="431" t="s">
        <v>3308</v>
      </c>
      <c r="C464" s="431" t="s">
        <v>338</v>
      </c>
      <c r="D464" s="431" t="s">
        <v>3309</v>
      </c>
      <c r="E464" s="431" t="s">
        <v>3310</v>
      </c>
      <c r="F464" s="431">
        <v>1419</v>
      </c>
      <c r="G464" s="431">
        <v>2013</v>
      </c>
      <c r="H464" s="431">
        <v>2028</v>
      </c>
      <c r="I464" s="431" t="b">
        <v>1</v>
      </c>
      <c r="J464" s="431" t="s">
        <v>891</v>
      </c>
      <c r="K464" s="431">
        <v>38925</v>
      </c>
      <c r="L464" s="431"/>
      <c r="M464" s="431"/>
      <c r="N464" s="431"/>
      <c r="O464" s="431" t="b">
        <v>1</v>
      </c>
      <c r="P464" s="431" t="b">
        <v>0</v>
      </c>
      <c r="Q464" s="431" t="s">
        <v>3311</v>
      </c>
      <c r="R464" s="431" t="s">
        <v>3312</v>
      </c>
      <c r="S464" s="431" t="s">
        <v>3313</v>
      </c>
      <c r="T464" s="431" t="s">
        <v>4559</v>
      </c>
      <c r="U464" s="431" t="s">
        <v>3314</v>
      </c>
      <c r="V464" s="431" t="s">
        <v>3315</v>
      </c>
      <c r="W464" s="432">
        <v>43585.592124085648</v>
      </c>
      <c r="X464" s="432">
        <v>44616.043840300925</v>
      </c>
      <c r="Y464" s="431"/>
      <c r="Z464" s="433">
        <v>41324</v>
      </c>
      <c r="AA464" s="433">
        <v>41526</v>
      </c>
      <c r="AB464" s="433">
        <v>41772</v>
      </c>
      <c r="AC464" s="433">
        <v>41850</v>
      </c>
      <c r="AD464" s="436">
        <f t="shared" si="7"/>
        <v>2595</v>
      </c>
    </row>
    <row r="465" spans="1:30" ht="14">
      <c r="A465" s="431" t="s">
        <v>1275</v>
      </c>
      <c r="B465" s="431" t="s">
        <v>1276</v>
      </c>
      <c r="C465" s="431" t="s">
        <v>732</v>
      </c>
      <c r="D465" s="431" t="s">
        <v>1277</v>
      </c>
      <c r="E465" s="431" t="s">
        <v>1278</v>
      </c>
      <c r="F465" s="431">
        <v>315</v>
      </c>
      <c r="G465" s="431">
        <v>2006</v>
      </c>
      <c r="H465" s="431">
        <v>2026</v>
      </c>
      <c r="I465" s="431" t="b">
        <v>1</v>
      </c>
      <c r="J465" s="431" t="s">
        <v>891</v>
      </c>
      <c r="K465" s="431">
        <v>13230</v>
      </c>
      <c r="L465" s="431"/>
      <c r="M465" s="431"/>
      <c r="N465" s="431"/>
      <c r="O465" s="431" t="b">
        <v>1</v>
      </c>
      <c r="P465" s="431" t="b">
        <v>0</v>
      </c>
      <c r="Q465" s="431" t="s">
        <v>1279</v>
      </c>
      <c r="R465" s="431" t="s">
        <v>1280</v>
      </c>
      <c r="S465" s="431" t="s">
        <v>1281</v>
      </c>
      <c r="T465" s="431" t="s">
        <v>4560</v>
      </c>
      <c r="U465" s="431" t="s">
        <v>1282</v>
      </c>
      <c r="V465" s="431" t="s">
        <v>1283</v>
      </c>
      <c r="W465" s="432">
        <v>43585.592118900466</v>
      </c>
      <c r="X465" s="432">
        <v>44616.044231747685</v>
      </c>
      <c r="Y465" s="431"/>
      <c r="Z465" s="433">
        <v>39680</v>
      </c>
      <c r="AA465" s="433">
        <v>39680</v>
      </c>
      <c r="AB465" s="433">
        <v>40113</v>
      </c>
      <c r="AC465" s="433">
        <v>40207</v>
      </c>
      <c r="AD465" s="436">
        <f t="shared" si="7"/>
        <v>661.5</v>
      </c>
    </row>
    <row r="466" spans="1:30" ht="14">
      <c r="A466" s="431" t="s">
        <v>1275</v>
      </c>
      <c r="B466" s="431" t="s">
        <v>1276</v>
      </c>
      <c r="C466" s="431" t="s">
        <v>732</v>
      </c>
      <c r="D466" s="431" t="s">
        <v>4561</v>
      </c>
      <c r="E466" s="431" t="s">
        <v>4562</v>
      </c>
      <c r="F466" s="431">
        <v>1932</v>
      </c>
      <c r="G466" s="431">
        <v>2022</v>
      </c>
      <c r="H466" s="431">
        <v>2037</v>
      </c>
      <c r="I466" s="431" t="b">
        <v>1</v>
      </c>
      <c r="J466" s="431" t="s">
        <v>891</v>
      </c>
      <c r="K466" s="431">
        <v>13901</v>
      </c>
      <c r="L466" s="431"/>
      <c r="M466" s="431"/>
      <c r="N466" s="431"/>
      <c r="O466" s="431" t="b">
        <v>1</v>
      </c>
      <c r="P466" s="431" t="b">
        <v>0</v>
      </c>
      <c r="Q466" s="431" t="s">
        <v>4563</v>
      </c>
      <c r="R466" s="431" t="s">
        <v>4564</v>
      </c>
      <c r="S466" s="431" t="s">
        <v>4565</v>
      </c>
      <c r="T466" s="431"/>
      <c r="U466" s="431" t="s">
        <v>4566</v>
      </c>
      <c r="V466" s="431" t="s">
        <v>4567</v>
      </c>
      <c r="W466" s="432">
        <v>44148.68897166667</v>
      </c>
      <c r="X466" s="432">
        <v>44616.04472672454</v>
      </c>
      <c r="Y466" s="431"/>
      <c r="Z466" s="431"/>
      <c r="AA466" s="431"/>
      <c r="AB466" s="431"/>
      <c r="AC466" s="431"/>
      <c r="AD466" s="436">
        <f t="shared" si="7"/>
        <v>926.73333333333335</v>
      </c>
    </row>
    <row r="467" spans="1:30" ht="14">
      <c r="A467" s="431" t="s">
        <v>1300</v>
      </c>
      <c r="B467" s="431" t="s">
        <v>1301</v>
      </c>
      <c r="C467" s="431" t="s">
        <v>514</v>
      </c>
      <c r="D467" s="431" t="s">
        <v>1302</v>
      </c>
      <c r="E467" s="431" t="s">
        <v>1303</v>
      </c>
      <c r="F467" s="431">
        <v>967</v>
      </c>
      <c r="G467" s="431">
        <v>2010</v>
      </c>
      <c r="H467" s="431">
        <v>2027</v>
      </c>
      <c r="I467" s="431" t="b">
        <v>1</v>
      </c>
      <c r="J467" s="431" t="s">
        <v>1199</v>
      </c>
      <c r="K467" s="431"/>
      <c r="L467" s="431">
        <v>7117</v>
      </c>
      <c r="M467" s="431">
        <v>8387</v>
      </c>
      <c r="N467" s="431"/>
      <c r="O467" s="431" t="b">
        <v>1</v>
      </c>
      <c r="P467" s="431" t="b">
        <v>0</v>
      </c>
      <c r="Q467" s="431" t="s">
        <v>1304</v>
      </c>
      <c r="R467" s="431" t="s">
        <v>1305</v>
      </c>
      <c r="S467" s="431" t="s">
        <v>1306</v>
      </c>
      <c r="T467" s="431" t="s">
        <v>4568</v>
      </c>
      <c r="U467" s="431"/>
      <c r="V467" s="431" t="s">
        <v>1307</v>
      </c>
      <c r="W467" s="432">
        <v>43585.592137928237</v>
      </c>
      <c r="X467" s="432">
        <v>44616.043404872682</v>
      </c>
      <c r="Y467" s="431"/>
      <c r="Z467" s="433">
        <v>40637</v>
      </c>
      <c r="AA467" s="433">
        <v>40745</v>
      </c>
      <c r="AB467" s="433">
        <v>40918</v>
      </c>
      <c r="AC467" s="433">
        <v>40932</v>
      </c>
      <c r="AD467" s="436">
        <f t="shared" si="7"/>
        <v>418.64705882352939</v>
      </c>
    </row>
    <row r="468" spans="1:30" ht="14">
      <c r="A468" s="431" t="s">
        <v>1300</v>
      </c>
      <c r="B468" s="431" t="s">
        <v>1301</v>
      </c>
      <c r="C468" s="431" t="s">
        <v>514</v>
      </c>
      <c r="D468" s="431" t="s">
        <v>1308</v>
      </c>
      <c r="E468" s="431" t="s">
        <v>1309</v>
      </c>
      <c r="F468" s="431">
        <v>2120</v>
      </c>
      <c r="G468" s="431">
        <v>2016</v>
      </c>
      <c r="H468" s="431">
        <v>2036</v>
      </c>
      <c r="I468" s="431" t="b">
        <v>1</v>
      </c>
      <c r="J468" s="431" t="s">
        <v>891</v>
      </c>
      <c r="K468" s="431">
        <v>17260</v>
      </c>
      <c r="L468" s="431"/>
      <c r="M468" s="431"/>
      <c r="N468" s="431"/>
      <c r="O468" s="431" t="b">
        <v>1</v>
      </c>
      <c r="P468" s="431" t="b">
        <v>0</v>
      </c>
      <c r="Q468" s="431" t="s">
        <v>1310</v>
      </c>
      <c r="R468" s="431" t="s">
        <v>1311</v>
      </c>
      <c r="S468" s="431" t="s">
        <v>1312</v>
      </c>
      <c r="T468" s="431" t="s">
        <v>4569</v>
      </c>
      <c r="U468" s="431" t="s">
        <v>1313</v>
      </c>
      <c r="V468" s="431" t="s">
        <v>1314</v>
      </c>
      <c r="W468" s="432">
        <v>44147.601688564813</v>
      </c>
      <c r="X468" s="432">
        <v>44616.04390744213</v>
      </c>
      <c r="Y468" s="431"/>
      <c r="Z468" s="431"/>
      <c r="AA468" s="431"/>
      <c r="AB468" s="431"/>
      <c r="AC468" s="431"/>
      <c r="AD468" s="436">
        <f t="shared" si="7"/>
        <v>863</v>
      </c>
    </row>
    <row r="469" spans="1:30" ht="14">
      <c r="A469" s="431" t="s">
        <v>1715</v>
      </c>
      <c r="B469" s="431" t="s">
        <v>1716</v>
      </c>
      <c r="C469" s="431" t="s">
        <v>418</v>
      </c>
      <c r="D469" s="431" t="s">
        <v>1717</v>
      </c>
      <c r="E469" s="431" t="s">
        <v>1718</v>
      </c>
      <c r="F469" s="431">
        <v>623</v>
      </c>
      <c r="G469" s="431">
        <v>2010</v>
      </c>
      <c r="H469" s="431">
        <v>2030</v>
      </c>
      <c r="I469" s="431" t="b">
        <v>1</v>
      </c>
      <c r="J469" s="431" t="s">
        <v>891</v>
      </c>
      <c r="K469" s="431">
        <v>5494</v>
      </c>
      <c r="L469" s="431"/>
      <c r="M469" s="431"/>
      <c r="N469" s="431"/>
      <c r="O469" s="431" t="b">
        <v>1</v>
      </c>
      <c r="P469" s="431" t="b">
        <v>0</v>
      </c>
      <c r="Q469" s="431" t="s">
        <v>1719</v>
      </c>
      <c r="R469" s="431" t="s">
        <v>1720</v>
      </c>
      <c r="S469" s="431" t="s">
        <v>1721</v>
      </c>
      <c r="T469" s="431" t="s">
        <v>1722</v>
      </c>
      <c r="U469" s="431" t="s">
        <v>1723</v>
      </c>
      <c r="V469" s="431" t="s">
        <v>1724</v>
      </c>
      <c r="W469" s="432">
        <v>43585.592130694444</v>
      </c>
      <c r="X469" s="432">
        <v>44616.045927476851</v>
      </c>
      <c r="Y469" s="431"/>
      <c r="Z469" s="433">
        <v>41775</v>
      </c>
      <c r="AA469" s="433">
        <v>41898</v>
      </c>
      <c r="AB469" s="433">
        <v>42451</v>
      </c>
      <c r="AC469" s="433">
        <v>42501</v>
      </c>
      <c r="AD469" s="436">
        <f t="shared" si="7"/>
        <v>274.7</v>
      </c>
    </row>
    <row r="470" spans="1:30" ht="14">
      <c r="A470" s="431" t="s">
        <v>1341</v>
      </c>
      <c r="B470" s="431" t="s">
        <v>1342</v>
      </c>
      <c r="C470" s="431" t="s">
        <v>276</v>
      </c>
      <c r="D470" s="431" t="s">
        <v>1343</v>
      </c>
      <c r="E470" s="431" t="s">
        <v>1344</v>
      </c>
      <c r="F470" s="431">
        <v>2074</v>
      </c>
      <c r="G470" s="431">
        <v>2016</v>
      </c>
      <c r="H470" s="431">
        <v>2035</v>
      </c>
      <c r="I470" s="431" t="b">
        <v>1</v>
      </c>
      <c r="J470" s="431" t="s">
        <v>891</v>
      </c>
      <c r="K470" s="431">
        <v>24852</v>
      </c>
      <c r="L470" s="431"/>
      <c r="M470" s="431"/>
      <c r="N470" s="431"/>
      <c r="O470" s="431" t="b">
        <v>1</v>
      </c>
      <c r="P470" s="431" t="b">
        <v>0</v>
      </c>
      <c r="Q470" s="431" t="s">
        <v>1345</v>
      </c>
      <c r="R470" s="431" t="s">
        <v>1346</v>
      </c>
      <c r="S470" s="431" t="s">
        <v>4570</v>
      </c>
      <c r="T470" s="431"/>
      <c r="U470" s="431"/>
      <c r="V470" s="431" t="s">
        <v>1347</v>
      </c>
      <c r="W470" s="432">
        <v>43585.592119351852</v>
      </c>
      <c r="X470" s="432">
        <v>44616.041914074071</v>
      </c>
      <c r="Y470" s="431"/>
      <c r="Z470" s="433">
        <v>43490</v>
      </c>
      <c r="AA470" s="433">
        <v>43644</v>
      </c>
      <c r="AB470" s="433">
        <v>44091</v>
      </c>
      <c r="AC470" s="433">
        <v>44125</v>
      </c>
      <c r="AD470" s="436">
        <f t="shared" si="7"/>
        <v>1308</v>
      </c>
    </row>
    <row r="471" spans="1:30" ht="14">
      <c r="A471" s="431" t="s">
        <v>1356</v>
      </c>
      <c r="B471" s="431" t="s">
        <v>1357</v>
      </c>
      <c r="C471" s="431" t="s">
        <v>227</v>
      </c>
      <c r="D471" s="431" t="s">
        <v>1358</v>
      </c>
      <c r="E471" s="431" t="s">
        <v>1359</v>
      </c>
      <c r="F471" s="431">
        <v>1496</v>
      </c>
      <c r="G471" s="431">
        <v>2010</v>
      </c>
      <c r="H471" s="431">
        <v>2030</v>
      </c>
      <c r="I471" s="431" t="b">
        <v>1</v>
      </c>
      <c r="J471" s="431" t="s">
        <v>891</v>
      </c>
      <c r="K471" s="431">
        <v>22000</v>
      </c>
      <c r="L471" s="431"/>
      <c r="M471" s="431"/>
      <c r="N471" s="431"/>
      <c r="O471" s="431" t="b">
        <v>1</v>
      </c>
      <c r="P471" s="431" t="b">
        <v>0</v>
      </c>
      <c r="Q471" s="431" t="s">
        <v>1360</v>
      </c>
      <c r="R471" s="431"/>
      <c r="S471" s="431"/>
      <c r="T471" s="431" t="s">
        <v>1361</v>
      </c>
      <c r="U471" s="431" t="s">
        <v>1362</v>
      </c>
      <c r="V471" s="431"/>
      <c r="W471" s="432">
        <v>43585.592117916669</v>
      </c>
      <c r="X471" s="432">
        <v>44616.047410370367</v>
      </c>
      <c r="Y471" s="431"/>
      <c r="Z471" s="433">
        <v>41523</v>
      </c>
      <c r="AA471" s="433">
        <v>41631</v>
      </c>
      <c r="AB471" s="433">
        <v>41988</v>
      </c>
      <c r="AC471" s="433">
        <v>42033</v>
      </c>
      <c r="AD471" s="436">
        <f t="shared" si="7"/>
        <v>1100</v>
      </c>
    </row>
    <row r="472" spans="1:30" ht="14">
      <c r="A472" s="431" t="s">
        <v>1489</v>
      </c>
      <c r="B472" s="431" t="s">
        <v>1490</v>
      </c>
      <c r="C472" s="431" t="s">
        <v>384</v>
      </c>
      <c r="D472" s="431" t="s">
        <v>1491</v>
      </c>
      <c r="E472" s="431" t="s">
        <v>1492</v>
      </c>
      <c r="F472" s="431">
        <v>1882</v>
      </c>
      <c r="G472" s="431">
        <v>2011</v>
      </c>
      <c r="H472" s="431">
        <v>2036</v>
      </c>
      <c r="I472" s="431" t="b">
        <v>1</v>
      </c>
      <c r="J472" s="431" t="s">
        <v>891</v>
      </c>
      <c r="K472" s="431">
        <v>20100</v>
      </c>
      <c r="L472" s="431"/>
      <c r="M472" s="431"/>
      <c r="N472" s="431"/>
      <c r="O472" s="431" t="b">
        <v>1</v>
      </c>
      <c r="P472" s="431" t="b">
        <v>0</v>
      </c>
      <c r="Q472" s="431" t="s">
        <v>1493</v>
      </c>
      <c r="R472" s="431" t="s">
        <v>1494</v>
      </c>
      <c r="S472" s="431" t="s">
        <v>4571</v>
      </c>
      <c r="T472" s="431" t="s">
        <v>1495</v>
      </c>
      <c r="U472" s="431"/>
      <c r="V472" s="431" t="s">
        <v>1496</v>
      </c>
      <c r="W472" s="432">
        <v>43585.592127673612</v>
      </c>
      <c r="X472" s="432">
        <v>44616.043383692129</v>
      </c>
      <c r="Y472" s="431"/>
      <c r="Z472" s="433">
        <v>43087</v>
      </c>
      <c r="AA472" s="433">
        <v>43187</v>
      </c>
      <c r="AB472" s="433">
        <v>43584</v>
      </c>
      <c r="AC472" s="433">
        <v>43600</v>
      </c>
      <c r="AD472" s="436">
        <f t="shared" si="7"/>
        <v>804</v>
      </c>
    </row>
    <row r="473" spans="1:30" ht="14">
      <c r="A473" s="431" t="s">
        <v>1621</v>
      </c>
      <c r="B473" s="431" t="s">
        <v>1622</v>
      </c>
      <c r="C473" s="431" t="s">
        <v>582</v>
      </c>
      <c r="D473" s="431" t="s">
        <v>1623</v>
      </c>
      <c r="E473" s="431" t="s">
        <v>1624</v>
      </c>
      <c r="F473" s="431">
        <v>1556</v>
      </c>
      <c r="G473" s="431">
        <v>2011</v>
      </c>
      <c r="H473" s="431">
        <v>2028</v>
      </c>
      <c r="I473" s="431" t="b">
        <v>1</v>
      </c>
      <c r="J473" s="431" t="s">
        <v>891</v>
      </c>
      <c r="K473" s="431">
        <v>12618</v>
      </c>
      <c r="L473" s="431"/>
      <c r="M473" s="431"/>
      <c r="N473" s="431"/>
      <c r="O473" s="431" t="b">
        <v>1</v>
      </c>
      <c r="P473" s="431" t="b">
        <v>0</v>
      </c>
      <c r="Q473" s="431" t="s">
        <v>1625</v>
      </c>
      <c r="R473" s="431" t="s">
        <v>1626</v>
      </c>
      <c r="S473" s="431" t="s">
        <v>1627</v>
      </c>
      <c r="T473" s="431" t="s">
        <v>4572</v>
      </c>
      <c r="U473" s="431"/>
      <c r="V473" s="431" t="s">
        <v>1628</v>
      </c>
      <c r="W473" s="432">
        <v>43585.592142106485</v>
      </c>
      <c r="X473" s="432">
        <v>44616.048450682872</v>
      </c>
      <c r="Y473" s="431"/>
      <c r="Z473" s="433">
        <v>41708</v>
      </c>
      <c r="AA473" s="433">
        <v>41859</v>
      </c>
      <c r="AB473" s="433">
        <v>42500</v>
      </c>
      <c r="AC473" s="433">
        <v>42534</v>
      </c>
      <c r="AD473" s="436">
        <f t="shared" si="7"/>
        <v>742.23529411764707</v>
      </c>
    </row>
    <row r="474" spans="1:30" ht="14">
      <c r="A474" s="431" t="s">
        <v>2254</v>
      </c>
      <c r="B474" s="431" t="s">
        <v>2255</v>
      </c>
      <c r="C474" s="431" t="s">
        <v>350</v>
      </c>
      <c r="D474" s="431" t="s">
        <v>2256</v>
      </c>
      <c r="E474" s="431" t="s">
        <v>2257</v>
      </c>
      <c r="F474" s="431">
        <v>1855</v>
      </c>
      <c r="G474" s="431">
        <v>2011</v>
      </c>
      <c r="H474" s="431">
        <v>2031</v>
      </c>
      <c r="I474" s="431" t="b">
        <v>1</v>
      </c>
      <c r="J474" s="431" t="s">
        <v>891</v>
      </c>
      <c r="K474" s="431">
        <v>11140</v>
      </c>
      <c r="L474" s="431"/>
      <c r="M474" s="431"/>
      <c r="N474" s="431"/>
      <c r="O474" s="431" t="b">
        <v>1</v>
      </c>
      <c r="P474" s="431" t="b">
        <v>0</v>
      </c>
      <c r="Q474" s="431" t="s">
        <v>4573</v>
      </c>
      <c r="R474" s="431" t="s">
        <v>2258</v>
      </c>
      <c r="S474" s="431" t="s">
        <v>4574</v>
      </c>
      <c r="T474" s="431" t="s">
        <v>4575</v>
      </c>
      <c r="U474" s="431" t="s">
        <v>4576</v>
      </c>
      <c r="V474" s="431" t="s">
        <v>2259</v>
      </c>
      <c r="W474" s="432">
        <v>43585.592125219904</v>
      </c>
      <c r="X474" s="432">
        <v>44616.047723229167</v>
      </c>
      <c r="Y474" s="431"/>
      <c r="Z474" s="433">
        <v>43000</v>
      </c>
      <c r="AA474" s="433">
        <v>43175</v>
      </c>
      <c r="AB474" s="433">
        <v>43563</v>
      </c>
      <c r="AC474" s="433">
        <v>43585</v>
      </c>
      <c r="AD474" s="436">
        <f t="shared" si="7"/>
        <v>557</v>
      </c>
    </row>
    <row r="475" spans="1:30" ht="14">
      <c r="A475" s="431" t="s">
        <v>1822</v>
      </c>
      <c r="B475" s="431" t="s">
        <v>1823</v>
      </c>
      <c r="C475" s="431" t="s">
        <v>656</v>
      </c>
      <c r="D475" s="431" t="s">
        <v>4577</v>
      </c>
      <c r="E475" s="431" t="s">
        <v>1824</v>
      </c>
      <c r="F475" s="431">
        <v>1842</v>
      </c>
      <c r="G475" s="431">
        <v>2013</v>
      </c>
      <c r="H475" s="431">
        <v>2033</v>
      </c>
      <c r="I475" s="431" t="b">
        <v>1</v>
      </c>
      <c r="J475" s="431" t="s">
        <v>891</v>
      </c>
      <c r="K475" s="431">
        <v>11000</v>
      </c>
      <c r="L475" s="431"/>
      <c r="M475" s="431"/>
      <c r="N475" s="431"/>
      <c r="O475" s="431" t="b">
        <v>1</v>
      </c>
      <c r="P475" s="431" t="b">
        <v>0</v>
      </c>
      <c r="Q475" s="431" t="s">
        <v>4578</v>
      </c>
      <c r="R475" s="431" t="s">
        <v>1825</v>
      </c>
      <c r="S475" s="431" t="s">
        <v>4579</v>
      </c>
      <c r="T475" s="431" t="s">
        <v>4580</v>
      </c>
      <c r="U475" s="431" t="s">
        <v>1763</v>
      </c>
      <c r="V475" s="431" t="s">
        <v>4581</v>
      </c>
      <c r="W475" s="432">
        <v>43585.592117731481</v>
      </c>
      <c r="X475" s="432">
        <v>44616.048791956018</v>
      </c>
      <c r="Y475" s="431"/>
      <c r="Z475" s="433">
        <v>42902</v>
      </c>
      <c r="AA475" s="433">
        <v>43017</v>
      </c>
      <c r="AB475" s="433">
        <v>44175</v>
      </c>
      <c r="AC475" s="433">
        <v>44222</v>
      </c>
      <c r="AD475" s="436">
        <f t="shared" si="7"/>
        <v>550</v>
      </c>
    </row>
    <row r="476" spans="1:30" ht="14">
      <c r="A476" s="431" t="s">
        <v>1967</v>
      </c>
      <c r="B476" s="431" t="s">
        <v>1968</v>
      </c>
      <c r="C476" s="431" t="s">
        <v>724</v>
      </c>
      <c r="D476" s="431" t="s">
        <v>1969</v>
      </c>
      <c r="E476" s="431" t="s">
        <v>1970</v>
      </c>
      <c r="F476" s="431">
        <v>929</v>
      </c>
      <c r="G476" s="431">
        <v>2011</v>
      </c>
      <c r="H476" s="431">
        <v>2031</v>
      </c>
      <c r="I476" s="431" t="b">
        <v>1</v>
      </c>
      <c r="J476" s="431" t="s">
        <v>891</v>
      </c>
      <c r="K476" s="431">
        <v>12500</v>
      </c>
      <c r="L476" s="431"/>
      <c r="M476" s="431"/>
      <c r="N476" s="431"/>
      <c r="O476" s="431" t="b">
        <v>1</v>
      </c>
      <c r="P476" s="431" t="b">
        <v>0</v>
      </c>
      <c r="Q476" s="431" t="s">
        <v>1971</v>
      </c>
      <c r="R476" s="431" t="s">
        <v>1972</v>
      </c>
      <c r="S476" s="431" t="s">
        <v>1973</v>
      </c>
      <c r="T476" s="431" t="s">
        <v>4582</v>
      </c>
      <c r="U476" s="431"/>
      <c r="V476" s="431" t="s">
        <v>1974</v>
      </c>
      <c r="W476" s="432">
        <v>43585.592142685186</v>
      </c>
      <c r="X476" s="432">
        <v>44616.043913113426</v>
      </c>
      <c r="Y476" s="431"/>
      <c r="Z476" s="433">
        <v>40933</v>
      </c>
      <c r="AA476" s="433">
        <v>41078</v>
      </c>
      <c r="AB476" s="433">
        <v>41316</v>
      </c>
      <c r="AC476" s="433">
        <v>41353</v>
      </c>
      <c r="AD476" s="436">
        <f t="shared" si="7"/>
        <v>625</v>
      </c>
    </row>
    <row r="477" spans="1:30" ht="14">
      <c r="A477" s="431" t="s">
        <v>1967</v>
      </c>
      <c r="B477" s="431" t="s">
        <v>1968</v>
      </c>
      <c r="C477" s="431" t="s">
        <v>724</v>
      </c>
      <c r="D477" s="431" t="s">
        <v>4583</v>
      </c>
      <c r="E477" s="431" t="s">
        <v>1975</v>
      </c>
      <c r="F477" s="431">
        <v>2163</v>
      </c>
      <c r="G477" s="431">
        <v>2018</v>
      </c>
      <c r="H477" s="431">
        <v>2039</v>
      </c>
      <c r="I477" s="431" t="b">
        <v>1</v>
      </c>
      <c r="J477" s="431"/>
      <c r="K477" s="431"/>
      <c r="L477" s="431"/>
      <c r="M477" s="431"/>
      <c r="N477" s="431"/>
      <c r="O477" s="431" t="b">
        <v>0</v>
      </c>
      <c r="P477" s="431" t="b">
        <v>0</v>
      </c>
      <c r="Q477" s="431"/>
      <c r="R477" s="431"/>
      <c r="S477" s="431"/>
      <c r="T477" s="431"/>
      <c r="U477" s="431"/>
      <c r="V477" s="431"/>
      <c r="W477" s="432">
        <v>43664.982015844907</v>
      </c>
      <c r="X477" s="432">
        <v>44483.595103634259</v>
      </c>
      <c r="Y477" s="431" t="s">
        <v>978</v>
      </c>
      <c r="Z477" s="431"/>
      <c r="AA477" s="431"/>
      <c r="AB477" s="431"/>
      <c r="AC477" s="431"/>
      <c r="AD477" s="436" t="str">
        <f t="shared" si="7"/>
        <v/>
      </c>
    </row>
    <row r="478" spans="1:30" ht="14">
      <c r="A478" s="431" t="s">
        <v>1976</v>
      </c>
      <c r="B478" s="431" t="s">
        <v>1977</v>
      </c>
      <c r="C478" s="431" t="s">
        <v>191</v>
      </c>
      <c r="D478" s="431" t="s">
        <v>1978</v>
      </c>
      <c r="E478" s="431" t="s">
        <v>1979</v>
      </c>
      <c r="F478" s="431">
        <v>1868</v>
      </c>
      <c r="G478" s="431">
        <v>2016</v>
      </c>
      <c r="H478" s="431">
        <v>2033</v>
      </c>
      <c r="I478" s="431" t="b">
        <v>1</v>
      </c>
      <c r="J478" s="431" t="s">
        <v>891</v>
      </c>
      <c r="K478" s="431">
        <v>7718</v>
      </c>
      <c r="L478" s="431"/>
      <c r="M478" s="431"/>
      <c r="N478" s="431"/>
      <c r="O478" s="431" t="b">
        <v>1</v>
      </c>
      <c r="P478" s="431" t="b">
        <v>0</v>
      </c>
      <c r="Q478" s="431" t="s">
        <v>1980</v>
      </c>
      <c r="R478" s="431" t="s">
        <v>1981</v>
      </c>
      <c r="S478" s="431" t="s">
        <v>1982</v>
      </c>
      <c r="T478" s="431" t="s">
        <v>1081</v>
      </c>
      <c r="U478" s="431"/>
      <c r="V478" s="431" t="s">
        <v>1983</v>
      </c>
      <c r="W478" s="432">
        <v>43585.592115509258</v>
      </c>
      <c r="X478" s="432">
        <v>44616.047223182868</v>
      </c>
      <c r="Y478" s="431"/>
      <c r="Z478" s="433">
        <v>43048</v>
      </c>
      <c r="AA478" s="433">
        <v>43174</v>
      </c>
      <c r="AB478" s="433">
        <v>43935</v>
      </c>
      <c r="AC478" s="433">
        <v>44005</v>
      </c>
      <c r="AD478" s="436">
        <f t="shared" si="7"/>
        <v>454</v>
      </c>
    </row>
    <row r="479" spans="1:30" ht="14">
      <c r="A479" s="431" t="s">
        <v>2069</v>
      </c>
      <c r="B479" s="431" t="s">
        <v>2070</v>
      </c>
      <c r="C479" s="431" t="s">
        <v>334</v>
      </c>
      <c r="D479" s="431" t="s">
        <v>2071</v>
      </c>
      <c r="E479" s="431" t="s">
        <v>2072</v>
      </c>
      <c r="F479" s="431">
        <v>1412</v>
      </c>
      <c r="G479" s="431">
        <v>2011</v>
      </c>
      <c r="H479" s="431">
        <v>2028</v>
      </c>
      <c r="I479" s="431" t="b">
        <v>1</v>
      </c>
      <c r="J479" s="431" t="s">
        <v>891</v>
      </c>
      <c r="K479" s="431">
        <v>6170</v>
      </c>
      <c r="L479" s="431"/>
      <c r="M479" s="431"/>
      <c r="N479" s="431"/>
      <c r="O479" s="431" t="b">
        <v>1</v>
      </c>
      <c r="P479" s="431" t="b">
        <v>0</v>
      </c>
      <c r="Q479" s="431" t="s">
        <v>2073</v>
      </c>
      <c r="R479" s="431"/>
      <c r="S479" s="431"/>
      <c r="T479" s="431" t="s">
        <v>2074</v>
      </c>
      <c r="U479" s="431"/>
      <c r="V479" s="431" t="s">
        <v>2075</v>
      </c>
      <c r="W479" s="432">
        <v>43585.592123877315</v>
      </c>
      <c r="X479" s="432">
        <v>44616.048099085645</v>
      </c>
      <c r="Y479" s="431"/>
      <c r="Z479" s="433">
        <v>41261</v>
      </c>
      <c r="AA479" s="433">
        <v>41416</v>
      </c>
      <c r="AB479" s="433">
        <v>41842</v>
      </c>
      <c r="AC479" s="433">
        <v>41912</v>
      </c>
      <c r="AD479" s="436">
        <f t="shared" si="7"/>
        <v>362.94117647058823</v>
      </c>
    </row>
    <row r="480" spans="1:30" ht="14">
      <c r="A480" s="431" t="s">
        <v>2069</v>
      </c>
      <c r="B480" s="431" t="s">
        <v>2070</v>
      </c>
      <c r="C480" s="431" t="s">
        <v>334</v>
      </c>
      <c r="D480" s="431" t="s">
        <v>2076</v>
      </c>
      <c r="E480" s="431" t="s">
        <v>2077</v>
      </c>
      <c r="F480" s="431">
        <v>1968</v>
      </c>
      <c r="G480" s="431">
        <v>2020</v>
      </c>
      <c r="H480" s="431">
        <v>2036</v>
      </c>
      <c r="I480" s="431" t="b">
        <v>1</v>
      </c>
      <c r="J480" s="431" t="s">
        <v>891</v>
      </c>
      <c r="K480" s="431">
        <v>10480</v>
      </c>
      <c r="L480" s="431"/>
      <c r="M480" s="431"/>
      <c r="N480" s="431"/>
      <c r="O480" s="431" t="b">
        <v>1</v>
      </c>
      <c r="P480" s="431" t="b">
        <v>0</v>
      </c>
      <c r="Q480" s="431" t="s">
        <v>2078</v>
      </c>
      <c r="R480" s="431"/>
      <c r="S480" s="431"/>
      <c r="T480" s="431" t="s">
        <v>4584</v>
      </c>
      <c r="U480" s="431"/>
      <c r="V480" s="431" t="s">
        <v>2079</v>
      </c>
      <c r="W480" s="432">
        <v>44096.565953726851</v>
      </c>
      <c r="X480" s="432">
        <v>44616.043506331021</v>
      </c>
      <c r="Y480" s="431"/>
      <c r="Z480" s="431"/>
      <c r="AA480" s="431"/>
      <c r="AB480" s="431"/>
      <c r="AC480" s="431"/>
      <c r="AD480" s="436">
        <f t="shared" si="7"/>
        <v>655</v>
      </c>
    </row>
    <row r="481" spans="1:30" ht="14">
      <c r="A481" s="431" t="s">
        <v>2087</v>
      </c>
      <c r="B481" s="431" t="s">
        <v>2088</v>
      </c>
      <c r="C481" s="431" t="s">
        <v>568</v>
      </c>
      <c r="D481" s="431" t="s">
        <v>2089</v>
      </c>
      <c r="E481" s="431" t="s">
        <v>2090</v>
      </c>
      <c r="F481" s="431">
        <v>1063</v>
      </c>
      <c r="G481" s="431">
        <v>2006</v>
      </c>
      <c r="H481" s="431">
        <v>2026</v>
      </c>
      <c r="I481" s="431" t="b">
        <v>1</v>
      </c>
      <c r="J481" s="431" t="s">
        <v>891</v>
      </c>
      <c r="K481" s="431">
        <v>3300</v>
      </c>
      <c r="L481" s="431"/>
      <c r="M481" s="431"/>
      <c r="N481" s="431"/>
      <c r="O481" s="431" t="b">
        <v>1</v>
      </c>
      <c r="P481" s="431" t="b">
        <v>0</v>
      </c>
      <c r="Q481" s="431" t="s">
        <v>2091</v>
      </c>
      <c r="R481" s="431" t="s">
        <v>2092</v>
      </c>
      <c r="S481" s="431" t="s">
        <v>2093</v>
      </c>
      <c r="T481" s="431"/>
      <c r="U481" s="431"/>
      <c r="V481" s="431" t="s">
        <v>2094</v>
      </c>
      <c r="W481" s="432">
        <v>43585.592140995373</v>
      </c>
      <c r="X481" s="432">
        <v>44616.047483796297</v>
      </c>
      <c r="Y481" s="431"/>
      <c r="Z481" s="433">
        <v>40220</v>
      </c>
      <c r="AA481" s="433">
        <v>40331</v>
      </c>
      <c r="AB481" s="433">
        <v>40561</v>
      </c>
      <c r="AC481" s="433">
        <v>40596</v>
      </c>
      <c r="AD481" s="436">
        <f t="shared" si="7"/>
        <v>165</v>
      </c>
    </row>
    <row r="482" spans="1:30" ht="14">
      <c r="A482" s="431" t="s">
        <v>2087</v>
      </c>
      <c r="B482" s="431" t="s">
        <v>2088</v>
      </c>
      <c r="C482" s="431" t="s">
        <v>568</v>
      </c>
      <c r="D482" s="431" t="s">
        <v>4585</v>
      </c>
      <c r="E482" s="431" t="s">
        <v>2095</v>
      </c>
      <c r="F482" s="431">
        <v>1930</v>
      </c>
      <c r="G482" s="431">
        <v>2015</v>
      </c>
      <c r="H482" s="431">
        <v>2035</v>
      </c>
      <c r="I482" s="431" t="b">
        <v>1</v>
      </c>
      <c r="J482" s="431" t="s">
        <v>891</v>
      </c>
      <c r="K482" s="431">
        <v>10568</v>
      </c>
      <c r="L482" s="431"/>
      <c r="M482" s="431"/>
      <c r="N482" s="431"/>
      <c r="O482" s="431" t="b">
        <v>1</v>
      </c>
      <c r="P482" s="431" t="b">
        <v>0</v>
      </c>
      <c r="Q482" s="431" t="s">
        <v>2096</v>
      </c>
      <c r="R482" s="431"/>
      <c r="S482" s="431"/>
      <c r="T482" s="431" t="s">
        <v>2097</v>
      </c>
      <c r="U482" s="431" t="s">
        <v>4586</v>
      </c>
      <c r="V482" s="431" t="s">
        <v>2098</v>
      </c>
      <c r="W482" s="432">
        <v>43963.604587986112</v>
      </c>
      <c r="X482" s="432">
        <v>44616.046119004626</v>
      </c>
      <c r="Y482" s="431"/>
      <c r="Z482" s="433">
        <v>43452</v>
      </c>
      <c r="AA482" s="433">
        <v>43585</v>
      </c>
      <c r="AB482" s="431"/>
      <c r="AC482" s="431"/>
      <c r="AD482" s="436">
        <f t="shared" si="7"/>
        <v>528.4</v>
      </c>
    </row>
    <row r="483" spans="1:30" ht="14">
      <c r="A483" s="431" t="s">
        <v>2142</v>
      </c>
      <c r="B483" s="431" t="s">
        <v>2143</v>
      </c>
      <c r="C483" s="431" t="s">
        <v>678</v>
      </c>
      <c r="D483" s="431" t="s">
        <v>931</v>
      </c>
      <c r="E483" s="431" t="s">
        <v>2144</v>
      </c>
      <c r="F483" s="431">
        <v>1010</v>
      </c>
      <c r="G483" s="431">
        <v>2006</v>
      </c>
      <c r="H483" s="431">
        <v>2026</v>
      </c>
      <c r="I483" s="431" t="b">
        <v>1</v>
      </c>
      <c r="J483" s="431" t="s">
        <v>891</v>
      </c>
      <c r="K483" s="431">
        <v>6000</v>
      </c>
      <c r="L483" s="431"/>
      <c r="M483" s="431"/>
      <c r="N483" s="431"/>
      <c r="O483" s="431" t="b">
        <v>1</v>
      </c>
      <c r="P483" s="431" t="b">
        <v>0</v>
      </c>
      <c r="Q483" s="431" t="s">
        <v>2145</v>
      </c>
      <c r="R483" s="431"/>
      <c r="S483" s="431"/>
      <c r="T483" s="431" t="s">
        <v>4587</v>
      </c>
      <c r="U483" s="431"/>
      <c r="V483" s="431" t="s">
        <v>2146</v>
      </c>
      <c r="W483" s="432">
        <v>43585.592115810185</v>
      </c>
      <c r="X483" s="432">
        <v>44616.048105937502</v>
      </c>
      <c r="Y483" s="431"/>
      <c r="Z483" s="433">
        <v>39932</v>
      </c>
      <c r="AA483" s="433">
        <v>40037</v>
      </c>
      <c r="AB483" s="433">
        <v>40274</v>
      </c>
      <c r="AC483" s="433">
        <v>40346</v>
      </c>
      <c r="AD483" s="436">
        <f t="shared" si="7"/>
        <v>300</v>
      </c>
    </row>
    <row r="484" spans="1:30" ht="14">
      <c r="A484" s="431" t="s">
        <v>2142</v>
      </c>
      <c r="B484" s="431" t="s">
        <v>2143</v>
      </c>
      <c r="C484" s="431" t="s">
        <v>678</v>
      </c>
      <c r="D484" s="431" t="s">
        <v>1323</v>
      </c>
      <c r="E484" s="431" t="s">
        <v>2147</v>
      </c>
      <c r="F484" s="431">
        <v>1964</v>
      </c>
      <c r="G484" s="431">
        <v>2020</v>
      </c>
      <c r="H484" s="431">
        <v>2038</v>
      </c>
      <c r="I484" s="431" t="b">
        <v>1</v>
      </c>
      <c r="J484" s="431" t="s">
        <v>891</v>
      </c>
      <c r="K484" s="431">
        <v>12204</v>
      </c>
      <c r="L484" s="431"/>
      <c r="M484" s="431"/>
      <c r="N484" s="431"/>
      <c r="O484" s="431" t="b">
        <v>1</v>
      </c>
      <c r="P484" s="431" t="b">
        <v>0</v>
      </c>
      <c r="Q484" s="431" t="s">
        <v>4588</v>
      </c>
      <c r="R484" s="431" t="s">
        <v>4589</v>
      </c>
      <c r="S484" s="431" t="s">
        <v>4590</v>
      </c>
      <c r="T484" s="431"/>
      <c r="U484" s="431" t="s">
        <v>4591</v>
      </c>
      <c r="V484" s="431" t="s">
        <v>4592</v>
      </c>
      <c r="W484" s="432">
        <v>43585.592134999999</v>
      </c>
      <c r="X484" s="432">
        <v>44616.042309618053</v>
      </c>
      <c r="Y484" s="431"/>
      <c r="Z484" s="433">
        <v>44281</v>
      </c>
      <c r="AA484" s="433">
        <v>44501</v>
      </c>
      <c r="AB484" s="431"/>
      <c r="AC484" s="431"/>
      <c r="AD484" s="436">
        <f t="shared" si="7"/>
        <v>678</v>
      </c>
    </row>
    <row r="485" spans="1:30" ht="14">
      <c r="A485" s="431" t="s">
        <v>2190</v>
      </c>
      <c r="B485" s="431" t="s">
        <v>2191</v>
      </c>
      <c r="C485" s="431" t="s">
        <v>508</v>
      </c>
      <c r="D485" s="431" t="s">
        <v>2192</v>
      </c>
      <c r="E485" s="431" t="s">
        <v>2193</v>
      </c>
      <c r="F485" s="431">
        <v>1365</v>
      </c>
      <c r="G485" s="431">
        <v>2011</v>
      </c>
      <c r="H485" s="431">
        <v>2030</v>
      </c>
      <c r="I485" s="431" t="b">
        <v>1</v>
      </c>
      <c r="J485" s="431" t="s">
        <v>891</v>
      </c>
      <c r="K485" s="431">
        <v>5662</v>
      </c>
      <c r="L485" s="431"/>
      <c r="M485" s="431"/>
      <c r="N485" s="431"/>
      <c r="O485" s="431" t="b">
        <v>1</v>
      </c>
      <c r="P485" s="431" t="b">
        <v>0</v>
      </c>
      <c r="Q485" s="431" t="s">
        <v>2194</v>
      </c>
      <c r="R485" s="431" t="s">
        <v>2195</v>
      </c>
      <c r="S485" s="431" t="s">
        <v>2196</v>
      </c>
      <c r="T485" s="431" t="s">
        <v>4593</v>
      </c>
      <c r="U485" s="431"/>
      <c r="V485" s="431" t="s">
        <v>2197</v>
      </c>
      <c r="W485" s="432">
        <v>43585.592137430554</v>
      </c>
      <c r="X485" s="432">
        <v>44616.047952384259</v>
      </c>
      <c r="Y485" s="431"/>
      <c r="Z485" s="433">
        <v>41922</v>
      </c>
      <c r="AA485" s="433">
        <v>41992</v>
      </c>
      <c r="AB485" s="433">
        <v>42303</v>
      </c>
      <c r="AC485" s="433">
        <v>42355</v>
      </c>
      <c r="AD485" s="436">
        <f t="shared" si="7"/>
        <v>298</v>
      </c>
    </row>
    <row r="486" spans="1:30" ht="14">
      <c r="A486" s="431" t="s">
        <v>2190</v>
      </c>
      <c r="B486" s="431" t="s">
        <v>2191</v>
      </c>
      <c r="C486" s="431" t="s">
        <v>508</v>
      </c>
      <c r="D486" s="431" t="s">
        <v>4594</v>
      </c>
      <c r="E486" s="431" t="s">
        <v>4595</v>
      </c>
      <c r="F486" s="431">
        <v>2176</v>
      </c>
      <c r="G486" s="431">
        <v>2019</v>
      </c>
      <c r="H486" s="431">
        <v>2030</v>
      </c>
      <c r="I486" s="431" t="b">
        <v>1</v>
      </c>
      <c r="J486" s="431" t="s">
        <v>891</v>
      </c>
      <c r="K486" s="431">
        <v>2640</v>
      </c>
      <c r="L486" s="431"/>
      <c r="M486" s="431"/>
      <c r="N486" s="431"/>
      <c r="O486" s="431" t="b">
        <v>1</v>
      </c>
      <c r="P486" s="431" t="b">
        <v>0</v>
      </c>
      <c r="Q486" s="431" t="s">
        <v>4596</v>
      </c>
      <c r="R486" s="431"/>
      <c r="S486" s="431"/>
      <c r="T486" s="431" t="s">
        <v>4597</v>
      </c>
      <c r="U486" s="431" t="s">
        <v>4598</v>
      </c>
      <c r="V486" s="431" t="s">
        <v>4599</v>
      </c>
      <c r="W486" s="432">
        <v>44538.660611782405</v>
      </c>
      <c r="X486" s="432">
        <v>44616.042329791664</v>
      </c>
      <c r="Y486" s="431"/>
      <c r="Z486" s="431"/>
      <c r="AA486" s="431"/>
      <c r="AB486" s="431"/>
      <c r="AC486" s="431"/>
      <c r="AD486" s="436">
        <f t="shared" si="7"/>
        <v>240</v>
      </c>
    </row>
    <row r="487" spans="1:30" ht="14">
      <c r="A487" s="431" t="s">
        <v>3704</v>
      </c>
      <c r="B487" s="431" t="s">
        <v>3705</v>
      </c>
      <c r="C487" s="431" t="s">
        <v>600</v>
      </c>
      <c r="D487" s="431" t="s">
        <v>3688</v>
      </c>
      <c r="E487" s="431" t="s">
        <v>3689</v>
      </c>
      <c r="F487" s="431">
        <v>842</v>
      </c>
      <c r="G487" s="431">
        <v>2010</v>
      </c>
      <c r="H487" s="431">
        <v>2026</v>
      </c>
      <c r="I487" s="431" t="b">
        <v>1</v>
      </c>
      <c r="J487" s="431" t="s">
        <v>907</v>
      </c>
      <c r="K487" s="431">
        <v>417</v>
      </c>
      <c r="L487" s="431"/>
      <c r="M487" s="431"/>
      <c r="N487" s="431"/>
      <c r="O487" s="431" t="b">
        <v>1</v>
      </c>
      <c r="P487" s="431" t="b">
        <v>1</v>
      </c>
      <c r="Q487" s="431" t="s">
        <v>3690</v>
      </c>
      <c r="R487" s="431" t="s">
        <v>3691</v>
      </c>
      <c r="S487" s="431" t="s">
        <v>3692</v>
      </c>
      <c r="T487" s="431" t="s">
        <v>4288</v>
      </c>
      <c r="U487" s="431" t="s">
        <v>3693</v>
      </c>
      <c r="V487" s="431" t="s">
        <v>3694</v>
      </c>
      <c r="W487" s="432">
        <v>43585.592131527781</v>
      </c>
      <c r="X487" s="432">
        <v>44616.046451111113</v>
      </c>
      <c r="Y487" s="431"/>
      <c r="Z487" s="433">
        <v>40520</v>
      </c>
      <c r="AA487" s="433">
        <v>40633</v>
      </c>
      <c r="AB487" s="433">
        <v>41067</v>
      </c>
      <c r="AC487" s="433">
        <v>41108</v>
      </c>
      <c r="AD487" s="436">
        <f t="shared" si="7"/>
        <v>417</v>
      </c>
    </row>
    <row r="488" spans="1:30" ht="14">
      <c r="A488" s="431" t="s">
        <v>3704</v>
      </c>
      <c r="B488" s="431" t="s">
        <v>3705</v>
      </c>
      <c r="C488" s="431" t="s">
        <v>600</v>
      </c>
      <c r="D488" s="431" t="s">
        <v>3695</v>
      </c>
      <c r="E488" s="431" t="s">
        <v>3696</v>
      </c>
      <c r="F488" s="431">
        <v>2100</v>
      </c>
      <c r="G488" s="431">
        <v>2021</v>
      </c>
      <c r="H488" s="431">
        <v>2036</v>
      </c>
      <c r="I488" s="431" t="b">
        <v>1</v>
      </c>
      <c r="J488" s="431" t="s">
        <v>907</v>
      </c>
      <c r="K488" s="431">
        <v>213</v>
      </c>
      <c r="L488" s="431"/>
      <c r="M488" s="431"/>
      <c r="N488" s="431"/>
      <c r="O488" s="431" t="b">
        <v>1</v>
      </c>
      <c r="P488" s="431" t="b">
        <v>1</v>
      </c>
      <c r="Q488" s="431" t="s">
        <v>3697</v>
      </c>
      <c r="R488" s="431" t="s">
        <v>3698</v>
      </c>
      <c r="S488" s="431" t="s">
        <v>3699</v>
      </c>
      <c r="T488" s="431" t="s">
        <v>4289</v>
      </c>
      <c r="U488" s="431" t="s">
        <v>3700</v>
      </c>
      <c r="V488" s="431" t="s">
        <v>3701</v>
      </c>
      <c r="W488" s="432">
        <v>44111.594910624997</v>
      </c>
      <c r="X488" s="432">
        <v>44616.043776840277</v>
      </c>
      <c r="Y488" s="431"/>
      <c r="Z488" s="431"/>
      <c r="AA488" s="431"/>
      <c r="AB488" s="431"/>
      <c r="AC488" s="431"/>
      <c r="AD488" s="436">
        <f t="shared" si="7"/>
        <v>213</v>
      </c>
    </row>
    <row r="489" spans="1:30" ht="14">
      <c r="A489" s="431" t="s">
        <v>3140</v>
      </c>
      <c r="B489" s="431" t="s">
        <v>3141</v>
      </c>
      <c r="C489" s="431" t="s">
        <v>576</v>
      </c>
      <c r="D489" s="431" t="s">
        <v>3142</v>
      </c>
      <c r="E489" s="431" t="s">
        <v>3143</v>
      </c>
      <c r="F489" s="431">
        <v>1237</v>
      </c>
      <c r="G489" s="431">
        <v>2006</v>
      </c>
      <c r="H489" s="431">
        <v>2028</v>
      </c>
      <c r="I489" s="431" t="b">
        <v>1</v>
      </c>
      <c r="J489" s="431" t="s">
        <v>891</v>
      </c>
      <c r="K489" s="431"/>
      <c r="L489" s="431"/>
      <c r="M489" s="431"/>
      <c r="N489" s="431"/>
      <c r="O489" s="431" t="b">
        <v>1</v>
      </c>
      <c r="P489" s="431" t="b">
        <v>0</v>
      </c>
      <c r="Q489" s="431" t="s">
        <v>3144</v>
      </c>
      <c r="R489" s="431" t="s">
        <v>3145</v>
      </c>
      <c r="S489" s="431" t="s">
        <v>3146</v>
      </c>
      <c r="T489" s="431" t="s">
        <v>4600</v>
      </c>
      <c r="U489" s="431" t="s">
        <v>3147</v>
      </c>
      <c r="V489" s="431" t="s">
        <v>3148</v>
      </c>
      <c r="W489" s="432">
        <v>43585.592141134257</v>
      </c>
      <c r="X489" s="432">
        <v>44616.048056701387</v>
      </c>
      <c r="Y489" s="431"/>
      <c r="Z489" s="433">
        <v>40931</v>
      </c>
      <c r="AA489" s="433">
        <v>41166</v>
      </c>
      <c r="AB489" s="433">
        <v>41592</v>
      </c>
      <c r="AC489" s="433">
        <v>41611</v>
      </c>
      <c r="AD489" s="436">
        <f t="shared" si="7"/>
        <v>0</v>
      </c>
    </row>
    <row r="490" spans="1:30" ht="14">
      <c r="A490" s="431" t="s">
        <v>3140</v>
      </c>
      <c r="B490" s="431" t="s">
        <v>3141</v>
      </c>
      <c r="C490" s="431" t="s">
        <v>576</v>
      </c>
      <c r="D490" s="431" t="s">
        <v>3149</v>
      </c>
      <c r="E490" s="431" t="s">
        <v>3150</v>
      </c>
      <c r="F490" s="431">
        <v>1984</v>
      </c>
      <c r="G490" s="431">
        <v>2020</v>
      </c>
      <c r="H490" s="431">
        <v>2036</v>
      </c>
      <c r="I490" s="431" t="b">
        <v>1</v>
      </c>
      <c r="J490" s="431" t="s">
        <v>891</v>
      </c>
      <c r="K490" s="431">
        <v>15017</v>
      </c>
      <c r="L490" s="431"/>
      <c r="M490" s="431"/>
      <c r="N490" s="431"/>
      <c r="O490" s="431" t="b">
        <v>1</v>
      </c>
      <c r="P490" s="431" t="b">
        <v>0</v>
      </c>
      <c r="Q490" s="431" t="s">
        <v>4601</v>
      </c>
      <c r="R490" s="431" t="s">
        <v>3151</v>
      </c>
      <c r="S490" s="431" t="s">
        <v>4602</v>
      </c>
      <c r="T490" s="431"/>
      <c r="U490" s="431" t="s">
        <v>3152</v>
      </c>
      <c r="V490" s="431" t="s">
        <v>4603</v>
      </c>
      <c r="W490" s="432">
        <v>43629.625232905091</v>
      </c>
      <c r="X490" s="432">
        <v>44616.042137256947</v>
      </c>
      <c r="Y490" s="431"/>
      <c r="Z490" s="433">
        <v>44134</v>
      </c>
      <c r="AA490" s="433">
        <v>44329</v>
      </c>
      <c r="AB490" s="431"/>
      <c r="AC490" s="431"/>
      <c r="AD490" s="436">
        <f t="shared" si="7"/>
        <v>938.5625</v>
      </c>
    </row>
    <row r="491" spans="1:30" ht="14">
      <c r="A491" s="431" t="s">
        <v>2368</v>
      </c>
      <c r="B491" s="431" t="s">
        <v>2369</v>
      </c>
      <c r="C491" s="431" t="s">
        <v>356</v>
      </c>
      <c r="D491" s="431" t="s">
        <v>2370</v>
      </c>
      <c r="E491" s="431" t="s">
        <v>2371</v>
      </c>
      <c r="F491" s="431">
        <v>1892</v>
      </c>
      <c r="G491" s="431">
        <v>2014</v>
      </c>
      <c r="H491" s="431">
        <v>2035</v>
      </c>
      <c r="I491" s="431" t="b">
        <v>1</v>
      </c>
      <c r="J491" s="431" t="s">
        <v>891</v>
      </c>
      <c r="K491" s="431">
        <v>13377</v>
      </c>
      <c r="L491" s="431"/>
      <c r="M491" s="431"/>
      <c r="N491" s="431"/>
      <c r="O491" s="431" t="b">
        <v>1</v>
      </c>
      <c r="P491" s="431" t="b">
        <v>0</v>
      </c>
      <c r="Q491" s="431" t="s">
        <v>2372</v>
      </c>
      <c r="R491" s="431"/>
      <c r="S491" s="431"/>
      <c r="T491" s="431" t="s">
        <v>2373</v>
      </c>
      <c r="U491" s="431" t="s">
        <v>2374</v>
      </c>
      <c r="V491" s="431" t="s">
        <v>2375</v>
      </c>
      <c r="W491" s="432">
        <v>43585.592125787036</v>
      </c>
      <c r="X491" s="432">
        <v>44616.045968749997</v>
      </c>
      <c r="Y491" s="431"/>
      <c r="Z491" s="433">
        <v>43126</v>
      </c>
      <c r="AA491" s="433">
        <v>43343</v>
      </c>
      <c r="AB491" s="433">
        <v>43860</v>
      </c>
      <c r="AC491" s="433">
        <v>43894</v>
      </c>
      <c r="AD491" s="436">
        <f t="shared" si="7"/>
        <v>637</v>
      </c>
    </row>
    <row r="492" spans="1:30" ht="14">
      <c r="A492" s="431" t="s">
        <v>2486</v>
      </c>
      <c r="B492" s="431" t="s">
        <v>2487</v>
      </c>
      <c r="C492" s="431" t="s">
        <v>562</v>
      </c>
      <c r="D492" s="431" t="s">
        <v>2488</v>
      </c>
      <c r="E492" s="431" t="s">
        <v>2489</v>
      </c>
      <c r="F492" s="431">
        <v>1811</v>
      </c>
      <c r="G492" s="431">
        <v>2011</v>
      </c>
      <c r="H492" s="431">
        <v>2032</v>
      </c>
      <c r="I492" s="431" t="b">
        <v>1</v>
      </c>
      <c r="J492" s="431" t="s">
        <v>891</v>
      </c>
      <c r="K492" s="431">
        <v>13530</v>
      </c>
      <c r="L492" s="431"/>
      <c r="M492" s="431"/>
      <c r="N492" s="431"/>
      <c r="O492" s="431" t="b">
        <v>1</v>
      </c>
      <c r="P492" s="431" t="b">
        <v>0</v>
      </c>
      <c r="Q492" s="431" t="s">
        <v>2490</v>
      </c>
      <c r="R492" s="431" t="s">
        <v>2491</v>
      </c>
      <c r="S492" s="431" t="s">
        <v>2492</v>
      </c>
      <c r="T492" s="431"/>
      <c r="U492" s="431"/>
      <c r="V492" s="431" t="s">
        <v>2493</v>
      </c>
      <c r="W492" s="432">
        <v>43585.592140717592</v>
      </c>
      <c r="X492" s="432">
        <v>44616.047906759261</v>
      </c>
      <c r="Y492" s="431"/>
      <c r="Z492" s="433">
        <v>42765</v>
      </c>
      <c r="AA492" s="433">
        <v>42948</v>
      </c>
      <c r="AB492" s="433">
        <v>43475</v>
      </c>
      <c r="AC492" s="433">
        <v>43516</v>
      </c>
      <c r="AD492" s="436">
        <f t="shared" si="7"/>
        <v>644.28571428571433</v>
      </c>
    </row>
    <row r="493" spans="1:30" ht="14">
      <c r="A493" s="431" t="s">
        <v>3359</v>
      </c>
      <c r="B493" s="431" t="s">
        <v>3360</v>
      </c>
      <c r="C493" s="431" t="s">
        <v>382</v>
      </c>
      <c r="D493" s="431" t="s">
        <v>3361</v>
      </c>
      <c r="E493" s="431" t="s">
        <v>3362</v>
      </c>
      <c r="F493" s="431">
        <v>1545</v>
      </c>
      <c r="G493" s="431">
        <v>2015</v>
      </c>
      <c r="H493" s="431">
        <v>2030</v>
      </c>
      <c r="I493" s="431" t="b">
        <v>1</v>
      </c>
      <c r="J493" s="431" t="s">
        <v>891</v>
      </c>
      <c r="K493" s="431">
        <v>12330</v>
      </c>
      <c r="L493" s="431"/>
      <c r="M493" s="431"/>
      <c r="N493" s="431"/>
      <c r="O493" s="431" t="b">
        <v>1</v>
      </c>
      <c r="P493" s="431" t="b">
        <v>0</v>
      </c>
      <c r="Q493" s="431" t="s">
        <v>3363</v>
      </c>
      <c r="R493" s="431" t="s">
        <v>3364</v>
      </c>
      <c r="S493" s="431" t="s">
        <v>3365</v>
      </c>
      <c r="T493" s="431" t="s">
        <v>3366</v>
      </c>
      <c r="U493" s="431"/>
      <c r="V493" s="431" t="s">
        <v>3367</v>
      </c>
      <c r="W493" s="432">
        <v>43585.592127916665</v>
      </c>
      <c r="X493" s="432">
        <v>44616.043299143515</v>
      </c>
      <c r="Y493" s="431"/>
      <c r="Z493" s="433">
        <v>41705</v>
      </c>
      <c r="AA493" s="433">
        <v>41871</v>
      </c>
      <c r="AB493" s="433">
        <v>42216</v>
      </c>
      <c r="AC493" s="433">
        <v>42262</v>
      </c>
      <c r="AD493" s="436">
        <f t="shared" si="7"/>
        <v>822</v>
      </c>
    </row>
    <row r="494" spans="1:30" ht="14">
      <c r="A494" s="431" t="s">
        <v>3359</v>
      </c>
      <c r="B494" s="431" t="s">
        <v>3360</v>
      </c>
      <c r="C494" s="431" t="s">
        <v>382</v>
      </c>
      <c r="D494" s="431" t="s">
        <v>1647</v>
      </c>
      <c r="E494" s="431" t="s">
        <v>3368</v>
      </c>
      <c r="F494" s="431">
        <v>1866</v>
      </c>
      <c r="G494" s="431">
        <v>2020</v>
      </c>
      <c r="H494" s="431">
        <v>2035</v>
      </c>
      <c r="I494" s="431" t="b">
        <v>1</v>
      </c>
      <c r="J494" s="431" t="s">
        <v>891</v>
      </c>
      <c r="K494" s="431">
        <v>26700</v>
      </c>
      <c r="L494" s="431"/>
      <c r="M494" s="431"/>
      <c r="N494" s="431"/>
      <c r="O494" s="431" t="b">
        <v>1</v>
      </c>
      <c r="P494" s="431" t="b">
        <v>0</v>
      </c>
      <c r="Q494" s="431" t="s">
        <v>4604</v>
      </c>
      <c r="R494" s="431"/>
      <c r="S494" s="431"/>
      <c r="T494" s="431" t="s">
        <v>4605</v>
      </c>
      <c r="U494" s="431" t="s">
        <v>4606</v>
      </c>
      <c r="V494" s="431" t="s">
        <v>4607</v>
      </c>
      <c r="W494" s="432">
        <v>43678.673610925929</v>
      </c>
      <c r="X494" s="432">
        <v>44616.042598599539</v>
      </c>
      <c r="Y494" s="431"/>
      <c r="Z494" s="433">
        <v>43672</v>
      </c>
      <c r="AA494" s="433">
        <v>44179</v>
      </c>
      <c r="AB494" s="431"/>
      <c r="AC494" s="431"/>
      <c r="AD494" s="436">
        <f t="shared" si="7"/>
        <v>1780</v>
      </c>
    </row>
    <row r="495" spans="1:30" ht="14">
      <c r="A495" s="431" t="s">
        <v>3401</v>
      </c>
      <c r="B495" s="431" t="s">
        <v>3402</v>
      </c>
      <c r="C495" s="431" t="s">
        <v>420</v>
      </c>
      <c r="D495" s="431" t="s">
        <v>3403</v>
      </c>
      <c r="E495" s="431" t="s">
        <v>3404</v>
      </c>
      <c r="F495" s="431">
        <v>765</v>
      </c>
      <c r="G495" s="431">
        <v>2009</v>
      </c>
      <c r="H495" s="431">
        <v>2026</v>
      </c>
      <c r="I495" s="431" t="b">
        <v>1</v>
      </c>
      <c r="J495" s="431" t="s">
        <v>891</v>
      </c>
      <c r="K495" s="431">
        <v>18165</v>
      </c>
      <c r="L495" s="431"/>
      <c r="M495" s="431"/>
      <c r="N495" s="431"/>
      <c r="O495" s="431" t="b">
        <v>1</v>
      </c>
      <c r="P495" s="431" t="b">
        <v>0</v>
      </c>
      <c r="Q495" s="431" t="s">
        <v>3405</v>
      </c>
      <c r="R495" s="431" t="s">
        <v>3406</v>
      </c>
      <c r="S495" s="431" t="s">
        <v>3407</v>
      </c>
      <c r="T495" s="431" t="s">
        <v>4608</v>
      </c>
      <c r="U495" s="431"/>
      <c r="V495" s="431" t="s">
        <v>3408</v>
      </c>
      <c r="W495" s="432">
        <v>43585.592130497687</v>
      </c>
      <c r="X495" s="432">
        <v>44616.046050393517</v>
      </c>
      <c r="Y495" s="431"/>
      <c r="Z495" s="433">
        <v>40228</v>
      </c>
      <c r="AA495" s="433">
        <v>40480</v>
      </c>
      <c r="AB495" s="433">
        <v>40630</v>
      </c>
      <c r="AC495" s="433">
        <v>40723</v>
      </c>
      <c r="AD495" s="436">
        <f t="shared" si="7"/>
        <v>1068.5294117647059</v>
      </c>
    </row>
    <row r="496" spans="1:30" ht="14">
      <c r="A496" s="431" t="s">
        <v>3401</v>
      </c>
      <c r="B496" s="431" t="s">
        <v>3402</v>
      </c>
      <c r="C496" s="431" t="s">
        <v>420</v>
      </c>
      <c r="D496" s="431" t="s">
        <v>4609</v>
      </c>
      <c r="E496" s="431" t="s">
        <v>4610</v>
      </c>
      <c r="F496" s="431">
        <v>2168</v>
      </c>
      <c r="G496" s="431">
        <v>2020</v>
      </c>
      <c r="H496" s="431">
        <v>2040</v>
      </c>
      <c r="I496" s="431" t="b">
        <v>1</v>
      </c>
      <c r="J496" s="431"/>
      <c r="K496" s="431"/>
      <c r="L496" s="431"/>
      <c r="M496" s="431"/>
      <c r="N496" s="431"/>
      <c r="O496" s="431" t="b">
        <v>0</v>
      </c>
      <c r="P496" s="431" t="b">
        <v>0</v>
      </c>
      <c r="Q496" s="431"/>
      <c r="R496" s="431"/>
      <c r="S496" s="431"/>
      <c r="T496" s="431"/>
      <c r="U496" s="431"/>
      <c r="V496" s="431"/>
      <c r="W496" s="432">
        <v>44376.469398171299</v>
      </c>
      <c r="X496" s="432">
        <v>44376.469651018517</v>
      </c>
      <c r="Y496" s="431" t="s">
        <v>978</v>
      </c>
      <c r="Z496" s="431"/>
      <c r="AA496" s="431"/>
      <c r="AB496" s="431"/>
      <c r="AC496" s="431"/>
      <c r="AD496" s="436" t="str">
        <f t="shared" si="7"/>
        <v/>
      </c>
    </row>
    <row r="497" spans="1:30" ht="14">
      <c r="A497" s="431" t="s">
        <v>2870</v>
      </c>
      <c r="B497" s="431" t="s">
        <v>2871</v>
      </c>
      <c r="C497" s="431" t="s">
        <v>738</v>
      </c>
      <c r="D497" s="431" t="s">
        <v>931</v>
      </c>
      <c r="E497" s="431" t="s">
        <v>2872</v>
      </c>
      <c r="F497" s="431">
        <v>1062</v>
      </c>
      <c r="G497" s="431">
        <v>2006</v>
      </c>
      <c r="H497" s="431">
        <v>2026</v>
      </c>
      <c r="I497" s="431" t="b">
        <v>1</v>
      </c>
      <c r="J497" s="431" t="s">
        <v>907</v>
      </c>
      <c r="K497" s="431">
        <v>200</v>
      </c>
      <c r="L497" s="431"/>
      <c r="M497" s="431"/>
      <c r="N497" s="431"/>
      <c r="O497" s="431" t="b">
        <v>1</v>
      </c>
      <c r="P497" s="431" t="b">
        <v>0</v>
      </c>
      <c r="Q497" s="431" t="s">
        <v>2873</v>
      </c>
      <c r="R497" s="431" t="s">
        <v>2874</v>
      </c>
      <c r="S497" s="431" t="s">
        <v>2875</v>
      </c>
      <c r="T497" s="431" t="s">
        <v>2876</v>
      </c>
      <c r="U497" s="431" t="s">
        <v>2877</v>
      </c>
      <c r="V497" s="431" t="s">
        <v>2878</v>
      </c>
      <c r="W497" s="432">
        <v>43585.592116898151</v>
      </c>
      <c r="X497" s="432">
        <v>44616.04746303241</v>
      </c>
      <c r="Y497" s="431"/>
      <c r="Z497" s="433">
        <v>40295</v>
      </c>
      <c r="AA497" s="433">
        <v>40368</v>
      </c>
      <c r="AB497" s="433">
        <v>40603</v>
      </c>
      <c r="AC497" s="433">
        <v>40645</v>
      </c>
      <c r="AD497" s="436">
        <f t="shared" si="7"/>
        <v>200</v>
      </c>
    </row>
    <row r="498" spans="1:30" ht="14">
      <c r="A498" s="431" t="s">
        <v>2870</v>
      </c>
      <c r="B498" s="431" t="s">
        <v>2871</v>
      </c>
      <c r="C498" s="431" t="s">
        <v>738</v>
      </c>
      <c r="D498" s="431" t="s">
        <v>2879</v>
      </c>
      <c r="E498" s="431" t="s">
        <v>2880</v>
      </c>
      <c r="F498" s="431">
        <v>2252</v>
      </c>
      <c r="G498" s="431">
        <v>2020</v>
      </c>
      <c r="H498" s="431">
        <v>2036</v>
      </c>
      <c r="I498" s="431" t="b">
        <v>1</v>
      </c>
      <c r="J498" s="431" t="s">
        <v>891</v>
      </c>
      <c r="K498" s="431">
        <v>3672</v>
      </c>
      <c r="L498" s="431"/>
      <c r="M498" s="431"/>
      <c r="N498" s="431"/>
      <c r="O498" s="431" t="b">
        <v>1</v>
      </c>
      <c r="P498" s="431" t="b">
        <v>0</v>
      </c>
      <c r="Q498" s="431" t="s">
        <v>4611</v>
      </c>
      <c r="R498" s="431" t="s">
        <v>2881</v>
      </c>
      <c r="S498" s="431" t="s">
        <v>4612</v>
      </c>
      <c r="T498" s="431" t="s">
        <v>4613</v>
      </c>
      <c r="U498" s="431"/>
      <c r="V498" s="431" t="s">
        <v>4614</v>
      </c>
      <c r="W498" s="432">
        <v>43664.990507835646</v>
      </c>
      <c r="X498" s="432">
        <v>44616.046007928242</v>
      </c>
      <c r="Y498" s="431"/>
      <c r="Z498" s="433">
        <v>44222</v>
      </c>
      <c r="AA498" s="433">
        <v>44358</v>
      </c>
      <c r="AB498" s="431"/>
      <c r="AC498" s="431"/>
      <c r="AD498" s="436">
        <f t="shared" si="7"/>
        <v>229.5</v>
      </c>
    </row>
    <row r="499" spans="1:30" ht="14">
      <c r="A499" s="431" t="s">
        <v>3207</v>
      </c>
      <c r="B499" s="431" t="s">
        <v>3208</v>
      </c>
      <c r="C499" s="431" t="s">
        <v>235</v>
      </c>
      <c r="D499" s="431" t="s">
        <v>3209</v>
      </c>
      <c r="E499" s="431" t="s">
        <v>3210</v>
      </c>
      <c r="F499" s="431">
        <v>1523</v>
      </c>
      <c r="G499" s="431">
        <v>2011</v>
      </c>
      <c r="H499" s="431">
        <v>2026</v>
      </c>
      <c r="I499" s="431" t="b">
        <v>1</v>
      </c>
      <c r="J499" s="431" t="s">
        <v>907</v>
      </c>
      <c r="K499" s="431">
        <v>110</v>
      </c>
      <c r="L499" s="431"/>
      <c r="M499" s="431"/>
      <c r="N499" s="431"/>
      <c r="O499" s="431" t="b">
        <v>1</v>
      </c>
      <c r="P499" s="431" t="b">
        <v>0</v>
      </c>
      <c r="Q499" s="431" t="s">
        <v>3211</v>
      </c>
      <c r="R499" s="431" t="s">
        <v>3212</v>
      </c>
      <c r="S499" s="431" t="s">
        <v>3213</v>
      </c>
      <c r="T499" s="431" t="s">
        <v>3214</v>
      </c>
      <c r="U499" s="431"/>
      <c r="V499" s="431" t="s">
        <v>3215</v>
      </c>
      <c r="W499" s="432">
        <v>43585.592127546297</v>
      </c>
      <c r="X499" s="432">
        <v>44616.047280497682</v>
      </c>
      <c r="Y499" s="431"/>
      <c r="Z499" s="433">
        <v>41624</v>
      </c>
      <c r="AA499" s="433">
        <v>41780</v>
      </c>
      <c r="AB499" s="433">
        <v>41955</v>
      </c>
      <c r="AC499" s="433">
        <v>42019</v>
      </c>
      <c r="AD499" s="436">
        <f t="shared" si="7"/>
        <v>110</v>
      </c>
    </row>
    <row r="500" spans="1:30" ht="14">
      <c r="A500" s="431" t="s">
        <v>3207</v>
      </c>
      <c r="B500" s="431" t="s">
        <v>3208</v>
      </c>
      <c r="C500" s="431" t="s">
        <v>235</v>
      </c>
      <c r="D500" s="431" t="s">
        <v>3216</v>
      </c>
      <c r="E500" s="431" t="s">
        <v>3217</v>
      </c>
      <c r="F500" s="431">
        <v>1994</v>
      </c>
      <c r="G500" s="431">
        <v>2019</v>
      </c>
      <c r="H500" s="431">
        <v>2036</v>
      </c>
      <c r="I500" s="431" t="b">
        <v>1</v>
      </c>
      <c r="J500" s="431" t="s">
        <v>891</v>
      </c>
      <c r="K500" s="431">
        <v>2482</v>
      </c>
      <c r="L500" s="431"/>
      <c r="M500" s="431"/>
      <c r="N500" s="431"/>
      <c r="O500" s="431" t="b">
        <v>1</v>
      </c>
      <c r="P500" s="431" t="b">
        <v>0</v>
      </c>
      <c r="Q500" s="431" t="s">
        <v>4615</v>
      </c>
      <c r="R500" s="431" t="s">
        <v>3218</v>
      </c>
      <c r="S500" s="431" t="s">
        <v>4616</v>
      </c>
      <c r="T500" s="431" t="s">
        <v>4617</v>
      </c>
      <c r="U500" s="431" t="s">
        <v>4618</v>
      </c>
      <c r="V500" s="431" t="s">
        <v>4619</v>
      </c>
      <c r="W500" s="432">
        <v>44096.531758715275</v>
      </c>
      <c r="X500" s="432">
        <v>44616.043368321756</v>
      </c>
      <c r="Y500" s="431"/>
      <c r="Z500" s="433">
        <v>44274</v>
      </c>
      <c r="AA500" s="431"/>
      <c r="AB500" s="431"/>
      <c r="AC500" s="431"/>
      <c r="AD500" s="436">
        <f t="shared" si="7"/>
        <v>146</v>
      </c>
    </row>
    <row r="501" spans="1:30" ht="14">
      <c r="A501" s="431" t="s">
        <v>3811</v>
      </c>
      <c r="B501" s="431" t="s">
        <v>3812</v>
      </c>
      <c r="C501" s="431" t="s">
        <v>199</v>
      </c>
      <c r="D501" s="431" t="s">
        <v>4103</v>
      </c>
      <c r="E501" s="431" t="s">
        <v>4104</v>
      </c>
      <c r="F501" s="431">
        <v>2175</v>
      </c>
      <c r="G501" s="431">
        <v>2021</v>
      </c>
      <c r="H501" s="431">
        <v>2037</v>
      </c>
      <c r="I501" s="431" t="b">
        <v>1</v>
      </c>
      <c r="J501" s="431" t="s">
        <v>891</v>
      </c>
      <c r="K501" s="431">
        <v>7228</v>
      </c>
      <c r="L501" s="431"/>
      <c r="M501" s="431"/>
      <c r="N501" s="431"/>
      <c r="O501" s="431" t="b">
        <v>1</v>
      </c>
      <c r="P501" s="431" t="b">
        <v>1</v>
      </c>
      <c r="Q501" s="431" t="s">
        <v>4105</v>
      </c>
      <c r="R501" s="431" t="s">
        <v>4106</v>
      </c>
      <c r="S501" s="431" t="s">
        <v>4107</v>
      </c>
      <c r="T501" s="431"/>
      <c r="U501" s="431" t="s">
        <v>4108</v>
      </c>
      <c r="V501" s="431" t="s">
        <v>4109</v>
      </c>
      <c r="W501" s="432">
        <v>44379.364462708334</v>
      </c>
      <c r="X501" s="432">
        <v>44616.048371481484</v>
      </c>
      <c r="Y501" s="431"/>
      <c r="Z501" s="433">
        <v>44417</v>
      </c>
      <c r="AA501" s="431"/>
      <c r="AB501" s="431"/>
      <c r="AC501" s="431"/>
      <c r="AD501" s="436">
        <f t="shared" si="7"/>
        <v>451.75</v>
      </c>
    </row>
    <row r="502" spans="1:30" ht="14">
      <c r="A502" s="431" t="s">
        <v>1382</v>
      </c>
      <c r="B502" s="431" t="s">
        <v>1383</v>
      </c>
      <c r="C502" s="431" t="s">
        <v>392</v>
      </c>
      <c r="D502" s="431" t="s">
        <v>1384</v>
      </c>
      <c r="E502" s="431" t="s">
        <v>1385</v>
      </c>
      <c r="F502" s="431">
        <v>1975</v>
      </c>
      <c r="G502" s="431">
        <v>2015</v>
      </c>
      <c r="H502" s="431">
        <v>2030</v>
      </c>
      <c r="I502" s="431" t="b">
        <v>1</v>
      </c>
      <c r="J502" s="431" t="s">
        <v>891</v>
      </c>
      <c r="K502" s="431">
        <v>105</v>
      </c>
      <c r="L502" s="431"/>
      <c r="M502" s="431"/>
      <c r="N502" s="431"/>
      <c r="O502" s="431" t="b">
        <v>1</v>
      </c>
      <c r="P502" s="431" t="b">
        <v>0</v>
      </c>
      <c r="Q502" s="431" t="s">
        <v>4620</v>
      </c>
      <c r="R502" s="431" t="s">
        <v>1386</v>
      </c>
      <c r="S502" s="431" t="s">
        <v>4621</v>
      </c>
      <c r="T502" s="431"/>
      <c r="U502" s="431"/>
      <c r="V502" s="431" t="s">
        <v>4622</v>
      </c>
      <c r="W502" s="432">
        <v>43599.708825057867</v>
      </c>
      <c r="X502" s="432">
        <v>44616.04275177083</v>
      </c>
      <c r="Y502" s="431"/>
      <c r="Z502" s="433">
        <v>43518</v>
      </c>
      <c r="AA502" s="433">
        <v>43738</v>
      </c>
      <c r="AB502" s="433">
        <v>44250</v>
      </c>
      <c r="AC502" s="433">
        <v>44280</v>
      </c>
      <c r="AD502" s="436">
        <f t="shared" si="7"/>
        <v>7</v>
      </c>
    </row>
    <row r="503" spans="1:30" ht="14">
      <c r="A503" s="431" t="s">
        <v>1110</v>
      </c>
      <c r="B503" s="431" t="s">
        <v>1111</v>
      </c>
      <c r="C503" s="431" t="s">
        <v>484</v>
      </c>
      <c r="D503" s="431" t="s">
        <v>1120</v>
      </c>
      <c r="E503" s="431" t="s">
        <v>1121</v>
      </c>
      <c r="F503" s="431">
        <v>1200</v>
      </c>
      <c r="G503" s="431">
        <v>2006</v>
      </c>
      <c r="H503" s="431">
        <v>2026</v>
      </c>
      <c r="I503" s="431" t="b">
        <v>1</v>
      </c>
      <c r="J503" s="431" t="s">
        <v>891</v>
      </c>
      <c r="K503" s="431">
        <v>20985</v>
      </c>
      <c r="L503" s="431"/>
      <c r="M503" s="431"/>
      <c r="N503" s="431"/>
      <c r="O503" s="431" t="b">
        <v>1</v>
      </c>
      <c r="P503" s="431" t="b">
        <v>0</v>
      </c>
      <c r="Q503" s="431" t="s">
        <v>1122</v>
      </c>
      <c r="R503" s="431" t="s">
        <v>1123</v>
      </c>
      <c r="S503" s="431" t="s">
        <v>1124</v>
      </c>
      <c r="T503" s="431" t="s">
        <v>1125</v>
      </c>
      <c r="U503" s="431" t="s">
        <v>1126</v>
      </c>
      <c r="V503" s="431" t="s">
        <v>1127</v>
      </c>
      <c r="W503" s="432">
        <v>43663.566865185188</v>
      </c>
      <c r="X503" s="432">
        <v>44616.043833541669</v>
      </c>
      <c r="Y503" s="431"/>
      <c r="Z503" s="433">
        <v>41442</v>
      </c>
      <c r="AA503" s="433">
        <v>41442</v>
      </c>
      <c r="AB503" s="433">
        <v>42074</v>
      </c>
      <c r="AC503" s="433">
        <v>42265</v>
      </c>
      <c r="AD503" s="436">
        <f t="shared" si="7"/>
        <v>1049.25</v>
      </c>
    </row>
    <row r="504" spans="1:30" ht="14">
      <c r="A504" s="431" t="s">
        <v>1110</v>
      </c>
      <c r="B504" s="431" t="s">
        <v>1111</v>
      </c>
      <c r="C504" s="431" t="s">
        <v>484</v>
      </c>
      <c r="D504" s="431" t="s">
        <v>1112</v>
      </c>
      <c r="E504" s="431" t="s">
        <v>1113</v>
      </c>
      <c r="F504" s="431">
        <v>1716</v>
      </c>
      <c r="G504" s="431">
        <v>2006</v>
      </c>
      <c r="H504" s="431">
        <v>2026</v>
      </c>
      <c r="I504" s="431" t="b">
        <v>1</v>
      </c>
      <c r="J504" s="431" t="s">
        <v>891</v>
      </c>
      <c r="K504" s="431">
        <v>20985</v>
      </c>
      <c r="L504" s="431"/>
      <c r="M504" s="431"/>
      <c r="N504" s="431"/>
      <c r="O504" s="431" t="b">
        <v>1</v>
      </c>
      <c r="P504" s="431" t="b">
        <v>0</v>
      </c>
      <c r="Q504" s="431" t="s">
        <v>1114</v>
      </c>
      <c r="R504" s="431" t="s">
        <v>1115</v>
      </c>
      <c r="S504" s="431" t="s">
        <v>1116</v>
      </c>
      <c r="T504" s="431" t="s">
        <v>1117</v>
      </c>
      <c r="U504" s="431" t="s">
        <v>1118</v>
      </c>
      <c r="V504" s="431" t="s">
        <v>1119</v>
      </c>
      <c r="W504" s="432">
        <v>43663.574760729163</v>
      </c>
      <c r="X504" s="432">
        <v>44616.046302118055</v>
      </c>
      <c r="Y504" s="431"/>
      <c r="Z504" s="433">
        <v>42377</v>
      </c>
      <c r="AA504" s="433">
        <v>42377</v>
      </c>
      <c r="AB504" s="433">
        <v>43047</v>
      </c>
      <c r="AC504" s="433">
        <v>42745</v>
      </c>
      <c r="AD504" s="436">
        <f t="shared" si="7"/>
        <v>1049.25</v>
      </c>
    </row>
    <row r="505" spans="1:30" ht="14">
      <c r="A505" s="431" t="s">
        <v>1110</v>
      </c>
      <c r="B505" s="431" t="s">
        <v>1111</v>
      </c>
      <c r="C505" s="431" t="s">
        <v>484</v>
      </c>
      <c r="D505" s="431" t="s">
        <v>3622</v>
      </c>
      <c r="E505" s="431" t="s">
        <v>3623</v>
      </c>
      <c r="F505" s="431">
        <v>1873</v>
      </c>
      <c r="G505" s="431">
        <v>2016</v>
      </c>
      <c r="H505" s="431">
        <v>2036</v>
      </c>
      <c r="I505" s="431" t="b">
        <v>1</v>
      </c>
      <c r="J505" s="431" t="s">
        <v>891</v>
      </c>
      <c r="K505" s="431">
        <v>25000</v>
      </c>
      <c r="L505" s="431"/>
      <c r="M505" s="431"/>
      <c r="N505" s="431"/>
      <c r="O505" s="431" t="b">
        <v>1</v>
      </c>
      <c r="P505" s="431" t="b">
        <v>1</v>
      </c>
      <c r="Q505" s="431" t="s">
        <v>3624</v>
      </c>
      <c r="R505" s="431"/>
      <c r="S505" s="431"/>
      <c r="T505" s="431" t="s">
        <v>3625</v>
      </c>
      <c r="U505" s="431" t="s">
        <v>3626</v>
      </c>
      <c r="V505" s="431" t="s">
        <v>3627</v>
      </c>
      <c r="W505" s="432">
        <v>43585.592110115744</v>
      </c>
      <c r="X505" s="432">
        <v>44616.048784398146</v>
      </c>
      <c r="Y505" s="431"/>
      <c r="Z505" s="433">
        <v>43061</v>
      </c>
      <c r="AA505" s="433">
        <v>43203</v>
      </c>
      <c r="AB505" s="431"/>
      <c r="AC505" s="431"/>
      <c r="AD505" s="436">
        <f t="shared" si="7"/>
        <v>1250</v>
      </c>
    </row>
    <row r="506" spans="1:30" ht="14">
      <c r="A506" s="431" t="s">
        <v>3094</v>
      </c>
      <c r="B506" s="431" t="s">
        <v>3095</v>
      </c>
      <c r="C506" s="431" t="s">
        <v>486</v>
      </c>
      <c r="D506" s="431" t="s">
        <v>3096</v>
      </c>
      <c r="E506" s="431" t="s">
        <v>3097</v>
      </c>
      <c r="F506" s="431">
        <v>1510</v>
      </c>
      <c r="G506" s="431">
        <v>2011</v>
      </c>
      <c r="H506" s="431">
        <v>2032</v>
      </c>
      <c r="I506" s="431" t="b">
        <v>1</v>
      </c>
      <c r="J506" s="431" t="s">
        <v>891</v>
      </c>
      <c r="K506" s="431">
        <v>16593</v>
      </c>
      <c r="L506" s="431"/>
      <c r="M506" s="431"/>
      <c r="N506" s="431"/>
      <c r="O506" s="431" t="b">
        <v>1</v>
      </c>
      <c r="P506" s="431" t="b">
        <v>0</v>
      </c>
      <c r="Q506" s="431" t="s">
        <v>3098</v>
      </c>
      <c r="R506" s="431" t="s">
        <v>3099</v>
      </c>
      <c r="S506" s="431" t="s">
        <v>4623</v>
      </c>
      <c r="T506" s="431" t="s">
        <v>3100</v>
      </c>
      <c r="U506" s="431" t="s">
        <v>3101</v>
      </c>
      <c r="V506" s="431" t="s">
        <v>3102</v>
      </c>
      <c r="W506" s="432">
        <v>43600.419790717591</v>
      </c>
      <c r="X506" s="432">
        <v>44616.043465104165</v>
      </c>
      <c r="Y506" s="431"/>
      <c r="Z506" s="433">
        <v>42310</v>
      </c>
      <c r="AA506" s="433">
        <v>42551</v>
      </c>
      <c r="AB506" s="433">
        <v>42864</v>
      </c>
      <c r="AC506" s="433">
        <v>42936</v>
      </c>
      <c r="AD506" s="436">
        <f t="shared" si="7"/>
        <v>790.14285714285711</v>
      </c>
    </row>
    <row r="507" spans="1:30" ht="14">
      <c r="A507" s="431" t="s">
        <v>2990</v>
      </c>
      <c r="B507" s="431" t="s">
        <v>2991</v>
      </c>
      <c r="C507" s="431" t="s">
        <v>556</v>
      </c>
      <c r="D507" s="431" t="s">
        <v>4103</v>
      </c>
      <c r="E507" s="431" t="s">
        <v>4104</v>
      </c>
      <c r="F507" s="431">
        <v>2175</v>
      </c>
      <c r="G507" s="431">
        <v>2021</v>
      </c>
      <c r="H507" s="431">
        <v>2037</v>
      </c>
      <c r="I507" s="431" t="b">
        <v>1</v>
      </c>
      <c r="J507" s="431" t="s">
        <v>891</v>
      </c>
      <c r="K507" s="431">
        <v>26528</v>
      </c>
      <c r="L507" s="431"/>
      <c r="M507" s="431"/>
      <c r="N507" s="431"/>
      <c r="O507" s="431" t="b">
        <v>1</v>
      </c>
      <c r="P507" s="431" t="b">
        <v>1</v>
      </c>
      <c r="Q507" s="431" t="s">
        <v>4105</v>
      </c>
      <c r="R507" s="431" t="s">
        <v>4106</v>
      </c>
      <c r="S507" s="431" t="s">
        <v>4107</v>
      </c>
      <c r="T507" s="431"/>
      <c r="U507" s="431" t="s">
        <v>4108</v>
      </c>
      <c r="V507" s="431" t="s">
        <v>4109</v>
      </c>
      <c r="W507" s="432">
        <v>44379.364462708334</v>
      </c>
      <c r="X507" s="432">
        <v>44616.048371481484</v>
      </c>
      <c r="Y507" s="431"/>
      <c r="Z507" s="433">
        <v>44417</v>
      </c>
      <c r="AA507" s="431"/>
      <c r="AB507" s="431"/>
      <c r="AC507" s="431"/>
      <c r="AD507" s="436">
        <f t="shared" si="7"/>
        <v>1658</v>
      </c>
    </row>
    <row r="508" spans="1:30" ht="14">
      <c r="A508" s="431" t="s">
        <v>3813</v>
      </c>
      <c r="B508" s="431" t="s">
        <v>3814</v>
      </c>
      <c r="C508" s="431" t="s">
        <v>646</v>
      </c>
      <c r="D508" s="431" t="s">
        <v>4103</v>
      </c>
      <c r="E508" s="431" t="s">
        <v>4104</v>
      </c>
      <c r="F508" s="431">
        <v>2175</v>
      </c>
      <c r="G508" s="431">
        <v>2021</v>
      </c>
      <c r="H508" s="431">
        <v>2037</v>
      </c>
      <c r="I508" s="431" t="b">
        <v>1</v>
      </c>
      <c r="J508" s="431" t="s">
        <v>891</v>
      </c>
      <c r="K508" s="431">
        <v>7758</v>
      </c>
      <c r="L508" s="431"/>
      <c r="M508" s="431"/>
      <c r="N508" s="431"/>
      <c r="O508" s="431" t="b">
        <v>1</v>
      </c>
      <c r="P508" s="431" t="b">
        <v>1</v>
      </c>
      <c r="Q508" s="431" t="s">
        <v>4105</v>
      </c>
      <c r="R508" s="431" t="s">
        <v>4106</v>
      </c>
      <c r="S508" s="431" t="s">
        <v>4107</v>
      </c>
      <c r="T508" s="431"/>
      <c r="U508" s="431" t="s">
        <v>4108</v>
      </c>
      <c r="V508" s="431" t="s">
        <v>4109</v>
      </c>
      <c r="W508" s="432">
        <v>44379.364462708334</v>
      </c>
      <c r="X508" s="432">
        <v>44616.048371481484</v>
      </c>
      <c r="Y508" s="431"/>
      <c r="Z508" s="433">
        <v>44417</v>
      </c>
      <c r="AA508" s="431"/>
      <c r="AB508" s="431"/>
      <c r="AC508" s="431"/>
      <c r="AD508" s="436">
        <f t="shared" si="7"/>
        <v>484.875</v>
      </c>
    </row>
    <row r="509" spans="1:30" ht="14">
      <c r="A509" s="431" t="s">
        <v>3052</v>
      </c>
      <c r="B509" s="431" t="s">
        <v>3053</v>
      </c>
      <c r="C509" s="431" t="s">
        <v>728</v>
      </c>
      <c r="D509" s="431" t="s">
        <v>3054</v>
      </c>
      <c r="E509" s="431" t="s">
        <v>3055</v>
      </c>
      <c r="F509" s="431">
        <v>2025</v>
      </c>
      <c r="G509" s="431">
        <v>2020</v>
      </c>
      <c r="H509" s="431">
        <v>2037</v>
      </c>
      <c r="I509" s="431" t="b">
        <v>1</v>
      </c>
      <c r="J509" s="431" t="s">
        <v>891</v>
      </c>
      <c r="K509" s="431">
        <v>18990</v>
      </c>
      <c r="L509" s="431"/>
      <c r="M509" s="431"/>
      <c r="N509" s="431"/>
      <c r="O509" s="431" t="b">
        <v>1</v>
      </c>
      <c r="P509" s="431" t="b">
        <v>0</v>
      </c>
      <c r="Q509" s="431"/>
      <c r="R509" s="431"/>
      <c r="S509" s="431"/>
      <c r="T509" s="431" t="s">
        <v>2422</v>
      </c>
      <c r="U509" s="431"/>
      <c r="V509" s="431"/>
      <c r="W509" s="432">
        <v>43600.497993391204</v>
      </c>
      <c r="X509" s="432">
        <v>44616.047303414351</v>
      </c>
      <c r="Y509" s="431"/>
      <c r="Z509" s="431"/>
      <c r="AA509" s="431"/>
      <c r="AB509" s="431"/>
      <c r="AC509" s="431"/>
      <c r="AD509" s="436">
        <f t="shared" si="7"/>
        <v>1117.0588235294117</v>
      </c>
    </row>
    <row r="510" spans="1:30" ht="14">
      <c r="A510" s="431" t="s">
        <v>4624</v>
      </c>
      <c r="B510" s="431" t="s">
        <v>4625</v>
      </c>
      <c r="C510" s="431" t="s">
        <v>122</v>
      </c>
      <c r="D510" s="431" t="s">
        <v>4626</v>
      </c>
      <c r="E510" s="431" t="s">
        <v>4627</v>
      </c>
      <c r="F510" s="431">
        <v>2131</v>
      </c>
      <c r="G510" s="431">
        <v>2018</v>
      </c>
      <c r="H510" s="431">
        <v>2037</v>
      </c>
      <c r="I510" s="431" t="b">
        <v>1</v>
      </c>
      <c r="J510" s="431"/>
      <c r="K510" s="431"/>
      <c r="L510" s="431"/>
      <c r="M510" s="431"/>
      <c r="N510" s="431"/>
      <c r="O510" s="431" t="b">
        <v>0</v>
      </c>
      <c r="P510" s="431" t="b">
        <v>0</v>
      </c>
      <c r="Q510" s="431"/>
      <c r="R510" s="431"/>
      <c r="S510" s="431"/>
      <c r="T510" s="431"/>
      <c r="U510" s="431"/>
      <c r="V510" s="431"/>
      <c r="W510" s="432">
        <v>44152.500030752315</v>
      </c>
      <c r="X510" s="432">
        <v>44152.500157303242</v>
      </c>
      <c r="Y510" s="431" t="s">
        <v>978</v>
      </c>
      <c r="Z510" s="431"/>
      <c r="AA510" s="431"/>
      <c r="AB510" s="431"/>
      <c r="AC510" s="431"/>
      <c r="AD510" s="436" t="str">
        <f t="shared" si="7"/>
        <v/>
      </c>
    </row>
    <row r="511" spans="1:30" ht="14">
      <c r="A511" s="431" t="s">
        <v>1764</v>
      </c>
      <c r="B511" s="431" t="s">
        <v>1765</v>
      </c>
      <c r="C511" s="431" t="s">
        <v>179</v>
      </c>
      <c r="D511" s="431" t="s">
        <v>1766</v>
      </c>
      <c r="E511" s="431" t="s">
        <v>1767</v>
      </c>
      <c r="F511" s="431">
        <v>1946</v>
      </c>
      <c r="G511" s="431">
        <v>2016</v>
      </c>
      <c r="H511" s="431">
        <v>2033</v>
      </c>
      <c r="I511" s="431" t="b">
        <v>1</v>
      </c>
      <c r="J511" s="431" t="s">
        <v>891</v>
      </c>
      <c r="K511" s="431">
        <v>7752</v>
      </c>
      <c r="L511" s="431"/>
      <c r="M511" s="431"/>
      <c r="N511" s="431"/>
      <c r="O511" s="431" t="b">
        <v>1</v>
      </c>
      <c r="P511" s="431" t="b">
        <v>0</v>
      </c>
      <c r="Q511" s="431" t="s">
        <v>1768</v>
      </c>
      <c r="R511" s="431" t="s">
        <v>1769</v>
      </c>
      <c r="S511" s="431" t="s">
        <v>1770</v>
      </c>
      <c r="T511" s="431" t="s">
        <v>4628</v>
      </c>
      <c r="U511" s="431"/>
      <c r="V511" s="431" t="s">
        <v>1771</v>
      </c>
      <c r="W511" s="432">
        <v>43595.38211269676</v>
      </c>
      <c r="X511" s="432">
        <v>44616.044509016203</v>
      </c>
      <c r="Y511" s="431"/>
      <c r="Z511" s="433">
        <v>43501</v>
      </c>
      <c r="AA511" s="433">
        <v>43878</v>
      </c>
      <c r="AB511" s="431"/>
      <c r="AC511" s="431"/>
      <c r="AD511" s="436">
        <f t="shared" si="7"/>
        <v>456</v>
      </c>
    </row>
    <row r="512" spans="1:30" ht="14">
      <c r="A512" s="431" t="s">
        <v>3514</v>
      </c>
      <c r="B512" s="431" t="s">
        <v>3515</v>
      </c>
      <c r="C512" s="431" t="s">
        <v>3516</v>
      </c>
      <c r="D512" s="431" t="s">
        <v>3517</v>
      </c>
      <c r="E512" s="431" t="s">
        <v>3518</v>
      </c>
      <c r="F512" s="431">
        <v>2095</v>
      </c>
      <c r="G512" s="431">
        <v>2017</v>
      </c>
      <c r="H512" s="431">
        <v>2037</v>
      </c>
      <c r="I512" s="431" t="b">
        <v>1</v>
      </c>
      <c r="J512" s="431" t="s">
        <v>891</v>
      </c>
      <c r="K512" s="431">
        <v>160</v>
      </c>
      <c r="L512" s="431"/>
      <c r="M512" s="431"/>
      <c r="N512" s="431"/>
      <c r="O512" s="431" t="b">
        <v>1</v>
      </c>
      <c r="P512" s="431" t="b">
        <v>0</v>
      </c>
      <c r="Q512" s="431" t="s">
        <v>3519</v>
      </c>
      <c r="R512" s="431" t="s">
        <v>3520</v>
      </c>
      <c r="S512" s="431" t="s">
        <v>3521</v>
      </c>
      <c r="T512" s="431" t="s">
        <v>3522</v>
      </c>
      <c r="U512" s="431" t="s">
        <v>3523</v>
      </c>
      <c r="V512" s="431" t="s">
        <v>3524</v>
      </c>
      <c r="W512" s="432">
        <v>43620.441716435183</v>
      </c>
      <c r="X512" s="432">
        <v>44616.043158182867</v>
      </c>
      <c r="Y512" s="431"/>
      <c r="Z512" s="433">
        <v>43616</v>
      </c>
      <c r="AA512" s="433">
        <v>43738</v>
      </c>
      <c r="AB512" s="433">
        <v>43999</v>
      </c>
      <c r="AC512" s="433">
        <v>44027</v>
      </c>
      <c r="AD512" s="436">
        <f t="shared" si="7"/>
        <v>8</v>
      </c>
    </row>
    <row r="513" spans="1:30" ht="14">
      <c r="A513" s="431" t="s">
        <v>1222</v>
      </c>
      <c r="B513" s="431" t="s">
        <v>1223</v>
      </c>
      <c r="C513" s="431" t="s">
        <v>440</v>
      </c>
      <c r="D513" s="431" t="s">
        <v>1224</v>
      </c>
      <c r="E513" s="431" t="s">
        <v>1225</v>
      </c>
      <c r="F513" s="431">
        <v>1949</v>
      </c>
      <c r="G513" s="431">
        <v>2019</v>
      </c>
      <c r="H513" s="431">
        <v>2037</v>
      </c>
      <c r="I513" s="431" t="b">
        <v>1</v>
      </c>
      <c r="J513" s="431"/>
      <c r="K513" s="431"/>
      <c r="L513" s="431"/>
      <c r="M513" s="431"/>
      <c r="N513" s="431"/>
      <c r="O513" s="431" t="b">
        <v>0</v>
      </c>
      <c r="P513" s="431" t="b">
        <v>0</v>
      </c>
      <c r="Q513" s="431"/>
      <c r="R513" s="431"/>
      <c r="S513" s="431"/>
      <c r="T513" s="431"/>
      <c r="U513" s="431"/>
      <c r="V513" s="431"/>
      <c r="W513" s="432">
        <v>44053.590157500003</v>
      </c>
      <c r="X513" s="432">
        <v>44090.664878935182</v>
      </c>
      <c r="Y513" s="431" t="s">
        <v>978</v>
      </c>
      <c r="Z513" s="431"/>
      <c r="AA513" s="431"/>
      <c r="AB513" s="431"/>
      <c r="AC513" s="431"/>
      <c r="AD513" s="436" t="str">
        <f t="shared" si="7"/>
        <v/>
      </c>
    </row>
    <row r="514" spans="1:30" ht="14">
      <c r="A514" s="431" t="s">
        <v>1772</v>
      </c>
      <c r="B514" s="431" t="s">
        <v>1773</v>
      </c>
      <c r="C514" s="431" t="s">
        <v>213</v>
      </c>
      <c r="D514" s="431" t="s">
        <v>1774</v>
      </c>
      <c r="E514" s="434" t="s">
        <v>1775</v>
      </c>
      <c r="F514" s="431">
        <v>2233</v>
      </c>
      <c r="G514" s="431">
        <v>2018</v>
      </c>
      <c r="H514" s="431">
        <v>2033</v>
      </c>
      <c r="I514" s="431" t="b">
        <v>1</v>
      </c>
      <c r="J514" s="431" t="s">
        <v>891</v>
      </c>
      <c r="K514" s="431">
        <v>5367</v>
      </c>
      <c r="L514" s="431"/>
      <c r="M514" s="431"/>
      <c r="N514" s="431"/>
      <c r="O514" s="431" t="b">
        <v>1</v>
      </c>
      <c r="P514" s="431" t="b">
        <v>0</v>
      </c>
      <c r="Q514" s="431" t="s">
        <v>1776</v>
      </c>
      <c r="R514" s="431" t="s">
        <v>1777</v>
      </c>
      <c r="S514" s="431" t="s">
        <v>1778</v>
      </c>
      <c r="T514" s="431"/>
      <c r="U514" s="431" t="s">
        <v>1779</v>
      </c>
      <c r="V514" s="431" t="s">
        <v>1780</v>
      </c>
      <c r="W514" s="432">
        <v>43865.684021134257</v>
      </c>
      <c r="X514" s="432">
        <v>44616.047325081017</v>
      </c>
      <c r="Y514" s="431"/>
      <c r="Z514" s="433">
        <v>43815</v>
      </c>
      <c r="AA514" s="433">
        <v>44106</v>
      </c>
      <c r="AB514" s="431"/>
      <c r="AC514" s="431"/>
      <c r="AD514" s="436">
        <f t="shared" ref="AD514:AD561" si="8">IF(AND(N514&lt;&gt;"",P514=TRUE,J514="HOUSING_REQUIREMENT_TOTAL"),N514/(H514-G514),IF(J514="HOUSING_REQUIREMENT_TOTAL",K514/(H514-G514),IF(J514="HOUSING_REQUIREMENT_RANGE",L514/(H514-G514),IF(J514="HOUSING_REQUIREMENT_YEARLY_AVERAGE",K514,IF(J514="HOUSING_REQUIREMENT_YEARLY_RANGE",L514,"")))))</f>
        <v>357.8</v>
      </c>
    </row>
    <row r="515" spans="1:30" ht="14">
      <c r="A515" s="431" t="s">
        <v>4629</v>
      </c>
      <c r="B515" s="431" t="s">
        <v>168</v>
      </c>
      <c r="C515" s="431" t="s">
        <v>167</v>
      </c>
      <c r="D515" s="431" t="s">
        <v>4630</v>
      </c>
      <c r="E515" s="431" t="s">
        <v>4631</v>
      </c>
      <c r="F515" s="431">
        <v>2143</v>
      </c>
      <c r="G515" s="431">
        <v>2019</v>
      </c>
      <c r="H515" s="431">
        <v>2034</v>
      </c>
      <c r="I515" s="431" t="b">
        <v>1</v>
      </c>
      <c r="J515" s="431"/>
      <c r="K515" s="431"/>
      <c r="L515" s="431"/>
      <c r="M515" s="431"/>
      <c r="N515" s="431"/>
      <c r="O515" s="431" t="b">
        <v>0</v>
      </c>
      <c r="P515" s="431" t="b">
        <v>0</v>
      </c>
      <c r="Q515" s="431"/>
      <c r="R515" s="431"/>
      <c r="S515" s="431"/>
      <c r="T515" s="431"/>
      <c r="U515" s="431"/>
      <c r="V515" s="431"/>
      <c r="W515" s="432">
        <v>44364.462235057872</v>
      </c>
      <c r="X515" s="432">
        <v>44364.462484641204</v>
      </c>
      <c r="Y515" s="431" t="s">
        <v>978</v>
      </c>
      <c r="Z515" s="431"/>
      <c r="AA515" s="431"/>
      <c r="AB515" s="431"/>
      <c r="AC515" s="431"/>
      <c r="AD515" s="436" t="str">
        <f t="shared" si="8"/>
        <v/>
      </c>
    </row>
    <row r="516" spans="1:30" ht="14">
      <c r="A516" s="431" t="s">
        <v>4632</v>
      </c>
      <c r="B516" s="431" t="s">
        <v>4633</v>
      </c>
      <c r="C516" s="431" t="s">
        <v>270</v>
      </c>
      <c r="D516" s="431" t="s">
        <v>4634</v>
      </c>
      <c r="E516" s="431" t="s">
        <v>4635</v>
      </c>
      <c r="F516" s="431">
        <v>2145</v>
      </c>
      <c r="G516" s="431">
        <v>2021</v>
      </c>
      <c r="H516" s="431">
        <v>2038</v>
      </c>
      <c r="I516" s="431" t="b">
        <v>1</v>
      </c>
      <c r="J516" s="431" t="s">
        <v>891</v>
      </c>
      <c r="K516" s="431">
        <v>30481</v>
      </c>
      <c r="L516" s="431"/>
      <c r="M516" s="431"/>
      <c r="N516" s="431"/>
      <c r="O516" s="431" t="b">
        <v>1</v>
      </c>
      <c r="P516" s="431" t="b">
        <v>0</v>
      </c>
      <c r="Q516" s="431" t="s">
        <v>4636</v>
      </c>
      <c r="R516" s="431" t="s">
        <v>4637</v>
      </c>
      <c r="S516" s="431" t="s">
        <v>4638</v>
      </c>
      <c r="T516" s="431" t="s">
        <v>4639</v>
      </c>
      <c r="U516" s="431" t="s">
        <v>4640</v>
      </c>
      <c r="V516" s="431" t="s">
        <v>4641</v>
      </c>
      <c r="W516" s="432">
        <v>44364.456211041666</v>
      </c>
      <c r="X516" s="432">
        <v>44616.042312789352</v>
      </c>
      <c r="Y516" s="431"/>
      <c r="Z516" s="431"/>
      <c r="AA516" s="431"/>
      <c r="AB516" s="431"/>
      <c r="AC516" s="431"/>
      <c r="AD516" s="436">
        <f t="shared" si="8"/>
        <v>1793</v>
      </c>
    </row>
    <row r="517" spans="1:30" ht="14">
      <c r="A517" s="431" t="s">
        <v>2951</v>
      </c>
      <c r="B517" s="431" t="s">
        <v>579</v>
      </c>
      <c r="C517" s="431" t="s">
        <v>578</v>
      </c>
      <c r="D517" s="431" t="s">
        <v>2952</v>
      </c>
      <c r="E517" s="431" t="s">
        <v>2953</v>
      </c>
      <c r="F517" s="431">
        <v>2119</v>
      </c>
      <c r="G517" s="431">
        <v>2020</v>
      </c>
      <c r="H517" s="431">
        <v>2040</v>
      </c>
      <c r="I517" s="431" t="b">
        <v>1</v>
      </c>
      <c r="J517" s="431" t="s">
        <v>891</v>
      </c>
      <c r="K517" s="431">
        <v>19900</v>
      </c>
      <c r="L517" s="431"/>
      <c r="M517" s="431"/>
      <c r="N517" s="431"/>
      <c r="O517" s="431" t="b">
        <v>1</v>
      </c>
      <c r="P517" s="431" t="b">
        <v>0</v>
      </c>
      <c r="Q517" s="431" t="s">
        <v>2954</v>
      </c>
      <c r="R517" s="431" t="s">
        <v>2955</v>
      </c>
      <c r="S517" s="431" t="s">
        <v>2956</v>
      </c>
      <c r="T517" s="431" t="s">
        <v>4642</v>
      </c>
      <c r="U517" s="431" t="s">
        <v>2957</v>
      </c>
      <c r="V517" s="431" t="s">
        <v>2958</v>
      </c>
      <c r="W517" s="432">
        <v>44147.584942581016</v>
      </c>
      <c r="X517" s="432">
        <v>44616.041931145832</v>
      </c>
      <c r="Y517" s="431"/>
      <c r="Z517" s="431"/>
      <c r="AA517" s="431"/>
      <c r="AB517" s="431"/>
      <c r="AC517" s="431"/>
      <c r="AD517" s="436">
        <f t="shared" si="8"/>
        <v>995</v>
      </c>
    </row>
    <row r="518" spans="1:30" ht="14">
      <c r="A518" s="431" t="s">
        <v>4643</v>
      </c>
      <c r="B518" s="431" t="s">
        <v>717</v>
      </c>
      <c r="C518" s="431" t="s">
        <v>716</v>
      </c>
      <c r="D518" s="431" t="s">
        <v>4644</v>
      </c>
      <c r="E518" s="431" t="s">
        <v>4645</v>
      </c>
      <c r="F518" s="431">
        <v>2172</v>
      </c>
      <c r="G518" s="431">
        <v>2020</v>
      </c>
      <c r="H518" s="431">
        <v>2041</v>
      </c>
      <c r="I518" s="431" t="b">
        <v>1</v>
      </c>
      <c r="J518" s="431"/>
      <c r="K518" s="431"/>
      <c r="L518" s="431"/>
      <c r="M518" s="431"/>
      <c r="N518" s="431"/>
      <c r="O518" s="431" t="b">
        <v>0</v>
      </c>
      <c r="P518" s="431" t="b">
        <v>0</v>
      </c>
      <c r="Q518" s="431"/>
      <c r="R518" s="431"/>
      <c r="S518" s="431"/>
      <c r="T518" s="431"/>
      <c r="U518" s="431"/>
      <c r="V518" s="431"/>
      <c r="W518" s="432">
        <v>44376.490462627313</v>
      </c>
      <c r="X518" s="432">
        <v>44376.490781134256</v>
      </c>
      <c r="Y518" s="431" t="s">
        <v>978</v>
      </c>
      <c r="Z518" s="431"/>
      <c r="AA518" s="431"/>
      <c r="AB518" s="431"/>
      <c r="AC518" s="431"/>
      <c r="AD518" s="436" t="str">
        <f t="shared" si="8"/>
        <v/>
      </c>
    </row>
    <row r="519" spans="1:30" ht="14">
      <c r="A519" s="431"/>
      <c r="B519" s="431"/>
      <c r="C519" s="431"/>
      <c r="D519" s="431"/>
      <c r="E519" s="431"/>
      <c r="F519" s="431"/>
      <c r="G519" s="431"/>
      <c r="H519" s="431"/>
      <c r="I519" s="431"/>
      <c r="J519" s="431"/>
      <c r="K519" s="431"/>
      <c r="L519" s="431"/>
      <c r="M519" s="431"/>
      <c r="N519" s="431"/>
      <c r="O519" s="431"/>
      <c r="P519" s="431"/>
      <c r="Q519" s="431"/>
      <c r="R519" s="431"/>
      <c r="S519" s="431"/>
      <c r="T519" s="431"/>
      <c r="U519" s="431"/>
      <c r="V519" s="431"/>
      <c r="W519" s="431"/>
      <c r="X519" s="431"/>
      <c r="Y519" s="431"/>
      <c r="Z519" s="431"/>
      <c r="AA519" s="431"/>
      <c r="AB519" s="431"/>
      <c r="AC519" s="431"/>
      <c r="AD519" s="436" t="str">
        <f t="shared" si="8"/>
        <v/>
      </c>
    </row>
    <row r="520" spans="1:30" ht="14">
      <c r="A520" s="431"/>
      <c r="B520" s="431"/>
      <c r="C520" s="431"/>
      <c r="D520" s="431"/>
      <c r="E520" s="431"/>
      <c r="F520" s="431"/>
      <c r="G520" s="431"/>
      <c r="H520" s="431"/>
      <c r="I520" s="431"/>
      <c r="J520" s="431"/>
      <c r="K520" s="431"/>
      <c r="L520" s="431"/>
      <c r="M520" s="431"/>
      <c r="N520" s="431"/>
      <c r="O520" s="431"/>
      <c r="P520" s="431"/>
      <c r="Q520" s="431"/>
      <c r="R520" s="431"/>
      <c r="S520" s="431"/>
      <c r="T520" s="431"/>
      <c r="U520" s="431"/>
      <c r="V520" s="431"/>
      <c r="W520" s="431"/>
      <c r="X520" s="431"/>
      <c r="Y520" s="431"/>
      <c r="Z520" s="431"/>
      <c r="AA520" s="431"/>
      <c r="AB520" s="431"/>
      <c r="AC520" s="431"/>
      <c r="AD520" s="436" t="str">
        <f t="shared" si="8"/>
        <v/>
      </c>
    </row>
    <row r="521" spans="1:30" ht="14">
      <c r="A521" s="431"/>
      <c r="B521" s="431"/>
      <c r="C521" s="431"/>
      <c r="D521" s="431"/>
      <c r="E521" s="431"/>
      <c r="F521" s="431"/>
      <c r="G521" s="431"/>
      <c r="H521" s="431"/>
      <c r="I521" s="431"/>
      <c r="J521" s="431"/>
      <c r="K521" s="431"/>
      <c r="L521" s="431"/>
      <c r="M521" s="431"/>
      <c r="N521" s="431"/>
      <c r="O521" s="431"/>
      <c r="P521" s="431"/>
      <c r="Q521" s="431"/>
      <c r="R521" s="431"/>
      <c r="S521" s="431"/>
      <c r="T521" s="431"/>
      <c r="U521" s="431"/>
      <c r="V521" s="431"/>
      <c r="W521" s="431"/>
      <c r="X521" s="431"/>
      <c r="Y521" s="431"/>
      <c r="Z521" s="431"/>
      <c r="AA521" s="431"/>
      <c r="AB521" s="431"/>
      <c r="AC521" s="431"/>
      <c r="AD521" s="436" t="str">
        <f t="shared" si="8"/>
        <v/>
      </c>
    </row>
    <row r="522" spans="1:30" ht="14">
      <c r="A522" s="431"/>
      <c r="B522" s="431"/>
      <c r="C522" s="431"/>
      <c r="D522" s="431"/>
      <c r="E522" s="431"/>
      <c r="F522" s="431"/>
      <c r="G522" s="431"/>
      <c r="H522" s="431"/>
      <c r="I522" s="431"/>
      <c r="J522" s="431"/>
      <c r="K522" s="431"/>
      <c r="L522" s="431"/>
      <c r="M522" s="431"/>
      <c r="N522" s="431"/>
      <c r="O522" s="431"/>
      <c r="P522" s="431"/>
      <c r="Q522" s="431"/>
      <c r="R522" s="431"/>
      <c r="S522" s="431"/>
      <c r="T522" s="431"/>
      <c r="U522" s="431"/>
      <c r="V522" s="431"/>
      <c r="W522" s="431"/>
      <c r="X522" s="431"/>
      <c r="Y522" s="431"/>
      <c r="Z522" s="431"/>
      <c r="AA522" s="431"/>
      <c r="AB522" s="431"/>
      <c r="AC522" s="431"/>
      <c r="AD522" s="436" t="str">
        <f t="shared" si="8"/>
        <v/>
      </c>
    </row>
    <row r="523" spans="1:30" ht="14">
      <c r="A523" s="431"/>
      <c r="B523" s="431"/>
      <c r="C523" s="431"/>
      <c r="D523" s="431"/>
      <c r="E523" s="431"/>
      <c r="F523" s="431"/>
      <c r="G523" s="431"/>
      <c r="H523" s="431"/>
      <c r="I523" s="431"/>
      <c r="J523" s="431"/>
      <c r="K523" s="431"/>
      <c r="L523" s="431"/>
      <c r="M523" s="431"/>
      <c r="N523" s="431"/>
      <c r="O523" s="431"/>
      <c r="P523" s="431"/>
      <c r="Q523" s="431"/>
      <c r="R523" s="431"/>
      <c r="S523" s="431"/>
      <c r="T523" s="431"/>
      <c r="U523" s="431"/>
      <c r="V523" s="431"/>
      <c r="W523" s="431"/>
      <c r="X523" s="431"/>
      <c r="Y523" s="431"/>
      <c r="Z523" s="431"/>
      <c r="AA523" s="431"/>
      <c r="AB523" s="431"/>
      <c r="AC523" s="431"/>
      <c r="AD523" s="436" t="str">
        <f t="shared" si="8"/>
        <v/>
      </c>
    </row>
    <row r="524" spans="1:30" ht="14">
      <c r="A524" s="431"/>
      <c r="B524" s="431"/>
      <c r="C524" s="431"/>
      <c r="D524" s="431"/>
      <c r="E524" s="431"/>
      <c r="F524" s="431"/>
      <c r="G524" s="431"/>
      <c r="H524" s="431"/>
      <c r="I524" s="431"/>
      <c r="J524" s="431"/>
      <c r="K524" s="431"/>
      <c r="L524" s="431"/>
      <c r="M524" s="431"/>
      <c r="N524" s="431"/>
      <c r="O524" s="431"/>
      <c r="P524" s="431"/>
      <c r="Q524" s="431"/>
      <c r="R524" s="431"/>
      <c r="S524" s="431"/>
      <c r="T524" s="431"/>
      <c r="U524" s="431"/>
      <c r="V524" s="431"/>
      <c r="W524" s="431"/>
      <c r="X524" s="431"/>
      <c r="Y524" s="431"/>
      <c r="Z524" s="431"/>
      <c r="AA524" s="431"/>
      <c r="AB524" s="431"/>
      <c r="AC524" s="431"/>
      <c r="AD524" s="436" t="str">
        <f t="shared" si="8"/>
        <v/>
      </c>
    </row>
    <row r="525" spans="1:30" ht="14">
      <c r="A525" s="431"/>
      <c r="B525" s="431"/>
      <c r="C525" s="431"/>
      <c r="D525" s="431"/>
      <c r="E525" s="431"/>
      <c r="F525" s="431"/>
      <c r="G525" s="431"/>
      <c r="H525" s="431"/>
      <c r="I525" s="431"/>
      <c r="J525" s="431"/>
      <c r="K525" s="431"/>
      <c r="L525" s="431"/>
      <c r="M525" s="431"/>
      <c r="N525" s="431"/>
      <c r="O525" s="431"/>
      <c r="P525" s="431"/>
      <c r="Q525" s="431"/>
      <c r="R525" s="431"/>
      <c r="S525" s="431"/>
      <c r="T525" s="431"/>
      <c r="U525" s="431"/>
      <c r="V525" s="431"/>
      <c r="W525" s="431"/>
      <c r="X525" s="431"/>
      <c r="Y525" s="431"/>
      <c r="Z525" s="431"/>
      <c r="AA525" s="431"/>
      <c r="AB525" s="431"/>
      <c r="AC525" s="431"/>
      <c r="AD525" s="436" t="str">
        <f t="shared" si="8"/>
        <v/>
      </c>
    </row>
    <row r="526" spans="1:30" ht="14">
      <c r="A526" s="431"/>
      <c r="B526" s="431"/>
      <c r="C526" s="431"/>
      <c r="D526" s="431"/>
      <c r="E526" s="431"/>
      <c r="F526" s="431"/>
      <c r="G526" s="431"/>
      <c r="H526" s="431"/>
      <c r="I526" s="431"/>
      <c r="J526" s="431"/>
      <c r="K526" s="431"/>
      <c r="L526" s="431"/>
      <c r="M526" s="431"/>
      <c r="N526" s="431"/>
      <c r="O526" s="431"/>
      <c r="P526" s="431"/>
      <c r="Q526" s="431"/>
      <c r="R526" s="431"/>
      <c r="S526" s="431"/>
      <c r="T526" s="431"/>
      <c r="U526" s="431"/>
      <c r="V526" s="431"/>
      <c r="W526" s="431"/>
      <c r="X526" s="431"/>
      <c r="Y526" s="431"/>
      <c r="Z526" s="431"/>
      <c r="AA526" s="431"/>
      <c r="AB526" s="431"/>
      <c r="AC526" s="431"/>
      <c r="AD526" s="436" t="str">
        <f t="shared" si="8"/>
        <v/>
      </c>
    </row>
    <row r="527" spans="1:30" ht="14">
      <c r="A527" s="431"/>
      <c r="B527" s="431"/>
      <c r="C527" s="431"/>
      <c r="D527" s="431"/>
      <c r="E527" s="431"/>
      <c r="F527" s="431"/>
      <c r="G527" s="431"/>
      <c r="H527" s="431"/>
      <c r="I527" s="431"/>
      <c r="J527" s="431"/>
      <c r="K527" s="431"/>
      <c r="L527" s="431"/>
      <c r="M527" s="431"/>
      <c r="N527" s="431"/>
      <c r="O527" s="431"/>
      <c r="P527" s="431"/>
      <c r="Q527" s="431"/>
      <c r="R527" s="431"/>
      <c r="S527" s="431"/>
      <c r="T527" s="431"/>
      <c r="U527" s="431"/>
      <c r="V527" s="431"/>
      <c r="W527" s="431"/>
      <c r="X527" s="431"/>
      <c r="Y527" s="431"/>
      <c r="Z527" s="431"/>
      <c r="AA527" s="431"/>
      <c r="AB527" s="431"/>
      <c r="AC527" s="431"/>
      <c r="AD527" s="436" t="str">
        <f t="shared" si="8"/>
        <v/>
      </c>
    </row>
    <row r="528" spans="1:30" s="27" customFormat="1" ht="14">
      <c r="A528" s="431"/>
      <c r="B528" s="431"/>
      <c r="C528" s="431"/>
      <c r="D528" s="431"/>
      <c r="E528" s="431"/>
      <c r="F528" s="431"/>
      <c r="G528" s="431"/>
      <c r="H528" s="431"/>
      <c r="I528" s="431"/>
      <c r="J528" s="431"/>
      <c r="K528" s="431"/>
      <c r="L528" s="431"/>
      <c r="M528" s="431"/>
      <c r="N528" s="431"/>
      <c r="O528" s="431"/>
      <c r="P528" s="431"/>
      <c r="Q528" s="431"/>
      <c r="R528" s="431"/>
      <c r="S528" s="431"/>
      <c r="T528" s="431"/>
      <c r="U528" s="431"/>
      <c r="V528" s="431"/>
      <c r="W528" s="431"/>
      <c r="X528" s="431"/>
      <c r="Y528" s="431"/>
      <c r="Z528" s="431"/>
      <c r="AA528" s="431"/>
      <c r="AB528" s="431"/>
      <c r="AC528" s="431"/>
      <c r="AD528" s="436" t="str">
        <f t="shared" si="8"/>
        <v/>
      </c>
    </row>
    <row r="529" spans="1:30" s="27" customFormat="1" ht="14">
      <c r="A529" s="431"/>
      <c r="B529" s="431"/>
      <c r="C529" s="431"/>
      <c r="D529" s="431"/>
      <c r="E529" s="431"/>
      <c r="F529" s="431"/>
      <c r="G529" s="431"/>
      <c r="H529" s="431"/>
      <c r="I529" s="431"/>
      <c r="J529" s="431"/>
      <c r="K529" s="431"/>
      <c r="L529" s="431"/>
      <c r="M529" s="431"/>
      <c r="N529" s="431"/>
      <c r="O529" s="431"/>
      <c r="P529" s="431"/>
      <c r="Q529" s="431"/>
      <c r="R529" s="431"/>
      <c r="S529" s="431"/>
      <c r="T529" s="431"/>
      <c r="U529" s="431"/>
      <c r="V529" s="431"/>
      <c r="W529" s="431"/>
      <c r="X529" s="431"/>
      <c r="Y529" s="431"/>
      <c r="Z529" s="431"/>
      <c r="AA529" s="431"/>
      <c r="AB529" s="431"/>
      <c r="AC529" s="431"/>
      <c r="AD529" s="436" t="str">
        <f t="shared" si="8"/>
        <v/>
      </c>
    </row>
    <row r="530" spans="1:30" s="27" customFormat="1" ht="14">
      <c r="A530" s="431"/>
      <c r="B530" s="431"/>
      <c r="C530" s="431"/>
      <c r="D530" s="431"/>
      <c r="E530" s="431"/>
      <c r="F530" s="431"/>
      <c r="G530" s="431"/>
      <c r="H530" s="431"/>
      <c r="I530" s="431"/>
      <c r="J530" s="431"/>
      <c r="K530" s="431"/>
      <c r="L530" s="431"/>
      <c r="M530" s="431"/>
      <c r="N530" s="431"/>
      <c r="O530" s="431"/>
      <c r="P530" s="431"/>
      <c r="Q530" s="431"/>
      <c r="R530" s="431"/>
      <c r="S530" s="431"/>
      <c r="T530" s="431"/>
      <c r="U530" s="431"/>
      <c r="V530" s="431"/>
      <c r="W530" s="431"/>
      <c r="X530" s="431"/>
      <c r="Y530" s="431"/>
      <c r="Z530" s="431"/>
      <c r="AA530" s="431"/>
      <c r="AB530" s="431"/>
      <c r="AC530" s="431"/>
      <c r="AD530" s="436" t="str">
        <f t="shared" si="8"/>
        <v/>
      </c>
    </row>
    <row r="531" spans="1:30" s="27" customFormat="1" ht="14">
      <c r="A531" s="431"/>
      <c r="B531" s="431"/>
      <c r="C531" s="431"/>
      <c r="D531" s="431"/>
      <c r="E531" s="431"/>
      <c r="F531" s="431"/>
      <c r="G531" s="431"/>
      <c r="H531" s="431"/>
      <c r="I531" s="431"/>
      <c r="J531" s="431"/>
      <c r="K531" s="431"/>
      <c r="L531" s="431"/>
      <c r="M531" s="431"/>
      <c r="N531" s="431"/>
      <c r="O531" s="431"/>
      <c r="P531" s="431"/>
      <c r="Q531" s="431"/>
      <c r="R531" s="431"/>
      <c r="S531" s="431"/>
      <c r="T531" s="431"/>
      <c r="U531" s="431"/>
      <c r="V531" s="431"/>
      <c r="W531" s="431"/>
      <c r="X531" s="431"/>
      <c r="Y531" s="431"/>
      <c r="Z531" s="431"/>
      <c r="AA531" s="431"/>
      <c r="AB531" s="431"/>
      <c r="AC531" s="431"/>
      <c r="AD531" s="436" t="str">
        <f t="shared" si="8"/>
        <v/>
      </c>
    </row>
    <row r="532" spans="1:30" s="27" customFormat="1" ht="14">
      <c r="A532" s="431"/>
      <c r="B532" s="431"/>
      <c r="C532" s="431"/>
      <c r="D532" s="431"/>
      <c r="E532" s="431"/>
      <c r="F532" s="431"/>
      <c r="G532" s="431"/>
      <c r="H532" s="431"/>
      <c r="I532" s="431"/>
      <c r="J532" s="431"/>
      <c r="K532" s="431"/>
      <c r="L532" s="431"/>
      <c r="M532" s="431"/>
      <c r="N532" s="431"/>
      <c r="O532" s="431"/>
      <c r="P532" s="431"/>
      <c r="Q532" s="431"/>
      <c r="R532" s="431"/>
      <c r="S532" s="431"/>
      <c r="T532" s="431"/>
      <c r="U532" s="431"/>
      <c r="V532" s="431"/>
      <c r="W532" s="431"/>
      <c r="X532" s="431"/>
      <c r="Y532" s="431"/>
      <c r="Z532" s="431"/>
      <c r="AA532" s="431"/>
      <c r="AB532" s="431"/>
      <c r="AC532" s="431"/>
      <c r="AD532" s="436" t="str">
        <f t="shared" si="8"/>
        <v/>
      </c>
    </row>
    <row r="533" spans="1:30" s="27" customFormat="1" ht="14">
      <c r="A533" s="431"/>
      <c r="B533" s="431"/>
      <c r="C533" s="431"/>
      <c r="D533" s="431"/>
      <c r="E533" s="431"/>
      <c r="F533" s="431"/>
      <c r="G533" s="431"/>
      <c r="H533" s="431"/>
      <c r="I533" s="431"/>
      <c r="J533" s="431"/>
      <c r="K533" s="431"/>
      <c r="L533" s="431"/>
      <c r="M533" s="431"/>
      <c r="N533" s="431"/>
      <c r="O533" s="431"/>
      <c r="P533" s="431"/>
      <c r="Q533" s="431"/>
      <c r="R533" s="431"/>
      <c r="S533" s="431"/>
      <c r="T533" s="431"/>
      <c r="U533" s="431"/>
      <c r="V533" s="431"/>
      <c r="W533" s="431"/>
      <c r="X533" s="431"/>
      <c r="Y533" s="431"/>
      <c r="Z533" s="431"/>
      <c r="AA533" s="431"/>
      <c r="AB533" s="431"/>
      <c r="AC533" s="431"/>
      <c r="AD533" s="436" t="str">
        <f t="shared" si="8"/>
        <v/>
      </c>
    </row>
    <row r="534" spans="1:30" s="27" customFormat="1" ht="14">
      <c r="A534" s="431"/>
      <c r="B534" s="431"/>
      <c r="C534" s="431"/>
      <c r="D534" s="431"/>
      <c r="E534" s="431"/>
      <c r="F534" s="431"/>
      <c r="G534" s="431"/>
      <c r="H534" s="431"/>
      <c r="I534" s="431"/>
      <c r="J534" s="431"/>
      <c r="K534" s="431"/>
      <c r="L534" s="431"/>
      <c r="M534" s="431"/>
      <c r="N534" s="431"/>
      <c r="O534" s="431"/>
      <c r="P534" s="431"/>
      <c r="Q534" s="431"/>
      <c r="R534" s="431"/>
      <c r="S534" s="431"/>
      <c r="T534" s="431"/>
      <c r="U534" s="431"/>
      <c r="V534" s="431"/>
      <c r="W534" s="431"/>
      <c r="X534" s="431"/>
      <c r="Y534" s="431"/>
      <c r="Z534" s="431"/>
      <c r="AA534" s="431"/>
      <c r="AB534" s="431"/>
      <c r="AC534" s="431"/>
      <c r="AD534" s="436" t="str">
        <f t="shared" si="8"/>
        <v/>
      </c>
    </row>
    <row r="535" spans="1:30" s="27" customFormat="1" ht="14">
      <c r="A535" s="431"/>
      <c r="B535" s="431"/>
      <c r="C535" s="431"/>
      <c r="D535" s="431"/>
      <c r="E535" s="431"/>
      <c r="F535" s="431"/>
      <c r="G535" s="431"/>
      <c r="H535" s="431"/>
      <c r="I535" s="431"/>
      <c r="J535" s="431"/>
      <c r="K535" s="431"/>
      <c r="L535" s="431"/>
      <c r="M535" s="431"/>
      <c r="N535" s="431"/>
      <c r="O535" s="431"/>
      <c r="P535" s="431"/>
      <c r="Q535" s="431"/>
      <c r="R535" s="431"/>
      <c r="S535" s="431"/>
      <c r="T535" s="431"/>
      <c r="U535" s="431"/>
      <c r="V535" s="431"/>
      <c r="W535" s="431"/>
      <c r="X535" s="431"/>
      <c r="Y535" s="431"/>
      <c r="Z535" s="431"/>
      <c r="AA535" s="431"/>
      <c r="AB535" s="431"/>
      <c r="AC535" s="431"/>
      <c r="AD535" s="436" t="str">
        <f t="shared" si="8"/>
        <v/>
      </c>
    </row>
    <row r="536" spans="1:30" s="27" customFormat="1" ht="14">
      <c r="A536" s="431"/>
      <c r="B536" s="431"/>
      <c r="C536" s="431"/>
      <c r="D536" s="431"/>
      <c r="E536" s="431"/>
      <c r="F536" s="431"/>
      <c r="G536" s="431"/>
      <c r="H536" s="431"/>
      <c r="I536" s="431"/>
      <c r="J536" s="431"/>
      <c r="K536" s="431"/>
      <c r="L536" s="431"/>
      <c r="M536" s="431"/>
      <c r="N536" s="431"/>
      <c r="O536" s="431"/>
      <c r="P536" s="431"/>
      <c r="Q536" s="431"/>
      <c r="R536" s="431"/>
      <c r="S536" s="431"/>
      <c r="T536" s="431"/>
      <c r="U536" s="431"/>
      <c r="V536" s="431"/>
      <c r="W536" s="431"/>
      <c r="X536" s="431"/>
      <c r="Y536" s="431"/>
      <c r="Z536" s="431"/>
      <c r="AA536" s="431"/>
      <c r="AB536" s="431"/>
      <c r="AC536" s="431"/>
      <c r="AD536" s="436" t="str">
        <f t="shared" si="8"/>
        <v/>
      </c>
    </row>
    <row r="537" spans="1:30" s="27" customFormat="1" ht="14">
      <c r="A537" s="431"/>
      <c r="B537" s="431"/>
      <c r="C537" s="431"/>
      <c r="D537" s="431"/>
      <c r="E537" s="431"/>
      <c r="F537" s="431"/>
      <c r="G537" s="431"/>
      <c r="H537" s="431"/>
      <c r="I537" s="431"/>
      <c r="J537" s="431"/>
      <c r="K537" s="431"/>
      <c r="L537" s="431"/>
      <c r="M537" s="431"/>
      <c r="N537" s="431"/>
      <c r="O537" s="431"/>
      <c r="P537" s="431"/>
      <c r="Q537" s="431"/>
      <c r="R537" s="431"/>
      <c r="S537" s="431"/>
      <c r="T537" s="431"/>
      <c r="U537" s="431"/>
      <c r="V537" s="431"/>
      <c r="W537" s="431"/>
      <c r="X537" s="431"/>
      <c r="Y537" s="431"/>
      <c r="Z537" s="431"/>
      <c r="AA537" s="431"/>
      <c r="AB537" s="431"/>
      <c r="AC537" s="431"/>
      <c r="AD537" s="436" t="str">
        <f t="shared" si="8"/>
        <v/>
      </c>
    </row>
    <row r="538" spans="1:30" s="27" customFormat="1" ht="14">
      <c r="A538" s="431"/>
      <c r="B538" s="431"/>
      <c r="C538" s="431"/>
      <c r="D538" s="431"/>
      <c r="E538" s="431"/>
      <c r="F538" s="431"/>
      <c r="G538" s="431"/>
      <c r="H538" s="431"/>
      <c r="I538" s="431"/>
      <c r="J538" s="431"/>
      <c r="K538" s="431"/>
      <c r="L538" s="431"/>
      <c r="M538" s="431"/>
      <c r="N538" s="431"/>
      <c r="O538" s="431"/>
      <c r="P538" s="431"/>
      <c r="Q538" s="431"/>
      <c r="R538" s="431"/>
      <c r="S538" s="431"/>
      <c r="T538" s="431"/>
      <c r="U538" s="431"/>
      <c r="V538" s="431"/>
      <c r="W538" s="431"/>
      <c r="X538" s="431"/>
      <c r="Y538" s="431"/>
      <c r="Z538" s="431"/>
      <c r="AA538" s="431"/>
      <c r="AB538" s="431"/>
      <c r="AC538" s="431"/>
      <c r="AD538" s="436" t="str">
        <f t="shared" si="8"/>
        <v/>
      </c>
    </row>
    <row r="539" spans="1:30" s="27" customFormat="1" ht="14">
      <c r="A539" s="431"/>
      <c r="B539" s="431"/>
      <c r="C539" s="431"/>
      <c r="D539" s="431"/>
      <c r="E539" s="431"/>
      <c r="F539" s="431"/>
      <c r="G539" s="431"/>
      <c r="H539" s="431"/>
      <c r="I539" s="431"/>
      <c r="J539" s="431"/>
      <c r="K539" s="431"/>
      <c r="L539" s="431"/>
      <c r="M539" s="431"/>
      <c r="N539" s="431"/>
      <c r="O539" s="431"/>
      <c r="P539" s="431"/>
      <c r="Q539" s="431"/>
      <c r="R539" s="431"/>
      <c r="S539" s="431"/>
      <c r="T539" s="431"/>
      <c r="U539" s="431"/>
      <c r="V539" s="431"/>
      <c r="W539" s="431"/>
      <c r="X539" s="431"/>
      <c r="Y539" s="431"/>
      <c r="Z539" s="431"/>
      <c r="AA539" s="431"/>
      <c r="AB539" s="431"/>
      <c r="AC539" s="431"/>
      <c r="AD539" s="436" t="str">
        <f t="shared" si="8"/>
        <v/>
      </c>
    </row>
    <row r="540" spans="1:30" s="27" customFormat="1" ht="14">
      <c r="A540" s="431"/>
      <c r="B540" s="431"/>
      <c r="C540" s="431"/>
      <c r="D540" s="431"/>
      <c r="E540" s="431"/>
      <c r="F540" s="431"/>
      <c r="G540" s="431"/>
      <c r="H540" s="431"/>
      <c r="I540" s="431"/>
      <c r="J540" s="431"/>
      <c r="K540" s="431"/>
      <c r="L540" s="431"/>
      <c r="M540" s="431"/>
      <c r="N540" s="431"/>
      <c r="O540" s="431"/>
      <c r="P540" s="431"/>
      <c r="Q540" s="431"/>
      <c r="R540" s="431"/>
      <c r="S540" s="431"/>
      <c r="T540" s="431"/>
      <c r="U540" s="431"/>
      <c r="V540" s="431"/>
      <c r="W540" s="431"/>
      <c r="X540" s="431"/>
      <c r="Y540" s="431"/>
      <c r="Z540" s="431"/>
      <c r="AA540" s="431"/>
      <c r="AB540" s="431"/>
      <c r="AC540" s="431"/>
      <c r="AD540" s="436" t="str">
        <f t="shared" si="8"/>
        <v/>
      </c>
    </row>
    <row r="541" spans="1:30" s="27" customFormat="1" ht="14">
      <c r="A541" s="431"/>
      <c r="B541" s="431"/>
      <c r="C541" s="431"/>
      <c r="D541" s="431"/>
      <c r="E541" s="431"/>
      <c r="F541" s="431"/>
      <c r="G541" s="431"/>
      <c r="H541" s="431"/>
      <c r="I541" s="431"/>
      <c r="J541" s="431"/>
      <c r="K541" s="431"/>
      <c r="L541" s="431"/>
      <c r="M541" s="431"/>
      <c r="N541" s="431"/>
      <c r="O541" s="431"/>
      <c r="P541" s="431"/>
      <c r="Q541" s="431"/>
      <c r="R541" s="431"/>
      <c r="S541" s="431"/>
      <c r="T541" s="431"/>
      <c r="U541" s="431"/>
      <c r="V541" s="431"/>
      <c r="W541" s="431"/>
      <c r="X541" s="431"/>
      <c r="Y541" s="431"/>
      <c r="Z541" s="431"/>
      <c r="AA541" s="431"/>
      <c r="AB541" s="431"/>
      <c r="AC541" s="431"/>
      <c r="AD541" s="436" t="str">
        <f t="shared" si="8"/>
        <v/>
      </c>
    </row>
    <row r="542" spans="1:30" s="27" customFormat="1" ht="14">
      <c r="A542" s="431"/>
      <c r="B542" s="431"/>
      <c r="C542" s="431"/>
      <c r="D542" s="431"/>
      <c r="E542" s="431"/>
      <c r="F542" s="431"/>
      <c r="G542" s="431"/>
      <c r="H542" s="431"/>
      <c r="I542" s="431"/>
      <c r="J542" s="431"/>
      <c r="K542" s="431"/>
      <c r="L542" s="431"/>
      <c r="M542" s="431"/>
      <c r="N542" s="431"/>
      <c r="O542" s="431"/>
      <c r="P542" s="431"/>
      <c r="Q542" s="431"/>
      <c r="R542" s="431"/>
      <c r="S542" s="431"/>
      <c r="T542" s="431"/>
      <c r="U542" s="431"/>
      <c r="V542" s="431"/>
      <c r="W542" s="431"/>
      <c r="X542" s="431"/>
      <c r="Y542" s="431"/>
      <c r="Z542" s="431"/>
      <c r="AA542" s="431"/>
      <c r="AB542" s="431"/>
      <c r="AC542" s="431"/>
      <c r="AD542" s="436" t="str">
        <f t="shared" si="8"/>
        <v/>
      </c>
    </row>
    <row r="543" spans="1:30" s="27" customFormat="1" ht="14">
      <c r="A543" s="431"/>
      <c r="B543" s="431"/>
      <c r="C543" s="431"/>
      <c r="D543" s="431"/>
      <c r="E543" s="431"/>
      <c r="F543" s="431"/>
      <c r="G543" s="431"/>
      <c r="H543" s="431"/>
      <c r="I543" s="431"/>
      <c r="J543" s="431"/>
      <c r="K543" s="431"/>
      <c r="L543" s="431"/>
      <c r="M543" s="431"/>
      <c r="N543" s="431"/>
      <c r="O543" s="431"/>
      <c r="P543" s="431"/>
      <c r="Q543" s="431"/>
      <c r="R543" s="431"/>
      <c r="S543" s="431"/>
      <c r="T543" s="431"/>
      <c r="U543" s="431"/>
      <c r="V543" s="431"/>
      <c r="W543" s="431"/>
      <c r="X543" s="431"/>
      <c r="Y543" s="431"/>
      <c r="Z543" s="431"/>
      <c r="AA543" s="431"/>
      <c r="AB543" s="431"/>
      <c r="AC543" s="431"/>
      <c r="AD543" s="436" t="str">
        <f t="shared" si="8"/>
        <v/>
      </c>
    </row>
    <row r="544" spans="1:30" s="27" customFormat="1" ht="14">
      <c r="A544" s="431"/>
      <c r="B544" s="431"/>
      <c r="C544" s="431"/>
      <c r="D544" s="431"/>
      <c r="E544" s="431"/>
      <c r="F544" s="431"/>
      <c r="G544" s="431"/>
      <c r="H544" s="431"/>
      <c r="I544" s="431"/>
      <c r="J544" s="431"/>
      <c r="K544" s="431"/>
      <c r="L544" s="431"/>
      <c r="M544" s="431"/>
      <c r="N544" s="431"/>
      <c r="O544" s="431"/>
      <c r="P544" s="431"/>
      <c r="Q544" s="431"/>
      <c r="R544" s="431"/>
      <c r="S544" s="431"/>
      <c r="T544" s="431"/>
      <c r="U544" s="431"/>
      <c r="V544" s="431"/>
      <c r="W544" s="431"/>
      <c r="X544" s="431"/>
      <c r="Y544" s="431"/>
      <c r="Z544" s="431"/>
      <c r="AA544" s="431"/>
      <c r="AB544" s="431"/>
      <c r="AC544" s="431"/>
      <c r="AD544" s="436" t="str">
        <f t="shared" si="8"/>
        <v/>
      </c>
    </row>
    <row r="545" spans="1:30" s="27" customFormat="1" ht="14">
      <c r="A545" s="431"/>
      <c r="B545" s="431"/>
      <c r="C545" s="431"/>
      <c r="D545" s="431"/>
      <c r="E545" s="431"/>
      <c r="F545" s="431"/>
      <c r="G545" s="431"/>
      <c r="H545" s="431"/>
      <c r="I545" s="431"/>
      <c r="J545" s="431"/>
      <c r="K545" s="431"/>
      <c r="L545" s="431"/>
      <c r="M545" s="431"/>
      <c r="N545" s="431"/>
      <c r="O545" s="431"/>
      <c r="P545" s="431"/>
      <c r="Q545" s="431"/>
      <c r="R545" s="431"/>
      <c r="S545" s="431"/>
      <c r="T545" s="431"/>
      <c r="U545" s="431"/>
      <c r="V545" s="431"/>
      <c r="W545" s="431"/>
      <c r="X545" s="431"/>
      <c r="Y545" s="431"/>
      <c r="Z545" s="431"/>
      <c r="AA545" s="431"/>
      <c r="AB545" s="431"/>
      <c r="AC545" s="431"/>
      <c r="AD545" s="436" t="str">
        <f t="shared" si="8"/>
        <v/>
      </c>
    </row>
    <row r="546" spans="1:30" s="27" customFormat="1" ht="14">
      <c r="A546" s="431"/>
      <c r="B546" s="431"/>
      <c r="C546" s="431"/>
      <c r="D546" s="431"/>
      <c r="E546" s="431"/>
      <c r="F546" s="431"/>
      <c r="G546" s="431"/>
      <c r="H546" s="431"/>
      <c r="I546" s="431"/>
      <c r="J546" s="431"/>
      <c r="K546" s="431"/>
      <c r="L546" s="431"/>
      <c r="M546" s="431"/>
      <c r="N546" s="431"/>
      <c r="O546" s="431"/>
      <c r="P546" s="431"/>
      <c r="Q546" s="431"/>
      <c r="R546" s="431"/>
      <c r="S546" s="431"/>
      <c r="T546" s="431"/>
      <c r="U546" s="431"/>
      <c r="V546" s="431"/>
      <c r="W546" s="431"/>
      <c r="X546" s="431"/>
      <c r="Y546" s="431"/>
      <c r="Z546" s="431"/>
      <c r="AA546" s="431"/>
      <c r="AB546" s="431"/>
      <c r="AC546" s="431"/>
      <c r="AD546" s="436" t="str">
        <f t="shared" si="8"/>
        <v/>
      </c>
    </row>
    <row r="547" spans="1:30" s="27" customFormat="1" ht="14">
      <c r="A547" s="431"/>
      <c r="B547" s="431"/>
      <c r="C547" s="431"/>
      <c r="D547" s="431"/>
      <c r="E547" s="431"/>
      <c r="F547" s="431"/>
      <c r="G547" s="431"/>
      <c r="H547" s="431"/>
      <c r="I547" s="431"/>
      <c r="J547" s="431"/>
      <c r="K547" s="431"/>
      <c r="L547" s="431"/>
      <c r="M547" s="431"/>
      <c r="N547" s="431"/>
      <c r="O547" s="431"/>
      <c r="P547" s="431"/>
      <c r="Q547" s="431"/>
      <c r="R547" s="431"/>
      <c r="S547" s="431"/>
      <c r="T547" s="431"/>
      <c r="U547" s="431"/>
      <c r="V547" s="431"/>
      <c r="W547" s="431"/>
      <c r="X547" s="431"/>
      <c r="Y547" s="431"/>
      <c r="Z547" s="431"/>
      <c r="AA547" s="431"/>
      <c r="AB547" s="431"/>
      <c r="AC547" s="431"/>
      <c r="AD547" s="436" t="str">
        <f t="shared" si="8"/>
        <v/>
      </c>
    </row>
    <row r="548" spans="1:30" s="27" customFormat="1" ht="14">
      <c r="A548" s="431"/>
      <c r="B548" s="431"/>
      <c r="C548" s="431"/>
      <c r="D548" s="431"/>
      <c r="E548" s="431"/>
      <c r="F548" s="431"/>
      <c r="G548" s="431"/>
      <c r="H548" s="431"/>
      <c r="I548" s="431"/>
      <c r="J548" s="431"/>
      <c r="K548" s="431"/>
      <c r="L548" s="431"/>
      <c r="M548" s="431"/>
      <c r="N548" s="431"/>
      <c r="O548" s="431"/>
      <c r="P548" s="431"/>
      <c r="Q548" s="431"/>
      <c r="R548" s="431"/>
      <c r="S548" s="431"/>
      <c r="T548" s="431"/>
      <c r="U548" s="431"/>
      <c r="V548" s="431"/>
      <c r="W548" s="431"/>
      <c r="X548" s="431"/>
      <c r="Y548" s="431"/>
      <c r="Z548" s="431"/>
      <c r="AA548" s="431"/>
      <c r="AB548" s="431"/>
      <c r="AC548" s="431"/>
      <c r="AD548" s="436" t="str">
        <f t="shared" si="8"/>
        <v/>
      </c>
    </row>
    <row r="549" spans="1:30" s="27" customFormat="1" ht="14">
      <c r="A549" s="431"/>
      <c r="B549" s="431"/>
      <c r="C549" s="431"/>
      <c r="D549" s="431"/>
      <c r="E549" s="431"/>
      <c r="F549" s="431"/>
      <c r="G549" s="431"/>
      <c r="H549" s="431"/>
      <c r="I549" s="431"/>
      <c r="J549" s="431"/>
      <c r="K549" s="431"/>
      <c r="L549" s="431"/>
      <c r="M549" s="431"/>
      <c r="N549" s="431"/>
      <c r="O549" s="431"/>
      <c r="P549" s="431"/>
      <c r="Q549" s="431"/>
      <c r="R549" s="431"/>
      <c r="S549" s="431"/>
      <c r="T549" s="431"/>
      <c r="U549" s="431"/>
      <c r="V549" s="431"/>
      <c r="W549" s="431"/>
      <c r="X549" s="431"/>
      <c r="Y549" s="431"/>
      <c r="Z549" s="431"/>
      <c r="AA549" s="431"/>
      <c r="AB549" s="431"/>
      <c r="AC549" s="431"/>
      <c r="AD549" s="436" t="str">
        <f t="shared" si="8"/>
        <v/>
      </c>
    </row>
    <row r="550" spans="1:30" s="27" customFormat="1" ht="14">
      <c r="A550" s="431"/>
      <c r="B550" s="431"/>
      <c r="C550" s="431"/>
      <c r="D550" s="431"/>
      <c r="E550" s="431"/>
      <c r="F550" s="431"/>
      <c r="G550" s="431"/>
      <c r="H550" s="431"/>
      <c r="I550" s="431"/>
      <c r="J550" s="431"/>
      <c r="K550" s="431"/>
      <c r="L550" s="431"/>
      <c r="M550" s="431"/>
      <c r="N550" s="431"/>
      <c r="O550" s="431"/>
      <c r="P550" s="431"/>
      <c r="Q550" s="431"/>
      <c r="R550" s="431"/>
      <c r="S550" s="431"/>
      <c r="T550" s="431"/>
      <c r="U550" s="431"/>
      <c r="V550" s="431"/>
      <c r="W550" s="431"/>
      <c r="X550" s="431"/>
      <c r="Y550" s="431"/>
      <c r="Z550" s="431"/>
      <c r="AA550" s="431"/>
      <c r="AB550" s="431"/>
      <c r="AC550" s="431"/>
      <c r="AD550" s="436" t="str">
        <f t="shared" si="8"/>
        <v/>
      </c>
    </row>
    <row r="551" spans="1:30" s="27" customFormat="1" ht="14">
      <c r="A551" s="431"/>
      <c r="B551" s="431"/>
      <c r="C551" s="431"/>
      <c r="D551" s="431"/>
      <c r="E551" s="431"/>
      <c r="F551" s="431"/>
      <c r="G551" s="431"/>
      <c r="H551" s="431"/>
      <c r="I551" s="431"/>
      <c r="J551" s="431"/>
      <c r="K551" s="431"/>
      <c r="L551" s="431"/>
      <c r="M551" s="431"/>
      <c r="N551" s="431"/>
      <c r="O551" s="431"/>
      <c r="P551" s="431"/>
      <c r="Q551" s="431"/>
      <c r="R551" s="431"/>
      <c r="S551" s="431"/>
      <c r="T551" s="431"/>
      <c r="U551" s="431"/>
      <c r="V551" s="431"/>
      <c r="W551" s="431"/>
      <c r="X551" s="431"/>
      <c r="Y551" s="431"/>
      <c r="Z551" s="431"/>
      <c r="AA551" s="431"/>
      <c r="AB551" s="431"/>
      <c r="AC551" s="431"/>
      <c r="AD551" s="436" t="str">
        <f t="shared" si="8"/>
        <v/>
      </c>
    </row>
    <row r="552" spans="1:30" s="27" customFormat="1" ht="14">
      <c r="A552" s="431"/>
      <c r="B552" s="431"/>
      <c r="C552" s="431"/>
      <c r="D552" s="431"/>
      <c r="E552" s="431"/>
      <c r="F552" s="431"/>
      <c r="G552" s="431"/>
      <c r="H552" s="431"/>
      <c r="I552" s="431"/>
      <c r="J552" s="431"/>
      <c r="K552" s="431"/>
      <c r="L552" s="431"/>
      <c r="M552" s="431"/>
      <c r="N552" s="431"/>
      <c r="O552" s="431"/>
      <c r="P552" s="431"/>
      <c r="Q552" s="431"/>
      <c r="R552" s="431"/>
      <c r="S552" s="431"/>
      <c r="T552" s="431"/>
      <c r="U552" s="431"/>
      <c r="V552" s="431"/>
      <c r="W552" s="431"/>
      <c r="X552" s="431"/>
      <c r="Y552" s="431"/>
      <c r="Z552" s="431"/>
      <c r="AA552" s="431"/>
      <c r="AB552" s="431"/>
      <c r="AC552" s="431"/>
      <c r="AD552" s="436" t="str">
        <f t="shared" si="8"/>
        <v/>
      </c>
    </row>
    <row r="553" spans="1:30" s="27" customFormat="1" ht="14">
      <c r="A553" s="431"/>
      <c r="B553" s="431"/>
      <c r="C553" s="431"/>
      <c r="D553" s="431"/>
      <c r="E553" s="431"/>
      <c r="F553" s="431"/>
      <c r="G553" s="431"/>
      <c r="H553" s="431"/>
      <c r="I553" s="431"/>
      <c r="J553" s="431"/>
      <c r="K553" s="431"/>
      <c r="L553" s="431"/>
      <c r="M553" s="431"/>
      <c r="N553" s="431"/>
      <c r="O553" s="431"/>
      <c r="P553" s="431"/>
      <c r="Q553" s="431"/>
      <c r="R553" s="431"/>
      <c r="S553" s="431"/>
      <c r="T553" s="431"/>
      <c r="U553" s="431"/>
      <c r="V553" s="431"/>
      <c r="W553" s="431"/>
      <c r="X553" s="431"/>
      <c r="Y553" s="431"/>
      <c r="Z553" s="431"/>
      <c r="AA553" s="431"/>
      <c r="AB553" s="431"/>
      <c r="AC553" s="431"/>
      <c r="AD553" s="436" t="str">
        <f t="shared" si="8"/>
        <v/>
      </c>
    </row>
    <row r="554" spans="1:30" s="27" customFormat="1" ht="14">
      <c r="A554" s="431"/>
      <c r="B554" s="431"/>
      <c r="C554" s="431"/>
      <c r="D554" s="431"/>
      <c r="E554" s="431"/>
      <c r="F554" s="431"/>
      <c r="G554" s="431"/>
      <c r="H554" s="431"/>
      <c r="I554" s="431"/>
      <c r="J554" s="431"/>
      <c r="K554" s="431"/>
      <c r="L554" s="431"/>
      <c r="M554" s="431"/>
      <c r="N554" s="431"/>
      <c r="O554" s="431"/>
      <c r="P554" s="431"/>
      <c r="Q554" s="431"/>
      <c r="R554" s="431"/>
      <c r="S554" s="431"/>
      <c r="T554" s="431"/>
      <c r="U554" s="431"/>
      <c r="V554" s="431"/>
      <c r="W554" s="431"/>
      <c r="X554" s="431"/>
      <c r="Y554" s="431"/>
      <c r="Z554" s="431"/>
      <c r="AA554" s="431"/>
      <c r="AB554" s="431"/>
      <c r="AC554" s="431"/>
      <c r="AD554" s="436" t="str">
        <f t="shared" si="8"/>
        <v/>
      </c>
    </row>
    <row r="555" spans="1:30" s="27" customFormat="1" ht="14">
      <c r="A555" s="431"/>
      <c r="B555" s="431"/>
      <c r="C555" s="431"/>
      <c r="D555" s="431"/>
      <c r="E555" s="431"/>
      <c r="F555" s="431"/>
      <c r="G555" s="431"/>
      <c r="H555" s="431"/>
      <c r="I555" s="431"/>
      <c r="J555" s="431"/>
      <c r="K555" s="431"/>
      <c r="L555" s="431"/>
      <c r="M555" s="431"/>
      <c r="N555" s="431"/>
      <c r="O555" s="431"/>
      <c r="P555" s="431"/>
      <c r="Q555" s="431"/>
      <c r="R555" s="431"/>
      <c r="S555" s="431"/>
      <c r="T555" s="431"/>
      <c r="U555" s="431"/>
      <c r="V555" s="431"/>
      <c r="W555" s="431"/>
      <c r="X555" s="431"/>
      <c r="Y555" s="431"/>
      <c r="Z555" s="431"/>
      <c r="AA555" s="431"/>
      <c r="AB555" s="431"/>
      <c r="AC555" s="431"/>
      <c r="AD555" s="436" t="str">
        <f t="shared" si="8"/>
        <v/>
      </c>
    </row>
    <row r="556" spans="1:30" s="27" customFormat="1" ht="14">
      <c r="A556" s="431"/>
      <c r="B556" s="431"/>
      <c r="C556" s="431"/>
      <c r="D556" s="431"/>
      <c r="E556" s="431"/>
      <c r="F556" s="431"/>
      <c r="G556" s="431"/>
      <c r="H556" s="431"/>
      <c r="I556" s="431"/>
      <c r="J556" s="431"/>
      <c r="K556" s="431"/>
      <c r="L556" s="431"/>
      <c r="M556" s="431"/>
      <c r="N556" s="431"/>
      <c r="O556" s="431"/>
      <c r="P556" s="431"/>
      <c r="Q556" s="431"/>
      <c r="R556" s="431"/>
      <c r="S556" s="431"/>
      <c r="T556" s="431"/>
      <c r="U556" s="431"/>
      <c r="V556" s="431"/>
      <c r="W556" s="431"/>
      <c r="X556" s="431"/>
      <c r="Y556" s="431"/>
      <c r="Z556" s="431"/>
      <c r="AA556" s="431"/>
      <c r="AB556" s="431"/>
      <c r="AC556" s="431"/>
      <c r="AD556" s="436" t="str">
        <f t="shared" si="8"/>
        <v/>
      </c>
    </row>
    <row r="557" spans="1:30" s="27" customFormat="1" ht="14">
      <c r="A557" s="431"/>
      <c r="B557" s="431"/>
      <c r="C557" s="431"/>
      <c r="D557" s="431"/>
      <c r="E557" s="431"/>
      <c r="F557" s="431"/>
      <c r="G557" s="431"/>
      <c r="H557" s="431"/>
      <c r="I557" s="431"/>
      <c r="J557" s="431"/>
      <c r="K557" s="431"/>
      <c r="L557" s="431"/>
      <c r="M557" s="431"/>
      <c r="N557" s="431"/>
      <c r="O557" s="431"/>
      <c r="P557" s="431"/>
      <c r="Q557" s="431"/>
      <c r="R557" s="431"/>
      <c r="S557" s="431"/>
      <c r="T557" s="431"/>
      <c r="U557" s="431"/>
      <c r="V557" s="431"/>
      <c r="W557" s="431"/>
      <c r="X557" s="431"/>
      <c r="Y557" s="431"/>
      <c r="Z557" s="431"/>
      <c r="AA557" s="431"/>
      <c r="AB557" s="431"/>
      <c r="AC557" s="431"/>
      <c r="AD557" s="436" t="str">
        <f t="shared" si="8"/>
        <v/>
      </c>
    </row>
    <row r="558" spans="1:30" s="27" customFormat="1" ht="14">
      <c r="A558" s="431"/>
      <c r="B558" s="431"/>
      <c r="C558" s="431"/>
      <c r="D558" s="431"/>
      <c r="E558" s="431"/>
      <c r="F558" s="431"/>
      <c r="G558" s="431"/>
      <c r="H558" s="431"/>
      <c r="I558" s="431"/>
      <c r="J558" s="431"/>
      <c r="K558" s="431"/>
      <c r="L558" s="431"/>
      <c r="M558" s="431"/>
      <c r="N558" s="431"/>
      <c r="O558" s="431"/>
      <c r="P558" s="431"/>
      <c r="Q558" s="431"/>
      <c r="R558" s="431"/>
      <c r="S558" s="431"/>
      <c r="T558" s="431"/>
      <c r="U558" s="431"/>
      <c r="V558" s="431"/>
      <c r="W558" s="431"/>
      <c r="X558" s="431"/>
      <c r="Y558" s="431"/>
      <c r="Z558" s="431"/>
      <c r="AA558" s="431"/>
      <c r="AB558" s="431"/>
      <c r="AC558" s="431"/>
      <c r="AD558" s="436" t="str">
        <f t="shared" si="8"/>
        <v/>
      </c>
    </row>
    <row r="559" spans="1:30" s="27" customFormat="1" ht="14">
      <c r="A559" s="431"/>
      <c r="B559" s="431"/>
      <c r="C559" s="431"/>
      <c r="D559" s="431"/>
      <c r="E559" s="431"/>
      <c r="F559" s="431"/>
      <c r="G559" s="431"/>
      <c r="H559" s="431"/>
      <c r="I559" s="431"/>
      <c r="J559" s="431"/>
      <c r="K559" s="431"/>
      <c r="L559" s="431"/>
      <c r="M559" s="431"/>
      <c r="N559" s="431"/>
      <c r="O559" s="431"/>
      <c r="P559" s="431"/>
      <c r="Q559" s="431"/>
      <c r="R559" s="431"/>
      <c r="S559" s="431"/>
      <c r="T559" s="431"/>
      <c r="U559" s="431"/>
      <c r="V559" s="431"/>
      <c r="W559" s="431"/>
      <c r="X559" s="431"/>
      <c r="Y559" s="431"/>
      <c r="Z559" s="431"/>
      <c r="AA559" s="431"/>
      <c r="AB559" s="431"/>
      <c r="AC559" s="431"/>
      <c r="AD559" s="436" t="str">
        <f t="shared" si="8"/>
        <v/>
      </c>
    </row>
    <row r="560" spans="1:30" s="27" customFormat="1" ht="14">
      <c r="A560" s="431"/>
      <c r="B560" s="431"/>
      <c r="C560" s="431"/>
      <c r="D560" s="431"/>
      <c r="E560" s="431"/>
      <c r="F560" s="431"/>
      <c r="G560" s="431"/>
      <c r="H560" s="431"/>
      <c r="I560" s="431"/>
      <c r="J560" s="431"/>
      <c r="K560" s="431"/>
      <c r="L560" s="431"/>
      <c r="M560" s="431"/>
      <c r="N560" s="431"/>
      <c r="O560" s="431"/>
      <c r="P560" s="431"/>
      <c r="Q560" s="431"/>
      <c r="R560" s="431"/>
      <c r="S560" s="431"/>
      <c r="T560" s="431"/>
      <c r="U560" s="431"/>
      <c r="V560" s="431"/>
      <c r="W560" s="431"/>
      <c r="X560" s="431"/>
      <c r="Y560" s="431"/>
      <c r="Z560" s="431"/>
      <c r="AA560" s="431"/>
      <c r="AB560" s="431"/>
      <c r="AC560" s="431"/>
      <c r="AD560" s="436" t="str">
        <f t="shared" si="8"/>
        <v/>
      </c>
    </row>
    <row r="561" spans="1:31" s="27" customFormat="1" ht="14">
      <c r="A561" s="431"/>
      <c r="B561" s="431"/>
      <c r="C561" s="431"/>
      <c r="D561" s="431"/>
      <c r="E561" s="431"/>
      <c r="F561" s="431"/>
      <c r="G561" s="431"/>
      <c r="H561" s="431"/>
      <c r="I561" s="431"/>
      <c r="J561" s="431"/>
      <c r="K561" s="431"/>
      <c r="L561" s="431"/>
      <c r="M561" s="431"/>
      <c r="N561" s="431"/>
      <c r="O561" s="431"/>
      <c r="P561" s="431"/>
      <c r="Q561" s="431"/>
      <c r="R561" s="431"/>
      <c r="S561" s="431"/>
      <c r="T561" s="431"/>
      <c r="U561" s="431"/>
      <c r="V561" s="431"/>
      <c r="W561" s="431"/>
      <c r="X561" s="431"/>
      <c r="Y561" s="431"/>
      <c r="Z561" s="431"/>
      <c r="AA561" s="431"/>
      <c r="AB561" s="431"/>
      <c r="AC561" s="431"/>
      <c r="AD561" s="436" t="str">
        <f t="shared" si="8"/>
        <v/>
      </c>
      <c r="AE561" s="42"/>
    </row>
    <row r="562" spans="1:31" ht="14">
      <c r="A562" s="431"/>
      <c r="B562" s="431"/>
      <c r="C562" s="431"/>
      <c r="D562" s="431"/>
      <c r="E562" s="431"/>
      <c r="F562" s="431"/>
      <c r="G562" s="431"/>
      <c r="H562" s="431"/>
      <c r="I562" s="431"/>
      <c r="J562" s="431"/>
      <c r="K562" s="431"/>
      <c r="L562" s="431"/>
      <c r="M562" s="431"/>
      <c r="N562" s="431"/>
      <c r="O562" s="431"/>
      <c r="P562" s="431"/>
      <c r="Q562" s="431"/>
      <c r="R562" s="431"/>
      <c r="S562" s="431"/>
      <c r="T562" s="431"/>
      <c r="U562" s="431"/>
      <c r="V562" s="431"/>
      <c r="W562" s="431"/>
      <c r="X562" s="431"/>
      <c r="Y562" s="431"/>
      <c r="Z562" s="431"/>
      <c r="AA562" s="431"/>
      <c r="AB562" s="431"/>
      <c r="AC562" s="431"/>
      <c r="AD562" s="438">
        <v>2045.5555555555557</v>
      </c>
      <c r="AE562" s="43"/>
    </row>
    <row r="563" spans="1:31" ht="14">
      <c r="A563" s="431"/>
      <c r="B563" s="431"/>
      <c r="C563" s="431"/>
      <c r="D563" s="431"/>
      <c r="E563" s="431"/>
      <c r="F563" s="431"/>
      <c r="G563" s="431"/>
      <c r="H563" s="431"/>
      <c r="I563" s="431"/>
      <c r="J563" s="431"/>
      <c r="K563" s="431"/>
      <c r="L563" s="431"/>
      <c r="M563" s="431"/>
      <c r="N563" s="431"/>
      <c r="O563" s="431"/>
      <c r="P563" s="431"/>
      <c r="Q563" s="431"/>
      <c r="R563" s="431"/>
      <c r="S563" s="431"/>
      <c r="T563" s="431"/>
      <c r="U563" s="431"/>
      <c r="V563" s="431"/>
      <c r="W563" s="431"/>
      <c r="X563" s="431"/>
      <c r="Y563" s="431"/>
      <c r="Z563" s="431"/>
      <c r="AA563" s="431"/>
      <c r="AB563" s="431"/>
      <c r="AC563" s="431"/>
      <c r="AD563" s="438">
        <v>1540</v>
      </c>
      <c r="AE563" s="43"/>
    </row>
    <row r="564" spans="1:31" s="28" customFormat="1" ht="14">
      <c r="A564" s="431"/>
      <c r="B564" s="431"/>
      <c r="C564" s="431"/>
      <c r="D564" s="431"/>
      <c r="E564" s="431"/>
      <c r="F564" s="431"/>
      <c r="G564" s="431"/>
      <c r="H564" s="431"/>
      <c r="I564" s="431"/>
      <c r="J564" s="431"/>
      <c r="K564" s="431"/>
      <c r="L564" s="431"/>
      <c r="M564" s="431"/>
      <c r="N564" s="431"/>
      <c r="O564" s="431"/>
      <c r="P564" s="431"/>
      <c r="Q564" s="431"/>
      <c r="R564" s="431"/>
      <c r="S564" s="431"/>
      <c r="T564" s="431"/>
      <c r="U564" s="431"/>
      <c r="V564" s="431"/>
      <c r="W564" s="431"/>
      <c r="X564" s="431"/>
      <c r="Y564" s="431"/>
      <c r="Z564" s="431"/>
      <c r="AA564" s="431"/>
      <c r="AB564" s="431"/>
      <c r="AC564" s="431"/>
      <c r="AD564" s="438">
        <v>861</v>
      </c>
      <c r="AE564" s="43"/>
    </row>
    <row r="565" spans="1:31" s="28" customFormat="1" ht="14">
      <c r="A565" s="431"/>
      <c r="B565" s="431"/>
      <c r="C565" s="431"/>
      <c r="D565" s="431"/>
      <c r="E565" s="431"/>
      <c r="F565" s="431"/>
      <c r="G565" s="431"/>
      <c r="H565" s="431"/>
      <c r="I565" s="431"/>
      <c r="J565" s="431"/>
      <c r="K565" s="431"/>
      <c r="L565" s="431"/>
      <c r="M565" s="431"/>
      <c r="N565" s="431"/>
      <c r="O565" s="431"/>
      <c r="P565" s="431"/>
      <c r="Q565" s="431"/>
      <c r="R565" s="431"/>
      <c r="S565" s="431"/>
      <c r="T565" s="431"/>
      <c r="U565" s="431"/>
      <c r="V565" s="431"/>
      <c r="W565" s="431"/>
      <c r="X565" s="431"/>
      <c r="Y565" s="431"/>
      <c r="Z565" s="431"/>
      <c r="AA565" s="431"/>
      <c r="AB565" s="431"/>
      <c r="AC565" s="431"/>
      <c r="AD565" s="438">
        <v>1335</v>
      </c>
      <c r="AE565" s="43"/>
    </row>
    <row r="566" spans="1:31" s="27" customFormat="1" ht="14">
      <c r="A566" s="431"/>
      <c r="B566" s="431"/>
      <c r="C566" s="431"/>
      <c r="D566" s="431"/>
      <c r="E566" s="431"/>
      <c r="F566" s="431"/>
      <c r="G566" s="431"/>
      <c r="H566" s="431"/>
      <c r="I566" s="431"/>
      <c r="J566" s="431"/>
      <c r="K566" s="431"/>
      <c r="L566" s="431"/>
      <c r="M566" s="431"/>
      <c r="N566" s="431"/>
      <c r="O566" s="431"/>
      <c r="P566" s="431"/>
      <c r="Q566" s="431"/>
      <c r="R566" s="431"/>
      <c r="S566" s="431"/>
      <c r="T566" s="431"/>
      <c r="U566" s="431"/>
      <c r="V566" s="431"/>
      <c r="W566" s="431"/>
      <c r="X566" s="431"/>
      <c r="Y566" s="431"/>
      <c r="Z566" s="431"/>
      <c r="AA566" s="431"/>
      <c r="AB566" s="431"/>
      <c r="AC566" s="431"/>
      <c r="AD566" s="436" t="str">
        <f>IF(AND(N566&lt;&gt;"",P566=TRUE,J566="HOUSING_REQUIREMENT_TOTAL"),N566/(H566-G566),IF(J566="HOUSING_REQUIREMENT_TOTAL",K566/(H566-G566),IF(J566="HOUSING_REQUIREMENT_RANGE",L566/(H566-G566),IF(J566="HOUSING_REQUIREMENT_YEARLY_AVERAGE",K566,IF(J566="HOUSING_REQUIREMENT_YEARLY_RANGE",L566,"")))))</f>
        <v/>
      </c>
      <c r="AE566" s="42"/>
    </row>
  </sheetData>
  <sheetProtection algorithmName="SHA-512" hashValue="/nQNiS92/Dq6l+8gcOv88nc4fRwEXmEQjkFbJRXouuoMJGNArU5Nin/o0jnpJ46KDnce4coNZChwNpUFYEZNQA==" saltValue="jyZCWCBV8OBG8jwJuHdR8g==" spinCount="100000" sheet="1" objects="1" scenarios="1"/>
  <autoFilter ref="A1:AD566" xr:uid="{93B839F8-1E80-4C32-B90F-90F456079C2E}"/>
  <sortState xmlns:xlrd2="http://schemas.microsoft.com/office/spreadsheetml/2017/richdata2" ref="A2:AD566">
    <sortCondition ref="P2:P566"/>
    <sortCondition ref="C2:C566"/>
    <sortCondition descending="1" ref="AC2:AC566"/>
  </sortState>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1D956-8633-47F8-BAE1-F24B5C78E200}">
  <sheetPr>
    <tabColor theme="9" tint="-0.249977111117893"/>
  </sheetPr>
  <dimension ref="A1:Q359"/>
  <sheetViews>
    <sheetView workbookViewId="0">
      <selection activeCell="G5" sqref="G5"/>
    </sheetView>
  </sheetViews>
  <sheetFormatPr defaultColWidth="8.6328125" defaultRowHeight="12.5"/>
  <cols>
    <col min="1" max="1" width="10" style="31" bestFit="1" customWidth="1"/>
    <col min="2" max="16384" width="8.6328125" style="31"/>
  </cols>
  <sheetData>
    <row r="1" spans="1:14" s="30" customFormat="1" ht="150">
      <c r="A1" s="30" t="s">
        <v>3842</v>
      </c>
      <c r="B1" s="30" t="s">
        <v>3843</v>
      </c>
      <c r="C1" s="30" t="s">
        <v>3844</v>
      </c>
      <c r="D1" s="30" t="s">
        <v>3845</v>
      </c>
      <c r="E1" s="30" t="s">
        <v>3846</v>
      </c>
      <c r="F1" s="30" t="s">
        <v>3847</v>
      </c>
      <c r="G1" s="30" t="s">
        <v>3848</v>
      </c>
      <c r="H1" s="30" t="s">
        <v>3849</v>
      </c>
      <c r="I1" s="30" t="s">
        <v>3850</v>
      </c>
      <c r="J1" s="30" t="s">
        <v>3851</v>
      </c>
      <c r="K1" s="30" t="s">
        <v>3852</v>
      </c>
      <c r="L1" s="30" t="s">
        <v>3853</v>
      </c>
      <c r="M1" s="30" t="s">
        <v>3854</v>
      </c>
      <c r="N1" s="30" t="s">
        <v>3855</v>
      </c>
    </row>
    <row r="2" spans="1:14">
      <c r="A2" s="31" t="s">
        <v>362</v>
      </c>
      <c r="B2" s="31" t="s">
        <v>363</v>
      </c>
      <c r="C2" s="31">
        <v>3173</v>
      </c>
      <c r="D2" s="31">
        <v>88855</v>
      </c>
      <c r="E2" s="31">
        <v>0</v>
      </c>
      <c r="F2" s="31">
        <v>0</v>
      </c>
      <c r="G2" s="31">
        <v>88855</v>
      </c>
      <c r="H2" s="31">
        <v>92028</v>
      </c>
      <c r="I2" s="31">
        <v>0</v>
      </c>
      <c r="J2" s="31">
        <v>3173</v>
      </c>
      <c r="K2" s="31">
        <v>3.44</v>
      </c>
      <c r="L2" s="31">
        <v>4</v>
      </c>
      <c r="M2" s="31" t="s">
        <v>3856</v>
      </c>
      <c r="N2" s="31" t="s">
        <v>3857</v>
      </c>
    </row>
    <row r="3" spans="1:14">
      <c r="A3" s="31" t="s">
        <v>454</v>
      </c>
      <c r="B3" s="31" t="s">
        <v>455</v>
      </c>
      <c r="C3" s="31">
        <v>957</v>
      </c>
      <c r="D3" s="31">
        <v>137455</v>
      </c>
      <c r="E3" s="31">
        <v>0</v>
      </c>
      <c r="F3" s="31">
        <v>0</v>
      </c>
      <c r="G3" s="31">
        <v>137455</v>
      </c>
      <c r="H3" s="31">
        <v>138412</v>
      </c>
      <c r="I3" s="31">
        <v>0</v>
      </c>
      <c r="J3" s="31">
        <v>957</v>
      </c>
      <c r="K3" s="31">
        <v>0.69</v>
      </c>
      <c r="L3" s="31">
        <v>4</v>
      </c>
      <c r="M3" s="31" t="s">
        <v>3856</v>
      </c>
      <c r="N3" s="31" t="s">
        <v>3857</v>
      </c>
    </row>
    <row r="4" spans="1:14">
      <c r="A4" s="31" t="s">
        <v>522</v>
      </c>
      <c r="B4" s="31" t="s">
        <v>523</v>
      </c>
      <c r="C4" s="31">
        <v>43880</v>
      </c>
      <c r="D4" s="31">
        <v>91297</v>
      </c>
      <c r="E4" s="31">
        <v>0</v>
      </c>
      <c r="F4" s="31">
        <v>0</v>
      </c>
      <c r="G4" s="31">
        <v>91297</v>
      </c>
      <c r="H4" s="31">
        <v>135177</v>
      </c>
      <c r="I4" s="31">
        <v>0</v>
      </c>
      <c r="J4" s="31">
        <v>43880</v>
      </c>
      <c r="K4" s="31">
        <v>32.46</v>
      </c>
      <c r="L4" s="31">
        <v>3</v>
      </c>
      <c r="M4" s="31" t="s">
        <v>3858</v>
      </c>
      <c r="N4" s="31" t="s">
        <v>3859</v>
      </c>
    </row>
    <row r="5" spans="1:14">
      <c r="A5" s="31" t="s">
        <v>628</v>
      </c>
      <c r="B5" s="31" t="s">
        <v>629</v>
      </c>
      <c r="C5" s="31">
        <v>7536</v>
      </c>
      <c r="D5" s="31">
        <v>184074</v>
      </c>
      <c r="E5" s="31">
        <v>0</v>
      </c>
      <c r="F5" s="31">
        <v>0</v>
      </c>
      <c r="G5" s="31">
        <v>184074</v>
      </c>
      <c r="H5" s="31">
        <v>191610</v>
      </c>
      <c r="I5" s="31">
        <v>0</v>
      </c>
      <c r="J5" s="31">
        <v>7536</v>
      </c>
      <c r="K5" s="31">
        <v>3.93</v>
      </c>
      <c r="L5" s="31">
        <v>4</v>
      </c>
      <c r="M5" s="31" t="s">
        <v>3856</v>
      </c>
      <c r="N5" s="31" t="s">
        <v>3857</v>
      </c>
    </row>
    <row r="6" spans="1:14">
      <c r="A6" s="31" t="s">
        <v>257</v>
      </c>
      <c r="B6" s="31" t="s">
        <v>258</v>
      </c>
      <c r="C6" s="31">
        <v>13201</v>
      </c>
      <c r="D6" s="31">
        <v>92363</v>
      </c>
      <c r="E6" s="31">
        <v>0</v>
      </c>
      <c r="F6" s="31">
        <v>0</v>
      </c>
      <c r="G6" s="31">
        <v>92363</v>
      </c>
      <c r="H6" s="31">
        <v>105564</v>
      </c>
      <c r="I6" s="31">
        <v>0</v>
      </c>
      <c r="J6" s="31">
        <v>13201</v>
      </c>
      <c r="K6" s="31">
        <v>12.5</v>
      </c>
      <c r="L6" s="31">
        <v>4</v>
      </c>
      <c r="M6" s="31" t="s">
        <v>3856</v>
      </c>
      <c r="N6" s="31" t="s">
        <v>3857</v>
      </c>
    </row>
    <row r="7" spans="1:14">
      <c r="A7" s="31" t="s">
        <v>344</v>
      </c>
      <c r="B7" s="31" t="s">
        <v>345</v>
      </c>
      <c r="C7" s="31">
        <v>3148</v>
      </c>
      <c r="D7" s="31">
        <v>122598</v>
      </c>
      <c r="E7" s="31">
        <v>0</v>
      </c>
      <c r="F7" s="31">
        <v>0</v>
      </c>
      <c r="G7" s="31">
        <v>122598</v>
      </c>
      <c r="H7" s="31">
        <v>125746</v>
      </c>
      <c r="I7" s="31">
        <v>0</v>
      </c>
      <c r="J7" s="31">
        <v>3148</v>
      </c>
      <c r="K7" s="31">
        <v>2.5</v>
      </c>
      <c r="L7" s="31">
        <v>4</v>
      </c>
      <c r="M7" s="31" t="s">
        <v>3856</v>
      </c>
      <c r="N7" s="31" t="s">
        <v>3857</v>
      </c>
    </row>
    <row r="8" spans="1:14">
      <c r="A8" s="31" t="s">
        <v>692</v>
      </c>
      <c r="B8" s="31" t="s">
        <v>693</v>
      </c>
      <c r="C8" s="31">
        <v>25164</v>
      </c>
      <c r="D8" s="31">
        <v>177064</v>
      </c>
      <c r="E8" s="31">
        <v>0</v>
      </c>
      <c r="F8" s="31">
        <v>0</v>
      </c>
      <c r="G8" s="31">
        <v>177064</v>
      </c>
      <c r="H8" s="31">
        <v>202228</v>
      </c>
      <c r="I8" s="31">
        <v>0</v>
      </c>
      <c r="J8" s="31">
        <v>25164</v>
      </c>
      <c r="K8" s="31">
        <v>12.44</v>
      </c>
      <c r="L8" s="31">
        <v>4</v>
      </c>
      <c r="M8" s="31" t="s">
        <v>3856</v>
      </c>
      <c r="N8" s="31" t="s">
        <v>3857</v>
      </c>
    </row>
    <row r="9" spans="1:14">
      <c r="A9" s="31" t="s">
        <v>157</v>
      </c>
      <c r="B9" s="31" t="s">
        <v>158</v>
      </c>
      <c r="C9" s="31">
        <v>6931</v>
      </c>
      <c r="D9" s="31">
        <v>140558</v>
      </c>
      <c r="E9" s="31">
        <v>0</v>
      </c>
      <c r="F9" s="31">
        <v>0</v>
      </c>
      <c r="G9" s="31">
        <v>140558</v>
      </c>
      <c r="H9" s="31">
        <v>147489</v>
      </c>
      <c r="I9" s="31">
        <v>0</v>
      </c>
      <c r="J9" s="31">
        <v>6931</v>
      </c>
      <c r="K9" s="31">
        <v>4.6900000000000004</v>
      </c>
      <c r="L9" s="31">
        <v>4</v>
      </c>
      <c r="M9" s="31" t="s">
        <v>3856</v>
      </c>
      <c r="N9" s="31" t="s">
        <v>3857</v>
      </c>
    </row>
    <row r="10" spans="1:14">
      <c r="A10" s="31" t="s">
        <v>159</v>
      </c>
      <c r="B10" s="31" t="s">
        <v>160</v>
      </c>
      <c r="C10" s="31">
        <v>555</v>
      </c>
      <c r="D10" s="31">
        <v>141510</v>
      </c>
      <c r="E10" s="31">
        <v>0</v>
      </c>
      <c r="F10" s="31">
        <v>0</v>
      </c>
      <c r="G10" s="31">
        <v>141510</v>
      </c>
      <c r="H10" s="31">
        <v>142065</v>
      </c>
      <c r="I10" s="31">
        <v>0</v>
      </c>
      <c r="J10" s="31">
        <v>555</v>
      </c>
      <c r="K10" s="31">
        <v>0.39</v>
      </c>
      <c r="L10" s="31">
        <v>4</v>
      </c>
      <c r="M10" s="31" t="s">
        <v>3856</v>
      </c>
      <c r="N10" s="31" t="s">
        <v>3857</v>
      </c>
    </row>
    <row r="11" spans="1:14">
      <c r="A11" s="31" t="s">
        <v>402</v>
      </c>
      <c r="B11" s="31" t="s">
        <v>403</v>
      </c>
      <c r="C11" s="31">
        <v>0</v>
      </c>
      <c r="D11" s="31">
        <v>256406</v>
      </c>
      <c r="E11" s="31">
        <v>0</v>
      </c>
      <c r="F11" s="31">
        <v>0</v>
      </c>
      <c r="G11" s="31">
        <v>256406</v>
      </c>
      <c r="H11" s="31">
        <v>256406</v>
      </c>
      <c r="I11" s="31">
        <v>0</v>
      </c>
      <c r="J11" s="31">
        <v>0</v>
      </c>
      <c r="K11" s="31">
        <v>0</v>
      </c>
      <c r="L11" s="31">
        <v>4</v>
      </c>
      <c r="M11" s="31" t="s">
        <v>3856</v>
      </c>
      <c r="N11" s="31" t="s">
        <v>3857</v>
      </c>
    </row>
    <row r="12" spans="1:14">
      <c r="A12" s="31" t="s">
        <v>292</v>
      </c>
      <c r="B12" s="31" t="s">
        <v>293</v>
      </c>
      <c r="C12" s="31">
        <v>146674</v>
      </c>
      <c r="D12" s="31">
        <v>187505</v>
      </c>
      <c r="E12" s="31">
        <v>0</v>
      </c>
      <c r="F12" s="31">
        <v>0</v>
      </c>
      <c r="G12" s="31">
        <v>187505</v>
      </c>
      <c r="H12" s="31">
        <v>334179</v>
      </c>
      <c r="I12" s="31">
        <v>53794</v>
      </c>
      <c r="J12" s="31">
        <v>200468</v>
      </c>
      <c r="K12" s="31">
        <v>59.98</v>
      </c>
      <c r="L12" s="31">
        <v>2</v>
      </c>
      <c r="M12" s="31" t="s">
        <v>3860</v>
      </c>
      <c r="N12" s="31" t="s">
        <v>3861</v>
      </c>
    </row>
    <row r="13" spans="1:14">
      <c r="A13" s="31" t="s">
        <v>474</v>
      </c>
      <c r="B13" s="31" t="s">
        <v>475</v>
      </c>
      <c r="C13" s="31">
        <v>15814</v>
      </c>
      <c r="D13" s="31">
        <v>143802</v>
      </c>
      <c r="E13" s="31">
        <v>0</v>
      </c>
      <c r="F13" s="31">
        <v>0</v>
      </c>
      <c r="G13" s="31">
        <v>143802</v>
      </c>
      <c r="H13" s="31">
        <v>159616</v>
      </c>
      <c r="I13" s="31">
        <v>9642</v>
      </c>
      <c r="J13" s="31">
        <v>25456</v>
      </c>
      <c r="K13" s="31">
        <v>15.94</v>
      </c>
      <c r="L13" s="31">
        <v>4</v>
      </c>
      <c r="M13" s="31" t="s">
        <v>3856</v>
      </c>
      <c r="N13" s="31" t="s">
        <v>3857</v>
      </c>
    </row>
    <row r="14" spans="1:14">
      <c r="A14" s="31" t="s">
        <v>480</v>
      </c>
      <c r="B14" s="31" t="s">
        <v>481</v>
      </c>
      <c r="C14" s="31">
        <v>75295</v>
      </c>
      <c r="D14" s="31">
        <v>92151</v>
      </c>
      <c r="E14" s="31">
        <v>0</v>
      </c>
      <c r="F14" s="31">
        <v>0</v>
      </c>
      <c r="G14" s="31">
        <v>92151</v>
      </c>
      <c r="H14" s="31">
        <v>167446</v>
      </c>
      <c r="I14" s="31">
        <v>1108</v>
      </c>
      <c r="J14" s="31">
        <v>76403</v>
      </c>
      <c r="K14" s="31">
        <v>45.62</v>
      </c>
      <c r="L14" s="31">
        <v>3</v>
      </c>
      <c r="M14" s="31" t="s">
        <v>3858</v>
      </c>
      <c r="N14" s="31" t="s">
        <v>3859</v>
      </c>
    </row>
    <row r="15" spans="1:14">
      <c r="A15" s="31" t="s">
        <v>746</v>
      </c>
      <c r="B15" s="31" t="s">
        <v>747</v>
      </c>
      <c r="C15" s="31">
        <v>32440</v>
      </c>
      <c r="D15" s="31">
        <v>165611</v>
      </c>
      <c r="E15" s="31">
        <v>0</v>
      </c>
      <c r="F15" s="31">
        <v>0</v>
      </c>
      <c r="G15" s="31">
        <v>165611</v>
      </c>
      <c r="H15" s="31">
        <v>198051</v>
      </c>
      <c r="I15" s="31">
        <v>0</v>
      </c>
      <c r="J15" s="31">
        <v>32440</v>
      </c>
      <c r="K15" s="31">
        <v>16.37</v>
      </c>
      <c r="L15" s="31">
        <v>4</v>
      </c>
      <c r="M15" s="31" t="s">
        <v>3856</v>
      </c>
      <c r="N15" s="31" t="s">
        <v>3857</v>
      </c>
    </row>
    <row r="16" spans="1:14">
      <c r="A16" s="31" t="s">
        <v>264</v>
      </c>
      <c r="B16" s="31" t="s">
        <v>265</v>
      </c>
      <c r="C16" s="31">
        <v>0</v>
      </c>
      <c r="D16" s="31">
        <v>248752</v>
      </c>
      <c r="E16" s="31">
        <v>0</v>
      </c>
      <c r="F16" s="31">
        <v>0</v>
      </c>
      <c r="G16" s="31">
        <v>248752</v>
      </c>
      <c r="H16" s="31">
        <v>248752</v>
      </c>
      <c r="I16" s="31">
        <v>0</v>
      </c>
      <c r="J16" s="31">
        <v>0</v>
      </c>
      <c r="K16" s="31">
        <v>0</v>
      </c>
      <c r="L16" s="31">
        <v>4</v>
      </c>
      <c r="M16" s="31" t="s">
        <v>3856</v>
      </c>
      <c r="N16" s="31" t="s">
        <v>3857</v>
      </c>
    </row>
    <row r="17" spans="1:14">
      <c r="A17" s="31" t="s">
        <v>416</v>
      </c>
      <c r="B17" s="31" t="s">
        <v>417</v>
      </c>
      <c r="C17" s="31">
        <v>556</v>
      </c>
      <c r="D17" s="31">
        <v>329283</v>
      </c>
      <c r="E17" s="31">
        <v>0</v>
      </c>
      <c r="F17" s="31">
        <v>0</v>
      </c>
      <c r="G17" s="31">
        <v>329283</v>
      </c>
      <c r="H17" s="31">
        <v>329839</v>
      </c>
      <c r="I17" s="31">
        <v>0</v>
      </c>
      <c r="J17" s="31">
        <v>556</v>
      </c>
      <c r="K17" s="31">
        <v>0.16</v>
      </c>
      <c r="L17" s="31">
        <v>4</v>
      </c>
      <c r="M17" s="31" t="s">
        <v>3856</v>
      </c>
      <c r="N17" s="31" t="s">
        <v>3857</v>
      </c>
    </row>
    <row r="18" spans="1:14">
      <c r="A18" s="31" t="s">
        <v>552</v>
      </c>
      <c r="B18" s="31" t="s">
        <v>553</v>
      </c>
      <c r="C18" s="31">
        <v>25847</v>
      </c>
      <c r="D18" s="31">
        <v>11522</v>
      </c>
      <c r="E18" s="31">
        <v>0</v>
      </c>
      <c r="F18" s="31">
        <v>0</v>
      </c>
      <c r="G18" s="31">
        <v>11522</v>
      </c>
      <c r="H18" s="31">
        <v>37369</v>
      </c>
      <c r="I18" s="31">
        <v>11522</v>
      </c>
      <c r="J18" s="31">
        <v>37369</v>
      </c>
      <c r="K18" s="31">
        <v>100</v>
      </c>
      <c r="L18" s="31">
        <v>1</v>
      </c>
      <c r="M18" s="31" t="s">
        <v>3862</v>
      </c>
      <c r="N18" s="31" t="s">
        <v>3861</v>
      </c>
    </row>
    <row r="19" spans="1:14">
      <c r="A19" s="31" t="s">
        <v>498</v>
      </c>
      <c r="B19" s="31" t="s">
        <v>499</v>
      </c>
      <c r="C19" s="31">
        <v>0</v>
      </c>
      <c r="D19" s="31">
        <v>0</v>
      </c>
      <c r="E19" s="31">
        <v>305680</v>
      </c>
      <c r="F19" s="31">
        <v>0</v>
      </c>
      <c r="G19" s="31">
        <v>305680</v>
      </c>
      <c r="H19" s="31">
        <v>305680</v>
      </c>
      <c r="I19" s="31">
        <v>0</v>
      </c>
      <c r="J19" s="31">
        <v>0</v>
      </c>
      <c r="K19" s="31">
        <v>0</v>
      </c>
      <c r="L19" s="31">
        <v>5</v>
      </c>
      <c r="M19" s="31" t="s">
        <v>3863</v>
      </c>
      <c r="N19" s="31" t="s">
        <v>3857</v>
      </c>
    </row>
    <row r="20" spans="1:14">
      <c r="A20" s="31" t="s">
        <v>370</v>
      </c>
      <c r="B20" s="31" t="s">
        <v>371</v>
      </c>
      <c r="C20" s="31">
        <v>99142</v>
      </c>
      <c r="D20" s="31">
        <v>84335</v>
      </c>
      <c r="E20" s="31">
        <v>0</v>
      </c>
      <c r="F20" s="31">
        <v>0</v>
      </c>
      <c r="G20" s="31">
        <v>84335</v>
      </c>
      <c r="H20" s="31">
        <v>183477</v>
      </c>
      <c r="I20" s="31">
        <v>21520</v>
      </c>
      <c r="J20" s="31">
        <v>120662</v>
      </c>
      <c r="K20" s="31">
        <v>65.760000000000005</v>
      </c>
      <c r="L20" s="31">
        <v>2</v>
      </c>
      <c r="M20" s="31" t="s">
        <v>3860</v>
      </c>
      <c r="N20" s="31" t="s">
        <v>3861</v>
      </c>
    </row>
    <row r="21" spans="1:14">
      <c r="A21" s="31" t="s">
        <v>654</v>
      </c>
      <c r="B21" s="31" t="s">
        <v>655</v>
      </c>
      <c r="C21" s="31">
        <v>11177</v>
      </c>
      <c r="D21" s="31">
        <v>155464</v>
      </c>
      <c r="E21" s="31">
        <v>0</v>
      </c>
      <c r="F21" s="31">
        <v>0</v>
      </c>
      <c r="G21" s="31">
        <v>155464</v>
      </c>
      <c r="H21" s="31">
        <v>166641</v>
      </c>
      <c r="I21" s="31">
        <v>12741</v>
      </c>
      <c r="J21" s="31">
        <v>23918</v>
      </c>
      <c r="K21" s="31">
        <v>14.35</v>
      </c>
      <c r="L21" s="31">
        <v>4</v>
      </c>
      <c r="M21" s="31" t="s">
        <v>3856</v>
      </c>
      <c r="N21" s="31" t="s">
        <v>3857</v>
      </c>
    </row>
    <row r="22" spans="1:14">
      <c r="A22" s="31" t="s">
        <v>630</v>
      </c>
      <c r="B22" s="31" t="s">
        <v>631</v>
      </c>
      <c r="C22" s="31">
        <v>671</v>
      </c>
      <c r="D22" s="31">
        <v>248337</v>
      </c>
      <c r="E22" s="31">
        <v>0</v>
      </c>
      <c r="F22" s="31">
        <v>0</v>
      </c>
      <c r="G22" s="31">
        <v>248337</v>
      </c>
      <c r="H22" s="31">
        <v>249008</v>
      </c>
      <c r="I22" s="31">
        <v>0</v>
      </c>
      <c r="J22" s="31">
        <v>671</v>
      </c>
      <c r="K22" s="31">
        <v>0.26</v>
      </c>
      <c r="L22" s="31">
        <v>4</v>
      </c>
      <c r="M22" s="31" t="s">
        <v>3856</v>
      </c>
      <c r="N22" s="31" t="s">
        <v>3857</v>
      </c>
    </row>
    <row r="23" spans="1:14">
      <c r="A23" s="31" t="s">
        <v>145</v>
      </c>
      <c r="B23" s="31" t="s">
        <v>146</v>
      </c>
      <c r="C23" s="31">
        <v>37103</v>
      </c>
      <c r="D23" s="31">
        <v>138913</v>
      </c>
      <c r="E23" s="31">
        <v>0</v>
      </c>
      <c r="F23" s="31">
        <v>0</v>
      </c>
      <c r="G23" s="31">
        <v>138913</v>
      </c>
      <c r="H23" s="31">
        <v>176016</v>
      </c>
      <c r="I23" s="31">
        <v>27136</v>
      </c>
      <c r="J23" s="31">
        <v>64239</v>
      </c>
      <c r="K23" s="31">
        <v>36.49</v>
      </c>
      <c r="L23" s="31">
        <v>3</v>
      </c>
      <c r="M23" s="31" t="s">
        <v>3858</v>
      </c>
      <c r="N23" s="31" t="s">
        <v>3859</v>
      </c>
    </row>
    <row r="24" spans="1:14">
      <c r="A24" s="31" t="s">
        <v>183</v>
      </c>
      <c r="B24" s="31" t="s">
        <v>184</v>
      </c>
      <c r="C24" s="31">
        <v>0</v>
      </c>
      <c r="D24" s="31">
        <v>428234</v>
      </c>
      <c r="E24" s="31">
        <v>0</v>
      </c>
      <c r="F24" s="31">
        <v>0</v>
      </c>
      <c r="G24" s="31">
        <v>428234</v>
      </c>
      <c r="H24" s="31">
        <v>428234</v>
      </c>
      <c r="I24" s="31">
        <v>0</v>
      </c>
      <c r="J24" s="31">
        <v>0</v>
      </c>
      <c r="K24" s="31">
        <v>0</v>
      </c>
      <c r="L24" s="31">
        <v>4</v>
      </c>
      <c r="M24" s="31" t="s">
        <v>3856</v>
      </c>
      <c r="N24" s="31" t="s">
        <v>3857</v>
      </c>
    </row>
    <row r="25" spans="1:14">
      <c r="A25" s="31" t="s">
        <v>484</v>
      </c>
      <c r="B25" s="31" t="s">
        <v>485</v>
      </c>
      <c r="C25" s="31">
        <v>37238</v>
      </c>
      <c r="D25" s="31">
        <v>165328</v>
      </c>
      <c r="E25" s="31">
        <v>0</v>
      </c>
      <c r="F25" s="31">
        <v>0</v>
      </c>
      <c r="G25" s="31">
        <v>165328</v>
      </c>
      <c r="H25" s="31">
        <v>202566</v>
      </c>
      <c r="I25" s="31">
        <v>41545</v>
      </c>
      <c r="J25" s="31">
        <v>78783</v>
      </c>
      <c r="K25" s="31">
        <v>38.89</v>
      </c>
      <c r="L25" s="31">
        <v>3</v>
      </c>
      <c r="M25" s="31" t="s">
        <v>3858</v>
      </c>
      <c r="N25" s="31" t="s">
        <v>3859</v>
      </c>
    </row>
    <row r="26" spans="1:14">
      <c r="A26" s="31" t="s">
        <v>584</v>
      </c>
      <c r="B26" s="31" t="s">
        <v>585</v>
      </c>
      <c r="C26" s="31">
        <v>34363</v>
      </c>
      <c r="D26" s="31">
        <v>228404</v>
      </c>
      <c r="E26" s="31">
        <v>0</v>
      </c>
      <c r="F26" s="31">
        <v>0</v>
      </c>
      <c r="G26" s="31">
        <v>228404</v>
      </c>
      <c r="H26" s="31">
        <v>262767</v>
      </c>
      <c r="I26" s="31">
        <v>11687</v>
      </c>
      <c r="J26" s="31">
        <v>46050</v>
      </c>
      <c r="K26" s="31">
        <v>17.52</v>
      </c>
      <c r="L26" s="31">
        <v>4</v>
      </c>
      <c r="M26" s="31" t="s">
        <v>3856</v>
      </c>
      <c r="N26" s="31" t="s">
        <v>3857</v>
      </c>
    </row>
    <row r="27" spans="1:14">
      <c r="A27" s="31" t="s">
        <v>512</v>
      </c>
      <c r="B27" s="31" t="s">
        <v>513</v>
      </c>
      <c r="C27" s="31">
        <v>0</v>
      </c>
      <c r="D27" s="31">
        <v>256384</v>
      </c>
      <c r="E27" s="31">
        <v>0</v>
      </c>
      <c r="F27" s="31">
        <v>0</v>
      </c>
      <c r="G27" s="31">
        <v>256384</v>
      </c>
      <c r="H27" s="31">
        <v>256384</v>
      </c>
      <c r="I27" s="31">
        <v>0</v>
      </c>
      <c r="J27" s="31">
        <v>0</v>
      </c>
      <c r="K27" s="31">
        <v>0</v>
      </c>
      <c r="L27" s="31">
        <v>4</v>
      </c>
      <c r="M27" s="31" t="s">
        <v>3856</v>
      </c>
      <c r="N27" s="31" t="s">
        <v>3857</v>
      </c>
    </row>
    <row r="28" spans="1:14">
      <c r="A28" s="31" t="s">
        <v>670</v>
      </c>
      <c r="B28" s="31" t="s">
        <v>671</v>
      </c>
      <c r="C28" s="31">
        <v>762</v>
      </c>
      <c r="D28" s="31">
        <v>130197</v>
      </c>
      <c r="E28" s="31">
        <v>0</v>
      </c>
      <c r="F28" s="31">
        <v>0</v>
      </c>
      <c r="G28" s="31">
        <v>130197</v>
      </c>
      <c r="H28" s="31">
        <v>130959</v>
      </c>
      <c r="I28" s="31">
        <v>16693</v>
      </c>
      <c r="J28" s="31">
        <v>17455</v>
      </c>
      <c r="K28" s="31">
        <v>13.32</v>
      </c>
      <c r="L28" s="31">
        <v>4</v>
      </c>
      <c r="M28" s="31" t="s">
        <v>3856</v>
      </c>
      <c r="N28" s="31" t="s">
        <v>3857</v>
      </c>
    </row>
    <row r="29" spans="1:14">
      <c r="A29" s="31" t="s">
        <v>1146</v>
      </c>
      <c r="B29" s="32" t="s">
        <v>3864</v>
      </c>
      <c r="C29" s="31">
        <v>139</v>
      </c>
      <c r="D29" s="31">
        <v>183352</v>
      </c>
      <c r="E29" s="31">
        <v>0</v>
      </c>
      <c r="F29" s="31">
        <v>0</v>
      </c>
      <c r="G29" s="31">
        <v>183352</v>
      </c>
      <c r="H29" s="31">
        <v>183491</v>
      </c>
      <c r="I29" s="31">
        <v>0</v>
      </c>
      <c r="J29" s="31">
        <v>139</v>
      </c>
      <c r="K29" s="31">
        <v>7.0000000000000007E-2</v>
      </c>
      <c r="L29" s="31">
        <v>4</v>
      </c>
      <c r="M29" s="31" t="s">
        <v>3856</v>
      </c>
      <c r="N29" s="31" t="s">
        <v>3857</v>
      </c>
    </row>
    <row r="30" spans="1:14">
      <c r="A30" s="31" t="s">
        <v>1155</v>
      </c>
      <c r="B30" s="32" t="s">
        <v>3865</v>
      </c>
      <c r="C30" s="31">
        <v>236</v>
      </c>
      <c r="D30" s="31">
        <v>147409</v>
      </c>
      <c r="E30" s="31">
        <v>0</v>
      </c>
      <c r="F30" s="31">
        <v>0</v>
      </c>
      <c r="G30" s="31">
        <v>147409</v>
      </c>
      <c r="H30" s="31">
        <v>147645</v>
      </c>
      <c r="I30" s="31">
        <v>0</v>
      </c>
      <c r="J30" s="31">
        <v>236</v>
      </c>
      <c r="K30" s="31">
        <v>0.15</v>
      </c>
      <c r="L30" s="31">
        <v>4</v>
      </c>
      <c r="M30" s="31" t="s">
        <v>3856</v>
      </c>
      <c r="N30" s="31" t="s">
        <v>3857</v>
      </c>
    </row>
    <row r="31" spans="1:14">
      <c r="A31" s="31" t="s">
        <v>644</v>
      </c>
      <c r="B31" s="31" t="s">
        <v>645</v>
      </c>
      <c r="C31" s="31">
        <v>23848</v>
      </c>
      <c r="D31" s="31">
        <v>185308</v>
      </c>
      <c r="E31" s="31">
        <v>0</v>
      </c>
      <c r="F31" s="31">
        <v>0</v>
      </c>
      <c r="G31" s="31">
        <v>185308</v>
      </c>
      <c r="H31" s="31">
        <v>209156</v>
      </c>
      <c r="I31" s="31">
        <v>0</v>
      </c>
      <c r="J31" s="31">
        <v>23848</v>
      </c>
      <c r="K31" s="31">
        <v>11.4</v>
      </c>
      <c r="L31" s="31">
        <v>4</v>
      </c>
      <c r="M31" s="31" t="s">
        <v>3856</v>
      </c>
      <c r="N31" s="31" t="s">
        <v>3857</v>
      </c>
    </row>
    <row r="32" spans="1:14">
      <c r="A32" s="31" t="s">
        <v>510</v>
      </c>
      <c r="B32" s="31" t="s">
        <v>511</v>
      </c>
      <c r="C32" s="31">
        <v>21752</v>
      </c>
      <c r="D32" s="31">
        <v>161879</v>
      </c>
      <c r="E32" s="31">
        <v>0</v>
      </c>
      <c r="F32" s="31">
        <v>0</v>
      </c>
      <c r="G32" s="31">
        <v>161879</v>
      </c>
      <c r="H32" s="31">
        <v>183631</v>
      </c>
      <c r="I32" s="31">
        <v>806</v>
      </c>
      <c r="J32" s="31">
        <v>22558</v>
      </c>
      <c r="K32" s="31">
        <v>12.28</v>
      </c>
      <c r="L32" s="31">
        <v>4</v>
      </c>
      <c r="M32" s="31" t="s">
        <v>3856</v>
      </c>
      <c r="N32" s="31" t="s">
        <v>3857</v>
      </c>
    </row>
    <row r="33" spans="1:14">
      <c r="A33" s="31" t="s">
        <v>428</v>
      </c>
      <c r="B33" s="31" t="s">
        <v>429</v>
      </c>
      <c r="C33" s="31">
        <v>0</v>
      </c>
      <c r="D33" s="31">
        <v>203201</v>
      </c>
      <c r="E33" s="31">
        <v>0</v>
      </c>
      <c r="F33" s="31">
        <v>0</v>
      </c>
      <c r="G33" s="31">
        <v>203201</v>
      </c>
      <c r="H33" s="31">
        <v>203201</v>
      </c>
      <c r="I33" s="31">
        <v>0</v>
      </c>
      <c r="J33" s="31">
        <v>0</v>
      </c>
      <c r="K33" s="31">
        <v>0</v>
      </c>
      <c r="L33" s="31">
        <v>4</v>
      </c>
      <c r="M33" s="31" t="s">
        <v>3856</v>
      </c>
      <c r="N33" s="31" t="s">
        <v>3857</v>
      </c>
    </row>
    <row r="34" spans="1:14">
      <c r="A34" s="31" t="s">
        <v>610</v>
      </c>
      <c r="B34" s="31" t="s">
        <v>611</v>
      </c>
      <c r="C34" s="31">
        <v>0</v>
      </c>
      <c r="D34" s="31">
        <v>173658</v>
      </c>
      <c r="E34" s="31">
        <v>0</v>
      </c>
      <c r="F34" s="31">
        <v>0</v>
      </c>
      <c r="G34" s="31">
        <v>173658</v>
      </c>
      <c r="H34" s="31">
        <v>173658</v>
      </c>
      <c r="I34" s="31">
        <v>0</v>
      </c>
      <c r="J34" s="31">
        <v>0</v>
      </c>
      <c r="K34" s="31">
        <v>0</v>
      </c>
      <c r="L34" s="31">
        <v>4</v>
      </c>
      <c r="M34" s="31" t="s">
        <v>3856</v>
      </c>
      <c r="N34" s="31" t="s">
        <v>3857</v>
      </c>
    </row>
    <row r="35" spans="1:14">
      <c r="A35" s="31" t="s">
        <v>666</v>
      </c>
      <c r="B35" s="31" t="s">
        <v>667</v>
      </c>
      <c r="C35" s="31">
        <v>19765</v>
      </c>
      <c r="D35" s="31">
        <v>32560</v>
      </c>
      <c r="E35" s="31">
        <v>0</v>
      </c>
      <c r="F35" s="31">
        <v>105380</v>
      </c>
      <c r="G35" s="31">
        <v>137940</v>
      </c>
      <c r="H35" s="31">
        <v>157705</v>
      </c>
      <c r="I35" s="31">
        <v>0</v>
      </c>
      <c r="J35" s="31">
        <v>19765</v>
      </c>
      <c r="K35" s="31">
        <v>12.53</v>
      </c>
      <c r="L35" s="31">
        <v>6</v>
      </c>
      <c r="M35" s="31" t="s">
        <v>3866</v>
      </c>
      <c r="N35" s="31" t="s">
        <v>3857</v>
      </c>
    </row>
    <row r="36" spans="1:14">
      <c r="A36" s="31" t="s">
        <v>440</v>
      </c>
      <c r="B36" s="31" t="s">
        <v>441</v>
      </c>
      <c r="C36" s="31">
        <v>28457</v>
      </c>
      <c r="D36" s="31">
        <v>235468</v>
      </c>
      <c r="E36" s="31">
        <v>0</v>
      </c>
      <c r="F36" s="31">
        <v>0</v>
      </c>
      <c r="G36" s="31">
        <v>235468</v>
      </c>
      <c r="H36" s="31">
        <v>263925</v>
      </c>
      <c r="I36" s="31">
        <v>0</v>
      </c>
      <c r="J36" s="31">
        <v>28457</v>
      </c>
      <c r="K36" s="31">
        <v>10.78</v>
      </c>
      <c r="L36" s="31">
        <v>4</v>
      </c>
      <c r="M36" s="31" t="s">
        <v>3856</v>
      </c>
      <c r="N36" s="31" t="s">
        <v>3857</v>
      </c>
    </row>
    <row r="37" spans="1:14">
      <c r="A37" s="31" t="s">
        <v>169</v>
      </c>
      <c r="B37" s="31" t="s">
        <v>170</v>
      </c>
      <c r="C37" s="31">
        <v>2309</v>
      </c>
      <c r="D37" s="31">
        <v>110896</v>
      </c>
      <c r="E37" s="31">
        <v>0</v>
      </c>
      <c r="F37" s="31">
        <v>0</v>
      </c>
      <c r="G37" s="31">
        <v>110896</v>
      </c>
      <c r="H37" s="31">
        <v>113205</v>
      </c>
      <c r="I37" s="31">
        <v>0</v>
      </c>
      <c r="J37" s="31">
        <v>2309</v>
      </c>
      <c r="K37" s="31">
        <v>2.0299999999999998</v>
      </c>
      <c r="L37" s="31">
        <v>4</v>
      </c>
      <c r="M37" s="31" t="s">
        <v>3856</v>
      </c>
      <c r="N37" s="31" t="s">
        <v>3857</v>
      </c>
    </row>
    <row r="38" spans="1:14">
      <c r="A38" s="31" t="s">
        <v>706</v>
      </c>
      <c r="B38" s="31" t="s">
        <v>707</v>
      </c>
      <c r="C38" s="31">
        <v>56949</v>
      </c>
      <c r="D38" s="31">
        <v>96873</v>
      </c>
      <c r="E38" s="31">
        <v>0</v>
      </c>
      <c r="F38" s="31">
        <v>0</v>
      </c>
      <c r="G38" s="31">
        <v>96873</v>
      </c>
      <c r="H38" s="31">
        <v>153822</v>
      </c>
      <c r="I38" s="31">
        <v>403</v>
      </c>
      <c r="J38" s="31">
        <v>57352</v>
      </c>
      <c r="K38" s="31">
        <v>37.28</v>
      </c>
      <c r="L38" s="31">
        <v>3</v>
      </c>
      <c r="M38" s="31" t="s">
        <v>3858</v>
      </c>
      <c r="N38" s="31" t="s">
        <v>3859</v>
      </c>
    </row>
    <row r="39" spans="1:14">
      <c r="A39" s="31" t="s">
        <v>518</v>
      </c>
      <c r="B39" s="31" t="s">
        <v>519</v>
      </c>
      <c r="C39" s="31">
        <v>468</v>
      </c>
      <c r="D39" s="31">
        <v>155230</v>
      </c>
      <c r="E39" s="31">
        <v>0</v>
      </c>
      <c r="F39" s="31">
        <v>0</v>
      </c>
      <c r="G39" s="31">
        <v>155230</v>
      </c>
      <c r="H39" s="31">
        <v>155698</v>
      </c>
      <c r="I39" s="31">
        <v>0</v>
      </c>
      <c r="J39" s="31">
        <v>468</v>
      </c>
      <c r="K39" s="31">
        <v>0.3</v>
      </c>
      <c r="L39" s="31">
        <v>4</v>
      </c>
      <c r="M39" s="31" t="s">
        <v>3856</v>
      </c>
      <c r="N39" s="31" t="s">
        <v>3857</v>
      </c>
    </row>
    <row r="40" spans="1:14">
      <c r="A40" s="31" t="s">
        <v>574</v>
      </c>
      <c r="B40" s="31" t="s">
        <v>575</v>
      </c>
      <c r="C40" s="31">
        <v>0</v>
      </c>
      <c r="D40" s="31">
        <v>140205</v>
      </c>
      <c r="E40" s="31">
        <v>0</v>
      </c>
      <c r="F40" s="31">
        <v>0</v>
      </c>
      <c r="G40" s="31">
        <v>140205</v>
      </c>
      <c r="H40" s="31">
        <v>140205</v>
      </c>
      <c r="I40" s="31">
        <v>0</v>
      </c>
      <c r="J40" s="31">
        <v>0</v>
      </c>
      <c r="K40" s="31">
        <v>0</v>
      </c>
      <c r="L40" s="31">
        <v>4</v>
      </c>
      <c r="M40" s="31" t="s">
        <v>3856</v>
      </c>
      <c r="N40" s="31" t="s">
        <v>3857</v>
      </c>
    </row>
    <row r="41" spans="1:14">
      <c r="A41" s="31" t="s">
        <v>726</v>
      </c>
      <c r="B41" s="31" t="s">
        <v>727</v>
      </c>
      <c r="C41" s="31">
        <v>14961</v>
      </c>
      <c r="D41" s="31">
        <v>129210</v>
      </c>
      <c r="E41" s="31">
        <v>0</v>
      </c>
      <c r="F41" s="31">
        <v>389</v>
      </c>
      <c r="G41" s="31">
        <v>129599</v>
      </c>
      <c r="H41" s="31">
        <v>144560</v>
      </c>
      <c r="I41" s="31">
        <v>182</v>
      </c>
      <c r="J41" s="31">
        <v>15143</v>
      </c>
      <c r="K41" s="31">
        <v>10.47</v>
      </c>
      <c r="L41" s="31">
        <v>4</v>
      </c>
      <c r="M41" s="31" t="s">
        <v>3856</v>
      </c>
      <c r="N41" s="31" t="s">
        <v>3857</v>
      </c>
    </row>
    <row r="42" spans="1:14">
      <c r="A42" s="31" t="s">
        <v>732</v>
      </c>
      <c r="B42" s="31" t="s">
        <v>733</v>
      </c>
      <c r="C42" s="31">
        <v>27045</v>
      </c>
      <c r="D42" s="31">
        <v>127335</v>
      </c>
      <c r="E42" s="31">
        <v>0</v>
      </c>
      <c r="F42" s="31">
        <v>0</v>
      </c>
      <c r="G42" s="31">
        <v>127335</v>
      </c>
      <c r="H42" s="31">
        <v>154380</v>
      </c>
      <c r="I42" s="31">
        <v>0</v>
      </c>
      <c r="J42" s="31">
        <v>27045</v>
      </c>
      <c r="K42" s="31">
        <v>17.510000000000002</v>
      </c>
      <c r="L42" s="31">
        <v>4</v>
      </c>
      <c r="M42" s="31" t="s">
        <v>3856</v>
      </c>
      <c r="N42" s="31" t="s">
        <v>3857</v>
      </c>
    </row>
    <row r="43" spans="1:14">
      <c r="A43" s="31" t="s">
        <v>456</v>
      </c>
      <c r="B43" s="31" t="s">
        <v>457</v>
      </c>
      <c r="C43" s="31">
        <v>21653</v>
      </c>
      <c r="D43" s="31">
        <v>227168</v>
      </c>
      <c r="E43" s="31">
        <v>0</v>
      </c>
      <c r="F43" s="31">
        <v>0</v>
      </c>
      <c r="G43" s="31">
        <v>227168</v>
      </c>
      <c r="H43" s="31">
        <v>248821</v>
      </c>
      <c r="I43" s="31">
        <v>0</v>
      </c>
      <c r="J43" s="31">
        <v>21653</v>
      </c>
      <c r="K43" s="31">
        <v>8.6999999999999993</v>
      </c>
      <c r="L43" s="31">
        <v>4</v>
      </c>
      <c r="M43" s="31" t="s">
        <v>3856</v>
      </c>
      <c r="N43" s="31" t="s">
        <v>3857</v>
      </c>
    </row>
    <row r="44" spans="1:14">
      <c r="A44" s="31" t="s">
        <v>181</v>
      </c>
      <c r="B44" s="31" t="s">
        <v>182</v>
      </c>
      <c r="C44" s="31">
        <v>4318</v>
      </c>
      <c r="D44" s="31">
        <v>269051</v>
      </c>
      <c r="E44" s="31">
        <v>0</v>
      </c>
      <c r="F44" s="31">
        <v>0</v>
      </c>
      <c r="G44" s="31">
        <v>269051</v>
      </c>
      <c r="H44" s="31">
        <v>273369</v>
      </c>
      <c r="I44" s="31">
        <v>0</v>
      </c>
      <c r="J44" s="31">
        <v>4318</v>
      </c>
      <c r="K44" s="31">
        <v>1.57</v>
      </c>
      <c r="L44" s="31">
        <v>4</v>
      </c>
      <c r="M44" s="31" t="s">
        <v>3856</v>
      </c>
      <c r="N44" s="31" t="s">
        <v>3857</v>
      </c>
    </row>
    <row r="45" spans="1:14">
      <c r="A45" s="31" t="s">
        <v>514</v>
      </c>
      <c r="B45" s="31" t="s">
        <v>515</v>
      </c>
      <c r="C45" s="31">
        <v>0</v>
      </c>
      <c r="D45" s="31">
        <v>205056</v>
      </c>
      <c r="E45" s="31">
        <v>0</v>
      </c>
      <c r="F45" s="31">
        <v>0</v>
      </c>
      <c r="G45" s="31">
        <v>205056</v>
      </c>
      <c r="H45" s="31">
        <v>205056</v>
      </c>
      <c r="I45" s="31">
        <v>0</v>
      </c>
      <c r="J45" s="31">
        <v>0</v>
      </c>
      <c r="K45" s="31">
        <v>0</v>
      </c>
      <c r="L45" s="31">
        <v>4</v>
      </c>
      <c r="M45" s="31" t="s">
        <v>3856</v>
      </c>
      <c r="N45" s="31" t="s">
        <v>3857</v>
      </c>
    </row>
    <row r="46" spans="1:14">
      <c r="A46" s="31" t="s">
        <v>608</v>
      </c>
      <c r="B46" s="31" t="s">
        <v>609</v>
      </c>
      <c r="C46" s="31">
        <v>0</v>
      </c>
      <c r="D46" s="31">
        <v>236882</v>
      </c>
      <c r="E46" s="31">
        <v>0</v>
      </c>
      <c r="F46" s="31">
        <v>0</v>
      </c>
      <c r="G46" s="31">
        <v>236882</v>
      </c>
      <c r="H46" s="31">
        <v>236882</v>
      </c>
      <c r="I46" s="31">
        <v>0</v>
      </c>
      <c r="J46" s="31">
        <v>0</v>
      </c>
      <c r="K46" s="31">
        <v>0</v>
      </c>
      <c r="L46" s="31">
        <v>4</v>
      </c>
      <c r="M46" s="31" t="s">
        <v>3856</v>
      </c>
      <c r="N46" s="31" t="s">
        <v>3857</v>
      </c>
    </row>
    <row r="47" spans="1:14">
      <c r="A47" s="31" t="s">
        <v>390</v>
      </c>
      <c r="B47" s="31" t="s">
        <v>391</v>
      </c>
      <c r="C47" s="31">
        <v>44699</v>
      </c>
      <c r="D47" s="31">
        <v>93566</v>
      </c>
      <c r="E47" s="31">
        <v>0</v>
      </c>
      <c r="F47" s="31">
        <v>0</v>
      </c>
      <c r="G47" s="31">
        <v>93566</v>
      </c>
      <c r="H47" s="31">
        <v>138265</v>
      </c>
      <c r="I47" s="31">
        <v>93566</v>
      </c>
      <c r="J47" s="31">
        <v>138265</v>
      </c>
      <c r="K47" s="31">
        <v>100</v>
      </c>
      <c r="L47" s="31">
        <v>1</v>
      </c>
      <c r="M47" s="31" t="s">
        <v>3862</v>
      </c>
      <c r="N47" s="31" t="s">
        <v>3861</v>
      </c>
    </row>
    <row r="48" spans="1:14">
      <c r="A48" s="31" t="s">
        <v>276</v>
      </c>
      <c r="B48" s="31" t="s">
        <v>3867</v>
      </c>
      <c r="C48" s="31">
        <v>231417</v>
      </c>
      <c r="D48" s="31">
        <v>242418</v>
      </c>
      <c r="E48" s="31">
        <v>0</v>
      </c>
      <c r="F48" s="31">
        <v>39407</v>
      </c>
      <c r="G48" s="31">
        <v>281825</v>
      </c>
      <c r="H48" s="31">
        <v>513242</v>
      </c>
      <c r="I48" s="31">
        <v>81151</v>
      </c>
      <c r="J48" s="31">
        <v>312568</v>
      </c>
      <c r="K48" s="31">
        <v>60.9</v>
      </c>
      <c r="L48" s="31">
        <v>2</v>
      </c>
      <c r="M48" s="31" t="s">
        <v>3860</v>
      </c>
      <c r="N48" s="31" t="s">
        <v>3861</v>
      </c>
    </row>
    <row r="49" spans="1:15">
      <c r="A49" s="31" t="s">
        <v>225</v>
      </c>
      <c r="B49" s="31" t="s">
        <v>226</v>
      </c>
      <c r="C49" s="31">
        <v>70607</v>
      </c>
      <c r="D49" s="31">
        <v>254019</v>
      </c>
      <c r="E49" s="31">
        <v>0</v>
      </c>
      <c r="F49" s="31">
        <v>45501</v>
      </c>
      <c r="G49" s="31">
        <v>299520</v>
      </c>
      <c r="H49" s="31">
        <v>370127</v>
      </c>
      <c r="I49" s="31">
        <v>74571</v>
      </c>
      <c r="J49" s="31">
        <v>145178</v>
      </c>
      <c r="K49" s="31">
        <v>39.22</v>
      </c>
      <c r="L49" s="31">
        <v>3</v>
      </c>
      <c r="M49" s="31" t="s">
        <v>3858</v>
      </c>
      <c r="N49" s="31" t="s">
        <v>3859</v>
      </c>
    </row>
    <row r="50" spans="1:15">
      <c r="A50" s="31" t="s">
        <v>227</v>
      </c>
      <c r="B50" s="31" t="s">
        <v>228</v>
      </c>
      <c r="C50" s="31">
        <v>86301</v>
      </c>
      <c r="D50" s="31">
        <v>243307</v>
      </c>
      <c r="E50" s="31">
        <v>0</v>
      </c>
      <c r="F50" s="31">
        <v>0</v>
      </c>
      <c r="G50" s="31">
        <v>243307</v>
      </c>
      <c r="H50" s="31">
        <v>329608</v>
      </c>
      <c r="I50" s="31">
        <v>0</v>
      </c>
      <c r="J50" s="31">
        <v>86301</v>
      </c>
      <c r="K50" s="31">
        <v>26.18</v>
      </c>
      <c r="L50" s="31">
        <v>3</v>
      </c>
      <c r="M50" s="31" t="s">
        <v>3858</v>
      </c>
      <c r="N50" s="31" t="s">
        <v>3859</v>
      </c>
    </row>
    <row r="51" spans="1:15">
      <c r="A51" s="31" t="s">
        <v>572</v>
      </c>
      <c r="B51" s="31" t="s">
        <v>573</v>
      </c>
      <c r="C51" s="31">
        <v>175469</v>
      </c>
      <c r="D51" s="31">
        <v>130660</v>
      </c>
      <c r="E51" s="31">
        <v>0</v>
      </c>
      <c r="F51" s="31">
        <v>0</v>
      </c>
      <c r="G51" s="31">
        <v>130660</v>
      </c>
      <c r="H51" s="31">
        <v>306129</v>
      </c>
      <c r="I51" s="31">
        <v>53688</v>
      </c>
      <c r="J51" s="31">
        <v>229157</v>
      </c>
      <c r="K51" s="31">
        <v>74.849999999999994</v>
      </c>
      <c r="L51" s="31">
        <v>2</v>
      </c>
      <c r="M51" s="31" t="s">
        <v>3860</v>
      </c>
      <c r="N51" s="31" t="s">
        <v>3861</v>
      </c>
    </row>
    <row r="52" spans="1:15">
      <c r="A52" s="31" t="s">
        <v>243</v>
      </c>
      <c r="B52" s="31" t="s">
        <v>244</v>
      </c>
      <c r="C52" s="31">
        <v>326682</v>
      </c>
      <c r="D52" s="31">
        <v>205591</v>
      </c>
      <c r="E52" s="31">
        <v>0</v>
      </c>
      <c r="F52" s="31">
        <v>0</v>
      </c>
      <c r="G52" s="31">
        <v>205591</v>
      </c>
      <c r="H52" s="31">
        <v>532273</v>
      </c>
      <c r="I52" s="31">
        <v>115347</v>
      </c>
      <c r="J52" s="31">
        <v>442029</v>
      </c>
      <c r="K52" s="31">
        <v>83.04</v>
      </c>
      <c r="L52" s="31">
        <v>1</v>
      </c>
      <c r="M52" s="31" t="s">
        <v>3862</v>
      </c>
      <c r="N52" s="31" t="s">
        <v>3861</v>
      </c>
    </row>
    <row r="53" spans="1:15">
      <c r="A53" s="31" t="s">
        <v>392</v>
      </c>
      <c r="B53" s="31" t="s">
        <v>393</v>
      </c>
      <c r="C53" s="31">
        <v>2203</v>
      </c>
      <c r="D53" s="31">
        <v>0</v>
      </c>
      <c r="E53" s="31">
        <v>0</v>
      </c>
      <c r="F53" s="31">
        <v>0</v>
      </c>
      <c r="G53" s="31">
        <v>0</v>
      </c>
      <c r="H53" s="31">
        <v>2203</v>
      </c>
      <c r="I53" s="31">
        <v>0</v>
      </c>
      <c r="J53" s="31">
        <v>2203</v>
      </c>
      <c r="K53" s="31">
        <v>100</v>
      </c>
      <c r="L53" s="31">
        <v>1</v>
      </c>
      <c r="M53" s="31" t="s">
        <v>3862</v>
      </c>
      <c r="N53" s="31" t="s">
        <v>3861</v>
      </c>
    </row>
    <row r="54" spans="1:15">
      <c r="A54" s="31" t="s">
        <v>722</v>
      </c>
      <c r="B54" s="31" t="s">
        <v>723</v>
      </c>
      <c r="C54" s="31">
        <v>223719</v>
      </c>
      <c r="D54" s="31">
        <v>247262</v>
      </c>
      <c r="E54" s="31">
        <v>0</v>
      </c>
      <c r="F54" s="31">
        <v>0</v>
      </c>
      <c r="G54" s="31">
        <v>247262</v>
      </c>
      <c r="H54" s="31">
        <v>470981</v>
      </c>
      <c r="I54" s="31">
        <v>93566</v>
      </c>
      <c r="J54" s="31">
        <v>317285</v>
      </c>
      <c r="K54" s="31">
        <v>67.36</v>
      </c>
      <c r="L54" s="31">
        <v>2</v>
      </c>
      <c r="M54" s="31" t="s">
        <v>3860</v>
      </c>
      <c r="N54" s="31" t="s">
        <v>3861</v>
      </c>
    </row>
    <row r="55" spans="1:15">
      <c r="A55" s="31" t="s">
        <v>148</v>
      </c>
      <c r="B55" s="31" t="s">
        <v>3868</v>
      </c>
      <c r="C55" s="31">
        <v>49104</v>
      </c>
      <c r="D55" s="31">
        <v>108375</v>
      </c>
      <c r="E55" s="31">
        <v>0</v>
      </c>
      <c r="F55" s="31">
        <v>0</v>
      </c>
      <c r="G55" s="31">
        <v>108375</v>
      </c>
      <c r="H55" s="31">
        <v>157479</v>
      </c>
      <c r="I55" s="31">
        <v>0</v>
      </c>
      <c r="J55" s="31">
        <v>49104</v>
      </c>
      <c r="K55" s="31">
        <v>31.18</v>
      </c>
      <c r="L55" s="31">
        <v>3</v>
      </c>
      <c r="M55" s="31" t="s">
        <v>3858</v>
      </c>
      <c r="N55" s="31" t="s">
        <v>3859</v>
      </c>
    </row>
    <row r="56" spans="1:15">
      <c r="A56" s="31" t="s">
        <v>215</v>
      </c>
      <c r="B56" s="31" t="s">
        <v>216</v>
      </c>
      <c r="C56" s="31">
        <v>100272</v>
      </c>
      <c r="D56" s="31">
        <v>154109</v>
      </c>
      <c r="E56" s="31">
        <v>0</v>
      </c>
      <c r="F56" s="31">
        <v>0</v>
      </c>
      <c r="G56" s="31">
        <v>154109</v>
      </c>
      <c r="H56" s="31">
        <v>254381</v>
      </c>
      <c r="I56" s="31">
        <v>48234</v>
      </c>
      <c r="J56" s="31">
        <v>148506</v>
      </c>
      <c r="K56" s="31">
        <v>58.37</v>
      </c>
      <c r="L56" s="31">
        <v>2</v>
      </c>
      <c r="M56" s="31" t="s">
        <v>3860</v>
      </c>
      <c r="N56" s="31" t="s">
        <v>3861</v>
      </c>
    </row>
    <row r="57" spans="1:15">
      <c r="A57" s="31" t="s">
        <v>494</v>
      </c>
      <c r="B57" s="31" t="s">
        <v>495</v>
      </c>
      <c r="C57" s="31">
        <v>145096</v>
      </c>
      <c r="D57" s="31">
        <v>144233</v>
      </c>
      <c r="E57" s="31">
        <v>0</v>
      </c>
      <c r="F57" s="31">
        <v>26699</v>
      </c>
      <c r="G57" s="31">
        <v>170932</v>
      </c>
      <c r="H57" s="31">
        <v>316028</v>
      </c>
      <c r="I57" s="31">
        <v>78801</v>
      </c>
      <c r="J57" s="31">
        <v>223897</v>
      </c>
      <c r="K57" s="31">
        <v>70.84</v>
      </c>
      <c r="L57" s="31">
        <v>2</v>
      </c>
      <c r="M57" s="31" t="s">
        <v>3860</v>
      </c>
      <c r="N57" s="31" t="s">
        <v>3861</v>
      </c>
    </row>
    <row r="58" spans="1:15">
      <c r="A58" s="32" t="s">
        <v>167</v>
      </c>
      <c r="B58" s="32" t="s">
        <v>168</v>
      </c>
      <c r="C58" s="32">
        <v>1044</v>
      </c>
      <c r="D58" s="32">
        <v>377844</v>
      </c>
      <c r="E58" s="32">
        <v>0</v>
      </c>
      <c r="F58" s="32">
        <v>0</v>
      </c>
      <c r="G58" s="32">
        <v>377844</v>
      </c>
      <c r="H58" s="32">
        <v>378888</v>
      </c>
      <c r="I58" s="32">
        <v>0</v>
      </c>
      <c r="J58" s="32">
        <v>1044</v>
      </c>
      <c r="K58" s="32">
        <f>J58/H58*100</f>
        <v>0.27554316842972065</v>
      </c>
      <c r="L58" s="32">
        <v>12</v>
      </c>
      <c r="M58" s="32" t="s">
        <v>3856</v>
      </c>
      <c r="N58" s="32" t="s">
        <v>3857</v>
      </c>
      <c r="O58" s="32"/>
    </row>
    <row r="59" spans="1:15" ht="14">
      <c r="A59" s="38" t="s">
        <v>270</v>
      </c>
      <c r="B59" s="31" t="s">
        <v>271</v>
      </c>
      <c r="C59" s="31">
        <v>168577</v>
      </c>
      <c r="D59" s="31">
        <v>244328</v>
      </c>
      <c r="E59" s="31">
        <v>0</v>
      </c>
      <c r="F59" s="31">
        <v>0</v>
      </c>
      <c r="G59" s="31">
        <v>244328</v>
      </c>
      <c r="H59" s="31">
        <v>412905</v>
      </c>
      <c r="I59" s="31">
        <v>79583</v>
      </c>
      <c r="J59" s="31">
        <v>248160</v>
      </c>
      <c r="K59" s="31">
        <v>60.1</v>
      </c>
      <c r="L59" s="31">
        <v>2</v>
      </c>
      <c r="M59" s="31" t="s">
        <v>3860</v>
      </c>
      <c r="N59" s="31" t="s">
        <v>3861</v>
      </c>
      <c r="O59" s="31">
        <v>5</v>
      </c>
    </row>
    <row r="60" spans="1:15" ht="14">
      <c r="A60" s="38" t="s">
        <v>195</v>
      </c>
      <c r="B60" s="31" t="s">
        <v>196</v>
      </c>
      <c r="C60" s="31">
        <v>165740</v>
      </c>
      <c r="D60" s="31">
        <v>338097</v>
      </c>
      <c r="E60" s="31">
        <v>0</v>
      </c>
      <c r="F60" s="31">
        <v>1446</v>
      </c>
      <c r="G60" s="31">
        <v>339543</v>
      </c>
      <c r="H60" s="31">
        <v>505283</v>
      </c>
      <c r="I60" s="31">
        <v>30969</v>
      </c>
      <c r="J60" s="31">
        <v>196709</v>
      </c>
      <c r="K60" s="31">
        <v>38.93</v>
      </c>
      <c r="L60" s="31">
        <v>3</v>
      </c>
      <c r="M60" s="31" t="s">
        <v>3858</v>
      </c>
      <c r="N60" s="31" t="s">
        <v>3859</v>
      </c>
      <c r="O60" s="31">
        <v>0</v>
      </c>
    </row>
    <row r="61" spans="1:15">
      <c r="A61" s="31" t="s">
        <v>1423</v>
      </c>
      <c r="B61" s="32" t="s">
        <v>3869</v>
      </c>
      <c r="C61" s="31">
        <v>86499</v>
      </c>
      <c r="D61" s="31">
        <v>87638</v>
      </c>
      <c r="E61" s="31">
        <v>0</v>
      </c>
      <c r="F61" s="31">
        <v>0</v>
      </c>
      <c r="G61" s="31">
        <v>87638</v>
      </c>
      <c r="H61" s="31">
        <v>174137</v>
      </c>
      <c r="I61" s="31">
        <v>12890</v>
      </c>
      <c r="J61" s="31">
        <v>99389</v>
      </c>
      <c r="K61" s="31">
        <v>57.07</v>
      </c>
      <c r="L61" s="31">
        <v>2</v>
      </c>
      <c r="M61" s="31" t="s">
        <v>3860</v>
      </c>
      <c r="N61" s="31" t="s">
        <v>3861</v>
      </c>
    </row>
    <row r="62" spans="1:15">
      <c r="A62" s="31" t="s">
        <v>1429</v>
      </c>
      <c r="B62" s="32" t="s">
        <v>3870</v>
      </c>
      <c r="C62" s="31">
        <v>26030</v>
      </c>
      <c r="D62" s="31">
        <v>66605</v>
      </c>
      <c r="E62" s="31">
        <v>0</v>
      </c>
      <c r="F62" s="31">
        <v>0</v>
      </c>
      <c r="G62" s="31">
        <v>66605</v>
      </c>
      <c r="H62" s="31">
        <v>92635</v>
      </c>
      <c r="I62" s="31">
        <v>0</v>
      </c>
      <c r="J62" s="31">
        <v>26030</v>
      </c>
      <c r="K62" s="31">
        <v>28.09</v>
      </c>
      <c r="L62" s="31">
        <v>3</v>
      </c>
      <c r="M62" s="31" t="s">
        <v>3858</v>
      </c>
      <c r="N62" s="31" t="s">
        <v>3859</v>
      </c>
    </row>
    <row r="63" spans="1:15">
      <c r="A63" s="31" t="s">
        <v>1439</v>
      </c>
      <c r="B63" s="32" t="s">
        <v>3871</v>
      </c>
      <c r="C63" s="31">
        <v>21212</v>
      </c>
      <c r="D63" s="31">
        <v>44209</v>
      </c>
      <c r="E63" s="31">
        <v>0</v>
      </c>
      <c r="F63" s="31">
        <v>1446</v>
      </c>
      <c r="G63" s="31">
        <v>45655</v>
      </c>
      <c r="H63" s="31">
        <v>66867</v>
      </c>
      <c r="I63" s="31">
        <v>0</v>
      </c>
      <c r="J63" s="31">
        <v>21212</v>
      </c>
      <c r="K63" s="31">
        <v>31.72</v>
      </c>
      <c r="L63" s="31">
        <v>3</v>
      </c>
      <c r="M63" s="31" t="s">
        <v>3858</v>
      </c>
      <c r="N63" s="31" t="s">
        <v>3859</v>
      </c>
    </row>
    <row r="64" spans="1:15">
      <c r="A64" s="31" t="s">
        <v>1448</v>
      </c>
      <c r="B64" s="32" t="s">
        <v>3872</v>
      </c>
      <c r="C64" s="31">
        <v>31999</v>
      </c>
      <c r="D64" s="31">
        <v>139645</v>
      </c>
      <c r="E64" s="31">
        <v>0</v>
      </c>
      <c r="F64" s="31">
        <v>0</v>
      </c>
      <c r="G64" s="31">
        <v>139645</v>
      </c>
      <c r="H64" s="31">
        <v>171644</v>
      </c>
      <c r="I64" s="31">
        <v>18079</v>
      </c>
      <c r="J64" s="31">
        <v>50078</v>
      </c>
      <c r="K64" s="31">
        <v>29.17</v>
      </c>
      <c r="L64" s="31">
        <v>3</v>
      </c>
      <c r="M64" s="31" t="s">
        <v>3858</v>
      </c>
      <c r="N64" s="31" t="s">
        <v>3859</v>
      </c>
    </row>
    <row r="65" spans="1:14">
      <c r="A65" s="31" t="s">
        <v>203</v>
      </c>
      <c r="B65" s="31" t="s">
        <v>204</v>
      </c>
      <c r="C65" s="31">
        <v>359</v>
      </c>
      <c r="D65" s="31">
        <v>123508</v>
      </c>
      <c r="E65" s="31">
        <v>0</v>
      </c>
      <c r="F65" s="31">
        <v>0</v>
      </c>
      <c r="G65" s="31">
        <v>123508</v>
      </c>
      <c r="H65" s="31">
        <v>123867</v>
      </c>
      <c r="I65" s="31">
        <v>0</v>
      </c>
      <c r="J65" s="31">
        <v>359</v>
      </c>
      <c r="K65" s="31">
        <v>0.28000000000000003</v>
      </c>
      <c r="L65" s="31">
        <v>4</v>
      </c>
      <c r="M65" s="31" t="s">
        <v>3856</v>
      </c>
      <c r="N65" s="31" t="s">
        <v>3857</v>
      </c>
    </row>
    <row r="66" spans="1:14">
      <c r="A66" s="31" t="s">
        <v>280</v>
      </c>
      <c r="B66" s="31" t="s">
        <v>281</v>
      </c>
      <c r="C66" s="31">
        <v>62586</v>
      </c>
      <c r="D66" s="31">
        <v>21232</v>
      </c>
      <c r="E66" s="31">
        <v>0</v>
      </c>
      <c r="F66" s="31">
        <v>0</v>
      </c>
      <c r="G66" s="31">
        <v>21232</v>
      </c>
      <c r="H66" s="31">
        <v>83818</v>
      </c>
      <c r="I66" s="31">
        <v>21232</v>
      </c>
      <c r="J66" s="31">
        <v>83818</v>
      </c>
      <c r="K66" s="31">
        <v>100</v>
      </c>
      <c r="L66" s="31">
        <v>1</v>
      </c>
      <c r="M66" s="31" t="s">
        <v>3862</v>
      </c>
      <c r="N66" s="31" t="s">
        <v>3861</v>
      </c>
    </row>
    <row r="67" spans="1:14">
      <c r="A67" s="31" t="s">
        <v>318</v>
      </c>
      <c r="B67" s="31" t="s">
        <v>319</v>
      </c>
      <c r="C67" s="31">
        <v>22365</v>
      </c>
      <c r="D67" s="31">
        <v>72897</v>
      </c>
      <c r="E67" s="31">
        <v>0</v>
      </c>
      <c r="F67" s="31">
        <v>0</v>
      </c>
      <c r="G67" s="31">
        <v>72897</v>
      </c>
      <c r="H67" s="31">
        <v>95262</v>
      </c>
      <c r="I67" s="31">
        <v>44094</v>
      </c>
      <c r="J67" s="31">
        <v>66459</v>
      </c>
      <c r="K67" s="31">
        <v>69.760000000000005</v>
      </c>
      <c r="L67" s="31">
        <v>2</v>
      </c>
      <c r="M67" s="31" t="s">
        <v>3860</v>
      </c>
      <c r="N67" s="31" t="s">
        <v>3861</v>
      </c>
    </row>
    <row r="68" spans="1:14">
      <c r="A68" s="31" t="s">
        <v>384</v>
      </c>
      <c r="B68" s="31" t="s">
        <v>385</v>
      </c>
      <c r="C68" s="31">
        <v>93494</v>
      </c>
      <c r="D68" s="31">
        <v>76014</v>
      </c>
      <c r="E68" s="31">
        <v>0</v>
      </c>
      <c r="F68" s="31">
        <v>0</v>
      </c>
      <c r="G68" s="31">
        <v>76014</v>
      </c>
      <c r="H68" s="31">
        <v>169508</v>
      </c>
      <c r="I68" s="31">
        <v>43456</v>
      </c>
      <c r="J68" s="31">
        <v>136950</v>
      </c>
      <c r="K68" s="31">
        <v>80.790000000000006</v>
      </c>
      <c r="L68" s="31">
        <v>1</v>
      </c>
      <c r="M68" s="31" t="s">
        <v>3862</v>
      </c>
      <c r="N68" s="31" t="s">
        <v>3861</v>
      </c>
    </row>
    <row r="69" spans="1:14">
      <c r="A69" s="31" t="s">
        <v>580</v>
      </c>
      <c r="B69" s="31" t="s">
        <v>581</v>
      </c>
      <c r="C69" s="31">
        <v>113829</v>
      </c>
      <c r="D69" s="31">
        <v>34926</v>
      </c>
      <c r="E69" s="31">
        <v>0</v>
      </c>
      <c r="F69" s="31">
        <v>0</v>
      </c>
      <c r="G69" s="31">
        <v>34926</v>
      </c>
      <c r="H69" s="31">
        <v>148755</v>
      </c>
      <c r="I69" s="31">
        <v>0</v>
      </c>
      <c r="J69" s="31">
        <v>113829</v>
      </c>
      <c r="K69" s="31">
        <v>76.52</v>
      </c>
      <c r="L69" s="31">
        <v>2</v>
      </c>
      <c r="M69" s="31" t="s">
        <v>3860</v>
      </c>
      <c r="N69" s="31" t="s">
        <v>3861</v>
      </c>
    </row>
    <row r="70" spans="1:14">
      <c r="A70" s="31" t="s">
        <v>114</v>
      </c>
      <c r="B70" s="31" t="s">
        <v>115</v>
      </c>
      <c r="C70" s="31">
        <v>69302</v>
      </c>
      <c r="D70" s="31">
        <v>27120</v>
      </c>
      <c r="E70" s="31">
        <v>0</v>
      </c>
      <c r="F70" s="31">
        <v>0</v>
      </c>
      <c r="G70" s="31">
        <v>27120</v>
      </c>
      <c r="H70" s="31">
        <v>96422</v>
      </c>
      <c r="I70" s="31">
        <v>27120</v>
      </c>
      <c r="J70" s="31">
        <v>96422</v>
      </c>
      <c r="K70" s="31">
        <v>100</v>
      </c>
      <c r="L70" s="31">
        <v>1</v>
      </c>
      <c r="M70" s="31" t="s">
        <v>3862</v>
      </c>
      <c r="N70" s="31" t="s">
        <v>3861</v>
      </c>
    </row>
    <row r="71" spans="1:14">
      <c r="A71" s="31" t="s">
        <v>137</v>
      </c>
      <c r="B71" s="31" t="s">
        <v>138</v>
      </c>
      <c r="C71" s="31">
        <v>23222</v>
      </c>
      <c r="D71" s="31">
        <v>45865</v>
      </c>
      <c r="E71" s="31">
        <v>0</v>
      </c>
      <c r="F71" s="31">
        <v>0</v>
      </c>
      <c r="G71" s="31">
        <v>45865</v>
      </c>
      <c r="H71" s="31">
        <v>69087</v>
      </c>
      <c r="I71" s="31">
        <v>0</v>
      </c>
      <c r="J71" s="31">
        <v>23222</v>
      </c>
      <c r="K71" s="31">
        <v>33.61</v>
      </c>
      <c r="L71" s="31">
        <v>3</v>
      </c>
      <c r="M71" s="31" t="s">
        <v>3858</v>
      </c>
      <c r="N71" s="31" t="s">
        <v>3859</v>
      </c>
    </row>
    <row r="72" spans="1:14">
      <c r="A72" s="31" t="s">
        <v>211</v>
      </c>
      <c r="B72" s="31" t="s">
        <v>212</v>
      </c>
      <c r="C72" s="31">
        <v>29054</v>
      </c>
      <c r="D72" s="31">
        <v>78470</v>
      </c>
      <c r="E72" s="31">
        <v>0</v>
      </c>
      <c r="F72" s="31">
        <v>0</v>
      </c>
      <c r="G72" s="31">
        <v>78470</v>
      </c>
      <c r="H72" s="31">
        <v>107524</v>
      </c>
      <c r="I72" s="31">
        <v>0</v>
      </c>
      <c r="J72" s="31">
        <v>29054</v>
      </c>
      <c r="K72" s="31">
        <v>27.02</v>
      </c>
      <c r="L72" s="31">
        <v>3</v>
      </c>
      <c r="M72" s="31" t="s">
        <v>3858</v>
      </c>
      <c r="N72" s="31" t="s">
        <v>3859</v>
      </c>
    </row>
    <row r="73" spans="1:14">
      <c r="A73" s="31" t="s">
        <v>239</v>
      </c>
      <c r="B73" s="31" t="s">
        <v>240</v>
      </c>
      <c r="C73" s="31">
        <v>45703</v>
      </c>
      <c r="D73" s="31">
        <v>24900</v>
      </c>
      <c r="E73" s="31">
        <v>0</v>
      </c>
      <c r="F73" s="31">
        <v>0</v>
      </c>
      <c r="G73" s="31">
        <v>24900</v>
      </c>
      <c r="H73" s="31">
        <v>70603</v>
      </c>
      <c r="I73" s="31">
        <v>24900</v>
      </c>
      <c r="J73" s="31">
        <v>70603</v>
      </c>
      <c r="K73" s="31">
        <v>100</v>
      </c>
      <c r="L73" s="31">
        <v>1</v>
      </c>
      <c r="M73" s="31" t="s">
        <v>3862</v>
      </c>
      <c r="N73" s="31" t="s">
        <v>3861</v>
      </c>
    </row>
    <row r="74" spans="1:14">
      <c r="A74" s="31" t="s">
        <v>302</v>
      </c>
      <c r="B74" s="31" t="s">
        <v>303</v>
      </c>
      <c r="C74" s="31">
        <v>37383</v>
      </c>
      <c r="D74" s="31">
        <v>15181</v>
      </c>
      <c r="E74" s="31">
        <v>0</v>
      </c>
      <c r="F74" s="31">
        <v>0</v>
      </c>
      <c r="G74" s="31">
        <v>15181</v>
      </c>
      <c r="H74" s="31">
        <v>52564</v>
      </c>
      <c r="I74" s="31">
        <v>15181</v>
      </c>
      <c r="J74" s="31">
        <v>52564</v>
      </c>
      <c r="K74" s="31">
        <v>100</v>
      </c>
      <c r="L74" s="31">
        <v>1</v>
      </c>
      <c r="M74" s="31" t="s">
        <v>3862</v>
      </c>
      <c r="N74" s="31" t="s">
        <v>3861</v>
      </c>
    </row>
    <row r="75" spans="1:14">
      <c r="A75" s="31" t="s">
        <v>592</v>
      </c>
      <c r="B75" s="31" t="s">
        <v>593</v>
      </c>
      <c r="C75" s="31">
        <v>63155</v>
      </c>
      <c r="D75" s="31">
        <v>40503</v>
      </c>
      <c r="E75" s="31">
        <v>0</v>
      </c>
      <c r="F75" s="31">
        <v>0</v>
      </c>
      <c r="G75" s="31">
        <v>40503</v>
      </c>
      <c r="H75" s="31">
        <v>103658</v>
      </c>
      <c r="I75" s="31">
        <v>40503</v>
      </c>
      <c r="J75" s="31">
        <v>103658</v>
      </c>
      <c r="K75" s="31">
        <v>100</v>
      </c>
      <c r="L75" s="31">
        <v>1</v>
      </c>
      <c r="M75" s="31" t="s">
        <v>3862</v>
      </c>
      <c r="N75" s="31" t="s">
        <v>3861</v>
      </c>
    </row>
    <row r="76" spans="1:14">
      <c r="A76" s="31" t="s">
        <v>117</v>
      </c>
      <c r="B76" s="31" t="s">
        <v>118</v>
      </c>
      <c r="C76" s="31">
        <v>23469</v>
      </c>
      <c r="D76" s="31">
        <v>32235</v>
      </c>
      <c r="E76" s="31">
        <v>66605</v>
      </c>
      <c r="F76" s="31">
        <v>0</v>
      </c>
      <c r="G76" s="31">
        <v>98840</v>
      </c>
      <c r="H76" s="31">
        <v>122309</v>
      </c>
      <c r="I76" s="31">
        <v>0</v>
      </c>
      <c r="J76" s="31">
        <v>23469</v>
      </c>
      <c r="K76" s="31">
        <v>19.18</v>
      </c>
      <c r="L76" s="31">
        <v>5</v>
      </c>
      <c r="M76" s="31" t="s">
        <v>3863</v>
      </c>
      <c r="N76" s="31" t="s">
        <v>3857</v>
      </c>
    </row>
    <row r="77" spans="1:14">
      <c r="A77" s="31" t="s">
        <v>161</v>
      </c>
      <c r="B77" s="31" t="s">
        <v>162</v>
      </c>
      <c r="C77" s="31">
        <v>35778</v>
      </c>
      <c r="D77" s="31">
        <v>25612</v>
      </c>
      <c r="E77" s="31">
        <v>14476</v>
      </c>
      <c r="F77" s="31">
        <v>0</v>
      </c>
      <c r="G77" s="31">
        <v>40088</v>
      </c>
      <c r="H77" s="31">
        <v>75866</v>
      </c>
      <c r="I77" s="31">
        <v>0</v>
      </c>
      <c r="J77" s="31">
        <v>35778</v>
      </c>
      <c r="K77" s="31">
        <v>47.15</v>
      </c>
      <c r="L77" s="31">
        <v>3</v>
      </c>
      <c r="M77" s="31" t="s">
        <v>3858</v>
      </c>
      <c r="N77" s="31" t="s">
        <v>3859</v>
      </c>
    </row>
    <row r="78" spans="1:14">
      <c r="A78" s="31" t="s">
        <v>229</v>
      </c>
      <c r="B78" s="31" t="s">
        <v>230</v>
      </c>
      <c r="C78" s="31">
        <v>1909</v>
      </c>
      <c r="D78" s="31">
        <v>101879</v>
      </c>
      <c r="E78" s="31">
        <v>0</v>
      </c>
      <c r="F78" s="31">
        <v>0</v>
      </c>
      <c r="G78" s="31">
        <v>101879</v>
      </c>
      <c r="H78" s="31">
        <v>103788</v>
      </c>
      <c r="I78" s="31">
        <v>0</v>
      </c>
      <c r="J78" s="31">
        <v>1909</v>
      </c>
      <c r="K78" s="31">
        <v>1.83</v>
      </c>
      <c r="L78" s="31">
        <v>4</v>
      </c>
      <c r="M78" s="31" t="s">
        <v>3856</v>
      </c>
      <c r="N78" s="31" t="s">
        <v>3857</v>
      </c>
    </row>
    <row r="79" spans="1:14">
      <c r="A79" s="31" t="s">
        <v>266</v>
      </c>
      <c r="B79" s="31" t="s">
        <v>267</v>
      </c>
      <c r="C79" s="31">
        <v>56160</v>
      </c>
      <c r="D79" s="31">
        <v>14956</v>
      </c>
      <c r="E79" s="31">
        <v>0</v>
      </c>
      <c r="F79" s="31">
        <v>0</v>
      </c>
      <c r="G79" s="31">
        <v>14956</v>
      </c>
      <c r="H79" s="31">
        <v>71116</v>
      </c>
      <c r="I79" s="31">
        <v>14956</v>
      </c>
      <c r="J79" s="31">
        <v>71116</v>
      </c>
      <c r="K79" s="31">
        <v>100</v>
      </c>
      <c r="L79" s="31">
        <v>1</v>
      </c>
      <c r="M79" s="31" t="s">
        <v>3862</v>
      </c>
      <c r="N79" s="31" t="s">
        <v>3861</v>
      </c>
    </row>
    <row r="80" spans="1:14">
      <c r="A80" s="31" t="s">
        <v>312</v>
      </c>
      <c r="B80" s="31" t="s">
        <v>313</v>
      </c>
      <c r="C80" s="31">
        <v>1987</v>
      </c>
      <c r="D80" s="31">
        <v>20979</v>
      </c>
      <c r="E80" s="31">
        <v>89115</v>
      </c>
      <c r="F80" s="31">
        <v>0</v>
      </c>
      <c r="G80" s="31">
        <v>110094</v>
      </c>
      <c r="H80" s="31">
        <v>112081</v>
      </c>
      <c r="I80" s="31">
        <v>0</v>
      </c>
      <c r="J80" s="31">
        <v>1987</v>
      </c>
      <c r="K80" s="31">
        <v>1.77</v>
      </c>
      <c r="L80" s="31">
        <v>5</v>
      </c>
      <c r="M80" s="31" t="s">
        <v>3863</v>
      </c>
      <c r="N80" s="31" t="s">
        <v>3857</v>
      </c>
    </row>
    <row r="81" spans="1:14">
      <c r="A81" s="31" t="s">
        <v>374</v>
      </c>
      <c r="B81" s="31" t="s">
        <v>375</v>
      </c>
      <c r="C81" s="31">
        <v>27861</v>
      </c>
      <c r="D81" s="31">
        <v>31951</v>
      </c>
      <c r="E81" s="31">
        <v>0</v>
      </c>
      <c r="F81" s="31">
        <v>31080</v>
      </c>
      <c r="G81" s="31">
        <v>63031</v>
      </c>
      <c r="H81" s="31">
        <v>90892</v>
      </c>
      <c r="I81" s="31">
        <v>22115</v>
      </c>
      <c r="J81" s="31">
        <v>49976</v>
      </c>
      <c r="K81" s="31">
        <v>54.98</v>
      </c>
      <c r="L81" s="31">
        <v>2</v>
      </c>
      <c r="M81" s="31" t="s">
        <v>3860</v>
      </c>
      <c r="N81" s="31" t="s">
        <v>3861</v>
      </c>
    </row>
    <row r="82" spans="1:14">
      <c r="A82" s="31" t="s">
        <v>472</v>
      </c>
      <c r="B82" s="31" t="s">
        <v>473</v>
      </c>
      <c r="C82" s="31">
        <v>19948</v>
      </c>
      <c r="D82" s="31">
        <v>41676</v>
      </c>
      <c r="E82" s="31">
        <v>37399</v>
      </c>
      <c r="F82" s="31">
        <v>0</v>
      </c>
      <c r="G82" s="31">
        <v>79075</v>
      </c>
      <c r="H82" s="31">
        <v>99023</v>
      </c>
      <c r="I82" s="31">
        <v>0</v>
      </c>
      <c r="J82" s="31">
        <v>19948</v>
      </c>
      <c r="K82" s="31">
        <v>20.14</v>
      </c>
      <c r="L82" s="31">
        <v>4</v>
      </c>
      <c r="M82" s="31" t="s">
        <v>3856</v>
      </c>
      <c r="N82" s="31" t="s">
        <v>3857</v>
      </c>
    </row>
    <row r="83" spans="1:14">
      <c r="A83" s="31" t="s">
        <v>582</v>
      </c>
      <c r="B83" s="31" t="s">
        <v>583</v>
      </c>
      <c r="C83" s="31">
        <v>41072</v>
      </c>
      <c r="D83" s="31">
        <v>53539</v>
      </c>
      <c r="E83" s="31">
        <v>0</v>
      </c>
      <c r="F83" s="31">
        <v>0</v>
      </c>
      <c r="G83" s="31">
        <v>53539</v>
      </c>
      <c r="H83" s="31">
        <v>94611</v>
      </c>
      <c r="I83" s="31">
        <v>0</v>
      </c>
      <c r="J83" s="31">
        <v>41072</v>
      </c>
      <c r="K83" s="31">
        <v>43.41</v>
      </c>
      <c r="L83" s="31">
        <v>3</v>
      </c>
      <c r="M83" s="31" t="s">
        <v>3858</v>
      </c>
      <c r="N83" s="31" t="s">
        <v>3859</v>
      </c>
    </row>
    <row r="84" spans="1:14">
      <c r="A84" s="31" t="s">
        <v>282</v>
      </c>
      <c r="B84" s="31" t="s">
        <v>283</v>
      </c>
      <c r="C84" s="31">
        <v>73973</v>
      </c>
      <c r="D84" s="31">
        <v>58484</v>
      </c>
      <c r="E84" s="31">
        <v>0</v>
      </c>
      <c r="F84" s="31">
        <v>0</v>
      </c>
      <c r="G84" s="31">
        <v>58484</v>
      </c>
      <c r="H84" s="31">
        <v>132457</v>
      </c>
      <c r="I84" s="31">
        <v>24052</v>
      </c>
      <c r="J84" s="31">
        <v>98025</v>
      </c>
      <c r="K84" s="31">
        <v>74</v>
      </c>
      <c r="L84" s="31">
        <v>2</v>
      </c>
      <c r="M84" s="31" t="s">
        <v>3860</v>
      </c>
      <c r="N84" s="31" t="s">
        <v>3861</v>
      </c>
    </row>
    <row r="85" spans="1:14">
      <c r="A85" s="31" t="s">
        <v>314</v>
      </c>
      <c r="B85" s="31" t="s">
        <v>315</v>
      </c>
      <c r="C85" s="31">
        <v>536</v>
      </c>
      <c r="D85" s="31">
        <v>117237</v>
      </c>
      <c r="E85" s="31">
        <v>0</v>
      </c>
      <c r="F85" s="31">
        <v>0</v>
      </c>
      <c r="G85" s="31">
        <v>117237</v>
      </c>
      <c r="H85" s="31">
        <v>117773</v>
      </c>
      <c r="I85" s="31">
        <v>0</v>
      </c>
      <c r="J85" s="31">
        <v>536</v>
      </c>
      <c r="K85" s="31">
        <v>0.45</v>
      </c>
      <c r="L85" s="31">
        <v>4</v>
      </c>
      <c r="M85" s="31" t="s">
        <v>3856</v>
      </c>
      <c r="N85" s="31" t="s">
        <v>3857</v>
      </c>
    </row>
    <row r="86" spans="1:14">
      <c r="A86" s="31" t="s">
        <v>448</v>
      </c>
      <c r="B86" s="31" t="s">
        <v>449</v>
      </c>
      <c r="C86" s="31">
        <v>58206</v>
      </c>
      <c r="D86" s="31">
        <v>19544</v>
      </c>
      <c r="E86" s="31">
        <v>0</v>
      </c>
      <c r="F86" s="31">
        <v>0</v>
      </c>
      <c r="G86" s="31">
        <v>19544</v>
      </c>
      <c r="H86" s="31">
        <v>77750</v>
      </c>
      <c r="I86" s="31">
        <v>19544</v>
      </c>
      <c r="J86" s="31">
        <v>77750</v>
      </c>
      <c r="K86" s="31">
        <v>100</v>
      </c>
      <c r="L86" s="31">
        <v>1</v>
      </c>
      <c r="M86" s="31" t="s">
        <v>3862</v>
      </c>
      <c r="N86" s="31" t="s">
        <v>3861</v>
      </c>
    </row>
    <row r="87" spans="1:14">
      <c r="A87" s="31" t="s">
        <v>470</v>
      </c>
      <c r="B87" s="31" t="s">
        <v>471</v>
      </c>
      <c r="C87" s="31">
        <v>50867</v>
      </c>
      <c r="D87" s="31">
        <v>42800</v>
      </c>
      <c r="E87" s="31">
        <v>0</v>
      </c>
      <c r="F87" s="31">
        <v>0</v>
      </c>
      <c r="G87" s="31">
        <v>42800</v>
      </c>
      <c r="H87" s="31">
        <v>93667</v>
      </c>
      <c r="I87" s="31">
        <v>11184</v>
      </c>
      <c r="J87" s="31">
        <v>62051</v>
      </c>
      <c r="K87" s="31">
        <v>66.239999999999995</v>
      </c>
      <c r="L87" s="31">
        <v>2</v>
      </c>
      <c r="M87" s="31" t="s">
        <v>3860</v>
      </c>
      <c r="N87" s="31" t="s">
        <v>3861</v>
      </c>
    </row>
    <row r="88" spans="1:14">
      <c r="A88" s="31" t="s">
        <v>586</v>
      </c>
      <c r="B88" s="31" t="s">
        <v>587</v>
      </c>
      <c r="C88" s="31">
        <v>65564</v>
      </c>
      <c r="D88" s="31">
        <v>17576</v>
      </c>
      <c r="E88" s="31">
        <v>0</v>
      </c>
      <c r="F88" s="31">
        <v>0</v>
      </c>
      <c r="G88" s="31">
        <v>17576</v>
      </c>
      <c r="H88" s="31">
        <v>83140</v>
      </c>
      <c r="I88" s="31">
        <v>11851</v>
      </c>
      <c r="J88" s="31">
        <v>77415</v>
      </c>
      <c r="K88" s="31">
        <v>93.11</v>
      </c>
      <c r="L88" s="31">
        <v>1</v>
      </c>
      <c r="M88" s="31" t="s">
        <v>3862</v>
      </c>
      <c r="N88" s="31" t="s">
        <v>3861</v>
      </c>
    </row>
    <row r="89" spans="1:14">
      <c r="A89" s="31" t="s">
        <v>652</v>
      </c>
      <c r="B89" s="31" t="s">
        <v>653</v>
      </c>
      <c r="C89" s="31">
        <v>58445</v>
      </c>
      <c r="D89" s="31">
        <v>65775</v>
      </c>
      <c r="E89" s="31">
        <v>0</v>
      </c>
      <c r="F89" s="31">
        <v>0</v>
      </c>
      <c r="G89" s="31">
        <v>65775</v>
      </c>
      <c r="H89" s="31">
        <v>124220</v>
      </c>
      <c r="I89" s="31">
        <v>28775</v>
      </c>
      <c r="J89" s="31">
        <v>87220</v>
      </c>
      <c r="K89" s="31">
        <v>70.209999999999994</v>
      </c>
      <c r="L89" s="31">
        <v>2</v>
      </c>
      <c r="M89" s="31" t="s">
        <v>3860</v>
      </c>
      <c r="N89" s="31" t="s">
        <v>3861</v>
      </c>
    </row>
    <row r="90" spans="1:14">
      <c r="A90" s="31" t="s">
        <v>672</v>
      </c>
      <c r="B90" s="31" t="s">
        <v>673</v>
      </c>
      <c r="C90" s="31">
        <v>35167</v>
      </c>
      <c r="D90" s="31">
        <v>28672</v>
      </c>
      <c r="E90" s="31">
        <v>0</v>
      </c>
      <c r="F90" s="31">
        <v>0</v>
      </c>
      <c r="G90" s="31">
        <v>28672</v>
      </c>
      <c r="H90" s="31">
        <v>63839</v>
      </c>
      <c r="I90" s="31">
        <v>28672</v>
      </c>
      <c r="J90" s="31">
        <v>63839</v>
      </c>
      <c r="K90" s="31">
        <v>100</v>
      </c>
      <c r="L90" s="31">
        <v>1</v>
      </c>
      <c r="M90" s="31" t="s">
        <v>3862</v>
      </c>
      <c r="N90" s="31" t="s">
        <v>3861</v>
      </c>
    </row>
    <row r="91" spans="1:14">
      <c r="A91" s="31" t="s">
        <v>708</v>
      </c>
      <c r="B91" s="31" t="s">
        <v>709</v>
      </c>
      <c r="C91" s="31">
        <v>41273</v>
      </c>
      <c r="D91" s="31">
        <v>12280</v>
      </c>
      <c r="E91" s="31">
        <v>0</v>
      </c>
      <c r="F91" s="31">
        <v>0</v>
      </c>
      <c r="G91" s="31">
        <v>12280</v>
      </c>
      <c r="H91" s="31">
        <v>53553</v>
      </c>
      <c r="I91" s="31">
        <v>12280</v>
      </c>
      <c r="J91" s="31">
        <v>53553</v>
      </c>
      <c r="K91" s="31">
        <v>100</v>
      </c>
      <c r="L91" s="31">
        <v>1</v>
      </c>
      <c r="M91" s="31" t="s">
        <v>3862</v>
      </c>
      <c r="N91" s="31" t="s">
        <v>3861</v>
      </c>
    </row>
    <row r="92" spans="1:14">
      <c r="A92" s="31" t="s">
        <v>1666</v>
      </c>
      <c r="B92" s="32" t="s">
        <v>3873</v>
      </c>
      <c r="C92" s="31">
        <v>669</v>
      </c>
      <c r="D92" s="31">
        <v>47083</v>
      </c>
      <c r="E92" s="31">
        <v>0</v>
      </c>
      <c r="F92" s="31">
        <v>0</v>
      </c>
      <c r="G92" s="31">
        <v>47083</v>
      </c>
      <c r="H92" s="31">
        <v>47752</v>
      </c>
      <c r="I92" s="31">
        <v>0</v>
      </c>
      <c r="J92" s="31">
        <v>669</v>
      </c>
      <c r="K92" s="31">
        <v>1.4</v>
      </c>
      <c r="L92" s="31">
        <v>4</v>
      </c>
      <c r="M92" s="31" t="s">
        <v>3856</v>
      </c>
      <c r="N92" s="31" t="s">
        <v>3857</v>
      </c>
    </row>
    <row r="93" spans="1:14">
      <c r="A93" s="31" t="s">
        <v>1669</v>
      </c>
      <c r="B93" s="32" t="s">
        <v>3874</v>
      </c>
      <c r="C93" s="31">
        <v>21167</v>
      </c>
      <c r="D93" s="31">
        <v>65999</v>
      </c>
      <c r="E93" s="31">
        <v>0</v>
      </c>
      <c r="F93" s="31">
        <v>0</v>
      </c>
      <c r="G93" s="31">
        <v>65999</v>
      </c>
      <c r="H93" s="31">
        <v>87166</v>
      </c>
      <c r="I93" s="31">
        <v>13360</v>
      </c>
      <c r="J93" s="31">
        <v>34527</v>
      </c>
      <c r="K93" s="31">
        <v>39.61</v>
      </c>
      <c r="L93" s="31">
        <v>3</v>
      </c>
      <c r="M93" s="31" t="s">
        <v>3858</v>
      </c>
      <c r="N93" s="31" t="s">
        <v>3859</v>
      </c>
    </row>
    <row r="94" spans="1:14">
      <c r="A94" s="31" t="s">
        <v>1672</v>
      </c>
      <c r="B94" s="32" t="s">
        <v>3875</v>
      </c>
      <c r="C94" s="31">
        <v>45611</v>
      </c>
      <c r="D94" s="31">
        <v>22972</v>
      </c>
      <c r="E94" s="31">
        <v>0</v>
      </c>
      <c r="F94" s="31">
        <v>0</v>
      </c>
      <c r="G94" s="31">
        <v>22972</v>
      </c>
      <c r="H94" s="31">
        <v>68583</v>
      </c>
      <c r="I94" s="31">
        <v>22972</v>
      </c>
      <c r="J94" s="31">
        <v>68583</v>
      </c>
      <c r="K94" s="31">
        <v>100</v>
      </c>
      <c r="L94" s="31">
        <v>1</v>
      </c>
      <c r="M94" s="31" t="s">
        <v>3862</v>
      </c>
      <c r="N94" s="31" t="s">
        <v>3861</v>
      </c>
    </row>
    <row r="95" spans="1:14">
      <c r="A95" s="31" t="s">
        <v>1681</v>
      </c>
      <c r="B95" s="32" t="s">
        <v>3876</v>
      </c>
      <c r="C95" s="31">
        <v>27187</v>
      </c>
      <c r="D95" s="31">
        <v>17786</v>
      </c>
      <c r="E95" s="31">
        <v>0</v>
      </c>
      <c r="F95" s="31">
        <v>0</v>
      </c>
      <c r="G95" s="31">
        <v>17786</v>
      </c>
      <c r="H95" s="31">
        <v>44973</v>
      </c>
      <c r="I95" s="31">
        <v>10454</v>
      </c>
      <c r="J95" s="31">
        <v>37641</v>
      </c>
      <c r="K95" s="31">
        <v>83.69</v>
      </c>
      <c r="L95" s="31">
        <v>1</v>
      </c>
      <c r="M95" s="31" t="s">
        <v>3862</v>
      </c>
      <c r="N95" s="31" t="s">
        <v>3861</v>
      </c>
    </row>
    <row r="96" spans="1:14">
      <c r="A96" s="31" t="s">
        <v>3661</v>
      </c>
      <c r="B96" s="32" t="s">
        <v>3877</v>
      </c>
      <c r="C96" s="31">
        <v>60720</v>
      </c>
      <c r="D96" s="31">
        <v>38544</v>
      </c>
      <c r="E96" s="31">
        <v>0</v>
      </c>
      <c r="F96" s="31">
        <v>0</v>
      </c>
      <c r="G96" s="31">
        <v>38544</v>
      </c>
      <c r="H96" s="31">
        <v>99264</v>
      </c>
      <c r="I96" s="31">
        <v>32797</v>
      </c>
      <c r="J96" s="31">
        <v>93517</v>
      </c>
      <c r="K96" s="31">
        <v>94.21</v>
      </c>
      <c r="L96" s="31">
        <v>1</v>
      </c>
      <c r="M96" s="31" t="s">
        <v>3862</v>
      </c>
      <c r="N96" s="31" t="s">
        <v>3861</v>
      </c>
    </row>
    <row r="97" spans="1:14">
      <c r="A97" s="31" t="s">
        <v>3670</v>
      </c>
      <c r="B97" s="32" t="s">
        <v>3878</v>
      </c>
      <c r="C97" s="31">
        <v>13223</v>
      </c>
      <c r="D97" s="31">
        <v>51944</v>
      </c>
      <c r="E97" s="31">
        <v>0</v>
      </c>
      <c r="F97" s="31">
        <v>0</v>
      </c>
      <c r="G97" s="31">
        <v>51944</v>
      </c>
      <c r="H97" s="31">
        <v>65167</v>
      </c>
      <c r="I97" s="31">
        <v>0</v>
      </c>
      <c r="J97" s="31">
        <v>13223</v>
      </c>
      <c r="K97" s="31">
        <v>20.29</v>
      </c>
      <c r="L97" s="31">
        <v>4</v>
      </c>
      <c r="M97" s="31" t="s">
        <v>3856</v>
      </c>
      <c r="N97" s="31" t="s">
        <v>3857</v>
      </c>
    </row>
    <row r="98" spans="1:14">
      <c r="A98" s="31" t="s">
        <v>298</v>
      </c>
      <c r="B98" s="31" t="s">
        <v>299</v>
      </c>
      <c r="C98" s="31">
        <v>0</v>
      </c>
      <c r="D98" s="31">
        <v>99412</v>
      </c>
      <c r="E98" s="31">
        <v>0</v>
      </c>
      <c r="F98" s="31">
        <v>0</v>
      </c>
      <c r="G98" s="31">
        <v>99412</v>
      </c>
      <c r="H98" s="31">
        <v>99412</v>
      </c>
      <c r="I98" s="31">
        <v>0</v>
      </c>
      <c r="J98" s="31">
        <v>0</v>
      </c>
      <c r="K98" s="31">
        <v>0</v>
      </c>
      <c r="L98" s="31">
        <v>4</v>
      </c>
      <c r="M98" s="31" t="s">
        <v>3856</v>
      </c>
      <c r="N98" s="31" t="s">
        <v>3857</v>
      </c>
    </row>
    <row r="99" spans="1:14">
      <c r="A99" s="31" t="s">
        <v>364</v>
      </c>
      <c r="B99" s="31" t="s">
        <v>365</v>
      </c>
      <c r="C99" s="31">
        <v>0</v>
      </c>
      <c r="D99" s="31">
        <v>90254</v>
      </c>
      <c r="E99" s="31">
        <v>0</v>
      </c>
      <c r="F99" s="31">
        <v>0</v>
      </c>
      <c r="G99" s="31">
        <v>90254</v>
      </c>
      <c r="H99" s="31">
        <v>90254</v>
      </c>
      <c r="I99" s="31">
        <v>0</v>
      </c>
      <c r="J99" s="31">
        <v>0</v>
      </c>
      <c r="K99" s="31">
        <v>0</v>
      </c>
      <c r="L99" s="31">
        <v>4</v>
      </c>
      <c r="M99" s="31" t="s">
        <v>3856</v>
      </c>
      <c r="N99" s="31" t="s">
        <v>3857</v>
      </c>
    </row>
    <row r="100" spans="1:14">
      <c r="A100" s="31" t="s">
        <v>418</v>
      </c>
      <c r="B100" s="31" t="s">
        <v>419</v>
      </c>
      <c r="C100" s="31">
        <v>22329</v>
      </c>
      <c r="D100" s="31">
        <v>75173</v>
      </c>
      <c r="E100" s="31">
        <v>0</v>
      </c>
      <c r="F100" s="31">
        <v>0</v>
      </c>
      <c r="G100" s="31">
        <v>75173</v>
      </c>
      <c r="H100" s="31">
        <v>97502</v>
      </c>
      <c r="I100" s="31">
        <v>17297</v>
      </c>
      <c r="J100" s="31">
        <v>39626</v>
      </c>
      <c r="K100" s="31">
        <v>40.64</v>
      </c>
      <c r="L100" s="31">
        <v>3</v>
      </c>
      <c r="M100" s="31" t="s">
        <v>3858</v>
      </c>
      <c r="N100" s="31" t="s">
        <v>3859</v>
      </c>
    </row>
    <row r="101" spans="1:14">
      <c r="A101" s="31" t="s">
        <v>540</v>
      </c>
      <c r="B101" s="31" t="s">
        <v>541</v>
      </c>
      <c r="C101" s="31">
        <v>47420</v>
      </c>
      <c r="D101" s="31">
        <v>43168</v>
      </c>
      <c r="E101" s="31">
        <v>0</v>
      </c>
      <c r="F101" s="31">
        <v>0</v>
      </c>
      <c r="G101" s="31">
        <v>43168</v>
      </c>
      <c r="H101" s="31">
        <v>90588</v>
      </c>
      <c r="I101" s="31">
        <v>0</v>
      </c>
      <c r="J101" s="31">
        <v>47420</v>
      </c>
      <c r="K101" s="31">
        <v>52.34</v>
      </c>
      <c r="L101" s="31">
        <v>2</v>
      </c>
      <c r="M101" s="31" t="s">
        <v>3860</v>
      </c>
      <c r="N101" s="31" t="s">
        <v>3861</v>
      </c>
    </row>
    <row r="102" spans="1:14">
      <c r="A102" s="31" t="s">
        <v>700</v>
      </c>
      <c r="B102" s="31" t="s">
        <v>701</v>
      </c>
      <c r="C102" s="31">
        <v>66976</v>
      </c>
      <c r="D102" s="31">
        <v>81939</v>
      </c>
      <c r="E102" s="31">
        <v>0</v>
      </c>
      <c r="F102" s="31">
        <v>0</v>
      </c>
      <c r="G102" s="31">
        <v>81939</v>
      </c>
      <c r="H102" s="31">
        <v>148915</v>
      </c>
      <c r="I102" s="31">
        <v>59036</v>
      </c>
      <c r="J102" s="31">
        <v>126012</v>
      </c>
      <c r="K102" s="31">
        <v>84.62</v>
      </c>
      <c r="L102" s="31">
        <v>1</v>
      </c>
      <c r="M102" s="31" t="s">
        <v>3862</v>
      </c>
      <c r="N102" s="31" t="s">
        <v>3861</v>
      </c>
    </row>
    <row r="103" spans="1:14">
      <c r="A103" s="31" t="s">
        <v>139</v>
      </c>
      <c r="B103" s="31" t="s">
        <v>140</v>
      </c>
      <c r="C103" s="31">
        <v>865</v>
      </c>
      <c r="D103" s="31">
        <v>173632</v>
      </c>
      <c r="E103" s="31">
        <v>0</v>
      </c>
      <c r="F103" s="31">
        <v>0</v>
      </c>
      <c r="G103" s="31">
        <v>173632</v>
      </c>
      <c r="H103" s="31">
        <v>174497</v>
      </c>
      <c r="I103" s="31">
        <v>0</v>
      </c>
      <c r="J103" s="31">
        <v>865</v>
      </c>
      <c r="K103" s="31">
        <v>0.49</v>
      </c>
      <c r="L103" s="31">
        <v>4</v>
      </c>
      <c r="M103" s="31" t="s">
        <v>3856</v>
      </c>
      <c r="N103" s="31" t="s">
        <v>3857</v>
      </c>
    </row>
    <row r="104" spans="1:14">
      <c r="A104" s="31" t="s">
        <v>173</v>
      </c>
      <c r="B104" s="31" t="s">
        <v>174</v>
      </c>
      <c r="C104" s="31">
        <v>56348</v>
      </c>
      <c r="D104" s="31">
        <v>90736</v>
      </c>
      <c r="E104" s="31">
        <v>0</v>
      </c>
      <c r="F104" s="31">
        <v>0</v>
      </c>
      <c r="G104" s="31">
        <v>90736</v>
      </c>
      <c r="H104" s="31">
        <v>147084</v>
      </c>
      <c r="I104" s="31">
        <v>37259</v>
      </c>
      <c r="J104" s="31">
        <v>93607</v>
      </c>
      <c r="K104" s="31">
        <v>63.64</v>
      </c>
      <c r="L104" s="31">
        <v>2</v>
      </c>
      <c r="M104" s="31" t="s">
        <v>3860</v>
      </c>
      <c r="N104" s="31" t="s">
        <v>3861</v>
      </c>
    </row>
    <row r="105" spans="1:14">
      <c r="A105" s="31" t="s">
        <v>179</v>
      </c>
      <c r="B105" s="31" t="s">
        <v>180</v>
      </c>
      <c r="C105" s="31">
        <v>20703</v>
      </c>
      <c r="D105" s="31">
        <v>52898</v>
      </c>
      <c r="E105" s="31">
        <v>0</v>
      </c>
      <c r="F105" s="31">
        <v>0</v>
      </c>
      <c r="G105" s="31">
        <v>52898</v>
      </c>
      <c r="H105" s="31">
        <v>73601</v>
      </c>
      <c r="I105" s="31">
        <v>0</v>
      </c>
      <c r="J105" s="31">
        <v>20703</v>
      </c>
      <c r="K105" s="31">
        <v>28.12</v>
      </c>
      <c r="L105" s="31">
        <v>3</v>
      </c>
      <c r="M105" s="31" t="s">
        <v>3858</v>
      </c>
      <c r="N105" s="31" t="s">
        <v>3859</v>
      </c>
    </row>
    <row r="106" spans="1:14">
      <c r="A106" s="31" t="s">
        <v>213</v>
      </c>
      <c r="B106" s="31" t="s">
        <v>214</v>
      </c>
      <c r="C106" s="31">
        <v>0</v>
      </c>
      <c r="D106" s="31">
        <v>88011</v>
      </c>
      <c r="E106" s="31">
        <v>0</v>
      </c>
      <c r="F106" s="31">
        <v>0</v>
      </c>
      <c r="G106" s="31">
        <v>88011</v>
      </c>
      <c r="H106" s="31">
        <v>88011</v>
      </c>
      <c r="I106" s="31">
        <v>0</v>
      </c>
      <c r="J106" s="31">
        <v>0</v>
      </c>
      <c r="K106" s="31">
        <v>0</v>
      </c>
      <c r="L106" s="31">
        <v>4</v>
      </c>
      <c r="M106" s="31" t="s">
        <v>3856</v>
      </c>
      <c r="N106" s="31" t="s">
        <v>3857</v>
      </c>
    </row>
    <row r="107" spans="1:14">
      <c r="A107" s="31" t="s">
        <v>219</v>
      </c>
      <c r="B107" s="31" t="s">
        <v>220</v>
      </c>
      <c r="C107" s="31">
        <v>33093</v>
      </c>
      <c r="D107" s="31">
        <v>135217</v>
      </c>
      <c r="E107" s="31">
        <v>0</v>
      </c>
      <c r="F107" s="31">
        <v>0</v>
      </c>
      <c r="G107" s="31">
        <v>135217</v>
      </c>
      <c r="H107" s="31">
        <v>168310</v>
      </c>
      <c r="I107" s="31">
        <v>0</v>
      </c>
      <c r="J107" s="31">
        <v>33093</v>
      </c>
      <c r="K107" s="31">
        <v>19.66</v>
      </c>
      <c r="L107" s="31">
        <v>4</v>
      </c>
      <c r="M107" s="31" t="s">
        <v>3856</v>
      </c>
      <c r="N107" s="31" t="s">
        <v>3857</v>
      </c>
    </row>
    <row r="108" spans="1:14">
      <c r="A108" s="31" t="s">
        <v>237</v>
      </c>
      <c r="B108" s="31" t="s">
        <v>238</v>
      </c>
      <c r="C108" s="31">
        <v>51215</v>
      </c>
      <c r="D108" s="31">
        <v>121859</v>
      </c>
      <c r="E108" s="31">
        <v>0</v>
      </c>
      <c r="F108" s="31">
        <v>0</v>
      </c>
      <c r="G108" s="31">
        <v>121859</v>
      </c>
      <c r="H108" s="31">
        <v>173074</v>
      </c>
      <c r="I108" s="31">
        <v>0</v>
      </c>
      <c r="J108" s="31">
        <v>51215</v>
      </c>
      <c r="K108" s="31">
        <v>29.59</v>
      </c>
      <c r="L108" s="31">
        <v>3</v>
      </c>
      <c r="M108" s="31" t="s">
        <v>3858</v>
      </c>
      <c r="N108" s="31" t="s">
        <v>3859</v>
      </c>
    </row>
    <row r="109" spans="1:14">
      <c r="A109" s="31" t="s">
        <v>308</v>
      </c>
      <c r="B109" s="31" t="s">
        <v>309</v>
      </c>
      <c r="C109" s="31">
        <v>33186</v>
      </c>
      <c r="D109" s="31">
        <v>18376</v>
      </c>
      <c r="E109" s="31">
        <v>0</v>
      </c>
      <c r="F109" s="31">
        <v>73097</v>
      </c>
      <c r="G109" s="31">
        <v>91473</v>
      </c>
      <c r="H109" s="31">
        <v>124659</v>
      </c>
      <c r="I109" s="31">
        <v>0</v>
      </c>
      <c r="J109" s="31">
        <v>33186</v>
      </c>
      <c r="K109" s="31">
        <v>26.62</v>
      </c>
      <c r="L109" s="31">
        <v>3</v>
      </c>
      <c r="M109" s="31" t="s">
        <v>3858</v>
      </c>
      <c r="N109" s="31" t="s">
        <v>3859</v>
      </c>
    </row>
    <row r="110" spans="1:14">
      <c r="A110" s="31" t="s">
        <v>354</v>
      </c>
      <c r="B110" s="31" t="s">
        <v>355</v>
      </c>
      <c r="C110" s="31">
        <v>0</v>
      </c>
      <c r="D110" s="31">
        <v>81944</v>
      </c>
      <c r="E110" s="31">
        <v>0</v>
      </c>
      <c r="F110" s="31">
        <v>0</v>
      </c>
      <c r="G110" s="31">
        <v>81944</v>
      </c>
      <c r="H110" s="31">
        <v>81944</v>
      </c>
      <c r="I110" s="31">
        <v>0</v>
      </c>
      <c r="J110" s="31">
        <v>0</v>
      </c>
      <c r="K110" s="31">
        <v>0</v>
      </c>
      <c r="L110" s="31">
        <v>4</v>
      </c>
      <c r="M110" s="31" t="s">
        <v>3856</v>
      </c>
      <c r="N110" s="31" t="s">
        <v>3857</v>
      </c>
    </row>
    <row r="111" spans="1:14">
      <c r="A111" s="31" t="s">
        <v>432</v>
      </c>
      <c r="B111" s="31" t="s">
        <v>433</v>
      </c>
      <c r="C111" s="31">
        <v>40167</v>
      </c>
      <c r="D111" s="31">
        <v>21462</v>
      </c>
      <c r="E111" s="31">
        <v>0</v>
      </c>
      <c r="F111" s="31">
        <v>0</v>
      </c>
      <c r="G111" s="31">
        <v>21462</v>
      </c>
      <c r="H111" s="31">
        <v>61629</v>
      </c>
      <c r="I111" s="31">
        <v>21462</v>
      </c>
      <c r="J111" s="31">
        <v>61629</v>
      </c>
      <c r="K111" s="31">
        <v>100</v>
      </c>
      <c r="L111" s="31">
        <v>1</v>
      </c>
      <c r="M111" s="31" t="s">
        <v>3862</v>
      </c>
      <c r="N111" s="31" t="s">
        <v>3861</v>
      </c>
    </row>
    <row r="112" spans="1:14">
      <c r="A112" s="31" t="s">
        <v>536</v>
      </c>
      <c r="B112" s="31" t="s">
        <v>537</v>
      </c>
      <c r="C112" s="31">
        <v>11476</v>
      </c>
      <c r="D112" s="31">
        <v>71811</v>
      </c>
      <c r="E112" s="31">
        <v>0</v>
      </c>
      <c r="F112" s="31">
        <v>0</v>
      </c>
      <c r="G112" s="31">
        <v>71811</v>
      </c>
      <c r="H112" s="31">
        <v>83287</v>
      </c>
      <c r="I112" s="31">
        <v>0</v>
      </c>
      <c r="J112" s="31">
        <v>11476</v>
      </c>
      <c r="K112" s="31">
        <v>13.77</v>
      </c>
      <c r="L112" s="31">
        <v>4</v>
      </c>
      <c r="M112" s="31" t="s">
        <v>3856</v>
      </c>
      <c r="N112" s="31" t="s">
        <v>3857</v>
      </c>
    </row>
    <row r="113" spans="1:14">
      <c r="A113" s="31" t="s">
        <v>656</v>
      </c>
      <c r="B113" s="31" t="s">
        <v>657</v>
      </c>
      <c r="C113" s="31">
        <v>49319</v>
      </c>
      <c r="D113" s="31">
        <v>88729</v>
      </c>
      <c r="E113" s="31">
        <v>0</v>
      </c>
      <c r="F113" s="31">
        <v>0</v>
      </c>
      <c r="G113" s="31">
        <v>88729</v>
      </c>
      <c r="H113" s="31">
        <v>138048</v>
      </c>
      <c r="I113" s="31">
        <v>38181</v>
      </c>
      <c r="J113" s="31">
        <v>87500</v>
      </c>
      <c r="K113" s="31">
        <v>63.38</v>
      </c>
      <c r="L113" s="31">
        <v>2</v>
      </c>
      <c r="M113" s="31" t="s">
        <v>3860</v>
      </c>
      <c r="N113" s="31" t="s">
        <v>3861</v>
      </c>
    </row>
    <row r="114" spans="1:14">
      <c r="A114" s="31" t="s">
        <v>680</v>
      </c>
      <c r="B114" s="31" t="s">
        <v>681</v>
      </c>
      <c r="C114" s="31">
        <v>64233</v>
      </c>
      <c r="D114" s="31">
        <v>15210</v>
      </c>
      <c r="E114" s="31">
        <v>0</v>
      </c>
      <c r="F114" s="31">
        <v>0</v>
      </c>
      <c r="G114" s="31">
        <v>15210</v>
      </c>
      <c r="H114" s="31">
        <v>79443</v>
      </c>
      <c r="I114" s="31">
        <v>15210</v>
      </c>
      <c r="J114" s="31">
        <v>79443</v>
      </c>
      <c r="K114" s="31">
        <v>100</v>
      </c>
      <c r="L114" s="31">
        <v>1</v>
      </c>
      <c r="M114" s="31" t="s">
        <v>3862</v>
      </c>
      <c r="N114" s="31" t="s">
        <v>3861</v>
      </c>
    </row>
    <row r="115" spans="1:14">
      <c r="A115" s="31" t="s">
        <v>221</v>
      </c>
      <c r="B115" s="31" t="s">
        <v>222</v>
      </c>
      <c r="C115" s="31">
        <v>327</v>
      </c>
      <c r="D115" s="31">
        <v>115405</v>
      </c>
      <c r="E115" s="31">
        <v>0</v>
      </c>
      <c r="F115" s="31">
        <v>0</v>
      </c>
      <c r="G115" s="31">
        <v>115405</v>
      </c>
      <c r="H115" s="31">
        <v>115732</v>
      </c>
      <c r="I115" s="31">
        <v>0</v>
      </c>
      <c r="J115" s="31">
        <v>327</v>
      </c>
      <c r="K115" s="31">
        <v>0.28000000000000003</v>
      </c>
      <c r="L115" s="31">
        <v>4</v>
      </c>
      <c r="M115" s="31" t="s">
        <v>3856</v>
      </c>
      <c r="N115" s="31" t="s">
        <v>3857</v>
      </c>
    </row>
    <row r="116" spans="1:14">
      <c r="A116" s="31" t="s">
        <v>245</v>
      </c>
      <c r="B116" s="31" t="s">
        <v>246</v>
      </c>
      <c r="C116" s="31">
        <v>65728</v>
      </c>
      <c r="D116" s="31">
        <v>17153</v>
      </c>
      <c r="E116" s="31">
        <v>0</v>
      </c>
      <c r="F116" s="31">
        <v>0</v>
      </c>
      <c r="G116" s="31">
        <v>17153</v>
      </c>
      <c r="H116" s="31">
        <v>82881</v>
      </c>
      <c r="I116" s="31">
        <v>17153</v>
      </c>
      <c r="J116" s="31">
        <v>82881</v>
      </c>
      <c r="K116" s="31">
        <v>100</v>
      </c>
      <c r="L116" s="31">
        <v>1</v>
      </c>
      <c r="M116" s="31" t="s">
        <v>3862</v>
      </c>
      <c r="N116" s="31" t="s">
        <v>3861</v>
      </c>
    </row>
    <row r="117" spans="1:14">
      <c r="A117" s="31" t="s">
        <v>322</v>
      </c>
      <c r="B117" s="31" t="s">
        <v>323</v>
      </c>
      <c r="C117" s="31">
        <v>54803</v>
      </c>
      <c r="D117" s="31">
        <v>27158</v>
      </c>
      <c r="E117" s="31">
        <v>0</v>
      </c>
      <c r="F117" s="31">
        <v>0</v>
      </c>
      <c r="G117" s="31">
        <v>27158</v>
      </c>
      <c r="H117" s="31">
        <v>81961</v>
      </c>
      <c r="I117" s="31">
        <v>23339</v>
      </c>
      <c r="J117" s="31">
        <v>78142</v>
      </c>
      <c r="K117" s="31">
        <v>95.34</v>
      </c>
      <c r="L117" s="31">
        <v>1</v>
      </c>
      <c r="M117" s="31" t="s">
        <v>3862</v>
      </c>
      <c r="N117" s="31" t="s">
        <v>3861</v>
      </c>
    </row>
    <row r="118" spans="1:14">
      <c r="A118" s="31" t="s">
        <v>330</v>
      </c>
      <c r="B118" s="31" t="s">
        <v>331</v>
      </c>
      <c r="C118" s="31">
        <v>0</v>
      </c>
      <c r="D118" s="31">
        <v>121688</v>
      </c>
      <c r="E118" s="31">
        <v>0</v>
      </c>
      <c r="F118" s="31">
        <v>0</v>
      </c>
      <c r="G118" s="31">
        <v>121688</v>
      </c>
      <c r="H118" s="31">
        <v>121688</v>
      </c>
      <c r="I118" s="31">
        <v>0</v>
      </c>
      <c r="J118" s="31">
        <v>0</v>
      </c>
      <c r="K118" s="31">
        <v>0</v>
      </c>
      <c r="L118" s="31">
        <v>4</v>
      </c>
      <c r="M118" s="31" t="s">
        <v>3856</v>
      </c>
      <c r="N118" s="31" t="s">
        <v>3857</v>
      </c>
    </row>
    <row r="119" spans="1:14">
      <c r="A119" s="31" t="s">
        <v>634</v>
      </c>
      <c r="B119" s="31" t="s">
        <v>635</v>
      </c>
      <c r="C119" s="31">
        <v>32401</v>
      </c>
      <c r="D119" s="31">
        <v>80378</v>
      </c>
      <c r="E119" s="31">
        <v>0</v>
      </c>
      <c r="F119" s="31">
        <v>0</v>
      </c>
      <c r="G119" s="31">
        <v>80378</v>
      </c>
      <c r="H119" s="31">
        <v>112779</v>
      </c>
      <c r="I119" s="31">
        <v>14992</v>
      </c>
      <c r="J119" s="31">
        <v>47393</v>
      </c>
      <c r="K119" s="31">
        <v>42.02</v>
      </c>
      <c r="L119" s="31">
        <v>3</v>
      </c>
      <c r="M119" s="31" t="s">
        <v>3858</v>
      </c>
      <c r="N119" s="31" t="s">
        <v>3859</v>
      </c>
    </row>
    <row r="120" spans="1:14">
      <c r="A120" s="31" t="s">
        <v>660</v>
      </c>
      <c r="B120" s="31" t="s">
        <v>661</v>
      </c>
      <c r="C120" s="31">
        <v>23758</v>
      </c>
      <c r="D120" s="31">
        <v>58185</v>
      </c>
      <c r="E120" s="31">
        <v>0</v>
      </c>
      <c r="F120" s="31">
        <v>0</v>
      </c>
      <c r="G120" s="31">
        <v>58185</v>
      </c>
      <c r="H120" s="31">
        <v>81943</v>
      </c>
      <c r="I120" s="31">
        <v>19778</v>
      </c>
      <c r="J120" s="31">
        <v>43536</v>
      </c>
      <c r="K120" s="31">
        <v>53.12</v>
      </c>
      <c r="L120" s="31">
        <v>2</v>
      </c>
      <c r="M120" s="31" t="s">
        <v>3860</v>
      </c>
      <c r="N120" s="31" t="s">
        <v>3861</v>
      </c>
    </row>
    <row r="121" spans="1:14">
      <c r="A121" s="31" t="s">
        <v>141</v>
      </c>
      <c r="B121" s="31" t="s">
        <v>142</v>
      </c>
      <c r="C121" s="31">
        <v>44724</v>
      </c>
      <c r="D121" s="31">
        <v>123075</v>
      </c>
      <c r="E121" s="31">
        <v>0</v>
      </c>
      <c r="F121" s="31">
        <v>0</v>
      </c>
      <c r="G121" s="31">
        <v>123075</v>
      </c>
      <c r="H121" s="31">
        <v>167799</v>
      </c>
      <c r="I121" s="31">
        <v>15433</v>
      </c>
      <c r="J121" s="31">
        <v>60157</v>
      </c>
      <c r="K121" s="31">
        <v>35.85</v>
      </c>
      <c r="L121" s="31">
        <v>3</v>
      </c>
      <c r="M121" s="31" t="s">
        <v>3858</v>
      </c>
      <c r="N121" s="31" t="s">
        <v>3859</v>
      </c>
    </row>
    <row r="122" spans="1:14">
      <c r="A122" s="31" t="s">
        <v>284</v>
      </c>
      <c r="B122" s="31" t="s">
        <v>285</v>
      </c>
      <c r="C122" s="31">
        <v>41284</v>
      </c>
      <c r="D122" s="31">
        <v>74324</v>
      </c>
      <c r="E122" s="31">
        <v>0</v>
      </c>
      <c r="F122" s="31">
        <v>0</v>
      </c>
      <c r="G122" s="31">
        <v>74324</v>
      </c>
      <c r="H122" s="31">
        <v>115608</v>
      </c>
      <c r="I122" s="31">
        <v>54213</v>
      </c>
      <c r="J122" s="31">
        <v>95497</v>
      </c>
      <c r="K122" s="31">
        <v>82.6</v>
      </c>
      <c r="L122" s="31">
        <v>1</v>
      </c>
      <c r="M122" s="31" t="s">
        <v>3862</v>
      </c>
      <c r="N122" s="31" t="s">
        <v>3861</v>
      </c>
    </row>
    <row r="123" spans="1:14">
      <c r="A123" s="31" t="s">
        <v>300</v>
      </c>
      <c r="B123" s="31" t="s">
        <v>301</v>
      </c>
      <c r="C123" s="31">
        <v>11791</v>
      </c>
      <c r="D123" s="31">
        <v>113408</v>
      </c>
      <c r="E123" s="31">
        <v>0</v>
      </c>
      <c r="F123" s="31">
        <v>0</v>
      </c>
      <c r="G123" s="31">
        <v>113408</v>
      </c>
      <c r="H123" s="31">
        <v>125199</v>
      </c>
      <c r="I123" s="31">
        <v>0</v>
      </c>
      <c r="J123" s="31">
        <v>11791</v>
      </c>
      <c r="K123" s="31">
        <v>9.41</v>
      </c>
      <c r="L123" s="31">
        <v>4</v>
      </c>
      <c r="M123" s="31" t="s">
        <v>3856</v>
      </c>
      <c r="N123" s="31" t="s">
        <v>3857</v>
      </c>
    </row>
    <row r="124" spans="1:14">
      <c r="A124" s="31" t="s">
        <v>316</v>
      </c>
      <c r="B124" s="31" t="s">
        <v>317</v>
      </c>
      <c r="C124" s="31">
        <v>652</v>
      </c>
      <c r="D124" s="31">
        <v>110929</v>
      </c>
      <c r="E124" s="31">
        <v>0</v>
      </c>
      <c r="F124" s="31">
        <v>0</v>
      </c>
      <c r="G124" s="31">
        <v>110929</v>
      </c>
      <c r="H124" s="31">
        <v>111581</v>
      </c>
      <c r="I124" s="31">
        <v>0</v>
      </c>
      <c r="J124" s="31">
        <v>652</v>
      </c>
      <c r="K124" s="31">
        <v>0.57999999999999996</v>
      </c>
      <c r="L124" s="31">
        <v>4</v>
      </c>
      <c r="M124" s="31" t="s">
        <v>3856</v>
      </c>
      <c r="N124" s="31" t="s">
        <v>3857</v>
      </c>
    </row>
    <row r="125" spans="1:14">
      <c r="A125" s="31" t="s">
        <v>332</v>
      </c>
      <c r="B125" s="31" t="s">
        <v>333</v>
      </c>
      <c r="C125" s="31">
        <v>233</v>
      </c>
      <c r="D125" s="31">
        <v>82389</v>
      </c>
      <c r="E125" s="31">
        <v>0</v>
      </c>
      <c r="F125" s="31">
        <v>0</v>
      </c>
      <c r="G125" s="31">
        <v>82389</v>
      </c>
      <c r="H125" s="31">
        <v>82622</v>
      </c>
      <c r="I125" s="31">
        <v>0</v>
      </c>
      <c r="J125" s="31">
        <v>233</v>
      </c>
      <c r="K125" s="31">
        <v>0.28000000000000003</v>
      </c>
      <c r="L125" s="31">
        <v>4</v>
      </c>
      <c r="M125" s="31" t="s">
        <v>3856</v>
      </c>
      <c r="N125" s="31" t="s">
        <v>3857</v>
      </c>
    </row>
    <row r="126" spans="1:14">
      <c r="A126" s="31" t="s">
        <v>360</v>
      </c>
      <c r="B126" s="31" t="s">
        <v>361</v>
      </c>
      <c r="C126" s="31">
        <v>27586</v>
      </c>
      <c r="D126" s="31">
        <v>63447</v>
      </c>
      <c r="E126" s="31">
        <v>0</v>
      </c>
      <c r="F126" s="31">
        <v>0</v>
      </c>
      <c r="G126" s="31">
        <v>63447</v>
      </c>
      <c r="H126" s="31">
        <v>91033</v>
      </c>
      <c r="I126" s="31">
        <v>0</v>
      </c>
      <c r="J126" s="31">
        <v>27586</v>
      </c>
      <c r="K126" s="31">
        <v>30.3</v>
      </c>
      <c r="L126" s="31">
        <v>3</v>
      </c>
      <c r="M126" s="31" t="s">
        <v>3858</v>
      </c>
      <c r="N126" s="31" t="s">
        <v>3859</v>
      </c>
    </row>
    <row r="127" spans="1:14">
      <c r="A127" s="31" t="s">
        <v>366</v>
      </c>
      <c r="B127" s="31" t="s">
        <v>367</v>
      </c>
      <c r="C127" s="31">
        <v>1894</v>
      </c>
      <c r="D127" s="31">
        <v>118790</v>
      </c>
      <c r="E127" s="31">
        <v>0</v>
      </c>
      <c r="F127" s="31">
        <v>0</v>
      </c>
      <c r="G127" s="31">
        <v>118790</v>
      </c>
      <c r="H127" s="31">
        <v>120684</v>
      </c>
      <c r="I127" s="31">
        <v>0</v>
      </c>
      <c r="J127" s="31">
        <v>1894</v>
      </c>
      <c r="K127" s="31">
        <v>1.56</v>
      </c>
      <c r="L127" s="31">
        <v>4</v>
      </c>
      <c r="M127" s="31" t="s">
        <v>3856</v>
      </c>
      <c r="N127" s="31" t="s">
        <v>3857</v>
      </c>
    </row>
    <row r="128" spans="1:14">
      <c r="A128" s="31" t="s">
        <v>460</v>
      </c>
      <c r="B128" s="31" t="s">
        <v>461</v>
      </c>
      <c r="C128" s="31">
        <v>49399</v>
      </c>
      <c r="D128" s="31">
        <v>127063</v>
      </c>
      <c r="E128" s="31">
        <v>0</v>
      </c>
      <c r="F128" s="31">
        <v>0</v>
      </c>
      <c r="G128" s="31">
        <v>127063</v>
      </c>
      <c r="H128" s="31">
        <v>176462</v>
      </c>
      <c r="I128" s="31">
        <v>30530</v>
      </c>
      <c r="J128" s="31">
        <v>79929</v>
      </c>
      <c r="K128" s="31">
        <v>45.29</v>
      </c>
      <c r="L128" s="31">
        <v>3</v>
      </c>
      <c r="M128" s="31" t="s">
        <v>3858</v>
      </c>
      <c r="N128" s="31" t="s">
        <v>3859</v>
      </c>
    </row>
    <row r="129" spans="1:14">
      <c r="A129" s="31" t="s">
        <v>550</v>
      </c>
      <c r="B129" s="31" t="s">
        <v>551</v>
      </c>
      <c r="C129" s="31">
        <v>1392</v>
      </c>
      <c r="D129" s="31">
        <v>92415</v>
      </c>
      <c r="E129" s="31">
        <v>0</v>
      </c>
      <c r="F129" s="31">
        <v>0</v>
      </c>
      <c r="G129" s="31">
        <v>92415</v>
      </c>
      <c r="H129" s="31">
        <v>93807</v>
      </c>
      <c r="I129" s="31">
        <v>0</v>
      </c>
      <c r="J129" s="31">
        <v>1392</v>
      </c>
      <c r="K129" s="31">
        <v>1.48</v>
      </c>
      <c r="L129" s="31">
        <v>4</v>
      </c>
      <c r="M129" s="31" t="s">
        <v>3856</v>
      </c>
      <c r="N129" s="31" t="s">
        <v>3857</v>
      </c>
    </row>
    <row r="130" spans="1:14">
      <c r="A130" s="31" t="s">
        <v>658</v>
      </c>
      <c r="B130" s="31" t="s">
        <v>659</v>
      </c>
      <c r="C130" s="31">
        <v>42505</v>
      </c>
      <c r="D130" s="31">
        <v>73893</v>
      </c>
      <c r="E130" s="31">
        <v>0</v>
      </c>
      <c r="F130" s="31">
        <v>0</v>
      </c>
      <c r="G130" s="31">
        <v>73893</v>
      </c>
      <c r="H130" s="31">
        <v>116398</v>
      </c>
      <c r="I130" s="31">
        <v>0</v>
      </c>
      <c r="J130" s="31">
        <v>42505</v>
      </c>
      <c r="K130" s="31">
        <v>36.51</v>
      </c>
      <c r="L130" s="31">
        <v>3</v>
      </c>
      <c r="M130" s="31" t="s">
        <v>3858</v>
      </c>
      <c r="N130" s="31" t="s">
        <v>3859</v>
      </c>
    </row>
    <row r="131" spans="1:14">
      <c r="A131" s="31" t="s">
        <v>724</v>
      </c>
      <c r="B131" s="31" t="s">
        <v>725</v>
      </c>
      <c r="C131" s="31">
        <v>66992</v>
      </c>
      <c r="D131" s="31">
        <v>49603</v>
      </c>
      <c r="E131" s="31">
        <v>0</v>
      </c>
      <c r="F131" s="31">
        <v>0</v>
      </c>
      <c r="G131" s="31">
        <v>49603</v>
      </c>
      <c r="H131" s="31">
        <v>116595</v>
      </c>
      <c r="I131" s="31">
        <v>0</v>
      </c>
      <c r="J131" s="31">
        <v>66992</v>
      </c>
      <c r="K131" s="31">
        <v>57.45</v>
      </c>
      <c r="L131" s="31">
        <v>2</v>
      </c>
      <c r="M131" s="31" t="s">
        <v>3860</v>
      </c>
      <c r="N131" s="31" t="s">
        <v>3861</v>
      </c>
    </row>
    <row r="132" spans="1:14">
      <c r="A132" s="31" t="s">
        <v>191</v>
      </c>
      <c r="B132" s="31" t="s">
        <v>192</v>
      </c>
      <c r="C132" s="31">
        <v>154</v>
      </c>
      <c r="D132" s="31">
        <v>3024</v>
      </c>
      <c r="E132" s="31">
        <v>0</v>
      </c>
      <c r="F132" s="31">
        <v>90431</v>
      </c>
      <c r="G132" s="31">
        <v>93455</v>
      </c>
      <c r="H132" s="31">
        <v>93609</v>
      </c>
      <c r="I132" s="31">
        <v>0</v>
      </c>
      <c r="J132" s="31">
        <v>154</v>
      </c>
      <c r="K132" s="31">
        <v>0.16</v>
      </c>
      <c r="L132" s="31">
        <v>6</v>
      </c>
      <c r="M132" s="31" t="s">
        <v>3866</v>
      </c>
      <c r="N132" s="31" t="s">
        <v>3857</v>
      </c>
    </row>
    <row r="133" spans="1:14">
      <c r="A133" s="31" t="s">
        <v>255</v>
      </c>
      <c r="B133" s="31" t="s">
        <v>256</v>
      </c>
      <c r="C133" s="31">
        <v>18875</v>
      </c>
      <c r="D133" s="31">
        <v>35248</v>
      </c>
      <c r="E133" s="31">
        <v>0</v>
      </c>
      <c r="F133" s="31">
        <v>90724</v>
      </c>
      <c r="G133" s="31">
        <v>125972</v>
      </c>
      <c r="H133" s="31">
        <v>144847</v>
      </c>
      <c r="I133" s="31">
        <v>33926</v>
      </c>
      <c r="J133" s="31">
        <v>52801</v>
      </c>
      <c r="K133" s="31">
        <v>36.450000000000003</v>
      </c>
      <c r="L133" s="31">
        <v>3</v>
      </c>
      <c r="M133" s="31" t="s">
        <v>3858</v>
      </c>
      <c r="N133" s="31" t="s">
        <v>3859</v>
      </c>
    </row>
    <row r="134" spans="1:14">
      <c r="A134" s="31" t="s">
        <v>372</v>
      </c>
      <c r="B134" s="31" t="s">
        <v>373</v>
      </c>
      <c r="C134" s="31">
        <v>15024</v>
      </c>
      <c r="D134" s="31">
        <v>24225</v>
      </c>
      <c r="E134" s="31">
        <v>0</v>
      </c>
      <c r="F134" s="31">
        <v>60782</v>
      </c>
      <c r="G134" s="31">
        <v>85007</v>
      </c>
      <c r="H134" s="31">
        <v>100031</v>
      </c>
      <c r="I134" s="31">
        <v>0</v>
      </c>
      <c r="J134" s="31">
        <v>15024</v>
      </c>
      <c r="K134" s="31">
        <v>15.01</v>
      </c>
      <c r="L134" s="31">
        <v>6</v>
      </c>
      <c r="M134" s="31" t="s">
        <v>3866</v>
      </c>
      <c r="N134" s="31" t="s">
        <v>3857</v>
      </c>
    </row>
    <row r="135" spans="1:14">
      <c r="A135" s="31" t="s">
        <v>476</v>
      </c>
      <c r="B135" s="31" t="s">
        <v>477</v>
      </c>
      <c r="C135" s="31">
        <v>22949</v>
      </c>
      <c r="D135" s="31">
        <v>104165</v>
      </c>
      <c r="E135" s="31">
        <v>0</v>
      </c>
      <c r="F135" s="31">
        <v>0</v>
      </c>
      <c r="G135" s="31">
        <v>104165</v>
      </c>
      <c r="H135" s="31">
        <v>127114</v>
      </c>
      <c r="I135" s="31">
        <v>15781</v>
      </c>
      <c r="J135" s="31">
        <v>38730</v>
      </c>
      <c r="K135" s="31">
        <v>30.46</v>
      </c>
      <c r="L135" s="31">
        <v>3</v>
      </c>
      <c r="M135" s="31" t="s">
        <v>3858</v>
      </c>
      <c r="N135" s="31" t="s">
        <v>3859</v>
      </c>
    </row>
    <row r="136" spans="1:14">
      <c r="A136" s="31" t="s">
        <v>664</v>
      </c>
      <c r="B136" s="31" t="s">
        <v>665</v>
      </c>
      <c r="C136" s="31">
        <v>4644</v>
      </c>
      <c r="D136" s="31">
        <v>9215</v>
      </c>
      <c r="E136" s="31">
        <v>0</v>
      </c>
      <c r="F136" s="31">
        <v>73458</v>
      </c>
      <c r="G136" s="31">
        <v>82673</v>
      </c>
      <c r="H136" s="31">
        <v>87317</v>
      </c>
      <c r="I136" s="31">
        <v>0</v>
      </c>
      <c r="J136" s="31">
        <v>4644</v>
      </c>
      <c r="K136" s="31">
        <v>5.31</v>
      </c>
      <c r="L136" s="31">
        <v>6</v>
      </c>
      <c r="M136" s="31" t="s">
        <v>3866</v>
      </c>
      <c r="N136" s="31" t="s">
        <v>3857</v>
      </c>
    </row>
    <row r="137" spans="1:14">
      <c r="A137" s="31" t="s">
        <v>696</v>
      </c>
      <c r="B137" s="31" t="s">
        <v>697</v>
      </c>
      <c r="C137" s="31">
        <v>0</v>
      </c>
      <c r="D137" s="31">
        <v>0</v>
      </c>
      <c r="E137" s="31">
        <v>0</v>
      </c>
      <c r="F137" s="31">
        <v>90301</v>
      </c>
      <c r="G137" s="31">
        <v>90301</v>
      </c>
      <c r="H137" s="31">
        <v>90301</v>
      </c>
      <c r="I137" s="31">
        <v>0</v>
      </c>
      <c r="J137" s="31">
        <v>0</v>
      </c>
      <c r="K137" s="31">
        <v>0</v>
      </c>
      <c r="L137" s="31">
        <v>6</v>
      </c>
      <c r="M137" s="31" t="s">
        <v>3866</v>
      </c>
      <c r="N137" s="31" t="s">
        <v>3857</v>
      </c>
    </row>
    <row r="138" spans="1:14">
      <c r="A138" s="31" t="s">
        <v>124</v>
      </c>
      <c r="B138" s="31" t="s">
        <v>125</v>
      </c>
      <c r="C138" s="31">
        <v>43223</v>
      </c>
      <c r="D138" s="31">
        <v>74733</v>
      </c>
      <c r="E138" s="31">
        <v>0</v>
      </c>
      <c r="F138" s="31">
        <v>0</v>
      </c>
      <c r="G138" s="31">
        <v>74733</v>
      </c>
      <c r="H138" s="31">
        <v>117956</v>
      </c>
      <c r="I138" s="31">
        <v>0</v>
      </c>
      <c r="J138" s="31">
        <v>43223</v>
      </c>
      <c r="K138" s="31">
        <v>36.64</v>
      </c>
      <c r="L138" s="31">
        <v>3</v>
      </c>
      <c r="M138" s="31" t="s">
        <v>3858</v>
      </c>
      <c r="N138" s="31" t="s">
        <v>3859</v>
      </c>
    </row>
    <row r="139" spans="1:14">
      <c r="A139" s="31" t="s">
        <v>209</v>
      </c>
      <c r="B139" s="31" t="s">
        <v>210</v>
      </c>
      <c r="C139" s="31">
        <v>25420</v>
      </c>
      <c r="D139" s="31">
        <v>125725</v>
      </c>
      <c r="E139" s="31">
        <v>0</v>
      </c>
      <c r="F139" s="31">
        <v>0</v>
      </c>
      <c r="G139" s="31">
        <v>125725</v>
      </c>
      <c r="H139" s="31">
        <v>151145</v>
      </c>
      <c r="I139" s="31">
        <v>0</v>
      </c>
      <c r="J139" s="31">
        <v>25420</v>
      </c>
      <c r="K139" s="31">
        <v>16.809999999999999</v>
      </c>
      <c r="L139" s="31">
        <v>4</v>
      </c>
      <c r="M139" s="31" t="s">
        <v>3856</v>
      </c>
      <c r="N139" s="31" t="s">
        <v>3857</v>
      </c>
    </row>
    <row r="140" spans="1:14">
      <c r="A140" s="31" t="s">
        <v>260</v>
      </c>
      <c r="B140" s="31" t="s">
        <v>261</v>
      </c>
      <c r="C140" s="31">
        <v>11240</v>
      </c>
      <c r="D140" s="31">
        <v>4665</v>
      </c>
      <c r="E140" s="31">
        <v>0</v>
      </c>
      <c r="F140" s="31">
        <v>81460</v>
      </c>
      <c r="G140" s="31">
        <v>86125</v>
      </c>
      <c r="H140" s="31">
        <v>97365</v>
      </c>
      <c r="I140" s="31">
        <v>0</v>
      </c>
      <c r="J140" s="31">
        <v>11240</v>
      </c>
      <c r="K140" s="31">
        <v>11.54</v>
      </c>
      <c r="L140" s="31">
        <v>6</v>
      </c>
      <c r="M140" s="31" t="s">
        <v>3866</v>
      </c>
      <c r="N140" s="31" t="s">
        <v>3857</v>
      </c>
    </row>
    <row r="141" spans="1:14">
      <c r="A141" s="31" t="s">
        <v>272</v>
      </c>
      <c r="B141" s="31" t="s">
        <v>273</v>
      </c>
      <c r="C141" s="31">
        <v>39410</v>
      </c>
      <c r="D141" s="31">
        <v>72264</v>
      </c>
      <c r="E141" s="31">
        <v>0</v>
      </c>
      <c r="F141" s="31">
        <v>0</v>
      </c>
      <c r="G141" s="31">
        <v>72264</v>
      </c>
      <c r="H141" s="31">
        <v>111674</v>
      </c>
      <c r="I141" s="31">
        <v>0</v>
      </c>
      <c r="J141" s="31">
        <v>39410</v>
      </c>
      <c r="K141" s="31">
        <v>35.29</v>
      </c>
      <c r="L141" s="31">
        <v>3</v>
      </c>
      <c r="M141" s="31" t="s">
        <v>3858</v>
      </c>
      <c r="N141" s="31" t="s">
        <v>3859</v>
      </c>
    </row>
    <row r="142" spans="1:14">
      <c r="A142" s="31" t="s">
        <v>334</v>
      </c>
      <c r="B142" s="31" t="s">
        <v>335</v>
      </c>
      <c r="C142" s="31">
        <v>19079</v>
      </c>
      <c r="D142" s="31">
        <v>361</v>
      </c>
      <c r="E142" s="31">
        <v>0</v>
      </c>
      <c r="F142" s="31">
        <v>82280</v>
      </c>
      <c r="G142" s="31">
        <v>82641</v>
      </c>
      <c r="H142" s="31">
        <v>101720</v>
      </c>
      <c r="I142" s="31">
        <v>0</v>
      </c>
      <c r="J142" s="31">
        <v>19079</v>
      </c>
      <c r="K142" s="31">
        <v>18.75</v>
      </c>
      <c r="L142" s="31">
        <v>6</v>
      </c>
      <c r="M142" s="31" t="s">
        <v>3866</v>
      </c>
      <c r="N142" s="31" t="s">
        <v>3857</v>
      </c>
    </row>
    <row r="143" spans="1:14">
      <c r="A143" s="31" t="s">
        <v>430</v>
      </c>
      <c r="B143" s="31" t="s">
        <v>431</v>
      </c>
      <c r="C143" s="31">
        <v>43730</v>
      </c>
      <c r="D143" s="31">
        <v>111413</v>
      </c>
      <c r="E143" s="31">
        <v>0</v>
      </c>
      <c r="F143" s="31">
        <v>0</v>
      </c>
      <c r="G143" s="31">
        <v>111413</v>
      </c>
      <c r="H143" s="31">
        <v>155143</v>
      </c>
      <c r="I143" s="31">
        <v>0</v>
      </c>
      <c r="J143" s="31">
        <v>43730</v>
      </c>
      <c r="K143" s="31">
        <v>28.18</v>
      </c>
      <c r="L143" s="31">
        <v>3</v>
      </c>
      <c r="M143" s="31" t="s">
        <v>3858</v>
      </c>
      <c r="N143" s="31" t="s">
        <v>3859</v>
      </c>
    </row>
    <row r="144" spans="1:14">
      <c r="A144" s="31" t="s">
        <v>568</v>
      </c>
      <c r="B144" s="31" t="s">
        <v>569</v>
      </c>
      <c r="C144" s="31">
        <v>51911</v>
      </c>
      <c r="D144" s="31">
        <v>43187</v>
      </c>
      <c r="E144" s="31">
        <v>0</v>
      </c>
      <c r="F144" s="31">
        <v>19795</v>
      </c>
      <c r="G144" s="31">
        <v>62982</v>
      </c>
      <c r="H144" s="31">
        <v>114893</v>
      </c>
      <c r="I144" s="31">
        <v>29506</v>
      </c>
      <c r="J144" s="31">
        <v>81417</v>
      </c>
      <c r="K144" s="31">
        <v>70.86</v>
      </c>
      <c r="L144" s="31">
        <v>2</v>
      </c>
      <c r="M144" s="31" t="s">
        <v>3860</v>
      </c>
      <c r="N144" s="31" t="s">
        <v>3861</v>
      </c>
    </row>
    <row r="145" spans="1:14">
      <c r="A145" s="31" t="s">
        <v>320</v>
      </c>
      <c r="B145" s="31" t="s">
        <v>321</v>
      </c>
      <c r="C145" s="31">
        <v>41540</v>
      </c>
      <c r="D145" s="31">
        <v>66429</v>
      </c>
      <c r="E145" s="31">
        <v>0</v>
      </c>
      <c r="F145" s="31">
        <v>0</v>
      </c>
      <c r="G145" s="31">
        <v>66429</v>
      </c>
      <c r="H145" s="31">
        <v>107969</v>
      </c>
      <c r="I145" s="31">
        <v>0</v>
      </c>
      <c r="J145" s="31">
        <v>41540</v>
      </c>
      <c r="K145" s="31">
        <v>38.47</v>
      </c>
      <c r="L145" s="31">
        <v>3</v>
      </c>
      <c r="M145" s="31" t="s">
        <v>3858</v>
      </c>
      <c r="N145" s="31" t="s">
        <v>3859</v>
      </c>
    </row>
    <row r="146" spans="1:14">
      <c r="A146" s="31" t="s">
        <v>642</v>
      </c>
      <c r="B146" s="31" t="s">
        <v>643</v>
      </c>
      <c r="C146" s="31">
        <v>32546</v>
      </c>
      <c r="D146" s="31">
        <v>103289</v>
      </c>
      <c r="E146" s="31">
        <v>0</v>
      </c>
      <c r="F146" s="31">
        <v>0</v>
      </c>
      <c r="G146" s="31">
        <v>103289</v>
      </c>
      <c r="H146" s="31">
        <v>135835</v>
      </c>
      <c r="I146" s="31">
        <v>53934</v>
      </c>
      <c r="J146" s="31">
        <v>86480</v>
      </c>
      <c r="K146" s="31">
        <v>63.66</v>
      </c>
      <c r="L146" s="31">
        <v>2</v>
      </c>
      <c r="M146" s="31" t="s">
        <v>3860</v>
      </c>
      <c r="N146" s="31" t="s">
        <v>3861</v>
      </c>
    </row>
    <row r="147" spans="1:14">
      <c r="A147" s="31" t="s">
        <v>662</v>
      </c>
      <c r="B147" s="31" t="s">
        <v>663</v>
      </c>
      <c r="C147" s="31">
        <v>8816</v>
      </c>
      <c r="D147" s="31">
        <v>125370</v>
      </c>
      <c r="E147" s="31">
        <v>0</v>
      </c>
      <c r="F147" s="31">
        <v>0</v>
      </c>
      <c r="G147" s="31">
        <v>125370</v>
      </c>
      <c r="H147" s="31">
        <v>134186</v>
      </c>
      <c r="I147" s="31">
        <v>0</v>
      </c>
      <c r="J147" s="31">
        <v>8816</v>
      </c>
      <c r="K147" s="31">
        <v>6.56</v>
      </c>
      <c r="L147" s="31">
        <v>4</v>
      </c>
      <c r="M147" s="31" t="s">
        <v>3856</v>
      </c>
      <c r="N147" s="31" t="s">
        <v>3857</v>
      </c>
    </row>
    <row r="148" spans="1:14">
      <c r="A148" s="31" t="s">
        <v>668</v>
      </c>
      <c r="B148" s="31" t="s">
        <v>669</v>
      </c>
      <c r="C148" s="31">
        <v>42046</v>
      </c>
      <c r="D148" s="31">
        <v>78759</v>
      </c>
      <c r="E148" s="31">
        <v>0</v>
      </c>
      <c r="F148" s="31">
        <v>0</v>
      </c>
      <c r="G148" s="31">
        <v>78759</v>
      </c>
      <c r="H148" s="31">
        <v>120805</v>
      </c>
      <c r="I148" s="31">
        <v>0</v>
      </c>
      <c r="J148" s="31">
        <v>42046</v>
      </c>
      <c r="K148" s="31">
        <v>34.799999999999997</v>
      </c>
      <c r="L148" s="31">
        <v>3</v>
      </c>
      <c r="M148" s="31" t="s">
        <v>3858</v>
      </c>
      <c r="N148" s="31" t="s">
        <v>3859</v>
      </c>
    </row>
    <row r="149" spans="1:14">
      <c r="A149" s="31" t="s">
        <v>678</v>
      </c>
      <c r="B149" s="31" t="s">
        <v>679</v>
      </c>
      <c r="C149" s="31">
        <v>46139</v>
      </c>
      <c r="D149" s="31">
        <v>68910</v>
      </c>
      <c r="E149" s="31">
        <v>0</v>
      </c>
      <c r="F149" s="31">
        <v>0</v>
      </c>
      <c r="G149" s="31">
        <v>68910</v>
      </c>
      <c r="H149" s="31">
        <v>115049</v>
      </c>
      <c r="I149" s="31">
        <v>0</v>
      </c>
      <c r="J149" s="31">
        <v>46139</v>
      </c>
      <c r="K149" s="31">
        <v>40.1</v>
      </c>
      <c r="L149" s="31">
        <v>3</v>
      </c>
      <c r="M149" s="31" t="s">
        <v>3858</v>
      </c>
      <c r="N149" s="31" t="s">
        <v>3859</v>
      </c>
    </row>
    <row r="150" spans="1:14">
      <c r="A150" s="31" t="s">
        <v>197</v>
      </c>
      <c r="B150" s="31" t="s">
        <v>198</v>
      </c>
      <c r="C150" s="31">
        <v>4483</v>
      </c>
      <c r="D150" s="31">
        <v>82576</v>
      </c>
      <c r="E150" s="31">
        <v>0</v>
      </c>
      <c r="F150" s="31">
        <v>0</v>
      </c>
      <c r="G150" s="31">
        <v>82576</v>
      </c>
      <c r="H150" s="31">
        <v>87059</v>
      </c>
      <c r="I150" s="31">
        <v>0</v>
      </c>
      <c r="J150" s="31">
        <v>4483</v>
      </c>
      <c r="K150" s="31">
        <v>5.14</v>
      </c>
      <c r="L150" s="31">
        <v>4</v>
      </c>
      <c r="M150" s="31" t="s">
        <v>3856</v>
      </c>
      <c r="N150" s="31" t="s">
        <v>3857</v>
      </c>
    </row>
    <row r="151" spans="1:14">
      <c r="A151" s="31" t="s">
        <v>233</v>
      </c>
      <c r="B151" s="31" t="s">
        <v>234</v>
      </c>
      <c r="C151" s="31">
        <v>33066</v>
      </c>
      <c r="D151" s="31">
        <v>74089</v>
      </c>
      <c r="E151" s="31">
        <v>0</v>
      </c>
      <c r="F151" s="31">
        <v>0</v>
      </c>
      <c r="G151" s="31">
        <v>74089</v>
      </c>
      <c r="H151" s="31">
        <v>107155</v>
      </c>
      <c r="I151" s="31">
        <v>0</v>
      </c>
      <c r="J151" s="31">
        <v>33066</v>
      </c>
      <c r="K151" s="31">
        <v>30.85</v>
      </c>
      <c r="L151" s="31">
        <v>3</v>
      </c>
      <c r="M151" s="31" t="s">
        <v>3858</v>
      </c>
      <c r="N151" s="31" t="s">
        <v>3859</v>
      </c>
    </row>
    <row r="152" spans="1:14">
      <c r="A152" s="31" t="s">
        <v>324</v>
      </c>
      <c r="B152" s="31" t="s">
        <v>325</v>
      </c>
      <c r="C152" s="31">
        <v>16873</v>
      </c>
      <c r="D152" s="31">
        <v>58884</v>
      </c>
      <c r="E152" s="31">
        <v>0</v>
      </c>
      <c r="F152" s="31">
        <v>0</v>
      </c>
      <c r="G152" s="31">
        <v>58884</v>
      </c>
      <c r="H152" s="31">
        <v>75757</v>
      </c>
      <c r="I152" s="31">
        <v>0</v>
      </c>
      <c r="J152" s="31">
        <v>16873</v>
      </c>
      <c r="K152" s="31">
        <v>22.27</v>
      </c>
      <c r="L152" s="31">
        <v>4</v>
      </c>
      <c r="M152" s="31" t="s">
        <v>3856</v>
      </c>
      <c r="N152" s="31" t="s">
        <v>3857</v>
      </c>
    </row>
    <row r="153" spans="1:14">
      <c r="A153" s="31" t="s">
        <v>386</v>
      </c>
      <c r="B153" s="31" t="s">
        <v>387</v>
      </c>
      <c r="C153" s="31">
        <v>7752</v>
      </c>
      <c r="D153" s="31">
        <v>72982</v>
      </c>
      <c r="E153" s="31">
        <v>0</v>
      </c>
      <c r="F153" s="31">
        <v>0</v>
      </c>
      <c r="G153" s="31">
        <v>72982</v>
      </c>
      <c r="H153" s="31">
        <v>80734</v>
      </c>
      <c r="I153" s="31">
        <v>0</v>
      </c>
      <c r="J153" s="31">
        <v>7752</v>
      </c>
      <c r="K153" s="31">
        <v>9.6</v>
      </c>
      <c r="L153" s="31">
        <v>4</v>
      </c>
      <c r="M153" s="31" t="s">
        <v>3856</v>
      </c>
      <c r="N153" s="31" t="s">
        <v>3857</v>
      </c>
    </row>
    <row r="154" spans="1:14">
      <c r="A154" s="31" t="s">
        <v>412</v>
      </c>
      <c r="B154" s="31" t="s">
        <v>413</v>
      </c>
      <c r="C154" s="31">
        <v>41225</v>
      </c>
      <c r="D154" s="31">
        <v>97150</v>
      </c>
      <c r="E154" s="31">
        <v>0</v>
      </c>
      <c r="F154" s="31">
        <v>0</v>
      </c>
      <c r="G154" s="31">
        <v>97150</v>
      </c>
      <c r="H154" s="31">
        <v>138375</v>
      </c>
      <c r="I154" s="31">
        <v>0</v>
      </c>
      <c r="J154" s="31">
        <v>41225</v>
      </c>
      <c r="K154" s="31">
        <v>29.79</v>
      </c>
      <c r="L154" s="31">
        <v>3</v>
      </c>
      <c r="M154" s="31" t="s">
        <v>3858</v>
      </c>
      <c r="N154" s="31" t="s">
        <v>3859</v>
      </c>
    </row>
    <row r="155" spans="1:14">
      <c r="A155" s="31" t="s">
        <v>508</v>
      </c>
      <c r="B155" s="31" t="s">
        <v>509</v>
      </c>
      <c r="C155" s="31">
        <v>12514</v>
      </c>
      <c r="D155" s="31">
        <v>76938</v>
      </c>
      <c r="E155" s="31">
        <v>0</v>
      </c>
      <c r="F155" s="31">
        <v>0</v>
      </c>
      <c r="G155" s="31">
        <v>76938</v>
      </c>
      <c r="H155" s="31">
        <v>89452</v>
      </c>
      <c r="I155" s="31">
        <v>10435</v>
      </c>
      <c r="J155" s="31">
        <v>22949</v>
      </c>
      <c r="K155" s="31">
        <v>25.65</v>
      </c>
      <c r="L155" s="31">
        <v>4</v>
      </c>
      <c r="M155" s="31" t="s">
        <v>3856</v>
      </c>
      <c r="N155" s="31" t="s">
        <v>3857</v>
      </c>
    </row>
    <row r="156" spans="1:14">
      <c r="A156" s="31" t="s">
        <v>516</v>
      </c>
      <c r="B156" s="31" t="s">
        <v>517</v>
      </c>
      <c r="C156" s="31">
        <v>8125</v>
      </c>
      <c r="D156" s="31">
        <v>132077</v>
      </c>
      <c r="E156" s="31">
        <v>0</v>
      </c>
      <c r="F156" s="31">
        <v>0</v>
      </c>
      <c r="G156" s="31">
        <v>132077</v>
      </c>
      <c r="H156" s="31">
        <v>140202</v>
      </c>
      <c r="I156" s="31">
        <v>0</v>
      </c>
      <c r="J156" s="31">
        <v>8125</v>
      </c>
      <c r="K156" s="31">
        <v>5.79</v>
      </c>
      <c r="L156" s="31">
        <v>4</v>
      </c>
      <c r="M156" s="31" t="s">
        <v>3856</v>
      </c>
      <c r="N156" s="31" t="s">
        <v>3857</v>
      </c>
    </row>
    <row r="157" spans="1:14">
      <c r="A157" s="31" t="s">
        <v>528</v>
      </c>
      <c r="B157" s="31" t="s">
        <v>529</v>
      </c>
      <c r="C157" s="31">
        <v>38343</v>
      </c>
      <c r="D157" s="31">
        <v>18789</v>
      </c>
      <c r="E157" s="31">
        <v>0</v>
      </c>
      <c r="F157" s="31">
        <v>0</v>
      </c>
      <c r="G157" s="31">
        <v>18789</v>
      </c>
      <c r="H157" s="31">
        <v>57132</v>
      </c>
      <c r="I157" s="31">
        <v>14765</v>
      </c>
      <c r="J157" s="31">
        <v>53108</v>
      </c>
      <c r="K157" s="31">
        <v>92.95</v>
      </c>
      <c r="L157" s="31">
        <v>1</v>
      </c>
      <c r="M157" s="31" t="s">
        <v>3862</v>
      </c>
      <c r="N157" s="31" t="s">
        <v>3861</v>
      </c>
    </row>
    <row r="158" spans="1:14">
      <c r="A158" s="31" t="s">
        <v>538</v>
      </c>
      <c r="B158" s="31" t="s">
        <v>539</v>
      </c>
      <c r="C158" s="31">
        <v>3559</v>
      </c>
      <c r="D158" s="31">
        <v>62944</v>
      </c>
      <c r="E158" s="31">
        <v>0</v>
      </c>
      <c r="F158" s="31">
        <v>1479</v>
      </c>
      <c r="G158" s="31">
        <v>64423</v>
      </c>
      <c r="H158" s="31">
        <v>67982</v>
      </c>
      <c r="I158" s="31">
        <v>0</v>
      </c>
      <c r="J158" s="31">
        <v>3559</v>
      </c>
      <c r="K158" s="31">
        <v>5.23</v>
      </c>
      <c r="L158" s="31">
        <v>4</v>
      </c>
      <c r="M158" s="31" t="s">
        <v>3856</v>
      </c>
      <c r="N158" s="31" t="s">
        <v>3857</v>
      </c>
    </row>
    <row r="159" spans="1:14">
      <c r="A159" s="31" t="s">
        <v>600</v>
      </c>
      <c r="B159" s="31" t="s">
        <v>601</v>
      </c>
      <c r="C159" s="31">
        <v>1891</v>
      </c>
      <c r="D159" s="31">
        <v>107166</v>
      </c>
      <c r="E159" s="31">
        <v>0</v>
      </c>
      <c r="F159" s="31">
        <v>0</v>
      </c>
      <c r="G159" s="31">
        <v>107166</v>
      </c>
      <c r="H159" s="31">
        <v>109057</v>
      </c>
      <c r="I159" s="31">
        <v>0</v>
      </c>
      <c r="J159" s="31">
        <v>1891</v>
      </c>
      <c r="K159" s="31">
        <v>1.73</v>
      </c>
      <c r="L159" s="31">
        <v>4</v>
      </c>
      <c r="M159" s="31" t="s">
        <v>3856</v>
      </c>
      <c r="N159" s="31" t="s">
        <v>3857</v>
      </c>
    </row>
    <row r="160" spans="1:14">
      <c r="A160" s="31" t="s">
        <v>710</v>
      </c>
      <c r="B160" s="31" t="s">
        <v>711</v>
      </c>
      <c r="C160" s="31">
        <v>42419</v>
      </c>
      <c r="D160" s="31">
        <v>28098</v>
      </c>
      <c r="E160" s="31">
        <v>0</v>
      </c>
      <c r="F160" s="31">
        <v>40168</v>
      </c>
      <c r="G160" s="31">
        <v>68266</v>
      </c>
      <c r="H160" s="31">
        <v>110685</v>
      </c>
      <c r="I160" s="31">
        <v>0</v>
      </c>
      <c r="J160" s="31">
        <v>42419</v>
      </c>
      <c r="K160" s="31">
        <v>38.32</v>
      </c>
      <c r="L160" s="31">
        <v>3</v>
      </c>
      <c r="M160" s="31" t="s">
        <v>3858</v>
      </c>
      <c r="N160" s="31" t="s">
        <v>3859</v>
      </c>
    </row>
    <row r="161" spans="1:14">
      <c r="A161" s="31" t="s">
        <v>742</v>
      </c>
      <c r="B161" s="31" t="s">
        <v>743</v>
      </c>
      <c r="C161" s="31">
        <v>31460</v>
      </c>
      <c r="D161" s="31">
        <v>76289</v>
      </c>
      <c r="E161" s="31">
        <v>0</v>
      </c>
      <c r="F161" s="31">
        <v>0</v>
      </c>
      <c r="G161" s="31">
        <v>76289</v>
      </c>
      <c r="H161" s="31">
        <v>107749</v>
      </c>
      <c r="I161" s="31">
        <v>25359</v>
      </c>
      <c r="J161" s="31">
        <v>56819</v>
      </c>
      <c r="K161" s="31">
        <v>52.73</v>
      </c>
      <c r="L161" s="31">
        <v>2</v>
      </c>
      <c r="M161" s="31" t="s">
        <v>3860</v>
      </c>
      <c r="N161" s="31" t="s">
        <v>3861</v>
      </c>
    </row>
    <row r="162" spans="1:14">
      <c r="A162" s="31" t="s">
        <v>155</v>
      </c>
      <c r="B162" s="31" t="s">
        <v>156</v>
      </c>
      <c r="C162" s="31">
        <v>18310</v>
      </c>
      <c r="D162" s="31">
        <v>75605</v>
      </c>
      <c r="E162" s="31">
        <v>0</v>
      </c>
      <c r="F162" s="31">
        <v>0</v>
      </c>
      <c r="G162" s="31">
        <v>75605</v>
      </c>
      <c r="H162" s="31">
        <v>93915</v>
      </c>
      <c r="I162" s="31">
        <v>509</v>
      </c>
      <c r="J162" s="31">
        <v>18819</v>
      </c>
      <c r="K162" s="31">
        <v>20.03</v>
      </c>
      <c r="L162" s="31">
        <v>4</v>
      </c>
      <c r="M162" s="31" t="s">
        <v>3856</v>
      </c>
      <c r="N162" s="31" t="s">
        <v>3857</v>
      </c>
    </row>
    <row r="163" spans="1:14">
      <c r="A163" s="31" t="s">
        <v>217</v>
      </c>
      <c r="B163" s="31" t="s">
        <v>218</v>
      </c>
      <c r="C163" s="31">
        <v>23963</v>
      </c>
      <c r="D163" s="31">
        <v>142137</v>
      </c>
      <c r="E163" s="31">
        <v>0</v>
      </c>
      <c r="F163" s="31">
        <v>0</v>
      </c>
      <c r="G163" s="31">
        <v>142137</v>
      </c>
      <c r="H163" s="31">
        <v>166100</v>
      </c>
      <c r="I163" s="31">
        <v>0</v>
      </c>
      <c r="J163" s="31">
        <v>23963</v>
      </c>
      <c r="K163" s="31">
        <v>14.42</v>
      </c>
      <c r="L163" s="31">
        <v>4</v>
      </c>
      <c r="M163" s="31" t="s">
        <v>3856</v>
      </c>
      <c r="N163" s="31" t="s">
        <v>3857</v>
      </c>
    </row>
    <row r="164" spans="1:14">
      <c r="A164" s="31" t="s">
        <v>350</v>
      </c>
      <c r="B164" s="31" t="s">
        <v>351</v>
      </c>
      <c r="C164" s="31">
        <v>57366</v>
      </c>
      <c r="D164" s="31">
        <v>28016</v>
      </c>
      <c r="E164" s="31">
        <v>0</v>
      </c>
      <c r="F164" s="31">
        <v>0</v>
      </c>
      <c r="G164" s="31">
        <v>28016</v>
      </c>
      <c r="H164" s="31">
        <v>85382</v>
      </c>
      <c r="I164" s="31">
        <v>22911</v>
      </c>
      <c r="J164" s="31">
        <v>80277</v>
      </c>
      <c r="K164" s="31">
        <v>94.02</v>
      </c>
      <c r="L164" s="31">
        <v>1</v>
      </c>
      <c r="M164" s="31" t="s">
        <v>3862</v>
      </c>
      <c r="N164" s="31" t="s">
        <v>3861</v>
      </c>
    </row>
    <row r="165" spans="1:14">
      <c r="A165" s="31" t="s">
        <v>378</v>
      </c>
      <c r="B165" s="31" t="s">
        <v>379</v>
      </c>
      <c r="C165" s="31">
        <v>33848</v>
      </c>
      <c r="D165" s="31">
        <v>71230</v>
      </c>
      <c r="E165" s="31">
        <v>0</v>
      </c>
      <c r="F165" s="31">
        <v>0</v>
      </c>
      <c r="G165" s="31">
        <v>71230</v>
      </c>
      <c r="H165" s="31">
        <v>105078</v>
      </c>
      <c r="I165" s="31">
        <v>19733</v>
      </c>
      <c r="J165" s="31">
        <v>53581</v>
      </c>
      <c r="K165" s="31">
        <v>50.99</v>
      </c>
      <c r="L165" s="31">
        <v>2</v>
      </c>
      <c r="M165" s="31" t="s">
        <v>3860</v>
      </c>
      <c r="N165" s="31" t="s">
        <v>3861</v>
      </c>
    </row>
    <row r="166" spans="1:14">
      <c r="A166" s="31" t="s">
        <v>442</v>
      </c>
      <c r="B166" s="31" t="s">
        <v>443</v>
      </c>
      <c r="C166" s="31">
        <v>23218</v>
      </c>
      <c r="D166" s="31">
        <v>27158</v>
      </c>
      <c r="E166" s="31">
        <v>0</v>
      </c>
      <c r="F166" s="31">
        <v>0</v>
      </c>
      <c r="G166" s="31">
        <v>27158</v>
      </c>
      <c r="H166" s="31">
        <v>50376</v>
      </c>
      <c r="I166" s="31">
        <v>27158</v>
      </c>
      <c r="J166" s="31">
        <v>50376</v>
      </c>
      <c r="K166" s="31">
        <v>100</v>
      </c>
      <c r="L166" s="31">
        <v>1</v>
      </c>
      <c r="M166" s="31" t="s">
        <v>3862</v>
      </c>
      <c r="N166" s="31" t="s">
        <v>3861</v>
      </c>
    </row>
    <row r="167" spans="1:14">
      <c r="A167" s="31" t="s">
        <v>490</v>
      </c>
      <c r="B167" s="31" t="s">
        <v>491</v>
      </c>
      <c r="C167" s="31">
        <v>41871</v>
      </c>
      <c r="D167" s="31">
        <v>51597</v>
      </c>
      <c r="E167" s="31">
        <v>0</v>
      </c>
      <c r="F167" s="31">
        <v>0</v>
      </c>
      <c r="G167" s="31">
        <v>51597</v>
      </c>
      <c r="H167" s="31">
        <v>93468</v>
      </c>
      <c r="I167" s="31">
        <v>12370</v>
      </c>
      <c r="J167" s="31">
        <v>54241</v>
      </c>
      <c r="K167" s="31">
        <v>58.03</v>
      </c>
      <c r="L167" s="31">
        <v>2</v>
      </c>
      <c r="M167" s="31" t="s">
        <v>3860</v>
      </c>
      <c r="N167" s="31" t="s">
        <v>3861</v>
      </c>
    </row>
    <row r="168" spans="1:14">
      <c r="A168" s="31" t="s">
        <v>502</v>
      </c>
      <c r="B168" s="31" t="s">
        <v>503</v>
      </c>
      <c r="C168" s="31">
        <v>0</v>
      </c>
      <c r="D168" s="31">
        <v>56170</v>
      </c>
      <c r="E168" s="31">
        <v>0</v>
      </c>
      <c r="F168" s="31">
        <v>0</v>
      </c>
      <c r="G168" s="31">
        <v>56170</v>
      </c>
      <c r="H168" s="31">
        <v>56170</v>
      </c>
      <c r="I168" s="31">
        <v>0</v>
      </c>
      <c r="J168" s="31">
        <v>0</v>
      </c>
      <c r="K168" s="31">
        <v>0</v>
      </c>
      <c r="L168" s="31">
        <v>4</v>
      </c>
      <c r="M168" s="31" t="s">
        <v>3856</v>
      </c>
      <c r="N168" s="31" t="s">
        <v>3857</v>
      </c>
    </row>
    <row r="169" spans="1:14">
      <c r="A169" s="31" t="s">
        <v>165</v>
      </c>
      <c r="B169" s="31" t="s">
        <v>166</v>
      </c>
      <c r="C169" s="31">
        <v>23297</v>
      </c>
      <c r="D169" s="31">
        <v>41340</v>
      </c>
      <c r="E169" s="31">
        <v>0</v>
      </c>
      <c r="F169" s="31">
        <v>0</v>
      </c>
      <c r="G169" s="31">
        <v>41340</v>
      </c>
      <c r="H169" s="31">
        <v>64637</v>
      </c>
      <c r="I169" s="31">
        <v>0</v>
      </c>
      <c r="J169" s="31">
        <v>23297</v>
      </c>
      <c r="K169" s="31">
        <v>36.04</v>
      </c>
      <c r="L169" s="31">
        <v>3</v>
      </c>
      <c r="M169" s="31" t="s">
        <v>3858</v>
      </c>
      <c r="N169" s="31" t="s">
        <v>3859</v>
      </c>
    </row>
    <row r="170" spans="1:14">
      <c r="A170" s="31" t="s">
        <v>288</v>
      </c>
      <c r="B170" s="31" t="s">
        <v>289</v>
      </c>
      <c r="C170" s="31">
        <v>82575</v>
      </c>
      <c r="D170" s="31">
        <v>53826</v>
      </c>
      <c r="E170" s="31">
        <v>0</v>
      </c>
      <c r="F170" s="31">
        <v>0</v>
      </c>
      <c r="G170" s="31">
        <v>53826</v>
      </c>
      <c r="H170" s="31">
        <v>136401</v>
      </c>
      <c r="I170" s="31">
        <v>53826</v>
      </c>
      <c r="J170" s="31">
        <v>136401</v>
      </c>
      <c r="K170" s="31">
        <v>100</v>
      </c>
      <c r="L170" s="31">
        <v>1</v>
      </c>
      <c r="M170" s="31" t="s">
        <v>3862</v>
      </c>
      <c r="N170" s="31" t="s">
        <v>3861</v>
      </c>
    </row>
    <row r="171" spans="1:14">
      <c r="A171" s="31" t="s">
        <v>424</v>
      </c>
      <c r="B171" s="31" t="s">
        <v>425</v>
      </c>
      <c r="C171" s="31">
        <v>0</v>
      </c>
      <c r="D171" s="31">
        <v>93541</v>
      </c>
      <c r="E171" s="31">
        <v>0</v>
      </c>
      <c r="F171" s="31">
        <v>0</v>
      </c>
      <c r="G171" s="31">
        <v>93541</v>
      </c>
      <c r="H171" s="31">
        <v>93541</v>
      </c>
      <c r="I171" s="31">
        <v>0</v>
      </c>
      <c r="J171" s="31">
        <v>0</v>
      </c>
      <c r="K171" s="31">
        <v>0</v>
      </c>
      <c r="L171" s="31">
        <v>4</v>
      </c>
      <c r="M171" s="31" t="s">
        <v>3856</v>
      </c>
      <c r="N171" s="31" t="s">
        <v>3857</v>
      </c>
    </row>
    <row r="172" spans="1:14">
      <c r="A172" s="31" t="s">
        <v>478</v>
      </c>
      <c r="B172" s="31" t="s">
        <v>479</v>
      </c>
      <c r="C172" s="31">
        <v>69566</v>
      </c>
      <c r="D172" s="31">
        <v>38200</v>
      </c>
      <c r="E172" s="31">
        <v>0</v>
      </c>
      <c r="F172" s="31">
        <v>0</v>
      </c>
      <c r="G172" s="31">
        <v>38200</v>
      </c>
      <c r="H172" s="31">
        <v>107766</v>
      </c>
      <c r="I172" s="31">
        <v>17359</v>
      </c>
      <c r="J172" s="31">
        <v>86925</v>
      </c>
      <c r="K172" s="31">
        <v>80.66</v>
      </c>
      <c r="L172" s="31">
        <v>1</v>
      </c>
      <c r="M172" s="31" t="s">
        <v>3862</v>
      </c>
      <c r="N172" s="31" t="s">
        <v>3861</v>
      </c>
    </row>
    <row r="173" spans="1:14">
      <c r="A173" s="31" t="s">
        <v>588</v>
      </c>
      <c r="B173" s="31" t="s">
        <v>589</v>
      </c>
      <c r="C173" s="31">
        <v>56682</v>
      </c>
      <c r="D173" s="31">
        <v>31588</v>
      </c>
      <c r="E173" s="31">
        <v>0</v>
      </c>
      <c r="F173" s="31">
        <v>0</v>
      </c>
      <c r="G173" s="31">
        <v>31588</v>
      </c>
      <c r="H173" s="31">
        <v>88270</v>
      </c>
      <c r="I173" s="31">
        <v>0</v>
      </c>
      <c r="J173" s="31">
        <v>56682</v>
      </c>
      <c r="K173" s="31">
        <v>64.209999999999994</v>
      </c>
      <c r="L173" s="31">
        <v>2</v>
      </c>
      <c r="M173" s="31" t="s">
        <v>3860</v>
      </c>
      <c r="N173" s="31" t="s">
        <v>3861</v>
      </c>
    </row>
    <row r="174" spans="1:14">
      <c r="A174" s="31" t="s">
        <v>590</v>
      </c>
      <c r="B174" s="31" t="s">
        <v>591</v>
      </c>
      <c r="C174" s="31">
        <v>43234</v>
      </c>
      <c r="D174" s="31">
        <v>90554</v>
      </c>
      <c r="E174" s="31">
        <v>0</v>
      </c>
      <c r="F174" s="31">
        <v>0</v>
      </c>
      <c r="G174" s="31">
        <v>90554</v>
      </c>
      <c r="H174" s="31">
        <v>133788</v>
      </c>
      <c r="I174" s="31">
        <v>46721</v>
      </c>
      <c r="J174" s="31">
        <v>89955</v>
      </c>
      <c r="K174" s="31">
        <v>67.23</v>
      </c>
      <c r="L174" s="31">
        <v>2</v>
      </c>
      <c r="M174" s="31" t="s">
        <v>3860</v>
      </c>
      <c r="N174" s="31" t="s">
        <v>3861</v>
      </c>
    </row>
    <row r="175" spans="1:14">
      <c r="A175" s="31" t="s">
        <v>712</v>
      </c>
      <c r="B175" s="31" t="s">
        <v>713</v>
      </c>
      <c r="C175" s="31">
        <v>67911</v>
      </c>
      <c r="D175" s="31">
        <v>21339</v>
      </c>
      <c r="E175" s="31">
        <v>0</v>
      </c>
      <c r="F175" s="31">
        <v>0</v>
      </c>
      <c r="G175" s="31">
        <v>21339</v>
      </c>
      <c r="H175" s="31">
        <v>89250</v>
      </c>
      <c r="I175" s="31">
        <v>20842</v>
      </c>
      <c r="J175" s="31">
        <v>88753</v>
      </c>
      <c r="K175" s="31">
        <v>99.44</v>
      </c>
      <c r="L175" s="31">
        <v>1</v>
      </c>
      <c r="M175" s="31" t="s">
        <v>3862</v>
      </c>
      <c r="N175" s="31" t="s">
        <v>3861</v>
      </c>
    </row>
    <row r="176" spans="1:14">
      <c r="A176" s="31" t="s">
        <v>175</v>
      </c>
      <c r="B176" s="31" t="s">
        <v>176</v>
      </c>
      <c r="C176" s="31">
        <v>74458</v>
      </c>
      <c r="D176" s="31">
        <v>56033</v>
      </c>
      <c r="E176" s="31">
        <v>0</v>
      </c>
      <c r="F176" s="31">
        <v>0</v>
      </c>
      <c r="G176" s="31">
        <v>56033</v>
      </c>
      <c r="H176" s="31">
        <v>130491</v>
      </c>
      <c r="I176" s="31">
        <v>56033</v>
      </c>
      <c r="J176" s="31">
        <v>130491</v>
      </c>
      <c r="K176" s="31">
        <v>100</v>
      </c>
      <c r="L176" s="31">
        <v>1</v>
      </c>
      <c r="M176" s="31" t="s">
        <v>3862</v>
      </c>
      <c r="N176" s="31" t="s">
        <v>3861</v>
      </c>
    </row>
    <row r="177" spans="1:14">
      <c r="A177" s="31" t="s">
        <v>185</v>
      </c>
      <c r="B177" s="31" t="s">
        <v>186</v>
      </c>
      <c r="C177" s="31">
        <v>60433</v>
      </c>
      <c r="D177" s="31">
        <v>64213</v>
      </c>
      <c r="E177" s="31">
        <v>0</v>
      </c>
      <c r="F177" s="31">
        <v>0</v>
      </c>
      <c r="G177" s="31">
        <v>64213</v>
      </c>
      <c r="H177" s="31">
        <v>124646</v>
      </c>
      <c r="I177" s="31">
        <v>0</v>
      </c>
      <c r="J177" s="31">
        <v>60433</v>
      </c>
      <c r="K177" s="31">
        <v>48.48</v>
      </c>
      <c r="L177" s="31">
        <v>3</v>
      </c>
      <c r="M177" s="31" t="s">
        <v>3858</v>
      </c>
      <c r="N177" s="31" t="s">
        <v>3859</v>
      </c>
    </row>
    <row r="178" spans="1:14">
      <c r="A178" s="31" t="s">
        <v>336</v>
      </c>
      <c r="B178" s="31" t="s">
        <v>337</v>
      </c>
      <c r="C178" s="31">
        <v>33843</v>
      </c>
      <c r="D178" s="31">
        <v>63434</v>
      </c>
      <c r="E178" s="31">
        <v>0</v>
      </c>
      <c r="F178" s="31">
        <v>0</v>
      </c>
      <c r="G178" s="31">
        <v>63434</v>
      </c>
      <c r="H178" s="31">
        <v>97277</v>
      </c>
      <c r="I178" s="31">
        <v>0</v>
      </c>
      <c r="J178" s="31">
        <v>33843</v>
      </c>
      <c r="K178" s="31">
        <v>34.79</v>
      </c>
      <c r="L178" s="31">
        <v>3</v>
      </c>
      <c r="M178" s="31" t="s">
        <v>3858</v>
      </c>
      <c r="N178" s="31" t="s">
        <v>3859</v>
      </c>
    </row>
    <row r="179" spans="1:14">
      <c r="A179" s="31" t="s">
        <v>400</v>
      </c>
      <c r="B179" s="31" t="s">
        <v>401</v>
      </c>
      <c r="C179" s="31">
        <v>86788</v>
      </c>
      <c r="D179" s="31">
        <v>60663</v>
      </c>
      <c r="E179" s="31">
        <v>0</v>
      </c>
      <c r="F179" s="31">
        <v>0</v>
      </c>
      <c r="G179" s="31">
        <v>60663</v>
      </c>
      <c r="H179" s="31">
        <v>147451</v>
      </c>
      <c r="I179" s="31">
        <v>10884</v>
      </c>
      <c r="J179" s="31">
        <v>97672</v>
      </c>
      <c r="K179" s="31">
        <v>66.239999999999995</v>
      </c>
      <c r="L179" s="31">
        <v>2</v>
      </c>
      <c r="M179" s="31" t="s">
        <v>3860</v>
      </c>
      <c r="N179" s="31" t="s">
        <v>3861</v>
      </c>
    </row>
    <row r="180" spans="1:14">
      <c r="A180" s="31" t="s">
        <v>482</v>
      </c>
      <c r="B180" s="31" t="s">
        <v>483</v>
      </c>
      <c r="C180" s="31">
        <v>89036</v>
      </c>
      <c r="D180" s="31">
        <v>12463</v>
      </c>
      <c r="E180" s="31">
        <v>0</v>
      </c>
      <c r="F180" s="31">
        <v>0</v>
      </c>
      <c r="G180" s="31">
        <v>12463</v>
      </c>
      <c r="H180" s="31">
        <v>101499</v>
      </c>
      <c r="I180" s="31">
        <v>12463</v>
      </c>
      <c r="J180" s="31">
        <v>101499</v>
      </c>
      <c r="K180" s="31">
        <v>100</v>
      </c>
      <c r="L180" s="31">
        <v>1</v>
      </c>
      <c r="M180" s="31" t="s">
        <v>3862</v>
      </c>
      <c r="N180" s="31" t="s">
        <v>3861</v>
      </c>
    </row>
    <row r="181" spans="1:14">
      <c r="A181" s="31" t="s">
        <v>496</v>
      </c>
      <c r="B181" s="31" t="s">
        <v>497</v>
      </c>
      <c r="C181" s="31">
        <v>0</v>
      </c>
      <c r="D181" s="31">
        <v>132512</v>
      </c>
      <c r="E181" s="31">
        <v>0</v>
      </c>
      <c r="F181" s="31">
        <v>0</v>
      </c>
      <c r="G181" s="31">
        <v>132512</v>
      </c>
      <c r="H181" s="31">
        <v>132512</v>
      </c>
      <c r="I181" s="31">
        <v>0</v>
      </c>
      <c r="J181" s="31">
        <v>0</v>
      </c>
      <c r="K181" s="31">
        <v>0</v>
      </c>
      <c r="L181" s="31">
        <v>4</v>
      </c>
      <c r="M181" s="31" t="s">
        <v>3856</v>
      </c>
      <c r="N181" s="31" t="s">
        <v>3857</v>
      </c>
    </row>
    <row r="182" spans="1:14">
      <c r="A182" s="31" t="s">
        <v>594</v>
      </c>
      <c r="B182" s="31" t="s">
        <v>595</v>
      </c>
      <c r="C182" s="31">
        <v>84155</v>
      </c>
      <c r="D182" s="31">
        <v>39857</v>
      </c>
      <c r="E182" s="31">
        <v>0</v>
      </c>
      <c r="F182" s="31">
        <v>0</v>
      </c>
      <c r="G182" s="31">
        <v>39857</v>
      </c>
      <c r="H182" s="31">
        <v>124012</v>
      </c>
      <c r="I182" s="31">
        <v>23416</v>
      </c>
      <c r="J182" s="31">
        <v>107571</v>
      </c>
      <c r="K182" s="31">
        <v>86.74</v>
      </c>
      <c r="L182" s="31">
        <v>1</v>
      </c>
      <c r="M182" s="31" t="s">
        <v>3862</v>
      </c>
      <c r="N182" s="31" t="s">
        <v>3861</v>
      </c>
    </row>
    <row r="183" spans="1:14">
      <c r="A183" s="31" t="s">
        <v>241</v>
      </c>
      <c r="B183" s="31" t="s">
        <v>242</v>
      </c>
      <c r="C183" s="31">
        <v>4445</v>
      </c>
      <c r="D183" s="31">
        <v>56810</v>
      </c>
      <c r="E183" s="31">
        <v>0</v>
      </c>
      <c r="F183" s="31">
        <v>0</v>
      </c>
      <c r="G183" s="31">
        <v>56810</v>
      </c>
      <c r="H183" s="31">
        <v>61255</v>
      </c>
      <c r="I183" s="31">
        <v>0</v>
      </c>
      <c r="J183" s="31">
        <v>4445</v>
      </c>
      <c r="K183" s="31">
        <v>7.25</v>
      </c>
      <c r="L183" s="31">
        <v>4</v>
      </c>
      <c r="M183" s="31" t="s">
        <v>3856</v>
      </c>
      <c r="N183" s="31" t="s">
        <v>3857</v>
      </c>
    </row>
    <row r="184" spans="1:14">
      <c r="A184" s="31" t="s">
        <v>262</v>
      </c>
      <c r="B184" s="31" t="s">
        <v>263</v>
      </c>
      <c r="C184" s="31">
        <v>49398</v>
      </c>
      <c r="D184" s="31">
        <v>28445</v>
      </c>
      <c r="E184" s="31">
        <v>0</v>
      </c>
      <c r="F184" s="31">
        <v>0</v>
      </c>
      <c r="G184" s="31">
        <v>28445</v>
      </c>
      <c r="H184" s="31">
        <v>77843</v>
      </c>
      <c r="I184" s="31">
        <v>23879</v>
      </c>
      <c r="J184" s="31">
        <v>73277</v>
      </c>
      <c r="K184" s="31">
        <v>94.13</v>
      </c>
      <c r="L184" s="31">
        <v>1</v>
      </c>
      <c r="M184" s="31" t="s">
        <v>3862</v>
      </c>
      <c r="N184" s="31" t="s">
        <v>3861</v>
      </c>
    </row>
    <row r="185" spans="1:14">
      <c r="A185" s="31" t="s">
        <v>290</v>
      </c>
      <c r="B185" s="31" t="s">
        <v>291</v>
      </c>
      <c r="C185" s="31">
        <v>50057</v>
      </c>
      <c r="D185" s="31">
        <v>36708</v>
      </c>
      <c r="E185" s="31">
        <v>0</v>
      </c>
      <c r="F185" s="31">
        <v>0</v>
      </c>
      <c r="G185" s="31">
        <v>36708</v>
      </c>
      <c r="H185" s="31">
        <v>86765</v>
      </c>
      <c r="I185" s="31">
        <v>0</v>
      </c>
      <c r="J185" s="31">
        <v>50057</v>
      </c>
      <c r="K185" s="31">
        <v>57.69</v>
      </c>
      <c r="L185" s="31">
        <v>2</v>
      </c>
      <c r="M185" s="31" t="s">
        <v>3860</v>
      </c>
      <c r="N185" s="31" t="s">
        <v>3861</v>
      </c>
    </row>
    <row r="186" spans="1:14">
      <c r="A186" s="31" t="s">
        <v>398</v>
      </c>
      <c r="B186" s="31" t="s">
        <v>399</v>
      </c>
      <c r="C186" s="31">
        <v>19103</v>
      </c>
      <c r="D186" s="31">
        <v>74372</v>
      </c>
      <c r="E186" s="31">
        <v>0</v>
      </c>
      <c r="F186" s="31">
        <v>0</v>
      </c>
      <c r="G186" s="31">
        <v>74372</v>
      </c>
      <c r="H186" s="31">
        <v>93475</v>
      </c>
      <c r="I186" s="31">
        <v>0</v>
      </c>
      <c r="J186" s="31">
        <v>19103</v>
      </c>
      <c r="K186" s="31">
        <v>20.43</v>
      </c>
      <c r="L186" s="31">
        <v>4</v>
      </c>
      <c r="M186" s="31" t="s">
        <v>3856</v>
      </c>
      <c r="N186" s="31" t="s">
        <v>3857</v>
      </c>
    </row>
    <row r="187" spans="1:14">
      <c r="A187" s="31" t="s">
        <v>492</v>
      </c>
      <c r="B187" s="31" t="s">
        <v>493</v>
      </c>
      <c r="C187" s="31">
        <v>956</v>
      </c>
      <c r="D187" s="31">
        <v>211113</v>
      </c>
      <c r="E187" s="31">
        <v>0</v>
      </c>
      <c r="F187" s="31">
        <v>0</v>
      </c>
      <c r="G187" s="31">
        <v>211113</v>
      </c>
      <c r="H187" s="31">
        <v>212069</v>
      </c>
      <c r="I187" s="31">
        <v>0</v>
      </c>
      <c r="J187" s="31">
        <v>956</v>
      </c>
      <c r="K187" s="31">
        <v>0.45</v>
      </c>
      <c r="L187" s="31">
        <v>4</v>
      </c>
      <c r="M187" s="31" t="s">
        <v>3856</v>
      </c>
      <c r="N187" s="31" t="s">
        <v>3857</v>
      </c>
    </row>
    <row r="188" spans="1:14">
      <c r="A188" s="31" t="s">
        <v>596</v>
      </c>
      <c r="B188" s="31" t="s">
        <v>597</v>
      </c>
      <c r="C188" s="31">
        <v>71887</v>
      </c>
      <c r="D188" s="31">
        <v>13302</v>
      </c>
      <c r="E188" s="31">
        <v>0</v>
      </c>
      <c r="F188" s="31">
        <v>0</v>
      </c>
      <c r="G188" s="31">
        <v>13302</v>
      </c>
      <c r="H188" s="31">
        <v>85189</v>
      </c>
      <c r="I188" s="31">
        <v>13018</v>
      </c>
      <c r="J188" s="31">
        <v>84905</v>
      </c>
      <c r="K188" s="31">
        <v>99.66</v>
      </c>
      <c r="L188" s="31">
        <v>1</v>
      </c>
      <c r="M188" s="31" t="s">
        <v>3862</v>
      </c>
      <c r="N188" s="31" t="s">
        <v>3861</v>
      </c>
    </row>
    <row r="189" spans="1:14">
      <c r="A189" s="31" t="s">
        <v>702</v>
      </c>
      <c r="B189" s="31" t="s">
        <v>703</v>
      </c>
      <c r="C189" s="31">
        <v>24779</v>
      </c>
      <c r="D189" s="31">
        <v>50577</v>
      </c>
      <c r="E189" s="31">
        <v>0</v>
      </c>
      <c r="F189" s="31">
        <v>0</v>
      </c>
      <c r="G189" s="31">
        <v>50577</v>
      </c>
      <c r="H189" s="31">
        <v>75356</v>
      </c>
      <c r="I189" s="31">
        <v>0</v>
      </c>
      <c r="J189" s="31">
        <v>24779</v>
      </c>
      <c r="K189" s="31">
        <v>32.880000000000003</v>
      </c>
      <c r="L189" s="31">
        <v>3</v>
      </c>
      <c r="M189" s="31" t="s">
        <v>3858</v>
      </c>
      <c r="N189" s="31" t="s">
        <v>3859</v>
      </c>
    </row>
    <row r="190" spans="1:14">
      <c r="A190" s="31" t="s">
        <v>249</v>
      </c>
      <c r="B190" s="31" t="s">
        <v>250</v>
      </c>
      <c r="C190" s="31">
        <v>33222</v>
      </c>
      <c r="D190" s="31">
        <v>22187</v>
      </c>
      <c r="E190" s="31">
        <v>0</v>
      </c>
      <c r="F190" s="31">
        <v>0</v>
      </c>
      <c r="G190" s="31">
        <v>22187</v>
      </c>
      <c r="H190" s="31">
        <v>55409</v>
      </c>
      <c r="I190" s="31">
        <v>14623</v>
      </c>
      <c r="J190" s="31">
        <v>47845</v>
      </c>
      <c r="K190" s="31">
        <v>86.34</v>
      </c>
      <c r="L190" s="31">
        <v>1</v>
      </c>
      <c r="M190" s="31" t="s">
        <v>3862</v>
      </c>
      <c r="N190" s="31" t="s">
        <v>3861</v>
      </c>
    </row>
    <row r="191" spans="1:14">
      <c r="A191" s="31" t="s">
        <v>346</v>
      </c>
      <c r="B191" s="31" t="s">
        <v>347</v>
      </c>
      <c r="C191" s="31">
        <v>72308</v>
      </c>
      <c r="D191" s="31">
        <v>16832</v>
      </c>
      <c r="E191" s="31">
        <v>0</v>
      </c>
      <c r="F191" s="31">
        <v>0</v>
      </c>
      <c r="G191" s="31">
        <v>16832</v>
      </c>
      <c r="H191" s="31">
        <v>89140</v>
      </c>
      <c r="I191" s="31">
        <v>16832</v>
      </c>
      <c r="J191" s="31">
        <v>89140</v>
      </c>
      <c r="K191" s="31">
        <v>100</v>
      </c>
      <c r="L191" s="31">
        <v>1</v>
      </c>
      <c r="M191" s="31" t="s">
        <v>3862</v>
      </c>
      <c r="N191" s="31" t="s">
        <v>3861</v>
      </c>
    </row>
    <row r="192" spans="1:14">
      <c r="A192" s="31" t="s">
        <v>356</v>
      </c>
      <c r="B192" s="31" t="s">
        <v>357</v>
      </c>
      <c r="C192" s="31">
        <v>51899</v>
      </c>
      <c r="D192" s="31">
        <v>105632</v>
      </c>
      <c r="E192" s="31">
        <v>0</v>
      </c>
      <c r="F192" s="31">
        <v>338</v>
      </c>
      <c r="G192" s="31">
        <v>105970</v>
      </c>
      <c r="H192" s="31">
        <v>157869</v>
      </c>
      <c r="I192" s="31">
        <v>16363</v>
      </c>
      <c r="J192" s="31">
        <v>68262</v>
      </c>
      <c r="K192" s="31">
        <v>43.23</v>
      </c>
      <c r="L192" s="31">
        <v>3</v>
      </c>
      <c r="M192" s="31" t="s">
        <v>3858</v>
      </c>
      <c r="N192" s="31" t="s">
        <v>3859</v>
      </c>
    </row>
    <row r="193" spans="1:14">
      <c r="A193" s="31" t="s">
        <v>532</v>
      </c>
      <c r="B193" s="31" t="s">
        <v>533</v>
      </c>
      <c r="C193" s="31">
        <v>40161</v>
      </c>
      <c r="D193" s="31">
        <v>11804</v>
      </c>
      <c r="E193" s="31">
        <v>0</v>
      </c>
      <c r="F193" s="31">
        <v>0</v>
      </c>
      <c r="G193" s="31">
        <v>11804</v>
      </c>
      <c r="H193" s="31">
        <v>51965</v>
      </c>
      <c r="I193" s="31">
        <v>11804</v>
      </c>
      <c r="J193" s="31">
        <v>51965</v>
      </c>
      <c r="K193" s="31">
        <v>100</v>
      </c>
      <c r="L193" s="31">
        <v>1</v>
      </c>
      <c r="M193" s="31" t="s">
        <v>3862</v>
      </c>
      <c r="N193" s="31" t="s">
        <v>3861</v>
      </c>
    </row>
    <row r="194" spans="1:14">
      <c r="A194" s="31" t="s">
        <v>554</v>
      </c>
      <c r="B194" s="31" t="s">
        <v>555</v>
      </c>
      <c r="C194" s="31">
        <v>39814</v>
      </c>
      <c r="D194" s="31">
        <v>11937</v>
      </c>
      <c r="E194" s="31">
        <v>0</v>
      </c>
      <c r="F194" s="31">
        <v>0</v>
      </c>
      <c r="G194" s="31">
        <v>11937</v>
      </c>
      <c r="H194" s="31">
        <v>51751</v>
      </c>
      <c r="I194" s="31">
        <v>11937</v>
      </c>
      <c r="J194" s="31">
        <v>51751</v>
      </c>
      <c r="K194" s="31">
        <v>100</v>
      </c>
      <c r="L194" s="31">
        <v>1</v>
      </c>
      <c r="M194" s="31" t="s">
        <v>3862</v>
      </c>
      <c r="N194" s="31" t="s">
        <v>3861</v>
      </c>
    </row>
    <row r="195" spans="1:14">
      <c r="A195" s="31" t="s">
        <v>560</v>
      </c>
      <c r="B195" s="31" t="s">
        <v>561</v>
      </c>
      <c r="C195" s="31">
        <v>33831</v>
      </c>
      <c r="D195" s="31">
        <v>74962</v>
      </c>
      <c r="E195" s="31">
        <v>0</v>
      </c>
      <c r="F195" s="31">
        <v>0</v>
      </c>
      <c r="G195" s="31">
        <v>74962</v>
      </c>
      <c r="H195" s="31">
        <v>108793</v>
      </c>
      <c r="I195" s="31">
        <v>13213</v>
      </c>
      <c r="J195" s="31">
        <v>47044</v>
      </c>
      <c r="K195" s="31">
        <v>43.24</v>
      </c>
      <c r="L195" s="31">
        <v>3</v>
      </c>
      <c r="M195" s="31" t="s">
        <v>3858</v>
      </c>
      <c r="N195" s="31" t="s">
        <v>3859</v>
      </c>
    </row>
    <row r="196" spans="1:14">
      <c r="A196" s="31" t="s">
        <v>566</v>
      </c>
      <c r="B196" s="31" t="s">
        <v>567</v>
      </c>
      <c r="C196" s="31">
        <v>56582</v>
      </c>
      <c r="D196" s="31">
        <v>26867</v>
      </c>
      <c r="E196" s="31">
        <v>0</v>
      </c>
      <c r="F196" s="31">
        <v>0</v>
      </c>
      <c r="G196" s="31">
        <v>26867</v>
      </c>
      <c r="H196" s="31">
        <v>83449</v>
      </c>
      <c r="I196" s="31">
        <v>24859</v>
      </c>
      <c r="J196" s="31">
        <v>81441</v>
      </c>
      <c r="K196" s="31">
        <v>97.59</v>
      </c>
      <c r="L196" s="31">
        <v>1</v>
      </c>
      <c r="M196" s="31" t="s">
        <v>3862</v>
      </c>
      <c r="N196" s="31" t="s">
        <v>3861</v>
      </c>
    </row>
    <row r="197" spans="1:14">
      <c r="A197" s="31" t="s">
        <v>122</v>
      </c>
      <c r="B197" s="31" t="s">
        <v>123</v>
      </c>
      <c r="C197" s="31">
        <v>905</v>
      </c>
      <c r="D197" s="31">
        <v>83099</v>
      </c>
      <c r="E197" s="31">
        <v>35493</v>
      </c>
      <c r="F197" s="31">
        <v>0</v>
      </c>
      <c r="G197" s="31">
        <v>118592</v>
      </c>
      <c r="H197" s="31">
        <v>119497</v>
      </c>
      <c r="I197" s="31">
        <v>0</v>
      </c>
      <c r="J197" s="31">
        <v>905</v>
      </c>
      <c r="K197" s="31">
        <v>0.75</v>
      </c>
      <c r="L197" s="31">
        <v>4</v>
      </c>
      <c r="M197" s="31" t="s">
        <v>3856</v>
      </c>
      <c r="N197" s="31" t="s">
        <v>3857</v>
      </c>
    </row>
    <row r="198" spans="1:14">
      <c r="A198" s="31" t="s">
        <v>143</v>
      </c>
      <c r="B198" s="31" t="s">
        <v>144</v>
      </c>
      <c r="C198" s="31">
        <v>47588</v>
      </c>
      <c r="D198" s="31">
        <v>65275</v>
      </c>
      <c r="E198" s="31">
        <v>0</v>
      </c>
      <c r="F198" s="31">
        <v>0</v>
      </c>
      <c r="G198" s="31">
        <v>65275</v>
      </c>
      <c r="H198" s="31">
        <v>112863</v>
      </c>
      <c r="I198" s="31">
        <v>22023</v>
      </c>
      <c r="J198" s="31">
        <v>69611</v>
      </c>
      <c r="K198" s="31">
        <v>61.67</v>
      </c>
      <c r="L198" s="31">
        <v>2</v>
      </c>
      <c r="M198" s="31" t="s">
        <v>3860</v>
      </c>
      <c r="N198" s="31" t="s">
        <v>3861</v>
      </c>
    </row>
    <row r="199" spans="1:14">
      <c r="A199" s="31" t="s">
        <v>193</v>
      </c>
      <c r="B199" s="31" t="s">
        <v>194</v>
      </c>
      <c r="C199" s="31">
        <v>423</v>
      </c>
      <c r="D199" s="31">
        <v>2616</v>
      </c>
      <c r="E199" s="31">
        <v>106448</v>
      </c>
      <c r="F199" s="31">
        <v>0</v>
      </c>
      <c r="G199" s="31">
        <v>109064</v>
      </c>
      <c r="H199" s="31">
        <v>109487</v>
      </c>
      <c r="I199" s="31">
        <v>0</v>
      </c>
      <c r="J199" s="31">
        <v>423</v>
      </c>
      <c r="K199" s="31">
        <v>0.38</v>
      </c>
      <c r="L199" s="31">
        <v>5</v>
      </c>
      <c r="M199" s="31" t="s">
        <v>3863</v>
      </c>
      <c r="N199" s="31" t="s">
        <v>3857</v>
      </c>
    </row>
    <row r="200" spans="1:14">
      <c r="A200" s="31" t="s">
        <v>328</v>
      </c>
      <c r="B200" s="31" t="s">
        <v>329</v>
      </c>
      <c r="C200" s="31">
        <v>20717</v>
      </c>
      <c r="D200" s="31">
        <v>1457</v>
      </c>
      <c r="E200" s="31">
        <v>91369</v>
      </c>
      <c r="F200" s="31">
        <v>0</v>
      </c>
      <c r="G200" s="31">
        <v>92826</v>
      </c>
      <c r="H200" s="31">
        <v>113543</v>
      </c>
      <c r="I200" s="31">
        <v>0</v>
      </c>
      <c r="J200" s="31">
        <v>20717</v>
      </c>
      <c r="K200" s="31">
        <v>18.239999999999998</v>
      </c>
      <c r="L200" s="31">
        <v>5</v>
      </c>
      <c r="M200" s="31" t="s">
        <v>3863</v>
      </c>
      <c r="N200" s="31" t="s">
        <v>3857</v>
      </c>
    </row>
    <row r="201" spans="1:14">
      <c r="A201" s="31" t="s">
        <v>438</v>
      </c>
      <c r="B201" s="31" t="s">
        <v>439</v>
      </c>
      <c r="C201" s="31">
        <v>13703</v>
      </c>
      <c r="D201" s="31">
        <v>90763</v>
      </c>
      <c r="E201" s="31">
        <v>0</v>
      </c>
      <c r="F201" s="31">
        <v>0</v>
      </c>
      <c r="G201" s="31">
        <v>90763</v>
      </c>
      <c r="H201" s="31">
        <v>104466</v>
      </c>
      <c r="I201" s="31">
        <v>0</v>
      </c>
      <c r="J201" s="31">
        <v>13703</v>
      </c>
      <c r="K201" s="31">
        <v>13.11</v>
      </c>
      <c r="L201" s="31">
        <v>4</v>
      </c>
      <c r="M201" s="31" t="s">
        <v>3856</v>
      </c>
      <c r="N201" s="31" t="s">
        <v>3857</v>
      </c>
    </row>
    <row r="202" spans="1:14">
      <c r="A202" s="31" t="s">
        <v>462</v>
      </c>
      <c r="B202" s="31" t="s">
        <v>463</v>
      </c>
      <c r="C202" s="31">
        <v>67107</v>
      </c>
      <c r="D202" s="31">
        <v>47710</v>
      </c>
      <c r="E202" s="31">
        <v>0</v>
      </c>
      <c r="F202" s="31">
        <v>0</v>
      </c>
      <c r="G202" s="31">
        <v>47710</v>
      </c>
      <c r="H202" s="31">
        <v>114817</v>
      </c>
      <c r="I202" s="31">
        <v>0</v>
      </c>
      <c r="J202" s="31">
        <v>67107</v>
      </c>
      <c r="K202" s="31">
        <v>58.44</v>
      </c>
      <c r="L202" s="31">
        <v>2</v>
      </c>
      <c r="M202" s="31" t="s">
        <v>3860</v>
      </c>
      <c r="N202" s="31" t="s">
        <v>3861</v>
      </c>
    </row>
    <row r="203" spans="1:14">
      <c r="A203" s="31" t="s">
        <v>548</v>
      </c>
      <c r="B203" s="31" t="s">
        <v>549</v>
      </c>
      <c r="C203" s="31">
        <v>62832</v>
      </c>
      <c r="D203" s="31">
        <v>232</v>
      </c>
      <c r="E203" s="31">
        <v>48065</v>
      </c>
      <c r="F203" s="31">
        <v>0</v>
      </c>
      <c r="G203" s="31">
        <v>48297</v>
      </c>
      <c r="H203" s="31">
        <v>111129</v>
      </c>
      <c r="I203" s="31">
        <v>0</v>
      </c>
      <c r="J203" s="31">
        <v>62832</v>
      </c>
      <c r="K203" s="31">
        <v>56.53</v>
      </c>
      <c r="L203" s="31">
        <v>2</v>
      </c>
      <c r="M203" s="31" t="s">
        <v>3860</v>
      </c>
      <c r="N203" s="31" t="s">
        <v>3861</v>
      </c>
    </row>
    <row r="204" spans="1:14">
      <c r="A204" s="31" t="s">
        <v>223</v>
      </c>
      <c r="B204" s="31" t="s">
        <v>224</v>
      </c>
      <c r="C204" s="31">
        <v>43542</v>
      </c>
      <c r="D204" s="31">
        <v>98326</v>
      </c>
      <c r="E204" s="31">
        <v>0</v>
      </c>
      <c r="F204" s="31">
        <v>0</v>
      </c>
      <c r="G204" s="31">
        <v>98326</v>
      </c>
      <c r="H204" s="31">
        <v>141868</v>
      </c>
      <c r="I204" s="31">
        <v>15829</v>
      </c>
      <c r="J204" s="31">
        <v>59371</v>
      </c>
      <c r="K204" s="31">
        <v>41.84</v>
      </c>
      <c r="L204" s="31">
        <v>3</v>
      </c>
      <c r="M204" s="31" t="s">
        <v>3858</v>
      </c>
      <c r="N204" s="31" t="s">
        <v>3859</v>
      </c>
    </row>
    <row r="205" spans="1:14">
      <c r="A205" s="31" t="s">
        <v>506</v>
      </c>
      <c r="B205" s="31" t="s">
        <v>507</v>
      </c>
      <c r="C205" s="31">
        <v>1872</v>
      </c>
      <c r="D205" s="31">
        <v>150034</v>
      </c>
      <c r="E205" s="31">
        <v>0</v>
      </c>
      <c r="F205" s="31">
        <v>0</v>
      </c>
      <c r="G205" s="31">
        <v>150034</v>
      </c>
      <c r="H205" s="31">
        <v>151906</v>
      </c>
      <c r="I205" s="31">
        <v>0</v>
      </c>
      <c r="J205" s="31">
        <v>1872</v>
      </c>
      <c r="K205" s="31">
        <v>1.23</v>
      </c>
      <c r="L205" s="31">
        <v>4</v>
      </c>
      <c r="M205" s="31" t="s">
        <v>3856</v>
      </c>
      <c r="N205" s="31" t="s">
        <v>3857</v>
      </c>
    </row>
    <row r="206" spans="1:14">
      <c r="A206" s="31" t="s">
        <v>598</v>
      </c>
      <c r="B206" s="31" t="s">
        <v>599</v>
      </c>
      <c r="C206" s="31">
        <v>67005</v>
      </c>
      <c r="D206" s="31">
        <v>67252</v>
      </c>
      <c r="E206" s="31">
        <v>0</v>
      </c>
      <c r="F206" s="31">
        <v>0</v>
      </c>
      <c r="G206" s="31">
        <v>67252</v>
      </c>
      <c r="H206" s="31">
        <v>134257</v>
      </c>
      <c r="I206" s="31">
        <v>59469</v>
      </c>
      <c r="J206" s="31">
        <v>126474</v>
      </c>
      <c r="K206" s="31">
        <v>94.2</v>
      </c>
      <c r="L206" s="31">
        <v>1</v>
      </c>
      <c r="M206" s="31" t="s">
        <v>3862</v>
      </c>
      <c r="N206" s="31" t="s">
        <v>3861</v>
      </c>
    </row>
    <row r="207" spans="1:14">
      <c r="A207" s="31" t="s">
        <v>682</v>
      </c>
      <c r="B207" s="31" t="s">
        <v>683</v>
      </c>
      <c r="C207" s="31">
        <v>46866</v>
      </c>
      <c r="D207" s="31">
        <v>74122</v>
      </c>
      <c r="E207" s="31">
        <v>0</v>
      </c>
      <c r="F207" s="31">
        <v>0</v>
      </c>
      <c r="G207" s="31">
        <v>74122</v>
      </c>
      <c r="H207" s="31">
        <v>120988</v>
      </c>
      <c r="I207" s="31">
        <v>21548</v>
      </c>
      <c r="J207" s="31">
        <v>68414</v>
      </c>
      <c r="K207" s="31">
        <v>56.54</v>
      </c>
      <c r="L207" s="31">
        <v>2</v>
      </c>
      <c r="M207" s="31" t="s">
        <v>3860</v>
      </c>
      <c r="N207" s="31" t="s">
        <v>3861</v>
      </c>
    </row>
    <row r="208" spans="1:14">
      <c r="A208" s="31" t="s">
        <v>714</v>
      </c>
      <c r="B208" s="31" t="s">
        <v>715</v>
      </c>
      <c r="C208" s="31">
        <v>59312</v>
      </c>
      <c r="D208" s="31">
        <v>45467</v>
      </c>
      <c r="E208" s="31">
        <v>0</v>
      </c>
      <c r="F208" s="31">
        <v>0</v>
      </c>
      <c r="G208" s="31">
        <v>45467</v>
      </c>
      <c r="H208" s="31">
        <v>104779</v>
      </c>
      <c r="I208" s="31">
        <v>45467</v>
      </c>
      <c r="J208" s="31">
        <v>104779</v>
      </c>
      <c r="K208" s="31">
        <v>100</v>
      </c>
      <c r="L208" s="31">
        <v>1</v>
      </c>
      <c r="M208" s="31" t="s">
        <v>3862</v>
      </c>
      <c r="N208" s="31" t="s">
        <v>3861</v>
      </c>
    </row>
    <row r="209" spans="1:14">
      <c r="A209" s="31" t="s">
        <v>444</v>
      </c>
      <c r="B209" s="31" t="s">
        <v>445</v>
      </c>
      <c r="C209" s="31">
        <v>48453</v>
      </c>
      <c r="D209" s="31">
        <v>60826</v>
      </c>
      <c r="E209" s="31">
        <v>0</v>
      </c>
      <c r="F209" s="31">
        <v>0</v>
      </c>
      <c r="G209" s="31">
        <v>60826</v>
      </c>
      <c r="H209" s="31">
        <v>109279</v>
      </c>
      <c r="I209" s="31">
        <v>60826</v>
      </c>
      <c r="J209" s="31">
        <v>109279</v>
      </c>
      <c r="K209" s="31">
        <v>100</v>
      </c>
      <c r="L209" s="31">
        <v>1</v>
      </c>
      <c r="M209" s="31" t="s">
        <v>3862</v>
      </c>
      <c r="N209" s="31" t="s">
        <v>3861</v>
      </c>
    </row>
    <row r="210" spans="1:14">
      <c r="A210" s="31" t="s">
        <v>562</v>
      </c>
      <c r="B210" s="31" t="s">
        <v>563</v>
      </c>
      <c r="C210" s="31">
        <v>49987</v>
      </c>
      <c r="D210" s="31">
        <v>64601</v>
      </c>
      <c r="E210" s="31">
        <v>0</v>
      </c>
      <c r="F210" s="31">
        <v>0</v>
      </c>
      <c r="G210" s="31">
        <v>64601</v>
      </c>
      <c r="H210" s="31">
        <v>114588</v>
      </c>
      <c r="I210" s="31">
        <v>23325</v>
      </c>
      <c r="J210" s="31">
        <v>73312</v>
      </c>
      <c r="K210" s="31">
        <v>63.97</v>
      </c>
      <c r="L210" s="31">
        <v>2</v>
      </c>
      <c r="M210" s="31" t="s">
        <v>3860</v>
      </c>
      <c r="N210" s="31" t="s">
        <v>3861</v>
      </c>
    </row>
    <row r="211" spans="1:14">
      <c r="A211" s="31" t="s">
        <v>602</v>
      </c>
      <c r="B211" s="31" t="s">
        <v>603</v>
      </c>
      <c r="C211" s="31">
        <v>102385</v>
      </c>
      <c r="D211" s="31">
        <v>58858</v>
      </c>
      <c r="E211" s="31">
        <v>0</v>
      </c>
      <c r="F211" s="31">
        <v>0</v>
      </c>
      <c r="G211" s="31">
        <v>58858</v>
      </c>
      <c r="H211" s="31">
        <v>161243</v>
      </c>
      <c r="I211" s="31">
        <v>13074</v>
      </c>
      <c r="J211" s="31">
        <v>115459</v>
      </c>
      <c r="K211" s="31">
        <v>71.599999999999994</v>
      </c>
      <c r="L211" s="31">
        <v>2</v>
      </c>
      <c r="M211" s="31" t="s">
        <v>3860</v>
      </c>
      <c r="N211" s="31" t="s">
        <v>3861</v>
      </c>
    </row>
    <row r="212" spans="1:14">
      <c r="A212" s="31" t="s">
        <v>2510</v>
      </c>
      <c r="B212" s="32" t="s">
        <v>3879</v>
      </c>
      <c r="C212" s="31">
        <v>31744</v>
      </c>
      <c r="D212" s="31">
        <v>78443</v>
      </c>
      <c r="E212" s="31">
        <v>0</v>
      </c>
      <c r="F212" s="31">
        <v>0</v>
      </c>
      <c r="G212" s="31">
        <v>78443</v>
      </c>
      <c r="H212" s="31">
        <v>110187</v>
      </c>
      <c r="I212" s="31">
        <v>13822</v>
      </c>
      <c r="J212" s="31">
        <v>45566</v>
      </c>
      <c r="K212" s="31">
        <v>41.35</v>
      </c>
      <c r="L212" s="31">
        <v>3</v>
      </c>
      <c r="M212" s="31" t="s">
        <v>3858</v>
      </c>
      <c r="N212" s="31" t="s">
        <v>3859</v>
      </c>
    </row>
    <row r="213" spans="1:14">
      <c r="A213" s="31" t="s">
        <v>2519</v>
      </c>
      <c r="B213" s="32" t="s">
        <v>3880</v>
      </c>
      <c r="C213" s="31">
        <v>22694</v>
      </c>
      <c r="D213" s="31">
        <v>11981</v>
      </c>
      <c r="E213" s="31">
        <v>0</v>
      </c>
      <c r="F213" s="31">
        <v>0</v>
      </c>
      <c r="G213" s="31">
        <v>11981</v>
      </c>
      <c r="H213" s="31">
        <v>34675</v>
      </c>
      <c r="I213" s="31">
        <v>11981</v>
      </c>
      <c r="J213" s="31">
        <v>34675</v>
      </c>
      <c r="K213" s="31">
        <v>100</v>
      </c>
      <c r="L213" s="31">
        <v>1</v>
      </c>
      <c r="M213" s="31" t="s">
        <v>3862</v>
      </c>
      <c r="N213" s="31" t="s">
        <v>3861</v>
      </c>
    </row>
    <row r="214" spans="1:14">
      <c r="A214" s="31" t="s">
        <v>207</v>
      </c>
      <c r="B214" s="31" t="s">
        <v>208</v>
      </c>
      <c r="C214" s="31">
        <v>10767</v>
      </c>
      <c r="D214" s="31">
        <v>25355</v>
      </c>
      <c r="E214" s="31">
        <v>0</v>
      </c>
      <c r="F214" s="31">
        <v>61340</v>
      </c>
      <c r="G214" s="31">
        <v>86695</v>
      </c>
      <c r="H214" s="31">
        <v>97462</v>
      </c>
      <c r="I214" s="31">
        <v>24033</v>
      </c>
      <c r="J214" s="31">
        <v>34800</v>
      </c>
      <c r="K214" s="31">
        <v>35.700000000000003</v>
      </c>
      <c r="L214" s="31">
        <v>3</v>
      </c>
      <c r="M214" s="31" t="s">
        <v>3858</v>
      </c>
      <c r="N214" s="31" t="s">
        <v>3859</v>
      </c>
    </row>
    <row r="215" spans="1:14">
      <c r="A215" s="31" t="s">
        <v>294</v>
      </c>
      <c r="B215" s="31" t="s">
        <v>295</v>
      </c>
      <c r="C215" s="31">
        <v>26174</v>
      </c>
      <c r="D215" s="31">
        <v>87409</v>
      </c>
      <c r="E215" s="31">
        <v>0</v>
      </c>
      <c r="F215" s="31">
        <v>0</v>
      </c>
      <c r="G215" s="31">
        <v>87409</v>
      </c>
      <c r="H215" s="31">
        <v>113583</v>
      </c>
      <c r="I215" s="31">
        <v>13089</v>
      </c>
      <c r="J215" s="31">
        <v>39263</v>
      </c>
      <c r="K215" s="31">
        <v>34.56</v>
      </c>
      <c r="L215" s="31">
        <v>3</v>
      </c>
      <c r="M215" s="31" t="s">
        <v>3858</v>
      </c>
      <c r="N215" s="31" t="s">
        <v>3859</v>
      </c>
    </row>
    <row r="216" spans="1:14">
      <c r="A216" s="31" t="s">
        <v>422</v>
      </c>
      <c r="B216" s="31" t="s">
        <v>423</v>
      </c>
      <c r="C216" s="31">
        <v>29714</v>
      </c>
      <c r="D216" s="31">
        <v>40852</v>
      </c>
      <c r="E216" s="31">
        <v>0</v>
      </c>
      <c r="F216" s="31">
        <v>30088</v>
      </c>
      <c r="G216" s="31">
        <v>70940</v>
      </c>
      <c r="H216" s="31">
        <v>100654</v>
      </c>
      <c r="I216" s="31">
        <v>0</v>
      </c>
      <c r="J216" s="31">
        <v>29714</v>
      </c>
      <c r="K216" s="31">
        <v>29.52</v>
      </c>
      <c r="L216" s="31">
        <v>3</v>
      </c>
      <c r="M216" s="31" t="s">
        <v>3858</v>
      </c>
      <c r="N216" s="31" t="s">
        <v>3859</v>
      </c>
    </row>
    <row r="217" spans="1:14">
      <c r="A217" s="31" t="s">
        <v>466</v>
      </c>
      <c r="B217" s="31" t="s">
        <v>467</v>
      </c>
      <c r="C217" s="31">
        <v>25471</v>
      </c>
      <c r="D217" s="31">
        <v>98400</v>
      </c>
      <c r="E217" s="31">
        <v>0</v>
      </c>
      <c r="F217" s="31">
        <v>0</v>
      </c>
      <c r="G217" s="31">
        <v>98400</v>
      </c>
      <c r="H217" s="31">
        <v>123871</v>
      </c>
      <c r="I217" s="31">
        <v>0</v>
      </c>
      <c r="J217" s="31">
        <v>25471</v>
      </c>
      <c r="K217" s="31">
        <v>20.56</v>
      </c>
      <c r="L217" s="31">
        <v>4</v>
      </c>
      <c r="M217" s="31" t="s">
        <v>3856</v>
      </c>
      <c r="N217" s="31" t="s">
        <v>3857</v>
      </c>
    </row>
    <row r="218" spans="1:14">
      <c r="A218" s="31" t="s">
        <v>604</v>
      </c>
      <c r="B218" s="31" t="s">
        <v>605</v>
      </c>
      <c r="C218" s="31">
        <v>42385</v>
      </c>
      <c r="D218" s="31">
        <v>2213</v>
      </c>
      <c r="E218" s="31">
        <v>0</v>
      </c>
      <c r="F218" s="31">
        <v>63533</v>
      </c>
      <c r="G218" s="31">
        <v>65746</v>
      </c>
      <c r="H218" s="31">
        <v>108131</v>
      </c>
      <c r="I218" s="31">
        <v>0</v>
      </c>
      <c r="J218" s="31">
        <v>42385</v>
      </c>
      <c r="K218" s="31">
        <v>39.19</v>
      </c>
      <c r="L218" s="31">
        <v>3</v>
      </c>
      <c r="M218" s="31" t="s">
        <v>3858</v>
      </c>
      <c r="N218" s="31" t="s">
        <v>3859</v>
      </c>
    </row>
    <row r="219" spans="1:14">
      <c r="A219" s="31" t="s">
        <v>620</v>
      </c>
      <c r="B219" s="31" t="s">
        <v>621</v>
      </c>
      <c r="C219" s="31">
        <v>40119</v>
      </c>
      <c r="D219" s="31">
        <v>90750</v>
      </c>
      <c r="E219" s="31">
        <v>0</v>
      </c>
      <c r="F219" s="31">
        <v>0</v>
      </c>
      <c r="G219" s="31">
        <v>90750</v>
      </c>
      <c r="H219" s="31">
        <v>130869</v>
      </c>
      <c r="I219" s="31">
        <v>16385</v>
      </c>
      <c r="J219" s="31">
        <v>56504</v>
      </c>
      <c r="K219" s="31">
        <v>43.17</v>
      </c>
      <c r="L219" s="31">
        <v>3</v>
      </c>
      <c r="M219" s="31" t="s">
        <v>3858</v>
      </c>
      <c r="N219" s="31" t="s">
        <v>3859</v>
      </c>
    </row>
    <row r="220" spans="1:14">
      <c r="A220" s="31" t="s">
        <v>622</v>
      </c>
      <c r="B220" s="31" t="s">
        <v>623</v>
      </c>
      <c r="C220" s="31">
        <v>31226</v>
      </c>
      <c r="D220" s="31">
        <v>65880</v>
      </c>
      <c r="E220" s="31">
        <v>0</v>
      </c>
      <c r="F220" s="31">
        <v>0</v>
      </c>
      <c r="G220" s="31">
        <v>65880</v>
      </c>
      <c r="H220" s="31">
        <v>97106</v>
      </c>
      <c r="I220" s="31">
        <v>31307</v>
      </c>
      <c r="J220" s="31">
        <v>62533</v>
      </c>
      <c r="K220" s="31">
        <v>64.39</v>
      </c>
      <c r="L220" s="31">
        <v>2</v>
      </c>
      <c r="M220" s="31" t="s">
        <v>3860</v>
      </c>
      <c r="N220" s="31" t="s">
        <v>3861</v>
      </c>
    </row>
    <row r="221" spans="1:14">
      <c r="A221" s="31" t="s">
        <v>648</v>
      </c>
      <c r="B221" s="31" t="s">
        <v>649</v>
      </c>
      <c r="C221" s="31">
        <v>0</v>
      </c>
      <c r="D221" s="31">
        <v>76813</v>
      </c>
      <c r="E221" s="31">
        <v>0</v>
      </c>
      <c r="F221" s="31">
        <v>0</v>
      </c>
      <c r="G221" s="31">
        <v>76813</v>
      </c>
      <c r="H221" s="31">
        <v>76813</v>
      </c>
      <c r="I221" s="31">
        <v>0</v>
      </c>
      <c r="J221" s="31">
        <v>0</v>
      </c>
      <c r="K221" s="31">
        <v>0</v>
      </c>
      <c r="L221" s="31">
        <v>4</v>
      </c>
      <c r="M221" s="31" t="s">
        <v>3856</v>
      </c>
      <c r="N221" s="31" t="s">
        <v>3857</v>
      </c>
    </row>
    <row r="222" spans="1:14">
      <c r="A222" s="31" t="s">
        <v>126</v>
      </c>
      <c r="B222" s="31" t="s">
        <v>127</v>
      </c>
      <c r="C222" s="31">
        <v>60759</v>
      </c>
      <c r="D222" s="31">
        <v>26981</v>
      </c>
      <c r="E222" s="31">
        <v>0</v>
      </c>
      <c r="F222" s="31">
        <v>0</v>
      </c>
      <c r="G222" s="31">
        <v>26981</v>
      </c>
      <c r="H222" s="31">
        <v>87740</v>
      </c>
      <c r="I222" s="31">
        <v>22213</v>
      </c>
      <c r="J222" s="31">
        <v>82972</v>
      </c>
      <c r="K222" s="31">
        <v>94.56</v>
      </c>
      <c r="L222" s="31">
        <v>1</v>
      </c>
      <c r="M222" s="31" t="s">
        <v>3862</v>
      </c>
      <c r="N222" s="31" t="s">
        <v>3861</v>
      </c>
    </row>
    <row r="223" spans="1:14">
      <c r="A223" s="31" t="s">
        <v>2604</v>
      </c>
      <c r="B223" s="32" t="s">
        <v>3881</v>
      </c>
      <c r="C223" s="31">
        <v>27124</v>
      </c>
      <c r="D223" s="31">
        <v>32624</v>
      </c>
      <c r="E223" s="31">
        <v>0</v>
      </c>
      <c r="F223" s="31">
        <v>0</v>
      </c>
      <c r="G223" s="31">
        <v>32624</v>
      </c>
      <c r="H223" s="31">
        <v>59748</v>
      </c>
      <c r="I223" s="31">
        <v>32624</v>
      </c>
      <c r="J223" s="31">
        <v>59748</v>
      </c>
      <c r="K223" s="31">
        <v>100</v>
      </c>
      <c r="L223" s="31">
        <v>1</v>
      </c>
      <c r="M223" s="31" t="s">
        <v>3862</v>
      </c>
      <c r="N223" s="31" t="s">
        <v>3861</v>
      </c>
    </row>
    <row r="224" spans="1:14">
      <c r="A224" s="31" t="s">
        <v>388</v>
      </c>
      <c r="B224" s="31" t="s">
        <v>389</v>
      </c>
      <c r="C224" s="31">
        <v>0</v>
      </c>
      <c r="D224" s="31">
        <v>133384</v>
      </c>
      <c r="E224" s="31">
        <v>0</v>
      </c>
      <c r="F224" s="31">
        <v>0</v>
      </c>
      <c r="G224" s="31">
        <v>133384</v>
      </c>
      <c r="H224" s="31">
        <v>133384</v>
      </c>
      <c r="I224" s="31">
        <v>0</v>
      </c>
      <c r="J224" s="31">
        <v>0</v>
      </c>
      <c r="K224" s="31">
        <v>0</v>
      </c>
      <c r="L224" s="31">
        <v>4</v>
      </c>
      <c r="M224" s="31" t="s">
        <v>3856</v>
      </c>
      <c r="N224" s="31" t="s">
        <v>3857</v>
      </c>
    </row>
    <row r="225" spans="1:14">
      <c r="A225" s="31" t="s">
        <v>450</v>
      </c>
      <c r="B225" s="31" t="s">
        <v>451</v>
      </c>
      <c r="C225" s="31">
        <v>72772</v>
      </c>
      <c r="D225" s="31">
        <v>23959</v>
      </c>
      <c r="E225" s="31">
        <v>0</v>
      </c>
      <c r="F225" s="31">
        <v>0</v>
      </c>
      <c r="G225" s="31">
        <v>23959</v>
      </c>
      <c r="H225" s="31">
        <v>96731</v>
      </c>
      <c r="I225" s="31">
        <v>21933</v>
      </c>
      <c r="J225" s="31">
        <v>94705</v>
      </c>
      <c r="K225" s="31">
        <v>97.9</v>
      </c>
      <c r="L225" s="31">
        <v>1</v>
      </c>
      <c r="M225" s="31" t="s">
        <v>3862</v>
      </c>
      <c r="N225" s="31" t="s">
        <v>3861</v>
      </c>
    </row>
    <row r="226" spans="1:14">
      <c r="A226" s="31" t="s">
        <v>2642</v>
      </c>
      <c r="B226" s="32" t="s">
        <v>3882</v>
      </c>
      <c r="C226" s="31">
        <v>41155</v>
      </c>
      <c r="D226" s="31">
        <v>69853</v>
      </c>
      <c r="E226" s="31">
        <v>0</v>
      </c>
      <c r="F226" s="31">
        <v>0</v>
      </c>
      <c r="G226" s="31">
        <v>69853</v>
      </c>
      <c r="H226" s="31">
        <v>111008</v>
      </c>
      <c r="I226" s="31">
        <v>27041</v>
      </c>
      <c r="J226" s="31">
        <v>68196</v>
      </c>
      <c r="K226" s="31">
        <v>61.43</v>
      </c>
      <c r="L226" s="31">
        <v>2</v>
      </c>
      <c r="M226" s="31" t="s">
        <v>3860</v>
      </c>
      <c r="N226" s="31" t="s">
        <v>3861</v>
      </c>
    </row>
    <row r="227" spans="1:14">
      <c r="A227" s="31" t="s">
        <v>2651</v>
      </c>
      <c r="B227" s="32" t="s">
        <v>3883</v>
      </c>
      <c r="C227" s="31">
        <v>56470</v>
      </c>
      <c r="D227" s="31">
        <v>67828</v>
      </c>
      <c r="E227" s="31">
        <v>0</v>
      </c>
      <c r="F227" s="31">
        <v>0</v>
      </c>
      <c r="G227" s="31">
        <v>67828</v>
      </c>
      <c r="H227" s="31">
        <v>124298</v>
      </c>
      <c r="I227" s="31">
        <v>29171</v>
      </c>
      <c r="J227" s="31">
        <v>85641</v>
      </c>
      <c r="K227" s="31">
        <v>68.89</v>
      </c>
      <c r="L227" s="31">
        <v>2</v>
      </c>
      <c r="M227" s="31" t="s">
        <v>3860</v>
      </c>
      <c r="N227" s="31" t="s">
        <v>3861</v>
      </c>
    </row>
    <row r="228" spans="1:14">
      <c r="A228" s="31" t="s">
        <v>2660</v>
      </c>
      <c r="B228" s="32" t="s">
        <v>3884</v>
      </c>
      <c r="C228" s="31">
        <v>30441</v>
      </c>
      <c r="D228" s="31">
        <v>84813</v>
      </c>
      <c r="E228" s="31">
        <v>0</v>
      </c>
      <c r="F228" s="31">
        <v>0</v>
      </c>
      <c r="G228" s="31">
        <v>84813</v>
      </c>
      <c r="H228" s="31">
        <v>115254</v>
      </c>
      <c r="I228" s="31">
        <v>13868</v>
      </c>
      <c r="J228" s="31">
        <v>44309</v>
      </c>
      <c r="K228" s="31">
        <v>38.44</v>
      </c>
      <c r="L228" s="31">
        <v>3</v>
      </c>
      <c r="M228" s="31" t="s">
        <v>3858</v>
      </c>
      <c r="N228" s="31" t="s">
        <v>3859</v>
      </c>
    </row>
    <row r="229" spans="1:14">
      <c r="A229" s="31" t="s">
        <v>304</v>
      </c>
      <c r="B229" s="31" t="s">
        <v>305</v>
      </c>
      <c r="C229" s="31">
        <v>2847</v>
      </c>
      <c r="D229" s="31">
        <v>19364</v>
      </c>
      <c r="E229" s="31">
        <v>0</v>
      </c>
      <c r="F229" s="31">
        <v>108664</v>
      </c>
      <c r="G229" s="31">
        <v>128028</v>
      </c>
      <c r="H229" s="31">
        <v>130875</v>
      </c>
      <c r="I229" s="31">
        <v>0</v>
      </c>
      <c r="J229" s="31">
        <v>2847</v>
      </c>
      <c r="K229" s="31">
        <v>2.17</v>
      </c>
      <c r="L229" s="31">
        <v>6</v>
      </c>
      <c r="M229" s="31" t="s">
        <v>3866</v>
      </c>
      <c r="N229" s="31" t="s">
        <v>3857</v>
      </c>
    </row>
    <row r="230" spans="1:14">
      <c r="A230" s="31" t="s">
        <v>310</v>
      </c>
      <c r="B230" s="31" t="s">
        <v>311</v>
      </c>
      <c r="C230" s="31">
        <v>2824</v>
      </c>
      <c r="D230" s="31">
        <v>0</v>
      </c>
      <c r="E230" s="31">
        <v>0</v>
      </c>
      <c r="F230" s="31">
        <v>72278</v>
      </c>
      <c r="G230" s="31">
        <v>72278</v>
      </c>
      <c r="H230" s="31">
        <v>75102</v>
      </c>
      <c r="I230" s="31">
        <v>0</v>
      </c>
      <c r="J230" s="31">
        <v>2824</v>
      </c>
      <c r="K230" s="31">
        <v>3.76</v>
      </c>
      <c r="L230" s="31">
        <v>6</v>
      </c>
      <c r="M230" s="31" t="s">
        <v>3866</v>
      </c>
      <c r="N230" s="31" t="s">
        <v>3857</v>
      </c>
    </row>
    <row r="231" spans="1:14">
      <c r="A231" s="31" t="s">
        <v>340</v>
      </c>
      <c r="B231" s="31" t="s">
        <v>341</v>
      </c>
      <c r="C231" s="31">
        <v>33989</v>
      </c>
      <c r="D231" s="31">
        <v>103194</v>
      </c>
      <c r="E231" s="31">
        <v>0</v>
      </c>
      <c r="F231" s="31">
        <v>0</v>
      </c>
      <c r="G231" s="31">
        <v>103194</v>
      </c>
      <c r="H231" s="31">
        <v>137183</v>
      </c>
      <c r="I231" s="31">
        <v>885</v>
      </c>
      <c r="J231" s="31">
        <v>34874</v>
      </c>
      <c r="K231" s="31">
        <v>25.42</v>
      </c>
      <c r="L231" s="31">
        <v>4</v>
      </c>
      <c r="M231" s="31" t="s">
        <v>3856</v>
      </c>
      <c r="N231" s="31" t="s">
        <v>3857</v>
      </c>
    </row>
    <row r="232" spans="1:14">
      <c r="A232" s="31" t="s">
        <v>458</v>
      </c>
      <c r="B232" s="31" t="s">
        <v>459</v>
      </c>
      <c r="C232" s="31">
        <v>21965</v>
      </c>
      <c r="D232" s="31">
        <v>19898</v>
      </c>
      <c r="E232" s="31">
        <v>0</v>
      </c>
      <c r="F232" s="31">
        <v>43512</v>
      </c>
      <c r="G232" s="31">
        <v>63410</v>
      </c>
      <c r="H232" s="31">
        <v>85375</v>
      </c>
      <c r="I232" s="31">
        <v>17747</v>
      </c>
      <c r="J232" s="31">
        <v>39712</v>
      </c>
      <c r="K232" s="31">
        <v>46.51</v>
      </c>
      <c r="L232" s="31">
        <v>3</v>
      </c>
      <c r="M232" s="31" t="s">
        <v>3858</v>
      </c>
      <c r="N232" s="31" t="s">
        <v>3859</v>
      </c>
    </row>
    <row r="233" spans="1:14">
      <c r="A233" s="31" t="s">
        <v>526</v>
      </c>
      <c r="B233" s="31" t="s">
        <v>527</v>
      </c>
      <c r="C233" s="31">
        <v>7025</v>
      </c>
      <c r="D233" s="31">
        <v>92457</v>
      </c>
      <c r="E233" s="31">
        <v>0</v>
      </c>
      <c r="F233" s="31">
        <v>38353</v>
      </c>
      <c r="G233" s="31">
        <v>130810</v>
      </c>
      <c r="H233" s="31">
        <v>137835</v>
      </c>
      <c r="I233" s="31">
        <v>0</v>
      </c>
      <c r="J233" s="31">
        <v>7025</v>
      </c>
      <c r="K233" s="31">
        <v>5.09</v>
      </c>
      <c r="L233" s="31">
        <v>4</v>
      </c>
      <c r="M233" s="31" t="s">
        <v>3856</v>
      </c>
      <c r="N233" s="31" t="s">
        <v>3857</v>
      </c>
    </row>
    <row r="234" spans="1:14">
      <c r="A234" s="31" t="s">
        <v>546</v>
      </c>
      <c r="B234" s="31" t="s">
        <v>547</v>
      </c>
      <c r="C234" s="31">
        <v>1649</v>
      </c>
      <c r="D234" s="31">
        <v>10556</v>
      </c>
      <c r="E234" s="31">
        <v>0</v>
      </c>
      <c r="F234" s="31">
        <v>68305</v>
      </c>
      <c r="G234" s="31">
        <v>78861</v>
      </c>
      <c r="H234" s="31">
        <v>80510</v>
      </c>
      <c r="I234" s="31">
        <v>0</v>
      </c>
      <c r="J234" s="31">
        <v>1649</v>
      </c>
      <c r="K234" s="31">
        <v>2.04</v>
      </c>
      <c r="L234" s="31">
        <v>6</v>
      </c>
      <c r="M234" s="31" t="s">
        <v>3866</v>
      </c>
      <c r="N234" s="31" t="s">
        <v>3857</v>
      </c>
    </row>
    <row r="235" spans="1:14">
      <c r="A235" s="31" t="s">
        <v>614</v>
      </c>
      <c r="B235" s="31" t="s">
        <v>615</v>
      </c>
      <c r="C235" s="31">
        <v>1360</v>
      </c>
      <c r="D235" s="31">
        <v>2955</v>
      </c>
      <c r="E235" s="31">
        <v>0</v>
      </c>
      <c r="F235" s="31">
        <v>91283</v>
      </c>
      <c r="G235" s="31">
        <v>94238</v>
      </c>
      <c r="H235" s="31">
        <v>95598</v>
      </c>
      <c r="I235" s="31">
        <v>0</v>
      </c>
      <c r="J235" s="31">
        <v>1360</v>
      </c>
      <c r="K235" s="31">
        <v>1.42</v>
      </c>
      <c r="L235" s="31">
        <v>6</v>
      </c>
      <c r="M235" s="31" t="s">
        <v>3866</v>
      </c>
      <c r="N235" s="31" t="s">
        <v>3857</v>
      </c>
    </row>
    <row r="236" spans="1:14">
      <c r="A236" s="31" t="s">
        <v>638</v>
      </c>
      <c r="B236" s="31" t="s">
        <v>639</v>
      </c>
      <c r="C236" s="31">
        <v>13819</v>
      </c>
      <c r="D236" s="31">
        <v>68920</v>
      </c>
      <c r="E236" s="31">
        <v>0</v>
      </c>
      <c r="F236" s="31">
        <v>3405</v>
      </c>
      <c r="G236" s="31">
        <v>72325</v>
      </c>
      <c r="H236" s="31">
        <v>86144</v>
      </c>
      <c r="I236" s="31">
        <v>0</v>
      </c>
      <c r="J236" s="31">
        <v>13819</v>
      </c>
      <c r="K236" s="31">
        <v>16.04</v>
      </c>
      <c r="L236" s="31">
        <v>4</v>
      </c>
      <c r="M236" s="31" t="s">
        <v>3856</v>
      </c>
      <c r="N236" s="31" t="s">
        <v>3857</v>
      </c>
    </row>
    <row r="237" spans="1:14">
      <c r="A237" s="31" t="s">
        <v>650</v>
      </c>
      <c r="B237" s="31" t="s">
        <v>651</v>
      </c>
      <c r="C237" s="31">
        <v>30691</v>
      </c>
      <c r="D237" s="31">
        <v>20135</v>
      </c>
      <c r="E237" s="31">
        <v>0</v>
      </c>
      <c r="F237" s="31">
        <v>32172</v>
      </c>
      <c r="G237" s="31">
        <v>52307</v>
      </c>
      <c r="H237" s="31">
        <v>82998</v>
      </c>
      <c r="I237" s="31">
        <v>0</v>
      </c>
      <c r="J237" s="31">
        <v>30691</v>
      </c>
      <c r="K237" s="31">
        <v>36.97</v>
      </c>
      <c r="L237" s="31">
        <v>3</v>
      </c>
      <c r="M237" s="31" t="s">
        <v>3858</v>
      </c>
      <c r="N237" s="31" t="s">
        <v>3859</v>
      </c>
    </row>
    <row r="238" spans="1:14">
      <c r="A238" s="31" t="s">
        <v>698</v>
      </c>
      <c r="B238" s="31" t="s">
        <v>699</v>
      </c>
      <c r="C238" s="31">
        <v>33990</v>
      </c>
      <c r="D238" s="31">
        <v>87582</v>
      </c>
      <c r="E238" s="31">
        <v>0</v>
      </c>
      <c r="F238" s="31">
        <v>0</v>
      </c>
      <c r="G238" s="31">
        <v>87582</v>
      </c>
      <c r="H238" s="31">
        <v>121572</v>
      </c>
      <c r="I238" s="31">
        <v>44544</v>
      </c>
      <c r="J238" s="31">
        <v>78534</v>
      </c>
      <c r="K238" s="31">
        <v>64.59</v>
      </c>
      <c r="L238" s="31">
        <v>2</v>
      </c>
      <c r="M238" s="31" t="s">
        <v>3860</v>
      </c>
      <c r="N238" s="31" t="s">
        <v>3861</v>
      </c>
    </row>
    <row r="239" spans="1:14">
      <c r="A239" s="31" t="s">
        <v>730</v>
      </c>
      <c r="B239" s="31" t="s">
        <v>731</v>
      </c>
      <c r="C239" s="31">
        <v>1982</v>
      </c>
      <c r="D239" s="31">
        <v>3451</v>
      </c>
      <c r="E239" s="31">
        <v>0</v>
      </c>
      <c r="F239" s="31">
        <v>93765</v>
      </c>
      <c r="G239" s="31">
        <v>97216</v>
      </c>
      <c r="H239" s="31">
        <v>99198</v>
      </c>
      <c r="I239" s="31">
        <v>0</v>
      </c>
      <c r="J239" s="31">
        <v>1982</v>
      </c>
      <c r="K239" s="31">
        <v>1.99</v>
      </c>
      <c r="L239" s="31">
        <v>6</v>
      </c>
      <c r="M239" s="31" t="s">
        <v>3866</v>
      </c>
      <c r="N239" s="31" t="s">
        <v>3857</v>
      </c>
    </row>
    <row r="240" spans="1:14">
      <c r="A240" s="31" t="s">
        <v>488</v>
      </c>
      <c r="B240" s="31" t="s">
        <v>489</v>
      </c>
      <c r="C240" s="31">
        <v>46426</v>
      </c>
      <c r="D240" s="31">
        <v>15588</v>
      </c>
      <c r="E240" s="31">
        <v>0</v>
      </c>
      <c r="F240" s="31">
        <v>0</v>
      </c>
      <c r="G240" s="31">
        <v>15588</v>
      </c>
      <c r="H240" s="31">
        <v>62014</v>
      </c>
      <c r="I240" s="31">
        <v>10573</v>
      </c>
      <c r="J240" s="31">
        <v>56999</v>
      </c>
      <c r="K240" s="31">
        <v>91.91</v>
      </c>
      <c r="L240" s="31">
        <v>1</v>
      </c>
      <c r="M240" s="31" t="s">
        <v>3862</v>
      </c>
      <c r="N240" s="31" t="s">
        <v>3861</v>
      </c>
    </row>
    <row r="241" spans="1:14">
      <c r="A241" s="31" t="s">
        <v>500</v>
      </c>
      <c r="B241" s="31" t="s">
        <v>501</v>
      </c>
      <c r="C241" s="31">
        <v>0</v>
      </c>
      <c r="D241" s="31">
        <v>125252</v>
      </c>
      <c r="E241" s="31">
        <v>0</v>
      </c>
      <c r="F241" s="31">
        <v>0</v>
      </c>
      <c r="G241" s="31">
        <v>125252</v>
      </c>
      <c r="H241" s="31">
        <v>125252</v>
      </c>
      <c r="I241" s="31">
        <v>0</v>
      </c>
      <c r="J241" s="31">
        <v>0</v>
      </c>
      <c r="K241" s="31">
        <v>0</v>
      </c>
      <c r="L241" s="31">
        <v>4</v>
      </c>
      <c r="M241" s="31" t="s">
        <v>3856</v>
      </c>
      <c r="N241" s="31" t="s">
        <v>3857</v>
      </c>
    </row>
    <row r="242" spans="1:14">
      <c r="A242" s="31" t="s">
        <v>544</v>
      </c>
      <c r="B242" s="31" t="s">
        <v>545</v>
      </c>
      <c r="C242" s="31">
        <v>24260</v>
      </c>
      <c r="D242" s="31">
        <v>75815</v>
      </c>
      <c r="E242" s="31">
        <v>0</v>
      </c>
      <c r="F242" s="31">
        <v>0</v>
      </c>
      <c r="G242" s="31">
        <v>75815</v>
      </c>
      <c r="H242" s="31">
        <v>100075</v>
      </c>
      <c r="I242" s="31">
        <v>0</v>
      </c>
      <c r="J242" s="31">
        <v>24260</v>
      </c>
      <c r="K242" s="31">
        <v>24.24</v>
      </c>
      <c r="L242" s="31">
        <v>4</v>
      </c>
      <c r="M242" s="31" t="s">
        <v>3856</v>
      </c>
      <c r="N242" s="31" t="s">
        <v>3857</v>
      </c>
    </row>
    <row r="243" spans="1:14">
      <c r="A243" s="31" t="s">
        <v>632</v>
      </c>
      <c r="B243" s="31" t="s">
        <v>633</v>
      </c>
      <c r="C243" s="31">
        <v>92321</v>
      </c>
      <c r="D243" s="31">
        <v>28164</v>
      </c>
      <c r="E243" s="31">
        <v>0</v>
      </c>
      <c r="F243" s="31">
        <v>0</v>
      </c>
      <c r="G243" s="31">
        <v>28164</v>
      </c>
      <c r="H243" s="31">
        <v>120485</v>
      </c>
      <c r="I243" s="31">
        <v>27830</v>
      </c>
      <c r="J243" s="31">
        <v>120151</v>
      </c>
      <c r="K243" s="31">
        <v>99.72</v>
      </c>
      <c r="L243" s="31">
        <v>1</v>
      </c>
      <c r="M243" s="31" t="s">
        <v>3862</v>
      </c>
      <c r="N243" s="31" t="s">
        <v>3861</v>
      </c>
    </row>
    <row r="244" spans="1:14">
      <c r="A244" s="31" t="s">
        <v>694</v>
      </c>
      <c r="B244" s="31" t="s">
        <v>695</v>
      </c>
      <c r="C244" s="31">
        <v>17090</v>
      </c>
      <c r="D244" s="31">
        <v>120558</v>
      </c>
      <c r="E244" s="31">
        <v>0</v>
      </c>
      <c r="F244" s="31">
        <v>0</v>
      </c>
      <c r="G244" s="31">
        <v>120558</v>
      </c>
      <c r="H244" s="31">
        <v>137648</v>
      </c>
      <c r="I244" s="31">
        <v>0</v>
      </c>
      <c r="J244" s="31">
        <v>17090</v>
      </c>
      <c r="K244" s="31">
        <v>12.41</v>
      </c>
      <c r="L244" s="31">
        <v>4</v>
      </c>
      <c r="M244" s="31" t="s">
        <v>3856</v>
      </c>
      <c r="N244" s="31" t="s">
        <v>3857</v>
      </c>
    </row>
    <row r="245" spans="1:14">
      <c r="A245" s="31" t="s">
        <v>111</v>
      </c>
      <c r="B245" s="31" t="s">
        <v>112</v>
      </c>
      <c r="C245" s="31">
        <v>810</v>
      </c>
      <c r="D245" s="31">
        <v>60372</v>
      </c>
      <c r="E245" s="31">
        <v>0</v>
      </c>
      <c r="F245" s="31">
        <v>0</v>
      </c>
      <c r="G245" s="31">
        <v>60372</v>
      </c>
      <c r="H245" s="31">
        <v>61182</v>
      </c>
      <c r="I245" s="31">
        <v>0</v>
      </c>
      <c r="J245" s="31">
        <v>810</v>
      </c>
      <c r="K245" s="31">
        <v>1.32</v>
      </c>
      <c r="L245" s="31">
        <v>4</v>
      </c>
      <c r="M245" s="31" t="s">
        <v>3856</v>
      </c>
      <c r="N245" s="31" t="s">
        <v>3857</v>
      </c>
    </row>
    <row r="246" spans="1:14">
      <c r="A246" s="31" t="s">
        <v>120</v>
      </c>
      <c r="B246" s="31" t="s">
        <v>121</v>
      </c>
      <c r="C246" s="31">
        <v>25447</v>
      </c>
      <c r="D246" s="31">
        <v>124071</v>
      </c>
      <c r="E246" s="31">
        <v>0</v>
      </c>
      <c r="F246" s="31">
        <v>0</v>
      </c>
      <c r="G246" s="31">
        <v>124071</v>
      </c>
      <c r="H246" s="31">
        <v>149518</v>
      </c>
      <c r="I246" s="31">
        <v>0</v>
      </c>
      <c r="J246" s="31">
        <v>25447</v>
      </c>
      <c r="K246" s="31">
        <v>17.010000000000002</v>
      </c>
      <c r="L246" s="31">
        <v>4</v>
      </c>
      <c r="M246" s="31" t="s">
        <v>3856</v>
      </c>
      <c r="N246" s="31" t="s">
        <v>3857</v>
      </c>
    </row>
    <row r="247" spans="1:14">
      <c r="A247" s="31" t="s">
        <v>231</v>
      </c>
      <c r="B247" s="31" t="s">
        <v>232</v>
      </c>
      <c r="C247" s="31">
        <v>60312</v>
      </c>
      <c r="D247" s="31">
        <v>53482</v>
      </c>
      <c r="E247" s="31">
        <v>0</v>
      </c>
      <c r="F247" s="31">
        <v>0</v>
      </c>
      <c r="G247" s="31">
        <v>53482</v>
      </c>
      <c r="H247" s="31">
        <v>113794</v>
      </c>
      <c r="I247" s="31">
        <v>12543</v>
      </c>
      <c r="J247" s="31">
        <v>72855</v>
      </c>
      <c r="K247" s="31">
        <v>64.02</v>
      </c>
      <c r="L247" s="31">
        <v>2</v>
      </c>
      <c r="M247" s="31" t="s">
        <v>3860</v>
      </c>
      <c r="N247" s="31" t="s">
        <v>3861</v>
      </c>
    </row>
    <row r="248" spans="1:14">
      <c r="A248" s="31" t="s">
        <v>251</v>
      </c>
      <c r="B248" s="31" t="s">
        <v>252</v>
      </c>
      <c r="C248" s="31">
        <v>353</v>
      </c>
      <c r="D248" s="31">
        <v>106244</v>
      </c>
      <c r="E248" s="31">
        <v>0</v>
      </c>
      <c r="F248" s="31">
        <v>0</v>
      </c>
      <c r="G248" s="31">
        <v>106244</v>
      </c>
      <c r="H248" s="31">
        <v>106597</v>
      </c>
      <c r="I248" s="31">
        <v>0</v>
      </c>
      <c r="J248" s="31">
        <v>353</v>
      </c>
      <c r="K248" s="31">
        <v>0.33</v>
      </c>
      <c r="L248" s="31">
        <v>4</v>
      </c>
      <c r="M248" s="31" t="s">
        <v>3856</v>
      </c>
      <c r="N248" s="31" t="s">
        <v>3857</v>
      </c>
    </row>
    <row r="249" spans="1:14">
      <c r="A249" s="31" t="s">
        <v>380</v>
      </c>
      <c r="B249" s="31" t="s">
        <v>381</v>
      </c>
      <c r="C249" s="31">
        <v>79507</v>
      </c>
      <c r="D249" s="31">
        <v>51794</v>
      </c>
      <c r="E249" s="31">
        <v>0</v>
      </c>
      <c r="F249" s="31">
        <v>0</v>
      </c>
      <c r="G249" s="31">
        <v>51794</v>
      </c>
      <c r="H249" s="31">
        <v>131301</v>
      </c>
      <c r="I249" s="31">
        <v>0</v>
      </c>
      <c r="J249" s="31">
        <v>79507</v>
      </c>
      <c r="K249" s="31">
        <v>60.55</v>
      </c>
      <c r="L249" s="31">
        <v>2</v>
      </c>
      <c r="M249" s="31" t="s">
        <v>3860</v>
      </c>
      <c r="N249" s="31" t="s">
        <v>3861</v>
      </c>
    </row>
    <row r="250" spans="1:14">
      <c r="A250" s="31" t="s">
        <v>452</v>
      </c>
      <c r="B250" s="31" t="s">
        <v>453</v>
      </c>
      <c r="C250" s="31">
        <v>25145</v>
      </c>
      <c r="D250" s="31">
        <v>114715</v>
      </c>
      <c r="E250" s="31">
        <v>0</v>
      </c>
      <c r="F250" s="31">
        <v>0</v>
      </c>
      <c r="G250" s="31">
        <v>114715</v>
      </c>
      <c r="H250" s="31">
        <v>139860</v>
      </c>
      <c r="I250" s="31">
        <v>0</v>
      </c>
      <c r="J250" s="31">
        <v>25145</v>
      </c>
      <c r="K250" s="31">
        <v>17.97</v>
      </c>
      <c r="L250" s="31">
        <v>4</v>
      </c>
      <c r="M250" s="31" t="s">
        <v>3856</v>
      </c>
      <c r="N250" s="31" t="s">
        <v>3857</v>
      </c>
    </row>
    <row r="251" spans="1:14">
      <c r="A251" s="31" t="s">
        <v>738</v>
      </c>
      <c r="B251" s="31" t="s">
        <v>739</v>
      </c>
      <c r="C251" s="31">
        <v>0</v>
      </c>
      <c r="D251" s="31">
        <v>104640</v>
      </c>
      <c r="E251" s="31">
        <v>0</v>
      </c>
      <c r="F251" s="31">
        <v>0</v>
      </c>
      <c r="G251" s="31">
        <v>104640</v>
      </c>
      <c r="H251" s="31">
        <v>104640</v>
      </c>
      <c r="I251" s="31">
        <v>0</v>
      </c>
      <c r="J251" s="31">
        <v>0</v>
      </c>
      <c r="K251" s="31">
        <v>0</v>
      </c>
      <c r="L251" s="31">
        <v>4</v>
      </c>
      <c r="M251" s="31" t="s">
        <v>3856</v>
      </c>
      <c r="N251" s="31" t="s">
        <v>3857</v>
      </c>
    </row>
    <row r="252" spans="1:14">
      <c r="A252" s="31" t="s">
        <v>189</v>
      </c>
      <c r="B252" s="31" t="s">
        <v>190</v>
      </c>
      <c r="C252" s="31">
        <v>19619</v>
      </c>
      <c r="D252" s="31">
        <v>55122</v>
      </c>
      <c r="E252" s="31">
        <v>0</v>
      </c>
      <c r="F252" s="31">
        <v>18896</v>
      </c>
      <c r="G252" s="31">
        <v>74018</v>
      </c>
      <c r="H252" s="31">
        <v>93637</v>
      </c>
      <c r="I252" s="31">
        <v>0</v>
      </c>
      <c r="J252" s="31">
        <v>19619</v>
      </c>
      <c r="K252" s="31">
        <v>20.95</v>
      </c>
      <c r="L252" s="31">
        <v>4</v>
      </c>
      <c r="M252" s="31" t="s">
        <v>3856</v>
      </c>
      <c r="N252" s="31" t="s">
        <v>3857</v>
      </c>
    </row>
    <row r="253" spans="1:14">
      <c r="A253" s="31" t="s">
        <v>434</v>
      </c>
      <c r="B253" s="31" t="s">
        <v>435</v>
      </c>
      <c r="C253" s="31">
        <v>39106</v>
      </c>
      <c r="D253" s="31">
        <v>35525</v>
      </c>
      <c r="E253" s="31">
        <v>0</v>
      </c>
      <c r="F253" s="31">
        <v>0</v>
      </c>
      <c r="G253" s="31">
        <v>35525</v>
      </c>
      <c r="H253" s="31">
        <v>74631</v>
      </c>
      <c r="I253" s="31">
        <v>0</v>
      </c>
      <c r="J253" s="31">
        <v>39106</v>
      </c>
      <c r="K253" s="31">
        <v>52.39</v>
      </c>
      <c r="L253" s="31">
        <v>2</v>
      </c>
      <c r="M253" s="31" t="s">
        <v>3860</v>
      </c>
      <c r="N253" s="31" t="s">
        <v>3861</v>
      </c>
    </row>
    <row r="254" spans="1:14">
      <c r="A254" s="31" t="s">
        <v>524</v>
      </c>
      <c r="B254" s="31" t="s">
        <v>525</v>
      </c>
      <c r="C254" s="31">
        <v>2592</v>
      </c>
      <c r="D254" s="31">
        <v>81622</v>
      </c>
      <c r="E254" s="31">
        <v>0</v>
      </c>
      <c r="F254" s="31">
        <v>0</v>
      </c>
      <c r="G254" s="31">
        <v>81622</v>
      </c>
      <c r="H254" s="31">
        <v>84214</v>
      </c>
      <c r="I254" s="31">
        <v>0</v>
      </c>
      <c r="J254" s="31">
        <v>2592</v>
      </c>
      <c r="K254" s="31">
        <v>3.07</v>
      </c>
      <c r="L254" s="31">
        <v>4</v>
      </c>
      <c r="M254" s="31" t="s">
        <v>3856</v>
      </c>
      <c r="N254" s="31" t="s">
        <v>3857</v>
      </c>
    </row>
    <row r="255" spans="1:14">
      <c r="A255" s="31" t="s">
        <v>736</v>
      </c>
      <c r="B255" s="31" t="s">
        <v>737</v>
      </c>
      <c r="C255" s="31">
        <v>129</v>
      </c>
      <c r="D255" s="31">
        <v>98639</v>
      </c>
      <c r="E255" s="31">
        <v>0</v>
      </c>
      <c r="F255" s="31">
        <v>0</v>
      </c>
      <c r="G255" s="31">
        <v>98639</v>
      </c>
      <c r="H255" s="31">
        <v>98768</v>
      </c>
      <c r="I255" s="31">
        <v>0</v>
      </c>
      <c r="J255" s="31">
        <v>129</v>
      </c>
      <c r="K255" s="31">
        <v>0.13</v>
      </c>
      <c r="L255" s="31">
        <v>4</v>
      </c>
      <c r="M255" s="31" t="s">
        <v>3856</v>
      </c>
      <c r="N255" s="31" t="s">
        <v>3857</v>
      </c>
    </row>
    <row r="256" spans="1:14">
      <c r="A256" s="31" t="s">
        <v>740</v>
      </c>
      <c r="B256" s="31" t="s">
        <v>741</v>
      </c>
      <c r="C256" s="31">
        <v>66795</v>
      </c>
      <c r="D256" s="31">
        <v>50149</v>
      </c>
      <c r="E256" s="31">
        <v>0</v>
      </c>
      <c r="F256" s="31">
        <v>0</v>
      </c>
      <c r="G256" s="31">
        <v>50149</v>
      </c>
      <c r="H256" s="31">
        <v>116944</v>
      </c>
      <c r="I256" s="31">
        <v>47704</v>
      </c>
      <c r="J256" s="31">
        <v>114499</v>
      </c>
      <c r="K256" s="31">
        <v>97.9</v>
      </c>
      <c r="L256" s="31">
        <v>1</v>
      </c>
      <c r="M256" s="31" t="s">
        <v>3862</v>
      </c>
      <c r="N256" s="31" t="s">
        <v>3861</v>
      </c>
    </row>
    <row r="257" spans="1:15">
      <c r="A257" s="31" t="s">
        <v>744</v>
      </c>
      <c r="B257" s="31" t="s">
        <v>745</v>
      </c>
      <c r="C257" s="31">
        <v>20907</v>
      </c>
      <c r="D257" s="31">
        <v>77068</v>
      </c>
      <c r="E257" s="31">
        <v>0</v>
      </c>
      <c r="F257" s="31">
        <v>0</v>
      </c>
      <c r="G257" s="31">
        <v>77068</v>
      </c>
      <c r="H257" s="31">
        <v>97975</v>
      </c>
      <c r="I257" s="31">
        <v>20292</v>
      </c>
      <c r="J257" s="31">
        <v>41199</v>
      </c>
      <c r="K257" s="31">
        <v>42.05</v>
      </c>
      <c r="L257" s="31">
        <v>3</v>
      </c>
      <c r="M257" s="31" t="s">
        <v>3858</v>
      </c>
      <c r="N257" s="31" t="s">
        <v>3859</v>
      </c>
    </row>
    <row r="258" spans="1:15">
      <c r="A258" s="31" t="s">
        <v>616</v>
      </c>
      <c r="B258" s="31" t="s">
        <v>617</v>
      </c>
      <c r="C258" s="31">
        <v>13264</v>
      </c>
      <c r="D258" s="31">
        <v>126663</v>
      </c>
      <c r="E258" s="31">
        <v>0</v>
      </c>
      <c r="F258" s="31">
        <v>737</v>
      </c>
      <c r="G258" s="31">
        <v>127400</v>
      </c>
      <c r="H258" s="31">
        <v>140664</v>
      </c>
      <c r="I258" s="31">
        <v>0</v>
      </c>
      <c r="J258" s="31">
        <v>13264</v>
      </c>
      <c r="K258" s="31">
        <v>9.42</v>
      </c>
      <c r="L258" s="31">
        <v>4</v>
      </c>
      <c r="M258" s="31" t="s">
        <v>3856</v>
      </c>
      <c r="N258" s="31" t="s">
        <v>3857</v>
      </c>
    </row>
    <row r="259" spans="1:15">
      <c r="A259" s="31" t="s">
        <v>704</v>
      </c>
      <c r="B259" s="31" t="s">
        <v>705</v>
      </c>
      <c r="C259" s="31">
        <v>13086</v>
      </c>
      <c r="D259" s="31">
        <v>97449</v>
      </c>
      <c r="E259" s="31">
        <v>0</v>
      </c>
      <c r="F259" s="31">
        <v>0</v>
      </c>
      <c r="G259" s="31">
        <v>97449</v>
      </c>
      <c r="H259" s="31">
        <v>110535</v>
      </c>
      <c r="I259" s="31">
        <v>0</v>
      </c>
      <c r="J259" s="31">
        <v>13086</v>
      </c>
      <c r="K259" s="31">
        <v>11.83</v>
      </c>
      <c r="L259" s="31">
        <v>4</v>
      </c>
      <c r="M259" s="31" t="s">
        <v>3856</v>
      </c>
      <c r="N259" s="31" t="s">
        <v>3857</v>
      </c>
    </row>
    <row r="260" spans="1:15">
      <c r="A260" s="31" t="s">
        <v>286</v>
      </c>
      <c r="B260" s="31" t="s">
        <v>287</v>
      </c>
      <c r="C260" s="31">
        <v>40588</v>
      </c>
      <c r="D260" s="31">
        <v>94350</v>
      </c>
      <c r="E260" s="31">
        <v>0</v>
      </c>
      <c r="F260" s="31">
        <v>2749</v>
      </c>
      <c r="G260" s="31">
        <v>97099</v>
      </c>
      <c r="H260" s="31">
        <v>137687</v>
      </c>
      <c r="I260" s="31">
        <v>0</v>
      </c>
      <c r="J260" s="31">
        <v>40588</v>
      </c>
      <c r="K260" s="31">
        <v>29.47</v>
      </c>
      <c r="L260" s="31">
        <v>3</v>
      </c>
      <c r="M260" s="31" t="s">
        <v>3858</v>
      </c>
      <c r="N260" s="31" t="s">
        <v>3859</v>
      </c>
    </row>
    <row r="261" spans="1:15">
      <c r="A261" s="31" t="s">
        <v>624</v>
      </c>
      <c r="B261" s="31" t="s">
        <v>625</v>
      </c>
      <c r="C261" s="31">
        <v>0</v>
      </c>
      <c r="D261" s="31">
        <v>83957</v>
      </c>
      <c r="E261" s="31">
        <v>0</v>
      </c>
      <c r="F261" s="31">
        <v>0</v>
      </c>
      <c r="G261" s="31">
        <v>83957</v>
      </c>
      <c r="H261" s="31">
        <v>83957</v>
      </c>
      <c r="I261" s="31">
        <v>0</v>
      </c>
      <c r="J261" s="31">
        <v>0</v>
      </c>
      <c r="K261" s="31">
        <v>0</v>
      </c>
      <c r="L261" s="31">
        <v>4</v>
      </c>
      <c r="M261" s="31" t="s">
        <v>3856</v>
      </c>
      <c r="N261" s="31" t="s">
        <v>3857</v>
      </c>
    </row>
    <row r="262" spans="1:15" ht="14">
      <c r="A262" s="40" t="s">
        <v>296</v>
      </c>
      <c r="B262" s="40" t="s">
        <v>297</v>
      </c>
      <c r="C262" s="32">
        <v>86911</v>
      </c>
      <c r="D262" s="32">
        <v>152641</v>
      </c>
      <c r="E262" s="32">
        <v>0</v>
      </c>
      <c r="F262" s="32">
        <v>0</v>
      </c>
      <c r="G262" s="32">
        <v>152641</v>
      </c>
      <c r="H262" s="32">
        <v>239552</v>
      </c>
      <c r="I262" s="32">
        <v>43039</v>
      </c>
      <c r="J262" s="32">
        <v>129950</v>
      </c>
      <c r="K262" s="32">
        <f>J262/H262*100</f>
        <v>54.247094576542878</v>
      </c>
      <c r="L262" s="32">
        <v>5</v>
      </c>
      <c r="M262" s="31" t="s">
        <v>3860</v>
      </c>
      <c r="N262" s="31" t="s">
        <v>3861</v>
      </c>
      <c r="O262" s="32"/>
    </row>
    <row r="263" spans="1:15" ht="14">
      <c r="A263" s="40" t="s">
        <v>716</v>
      </c>
      <c r="B263" s="40" t="s">
        <v>717</v>
      </c>
      <c r="C263" s="32">
        <v>68279</v>
      </c>
      <c r="D263" s="32">
        <v>102477</v>
      </c>
      <c r="E263" s="32">
        <v>0</v>
      </c>
      <c r="F263" s="32">
        <v>0</v>
      </c>
      <c r="G263" s="32">
        <v>102477</v>
      </c>
      <c r="H263" s="32">
        <v>170756</v>
      </c>
      <c r="I263" s="32">
        <v>59665</v>
      </c>
      <c r="J263" s="32">
        <v>127944</v>
      </c>
      <c r="K263" s="32">
        <f>J263/H263*100</f>
        <v>74.927967392068211</v>
      </c>
      <c r="L263" s="32">
        <v>3</v>
      </c>
      <c r="M263" s="31" t="s">
        <v>3860</v>
      </c>
      <c r="N263" s="31" t="s">
        <v>3861</v>
      </c>
      <c r="O263" s="32"/>
    </row>
    <row r="264" spans="1:15" ht="14">
      <c r="A264" s="40" t="s">
        <v>578</v>
      </c>
      <c r="B264" s="40" t="s">
        <v>579</v>
      </c>
      <c r="C264" s="32">
        <v>54438</v>
      </c>
      <c r="D264" s="32">
        <v>90424</v>
      </c>
      <c r="E264" s="32">
        <v>0</v>
      </c>
      <c r="F264" s="32">
        <v>0</v>
      </c>
      <c r="G264" s="32">
        <v>90424</v>
      </c>
      <c r="H264" s="32">
        <v>144862</v>
      </c>
      <c r="I264" s="32">
        <v>25803</v>
      </c>
      <c r="J264" s="32">
        <v>80241</v>
      </c>
      <c r="K264" s="32">
        <f>J264/H264*100</f>
        <v>55.391337963026878</v>
      </c>
      <c r="L264" s="32">
        <v>4</v>
      </c>
      <c r="M264" s="31" t="s">
        <v>3860</v>
      </c>
      <c r="N264" s="31" t="s">
        <v>3861</v>
      </c>
      <c r="O264" s="32"/>
    </row>
    <row r="265" spans="1:15">
      <c r="A265" s="31" t="s">
        <v>163</v>
      </c>
      <c r="B265" s="31" t="s">
        <v>164</v>
      </c>
      <c r="C265" s="31">
        <v>2488</v>
      </c>
      <c r="D265" s="31">
        <v>27436</v>
      </c>
      <c r="E265" s="31">
        <v>0</v>
      </c>
      <c r="F265" s="31">
        <v>246862</v>
      </c>
      <c r="G265" s="31">
        <v>274298</v>
      </c>
      <c r="H265" s="31">
        <v>276786</v>
      </c>
      <c r="I265" s="31">
        <v>0</v>
      </c>
      <c r="J265" s="31">
        <v>2488</v>
      </c>
      <c r="K265" s="31">
        <v>0.89</v>
      </c>
      <c r="L265" s="31">
        <v>6</v>
      </c>
      <c r="M265" s="31" t="s">
        <v>3866</v>
      </c>
      <c r="N265" s="31" t="s">
        <v>3857</v>
      </c>
    </row>
    <row r="266" spans="1:15">
      <c r="A266" s="31" t="s">
        <v>199</v>
      </c>
      <c r="B266" s="31" t="s">
        <v>200</v>
      </c>
      <c r="C266" s="31">
        <v>5126</v>
      </c>
      <c r="D266" s="31">
        <v>719</v>
      </c>
      <c r="E266" s="31">
        <v>0</v>
      </c>
      <c r="F266" s="31">
        <v>179215</v>
      </c>
      <c r="G266" s="31">
        <v>179934</v>
      </c>
      <c r="H266" s="31">
        <v>185060</v>
      </c>
      <c r="I266" s="31">
        <v>0</v>
      </c>
      <c r="J266" s="31">
        <v>5126</v>
      </c>
      <c r="K266" s="31">
        <v>2.76</v>
      </c>
      <c r="L266" s="31">
        <v>6</v>
      </c>
      <c r="M266" s="31" t="s">
        <v>3866</v>
      </c>
      <c r="N266" s="31" t="s">
        <v>3857</v>
      </c>
    </row>
    <row r="267" spans="1:15">
      <c r="A267" s="31" t="s">
        <v>436</v>
      </c>
      <c r="B267" s="31" t="s">
        <v>437</v>
      </c>
      <c r="C267" s="31">
        <v>103</v>
      </c>
      <c r="D267" s="31">
        <v>0</v>
      </c>
      <c r="E267" s="31">
        <v>0</v>
      </c>
      <c r="F267" s="31">
        <v>503024</v>
      </c>
      <c r="G267" s="31">
        <v>503024</v>
      </c>
      <c r="H267" s="31">
        <v>503127</v>
      </c>
      <c r="I267" s="31">
        <v>0</v>
      </c>
      <c r="J267" s="31">
        <v>103</v>
      </c>
      <c r="K267" s="31">
        <v>0.02</v>
      </c>
      <c r="L267" s="31">
        <v>6</v>
      </c>
      <c r="M267" s="31" t="s">
        <v>3866</v>
      </c>
      <c r="N267" s="31" t="s">
        <v>3857</v>
      </c>
    </row>
    <row r="268" spans="1:15">
      <c r="A268" s="31" t="s">
        <v>504</v>
      </c>
      <c r="B268" s="31" t="s">
        <v>505</v>
      </c>
      <c r="C268" s="31">
        <v>2657</v>
      </c>
      <c r="D268" s="31">
        <v>7330</v>
      </c>
      <c r="E268" s="31">
        <v>0</v>
      </c>
      <c r="F268" s="31">
        <v>214910</v>
      </c>
      <c r="G268" s="31">
        <v>222240</v>
      </c>
      <c r="H268" s="31">
        <v>224897</v>
      </c>
      <c r="I268" s="31">
        <v>0</v>
      </c>
      <c r="J268" s="31">
        <v>2657</v>
      </c>
      <c r="K268" s="31">
        <v>1.18</v>
      </c>
      <c r="L268" s="31">
        <v>6</v>
      </c>
      <c r="M268" s="31" t="s">
        <v>3866</v>
      </c>
      <c r="N268" s="31" t="s">
        <v>3857</v>
      </c>
    </row>
    <row r="269" spans="1:15">
      <c r="A269" s="31" t="s">
        <v>534</v>
      </c>
      <c r="B269" s="31" t="s">
        <v>535</v>
      </c>
      <c r="C269" s="31">
        <v>2577</v>
      </c>
      <c r="D269" s="31">
        <v>3202</v>
      </c>
      <c r="E269" s="31">
        <v>0</v>
      </c>
      <c r="F269" s="31">
        <v>205920</v>
      </c>
      <c r="G269" s="31">
        <v>209122</v>
      </c>
      <c r="H269" s="31">
        <v>211699</v>
      </c>
      <c r="I269" s="31">
        <v>0</v>
      </c>
      <c r="J269" s="31">
        <v>2577</v>
      </c>
      <c r="K269" s="31">
        <v>1.21</v>
      </c>
      <c r="L269" s="31">
        <v>6</v>
      </c>
      <c r="M269" s="31" t="s">
        <v>3866</v>
      </c>
      <c r="N269" s="31" t="s">
        <v>3857</v>
      </c>
    </row>
    <row r="270" spans="1:15">
      <c r="A270" s="31" t="s">
        <v>556</v>
      </c>
      <c r="B270" s="31" t="s">
        <v>557</v>
      </c>
      <c r="C270" s="31">
        <v>284</v>
      </c>
      <c r="D270" s="31">
        <v>0</v>
      </c>
      <c r="E270" s="31">
        <v>0</v>
      </c>
      <c r="F270" s="31">
        <v>233649</v>
      </c>
      <c r="G270" s="31">
        <v>233649</v>
      </c>
      <c r="H270" s="31">
        <v>233933</v>
      </c>
      <c r="I270" s="31">
        <v>0</v>
      </c>
      <c r="J270" s="31">
        <v>284</v>
      </c>
      <c r="K270" s="31">
        <v>0.12</v>
      </c>
      <c r="L270" s="31">
        <v>6</v>
      </c>
      <c r="M270" s="31" t="s">
        <v>3866</v>
      </c>
      <c r="N270" s="31" t="s">
        <v>3857</v>
      </c>
    </row>
    <row r="271" spans="1:15">
      <c r="A271" s="31" t="s">
        <v>626</v>
      </c>
      <c r="B271" s="31" t="s">
        <v>627</v>
      </c>
      <c r="C271" s="31">
        <v>1249</v>
      </c>
      <c r="D271" s="31">
        <v>7313</v>
      </c>
      <c r="E271" s="31">
        <v>0</v>
      </c>
      <c r="F271" s="31">
        <v>274713</v>
      </c>
      <c r="G271" s="31">
        <v>282026</v>
      </c>
      <c r="H271" s="31">
        <v>283275</v>
      </c>
      <c r="I271" s="31">
        <v>0</v>
      </c>
      <c r="J271" s="31">
        <v>1249</v>
      </c>
      <c r="K271" s="31">
        <v>0.44</v>
      </c>
      <c r="L271" s="31">
        <v>6</v>
      </c>
      <c r="M271" s="31" t="s">
        <v>3866</v>
      </c>
      <c r="N271" s="31" t="s">
        <v>3857</v>
      </c>
    </row>
    <row r="272" spans="1:15">
      <c r="A272" s="31" t="s">
        <v>646</v>
      </c>
      <c r="B272" s="31" t="s">
        <v>647</v>
      </c>
      <c r="C272" s="31">
        <v>645</v>
      </c>
      <c r="D272" s="31">
        <v>2032</v>
      </c>
      <c r="E272" s="31">
        <v>0</v>
      </c>
      <c r="F272" s="31">
        <v>216647</v>
      </c>
      <c r="G272" s="31">
        <v>218679</v>
      </c>
      <c r="H272" s="31">
        <v>219324</v>
      </c>
      <c r="I272" s="31">
        <v>0</v>
      </c>
      <c r="J272" s="31">
        <v>645</v>
      </c>
      <c r="K272" s="31">
        <v>0.28999999999999998</v>
      </c>
      <c r="L272" s="31">
        <v>6</v>
      </c>
      <c r="M272" s="31" t="s">
        <v>3866</v>
      </c>
      <c r="N272" s="31" t="s">
        <v>3857</v>
      </c>
    </row>
    <row r="273" spans="1:14">
      <c r="A273" s="31" t="s">
        <v>676</v>
      </c>
      <c r="B273" s="31" t="s">
        <v>677</v>
      </c>
      <c r="C273" s="31">
        <v>824</v>
      </c>
      <c r="D273" s="31">
        <v>4531</v>
      </c>
      <c r="E273" s="31">
        <v>0</v>
      </c>
      <c r="F273" s="31">
        <v>221223</v>
      </c>
      <c r="G273" s="31">
        <v>225754</v>
      </c>
      <c r="H273" s="31">
        <v>226578</v>
      </c>
      <c r="I273" s="31">
        <v>0</v>
      </c>
      <c r="J273" s="31">
        <v>824</v>
      </c>
      <c r="K273" s="31">
        <v>0.36</v>
      </c>
      <c r="L273" s="31">
        <v>6</v>
      </c>
      <c r="M273" s="31" t="s">
        <v>3866</v>
      </c>
      <c r="N273" s="31" t="s">
        <v>3857</v>
      </c>
    </row>
    <row r="274" spans="1:14">
      <c r="A274" s="31" t="s">
        <v>720</v>
      </c>
      <c r="B274" s="31" t="s">
        <v>721</v>
      </c>
      <c r="C274" s="31">
        <v>11556</v>
      </c>
      <c r="D274" s="31">
        <v>5648</v>
      </c>
      <c r="E274" s="31">
        <v>0</v>
      </c>
      <c r="F274" s="31">
        <v>300645</v>
      </c>
      <c r="G274" s="31">
        <v>306293</v>
      </c>
      <c r="H274" s="31">
        <v>317849</v>
      </c>
      <c r="I274" s="31">
        <v>0</v>
      </c>
      <c r="J274" s="31">
        <v>11556</v>
      </c>
      <c r="K274" s="31">
        <v>3.63</v>
      </c>
      <c r="L274" s="31">
        <v>6</v>
      </c>
      <c r="M274" s="31" t="s">
        <v>3866</v>
      </c>
      <c r="N274" s="31" t="s">
        <v>3857</v>
      </c>
    </row>
    <row r="275" spans="1:14">
      <c r="A275" s="31" t="s">
        <v>408</v>
      </c>
      <c r="B275" s="31" t="s">
        <v>409</v>
      </c>
      <c r="C275" s="31">
        <v>993</v>
      </c>
      <c r="D275" s="31">
        <v>4324</v>
      </c>
      <c r="E275" s="31">
        <v>0</v>
      </c>
      <c r="F275" s="31">
        <v>140576</v>
      </c>
      <c r="G275" s="31">
        <v>144900</v>
      </c>
      <c r="H275" s="31">
        <v>145893</v>
      </c>
      <c r="I275" s="31">
        <v>0</v>
      </c>
      <c r="J275" s="31">
        <v>993</v>
      </c>
      <c r="K275" s="31">
        <v>0.68</v>
      </c>
      <c r="L275" s="31">
        <v>6</v>
      </c>
      <c r="M275" s="31" t="s">
        <v>3866</v>
      </c>
      <c r="N275" s="31" t="s">
        <v>3857</v>
      </c>
    </row>
    <row r="276" spans="1:14">
      <c r="A276" s="31" t="s">
        <v>426</v>
      </c>
      <c r="B276" s="31" t="s">
        <v>427</v>
      </c>
      <c r="C276" s="31">
        <v>0</v>
      </c>
      <c r="D276" s="31">
        <v>0</v>
      </c>
      <c r="E276" s="31">
        <v>0</v>
      </c>
      <c r="F276" s="31">
        <v>466415</v>
      </c>
      <c r="G276" s="31">
        <v>466415</v>
      </c>
      <c r="H276" s="31">
        <v>466415</v>
      </c>
      <c r="I276" s="31">
        <v>0</v>
      </c>
      <c r="J276" s="31">
        <v>0</v>
      </c>
      <c r="K276" s="31">
        <v>0</v>
      </c>
      <c r="L276" s="31">
        <v>6</v>
      </c>
      <c r="M276" s="31" t="s">
        <v>3866</v>
      </c>
      <c r="N276" s="31" t="s">
        <v>3857</v>
      </c>
    </row>
    <row r="277" spans="1:14">
      <c r="A277" s="31" t="s">
        <v>618</v>
      </c>
      <c r="B277" s="31" t="s">
        <v>619</v>
      </c>
      <c r="C277" s="31">
        <v>9729</v>
      </c>
      <c r="D277" s="31">
        <v>7096</v>
      </c>
      <c r="E277" s="31">
        <v>0</v>
      </c>
      <c r="F277" s="31">
        <v>158483</v>
      </c>
      <c r="G277" s="31">
        <v>165579</v>
      </c>
      <c r="H277" s="31">
        <v>175308</v>
      </c>
      <c r="I277" s="31">
        <v>0</v>
      </c>
      <c r="J277" s="31">
        <v>9729</v>
      </c>
      <c r="K277" s="31">
        <v>5.54</v>
      </c>
      <c r="L277" s="31">
        <v>6</v>
      </c>
      <c r="M277" s="31" t="s">
        <v>3866</v>
      </c>
      <c r="N277" s="31" t="s">
        <v>3857</v>
      </c>
    </row>
    <row r="278" spans="1:14">
      <c r="A278" s="31" t="s">
        <v>564</v>
      </c>
      <c r="B278" s="31" t="s">
        <v>565</v>
      </c>
      <c r="C278" s="31">
        <v>3979</v>
      </c>
      <c r="D278" s="31">
        <v>115078</v>
      </c>
      <c r="E278" s="31">
        <v>0</v>
      </c>
      <c r="F278" s="31">
        <v>154733</v>
      </c>
      <c r="G278" s="31">
        <v>269811</v>
      </c>
      <c r="H278" s="31">
        <v>273790</v>
      </c>
      <c r="I278" s="31">
        <v>0</v>
      </c>
      <c r="J278" s="31">
        <v>3979</v>
      </c>
      <c r="K278" s="31">
        <v>1.45</v>
      </c>
      <c r="L278" s="31">
        <v>6</v>
      </c>
      <c r="M278" s="31" t="s">
        <v>3866</v>
      </c>
      <c r="N278" s="31" t="s">
        <v>3857</v>
      </c>
    </row>
    <row r="279" spans="1:14">
      <c r="A279" s="31" t="s">
        <v>728</v>
      </c>
      <c r="B279" s="31" t="s">
        <v>729</v>
      </c>
      <c r="C279" s="31">
        <v>3538</v>
      </c>
      <c r="D279" s="31">
        <v>2471</v>
      </c>
      <c r="E279" s="31">
        <v>0</v>
      </c>
      <c r="F279" s="31">
        <v>313774</v>
      </c>
      <c r="G279" s="31">
        <v>316245</v>
      </c>
      <c r="H279" s="31">
        <v>319783</v>
      </c>
      <c r="I279" s="31">
        <v>0</v>
      </c>
      <c r="J279" s="31">
        <v>3538</v>
      </c>
      <c r="K279" s="31">
        <v>1.1000000000000001</v>
      </c>
      <c r="L279" s="31">
        <v>6</v>
      </c>
      <c r="M279" s="31" t="s">
        <v>3866</v>
      </c>
      <c r="N279" s="31" t="s">
        <v>3857</v>
      </c>
    </row>
    <row r="280" spans="1:14">
      <c r="A280" s="31" t="s">
        <v>134</v>
      </c>
      <c r="B280" s="31" t="s">
        <v>135</v>
      </c>
      <c r="C280" s="31">
        <v>24173</v>
      </c>
      <c r="D280" s="31">
        <v>22244</v>
      </c>
      <c r="E280" s="31">
        <v>184804</v>
      </c>
      <c r="F280" s="31">
        <v>0</v>
      </c>
      <c r="G280" s="31">
        <v>207048</v>
      </c>
      <c r="H280" s="31">
        <v>231221</v>
      </c>
      <c r="I280" s="31">
        <v>0</v>
      </c>
      <c r="J280" s="31">
        <v>24173</v>
      </c>
      <c r="K280" s="31">
        <v>10.45</v>
      </c>
      <c r="L280" s="31">
        <v>5</v>
      </c>
      <c r="M280" s="31" t="s">
        <v>3863</v>
      </c>
      <c r="N280" s="31" t="s">
        <v>3857</v>
      </c>
    </row>
    <row r="281" spans="1:14">
      <c r="A281" s="31" t="s">
        <v>268</v>
      </c>
      <c r="B281" s="31" t="s">
        <v>269</v>
      </c>
      <c r="C281" s="31">
        <v>42162</v>
      </c>
      <c r="D281" s="31">
        <v>45231</v>
      </c>
      <c r="E281" s="31">
        <v>215009</v>
      </c>
      <c r="F281" s="31">
        <v>0</v>
      </c>
      <c r="G281" s="31">
        <v>260240</v>
      </c>
      <c r="H281" s="31">
        <v>302402</v>
      </c>
      <c r="I281" s="31">
        <v>17295</v>
      </c>
      <c r="J281" s="31">
        <v>59457</v>
      </c>
      <c r="K281" s="31">
        <v>19.66</v>
      </c>
      <c r="L281" s="31">
        <v>5</v>
      </c>
      <c r="M281" s="31" t="s">
        <v>3863</v>
      </c>
      <c r="N281" s="31" t="s">
        <v>3857</v>
      </c>
    </row>
    <row r="282" spans="1:14">
      <c r="A282" s="31" t="s">
        <v>542</v>
      </c>
      <c r="B282" s="31" t="s">
        <v>543</v>
      </c>
      <c r="C282" s="31">
        <v>26103</v>
      </c>
      <c r="D282" s="31">
        <v>45381</v>
      </c>
      <c r="E282" s="31">
        <v>185796</v>
      </c>
      <c r="F282" s="31">
        <v>0</v>
      </c>
      <c r="G282" s="31">
        <v>231177</v>
      </c>
      <c r="H282" s="31">
        <v>257280</v>
      </c>
      <c r="I282" s="31">
        <v>0</v>
      </c>
      <c r="J282" s="31">
        <v>26103</v>
      </c>
      <c r="K282" s="31">
        <v>10.14</v>
      </c>
      <c r="L282" s="31">
        <v>5</v>
      </c>
      <c r="M282" s="31" t="s">
        <v>3863</v>
      </c>
      <c r="N282" s="31" t="s">
        <v>3857</v>
      </c>
    </row>
    <row r="283" spans="1:14">
      <c r="A283" s="31" t="s">
        <v>570</v>
      </c>
      <c r="B283" s="31" t="s">
        <v>571</v>
      </c>
      <c r="C283" s="31">
        <v>9690</v>
      </c>
      <c r="D283" s="31">
        <v>17166</v>
      </c>
      <c r="E283" s="31">
        <v>525842</v>
      </c>
      <c r="F283" s="31">
        <v>0</v>
      </c>
      <c r="G283" s="31">
        <v>543008</v>
      </c>
      <c r="H283" s="31">
        <v>552698</v>
      </c>
      <c r="I283" s="31">
        <v>13069</v>
      </c>
      <c r="J283" s="31">
        <v>22759</v>
      </c>
      <c r="K283" s="31">
        <v>4.1100000000000003</v>
      </c>
      <c r="L283" s="31">
        <v>5</v>
      </c>
      <c r="M283" s="31" t="s">
        <v>3863</v>
      </c>
      <c r="N283" s="31" t="s">
        <v>3857</v>
      </c>
    </row>
    <row r="284" spans="1:14">
      <c r="A284" s="31" t="s">
        <v>464</v>
      </c>
      <c r="B284" s="31" t="s">
        <v>465</v>
      </c>
      <c r="C284" s="31">
        <v>5733</v>
      </c>
      <c r="D284" s="31">
        <v>583</v>
      </c>
      <c r="E284" s="31">
        <v>0</v>
      </c>
      <c r="F284" s="31">
        <v>273861</v>
      </c>
      <c r="G284" s="31">
        <v>274444</v>
      </c>
      <c r="H284" s="31">
        <v>280177</v>
      </c>
      <c r="I284" s="31">
        <v>0</v>
      </c>
      <c r="J284" s="31">
        <v>5733</v>
      </c>
      <c r="K284" s="31">
        <v>2.04</v>
      </c>
      <c r="L284" s="31">
        <v>6</v>
      </c>
      <c r="M284" s="31" t="s">
        <v>3866</v>
      </c>
      <c r="N284" s="31" t="s">
        <v>3857</v>
      </c>
    </row>
    <row r="285" spans="1:14">
      <c r="A285" s="31" t="s">
        <v>486</v>
      </c>
      <c r="B285" s="31" t="s">
        <v>487</v>
      </c>
      <c r="C285" s="31">
        <v>8523</v>
      </c>
      <c r="D285" s="31">
        <v>1766</v>
      </c>
      <c r="E285" s="31">
        <v>0</v>
      </c>
      <c r="F285" s="31">
        <v>190512</v>
      </c>
      <c r="G285" s="31">
        <v>192278</v>
      </c>
      <c r="H285" s="31">
        <v>200801</v>
      </c>
      <c r="I285" s="31">
        <v>0</v>
      </c>
      <c r="J285" s="31">
        <v>8523</v>
      </c>
      <c r="K285" s="31">
        <v>4.24</v>
      </c>
      <c r="L285" s="31">
        <v>6</v>
      </c>
      <c r="M285" s="31" t="s">
        <v>3866</v>
      </c>
      <c r="N285" s="31" t="s">
        <v>3857</v>
      </c>
    </row>
    <row r="286" spans="1:14">
      <c r="A286" s="31" t="s">
        <v>606</v>
      </c>
      <c r="B286" s="31" t="s">
        <v>607</v>
      </c>
      <c r="C286" s="31">
        <v>601</v>
      </c>
      <c r="D286" s="31">
        <v>5983</v>
      </c>
      <c r="E286" s="31">
        <v>0</v>
      </c>
      <c r="F286" s="31">
        <v>141543</v>
      </c>
      <c r="G286" s="31">
        <v>147526</v>
      </c>
      <c r="H286" s="31">
        <v>148127</v>
      </c>
      <c r="I286" s="31">
        <v>0</v>
      </c>
      <c r="J286" s="31">
        <v>601</v>
      </c>
      <c r="K286" s="31">
        <v>0.4</v>
      </c>
      <c r="L286" s="31">
        <v>6</v>
      </c>
      <c r="M286" s="31" t="s">
        <v>3866</v>
      </c>
      <c r="N286" s="31" t="s">
        <v>3857</v>
      </c>
    </row>
    <row r="287" spans="1:14">
      <c r="A287" s="31" t="s">
        <v>636</v>
      </c>
      <c r="B287" s="31" t="s">
        <v>637</v>
      </c>
      <c r="C287" s="31">
        <v>1493</v>
      </c>
      <c r="D287" s="31">
        <v>916</v>
      </c>
      <c r="E287" s="31">
        <v>0</v>
      </c>
      <c r="F287" s="31">
        <v>273097</v>
      </c>
      <c r="G287" s="31">
        <v>274013</v>
      </c>
      <c r="H287" s="31">
        <v>275506</v>
      </c>
      <c r="I287" s="31">
        <v>0</v>
      </c>
      <c r="J287" s="31">
        <v>1493</v>
      </c>
      <c r="K287" s="31">
        <v>0.54</v>
      </c>
      <c r="L287" s="31">
        <v>6</v>
      </c>
      <c r="M287" s="31" t="s">
        <v>3866</v>
      </c>
      <c r="N287" s="31" t="s">
        <v>3857</v>
      </c>
    </row>
    <row r="288" spans="1:14">
      <c r="A288" s="31" t="s">
        <v>152</v>
      </c>
      <c r="B288" s="31" t="s">
        <v>153</v>
      </c>
      <c r="C288" s="31">
        <v>553</v>
      </c>
      <c r="D288" s="31">
        <v>0</v>
      </c>
      <c r="E288" s="31">
        <v>0</v>
      </c>
      <c r="F288" s="31">
        <v>1072492</v>
      </c>
      <c r="G288" s="31">
        <v>1072492</v>
      </c>
      <c r="H288" s="31">
        <v>1073045</v>
      </c>
      <c r="I288" s="31">
        <v>0</v>
      </c>
      <c r="J288" s="31">
        <v>553</v>
      </c>
      <c r="K288" s="31">
        <v>0.05</v>
      </c>
      <c r="L288" s="31">
        <v>6</v>
      </c>
      <c r="M288" s="31" t="s">
        <v>3866</v>
      </c>
      <c r="N288" s="31" t="s">
        <v>3857</v>
      </c>
    </row>
    <row r="289" spans="1:14">
      <c r="A289" s="31" t="s">
        <v>247</v>
      </c>
      <c r="B289" s="31" t="s">
        <v>248</v>
      </c>
      <c r="C289" s="31">
        <v>565</v>
      </c>
      <c r="D289" s="31">
        <v>316395</v>
      </c>
      <c r="E289" s="31">
        <v>0</v>
      </c>
      <c r="F289" s="31">
        <v>0</v>
      </c>
      <c r="G289" s="31">
        <v>316395</v>
      </c>
      <c r="H289" s="31">
        <v>316960</v>
      </c>
      <c r="I289" s="31">
        <v>0</v>
      </c>
      <c r="J289" s="31">
        <v>565</v>
      </c>
      <c r="K289" s="31">
        <v>0.17</v>
      </c>
      <c r="L289" s="31">
        <v>4</v>
      </c>
      <c r="M289" s="31" t="s">
        <v>3856</v>
      </c>
      <c r="N289" s="31" t="s">
        <v>3857</v>
      </c>
    </row>
    <row r="290" spans="1:14">
      <c r="A290" s="31" t="s">
        <v>274</v>
      </c>
      <c r="B290" s="31" t="s">
        <v>275</v>
      </c>
      <c r="C290" s="31">
        <v>276</v>
      </c>
      <c r="D290" s="31">
        <v>250</v>
      </c>
      <c r="E290" s="31">
        <v>0</v>
      </c>
      <c r="F290" s="31">
        <v>312399</v>
      </c>
      <c r="G290" s="31">
        <v>312649</v>
      </c>
      <c r="H290" s="31">
        <v>312925</v>
      </c>
      <c r="I290" s="31">
        <v>0</v>
      </c>
      <c r="J290" s="31">
        <v>276</v>
      </c>
      <c r="K290" s="31">
        <v>0.08</v>
      </c>
      <c r="L290" s="31">
        <v>6</v>
      </c>
      <c r="M290" s="31" t="s">
        <v>3866</v>
      </c>
      <c r="N290" s="31" t="s">
        <v>3857</v>
      </c>
    </row>
    <row r="291" spans="1:14">
      <c r="A291" s="31" t="s">
        <v>558</v>
      </c>
      <c r="B291" s="31" t="s">
        <v>559</v>
      </c>
      <c r="C291" s="31">
        <v>0</v>
      </c>
      <c r="D291" s="31">
        <v>0</v>
      </c>
      <c r="E291" s="31">
        <v>0</v>
      </c>
      <c r="F291" s="31">
        <v>308063</v>
      </c>
      <c r="G291" s="31">
        <v>308063</v>
      </c>
      <c r="H291" s="31">
        <v>308063</v>
      </c>
      <c r="I291" s="31">
        <v>0</v>
      </c>
      <c r="J291" s="31">
        <v>0</v>
      </c>
      <c r="K291" s="31">
        <v>0</v>
      </c>
      <c r="L291" s="31">
        <v>6</v>
      </c>
      <c r="M291" s="31" t="s">
        <v>3866</v>
      </c>
      <c r="N291" s="31" t="s">
        <v>3857</v>
      </c>
    </row>
    <row r="292" spans="1:14">
      <c r="A292" s="31" t="s">
        <v>576</v>
      </c>
      <c r="B292" s="31" t="s">
        <v>577</v>
      </c>
      <c r="C292" s="31">
        <v>20398</v>
      </c>
      <c r="D292" s="31">
        <v>3570</v>
      </c>
      <c r="E292" s="31">
        <v>0</v>
      </c>
      <c r="F292" s="31">
        <v>182706</v>
      </c>
      <c r="G292" s="31">
        <v>186276</v>
      </c>
      <c r="H292" s="31">
        <v>206674</v>
      </c>
      <c r="I292" s="31">
        <v>0</v>
      </c>
      <c r="J292" s="31">
        <v>20398</v>
      </c>
      <c r="K292" s="31">
        <v>9.86</v>
      </c>
      <c r="L292" s="31">
        <v>6</v>
      </c>
      <c r="M292" s="31" t="s">
        <v>3866</v>
      </c>
      <c r="N292" s="31" t="s">
        <v>3857</v>
      </c>
    </row>
    <row r="293" spans="1:14">
      <c r="A293" s="31" t="s">
        <v>686</v>
      </c>
      <c r="B293" s="31" t="s">
        <v>687</v>
      </c>
      <c r="C293" s="31">
        <v>3005</v>
      </c>
      <c r="D293" s="31">
        <v>636</v>
      </c>
      <c r="E293" s="31">
        <v>0</v>
      </c>
      <c r="F293" s="31">
        <v>265682</v>
      </c>
      <c r="G293" s="31">
        <v>266318</v>
      </c>
      <c r="H293" s="31">
        <v>269323</v>
      </c>
      <c r="I293" s="31">
        <v>0</v>
      </c>
      <c r="J293" s="31">
        <v>3005</v>
      </c>
      <c r="K293" s="31">
        <v>1.1100000000000001</v>
      </c>
      <c r="L293" s="31">
        <v>6</v>
      </c>
      <c r="M293" s="31" t="s">
        <v>3866</v>
      </c>
      <c r="N293" s="31" t="s">
        <v>3857</v>
      </c>
    </row>
    <row r="294" spans="1:14">
      <c r="A294" s="31" t="s">
        <v>734</v>
      </c>
      <c r="B294" s="31" t="s">
        <v>735</v>
      </c>
      <c r="C294" s="31">
        <v>0</v>
      </c>
      <c r="D294" s="31">
        <v>0</v>
      </c>
      <c r="E294" s="31">
        <v>0</v>
      </c>
      <c r="F294" s="31">
        <v>249470</v>
      </c>
      <c r="G294" s="31">
        <v>249470</v>
      </c>
      <c r="H294" s="31">
        <v>249470</v>
      </c>
      <c r="I294" s="31">
        <v>0</v>
      </c>
      <c r="J294" s="31">
        <v>0</v>
      </c>
      <c r="K294" s="31">
        <v>0</v>
      </c>
      <c r="L294" s="31">
        <v>6</v>
      </c>
      <c r="M294" s="31" t="s">
        <v>3866</v>
      </c>
      <c r="N294" s="31" t="s">
        <v>3857</v>
      </c>
    </row>
    <row r="295" spans="1:14">
      <c r="A295" s="31" t="s">
        <v>171</v>
      </c>
      <c r="B295" s="31" t="s">
        <v>172</v>
      </c>
      <c r="C295" s="31">
        <v>35828</v>
      </c>
      <c r="D295" s="31">
        <v>88385</v>
      </c>
      <c r="E295" s="31">
        <v>0</v>
      </c>
      <c r="F295" s="31">
        <v>398239</v>
      </c>
      <c r="G295" s="31">
        <v>486624</v>
      </c>
      <c r="H295" s="31">
        <v>522452</v>
      </c>
      <c r="I295" s="31">
        <v>14809</v>
      </c>
      <c r="J295" s="31">
        <v>50637</v>
      </c>
      <c r="K295" s="31">
        <v>9.69</v>
      </c>
      <c r="L295" s="31">
        <v>6</v>
      </c>
      <c r="M295" s="31" t="s">
        <v>3866</v>
      </c>
      <c r="N295" s="31" t="s">
        <v>3857</v>
      </c>
    </row>
    <row r="296" spans="1:14">
      <c r="A296" s="31" t="s">
        <v>201</v>
      </c>
      <c r="B296" s="31" t="s">
        <v>202</v>
      </c>
      <c r="C296" s="31">
        <v>39226</v>
      </c>
      <c r="D296" s="31">
        <v>15692</v>
      </c>
      <c r="E296" s="31">
        <v>0</v>
      </c>
      <c r="F296" s="31">
        <v>148908</v>
      </c>
      <c r="G296" s="31">
        <v>164600</v>
      </c>
      <c r="H296" s="31">
        <v>203826</v>
      </c>
      <c r="I296" s="31">
        <v>11690</v>
      </c>
      <c r="J296" s="31">
        <v>50916</v>
      </c>
      <c r="K296" s="31">
        <v>24.98</v>
      </c>
      <c r="L296" s="31">
        <v>6</v>
      </c>
      <c r="M296" s="31" t="s">
        <v>3866</v>
      </c>
      <c r="N296" s="31" t="s">
        <v>3857</v>
      </c>
    </row>
    <row r="297" spans="1:14">
      <c r="A297" s="31" t="s">
        <v>406</v>
      </c>
      <c r="B297" s="31" t="s">
        <v>407</v>
      </c>
      <c r="C297" s="31">
        <v>48918</v>
      </c>
      <c r="D297" s="31">
        <v>21924</v>
      </c>
      <c r="E297" s="31">
        <v>0</v>
      </c>
      <c r="F297" s="31">
        <v>351616</v>
      </c>
      <c r="G297" s="31">
        <v>373540</v>
      </c>
      <c r="H297" s="31">
        <v>422458</v>
      </c>
      <c r="I297" s="31">
        <v>0</v>
      </c>
      <c r="J297" s="31">
        <v>48918</v>
      </c>
      <c r="K297" s="31">
        <v>11.57</v>
      </c>
      <c r="L297" s="31">
        <v>6</v>
      </c>
      <c r="M297" s="31" t="s">
        <v>3866</v>
      </c>
      <c r="N297" s="31" t="s">
        <v>3857</v>
      </c>
    </row>
    <row r="298" spans="1:14">
      <c r="A298" s="31" t="s">
        <v>414</v>
      </c>
      <c r="B298" s="31" t="s">
        <v>415</v>
      </c>
      <c r="C298" s="31">
        <v>43035</v>
      </c>
      <c r="D298" s="31">
        <v>52316</v>
      </c>
      <c r="E298" s="31">
        <v>0</v>
      </c>
      <c r="F298" s="31">
        <v>656134</v>
      </c>
      <c r="G298" s="31">
        <v>708450</v>
      </c>
      <c r="H298" s="31">
        <v>751485</v>
      </c>
      <c r="I298" s="31">
        <v>13572</v>
      </c>
      <c r="J298" s="31">
        <v>56607</v>
      </c>
      <c r="K298" s="31">
        <v>7.53</v>
      </c>
      <c r="L298" s="31">
        <v>6</v>
      </c>
      <c r="M298" s="31" t="s">
        <v>3866</v>
      </c>
      <c r="N298" s="31" t="s">
        <v>3857</v>
      </c>
    </row>
    <row r="299" spans="1:14">
      <c r="A299" s="31" t="s">
        <v>684</v>
      </c>
      <c r="B299" s="31" t="s">
        <v>685</v>
      </c>
      <c r="C299" s="31">
        <v>57828</v>
      </c>
      <c r="D299" s="31">
        <v>138740</v>
      </c>
      <c r="E299" s="31">
        <v>0</v>
      </c>
      <c r="F299" s="31">
        <v>129269</v>
      </c>
      <c r="G299" s="31">
        <v>268009</v>
      </c>
      <c r="H299" s="31">
        <v>325837</v>
      </c>
      <c r="I299" s="31">
        <v>18899</v>
      </c>
      <c r="J299" s="31">
        <v>76727</v>
      </c>
      <c r="K299" s="31">
        <v>23.54</v>
      </c>
      <c r="L299" s="31">
        <v>4</v>
      </c>
      <c r="M299" s="31" t="s">
        <v>3856</v>
      </c>
      <c r="N299" s="31" t="s">
        <v>3857</v>
      </c>
    </row>
    <row r="300" spans="1:14">
      <c r="A300" s="31" t="s">
        <v>326</v>
      </c>
      <c r="B300" s="31" t="s">
        <v>327</v>
      </c>
      <c r="C300" s="31">
        <v>16063</v>
      </c>
      <c r="D300" s="31">
        <v>2861</v>
      </c>
      <c r="E300" s="31">
        <v>0</v>
      </c>
      <c r="F300" s="31">
        <v>181290</v>
      </c>
      <c r="G300" s="31">
        <v>184151</v>
      </c>
      <c r="H300" s="31">
        <v>200214</v>
      </c>
      <c r="I300" s="31">
        <v>0</v>
      </c>
      <c r="J300" s="31">
        <v>16063</v>
      </c>
      <c r="K300" s="31">
        <v>8.02</v>
      </c>
      <c r="L300" s="31">
        <v>6</v>
      </c>
      <c r="M300" s="31" t="s">
        <v>3866</v>
      </c>
      <c r="N300" s="31" t="s">
        <v>3857</v>
      </c>
    </row>
    <row r="301" spans="1:14">
      <c r="A301" s="31" t="s">
        <v>235</v>
      </c>
      <c r="B301" s="31" t="s">
        <v>236</v>
      </c>
      <c r="C301" s="31">
        <v>0</v>
      </c>
      <c r="D301" s="31">
        <v>0</v>
      </c>
      <c r="E301" s="31">
        <v>0</v>
      </c>
      <c r="F301" s="31">
        <v>7375</v>
      </c>
      <c r="G301" s="31">
        <v>7375</v>
      </c>
      <c r="H301" s="31">
        <v>7375</v>
      </c>
      <c r="I301" s="31">
        <v>0</v>
      </c>
      <c r="J301" s="31">
        <v>0</v>
      </c>
      <c r="K301" s="31">
        <v>0</v>
      </c>
      <c r="L301" s="31">
        <v>6</v>
      </c>
      <c r="M301" s="31" t="s">
        <v>3866</v>
      </c>
      <c r="N301" s="31" t="s">
        <v>3857</v>
      </c>
    </row>
    <row r="302" spans="1:14">
      <c r="A302" s="31" t="s">
        <v>129</v>
      </c>
      <c r="B302" s="31" t="s">
        <v>130</v>
      </c>
      <c r="C302" s="31">
        <v>0</v>
      </c>
      <c r="D302" s="31">
        <v>0</v>
      </c>
      <c r="E302" s="31">
        <v>0</v>
      </c>
      <c r="F302" s="31">
        <v>185911</v>
      </c>
      <c r="G302" s="31">
        <v>185911</v>
      </c>
      <c r="H302" s="31">
        <v>185911</v>
      </c>
      <c r="I302" s="31">
        <v>0</v>
      </c>
      <c r="J302" s="31">
        <v>0</v>
      </c>
      <c r="K302" s="31">
        <v>0</v>
      </c>
      <c r="L302" s="31">
        <v>6</v>
      </c>
      <c r="M302" s="31" t="s">
        <v>3866</v>
      </c>
      <c r="N302" s="31" t="s">
        <v>3857</v>
      </c>
    </row>
    <row r="303" spans="1:14">
      <c r="A303" s="31" t="s">
        <v>132</v>
      </c>
      <c r="B303" s="31" t="s">
        <v>133</v>
      </c>
      <c r="C303" s="31">
        <v>0</v>
      </c>
      <c r="D303" s="31">
        <v>753</v>
      </c>
      <c r="E303" s="31">
        <v>0</v>
      </c>
      <c r="F303" s="31">
        <v>355633</v>
      </c>
      <c r="G303" s="31">
        <v>356386</v>
      </c>
      <c r="H303" s="31">
        <v>356386</v>
      </c>
      <c r="I303" s="31">
        <v>0</v>
      </c>
      <c r="J303" s="31">
        <v>0</v>
      </c>
      <c r="K303" s="31">
        <v>0</v>
      </c>
      <c r="L303" s="31">
        <v>6</v>
      </c>
      <c r="M303" s="31" t="s">
        <v>3866</v>
      </c>
      <c r="N303" s="31" t="s">
        <v>3857</v>
      </c>
    </row>
    <row r="304" spans="1:14">
      <c r="A304" s="31" t="s">
        <v>150</v>
      </c>
      <c r="B304" s="31" t="s">
        <v>151</v>
      </c>
      <c r="C304" s="31">
        <v>152</v>
      </c>
      <c r="D304" s="31">
        <v>0</v>
      </c>
      <c r="E304" s="31">
        <v>0</v>
      </c>
      <c r="F304" s="31">
        <v>231845</v>
      </c>
      <c r="G304" s="31">
        <v>231845</v>
      </c>
      <c r="H304" s="31">
        <v>231997</v>
      </c>
      <c r="I304" s="31">
        <v>0</v>
      </c>
      <c r="J304" s="31">
        <v>152</v>
      </c>
      <c r="K304" s="31">
        <v>0.06</v>
      </c>
      <c r="L304" s="31">
        <v>6</v>
      </c>
      <c r="M304" s="31" t="s">
        <v>3866</v>
      </c>
      <c r="N304" s="31" t="s">
        <v>3857</v>
      </c>
    </row>
    <row r="305" spans="1:17">
      <c r="A305" s="31" t="s">
        <v>177</v>
      </c>
      <c r="B305" s="31" t="s">
        <v>178</v>
      </c>
      <c r="C305" s="31">
        <v>0</v>
      </c>
      <c r="D305" s="31">
        <v>0</v>
      </c>
      <c r="E305" s="31">
        <v>0</v>
      </c>
      <c r="F305" s="31">
        <v>311215</v>
      </c>
      <c r="G305" s="31">
        <v>311215</v>
      </c>
      <c r="H305" s="31">
        <v>311215</v>
      </c>
      <c r="I305" s="31">
        <v>0</v>
      </c>
      <c r="J305" s="31">
        <v>0</v>
      </c>
      <c r="K305" s="31">
        <v>0</v>
      </c>
      <c r="L305" s="31">
        <v>6</v>
      </c>
      <c r="M305" s="31" t="s">
        <v>3866</v>
      </c>
      <c r="N305" s="31" t="s">
        <v>3857</v>
      </c>
    </row>
    <row r="306" spans="1:17">
      <c r="A306" s="31" t="s">
        <v>187</v>
      </c>
      <c r="B306" s="31" t="s">
        <v>188</v>
      </c>
      <c r="C306" s="31">
        <v>3455</v>
      </c>
      <c r="D306" s="31">
        <v>14174</v>
      </c>
      <c r="E306" s="31">
        <v>0</v>
      </c>
      <c r="F306" s="31">
        <v>291763</v>
      </c>
      <c r="G306" s="31">
        <v>305937</v>
      </c>
      <c r="H306" s="31">
        <v>309392</v>
      </c>
      <c r="I306" s="31">
        <v>0</v>
      </c>
      <c r="J306" s="31">
        <v>3455</v>
      </c>
      <c r="K306" s="31">
        <v>1.1100000000000001</v>
      </c>
      <c r="L306" s="31">
        <v>6</v>
      </c>
      <c r="M306" s="31" t="s">
        <v>3866</v>
      </c>
      <c r="N306" s="31" t="s">
        <v>3857</v>
      </c>
    </row>
    <row r="307" spans="1:17">
      <c r="A307" s="31" t="s">
        <v>205</v>
      </c>
      <c r="B307" s="31" t="s">
        <v>206</v>
      </c>
      <c r="C307" s="31">
        <v>0</v>
      </c>
      <c r="D307" s="31">
        <v>0</v>
      </c>
      <c r="E307" s="31">
        <v>0</v>
      </c>
      <c r="F307" s="31">
        <v>220338</v>
      </c>
      <c r="G307" s="31">
        <v>220338</v>
      </c>
      <c r="H307" s="31">
        <v>220338</v>
      </c>
      <c r="I307" s="31">
        <v>0</v>
      </c>
      <c r="J307" s="31">
        <v>0</v>
      </c>
      <c r="K307" s="31">
        <v>0</v>
      </c>
      <c r="L307" s="31">
        <v>6</v>
      </c>
      <c r="M307" s="31" t="s">
        <v>3866</v>
      </c>
      <c r="N307" s="31" t="s">
        <v>3857</v>
      </c>
    </row>
    <row r="308" spans="1:17">
      <c r="A308" s="31" t="s">
        <v>253</v>
      </c>
      <c r="B308" s="31" t="s">
        <v>254</v>
      </c>
      <c r="C308" s="31">
        <v>0</v>
      </c>
      <c r="D308" s="31">
        <v>0</v>
      </c>
      <c r="E308" s="31">
        <v>0</v>
      </c>
      <c r="F308" s="31">
        <v>363378</v>
      </c>
      <c r="G308" s="31">
        <v>363378</v>
      </c>
      <c r="H308" s="31">
        <v>363378</v>
      </c>
      <c r="I308" s="31">
        <v>0</v>
      </c>
      <c r="J308" s="31">
        <v>0</v>
      </c>
      <c r="K308" s="31">
        <v>0</v>
      </c>
      <c r="L308" s="31">
        <v>6</v>
      </c>
      <c r="M308" s="31" t="s">
        <v>3866</v>
      </c>
      <c r="N308" s="31" t="s">
        <v>3857</v>
      </c>
    </row>
    <row r="309" spans="1:17">
      <c r="A309" s="31" t="s">
        <v>278</v>
      </c>
      <c r="B309" s="31" t="s">
        <v>279</v>
      </c>
      <c r="C309" s="31">
        <v>0</v>
      </c>
      <c r="D309" s="31">
        <v>0</v>
      </c>
      <c r="E309" s="31">
        <v>0</v>
      </c>
      <c r="F309" s="31">
        <v>338449</v>
      </c>
      <c r="G309" s="31">
        <v>338449</v>
      </c>
      <c r="H309" s="31">
        <v>338449</v>
      </c>
      <c r="I309" s="31">
        <v>0</v>
      </c>
      <c r="J309" s="31">
        <v>0</v>
      </c>
      <c r="K309" s="31">
        <v>0</v>
      </c>
      <c r="L309" s="31">
        <v>6</v>
      </c>
      <c r="M309" s="31" t="s">
        <v>3866</v>
      </c>
      <c r="N309" s="31" t="s">
        <v>3857</v>
      </c>
    </row>
    <row r="310" spans="1:17">
      <c r="A310" s="31" t="s">
        <v>306</v>
      </c>
      <c r="B310" s="31" t="s">
        <v>307</v>
      </c>
      <c r="C310" s="31">
        <v>1478</v>
      </c>
      <c r="D310" s="31">
        <v>1817</v>
      </c>
      <c r="E310" s="31">
        <v>0</v>
      </c>
      <c r="F310" s="31">
        <v>309171</v>
      </c>
      <c r="G310" s="31">
        <v>310988</v>
      </c>
      <c r="H310" s="31">
        <v>312466</v>
      </c>
      <c r="I310" s="31">
        <v>0</v>
      </c>
      <c r="J310" s="31">
        <v>1478</v>
      </c>
      <c r="K310" s="31">
        <v>0.47</v>
      </c>
      <c r="L310" s="31">
        <v>6</v>
      </c>
      <c r="M310" s="31" t="s">
        <v>3866</v>
      </c>
      <c r="N310" s="31" t="s">
        <v>3857</v>
      </c>
    </row>
    <row r="311" spans="1:17">
      <c r="A311" s="31" t="s">
        <v>338</v>
      </c>
      <c r="B311" s="31" t="s">
        <v>339</v>
      </c>
      <c r="C311" s="31">
        <v>0</v>
      </c>
      <c r="D311" s="31">
        <v>0</v>
      </c>
      <c r="E311" s="31">
        <v>0</v>
      </c>
      <c r="F311" s="31">
        <v>254557</v>
      </c>
      <c r="G311" s="31">
        <v>254557</v>
      </c>
      <c r="H311" s="31">
        <v>254557</v>
      </c>
      <c r="I311" s="31">
        <v>0</v>
      </c>
      <c r="J311" s="31">
        <v>0</v>
      </c>
      <c r="K311" s="31">
        <v>0</v>
      </c>
      <c r="L311" s="31">
        <v>6</v>
      </c>
      <c r="M311" s="31" t="s">
        <v>3866</v>
      </c>
      <c r="N311" s="31" t="s">
        <v>3857</v>
      </c>
    </row>
    <row r="312" spans="1:17">
      <c r="A312" s="31" t="s">
        <v>342</v>
      </c>
      <c r="B312" s="31" t="s">
        <v>343</v>
      </c>
      <c r="C312" s="31">
        <v>625</v>
      </c>
      <c r="D312" s="31">
        <v>0</v>
      </c>
      <c r="E312" s="31">
        <v>0</v>
      </c>
      <c r="F312" s="31">
        <v>245645</v>
      </c>
      <c r="G312" s="31">
        <v>245645</v>
      </c>
      <c r="H312" s="31">
        <v>246270</v>
      </c>
      <c r="I312" s="31">
        <v>0</v>
      </c>
      <c r="J312" s="31">
        <v>625</v>
      </c>
      <c r="K312" s="31">
        <v>0.25</v>
      </c>
      <c r="L312" s="31">
        <v>6</v>
      </c>
      <c r="M312" s="31" t="s">
        <v>3866</v>
      </c>
      <c r="N312" s="31" t="s">
        <v>3857</v>
      </c>
    </row>
    <row r="313" spans="1:17">
      <c r="A313" s="31" t="s">
        <v>348</v>
      </c>
      <c r="B313" s="31" t="s">
        <v>349</v>
      </c>
      <c r="C313" s="31">
        <v>0</v>
      </c>
      <c r="D313" s="31">
        <v>0</v>
      </c>
      <c r="E313" s="31">
        <v>0</v>
      </c>
      <c r="F313" s="31">
        <v>182493</v>
      </c>
      <c r="G313" s="31">
        <v>182493</v>
      </c>
      <c r="H313" s="31">
        <v>182493</v>
      </c>
      <c r="I313" s="31">
        <v>0</v>
      </c>
      <c r="J313" s="31">
        <v>0</v>
      </c>
      <c r="K313" s="31">
        <v>0</v>
      </c>
      <c r="L313" s="31">
        <v>6</v>
      </c>
      <c r="M313" s="31" t="s">
        <v>3866</v>
      </c>
      <c r="N313" s="31" t="s">
        <v>3857</v>
      </c>
    </row>
    <row r="314" spans="1:17">
      <c r="A314" s="31" t="s">
        <v>352</v>
      </c>
      <c r="B314" s="31" t="s">
        <v>353</v>
      </c>
      <c r="C314" s="31">
        <v>0</v>
      </c>
      <c r="D314" s="31">
        <v>0</v>
      </c>
      <c r="E314" s="31">
        <v>0</v>
      </c>
      <c r="F314" s="31">
        <v>254926</v>
      </c>
      <c r="G314" s="31">
        <v>254926</v>
      </c>
      <c r="H314" s="31">
        <v>254926</v>
      </c>
      <c r="I314" s="31">
        <v>0</v>
      </c>
      <c r="J314" s="31">
        <v>0</v>
      </c>
      <c r="K314" s="31">
        <v>0</v>
      </c>
      <c r="L314" s="31">
        <v>6</v>
      </c>
      <c r="M314" s="31" t="s">
        <v>3866</v>
      </c>
      <c r="N314" s="31" t="s">
        <v>3857</v>
      </c>
    </row>
    <row r="315" spans="1:17">
      <c r="A315" s="31" t="s">
        <v>358</v>
      </c>
      <c r="B315" s="31" t="s">
        <v>359</v>
      </c>
      <c r="C315" s="31">
        <v>601</v>
      </c>
      <c r="D315" s="31">
        <v>0</v>
      </c>
      <c r="E315" s="31">
        <v>0</v>
      </c>
      <c r="F315" s="31">
        <v>238455</v>
      </c>
      <c r="G315" s="31">
        <v>238455</v>
      </c>
      <c r="H315" s="31">
        <v>239056</v>
      </c>
      <c r="I315" s="31">
        <v>0</v>
      </c>
      <c r="J315" s="31">
        <v>601</v>
      </c>
      <c r="K315" s="31">
        <v>0.25</v>
      </c>
      <c r="L315" s="31">
        <v>6</v>
      </c>
      <c r="M315" s="31" t="s">
        <v>3866</v>
      </c>
      <c r="N315" s="31" t="s">
        <v>3857</v>
      </c>
    </row>
    <row r="316" spans="1:17">
      <c r="A316" s="31" t="s">
        <v>368</v>
      </c>
      <c r="B316" s="31" t="s">
        <v>369</v>
      </c>
      <c r="C316" s="31">
        <v>1860</v>
      </c>
      <c r="D316" s="31">
        <v>688</v>
      </c>
      <c r="E316" s="31">
        <v>0</v>
      </c>
      <c r="F316" s="31">
        <v>234684</v>
      </c>
      <c r="G316" s="31">
        <v>235372</v>
      </c>
      <c r="H316" s="31">
        <v>237232</v>
      </c>
      <c r="I316" s="31">
        <v>0</v>
      </c>
      <c r="J316" s="31">
        <v>1860</v>
      </c>
      <c r="K316" s="31">
        <v>0.78</v>
      </c>
      <c r="L316" s="31">
        <v>6</v>
      </c>
      <c r="M316" s="31" t="s">
        <v>3866</v>
      </c>
      <c r="N316" s="31" t="s">
        <v>3857</v>
      </c>
    </row>
    <row r="317" spans="1:17">
      <c r="A317" s="31" t="s">
        <v>376</v>
      </c>
      <c r="B317" s="31" t="s">
        <v>377</v>
      </c>
      <c r="C317" s="31">
        <v>7399</v>
      </c>
      <c r="D317" s="31">
        <v>3061</v>
      </c>
      <c r="E317" s="31">
        <v>0</v>
      </c>
      <c r="F317" s="31">
        <v>263476</v>
      </c>
      <c r="G317" s="31">
        <v>266537</v>
      </c>
      <c r="H317" s="31">
        <v>273936</v>
      </c>
      <c r="I317" s="31">
        <v>0</v>
      </c>
      <c r="J317" s="31">
        <v>7399</v>
      </c>
      <c r="K317" s="31">
        <v>2.7</v>
      </c>
      <c r="L317" s="31">
        <v>6</v>
      </c>
      <c r="M317" s="31" t="s">
        <v>3866</v>
      </c>
      <c r="N317" s="31" t="s">
        <v>3857</v>
      </c>
      <c r="Q317" s="31">
        <f>H317*K317</f>
        <v>739627.20000000007</v>
      </c>
    </row>
    <row r="318" spans="1:17">
      <c r="A318" s="31" t="s">
        <v>382</v>
      </c>
      <c r="B318" s="31" t="s">
        <v>383</v>
      </c>
      <c r="C318" s="31">
        <v>0</v>
      </c>
      <c r="D318" s="31">
        <v>0</v>
      </c>
      <c r="E318" s="31">
        <v>0</v>
      </c>
      <c r="F318" s="31">
        <v>253957</v>
      </c>
      <c r="G318" s="31">
        <v>253957</v>
      </c>
      <c r="H318" s="31">
        <v>253957</v>
      </c>
      <c r="I318" s="31">
        <v>0</v>
      </c>
      <c r="J318" s="31">
        <v>0</v>
      </c>
      <c r="K318" s="31">
        <v>0</v>
      </c>
      <c r="L318" s="31">
        <v>6</v>
      </c>
      <c r="M318" s="31" t="s">
        <v>3866</v>
      </c>
      <c r="N318" s="31" t="s">
        <v>3857</v>
      </c>
    </row>
    <row r="319" spans="1:17">
      <c r="A319" s="31" t="s">
        <v>394</v>
      </c>
      <c r="B319" s="31" t="s">
        <v>395</v>
      </c>
      <c r="C319" s="31">
        <v>0</v>
      </c>
      <c r="D319" s="31">
        <v>0</v>
      </c>
      <c r="E319" s="31">
        <v>0</v>
      </c>
      <c r="F319" s="31">
        <v>206125</v>
      </c>
      <c r="G319" s="31">
        <v>206125</v>
      </c>
      <c r="H319" s="31">
        <v>206125</v>
      </c>
      <c r="I319" s="31">
        <v>0</v>
      </c>
      <c r="J319" s="31">
        <v>0</v>
      </c>
      <c r="K319" s="31">
        <v>0</v>
      </c>
      <c r="L319" s="31">
        <v>6</v>
      </c>
      <c r="M319" s="31" t="s">
        <v>3866</v>
      </c>
      <c r="N319" s="31" t="s">
        <v>3857</v>
      </c>
    </row>
    <row r="320" spans="1:17">
      <c r="A320" s="31" t="s">
        <v>396</v>
      </c>
      <c r="B320" s="31" t="s">
        <v>397</v>
      </c>
      <c r="C320" s="31">
        <v>0</v>
      </c>
      <c r="D320" s="31">
        <v>0</v>
      </c>
      <c r="E320" s="31">
        <v>0</v>
      </c>
      <c r="F320" s="31">
        <v>158649</v>
      </c>
      <c r="G320" s="31">
        <v>158649</v>
      </c>
      <c r="H320" s="31">
        <v>158649</v>
      </c>
      <c r="I320" s="31">
        <v>0</v>
      </c>
      <c r="J320" s="31">
        <v>0</v>
      </c>
      <c r="K320" s="31">
        <v>0</v>
      </c>
      <c r="L320" s="31">
        <v>6</v>
      </c>
      <c r="M320" s="31" t="s">
        <v>3866</v>
      </c>
      <c r="N320" s="31" t="s">
        <v>3857</v>
      </c>
    </row>
    <row r="321" spans="1:15">
      <c r="A321" s="31" t="s">
        <v>404</v>
      </c>
      <c r="B321" s="31" t="s">
        <v>405</v>
      </c>
      <c r="C321" s="31">
        <v>424</v>
      </c>
      <c r="D321" s="31">
        <v>2650</v>
      </c>
      <c r="E321" s="31">
        <v>0</v>
      </c>
      <c r="F321" s="31">
        <v>156986</v>
      </c>
      <c r="G321" s="31">
        <v>159636</v>
      </c>
      <c r="H321" s="31">
        <v>160060</v>
      </c>
      <c r="I321" s="31">
        <v>0</v>
      </c>
      <c r="J321" s="31">
        <v>424</v>
      </c>
      <c r="K321" s="31">
        <v>0.26</v>
      </c>
      <c r="L321" s="31">
        <v>6</v>
      </c>
      <c r="M321" s="31" t="s">
        <v>3866</v>
      </c>
      <c r="N321" s="31" t="s">
        <v>3857</v>
      </c>
    </row>
    <row r="322" spans="1:15">
      <c r="A322" s="31" t="s">
        <v>410</v>
      </c>
      <c r="B322" s="31" t="s">
        <v>411</v>
      </c>
      <c r="C322" s="31">
        <v>0</v>
      </c>
      <c r="D322" s="31">
        <v>0</v>
      </c>
      <c r="E322" s="31">
        <v>0</v>
      </c>
      <c r="F322" s="31">
        <v>303086</v>
      </c>
      <c r="G322" s="31">
        <v>303086</v>
      </c>
      <c r="H322" s="31">
        <v>303086</v>
      </c>
      <c r="I322" s="31">
        <v>0</v>
      </c>
      <c r="J322" s="31">
        <v>0</v>
      </c>
      <c r="K322" s="31">
        <v>0</v>
      </c>
      <c r="L322" s="31">
        <v>6</v>
      </c>
      <c r="M322" s="31" t="s">
        <v>3866</v>
      </c>
      <c r="N322" s="31" t="s">
        <v>3857</v>
      </c>
    </row>
    <row r="323" spans="1:15">
      <c r="A323" s="31" t="s">
        <v>420</v>
      </c>
      <c r="B323" s="31" t="s">
        <v>421</v>
      </c>
      <c r="C323" s="31">
        <v>0</v>
      </c>
      <c r="D323" s="31">
        <v>0</v>
      </c>
      <c r="E323" s="31">
        <v>0</v>
      </c>
      <c r="F323" s="31">
        <v>275885</v>
      </c>
      <c r="G323" s="31">
        <v>275885</v>
      </c>
      <c r="H323" s="31">
        <v>275885</v>
      </c>
      <c r="I323" s="31">
        <v>0</v>
      </c>
      <c r="J323" s="31">
        <v>0</v>
      </c>
      <c r="K323" s="31">
        <v>0</v>
      </c>
      <c r="L323" s="31">
        <v>6</v>
      </c>
      <c r="M323" s="31" t="s">
        <v>3866</v>
      </c>
      <c r="N323" s="31" t="s">
        <v>3857</v>
      </c>
    </row>
    <row r="324" spans="1:15">
      <c r="A324" s="31" t="s">
        <v>446</v>
      </c>
      <c r="B324" s="31" t="s">
        <v>447</v>
      </c>
      <c r="C324" s="31">
        <v>0</v>
      </c>
      <c r="D324" s="31">
        <v>0</v>
      </c>
      <c r="E324" s="31">
        <v>0</v>
      </c>
      <c r="F324" s="31">
        <v>199693</v>
      </c>
      <c r="G324" s="31">
        <v>199693</v>
      </c>
      <c r="H324" s="31">
        <v>199693</v>
      </c>
      <c r="I324" s="31">
        <v>0</v>
      </c>
      <c r="J324" s="31">
        <v>0</v>
      </c>
      <c r="K324" s="31">
        <v>0</v>
      </c>
      <c r="L324" s="31">
        <v>6</v>
      </c>
      <c r="M324" s="31" t="s">
        <v>3866</v>
      </c>
      <c r="N324" s="31" t="s">
        <v>3857</v>
      </c>
    </row>
    <row r="325" spans="1:15">
      <c r="A325" s="31" t="s">
        <v>468</v>
      </c>
      <c r="B325" s="31" t="s">
        <v>469</v>
      </c>
      <c r="C325" s="31">
        <v>0</v>
      </c>
      <c r="D325" s="31">
        <v>0</v>
      </c>
      <c r="E325" s="31">
        <v>0</v>
      </c>
      <c r="F325" s="31">
        <v>307984</v>
      </c>
      <c r="G325" s="31">
        <v>307984</v>
      </c>
      <c r="H325" s="31">
        <v>307984</v>
      </c>
      <c r="I325" s="31">
        <v>0</v>
      </c>
      <c r="J325" s="31">
        <v>0</v>
      </c>
      <c r="K325" s="31">
        <v>0</v>
      </c>
      <c r="L325" s="31">
        <v>6</v>
      </c>
      <c r="M325" s="31" t="s">
        <v>3866</v>
      </c>
      <c r="N325" s="31" t="s">
        <v>3857</v>
      </c>
    </row>
    <row r="326" spans="1:15">
      <c r="A326" s="31" t="s">
        <v>520</v>
      </c>
      <c r="B326" s="31" t="s">
        <v>521</v>
      </c>
      <c r="C326" s="31">
        <v>0</v>
      </c>
      <c r="D326" s="31">
        <v>0</v>
      </c>
      <c r="E326" s="31">
        <v>0</v>
      </c>
      <c r="F326" s="31">
        <v>278970</v>
      </c>
      <c r="G326" s="31">
        <v>278970</v>
      </c>
      <c r="H326" s="31">
        <v>278970</v>
      </c>
      <c r="I326" s="31">
        <v>0</v>
      </c>
      <c r="J326" s="31">
        <v>0</v>
      </c>
      <c r="K326" s="31">
        <v>0</v>
      </c>
      <c r="L326" s="31">
        <v>6</v>
      </c>
      <c r="M326" s="31" t="s">
        <v>3866</v>
      </c>
      <c r="N326" s="31" t="s">
        <v>3857</v>
      </c>
    </row>
    <row r="327" spans="1:15">
      <c r="A327" s="31" t="s">
        <v>530</v>
      </c>
      <c r="B327" s="31" t="s">
        <v>531</v>
      </c>
      <c r="C327" s="31">
        <v>0</v>
      </c>
      <c r="D327" s="31">
        <v>0</v>
      </c>
      <c r="E327" s="31">
        <v>0</v>
      </c>
      <c r="F327" s="31">
        <v>186990</v>
      </c>
      <c r="G327" s="31">
        <v>186990</v>
      </c>
      <c r="H327" s="31">
        <v>186990</v>
      </c>
      <c r="I327" s="31">
        <v>0</v>
      </c>
      <c r="J327" s="31">
        <v>0</v>
      </c>
      <c r="K327" s="31">
        <v>0</v>
      </c>
      <c r="L327" s="31">
        <v>6</v>
      </c>
      <c r="M327" s="31" t="s">
        <v>3866</v>
      </c>
      <c r="N327" s="31" t="s">
        <v>3857</v>
      </c>
    </row>
    <row r="328" spans="1:15">
      <c r="A328" s="31" t="s">
        <v>612</v>
      </c>
      <c r="B328" s="31" t="s">
        <v>613</v>
      </c>
      <c r="C328" s="31">
        <v>0</v>
      </c>
      <c r="D328" s="31">
        <v>0</v>
      </c>
      <c r="E328" s="31">
        <v>0</v>
      </c>
      <c r="F328" s="31">
        <v>288283</v>
      </c>
      <c r="G328" s="31">
        <v>288283</v>
      </c>
      <c r="H328" s="31">
        <v>288283</v>
      </c>
      <c r="I328" s="31">
        <v>0</v>
      </c>
      <c r="J328" s="31">
        <v>0</v>
      </c>
      <c r="K328" s="31">
        <v>0</v>
      </c>
      <c r="L328" s="31">
        <v>6</v>
      </c>
      <c r="M328" s="31" t="s">
        <v>3866</v>
      </c>
      <c r="N328" s="31" t="s">
        <v>3857</v>
      </c>
    </row>
    <row r="329" spans="1:15">
      <c r="A329" s="31" t="s">
        <v>640</v>
      </c>
      <c r="B329" s="31" t="s">
        <v>641</v>
      </c>
      <c r="C329" s="31">
        <v>0</v>
      </c>
      <c r="D329" s="31">
        <v>427</v>
      </c>
      <c r="E329" s="31">
        <v>0</v>
      </c>
      <c r="F329" s="31">
        <v>189719</v>
      </c>
      <c r="G329" s="31">
        <v>190146</v>
      </c>
      <c r="H329" s="31">
        <v>190146</v>
      </c>
      <c r="I329" s="31">
        <v>0</v>
      </c>
      <c r="J329" s="31">
        <v>0</v>
      </c>
      <c r="K329" s="31">
        <v>0</v>
      </c>
      <c r="L329" s="31">
        <v>6</v>
      </c>
      <c r="M329" s="31" t="s">
        <v>3866</v>
      </c>
      <c r="N329" s="31" t="s">
        <v>3857</v>
      </c>
    </row>
    <row r="330" spans="1:15">
      <c r="A330" s="31" t="s">
        <v>674</v>
      </c>
      <c r="B330" s="31" t="s">
        <v>675</v>
      </c>
      <c r="C330" s="31">
        <v>0</v>
      </c>
      <c r="D330" s="31">
        <v>0</v>
      </c>
      <c r="E330" s="31">
        <v>0</v>
      </c>
      <c r="F330" s="31">
        <v>254096</v>
      </c>
      <c r="G330" s="31">
        <v>254096</v>
      </c>
      <c r="H330" s="31">
        <v>254096</v>
      </c>
      <c r="I330" s="31">
        <v>0</v>
      </c>
      <c r="J330" s="31">
        <v>0</v>
      </c>
      <c r="K330" s="31">
        <v>0</v>
      </c>
      <c r="L330" s="31">
        <v>6</v>
      </c>
      <c r="M330" s="31" t="s">
        <v>3866</v>
      </c>
      <c r="N330" s="31" t="s">
        <v>3857</v>
      </c>
    </row>
    <row r="331" spans="1:15">
      <c r="A331" s="31" t="s">
        <v>688</v>
      </c>
      <c r="B331" s="31" t="s">
        <v>689</v>
      </c>
      <c r="C331" s="31">
        <v>0</v>
      </c>
      <c r="D331" s="31">
        <v>0</v>
      </c>
      <c r="E331" s="31">
        <v>0</v>
      </c>
      <c r="F331" s="31">
        <v>258249</v>
      </c>
      <c r="G331" s="31">
        <v>258249</v>
      </c>
      <c r="H331" s="31">
        <v>258249</v>
      </c>
      <c r="I331" s="31">
        <v>0</v>
      </c>
      <c r="J331" s="31">
        <v>0</v>
      </c>
      <c r="K331" s="31">
        <v>0</v>
      </c>
      <c r="L331" s="31">
        <v>6</v>
      </c>
      <c r="M331" s="31" t="s">
        <v>3866</v>
      </c>
      <c r="N331" s="31" t="s">
        <v>3857</v>
      </c>
    </row>
    <row r="332" spans="1:15">
      <c r="A332" s="31" t="s">
        <v>690</v>
      </c>
      <c r="B332" s="31" t="s">
        <v>691</v>
      </c>
      <c r="C332" s="31">
        <v>0</v>
      </c>
      <c r="D332" s="31">
        <v>0</v>
      </c>
      <c r="E332" s="31">
        <v>0</v>
      </c>
      <c r="F332" s="31">
        <v>306995</v>
      </c>
      <c r="G332" s="31">
        <v>306995</v>
      </c>
      <c r="H332" s="31">
        <v>306995</v>
      </c>
      <c r="I332" s="31">
        <v>0</v>
      </c>
      <c r="J332" s="31">
        <v>0</v>
      </c>
      <c r="K332" s="31">
        <v>0</v>
      </c>
      <c r="L332" s="31">
        <v>6</v>
      </c>
      <c r="M332" s="31" t="s">
        <v>3866</v>
      </c>
      <c r="N332" s="31" t="s">
        <v>3857</v>
      </c>
    </row>
    <row r="333" spans="1:15">
      <c r="A333" s="31" t="s">
        <v>718</v>
      </c>
      <c r="B333" s="31" t="s">
        <v>719</v>
      </c>
      <c r="C333" s="31">
        <v>0</v>
      </c>
      <c r="D333" s="31">
        <v>0</v>
      </c>
      <c r="E333" s="31">
        <v>0</v>
      </c>
      <c r="F333" s="31">
        <v>219396</v>
      </c>
      <c r="G333" s="31">
        <v>219396</v>
      </c>
      <c r="H333" s="31">
        <v>219396</v>
      </c>
      <c r="I333" s="31">
        <v>0</v>
      </c>
      <c r="J333" s="31">
        <v>0</v>
      </c>
      <c r="K333" s="31">
        <v>0</v>
      </c>
      <c r="L333" s="31">
        <v>6</v>
      </c>
      <c r="M333" s="31" t="s">
        <v>3866</v>
      </c>
      <c r="N333" s="31" t="s">
        <v>3857</v>
      </c>
    </row>
    <row r="334" spans="1:15">
      <c r="A334" s="31" t="s">
        <v>3885</v>
      </c>
      <c r="B334" s="31" t="s">
        <v>3886</v>
      </c>
      <c r="C334" s="31">
        <v>292633</v>
      </c>
      <c r="D334" s="31">
        <v>328577</v>
      </c>
      <c r="E334" s="31">
        <v>0</v>
      </c>
      <c r="F334" s="31">
        <v>0</v>
      </c>
      <c r="G334" s="31">
        <v>328577</v>
      </c>
      <c r="H334" s="31">
        <v>621210</v>
      </c>
      <c r="I334" s="31">
        <v>108782</v>
      </c>
      <c r="J334" s="31">
        <v>401415</v>
      </c>
      <c r="K334" s="31">
        <v>64.61</v>
      </c>
      <c r="L334" s="31">
        <v>2</v>
      </c>
      <c r="M334" s="31" t="s">
        <v>3860</v>
      </c>
      <c r="N334" s="31" t="s">
        <v>3861</v>
      </c>
      <c r="O334" s="31">
        <v>1</v>
      </c>
    </row>
    <row r="335" spans="1:15">
      <c r="A335" s="31" t="s">
        <v>3887</v>
      </c>
      <c r="B335" s="31" t="s">
        <v>3888</v>
      </c>
      <c r="C335" s="31">
        <v>267819</v>
      </c>
      <c r="D335" s="31">
        <v>232039</v>
      </c>
      <c r="E335" s="31">
        <v>0</v>
      </c>
      <c r="F335" s="31">
        <v>0</v>
      </c>
      <c r="G335" s="31">
        <v>232039</v>
      </c>
      <c r="H335" s="31">
        <v>499858</v>
      </c>
      <c r="I335" s="31">
        <v>107704</v>
      </c>
      <c r="J335" s="31">
        <v>375523</v>
      </c>
      <c r="K335" s="31">
        <v>75.12</v>
      </c>
      <c r="L335" s="31">
        <v>2</v>
      </c>
      <c r="M335" s="31" t="s">
        <v>3860</v>
      </c>
      <c r="N335" s="31" t="s">
        <v>3861</v>
      </c>
      <c r="O335" s="31">
        <v>2</v>
      </c>
    </row>
    <row r="336" spans="1:15">
      <c r="A336" s="31" t="s">
        <v>3889</v>
      </c>
      <c r="B336" s="31" t="s">
        <v>3890</v>
      </c>
      <c r="C336" s="31">
        <v>208184</v>
      </c>
      <c r="D336" s="31">
        <v>322827</v>
      </c>
      <c r="E336" s="31">
        <v>207595</v>
      </c>
      <c r="F336" s="31">
        <v>31080</v>
      </c>
      <c r="G336" s="31">
        <v>561502</v>
      </c>
      <c r="H336" s="31">
        <v>769686</v>
      </c>
      <c r="I336" s="31">
        <v>37071</v>
      </c>
      <c r="J336" s="31">
        <v>245255</v>
      </c>
      <c r="K336" s="31">
        <v>31.86</v>
      </c>
      <c r="L336" s="31">
        <v>3</v>
      </c>
      <c r="M336" s="31" t="s">
        <v>3858</v>
      </c>
      <c r="N336" s="31" t="s">
        <v>3859</v>
      </c>
      <c r="O336" s="31">
        <v>3</v>
      </c>
    </row>
    <row r="337" spans="1:15">
      <c r="A337" s="31" t="s">
        <v>3891</v>
      </c>
      <c r="B337" s="31" t="s">
        <v>3892</v>
      </c>
      <c r="C337" s="31">
        <v>384031</v>
      </c>
      <c r="D337" s="31">
        <v>362368</v>
      </c>
      <c r="E337" s="31">
        <v>0</v>
      </c>
      <c r="F337" s="31">
        <v>0</v>
      </c>
      <c r="G337" s="31">
        <v>362368</v>
      </c>
      <c r="H337" s="31">
        <v>746399</v>
      </c>
      <c r="I337" s="31">
        <v>136358</v>
      </c>
      <c r="J337" s="31">
        <v>520389</v>
      </c>
      <c r="K337" s="31">
        <v>69.709999999999994</v>
      </c>
      <c r="L337" s="31">
        <v>2</v>
      </c>
      <c r="M337" s="31" t="s">
        <v>3860</v>
      </c>
      <c r="N337" s="31" t="s">
        <v>3861</v>
      </c>
      <c r="O337" s="31">
        <v>4</v>
      </c>
    </row>
    <row r="338" spans="1:15">
      <c r="A338" s="31" t="s">
        <v>3893</v>
      </c>
      <c r="B338" s="31" t="s">
        <v>3894</v>
      </c>
      <c r="C338" s="31">
        <v>136725</v>
      </c>
      <c r="D338" s="31">
        <v>389946</v>
      </c>
      <c r="E338" s="31">
        <v>0</v>
      </c>
      <c r="F338" s="31">
        <v>0</v>
      </c>
      <c r="G338" s="31">
        <v>389946</v>
      </c>
      <c r="H338" s="31">
        <v>526671</v>
      </c>
      <c r="I338" s="31">
        <v>76333</v>
      </c>
      <c r="J338" s="31">
        <v>213058</v>
      </c>
      <c r="K338" s="31">
        <v>40.450000000000003</v>
      </c>
      <c r="L338" s="31">
        <v>3</v>
      </c>
      <c r="M338" s="31" t="s">
        <v>3858</v>
      </c>
      <c r="N338" s="31" t="s">
        <v>3859</v>
      </c>
      <c r="O338" s="31">
        <v>6</v>
      </c>
    </row>
    <row r="339" spans="1:15">
      <c r="A339" s="31" t="s">
        <v>3895</v>
      </c>
      <c r="B339" s="31" t="s">
        <v>3896</v>
      </c>
      <c r="C339" s="31">
        <v>360605</v>
      </c>
      <c r="D339" s="31">
        <v>959885</v>
      </c>
      <c r="E339" s="31">
        <v>0</v>
      </c>
      <c r="F339" s="31">
        <v>73097</v>
      </c>
      <c r="G339" s="31">
        <v>1032982</v>
      </c>
      <c r="H339" s="31">
        <v>1393587</v>
      </c>
      <c r="I339" s="31">
        <v>112112</v>
      </c>
      <c r="J339" s="31">
        <v>472717</v>
      </c>
      <c r="K339" s="31">
        <v>33.92</v>
      </c>
      <c r="L339" s="31">
        <v>3</v>
      </c>
      <c r="M339" s="31" t="s">
        <v>3858</v>
      </c>
      <c r="N339" s="31" t="s">
        <v>3859</v>
      </c>
      <c r="O339" s="31">
        <v>7</v>
      </c>
    </row>
    <row r="340" spans="1:15">
      <c r="A340" s="31" t="s">
        <v>3897</v>
      </c>
      <c r="B340" s="31" t="s">
        <v>3898</v>
      </c>
      <c r="C340" s="31">
        <v>177017</v>
      </c>
      <c r="D340" s="31">
        <v>419967</v>
      </c>
      <c r="E340" s="31">
        <v>0</v>
      </c>
      <c r="F340" s="31">
        <v>0</v>
      </c>
      <c r="G340" s="31">
        <v>419967</v>
      </c>
      <c r="H340" s="31">
        <v>596984</v>
      </c>
      <c r="I340" s="31">
        <v>75262</v>
      </c>
      <c r="J340" s="31">
        <v>252279</v>
      </c>
      <c r="K340" s="31">
        <v>42.25</v>
      </c>
      <c r="L340" s="31">
        <v>3</v>
      </c>
      <c r="M340" s="31" t="s">
        <v>3858</v>
      </c>
      <c r="N340" s="31" t="s">
        <v>3859</v>
      </c>
      <c r="O340" s="31">
        <v>8</v>
      </c>
    </row>
    <row r="341" spans="1:15">
      <c r="A341" s="31" t="s">
        <v>3899</v>
      </c>
      <c r="B341" s="31" t="s">
        <v>3900</v>
      </c>
      <c r="C341" s="31">
        <v>288452</v>
      </c>
      <c r="D341" s="31">
        <v>1029336</v>
      </c>
      <c r="E341" s="31">
        <v>0</v>
      </c>
      <c r="F341" s="31">
        <v>0</v>
      </c>
      <c r="G341" s="31">
        <v>1029336</v>
      </c>
      <c r="H341" s="31">
        <v>1317788</v>
      </c>
      <c r="I341" s="31">
        <v>100176</v>
      </c>
      <c r="J341" s="31">
        <v>388628</v>
      </c>
      <c r="K341" s="31">
        <v>29.49</v>
      </c>
      <c r="L341" s="31">
        <v>3</v>
      </c>
      <c r="M341" s="31" t="s">
        <v>3858</v>
      </c>
      <c r="N341" s="31" t="s">
        <v>3859</v>
      </c>
      <c r="O341" s="31">
        <v>9</v>
      </c>
    </row>
    <row r="342" spans="1:15">
      <c r="A342" s="31" t="s">
        <v>3901</v>
      </c>
      <c r="B342" s="31" t="s">
        <v>3902</v>
      </c>
      <c r="C342" s="31">
        <v>128584</v>
      </c>
      <c r="D342" s="31">
        <v>578296</v>
      </c>
      <c r="E342" s="31">
        <v>0</v>
      </c>
      <c r="F342" s="31">
        <v>409182</v>
      </c>
      <c r="G342" s="31">
        <v>987478</v>
      </c>
      <c r="H342" s="31">
        <v>1116062</v>
      </c>
      <c r="I342" s="31">
        <v>49707</v>
      </c>
      <c r="J342" s="31">
        <v>178291</v>
      </c>
      <c r="K342" s="31">
        <v>15.97</v>
      </c>
      <c r="L342" s="31">
        <v>4</v>
      </c>
      <c r="M342" s="31" t="s">
        <v>3856</v>
      </c>
      <c r="N342" s="31" t="s">
        <v>3857</v>
      </c>
      <c r="O342" s="31">
        <v>10</v>
      </c>
    </row>
    <row r="343" spans="1:15">
      <c r="A343" s="31" t="s">
        <v>3903</v>
      </c>
      <c r="B343" s="31" t="s">
        <v>3904</v>
      </c>
      <c r="C343" s="31">
        <v>405100</v>
      </c>
      <c r="D343" s="31">
        <v>875105</v>
      </c>
      <c r="E343" s="31">
        <v>0</v>
      </c>
      <c r="F343" s="31">
        <v>183535</v>
      </c>
      <c r="G343" s="31">
        <v>1058640</v>
      </c>
      <c r="H343" s="31">
        <v>1463740</v>
      </c>
      <c r="I343" s="31">
        <v>83440</v>
      </c>
      <c r="J343" s="31">
        <v>488540</v>
      </c>
      <c r="K343" s="31">
        <v>33.369999999999997</v>
      </c>
      <c r="L343" s="31">
        <v>3</v>
      </c>
      <c r="M343" s="31" t="s">
        <v>3858</v>
      </c>
      <c r="N343" s="31" t="s">
        <v>3859</v>
      </c>
      <c r="O343" s="31">
        <v>11</v>
      </c>
    </row>
    <row r="344" spans="1:15">
      <c r="A344" s="31" t="s">
        <v>3905</v>
      </c>
      <c r="B344" s="31" t="s">
        <v>3906</v>
      </c>
      <c r="C344" s="31">
        <v>241710</v>
      </c>
      <c r="D344" s="31">
        <v>887982</v>
      </c>
      <c r="E344" s="31">
        <v>0</v>
      </c>
      <c r="F344" s="31">
        <v>41647</v>
      </c>
      <c r="G344" s="31">
        <v>929629</v>
      </c>
      <c r="H344" s="31">
        <v>1171339</v>
      </c>
      <c r="I344" s="31">
        <v>50559</v>
      </c>
      <c r="J344" s="31">
        <v>292269</v>
      </c>
      <c r="K344" s="31">
        <v>24.95</v>
      </c>
      <c r="L344" s="31">
        <v>4</v>
      </c>
      <c r="M344" s="31" t="s">
        <v>3856</v>
      </c>
      <c r="N344" s="31" t="s">
        <v>3857</v>
      </c>
      <c r="O344" s="31">
        <v>12</v>
      </c>
    </row>
    <row r="345" spans="1:15">
      <c r="A345" s="31" t="s">
        <v>3907</v>
      </c>
      <c r="B345" s="31" t="s">
        <v>3908</v>
      </c>
      <c r="C345" s="31">
        <v>198576</v>
      </c>
      <c r="D345" s="31">
        <v>451913</v>
      </c>
      <c r="E345" s="31">
        <v>0</v>
      </c>
      <c r="F345" s="31">
        <v>0</v>
      </c>
      <c r="G345" s="31">
        <v>451913</v>
      </c>
      <c r="H345" s="31">
        <v>650489</v>
      </c>
      <c r="I345" s="31">
        <v>82681</v>
      </c>
      <c r="J345" s="31">
        <v>281257</v>
      </c>
      <c r="K345" s="31">
        <v>43.23</v>
      </c>
      <c r="L345" s="31">
        <v>3</v>
      </c>
      <c r="M345" s="31" t="s">
        <v>3858</v>
      </c>
      <c r="N345" s="31" t="s">
        <v>3859</v>
      </c>
      <c r="O345" s="31">
        <v>13</v>
      </c>
    </row>
    <row r="346" spans="1:15">
      <c r="A346" s="31" t="s">
        <v>3909</v>
      </c>
      <c r="B346" s="31" t="s">
        <v>3910</v>
      </c>
      <c r="C346" s="31">
        <v>343265</v>
      </c>
      <c r="D346" s="31">
        <v>370388</v>
      </c>
      <c r="E346" s="31">
        <v>0</v>
      </c>
      <c r="F346" s="31">
        <v>0</v>
      </c>
      <c r="G346" s="31">
        <v>370388</v>
      </c>
      <c r="H346" s="31">
        <v>713653</v>
      </c>
      <c r="I346" s="31">
        <v>138748</v>
      </c>
      <c r="J346" s="31">
        <v>482013</v>
      </c>
      <c r="K346" s="31">
        <v>67.540000000000006</v>
      </c>
      <c r="L346" s="31">
        <v>2</v>
      </c>
      <c r="M346" s="31" t="s">
        <v>3860</v>
      </c>
      <c r="N346" s="31" t="s">
        <v>3861</v>
      </c>
      <c r="O346" s="31">
        <v>14</v>
      </c>
    </row>
    <row r="347" spans="1:15">
      <c r="A347" s="31" t="s">
        <v>3911</v>
      </c>
      <c r="B347" s="31" t="s">
        <v>3912</v>
      </c>
      <c r="C347" s="31">
        <v>428713</v>
      </c>
      <c r="D347" s="31">
        <v>429175</v>
      </c>
      <c r="E347" s="31">
        <v>0</v>
      </c>
      <c r="F347" s="31">
        <v>0</v>
      </c>
      <c r="G347" s="31">
        <v>429175</v>
      </c>
      <c r="H347" s="31">
        <v>857888</v>
      </c>
      <c r="I347" s="31">
        <v>102796</v>
      </c>
      <c r="J347" s="31">
        <v>531509</v>
      </c>
      <c r="K347" s="31">
        <v>61.95</v>
      </c>
      <c r="L347" s="31">
        <v>2</v>
      </c>
      <c r="M347" s="31" t="s">
        <v>3860</v>
      </c>
      <c r="N347" s="31" t="s">
        <v>3861</v>
      </c>
      <c r="O347" s="31">
        <v>15</v>
      </c>
    </row>
    <row r="348" spans="1:15">
      <c r="A348" s="31" t="s">
        <v>3913</v>
      </c>
      <c r="B348" s="31" t="s">
        <v>3914</v>
      </c>
      <c r="C348" s="31">
        <v>220625</v>
      </c>
      <c r="D348" s="31">
        <v>471327</v>
      </c>
      <c r="E348" s="31">
        <v>0</v>
      </c>
      <c r="F348" s="31">
        <v>0</v>
      </c>
      <c r="G348" s="31">
        <v>471327</v>
      </c>
      <c r="H348" s="31">
        <v>691952</v>
      </c>
      <c r="I348" s="31">
        <v>36897</v>
      </c>
      <c r="J348" s="31">
        <v>257522</v>
      </c>
      <c r="K348" s="31">
        <v>37.21</v>
      </c>
      <c r="L348" s="31">
        <v>3</v>
      </c>
      <c r="M348" s="31" t="s">
        <v>3858</v>
      </c>
      <c r="N348" s="31" t="s">
        <v>3859</v>
      </c>
      <c r="O348" s="31">
        <v>16</v>
      </c>
    </row>
    <row r="349" spans="1:15">
      <c r="A349" s="31" t="s">
        <v>3915</v>
      </c>
      <c r="B349" s="31" t="s">
        <v>3916</v>
      </c>
      <c r="C349" s="31">
        <v>327817</v>
      </c>
      <c r="D349" s="31">
        <v>270221</v>
      </c>
      <c r="E349" s="31">
        <v>0</v>
      </c>
      <c r="F349" s="31">
        <v>338</v>
      </c>
      <c r="G349" s="31">
        <v>270559</v>
      </c>
      <c r="H349" s="31">
        <v>598376</v>
      </c>
      <c r="I349" s="31">
        <v>109631</v>
      </c>
      <c r="J349" s="31">
        <v>437448</v>
      </c>
      <c r="K349" s="31">
        <v>73.099999999999994</v>
      </c>
      <c r="L349" s="31">
        <v>2</v>
      </c>
      <c r="M349" s="31" t="s">
        <v>3860</v>
      </c>
      <c r="N349" s="31" t="s">
        <v>3861</v>
      </c>
      <c r="O349" s="31">
        <v>17</v>
      </c>
    </row>
    <row r="350" spans="1:15">
      <c r="A350" s="31" t="s">
        <v>3917</v>
      </c>
      <c r="B350" s="31" t="s">
        <v>3918</v>
      </c>
      <c r="C350" s="31">
        <v>213275</v>
      </c>
      <c r="D350" s="31">
        <v>291152</v>
      </c>
      <c r="E350" s="31">
        <v>281375</v>
      </c>
      <c r="F350" s="31">
        <v>0</v>
      </c>
      <c r="G350" s="31">
        <v>572527</v>
      </c>
      <c r="H350" s="31">
        <v>785802</v>
      </c>
      <c r="I350" s="31">
        <v>22023</v>
      </c>
      <c r="J350" s="31">
        <v>235298</v>
      </c>
      <c r="K350" s="31">
        <v>29.94</v>
      </c>
      <c r="L350" s="31">
        <v>3</v>
      </c>
      <c r="M350" s="31" t="s">
        <v>3858</v>
      </c>
      <c r="N350" s="31" t="s">
        <v>3859</v>
      </c>
      <c r="O350" s="31">
        <v>18</v>
      </c>
    </row>
    <row r="351" spans="1:15">
      <c r="A351" s="31" t="s">
        <v>3919</v>
      </c>
      <c r="B351" s="31" t="s">
        <v>3920</v>
      </c>
      <c r="C351" s="31">
        <v>218597</v>
      </c>
      <c r="D351" s="31">
        <v>435201</v>
      </c>
      <c r="E351" s="31">
        <v>0</v>
      </c>
      <c r="F351" s="31">
        <v>0</v>
      </c>
      <c r="G351" s="31">
        <v>435201</v>
      </c>
      <c r="H351" s="31">
        <v>653798</v>
      </c>
      <c r="I351" s="31">
        <v>142313</v>
      </c>
      <c r="J351" s="31">
        <v>360910</v>
      </c>
      <c r="K351" s="31">
        <v>55.2</v>
      </c>
      <c r="L351" s="31">
        <v>2</v>
      </c>
      <c r="M351" s="31" t="s">
        <v>3860</v>
      </c>
      <c r="N351" s="31" t="s">
        <v>3861</v>
      </c>
      <c r="O351" s="31">
        <v>19</v>
      </c>
    </row>
    <row r="352" spans="1:15">
      <c r="A352" s="31" t="s">
        <v>3921</v>
      </c>
      <c r="B352" s="31" t="s">
        <v>3922</v>
      </c>
      <c r="C352" s="31">
        <v>255263</v>
      </c>
      <c r="D352" s="31">
        <v>274709</v>
      </c>
      <c r="E352" s="31">
        <v>0</v>
      </c>
      <c r="F352" s="31">
        <v>0</v>
      </c>
      <c r="G352" s="31">
        <v>274709</v>
      </c>
      <c r="H352" s="31">
        <v>529972</v>
      </c>
      <c r="I352" s="31">
        <v>123028</v>
      </c>
      <c r="J352" s="31">
        <v>378291</v>
      </c>
      <c r="K352" s="31">
        <v>71.37</v>
      </c>
      <c r="L352" s="31">
        <v>2</v>
      </c>
      <c r="M352" s="31" t="s">
        <v>3860</v>
      </c>
      <c r="N352" s="31" t="s">
        <v>3861</v>
      </c>
      <c r="O352" s="31">
        <v>20</v>
      </c>
    </row>
    <row r="353" spans="1:15">
      <c r="A353" s="31" t="s">
        <v>3923</v>
      </c>
      <c r="B353" s="31" t="s">
        <v>3924</v>
      </c>
      <c r="C353" s="31">
        <v>205856</v>
      </c>
      <c r="D353" s="31">
        <v>487672</v>
      </c>
      <c r="E353" s="31">
        <v>0</v>
      </c>
      <c r="F353" s="31">
        <v>154961</v>
      </c>
      <c r="G353" s="31">
        <v>642633</v>
      </c>
      <c r="H353" s="31">
        <v>848489</v>
      </c>
      <c r="I353" s="31">
        <v>84814</v>
      </c>
      <c r="J353" s="31">
        <v>290670</v>
      </c>
      <c r="K353" s="31">
        <v>34.25</v>
      </c>
      <c r="L353" s="31">
        <v>3</v>
      </c>
      <c r="M353" s="31" t="s">
        <v>3858</v>
      </c>
      <c r="N353" s="31" t="s">
        <v>3859</v>
      </c>
      <c r="O353" s="31">
        <v>21</v>
      </c>
    </row>
    <row r="354" spans="1:15">
      <c r="A354" s="31" t="s">
        <v>3925</v>
      </c>
      <c r="B354" s="31" t="s">
        <v>3926</v>
      </c>
      <c r="C354" s="31">
        <v>288721</v>
      </c>
      <c r="D354" s="31">
        <v>439442</v>
      </c>
      <c r="E354" s="31">
        <v>0</v>
      </c>
      <c r="F354" s="31">
        <v>0</v>
      </c>
      <c r="G354" s="31">
        <v>439442</v>
      </c>
      <c r="H354" s="31">
        <v>728163</v>
      </c>
      <c r="I354" s="31">
        <v>146850</v>
      </c>
      <c r="J354" s="31">
        <v>435571</v>
      </c>
      <c r="K354" s="31">
        <v>59.81</v>
      </c>
      <c r="L354" s="31">
        <v>2</v>
      </c>
      <c r="M354" s="31" t="s">
        <v>3860</v>
      </c>
      <c r="N354" s="31" t="s">
        <v>3861</v>
      </c>
      <c r="O354" s="31">
        <v>22</v>
      </c>
    </row>
    <row r="355" spans="1:15" s="32" customFormat="1">
      <c r="A355" s="31" t="s">
        <v>3927</v>
      </c>
      <c r="B355" s="31" t="s">
        <v>3928</v>
      </c>
      <c r="C355" s="31">
        <v>152141</v>
      </c>
      <c r="D355" s="31">
        <v>428512</v>
      </c>
      <c r="E355" s="31">
        <v>0</v>
      </c>
      <c r="F355" s="31">
        <v>551737</v>
      </c>
      <c r="G355" s="31">
        <v>980249</v>
      </c>
      <c r="H355" s="31">
        <v>1132390</v>
      </c>
      <c r="I355" s="31">
        <v>63176</v>
      </c>
      <c r="J355" s="31">
        <v>215317</v>
      </c>
      <c r="K355" s="31">
        <v>19.010000000000002</v>
      </c>
      <c r="L355" s="31">
        <v>6</v>
      </c>
      <c r="M355" s="31" t="s">
        <v>3866</v>
      </c>
      <c r="N355" s="31" t="s">
        <v>3857</v>
      </c>
      <c r="O355" s="31">
        <v>23</v>
      </c>
    </row>
    <row r="356" spans="1:15" s="32" customFormat="1">
      <c r="A356" s="31" t="s">
        <v>3929</v>
      </c>
      <c r="B356" s="31" t="s">
        <v>3930</v>
      </c>
      <c r="C356" s="31">
        <v>180097</v>
      </c>
      <c r="D356" s="31">
        <v>365377</v>
      </c>
      <c r="E356" s="31">
        <v>0</v>
      </c>
      <c r="F356" s="31">
        <v>0</v>
      </c>
      <c r="G356" s="31">
        <v>365377</v>
      </c>
      <c r="H356" s="31">
        <v>545474</v>
      </c>
      <c r="I356" s="31">
        <v>38403</v>
      </c>
      <c r="J356" s="31">
        <v>218500</v>
      </c>
      <c r="K356" s="31">
        <v>40.049999999999997</v>
      </c>
      <c r="L356" s="31">
        <v>3</v>
      </c>
      <c r="M356" s="31" t="s">
        <v>3858</v>
      </c>
      <c r="N356" s="31" t="s">
        <v>3859</v>
      </c>
      <c r="O356" s="31">
        <v>24</v>
      </c>
    </row>
    <row r="357" spans="1:15" s="32" customFormat="1">
      <c r="A357" s="31" t="s">
        <v>3931</v>
      </c>
      <c r="B357" s="31" t="s">
        <v>3932</v>
      </c>
      <c r="C357" s="31">
        <v>191574</v>
      </c>
      <c r="D357" s="31">
        <v>615318</v>
      </c>
      <c r="E357" s="31">
        <v>0</v>
      </c>
      <c r="F357" s="31">
        <v>0</v>
      </c>
      <c r="G357" s="31">
        <v>615318</v>
      </c>
      <c r="H357" s="31">
        <v>806892</v>
      </c>
      <c r="I357" s="31">
        <v>12543</v>
      </c>
      <c r="J357" s="31">
        <v>204117</v>
      </c>
      <c r="K357" s="31">
        <v>25.29</v>
      </c>
      <c r="L357" s="31">
        <v>4</v>
      </c>
      <c r="M357" s="31" t="s">
        <v>3856</v>
      </c>
      <c r="N357" s="31" t="s">
        <v>3857</v>
      </c>
      <c r="O357" s="31">
        <v>25</v>
      </c>
    </row>
    <row r="358" spans="1:15" s="32" customFormat="1">
      <c r="A358" s="31" t="s">
        <v>3933</v>
      </c>
      <c r="B358" s="31" t="s">
        <v>3934</v>
      </c>
      <c r="C358" s="31">
        <v>149148</v>
      </c>
      <c r="D358" s="31">
        <v>398125</v>
      </c>
      <c r="E358" s="31">
        <v>0</v>
      </c>
      <c r="F358" s="31">
        <v>18896</v>
      </c>
      <c r="G358" s="31">
        <v>417021</v>
      </c>
      <c r="H358" s="31">
        <v>566169</v>
      </c>
      <c r="I358" s="31">
        <v>67996</v>
      </c>
      <c r="J358" s="31">
        <v>217144</v>
      </c>
      <c r="K358" s="31">
        <v>38.35</v>
      </c>
      <c r="L358" s="31">
        <v>3</v>
      </c>
      <c r="M358" s="31" t="s">
        <v>3858</v>
      </c>
      <c r="N358" s="31" t="s">
        <v>3859</v>
      </c>
      <c r="O358" s="31">
        <v>26</v>
      </c>
    </row>
    <row r="359" spans="1:15">
      <c r="A359" s="31" t="s">
        <v>3935</v>
      </c>
    </row>
  </sheetData>
  <sheetProtection algorithmName="SHA-512" hashValue="//f6YD/q5XOyjJXQLUyLVTztpViPSGwDnGUhmXwJXSDWD9SaE3D4GtYH6gszj7YmC2Ga3unOil/I8d4/AA+RTw==" saltValue="/MlJfN9Dt/mN5lvIhedIMA==" spinCount="100000" sheet="1" objects="1" scenarios="1"/>
  <autoFilter ref="A1:O359" xr:uid="{9134051C-DBB6-4ED6-B427-B4C6BCFF8D3A}">
    <sortState xmlns:xlrd2="http://schemas.microsoft.com/office/spreadsheetml/2017/richdata2" ref="A2:O359">
      <sortCondition ref="A1:A359"/>
    </sortState>
  </autoFilter>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1621D-6659-44AC-89CD-67A66060D664}">
  <sheetPr>
    <tabColor theme="9" tint="-0.249977111117893"/>
  </sheetPr>
  <dimension ref="A1:L1998"/>
  <sheetViews>
    <sheetView zoomScale="124" workbookViewId="0">
      <selection activeCell="E8" sqref="E8"/>
    </sheetView>
  </sheetViews>
  <sheetFormatPr defaultColWidth="8.90625" defaultRowHeight="14"/>
  <cols>
    <col min="1" max="1" width="8.90625" style="8"/>
    <col min="2" max="2" width="16.453125" style="8" customWidth="1"/>
    <col min="3" max="16384" width="8.90625" style="8"/>
  </cols>
  <sheetData>
    <row r="1" spans="1:12">
      <c r="A1" s="38" t="s">
        <v>3936</v>
      </c>
      <c r="B1" s="38" t="s">
        <v>3937</v>
      </c>
      <c r="C1" s="38" t="s">
        <v>3938</v>
      </c>
      <c r="D1" s="38" t="s">
        <v>3939</v>
      </c>
      <c r="E1" s="38" t="s">
        <v>3940</v>
      </c>
      <c r="F1" s="38" t="s">
        <v>3941</v>
      </c>
      <c r="G1" s="38" t="s">
        <v>3942</v>
      </c>
      <c r="H1" s="38" t="s">
        <v>3943</v>
      </c>
      <c r="I1" s="38" t="s">
        <v>3944</v>
      </c>
      <c r="J1" s="38" t="s">
        <v>3945</v>
      </c>
      <c r="K1" s="38" t="s">
        <v>3946</v>
      </c>
      <c r="L1" s="38" t="s">
        <v>3947</v>
      </c>
    </row>
    <row r="2" spans="1:12">
      <c r="A2" s="38" t="s">
        <v>111</v>
      </c>
      <c r="B2" s="38" t="s">
        <v>112</v>
      </c>
      <c r="C2" s="38">
        <v>19</v>
      </c>
      <c r="D2" s="38">
        <v>7</v>
      </c>
      <c r="E2" s="38">
        <v>0</v>
      </c>
      <c r="F2" s="38">
        <v>2</v>
      </c>
      <c r="G2" s="38">
        <v>0</v>
      </c>
      <c r="H2" s="38">
        <v>0</v>
      </c>
      <c r="I2" s="38">
        <v>1</v>
      </c>
      <c r="J2" s="38">
        <v>29</v>
      </c>
      <c r="K2" s="38" t="s">
        <v>3938</v>
      </c>
      <c r="L2" s="38">
        <v>49939</v>
      </c>
    </row>
    <row r="3" spans="1:12">
      <c r="A3" s="38" t="s">
        <v>114</v>
      </c>
      <c r="B3" s="38" t="s">
        <v>115</v>
      </c>
      <c r="C3" s="38">
        <v>17</v>
      </c>
      <c r="D3" s="38">
        <v>13</v>
      </c>
      <c r="E3" s="38">
        <v>0</v>
      </c>
      <c r="F3" s="38">
        <v>19</v>
      </c>
      <c r="G3" s="38">
        <v>0</v>
      </c>
      <c r="H3" s="38">
        <v>0</v>
      </c>
      <c r="I3" s="38">
        <v>0</v>
      </c>
      <c r="J3" s="38">
        <v>49</v>
      </c>
      <c r="K3" s="38" t="s">
        <v>3948</v>
      </c>
      <c r="L3" s="38">
        <v>76082</v>
      </c>
    </row>
    <row r="4" spans="1:12">
      <c r="A4" s="38" t="s">
        <v>117</v>
      </c>
      <c r="B4" s="38" t="s">
        <v>118</v>
      </c>
      <c r="C4" s="38">
        <v>28</v>
      </c>
      <c r="D4" s="38">
        <v>16</v>
      </c>
      <c r="E4" s="38">
        <v>0</v>
      </c>
      <c r="F4" s="38">
        <v>0</v>
      </c>
      <c r="G4" s="38">
        <v>0</v>
      </c>
      <c r="H4" s="38">
        <v>0</v>
      </c>
      <c r="I4" s="38">
        <v>1</v>
      </c>
      <c r="J4" s="38">
        <v>45</v>
      </c>
      <c r="K4" s="38" t="s">
        <v>3938</v>
      </c>
      <c r="L4" s="38">
        <v>100530</v>
      </c>
    </row>
    <row r="5" spans="1:12">
      <c r="A5" s="38" t="s">
        <v>3949</v>
      </c>
      <c r="B5" s="38" t="s">
        <v>3950</v>
      </c>
      <c r="C5" s="38">
        <v>0</v>
      </c>
      <c r="D5" s="38">
        <v>2</v>
      </c>
      <c r="E5" s="38">
        <v>0</v>
      </c>
      <c r="F5" s="38">
        <v>14</v>
      </c>
      <c r="G5" s="38">
        <v>14</v>
      </c>
      <c r="H5" s="38">
        <v>0</v>
      </c>
      <c r="I5" s="38">
        <v>0</v>
      </c>
      <c r="J5" s="38">
        <v>30</v>
      </c>
      <c r="K5" s="38" t="s">
        <v>3948</v>
      </c>
      <c r="L5" s="38">
        <v>52610</v>
      </c>
    </row>
    <row r="6" spans="1:12">
      <c r="A6" s="38" t="s">
        <v>120</v>
      </c>
      <c r="B6" s="38" t="s">
        <v>121</v>
      </c>
      <c r="C6" s="38">
        <v>23</v>
      </c>
      <c r="D6" s="38">
        <v>1</v>
      </c>
      <c r="E6" s="38">
        <v>17</v>
      </c>
      <c r="F6" s="38">
        <v>11</v>
      </c>
      <c r="G6" s="38">
        <v>0</v>
      </c>
      <c r="H6" s="38">
        <v>0</v>
      </c>
      <c r="I6" s="38">
        <v>2</v>
      </c>
      <c r="J6" s="38">
        <v>54</v>
      </c>
      <c r="K6" s="38" t="s">
        <v>3948</v>
      </c>
      <c r="L6" s="38">
        <v>127031</v>
      </c>
    </row>
    <row r="7" spans="1:12">
      <c r="A7" s="38" t="s">
        <v>122</v>
      </c>
      <c r="B7" s="38" t="s">
        <v>123</v>
      </c>
      <c r="C7" s="38">
        <v>3</v>
      </c>
      <c r="D7" s="38">
        <v>2</v>
      </c>
      <c r="E7" s="38">
        <v>0</v>
      </c>
      <c r="F7" s="38">
        <v>30</v>
      </c>
      <c r="G7" s="38">
        <v>0</v>
      </c>
      <c r="H7" s="38">
        <v>0</v>
      </c>
      <c r="I7" s="38">
        <v>0</v>
      </c>
      <c r="J7" s="38">
        <v>35</v>
      </c>
      <c r="K7" s="38" t="s">
        <v>3941</v>
      </c>
      <c r="L7" s="38">
        <v>95862</v>
      </c>
    </row>
    <row r="8" spans="1:12">
      <c r="A8" s="38" t="s">
        <v>124</v>
      </c>
      <c r="B8" s="38" t="s">
        <v>125</v>
      </c>
      <c r="C8" s="38">
        <v>26</v>
      </c>
      <c r="D8" s="38">
        <v>6</v>
      </c>
      <c r="E8" s="38">
        <v>0</v>
      </c>
      <c r="F8" s="38">
        <v>13</v>
      </c>
      <c r="G8" s="38">
        <v>0</v>
      </c>
      <c r="H8" s="38">
        <v>0</v>
      </c>
      <c r="I8" s="38">
        <v>2</v>
      </c>
      <c r="J8" s="38">
        <v>47</v>
      </c>
      <c r="K8" s="38" t="s">
        <v>3938</v>
      </c>
      <c r="L8" s="38">
        <v>96609</v>
      </c>
    </row>
    <row r="9" spans="1:12">
      <c r="A9" s="38" t="s">
        <v>126</v>
      </c>
      <c r="B9" s="38" t="s">
        <v>127</v>
      </c>
      <c r="C9" s="38">
        <v>13</v>
      </c>
      <c r="D9" s="38">
        <v>2</v>
      </c>
      <c r="E9" s="38">
        <v>3</v>
      </c>
      <c r="F9" s="38">
        <v>10</v>
      </c>
      <c r="G9" s="38">
        <v>0</v>
      </c>
      <c r="H9" s="38">
        <v>0</v>
      </c>
      <c r="I9" s="38">
        <v>4</v>
      </c>
      <c r="J9" s="38">
        <v>32</v>
      </c>
      <c r="K9" s="38" t="s">
        <v>3948</v>
      </c>
      <c r="L9" s="38">
        <v>71670</v>
      </c>
    </row>
    <row r="10" spans="1:12">
      <c r="A10" s="38" t="s">
        <v>129</v>
      </c>
      <c r="B10" s="38" t="s">
        <v>130</v>
      </c>
      <c r="C10" s="38">
        <v>0</v>
      </c>
      <c r="D10" s="38">
        <v>51</v>
      </c>
      <c r="E10" s="38">
        <v>0</v>
      </c>
      <c r="F10" s="38">
        <v>0</v>
      </c>
      <c r="G10" s="38">
        <v>0</v>
      </c>
      <c r="H10" s="38">
        <v>0</v>
      </c>
      <c r="I10" s="38">
        <v>0</v>
      </c>
      <c r="J10" s="38">
        <v>51</v>
      </c>
      <c r="K10" s="38" t="s">
        <v>3939</v>
      </c>
      <c r="L10" s="38">
        <v>141957</v>
      </c>
    </row>
    <row r="11" spans="1:12">
      <c r="A11" s="38" t="s">
        <v>132</v>
      </c>
      <c r="B11" s="38" t="s">
        <v>133</v>
      </c>
      <c r="C11" s="38">
        <v>39</v>
      </c>
      <c r="D11" s="38">
        <v>23</v>
      </c>
      <c r="E11" s="38">
        <v>0</v>
      </c>
      <c r="F11" s="38">
        <v>1</v>
      </c>
      <c r="G11" s="38">
        <v>0</v>
      </c>
      <c r="H11" s="38">
        <v>0</v>
      </c>
      <c r="I11" s="38">
        <v>0</v>
      </c>
      <c r="J11" s="38">
        <v>63</v>
      </c>
      <c r="K11" s="38" t="s">
        <v>3938</v>
      </c>
      <c r="L11" s="38">
        <v>264092</v>
      </c>
    </row>
    <row r="12" spans="1:12">
      <c r="A12" s="38" t="s">
        <v>134</v>
      </c>
      <c r="B12" s="38" t="s">
        <v>135</v>
      </c>
      <c r="C12" s="38">
        <v>3</v>
      </c>
      <c r="D12" s="38">
        <v>49</v>
      </c>
      <c r="E12" s="38">
        <v>7</v>
      </c>
      <c r="F12" s="38">
        <v>4</v>
      </c>
      <c r="G12" s="38">
        <v>0</v>
      </c>
      <c r="H12" s="38">
        <v>0</v>
      </c>
      <c r="I12" s="38">
        <v>0</v>
      </c>
      <c r="J12" s="38">
        <v>63</v>
      </c>
      <c r="K12" s="38" t="s">
        <v>3939</v>
      </c>
      <c r="L12" s="38">
        <v>186766</v>
      </c>
    </row>
    <row r="13" spans="1:12">
      <c r="A13" s="38" t="s">
        <v>137</v>
      </c>
      <c r="B13" s="38" t="s">
        <v>138</v>
      </c>
      <c r="C13" s="38">
        <v>12</v>
      </c>
      <c r="D13" s="38">
        <v>24</v>
      </c>
      <c r="E13" s="38">
        <v>0</v>
      </c>
      <c r="F13" s="38">
        <v>0</v>
      </c>
      <c r="G13" s="38">
        <v>0</v>
      </c>
      <c r="H13" s="38">
        <v>0</v>
      </c>
      <c r="I13" s="38">
        <v>0</v>
      </c>
      <c r="J13" s="38">
        <v>36</v>
      </c>
      <c r="K13" s="38" t="s">
        <v>3939</v>
      </c>
      <c r="L13" s="38">
        <v>53028</v>
      </c>
    </row>
    <row r="14" spans="1:12">
      <c r="A14" s="38" t="s">
        <v>139</v>
      </c>
      <c r="B14" s="38" t="s">
        <v>140</v>
      </c>
      <c r="C14" s="38">
        <v>22</v>
      </c>
      <c r="D14" s="38">
        <v>12</v>
      </c>
      <c r="E14" s="38">
        <v>0</v>
      </c>
      <c r="F14" s="38">
        <v>8</v>
      </c>
      <c r="G14" s="38">
        <v>0</v>
      </c>
      <c r="H14" s="38">
        <v>0</v>
      </c>
      <c r="I14" s="38">
        <v>0</v>
      </c>
      <c r="J14" s="38">
        <v>42</v>
      </c>
      <c r="K14" s="38" t="s">
        <v>3938</v>
      </c>
      <c r="L14" s="38">
        <v>140656</v>
      </c>
    </row>
    <row r="15" spans="1:12">
      <c r="A15" s="38" t="s">
        <v>141</v>
      </c>
      <c r="B15" s="38" t="s">
        <v>142</v>
      </c>
      <c r="C15" s="38">
        <v>33</v>
      </c>
      <c r="D15" s="38">
        <v>10</v>
      </c>
      <c r="E15" s="38">
        <v>5</v>
      </c>
      <c r="F15" s="38">
        <v>6</v>
      </c>
      <c r="G15" s="38">
        <v>0</v>
      </c>
      <c r="H15" s="38">
        <v>0</v>
      </c>
      <c r="I15" s="38">
        <v>0</v>
      </c>
      <c r="J15" s="38">
        <v>54</v>
      </c>
      <c r="K15" s="38" t="s">
        <v>3938</v>
      </c>
      <c r="L15" s="38">
        <v>137303</v>
      </c>
    </row>
    <row r="16" spans="1:12">
      <c r="A16" s="38" t="s">
        <v>143</v>
      </c>
      <c r="B16" s="38" t="s">
        <v>144</v>
      </c>
      <c r="C16" s="38">
        <v>7</v>
      </c>
      <c r="D16" s="38">
        <v>36</v>
      </c>
      <c r="E16" s="38">
        <v>1</v>
      </c>
      <c r="F16" s="38">
        <v>4</v>
      </c>
      <c r="G16" s="38">
        <v>0</v>
      </c>
      <c r="H16" s="38">
        <v>0</v>
      </c>
      <c r="I16" s="38">
        <v>0</v>
      </c>
      <c r="J16" s="38">
        <v>48</v>
      </c>
      <c r="K16" s="38" t="s">
        <v>3939</v>
      </c>
      <c r="L16" s="38">
        <v>89191</v>
      </c>
    </row>
    <row r="17" spans="1:12">
      <c r="A17" s="38" t="s">
        <v>145</v>
      </c>
      <c r="B17" s="38" t="s">
        <v>146</v>
      </c>
      <c r="C17" s="38">
        <v>11</v>
      </c>
      <c r="D17" s="38">
        <v>5</v>
      </c>
      <c r="E17" s="38">
        <v>37</v>
      </c>
      <c r="F17" s="38">
        <v>6</v>
      </c>
      <c r="G17" s="38">
        <v>0</v>
      </c>
      <c r="H17" s="38">
        <v>0</v>
      </c>
      <c r="I17" s="38">
        <v>0</v>
      </c>
      <c r="J17" s="38">
        <v>59</v>
      </c>
      <c r="K17" s="38" t="s">
        <v>3940</v>
      </c>
      <c r="L17" s="38">
        <v>144865</v>
      </c>
    </row>
    <row r="18" spans="1:12">
      <c r="A18" s="38" t="s">
        <v>148</v>
      </c>
      <c r="B18" s="38" t="s">
        <v>3868</v>
      </c>
      <c r="C18" s="38">
        <v>11</v>
      </c>
      <c r="D18" s="38">
        <v>11</v>
      </c>
      <c r="E18" s="38">
        <v>15</v>
      </c>
      <c r="F18" s="38">
        <v>1</v>
      </c>
      <c r="G18" s="38">
        <v>0</v>
      </c>
      <c r="H18" s="38">
        <v>0</v>
      </c>
      <c r="I18" s="38">
        <v>2</v>
      </c>
      <c r="J18" s="38">
        <v>40</v>
      </c>
      <c r="K18" s="38" t="s">
        <v>3948</v>
      </c>
      <c r="L18" s="38">
        <v>133441</v>
      </c>
    </row>
    <row r="19" spans="1:12">
      <c r="A19" s="38" t="s">
        <v>150</v>
      </c>
      <c r="B19" s="38" t="s">
        <v>151</v>
      </c>
      <c r="C19" s="38">
        <v>34</v>
      </c>
      <c r="D19" s="38">
        <v>10</v>
      </c>
      <c r="E19" s="38">
        <v>0</v>
      </c>
      <c r="F19" s="38">
        <v>1</v>
      </c>
      <c r="G19" s="38">
        <v>0</v>
      </c>
      <c r="H19" s="38">
        <v>0</v>
      </c>
      <c r="I19" s="38">
        <v>0</v>
      </c>
      <c r="J19" s="38">
        <v>45</v>
      </c>
      <c r="K19" s="38" t="s">
        <v>3938</v>
      </c>
      <c r="L19" s="38">
        <v>179101</v>
      </c>
    </row>
    <row r="20" spans="1:12">
      <c r="A20" s="38" t="s">
        <v>152</v>
      </c>
      <c r="B20" s="38" t="s">
        <v>153</v>
      </c>
      <c r="C20" s="38">
        <v>27</v>
      </c>
      <c r="D20" s="38">
        <v>65</v>
      </c>
      <c r="E20" s="38">
        <v>8</v>
      </c>
      <c r="F20" s="38">
        <v>0</v>
      </c>
      <c r="G20" s="38">
        <v>0</v>
      </c>
      <c r="H20" s="38">
        <v>0</v>
      </c>
      <c r="I20" s="38">
        <v>1</v>
      </c>
      <c r="J20" s="38">
        <v>101</v>
      </c>
      <c r="K20" s="38" t="s">
        <v>3939</v>
      </c>
      <c r="L20" s="38">
        <v>764336</v>
      </c>
    </row>
    <row r="21" spans="1:12">
      <c r="A21" s="38" t="s">
        <v>155</v>
      </c>
      <c r="B21" s="38" t="s">
        <v>156</v>
      </c>
      <c r="C21" s="38">
        <v>25</v>
      </c>
      <c r="D21" s="38">
        <v>6</v>
      </c>
      <c r="E21" s="38">
        <v>6</v>
      </c>
      <c r="F21" s="38">
        <v>1</v>
      </c>
      <c r="G21" s="38">
        <v>0</v>
      </c>
      <c r="H21" s="38">
        <v>0</v>
      </c>
      <c r="I21" s="38">
        <v>1</v>
      </c>
      <c r="J21" s="38">
        <v>39</v>
      </c>
      <c r="K21" s="38" t="s">
        <v>3938</v>
      </c>
      <c r="L21" s="38">
        <v>77690</v>
      </c>
    </row>
    <row r="22" spans="1:12">
      <c r="A22" s="38" t="s">
        <v>157</v>
      </c>
      <c r="B22" s="38" t="s">
        <v>158</v>
      </c>
      <c r="C22" s="38">
        <v>14</v>
      </c>
      <c r="D22" s="38">
        <v>35</v>
      </c>
      <c r="E22" s="38">
        <v>1</v>
      </c>
      <c r="F22" s="38">
        <v>1</v>
      </c>
      <c r="G22" s="38">
        <v>0</v>
      </c>
      <c r="H22" s="38">
        <v>0</v>
      </c>
      <c r="I22" s="38">
        <v>0</v>
      </c>
      <c r="J22" s="38">
        <v>51</v>
      </c>
      <c r="K22" s="38" t="s">
        <v>3939</v>
      </c>
      <c r="L22" s="38">
        <v>104335</v>
      </c>
    </row>
    <row r="23" spans="1:12">
      <c r="A23" s="38" t="s">
        <v>159</v>
      </c>
      <c r="B23" s="38" t="s">
        <v>160</v>
      </c>
      <c r="C23" s="38">
        <v>16</v>
      </c>
      <c r="D23" s="38">
        <v>22</v>
      </c>
      <c r="E23" s="38">
        <v>0</v>
      </c>
      <c r="F23" s="38">
        <v>4</v>
      </c>
      <c r="G23" s="38">
        <v>0</v>
      </c>
      <c r="H23" s="38">
        <v>0</v>
      </c>
      <c r="I23" s="38">
        <v>0</v>
      </c>
      <c r="J23" s="38">
        <v>42</v>
      </c>
      <c r="K23" s="38" t="s">
        <v>3939</v>
      </c>
      <c r="L23" s="38">
        <v>103518</v>
      </c>
    </row>
    <row r="24" spans="1:12">
      <c r="A24" s="38" t="s">
        <v>3951</v>
      </c>
      <c r="B24" s="38" t="s">
        <v>3952</v>
      </c>
      <c r="C24" s="38">
        <v>0</v>
      </c>
      <c r="D24" s="38">
        <v>13</v>
      </c>
      <c r="E24" s="38">
        <v>0</v>
      </c>
      <c r="F24" s="38">
        <v>28</v>
      </c>
      <c r="G24" s="38">
        <v>1</v>
      </c>
      <c r="H24" s="38">
        <v>0</v>
      </c>
      <c r="I24" s="38">
        <v>0</v>
      </c>
      <c r="J24" s="38">
        <v>42</v>
      </c>
      <c r="K24" s="38" t="s">
        <v>3941</v>
      </c>
      <c r="L24" s="38">
        <v>51495</v>
      </c>
    </row>
    <row r="25" spans="1:12">
      <c r="A25" s="38" t="s">
        <v>161</v>
      </c>
      <c r="B25" s="38" t="s">
        <v>162</v>
      </c>
      <c r="C25" s="38">
        <v>3</v>
      </c>
      <c r="D25" s="38">
        <v>19</v>
      </c>
      <c r="E25" s="38">
        <v>0</v>
      </c>
      <c r="F25" s="38">
        <v>15</v>
      </c>
      <c r="G25" s="38">
        <v>0</v>
      </c>
      <c r="H25" s="38">
        <v>0</v>
      </c>
      <c r="I25" s="38">
        <v>0</v>
      </c>
      <c r="J25" s="38">
        <v>37</v>
      </c>
      <c r="K25" s="38" t="s">
        <v>3939</v>
      </c>
      <c r="L25" s="38">
        <v>60883</v>
      </c>
    </row>
    <row r="26" spans="1:12">
      <c r="A26" s="38" t="s">
        <v>163</v>
      </c>
      <c r="B26" s="38" t="s">
        <v>164</v>
      </c>
      <c r="C26" s="38">
        <v>21</v>
      </c>
      <c r="D26" s="38">
        <v>19</v>
      </c>
      <c r="E26" s="38">
        <v>5</v>
      </c>
      <c r="F26" s="38">
        <v>14</v>
      </c>
      <c r="G26" s="38">
        <v>0</v>
      </c>
      <c r="H26" s="38">
        <v>1</v>
      </c>
      <c r="I26" s="38">
        <v>0</v>
      </c>
      <c r="J26" s="38">
        <v>60</v>
      </c>
      <c r="K26" s="38" t="s">
        <v>3948</v>
      </c>
      <c r="L26" s="38">
        <v>203758</v>
      </c>
    </row>
    <row r="27" spans="1:12">
      <c r="A27" s="38" t="s">
        <v>165</v>
      </c>
      <c r="B27" s="38" t="s">
        <v>166</v>
      </c>
      <c r="C27" s="38">
        <v>15</v>
      </c>
      <c r="D27" s="38">
        <v>2</v>
      </c>
      <c r="E27" s="38">
        <v>0</v>
      </c>
      <c r="F27" s="38">
        <v>13</v>
      </c>
      <c r="G27" s="38">
        <v>0</v>
      </c>
      <c r="H27" s="38">
        <v>0</v>
      </c>
      <c r="I27" s="38">
        <v>0</v>
      </c>
      <c r="J27" s="38">
        <v>30</v>
      </c>
      <c r="K27" s="38" t="s">
        <v>3948</v>
      </c>
      <c r="L27" s="38">
        <v>48840</v>
      </c>
    </row>
    <row r="28" spans="1:12">
      <c r="A28" s="38" t="s">
        <v>167</v>
      </c>
      <c r="B28" s="38" t="s">
        <v>168</v>
      </c>
      <c r="C28" s="38">
        <v>37</v>
      </c>
      <c r="D28" s="38">
        <v>3</v>
      </c>
      <c r="E28" s="38">
        <v>14</v>
      </c>
      <c r="F28" s="38">
        <v>20</v>
      </c>
      <c r="G28" s="38">
        <v>0</v>
      </c>
      <c r="H28" s="38">
        <v>0</v>
      </c>
      <c r="I28" s="38">
        <v>2</v>
      </c>
      <c r="J28" s="38">
        <v>76</v>
      </c>
      <c r="K28" s="38" t="s">
        <v>3948</v>
      </c>
      <c r="L28" s="38">
        <v>305543</v>
      </c>
    </row>
    <row r="29" spans="1:12">
      <c r="A29" s="38" t="s">
        <v>169</v>
      </c>
      <c r="B29" s="38" t="s">
        <v>170</v>
      </c>
      <c r="C29" s="38">
        <v>38</v>
      </c>
      <c r="D29" s="38">
        <v>3</v>
      </c>
      <c r="E29" s="38">
        <v>1</v>
      </c>
      <c r="F29" s="38">
        <v>0</v>
      </c>
      <c r="G29" s="38">
        <v>0</v>
      </c>
      <c r="H29" s="38">
        <v>0</v>
      </c>
      <c r="I29" s="38">
        <v>0</v>
      </c>
      <c r="J29" s="38">
        <v>42</v>
      </c>
      <c r="K29" s="38" t="s">
        <v>3938</v>
      </c>
      <c r="L29" s="38">
        <v>90407</v>
      </c>
    </row>
    <row r="30" spans="1:12">
      <c r="A30" s="38" t="s">
        <v>171</v>
      </c>
      <c r="B30" s="38" t="s">
        <v>172</v>
      </c>
      <c r="C30" s="38">
        <v>25</v>
      </c>
      <c r="D30" s="38">
        <v>51</v>
      </c>
      <c r="E30" s="38">
        <v>7</v>
      </c>
      <c r="F30" s="38">
        <v>4</v>
      </c>
      <c r="G30" s="38">
        <v>0</v>
      </c>
      <c r="H30" s="38">
        <v>0</v>
      </c>
      <c r="I30" s="38">
        <v>3</v>
      </c>
      <c r="J30" s="38">
        <v>90</v>
      </c>
      <c r="K30" s="38" t="s">
        <v>3939</v>
      </c>
      <c r="L30" s="38">
        <v>372557</v>
      </c>
    </row>
    <row r="31" spans="1:12">
      <c r="A31" s="38" t="s">
        <v>173</v>
      </c>
      <c r="B31" s="38" t="s">
        <v>174</v>
      </c>
      <c r="C31" s="38">
        <v>34</v>
      </c>
      <c r="D31" s="38">
        <v>2</v>
      </c>
      <c r="E31" s="38">
        <v>0</v>
      </c>
      <c r="F31" s="38">
        <v>7</v>
      </c>
      <c r="G31" s="38">
        <v>0</v>
      </c>
      <c r="H31" s="38">
        <v>0</v>
      </c>
      <c r="I31" s="38">
        <v>6</v>
      </c>
      <c r="J31" s="38">
        <v>49</v>
      </c>
      <c r="K31" s="38" t="s">
        <v>3938</v>
      </c>
      <c r="L31" s="38">
        <v>114123</v>
      </c>
    </row>
    <row r="32" spans="1:12">
      <c r="A32" s="38" t="s">
        <v>175</v>
      </c>
      <c r="B32" s="38" t="s">
        <v>176</v>
      </c>
      <c r="C32" s="38">
        <v>36</v>
      </c>
      <c r="D32" s="38">
        <v>6</v>
      </c>
      <c r="E32" s="38">
        <v>0</v>
      </c>
      <c r="F32" s="38">
        <v>5</v>
      </c>
      <c r="G32" s="38">
        <v>0</v>
      </c>
      <c r="H32" s="38">
        <v>0</v>
      </c>
      <c r="I32" s="38">
        <v>2</v>
      </c>
      <c r="J32" s="38">
        <v>49</v>
      </c>
      <c r="K32" s="38" t="s">
        <v>3938</v>
      </c>
      <c r="L32" s="38">
        <v>105228</v>
      </c>
    </row>
    <row r="33" spans="1:12">
      <c r="A33" s="38" t="s">
        <v>177</v>
      </c>
      <c r="B33" s="38" t="s">
        <v>178</v>
      </c>
      <c r="C33" s="38">
        <v>3</v>
      </c>
      <c r="D33" s="38">
        <v>59</v>
      </c>
      <c r="E33" s="38">
        <v>1</v>
      </c>
      <c r="F33" s="38">
        <v>0</v>
      </c>
      <c r="G33" s="38">
        <v>0</v>
      </c>
      <c r="H33" s="38">
        <v>0</v>
      </c>
      <c r="I33" s="38">
        <v>0</v>
      </c>
      <c r="J33" s="38">
        <v>63</v>
      </c>
      <c r="K33" s="38" t="s">
        <v>3939</v>
      </c>
      <c r="L33" s="38">
        <v>238702</v>
      </c>
    </row>
    <row r="34" spans="1:12">
      <c r="A34" s="38" t="s">
        <v>179</v>
      </c>
      <c r="B34" s="38" t="s">
        <v>180</v>
      </c>
      <c r="C34" s="38">
        <v>22</v>
      </c>
      <c r="D34" s="38">
        <v>2</v>
      </c>
      <c r="E34" s="38">
        <v>13</v>
      </c>
      <c r="F34" s="38">
        <v>0</v>
      </c>
      <c r="G34" s="38">
        <v>0</v>
      </c>
      <c r="H34" s="38">
        <v>0</v>
      </c>
      <c r="I34" s="38">
        <v>0</v>
      </c>
      <c r="J34" s="38">
        <v>37</v>
      </c>
      <c r="K34" s="38" t="s">
        <v>3938</v>
      </c>
      <c r="L34" s="38">
        <v>59985</v>
      </c>
    </row>
    <row r="35" spans="1:12">
      <c r="A35" s="38" t="s">
        <v>3953</v>
      </c>
      <c r="B35" s="38" t="s">
        <v>3954</v>
      </c>
      <c r="C35" s="38">
        <v>8</v>
      </c>
      <c r="D35" s="38">
        <v>25</v>
      </c>
      <c r="E35" s="38">
        <v>1</v>
      </c>
      <c r="F35" s="38">
        <v>18</v>
      </c>
      <c r="G35" s="38">
        <v>2</v>
      </c>
      <c r="H35" s="38">
        <v>0</v>
      </c>
      <c r="I35" s="38">
        <v>0</v>
      </c>
      <c r="J35" s="38">
        <v>54</v>
      </c>
      <c r="K35" s="38" t="s">
        <v>3948</v>
      </c>
      <c r="L35" s="38">
        <v>109537</v>
      </c>
    </row>
    <row r="36" spans="1:12">
      <c r="A36" s="38" t="s">
        <v>181</v>
      </c>
      <c r="B36" s="38" t="s">
        <v>182</v>
      </c>
      <c r="C36" s="38">
        <v>13</v>
      </c>
      <c r="D36" s="38">
        <v>17</v>
      </c>
      <c r="E36" s="38">
        <v>0</v>
      </c>
      <c r="F36" s="38">
        <v>4</v>
      </c>
      <c r="G36" s="38">
        <v>0</v>
      </c>
      <c r="H36" s="38">
        <v>0</v>
      </c>
      <c r="I36" s="38">
        <v>20</v>
      </c>
      <c r="J36" s="38">
        <v>54</v>
      </c>
      <c r="K36" s="38" t="s">
        <v>3948</v>
      </c>
      <c r="L36" s="38">
        <v>213979</v>
      </c>
    </row>
    <row r="37" spans="1:12">
      <c r="A37" s="38" t="s">
        <v>183</v>
      </c>
      <c r="B37" s="38" t="s">
        <v>184</v>
      </c>
      <c r="C37" s="38">
        <v>14</v>
      </c>
      <c r="D37" s="38">
        <v>24</v>
      </c>
      <c r="E37" s="38">
        <v>8</v>
      </c>
      <c r="F37" s="38">
        <v>0</v>
      </c>
      <c r="G37" s="38">
        <v>0</v>
      </c>
      <c r="H37" s="38">
        <v>0</v>
      </c>
      <c r="I37" s="38">
        <v>24</v>
      </c>
      <c r="J37" s="38">
        <v>70</v>
      </c>
      <c r="K37" s="38" t="s">
        <v>3948</v>
      </c>
      <c r="L37" s="38">
        <v>355355</v>
      </c>
    </row>
    <row r="38" spans="1:12">
      <c r="A38" s="38" t="s">
        <v>185</v>
      </c>
      <c r="B38" s="38" t="s">
        <v>186</v>
      </c>
      <c r="C38" s="38">
        <v>33</v>
      </c>
      <c r="D38" s="38">
        <v>2</v>
      </c>
      <c r="E38" s="38">
        <v>12</v>
      </c>
      <c r="F38" s="38">
        <v>0</v>
      </c>
      <c r="G38" s="38">
        <v>0</v>
      </c>
      <c r="H38" s="38">
        <v>0</v>
      </c>
      <c r="I38" s="38">
        <v>0</v>
      </c>
      <c r="J38" s="38">
        <v>47</v>
      </c>
      <c r="K38" s="38" t="s">
        <v>3938</v>
      </c>
      <c r="L38" s="38">
        <v>103798</v>
      </c>
    </row>
    <row r="39" spans="1:12">
      <c r="A39" s="38" t="s">
        <v>187</v>
      </c>
      <c r="B39" s="38" t="s">
        <v>188</v>
      </c>
      <c r="C39" s="38">
        <v>50</v>
      </c>
      <c r="D39" s="38">
        <v>8</v>
      </c>
      <c r="E39" s="38">
        <v>0</v>
      </c>
      <c r="F39" s="38">
        <v>2</v>
      </c>
      <c r="G39" s="38">
        <v>0</v>
      </c>
      <c r="H39" s="38">
        <v>0</v>
      </c>
      <c r="I39" s="38">
        <v>0</v>
      </c>
      <c r="J39" s="38">
        <v>60</v>
      </c>
      <c r="K39" s="38" t="s">
        <v>3938</v>
      </c>
      <c r="L39" s="38">
        <v>248602</v>
      </c>
    </row>
    <row r="40" spans="1:12">
      <c r="A40" s="38" t="s">
        <v>189</v>
      </c>
      <c r="B40" s="38" t="s">
        <v>190</v>
      </c>
      <c r="C40" s="38">
        <v>18</v>
      </c>
      <c r="D40" s="38">
        <v>3</v>
      </c>
      <c r="E40" s="38">
        <v>3</v>
      </c>
      <c r="F40" s="38">
        <v>7</v>
      </c>
      <c r="G40" s="38">
        <v>0</v>
      </c>
      <c r="H40" s="38">
        <v>0</v>
      </c>
      <c r="I40" s="38">
        <v>0</v>
      </c>
      <c r="J40" s="38">
        <v>31</v>
      </c>
      <c r="K40" s="38" t="s">
        <v>3938</v>
      </c>
      <c r="L40" s="38">
        <v>75497</v>
      </c>
    </row>
    <row r="41" spans="1:12">
      <c r="A41" s="38" t="s">
        <v>191</v>
      </c>
      <c r="B41" s="38" t="s">
        <v>192</v>
      </c>
      <c r="C41" s="38">
        <v>27</v>
      </c>
      <c r="D41" s="38">
        <v>3</v>
      </c>
      <c r="E41" s="38">
        <v>0</v>
      </c>
      <c r="F41" s="38">
        <v>0</v>
      </c>
      <c r="G41" s="38">
        <v>0</v>
      </c>
      <c r="H41" s="38">
        <v>0</v>
      </c>
      <c r="I41" s="38">
        <v>0</v>
      </c>
      <c r="J41" s="38">
        <v>30</v>
      </c>
      <c r="K41" s="38" t="s">
        <v>3938</v>
      </c>
      <c r="L41" s="38">
        <v>73516</v>
      </c>
    </row>
    <row r="42" spans="1:12">
      <c r="A42" s="38" t="s">
        <v>193</v>
      </c>
      <c r="B42" s="38" t="s">
        <v>194</v>
      </c>
      <c r="C42" s="38">
        <v>20</v>
      </c>
      <c r="D42" s="38">
        <v>14</v>
      </c>
      <c r="E42" s="38">
        <v>7</v>
      </c>
      <c r="F42" s="38">
        <v>3</v>
      </c>
      <c r="G42" s="38">
        <v>0</v>
      </c>
      <c r="H42" s="38">
        <v>0</v>
      </c>
      <c r="I42" s="38">
        <v>0</v>
      </c>
      <c r="J42" s="38">
        <v>44</v>
      </c>
      <c r="K42" s="38" t="s">
        <v>3948</v>
      </c>
      <c r="L42" s="38">
        <v>87362</v>
      </c>
    </row>
    <row r="43" spans="1:12">
      <c r="A43" s="38" t="s">
        <v>195</v>
      </c>
      <c r="B43" s="38" t="s">
        <v>196</v>
      </c>
      <c r="C43" s="38">
        <v>113</v>
      </c>
      <c r="D43" s="38">
        <v>4</v>
      </c>
      <c r="E43" s="38">
        <v>15</v>
      </c>
      <c r="F43" s="38">
        <v>14</v>
      </c>
      <c r="G43" s="38">
        <v>0</v>
      </c>
      <c r="H43" s="38">
        <v>0</v>
      </c>
      <c r="I43" s="38">
        <v>1</v>
      </c>
      <c r="J43" s="38">
        <v>147</v>
      </c>
      <c r="K43" s="38" t="s">
        <v>3938</v>
      </c>
      <c r="L43" s="38">
        <v>412512</v>
      </c>
    </row>
    <row r="44" spans="1:12">
      <c r="A44" s="38" t="s">
        <v>197</v>
      </c>
      <c r="B44" s="38" t="s">
        <v>198</v>
      </c>
      <c r="C44" s="38">
        <v>9</v>
      </c>
      <c r="D44" s="38">
        <v>18</v>
      </c>
      <c r="E44" s="38">
        <v>8</v>
      </c>
      <c r="F44" s="38">
        <v>5</v>
      </c>
      <c r="G44" s="38">
        <v>0</v>
      </c>
      <c r="H44" s="38">
        <v>0</v>
      </c>
      <c r="I44" s="38">
        <v>5</v>
      </c>
      <c r="J44" s="38">
        <v>45</v>
      </c>
      <c r="K44" s="38" t="s">
        <v>3948</v>
      </c>
      <c r="L44" s="38">
        <v>67159</v>
      </c>
    </row>
    <row r="45" spans="1:12">
      <c r="A45" s="38" t="s">
        <v>199</v>
      </c>
      <c r="B45" s="38" t="s">
        <v>200</v>
      </c>
      <c r="C45" s="38">
        <v>15</v>
      </c>
      <c r="D45" s="38">
        <v>27</v>
      </c>
      <c r="E45" s="38">
        <v>4</v>
      </c>
      <c r="F45" s="38">
        <v>5</v>
      </c>
      <c r="G45" s="38">
        <v>0</v>
      </c>
      <c r="H45" s="38">
        <v>0</v>
      </c>
      <c r="I45" s="38">
        <v>0</v>
      </c>
      <c r="J45" s="38">
        <v>51</v>
      </c>
      <c r="K45" s="38" t="s">
        <v>3939</v>
      </c>
      <c r="L45" s="38">
        <v>146308</v>
      </c>
    </row>
    <row r="46" spans="1:12">
      <c r="A46" s="38" t="s">
        <v>3955</v>
      </c>
      <c r="B46" s="38" t="s">
        <v>3956</v>
      </c>
      <c r="C46" s="38">
        <v>0</v>
      </c>
      <c r="D46" s="38">
        <v>49</v>
      </c>
      <c r="E46" s="38">
        <v>0</v>
      </c>
      <c r="F46" s="38">
        <v>6</v>
      </c>
      <c r="G46" s="38">
        <v>18</v>
      </c>
      <c r="H46" s="38">
        <v>0</v>
      </c>
      <c r="I46" s="38">
        <v>0</v>
      </c>
      <c r="J46" s="38">
        <v>73</v>
      </c>
      <c r="K46" s="38" t="s">
        <v>3939</v>
      </c>
      <c r="L46" s="38">
        <v>133316</v>
      </c>
    </row>
    <row r="47" spans="1:12">
      <c r="A47" s="38" t="s">
        <v>201</v>
      </c>
      <c r="B47" s="38" t="s">
        <v>202</v>
      </c>
      <c r="C47" s="38">
        <v>16</v>
      </c>
      <c r="D47" s="38">
        <v>28</v>
      </c>
      <c r="E47" s="38">
        <v>5</v>
      </c>
      <c r="F47" s="38">
        <v>2</v>
      </c>
      <c r="G47" s="38">
        <v>0</v>
      </c>
      <c r="H47" s="38">
        <v>0</v>
      </c>
      <c r="I47" s="38">
        <v>0</v>
      </c>
      <c r="J47" s="38">
        <v>51</v>
      </c>
      <c r="K47" s="38" t="s">
        <v>3939</v>
      </c>
      <c r="L47" s="38">
        <v>152403</v>
      </c>
    </row>
    <row r="48" spans="1:12">
      <c r="A48" s="38" t="s">
        <v>203</v>
      </c>
      <c r="B48" s="38" t="s">
        <v>204</v>
      </c>
      <c r="C48" s="38">
        <v>0</v>
      </c>
      <c r="D48" s="38">
        <v>27</v>
      </c>
      <c r="E48" s="38">
        <v>12</v>
      </c>
      <c r="F48" s="38">
        <v>1</v>
      </c>
      <c r="G48" s="38">
        <v>0</v>
      </c>
      <c r="H48" s="38">
        <v>0</v>
      </c>
      <c r="I48" s="38">
        <v>2</v>
      </c>
      <c r="J48" s="38">
        <v>42</v>
      </c>
      <c r="K48" s="38" t="s">
        <v>3939</v>
      </c>
      <c r="L48" s="38">
        <v>95765</v>
      </c>
    </row>
    <row r="49" spans="1:12">
      <c r="A49" s="38" t="s">
        <v>3885</v>
      </c>
      <c r="B49" s="38" t="s">
        <v>3886</v>
      </c>
      <c r="C49" s="38">
        <v>28</v>
      </c>
      <c r="D49" s="38">
        <v>9</v>
      </c>
      <c r="E49" s="38">
        <v>20</v>
      </c>
      <c r="F49" s="38">
        <v>4</v>
      </c>
      <c r="G49" s="38">
        <v>0</v>
      </c>
      <c r="H49" s="38">
        <v>0</v>
      </c>
      <c r="I49" s="38">
        <v>0</v>
      </c>
      <c r="J49" s="38">
        <v>61</v>
      </c>
      <c r="K49" s="38" t="s">
        <v>3948</v>
      </c>
      <c r="L49" s="38">
        <v>495500</v>
      </c>
    </row>
    <row r="50" spans="1:12">
      <c r="A50" s="38" t="s">
        <v>205</v>
      </c>
      <c r="B50" s="38" t="s">
        <v>206</v>
      </c>
      <c r="C50" s="38">
        <v>7</v>
      </c>
      <c r="D50" s="38">
        <v>43</v>
      </c>
      <c r="E50" s="38">
        <v>3</v>
      </c>
      <c r="F50" s="38">
        <v>0</v>
      </c>
      <c r="G50" s="38">
        <v>0</v>
      </c>
      <c r="H50" s="38">
        <v>0</v>
      </c>
      <c r="I50" s="38">
        <v>1</v>
      </c>
      <c r="J50" s="38">
        <v>54</v>
      </c>
      <c r="K50" s="38" t="s">
        <v>3939</v>
      </c>
      <c r="L50" s="38">
        <v>155732</v>
      </c>
    </row>
    <row r="51" spans="1:12">
      <c r="A51" s="38" t="s">
        <v>207</v>
      </c>
      <c r="B51" s="38" t="s">
        <v>208</v>
      </c>
      <c r="C51" s="38">
        <v>24</v>
      </c>
      <c r="D51" s="38">
        <v>9</v>
      </c>
      <c r="E51" s="38">
        <v>2</v>
      </c>
      <c r="F51" s="38">
        <v>1</v>
      </c>
      <c r="G51" s="38">
        <v>0</v>
      </c>
      <c r="H51" s="38">
        <v>0</v>
      </c>
      <c r="I51" s="38">
        <v>5</v>
      </c>
      <c r="J51" s="38">
        <v>41</v>
      </c>
      <c r="K51" s="38" t="s">
        <v>3938</v>
      </c>
      <c r="L51" s="38">
        <v>76380</v>
      </c>
    </row>
    <row r="52" spans="1:12">
      <c r="A52" s="38" t="s">
        <v>209</v>
      </c>
      <c r="B52" s="38" t="s">
        <v>210</v>
      </c>
      <c r="C52" s="38">
        <v>23</v>
      </c>
      <c r="D52" s="38">
        <v>10</v>
      </c>
      <c r="E52" s="38">
        <v>6</v>
      </c>
      <c r="F52" s="38">
        <v>0</v>
      </c>
      <c r="G52" s="38">
        <v>0</v>
      </c>
      <c r="H52" s="38">
        <v>0</v>
      </c>
      <c r="I52" s="38">
        <v>0</v>
      </c>
      <c r="J52" s="38">
        <v>39</v>
      </c>
      <c r="K52" s="38" t="s">
        <v>3938</v>
      </c>
      <c r="L52" s="38">
        <v>116447</v>
      </c>
    </row>
    <row r="53" spans="1:12">
      <c r="A53" s="38" t="s">
        <v>3957</v>
      </c>
      <c r="B53" s="38" t="s">
        <v>819</v>
      </c>
      <c r="C53" s="38">
        <v>21</v>
      </c>
      <c r="D53" s="38">
        <v>38</v>
      </c>
      <c r="E53" s="38">
        <v>11</v>
      </c>
      <c r="F53" s="38">
        <v>5</v>
      </c>
      <c r="G53" s="38">
        <v>0</v>
      </c>
      <c r="H53" s="38">
        <v>0</v>
      </c>
      <c r="I53" s="38">
        <v>0</v>
      </c>
      <c r="J53" s="38">
        <v>75</v>
      </c>
      <c r="K53" s="38" t="s">
        <v>3939</v>
      </c>
      <c r="L53" s="38">
        <v>260193</v>
      </c>
    </row>
    <row r="54" spans="1:12">
      <c r="A54" s="38" t="s">
        <v>211</v>
      </c>
      <c r="B54" s="38" t="s">
        <v>212</v>
      </c>
      <c r="C54" s="38">
        <v>19</v>
      </c>
      <c r="D54" s="38">
        <v>13</v>
      </c>
      <c r="E54" s="38">
        <v>1</v>
      </c>
      <c r="F54" s="38">
        <v>4</v>
      </c>
      <c r="G54" s="38">
        <v>0</v>
      </c>
      <c r="H54" s="38">
        <v>1</v>
      </c>
      <c r="I54" s="38">
        <v>1</v>
      </c>
      <c r="J54" s="38">
        <v>39</v>
      </c>
      <c r="K54" s="38" t="s">
        <v>3948</v>
      </c>
      <c r="L54" s="38">
        <v>83681</v>
      </c>
    </row>
    <row r="55" spans="1:12">
      <c r="A55" s="38" t="s">
        <v>3958</v>
      </c>
      <c r="B55" s="38" t="s">
        <v>3959</v>
      </c>
      <c r="C55" s="38">
        <v>0</v>
      </c>
      <c r="D55" s="38">
        <v>17</v>
      </c>
      <c r="E55" s="38">
        <v>0</v>
      </c>
      <c r="F55" s="38">
        <v>20</v>
      </c>
      <c r="G55" s="38">
        <v>37</v>
      </c>
      <c r="H55" s="38">
        <v>0</v>
      </c>
      <c r="I55" s="38">
        <v>0</v>
      </c>
      <c r="J55" s="38">
        <v>74</v>
      </c>
      <c r="K55" s="38" t="s">
        <v>3948</v>
      </c>
      <c r="L55" s="38">
        <v>144774</v>
      </c>
    </row>
    <row r="56" spans="1:12">
      <c r="A56" s="38" t="s">
        <v>213</v>
      </c>
      <c r="B56" s="38" t="s">
        <v>214</v>
      </c>
      <c r="C56" s="38">
        <v>21</v>
      </c>
      <c r="D56" s="38">
        <v>0</v>
      </c>
      <c r="E56" s="38">
        <v>0</v>
      </c>
      <c r="F56" s="38">
        <v>20</v>
      </c>
      <c r="G56" s="38">
        <v>0</v>
      </c>
      <c r="H56" s="38">
        <v>0</v>
      </c>
      <c r="I56" s="38">
        <v>0</v>
      </c>
      <c r="J56" s="38">
        <v>41</v>
      </c>
      <c r="K56" s="38" t="s">
        <v>3938</v>
      </c>
      <c r="L56" s="38">
        <v>69630</v>
      </c>
    </row>
    <row r="57" spans="1:12">
      <c r="A57" s="38" t="s">
        <v>215</v>
      </c>
      <c r="B57" s="38" t="s">
        <v>216</v>
      </c>
      <c r="C57" s="38">
        <v>41</v>
      </c>
      <c r="D57" s="38">
        <v>1</v>
      </c>
      <c r="E57" s="38">
        <v>3</v>
      </c>
      <c r="F57" s="38">
        <v>13</v>
      </c>
      <c r="G57" s="38">
        <v>0</v>
      </c>
      <c r="H57" s="38">
        <v>1</v>
      </c>
      <c r="I57" s="38">
        <v>0</v>
      </c>
      <c r="J57" s="38">
        <v>59</v>
      </c>
      <c r="K57" s="38" t="s">
        <v>3938</v>
      </c>
      <c r="L57" s="38">
        <v>218802</v>
      </c>
    </row>
    <row r="58" spans="1:12">
      <c r="A58" s="38" t="s">
        <v>3960</v>
      </c>
      <c r="B58" s="38" t="s">
        <v>3961</v>
      </c>
      <c r="C58" s="38">
        <v>0</v>
      </c>
      <c r="D58" s="38">
        <v>0</v>
      </c>
      <c r="E58" s="38">
        <v>8</v>
      </c>
      <c r="F58" s="38">
        <v>14</v>
      </c>
      <c r="G58" s="38">
        <v>20</v>
      </c>
      <c r="H58" s="38">
        <v>0</v>
      </c>
      <c r="I58" s="38">
        <v>0</v>
      </c>
      <c r="J58" s="38">
        <v>42</v>
      </c>
      <c r="K58" s="38" t="s">
        <v>3948</v>
      </c>
      <c r="L58" s="38">
        <v>56634</v>
      </c>
    </row>
    <row r="59" spans="1:12">
      <c r="A59" s="38" t="s">
        <v>217</v>
      </c>
      <c r="B59" s="38" t="s">
        <v>218</v>
      </c>
      <c r="C59" s="38">
        <v>37</v>
      </c>
      <c r="D59" s="38">
        <v>13</v>
      </c>
      <c r="E59" s="38">
        <v>0</v>
      </c>
      <c r="F59" s="38">
        <v>1</v>
      </c>
      <c r="G59" s="38">
        <v>0</v>
      </c>
      <c r="H59" s="38">
        <v>0</v>
      </c>
      <c r="I59" s="38">
        <v>1</v>
      </c>
      <c r="J59" s="38">
        <v>52</v>
      </c>
      <c r="K59" s="38" t="s">
        <v>3938</v>
      </c>
      <c r="L59" s="38">
        <v>140859</v>
      </c>
    </row>
    <row r="60" spans="1:12">
      <c r="A60" s="38" t="s">
        <v>219</v>
      </c>
      <c r="B60" s="38" t="s">
        <v>220</v>
      </c>
      <c r="C60" s="38">
        <v>22</v>
      </c>
      <c r="D60" s="38">
        <v>0</v>
      </c>
      <c r="E60" s="38">
        <v>30</v>
      </c>
      <c r="F60" s="38">
        <v>5</v>
      </c>
      <c r="G60" s="38">
        <v>0</v>
      </c>
      <c r="H60" s="38">
        <v>0</v>
      </c>
      <c r="I60" s="38">
        <v>0</v>
      </c>
      <c r="J60" s="38">
        <v>57</v>
      </c>
      <c r="K60" s="38" t="s">
        <v>3940</v>
      </c>
      <c r="L60" s="38">
        <v>135175</v>
      </c>
    </row>
    <row r="61" spans="1:12">
      <c r="A61" s="38" t="s">
        <v>221</v>
      </c>
      <c r="B61" s="38" t="s">
        <v>222</v>
      </c>
      <c r="C61" s="38">
        <v>8</v>
      </c>
      <c r="D61" s="38">
        <v>0</v>
      </c>
      <c r="E61" s="38">
        <v>30</v>
      </c>
      <c r="F61" s="38">
        <v>2</v>
      </c>
      <c r="G61" s="38">
        <v>0</v>
      </c>
      <c r="H61" s="38">
        <v>0</v>
      </c>
      <c r="I61" s="38">
        <v>0</v>
      </c>
      <c r="J61" s="38">
        <v>40</v>
      </c>
      <c r="K61" s="38" t="s">
        <v>3940</v>
      </c>
      <c r="L61" s="38">
        <v>93265</v>
      </c>
    </row>
    <row r="62" spans="1:12">
      <c r="A62" s="38" t="s">
        <v>223</v>
      </c>
      <c r="B62" s="38" t="s">
        <v>224</v>
      </c>
      <c r="C62" s="38">
        <v>31</v>
      </c>
      <c r="D62" s="38">
        <v>9</v>
      </c>
      <c r="E62" s="38">
        <v>3</v>
      </c>
      <c r="F62" s="38">
        <v>4</v>
      </c>
      <c r="G62" s="38">
        <v>0</v>
      </c>
      <c r="H62" s="38">
        <v>0</v>
      </c>
      <c r="I62" s="38">
        <v>1</v>
      </c>
      <c r="J62" s="38">
        <v>48</v>
      </c>
      <c r="K62" s="38" t="s">
        <v>3938</v>
      </c>
      <c r="L62" s="38">
        <v>115008</v>
      </c>
    </row>
    <row r="63" spans="1:12">
      <c r="A63" s="38" t="s">
        <v>225</v>
      </c>
      <c r="B63" s="38" t="s">
        <v>226</v>
      </c>
      <c r="C63" s="38">
        <v>32</v>
      </c>
      <c r="D63" s="38">
        <v>25</v>
      </c>
      <c r="E63" s="38">
        <v>4</v>
      </c>
      <c r="F63" s="38">
        <v>21</v>
      </c>
      <c r="G63" s="38">
        <v>0</v>
      </c>
      <c r="H63" s="38">
        <v>0</v>
      </c>
      <c r="I63" s="38">
        <v>0</v>
      </c>
      <c r="J63" s="38">
        <v>82</v>
      </c>
      <c r="K63" s="38" t="s">
        <v>3948</v>
      </c>
      <c r="L63" s="38">
        <v>308634</v>
      </c>
    </row>
    <row r="64" spans="1:12">
      <c r="A64" s="38" t="s">
        <v>227</v>
      </c>
      <c r="B64" s="38" t="s">
        <v>228</v>
      </c>
      <c r="C64" s="38">
        <v>29</v>
      </c>
      <c r="D64" s="38">
        <v>35</v>
      </c>
      <c r="E64" s="38">
        <v>2</v>
      </c>
      <c r="F64" s="38">
        <v>3</v>
      </c>
      <c r="G64" s="38">
        <v>0</v>
      </c>
      <c r="H64" s="38">
        <v>0</v>
      </c>
      <c r="I64" s="38">
        <v>1</v>
      </c>
      <c r="J64" s="38">
        <v>70</v>
      </c>
      <c r="K64" s="38" t="s">
        <v>3948</v>
      </c>
      <c r="L64" s="38">
        <v>275958</v>
      </c>
    </row>
    <row r="65" spans="1:12">
      <c r="A65" s="38" t="s">
        <v>229</v>
      </c>
      <c r="B65" s="38" t="s">
        <v>230</v>
      </c>
      <c r="C65" s="38">
        <v>0</v>
      </c>
      <c r="D65" s="38">
        <v>28</v>
      </c>
      <c r="E65" s="38">
        <v>17</v>
      </c>
      <c r="F65" s="38">
        <v>3</v>
      </c>
      <c r="G65" s="38">
        <v>0</v>
      </c>
      <c r="H65" s="38">
        <v>0</v>
      </c>
      <c r="I65" s="38">
        <v>0</v>
      </c>
      <c r="J65" s="38">
        <v>48</v>
      </c>
      <c r="K65" s="38" t="s">
        <v>3939</v>
      </c>
      <c r="L65" s="38">
        <v>79271</v>
      </c>
    </row>
    <row r="66" spans="1:12">
      <c r="A66" s="38" t="s">
        <v>231</v>
      </c>
      <c r="B66" s="38" t="s">
        <v>232</v>
      </c>
      <c r="C66" s="38">
        <v>17</v>
      </c>
      <c r="D66" s="38">
        <v>2</v>
      </c>
      <c r="E66" s="38">
        <v>10</v>
      </c>
      <c r="F66" s="38">
        <v>5</v>
      </c>
      <c r="G66" s="38">
        <v>0</v>
      </c>
      <c r="H66" s="38">
        <v>0</v>
      </c>
      <c r="I66" s="38">
        <v>2</v>
      </c>
      <c r="J66" s="38">
        <v>36</v>
      </c>
      <c r="K66" s="38" t="s">
        <v>3948</v>
      </c>
      <c r="L66" s="38">
        <v>95323</v>
      </c>
    </row>
    <row r="67" spans="1:12">
      <c r="A67" s="38" t="s">
        <v>233</v>
      </c>
      <c r="B67" s="38" t="s">
        <v>234</v>
      </c>
      <c r="C67" s="38">
        <v>13</v>
      </c>
      <c r="D67" s="38">
        <v>29</v>
      </c>
      <c r="E67" s="38">
        <v>0</v>
      </c>
      <c r="F67" s="38">
        <v>0</v>
      </c>
      <c r="G67" s="38">
        <v>0</v>
      </c>
      <c r="H67" s="38">
        <v>0</v>
      </c>
      <c r="I67" s="38">
        <v>0</v>
      </c>
      <c r="J67" s="38">
        <v>42</v>
      </c>
      <c r="K67" s="38" t="s">
        <v>3939</v>
      </c>
      <c r="L67" s="38">
        <v>87635</v>
      </c>
    </row>
    <row r="68" spans="1:12">
      <c r="A68" s="38" t="s">
        <v>235</v>
      </c>
      <c r="B68" s="38" t="s">
        <v>236</v>
      </c>
      <c r="C68" s="38">
        <v>0</v>
      </c>
      <c r="D68" s="38">
        <v>6</v>
      </c>
      <c r="E68" s="38">
        <v>0</v>
      </c>
      <c r="F68" s="38">
        <v>119</v>
      </c>
      <c r="G68" s="38">
        <v>0</v>
      </c>
      <c r="H68" s="38">
        <v>0</v>
      </c>
      <c r="I68" s="38">
        <v>0</v>
      </c>
      <c r="J68" s="38">
        <v>125</v>
      </c>
      <c r="K68" s="38" t="s">
        <v>3941</v>
      </c>
      <c r="L68" s="38">
        <v>7170</v>
      </c>
    </row>
    <row r="69" spans="1:12">
      <c r="A69" s="38" t="s">
        <v>237</v>
      </c>
      <c r="B69" s="38" t="s">
        <v>238</v>
      </c>
      <c r="C69" s="38">
        <v>23</v>
      </c>
      <c r="D69" s="38">
        <v>11</v>
      </c>
      <c r="E69" s="38">
        <v>12</v>
      </c>
      <c r="F69" s="38">
        <v>3</v>
      </c>
      <c r="G69" s="38">
        <v>0</v>
      </c>
      <c r="H69" s="38">
        <v>0</v>
      </c>
      <c r="I69" s="38">
        <v>2</v>
      </c>
      <c r="J69" s="38">
        <v>51</v>
      </c>
      <c r="K69" s="38" t="s">
        <v>3948</v>
      </c>
      <c r="L69" s="38">
        <v>141228</v>
      </c>
    </row>
    <row r="70" spans="1:12">
      <c r="A70" s="38" t="s">
        <v>3962</v>
      </c>
      <c r="B70" s="38" t="s">
        <v>3963</v>
      </c>
      <c r="C70" s="38">
        <v>14</v>
      </c>
      <c r="D70" s="38">
        <v>8</v>
      </c>
      <c r="E70" s="38">
        <v>4</v>
      </c>
      <c r="F70" s="38">
        <v>23</v>
      </c>
      <c r="G70" s="38">
        <v>10</v>
      </c>
      <c r="H70" s="38">
        <v>0</v>
      </c>
      <c r="I70" s="38">
        <v>0</v>
      </c>
      <c r="J70" s="38">
        <v>59</v>
      </c>
      <c r="K70" s="38" t="s">
        <v>3948</v>
      </c>
      <c r="L70" s="38">
        <v>91308</v>
      </c>
    </row>
    <row r="71" spans="1:12">
      <c r="A71" s="38" t="s">
        <v>239</v>
      </c>
      <c r="B71" s="38" t="s">
        <v>240</v>
      </c>
      <c r="C71" s="38">
        <v>11</v>
      </c>
      <c r="D71" s="38">
        <v>16</v>
      </c>
      <c r="E71" s="38">
        <v>0</v>
      </c>
      <c r="F71" s="38">
        <v>6</v>
      </c>
      <c r="G71" s="38">
        <v>0</v>
      </c>
      <c r="H71" s="38">
        <v>0</v>
      </c>
      <c r="I71" s="38">
        <v>0</v>
      </c>
      <c r="J71" s="38">
        <v>33</v>
      </c>
      <c r="K71" s="38" t="s">
        <v>3948</v>
      </c>
      <c r="L71" s="38">
        <v>53905</v>
      </c>
    </row>
    <row r="72" spans="1:12">
      <c r="A72" s="4" t="s">
        <v>241</v>
      </c>
      <c r="B72" s="5" t="s">
        <v>242</v>
      </c>
      <c r="C72" s="6">
        <v>4</v>
      </c>
      <c r="D72" s="6">
        <v>24</v>
      </c>
      <c r="E72" s="6">
        <v>0</v>
      </c>
      <c r="F72" s="6">
        <v>1</v>
      </c>
      <c r="G72" s="6">
        <v>0</v>
      </c>
      <c r="H72" s="6">
        <v>0</v>
      </c>
      <c r="I72" s="6">
        <v>0</v>
      </c>
      <c r="J72" s="6">
        <v>29</v>
      </c>
      <c r="K72" s="6" t="s">
        <v>3939</v>
      </c>
      <c r="L72" s="34"/>
    </row>
    <row r="73" spans="1:12">
      <c r="A73" s="38" t="s">
        <v>243</v>
      </c>
      <c r="B73" s="38" t="s">
        <v>244</v>
      </c>
      <c r="C73" s="38">
        <v>47</v>
      </c>
      <c r="D73" s="38">
        <v>5</v>
      </c>
      <c r="E73" s="38">
        <v>13</v>
      </c>
      <c r="F73" s="38">
        <v>21</v>
      </c>
      <c r="G73" s="38">
        <v>0</v>
      </c>
      <c r="H73" s="38">
        <v>0</v>
      </c>
      <c r="I73" s="38">
        <v>1</v>
      </c>
      <c r="J73" s="38">
        <v>87</v>
      </c>
      <c r="K73" s="38" t="s">
        <v>3938</v>
      </c>
      <c r="L73" s="38">
        <v>440915</v>
      </c>
    </row>
    <row r="74" spans="1:12">
      <c r="A74" s="38" t="s">
        <v>245</v>
      </c>
      <c r="B74" s="38" t="s">
        <v>246</v>
      </c>
      <c r="C74" s="38">
        <v>14</v>
      </c>
      <c r="D74" s="38">
        <v>0</v>
      </c>
      <c r="E74" s="38">
        <v>18</v>
      </c>
      <c r="F74" s="38">
        <v>1</v>
      </c>
      <c r="G74" s="38">
        <v>0</v>
      </c>
      <c r="H74" s="38">
        <v>0</v>
      </c>
      <c r="I74" s="38">
        <v>1</v>
      </c>
      <c r="J74" s="38">
        <v>34</v>
      </c>
      <c r="K74" s="38" t="s">
        <v>3940</v>
      </c>
      <c r="L74" s="38">
        <v>72191</v>
      </c>
    </row>
    <row r="75" spans="1:12">
      <c r="A75" s="38" t="s">
        <v>247</v>
      </c>
      <c r="B75" s="38" t="s">
        <v>248</v>
      </c>
      <c r="C75" s="38">
        <v>15</v>
      </c>
      <c r="D75" s="38">
        <v>39</v>
      </c>
      <c r="E75" s="38">
        <v>0</v>
      </c>
      <c r="F75" s="38">
        <v>0</v>
      </c>
      <c r="G75" s="38">
        <v>0</v>
      </c>
      <c r="H75" s="38">
        <v>0</v>
      </c>
      <c r="I75" s="38">
        <v>0</v>
      </c>
      <c r="J75" s="38">
        <v>54</v>
      </c>
      <c r="K75" s="38" t="s">
        <v>3939</v>
      </c>
      <c r="L75" s="38">
        <v>236627</v>
      </c>
    </row>
    <row r="76" spans="1:12">
      <c r="A76" s="38" t="s">
        <v>249</v>
      </c>
      <c r="B76" s="38" t="s">
        <v>250</v>
      </c>
      <c r="C76" s="38">
        <v>14</v>
      </c>
      <c r="D76" s="38">
        <v>4</v>
      </c>
      <c r="E76" s="38">
        <v>1</v>
      </c>
      <c r="F76" s="38">
        <v>9</v>
      </c>
      <c r="G76" s="38">
        <v>0</v>
      </c>
      <c r="H76" s="38">
        <v>0</v>
      </c>
      <c r="I76" s="38">
        <v>2</v>
      </c>
      <c r="J76" s="38">
        <v>30</v>
      </c>
      <c r="K76" s="38" t="s">
        <v>3948</v>
      </c>
      <c r="L76" s="38">
        <v>45558</v>
      </c>
    </row>
    <row r="77" spans="1:12">
      <c r="A77" s="38" t="s">
        <v>251</v>
      </c>
      <c r="B77" s="38" t="s">
        <v>252</v>
      </c>
      <c r="C77" s="38">
        <v>18</v>
      </c>
      <c r="D77" s="38">
        <v>17</v>
      </c>
      <c r="E77" s="38">
        <v>0</v>
      </c>
      <c r="F77" s="38">
        <v>1</v>
      </c>
      <c r="G77" s="38">
        <v>0</v>
      </c>
      <c r="H77" s="38">
        <v>0</v>
      </c>
      <c r="I77" s="38">
        <v>0</v>
      </c>
      <c r="J77" s="38">
        <v>36</v>
      </c>
      <c r="K77" s="38" t="s">
        <v>3948</v>
      </c>
      <c r="L77" s="38">
        <v>82276</v>
      </c>
    </row>
    <row r="78" spans="1:12">
      <c r="A78" s="38" t="s">
        <v>253</v>
      </c>
      <c r="B78" s="38" t="s">
        <v>254</v>
      </c>
      <c r="C78" s="38">
        <v>29</v>
      </c>
      <c r="D78" s="38">
        <v>41</v>
      </c>
      <c r="E78" s="38">
        <v>0</v>
      </c>
      <c r="F78" s="38">
        <v>0</v>
      </c>
      <c r="G78" s="38">
        <v>0</v>
      </c>
      <c r="H78" s="38">
        <v>0</v>
      </c>
      <c r="I78" s="38">
        <v>0</v>
      </c>
      <c r="J78" s="38">
        <v>70</v>
      </c>
      <c r="K78" s="38" t="s">
        <v>3939</v>
      </c>
      <c r="L78" s="38">
        <v>277515</v>
      </c>
    </row>
    <row r="79" spans="1:12">
      <c r="A79" s="38" t="s">
        <v>3887</v>
      </c>
      <c r="B79" s="38" t="s">
        <v>3888</v>
      </c>
      <c r="C79" s="38">
        <v>39</v>
      </c>
      <c r="D79" s="38">
        <v>26</v>
      </c>
      <c r="E79" s="38">
        <v>15</v>
      </c>
      <c r="F79" s="38">
        <v>4</v>
      </c>
      <c r="G79" s="38">
        <v>0</v>
      </c>
      <c r="H79" s="38">
        <v>0</v>
      </c>
      <c r="I79" s="38">
        <v>0</v>
      </c>
      <c r="J79" s="38">
        <v>84</v>
      </c>
      <c r="K79" s="38" t="s">
        <v>3948</v>
      </c>
      <c r="L79" s="38">
        <v>393992</v>
      </c>
    </row>
    <row r="80" spans="1:12">
      <c r="A80" s="38" t="s">
        <v>255</v>
      </c>
      <c r="B80" s="38" t="s">
        <v>256</v>
      </c>
      <c r="C80" s="38">
        <v>31</v>
      </c>
      <c r="D80" s="38">
        <v>0</v>
      </c>
      <c r="E80" s="38">
        <v>19</v>
      </c>
      <c r="F80" s="38">
        <v>1</v>
      </c>
      <c r="G80" s="38">
        <v>0</v>
      </c>
      <c r="H80" s="38">
        <v>0</v>
      </c>
      <c r="I80" s="38">
        <v>0</v>
      </c>
      <c r="J80" s="38">
        <v>51</v>
      </c>
      <c r="K80" s="38" t="s">
        <v>3938</v>
      </c>
      <c r="L80" s="38">
        <v>114239</v>
      </c>
    </row>
    <row r="81" spans="1:12">
      <c r="A81" s="38" t="s">
        <v>257</v>
      </c>
      <c r="B81" s="38" t="s">
        <v>258</v>
      </c>
      <c r="C81" s="38">
        <v>23</v>
      </c>
      <c r="D81" s="38">
        <v>18</v>
      </c>
      <c r="E81" s="38">
        <v>3</v>
      </c>
      <c r="F81" s="38">
        <v>4</v>
      </c>
      <c r="G81" s="38">
        <v>0</v>
      </c>
      <c r="H81" s="38">
        <v>0</v>
      </c>
      <c r="I81" s="38">
        <v>2</v>
      </c>
      <c r="J81" s="38">
        <v>50</v>
      </c>
      <c r="K81" s="38" t="s">
        <v>3948</v>
      </c>
      <c r="L81" s="38">
        <v>80207</v>
      </c>
    </row>
    <row r="82" spans="1:12">
      <c r="A82" s="38" t="s">
        <v>260</v>
      </c>
      <c r="B82" s="38" t="s">
        <v>261</v>
      </c>
      <c r="C82" s="38">
        <v>29</v>
      </c>
      <c r="D82" s="38">
        <v>9</v>
      </c>
      <c r="E82" s="38">
        <v>0</v>
      </c>
      <c r="F82" s="38">
        <v>3</v>
      </c>
      <c r="G82" s="38">
        <v>0</v>
      </c>
      <c r="H82" s="38">
        <v>0</v>
      </c>
      <c r="I82" s="38">
        <v>1</v>
      </c>
      <c r="J82" s="38">
        <v>42</v>
      </c>
      <c r="K82" s="38" t="s">
        <v>3938</v>
      </c>
      <c r="L82" s="38">
        <v>82443</v>
      </c>
    </row>
    <row r="83" spans="1:12">
      <c r="A83" s="38" t="s">
        <v>3964</v>
      </c>
      <c r="B83" s="38" t="s">
        <v>3965</v>
      </c>
      <c r="C83" s="38">
        <v>15</v>
      </c>
      <c r="D83" s="38">
        <v>12</v>
      </c>
      <c r="E83" s="38">
        <v>0</v>
      </c>
      <c r="F83" s="38">
        <v>11</v>
      </c>
      <c r="G83" s="38">
        <v>9</v>
      </c>
      <c r="H83" s="38">
        <v>0</v>
      </c>
      <c r="I83" s="38">
        <v>0</v>
      </c>
      <c r="J83" s="38">
        <v>47</v>
      </c>
      <c r="K83" s="38" t="s">
        <v>3948</v>
      </c>
      <c r="L83" s="38">
        <v>74541</v>
      </c>
    </row>
    <row r="84" spans="1:12">
      <c r="A84" s="38" t="s">
        <v>264</v>
      </c>
      <c r="B84" s="38" t="s">
        <v>265</v>
      </c>
      <c r="C84" s="38">
        <v>21</v>
      </c>
      <c r="D84" s="38">
        <v>13</v>
      </c>
      <c r="E84" s="38">
        <v>8</v>
      </c>
      <c r="F84" s="38">
        <v>9</v>
      </c>
      <c r="G84" s="38">
        <v>0</v>
      </c>
      <c r="H84" s="38">
        <v>0</v>
      </c>
      <c r="I84" s="38">
        <v>0</v>
      </c>
      <c r="J84" s="38">
        <v>51</v>
      </c>
      <c r="K84" s="38" t="s">
        <v>3948</v>
      </c>
      <c r="L84" s="38">
        <v>184109</v>
      </c>
    </row>
    <row r="85" spans="1:12">
      <c r="A85" s="38" t="s">
        <v>3889</v>
      </c>
      <c r="B85" s="38" t="s">
        <v>3890</v>
      </c>
      <c r="C85" s="38">
        <v>45</v>
      </c>
      <c r="D85" s="38">
        <v>14</v>
      </c>
      <c r="E85" s="38">
        <v>4</v>
      </c>
      <c r="F85" s="38">
        <v>0</v>
      </c>
      <c r="G85" s="38">
        <v>0</v>
      </c>
      <c r="H85" s="38">
        <v>0</v>
      </c>
      <c r="I85" s="38">
        <v>1</v>
      </c>
      <c r="J85" s="38">
        <v>64</v>
      </c>
      <c r="K85" s="38" t="s">
        <v>3938</v>
      </c>
      <c r="L85" s="38">
        <v>621852</v>
      </c>
    </row>
    <row r="86" spans="1:12">
      <c r="A86" s="38" t="s">
        <v>266</v>
      </c>
      <c r="B86" s="38" t="s">
        <v>267</v>
      </c>
      <c r="C86" s="38">
        <v>20</v>
      </c>
      <c r="D86" s="38">
        <v>4</v>
      </c>
      <c r="E86" s="38">
        <v>7</v>
      </c>
      <c r="F86" s="38">
        <v>6</v>
      </c>
      <c r="G86" s="38">
        <v>0</v>
      </c>
      <c r="H86" s="38">
        <v>0</v>
      </c>
      <c r="I86" s="38">
        <v>2</v>
      </c>
      <c r="J86" s="38">
        <v>39</v>
      </c>
      <c r="K86" s="38" t="s">
        <v>3938</v>
      </c>
      <c r="L86" s="38">
        <v>57844</v>
      </c>
    </row>
    <row r="87" spans="1:12">
      <c r="A87" s="38" t="s">
        <v>3891</v>
      </c>
      <c r="B87" s="38" t="s">
        <v>3892</v>
      </c>
      <c r="C87" s="38">
        <v>39</v>
      </c>
      <c r="D87" s="38">
        <v>7</v>
      </c>
      <c r="E87" s="38">
        <v>9</v>
      </c>
      <c r="F87" s="38">
        <v>3</v>
      </c>
      <c r="G87" s="38">
        <v>0</v>
      </c>
      <c r="H87" s="38">
        <v>0</v>
      </c>
      <c r="I87" s="38">
        <v>2</v>
      </c>
      <c r="J87" s="38">
        <v>60</v>
      </c>
      <c r="K87" s="38" t="s">
        <v>3938</v>
      </c>
      <c r="L87" s="38">
        <v>633545</v>
      </c>
    </row>
    <row r="88" spans="1:12">
      <c r="A88" s="38" t="s">
        <v>268</v>
      </c>
      <c r="B88" s="38" t="s">
        <v>269</v>
      </c>
      <c r="C88" s="38">
        <v>11</v>
      </c>
      <c r="D88" s="38">
        <v>40</v>
      </c>
      <c r="E88" s="38">
        <v>0</v>
      </c>
      <c r="F88" s="38">
        <v>4</v>
      </c>
      <c r="G88" s="38">
        <v>0</v>
      </c>
      <c r="H88" s="38">
        <v>0</v>
      </c>
      <c r="I88" s="38">
        <v>0</v>
      </c>
      <c r="J88" s="38">
        <v>55</v>
      </c>
      <c r="K88" s="38" t="s">
        <v>3939</v>
      </c>
      <c r="L88" s="38">
        <v>229568</v>
      </c>
    </row>
    <row r="89" spans="1:12">
      <c r="A89" s="38" t="s">
        <v>270</v>
      </c>
      <c r="B89" s="38" t="s">
        <v>271</v>
      </c>
      <c r="C89" s="38">
        <v>43</v>
      </c>
      <c r="D89" s="38">
        <v>1</v>
      </c>
      <c r="E89" s="38">
        <v>29</v>
      </c>
      <c r="F89" s="38">
        <v>5</v>
      </c>
      <c r="G89" s="38">
        <v>0</v>
      </c>
      <c r="H89" s="38">
        <v>0</v>
      </c>
      <c r="I89" s="38">
        <v>4</v>
      </c>
      <c r="J89" s="38">
        <v>82</v>
      </c>
      <c r="K89" s="38" t="s">
        <v>3938</v>
      </c>
      <c r="L89" s="38">
        <v>302072</v>
      </c>
    </row>
    <row r="90" spans="1:12">
      <c r="A90" s="38" t="s">
        <v>272</v>
      </c>
      <c r="B90" s="38" t="s">
        <v>273</v>
      </c>
      <c r="C90" s="38">
        <v>20</v>
      </c>
      <c r="D90" s="38">
        <v>11</v>
      </c>
      <c r="E90" s="38">
        <v>0</v>
      </c>
      <c r="F90" s="38">
        <v>1</v>
      </c>
      <c r="G90" s="38">
        <v>0</v>
      </c>
      <c r="H90" s="38">
        <v>0</v>
      </c>
      <c r="I90" s="38">
        <v>0</v>
      </c>
      <c r="J90" s="38">
        <v>32</v>
      </c>
      <c r="K90" s="38" t="s">
        <v>3938</v>
      </c>
      <c r="L90" s="38">
        <v>88434</v>
      </c>
    </row>
    <row r="91" spans="1:12">
      <c r="A91" s="4" t="s">
        <v>272</v>
      </c>
      <c r="B91" s="5" t="s">
        <v>273</v>
      </c>
      <c r="C91" s="6">
        <v>19</v>
      </c>
      <c r="D91" s="6">
        <v>12</v>
      </c>
      <c r="E91" s="6">
        <v>0</v>
      </c>
      <c r="F91" s="6">
        <v>1</v>
      </c>
      <c r="G91" s="6">
        <v>0</v>
      </c>
      <c r="H91" s="6">
        <v>0</v>
      </c>
      <c r="I91" s="6">
        <v>0</v>
      </c>
      <c r="J91" s="6">
        <v>32</v>
      </c>
      <c r="K91" s="6" t="s">
        <v>3938</v>
      </c>
      <c r="L91" s="34"/>
    </row>
    <row r="92" spans="1:12">
      <c r="A92" s="38" t="s">
        <v>274</v>
      </c>
      <c r="B92" s="38" t="s">
        <v>275</v>
      </c>
      <c r="C92" s="38">
        <v>46</v>
      </c>
      <c r="D92" s="38">
        <v>24</v>
      </c>
      <c r="E92" s="38">
        <v>0</v>
      </c>
      <c r="F92" s="38">
        <v>2</v>
      </c>
      <c r="G92" s="38">
        <v>0</v>
      </c>
      <c r="H92" s="38">
        <v>0</v>
      </c>
      <c r="I92" s="38">
        <v>0</v>
      </c>
      <c r="J92" s="38">
        <v>72</v>
      </c>
      <c r="K92" s="38" t="s">
        <v>3938</v>
      </c>
      <c r="L92" s="38">
        <v>242932</v>
      </c>
    </row>
    <row r="93" spans="1:12">
      <c r="A93" s="38" t="s">
        <v>276</v>
      </c>
      <c r="B93" s="38" t="s">
        <v>277</v>
      </c>
      <c r="C93" s="38">
        <v>24</v>
      </c>
      <c r="D93" s="38">
        <v>53</v>
      </c>
      <c r="E93" s="38">
        <v>17</v>
      </c>
      <c r="F93" s="38">
        <v>31</v>
      </c>
      <c r="G93" s="38">
        <v>0</v>
      </c>
      <c r="H93" s="38">
        <v>0</v>
      </c>
      <c r="I93" s="38">
        <v>1</v>
      </c>
      <c r="J93" s="38">
        <v>126</v>
      </c>
      <c r="K93" s="38" t="s">
        <v>3948</v>
      </c>
      <c r="L93" s="38">
        <v>396173</v>
      </c>
    </row>
    <row r="94" spans="1:12">
      <c r="A94" s="38" t="s">
        <v>278</v>
      </c>
      <c r="B94" s="38" t="s">
        <v>279</v>
      </c>
      <c r="C94" s="38">
        <v>8</v>
      </c>
      <c r="D94" s="38">
        <v>57</v>
      </c>
      <c r="E94" s="38">
        <v>4</v>
      </c>
      <c r="F94" s="38">
        <v>0</v>
      </c>
      <c r="G94" s="38">
        <v>0</v>
      </c>
      <c r="H94" s="38">
        <v>0</v>
      </c>
      <c r="I94" s="38">
        <v>0</v>
      </c>
      <c r="J94" s="38">
        <v>69</v>
      </c>
      <c r="K94" s="38" t="s">
        <v>3939</v>
      </c>
      <c r="L94" s="38">
        <v>251729</v>
      </c>
    </row>
    <row r="95" spans="1:12">
      <c r="A95" s="38" t="s">
        <v>280</v>
      </c>
      <c r="B95" s="38" t="s">
        <v>281</v>
      </c>
      <c r="C95" s="38">
        <v>15</v>
      </c>
      <c r="D95" s="38">
        <v>0</v>
      </c>
      <c r="E95" s="38">
        <v>11</v>
      </c>
      <c r="F95" s="38">
        <v>2</v>
      </c>
      <c r="G95" s="38">
        <v>0</v>
      </c>
      <c r="H95" s="38">
        <v>0</v>
      </c>
      <c r="I95" s="38">
        <v>0</v>
      </c>
      <c r="J95" s="38">
        <v>28</v>
      </c>
      <c r="K95" s="38" t="s">
        <v>3938</v>
      </c>
      <c r="L95" s="38">
        <v>66228</v>
      </c>
    </row>
    <row r="96" spans="1:12">
      <c r="A96" s="38" t="s">
        <v>282</v>
      </c>
      <c r="B96" s="38" t="s">
        <v>283</v>
      </c>
      <c r="C96" s="38">
        <v>21</v>
      </c>
      <c r="D96" s="38">
        <v>0</v>
      </c>
      <c r="E96" s="38">
        <v>8</v>
      </c>
      <c r="F96" s="38">
        <v>29</v>
      </c>
      <c r="G96" s="38">
        <v>0</v>
      </c>
      <c r="H96" s="38">
        <v>0</v>
      </c>
      <c r="I96" s="38">
        <v>2</v>
      </c>
      <c r="J96" s="38">
        <v>60</v>
      </c>
      <c r="K96" s="38" t="s">
        <v>3948</v>
      </c>
      <c r="L96" s="38">
        <v>120955</v>
      </c>
    </row>
    <row r="97" spans="1:12">
      <c r="A97" s="38" t="s">
        <v>284</v>
      </c>
      <c r="B97" s="38" t="s">
        <v>285</v>
      </c>
      <c r="C97" s="38">
        <v>32</v>
      </c>
      <c r="D97" s="38">
        <v>2</v>
      </c>
      <c r="E97" s="38">
        <v>8</v>
      </c>
      <c r="F97" s="38">
        <v>1</v>
      </c>
      <c r="G97" s="38">
        <v>0</v>
      </c>
      <c r="H97" s="38">
        <v>0</v>
      </c>
      <c r="I97" s="38">
        <v>0</v>
      </c>
      <c r="J97" s="38">
        <v>43</v>
      </c>
      <c r="K97" s="38" t="s">
        <v>3938</v>
      </c>
      <c r="L97" s="38">
        <v>96174</v>
      </c>
    </row>
    <row r="98" spans="1:12">
      <c r="A98" s="38" t="s">
        <v>286</v>
      </c>
      <c r="B98" s="38" t="s">
        <v>287</v>
      </c>
      <c r="C98" s="38">
        <v>40</v>
      </c>
      <c r="D98" s="38">
        <v>2</v>
      </c>
      <c r="E98" s="38">
        <v>6</v>
      </c>
      <c r="F98" s="38">
        <v>0</v>
      </c>
      <c r="G98" s="38">
        <v>0</v>
      </c>
      <c r="H98" s="38">
        <v>0</v>
      </c>
      <c r="I98" s="38">
        <v>2</v>
      </c>
      <c r="J98" s="38">
        <v>50</v>
      </c>
      <c r="K98" s="38" t="s">
        <v>3938</v>
      </c>
      <c r="L98" s="38">
        <v>112304</v>
      </c>
    </row>
    <row r="99" spans="1:12">
      <c r="A99" s="38" t="s">
        <v>288</v>
      </c>
      <c r="B99" s="38" t="s">
        <v>289</v>
      </c>
      <c r="C99" s="38">
        <v>31</v>
      </c>
      <c r="D99" s="38">
        <v>6</v>
      </c>
      <c r="E99" s="38">
        <v>2</v>
      </c>
      <c r="F99" s="38">
        <v>16</v>
      </c>
      <c r="G99" s="38">
        <v>0</v>
      </c>
      <c r="H99" s="38">
        <v>0</v>
      </c>
      <c r="I99" s="38">
        <v>0</v>
      </c>
      <c r="J99" s="38">
        <v>55</v>
      </c>
      <c r="K99" s="38" t="s">
        <v>3938</v>
      </c>
      <c r="L99" s="38">
        <v>111184</v>
      </c>
    </row>
    <row r="100" spans="1:12">
      <c r="A100" s="4" t="s">
        <v>290</v>
      </c>
      <c r="B100" s="5" t="s">
        <v>291</v>
      </c>
      <c r="C100" s="6">
        <v>36</v>
      </c>
      <c r="D100" s="6">
        <v>1</v>
      </c>
      <c r="E100" s="6">
        <v>0</v>
      </c>
      <c r="F100" s="6">
        <v>3</v>
      </c>
      <c r="G100" s="6">
        <v>0</v>
      </c>
      <c r="H100" s="6">
        <v>0</v>
      </c>
      <c r="I100" s="6">
        <v>0</v>
      </c>
      <c r="J100" s="6">
        <v>40</v>
      </c>
      <c r="K100" s="6" t="s">
        <v>3938</v>
      </c>
      <c r="L100" s="34"/>
    </row>
    <row r="101" spans="1:12">
      <c r="A101" s="38" t="s">
        <v>292</v>
      </c>
      <c r="B101" s="38" t="s">
        <v>293</v>
      </c>
      <c r="C101" s="38">
        <v>48</v>
      </c>
      <c r="D101" s="38">
        <v>0</v>
      </c>
      <c r="E101" s="38">
        <v>9</v>
      </c>
      <c r="F101" s="38">
        <v>10</v>
      </c>
      <c r="G101" s="38">
        <v>0</v>
      </c>
      <c r="H101" s="38">
        <v>0</v>
      </c>
      <c r="I101" s="38">
        <v>0</v>
      </c>
      <c r="J101" s="38">
        <v>67</v>
      </c>
      <c r="K101" s="38" t="s">
        <v>3938</v>
      </c>
      <c r="L101" s="38">
        <v>266973</v>
      </c>
    </row>
    <row r="102" spans="1:12">
      <c r="A102" s="38" t="s">
        <v>294</v>
      </c>
      <c r="B102" s="38" t="s">
        <v>295</v>
      </c>
      <c r="C102" s="38">
        <v>24</v>
      </c>
      <c r="D102" s="38">
        <v>11</v>
      </c>
      <c r="E102" s="38">
        <v>1</v>
      </c>
      <c r="F102" s="38">
        <v>3</v>
      </c>
      <c r="G102" s="38">
        <v>0</v>
      </c>
      <c r="H102" s="38">
        <v>0</v>
      </c>
      <c r="I102" s="38">
        <v>0</v>
      </c>
      <c r="J102" s="38">
        <v>39</v>
      </c>
      <c r="K102" s="38" t="s">
        <v>3938</v>
      </c>
      <c r="L102" s="38">
        <v>89580</v>
      </c>
    </row>
    <row r="103" spans="1:12">
      <c r="A103" s="38" t="s">
        <v>296</v>
      </c>
      <c r="B103" s="38" t="s">
        <v>297</v>
      </c>
      <c r="C103" s="38">
        <v>40</v>
      </c>
      <c r="D103" s="38">
        <v>7</v>
      </c>
      <c r="E103" s="38">
        <v>3</v>
      </c>
      <c r="F103" s="38">
        <v>1</v>
      </c>
      <c r="G103" s="38">
        <v>0</v>
      </c>
      <c r="H103" s="38">
        <v>0</v>
      </c>
      <c r="I103" s="38">
        <v>4</v>
      </c>
      <c r="J103" s="38">
        <v>55</v>
      </c>
      <c r="K103" s="38" t="s">
        <v>3938</v>
      </c>
      <c r="L103" s="38">
        <v>194561</v>
      </c>
    </row>
    <row r="104" spans="1:12">
      <c r="A104" s="38" t="s">
        <v>3893</v>
      </c>
      <c r="B104" s="38" t="s">
        <v>3894</v>
      </c>
      <c r="C104" s="38">
        <v>27</v>
      </c>
      <c r="D104" s="38">
        <v>5</v>
      </c>
      <c r="E104" s="38">
        <v>11</v>
      </c>
      <c r="F104" s="38">
        <v>3</v>
      </c>
      <c r="G104" s="38">
        <v>0</v>
      </c>
      <c r="H104" s="38">
        <v>0</v>
      </c>
      <c r="I104" s="38">
        <v>4</v>
      </c>
      <c r="J104" s="38">
        <v>50</v>
      </c>
      <c r="K104" s="38" t="s">
        <v>3938</v>
      </c>
      <c r="L104" s="38">
        <v>424320</v>
      </c>
    </row>
    <row r="105" spans="1:12">
      <c r="A105" s="38" t="s">
        <v>298</v>
      </c>
      <c r="B105" s="38" t="s">
        <v>299</v>
      </c>
      <c r="C105" s="38">
        <v>9</v>
      </c>
      <c r="D105" s="38">
        <v>0</v>
      </c>
      <c r="E105" s="38">
        <v>18</v>
      </c>
      <c r="F105" s="38">
        <v>0</v>
      </c>
      <c r="G105" s="38">
        <v>0</v>
      </c>
      <c r="H105" s="38">
        <v>0</v>
      </c>
      <c r="I105" s="38">
        <v>0</v>
      </c>
      <c r="J105" s="38">
        <v>27</v>
      </c>
      <c r="K105" s="38" t="s">
        <v>3940</v>
      </c>
      <c r="L105" s="38">
        <v>77585</v>
      </c>
    </row>
    <row r="106" spans="1:12">
      <c r="A106" s="38" t="s">
        <v>300</v>
      </c>
      <c r="B106" s="38" t="s">
        <v>301</v>
      </c>
      <c r="C106" s="38">
        <v>2</v>
      </c>
      <c r="D106" s="38">
        <v>0</v>
      </c>
      <c r="E106" s="38">
        <v>32</v>
      </c>
      <c r="F106" s="38">
        <v>5</v>
      </c>
      <c r="G106" s="38">
        <v>0</v>
      </c>
      <c r="H106" s="38">
        <v>0</v>
      </c>
      <c r="I106" s="38">
        <v>0</v>
      </c>
      <c r="J106" s="38">
        <v>39</v>
      </c>
      <c r="K106" s="38" t="s">
        <v>3940</v>
      </c>
      <c r="L106" s="38">
        <v>103112</v>
      </c>
    </row>
    <row r="107" spans="1:12">
      <c r="A107" s="38" t="s">
        <v>302</v>
      </c>
      <c r="B107" s="38" t="s">
        <v>303</v>
      </c>
      <c r="C107" s="38">
        <v>14</v>
      </c>
      <c r="D107" s="38">
        <v>2</v>
      </c>
      <c r="E107" s="38">
        <v>11</v>
      </c>
      <c r="F107" s="38">
        <v>9</v>
      </c>
      <c r="G107" s="38">
        <v>0</v>
      </c>
      <c r="H107" s="38">
        <v>0</v>
      </c>
      <c r="I107" s="38">
        <v>2</v>
      </c>
      <c r="J107" s="38">
        <v>38</v>
      </c>
      <c r="K107" s="38" t="s">
        <v>3948</v>
      </c>
      <c r="L107" s="38">
        <v>43239</v>
      </c>
    </row>
    <row r="108" spans="1:12">
      <c r="A108" s="38" t="s">
        <v>304</v>
      </c>
      <c r="B108" s="38" t="s">
        <v>305</v>
      </c>
      <c r="C108" s="38">
        <v>23</v>
      </c>
      <c r="D108" s="38">
        <v>0</v>
      </c>
      <c r="E108" s="38">
        <v>9</v>
      </c>
      <c r="F108" s="38">
        <v>14</v>
      </c>
      <c r="G108" s="38">
        <v>0</v>
      </c>
      <c r="H108" s="38">
        <v>0</v>
      </c>
      <c r="I108" s="38">
        <v>2</v>
      </c>
      <c r="J108" s="38">
        <v>48</v>
      </c>
      <c r="K108" s="38" t="s">
        <v>3948</v>
      </c>
      <c r="L108" s="38">
        <v>102629</v>
      </c>
    </row>
    <row r="109" spans="1:12">
      <c r="A109" s="38" t="s">
        <v>306</v>
      </c>
      <c r="B109" s="38" t="s">
        <v>307</v>
      </c>
      <c r="C109" s="38">
        <v>17</v>
      </c>
      <c r="D109" s="38">
        <v>40</v>
      </c>
      <c r="E109" s="38">
        <v>0</v>
      </c>
      <c r="F109" s="38">
        <v>6</v>
      </c>
      <c r="G109" s="38">
        <v>0</v>
      </c>
      <c r="H109" s="38">
        <v>0</v>
      </c>
      <c r="I109" s="38">
        <v>0</v>
      </c>
      <c r="J109" s="38">
        <v>63</v>
      </c>
      <c r="K109" s="38" t="s">
        <v>3939</v>
      </c>
      <c r="L109" s="38">
        <v>219106</v>
      </c>
    </row>
    <row r="110" spans="1:12">
      <c r="A110" s="38" t="s">
        <v>308</v>
      </c>
      <c r="B110" s="38" t="s">
        <v>309</v>
      </c>
      <c r="C110" s="38">
        <v>36</v>
      </c>
      <c r="D110" s="38">
        <v>0</v>
      </c>
      <c r="E110" s="38">
        <v>4</v>
      </c>
      <c r="F110" s="38">
        <v>15</v>
      </c>
      <c r="G110" s="38">
        <v>0</v>
      </c>
      <c r="H110" s="38">
        <v>0</v>
      </c>
      <c r="I110" s="38">
        <v>3</v>
      </c>
      <c r="J110" s="38">
        <v>58</v>
      </c>
      <c r="K110" s="38" t="s">
        <v>3938</v>
      </c>
      <c r="L110" s="38">
        <v>103086</v>
      </c>
    </row>
    <row r="111" spans="1:12">
      <c r="A111" s="38" t="s">
        <v>310</v>
      </c>
      <c r="B111" s="38" t="s">
        <v>311</v>
      </c>
      <c r="C111" s="38">
        <v>1</v>
      </c>
      <c r="D111" s="38">
        <v>3</v>
      </c>
      <c r="E111" s="38">
        <v>2</v>
      </c>
      <c r="F111" s="38">
        <v>32</v>
      </c>
      <c r="G111" s="38">
        <v>0</v>
      </c>
      <c r="H111" s="38">
        <v>0</v>
      </c>
      <c r="I111" s="38">
        <v>0</v>
      </c>
      <c r="J111" s="38">
        <v>38</v>
      </c>
      <c r="K111" s="38" t="s">
        <v>3941</v>
      </c>
      <c r="L111" s="38">
        <v>59653</v>
      </c>
    </row>
    <row r="112" spans="1:12">
      <c r="A112" s="38" t="s">
        <v>312</v>
      </c>
      <c r="B112" s="38" t="s">
        <v>313</v>
      </c>
      <c r="C112" s="38">
        <v>28</v>
      </c>
      <c r="D112" s="38">
        <v>16</v>
      </c>
      <c r="E112" s="38">
        <v>1</v>
      </c>
      <c r="F112" s="38">
        <v>2</v>
      </c>
      <c r="G112" s="38">
        <v>0</v>
      </c>
      <c r="H112" s="38">
        <v>0</v>
      </c>
      <c r="I112" s="38">
        <v>0</v>
      </c>
      <c r="J112" s="38">
        <v>47</v>
      </c>
      <c r="K112" s="38" t="s">
        <v>3938</v>
      </c>
      <c r="L112" s="38">
        <v>87416</v>
      </c>
    </row>
    <row r="113" spans="1:12">
      <c r="A113" s="38" t="s">
        <v>3895</v>
      </c>
      <c r="B113" s="38" t="s">
        <v>3896</v>
      </c>
      <c r="C113" s="38">
        <v>52</v>
      </c>
      <c r="D113" s="38">
        <v>5</v>
      </c>
      <c r="E113" s="38">
        <v>8</v>
      </c>
      <c r="F113" s="38">
        <v>9</v>
      </c>
      <c r="G113" s="38">
        <v>0</v>
      </c>
      <c r="H113" s="38">
        <v>0</v>
      </c>
      <c r="I113" s="38">
        <v>1</v>
      </c>
      <c r="J113" s="38">
        <v>75</v>
      </c>
      <c r="K113" s="38" t="s">
        <v>3938</v>
      </c>
      <c r="L113" s="38">
        <v>1130553</v>
      </c>
    </row>
    <row r="114" spans="1:12">
      <c r="A114" s="38" t="s">
        <v>314</v>
      </c>
      <c r="B114" s="38" t="s">
        <v>315</v>
      </c>
      <c r="C114" s="38">
        <v>6</v>
      </c>
      <c r="D114" s="38">
        <v>28</v>
      </c>
      <c r="E114" s="38">
        <v>2</v>
      </c>
      <c r="F114" s="38">
        <v>1</v>
      </c>
      <c r="G114" s="38">
        <v>0</v>
      </c>
      <c r="H114" s="38">
        <v>0</v>
      </c>
      <c r="I114" s="38">
        <v>2</v>
      </c>
      <c r="J114" s="38">
        <v>39</v>
      </c>
      <c r="K114" s="38" t="s">
        <v>3939</v>
      </c>
      <c r="L114" s="38">
        <v>96207</v>
      </c>
    </row>
    <row r="115" spans="1:12">
      <c r="A115" s="38" t="s">
        <v>316</v>
      </c>
      <c r="B115" s="38" t="s">
        <v>317</v>
      </c>
      <c r="C115" s="38">
        <v>23</v>
      </c>
      <c r="D115" s="38">
        <v>0</v>
      </c>
      <c r="E115" s="38">
        <v>5</v>
      </c>
      <c r="F115" s="38">
        <v>3</v>
      </c>
      <c r="G115" s="38">
        <v>0</v>
      </c>
      <c r="H115" s="38">
        <v>0</v>
      </c>
      <c r="I115" s="38">
        <v>0</v>
      </c>
      <c r="J115" s="38">
        <v>31</v>
      </c>
      <c r="K115" s="38" t="s">
        <v>3938</v>
      </c>
      <c r="L115" s="38">
        <v>91081</v>
      </c>
    </row>
    <row r="116" spans="1:12">
      <c r="A116" s="38" t="s">
        <v>318</v>
      </c>
      <c r="B116" s="38" t="s">
        <v>319</v>
      </c>
      <c r="C116" s="38">
        <v>26</v>
      </c>
      <c r="D116" s="38">
        <v>0</v>
      </c>
      <c r="E116" s="38">
        <v>2</v>
      </c>
      <c r="F116" s="38">
        <v>10</v>
      </c>
      <c r="G116" s="38">
        <v>0</v>
      </c>
      <c r="H116" s="38">
        <v>0</v>
      </c>
      <c r="I116" s="38">
        <v>1</v>
      </c>
      <c r="J116" s="38">
        <v>39</v>
      </c>
      <c r="K116" s="38" t="s">
        <v>3938</v>
      </c>
      <c r="L116" s="38">
        <v>76358</v>
      </c>
    </row>
    <row r="117" spans="1:12">
      <c r="A117" s="38" t="s">
        <v>3966</v>
      </c>
      <c r="B117" s="38" t="s">
        <v>3967</v>
      </c>
      <c r="C117" s="38">
        <v>6</v>
      </c>
      <c r="D117" s="38">
        <v>34</v>
      </c>
      <c r="E117" s="38">
        <v>5</v>
      </c>
      <c r="F117" s="38">
        <v>25</v>
      </c>
      <c r="G117" s="38">
        <v>0</v>
      </c>
      <c r="H117" s="38">
        <v>0</v>
      </c>
      <c r="I117" s="38">
        <v>0</v>
      </c>
      <c r="J117" s="38">
        <v>70</v>
      </c>
      <c r="K117" s="38" t="s">
        <v>3948</v>
      </c>
      <c r="L117" s="38">
        <v>120787</v>
      </c>
    </row>
    <row r="118" spans="1:12">
      <c r="A118" s="38" t="s">
        <v>320</v>
      </c>
      <c r="B118" s="38" t="s">
        <v>321</v>
      </c>
      <c r="C118" s="38">
        <v>13</v>
      </c>
      <c r="D118" s="38">
        <v>5</v>
      </c>
      <c r="E118" s="38">
        <v>2</v>
      </c>
      <c r="F118" s="38">
        <v>2</v>
      </c>
      <c r="G118" s="38">
        <v>0</v>
      </c>
      <c r="H118" s="38">
        <v>2</v>
      </c>
      <c r="I118" s="38">
        <v>6</v>
      </c>
      <c r="J118" s="38">
        <v>30</v>
      </c>
      <c r="K118" s="38" t="s">
        <v>3948</v>
      </c>
      <c r="L118" s="38">
        <v>86007</v>
      </c>
    </row>
    <row r="119" spans="1:12">
      <c r="A119" s="38" t="s">
        <v>322</v>
      </c>
      <c r="B119" s="38" t="s">
        <v>323</v>
      </c>
      <c r="C119" s="38">
        <v>8</v>
      </c>
      <c r="D119" s="38">
        <v>4</v>
      </c>
      <c r="E119" s="38">
        <v>2</v>
      </c>
      <c r="F119" s="38">
        <v>18</v>
      </c>
      <c r="G119" s="38">
        <v>0</v>
      </c>
      <c r="H119" s="38">
        <v>0</v>
      </c>
      <c r="I119" s="38">
        <v>6</v>
      </c>
      <c r="J119" s="38">
        <v>38</v>
      </c>
      <c r="K119" s="38" t="s">
        <v>3948</v>
      </c>
      <c r="L119" s="38">
        <v>68464</v>
      </c>
    </row>
    <row r="120" spans="1:12">
      <c r="A120" s="38" t="s">
        <v>324</v>
      </c>
      <c r="B120" s="38" t="s">
        <v>325</v>
      </c>
      <c r="C120" s="38">
        <v>31</v>
      </c>
      <c r="D120" s="38">
        <v>0</v>
      </c>
      <c r="E120" s="38">
        <v>1</v>
      </c>
      <c r="F120" s="38">
        <v>19</v>
      </c>
      <c r="G120" s="38">
        <v>0</v>
      </c>
      <c r="H120" s="38">
        <v>0</v>
      </c>
      <c r="I120" s="38">
        <v>0</v>
      </c>
      <c r="J120" s="38">
        <v>51</v>
      </c>
      <c r="K120" s="38" t="s">
        <v>3938</v>
      </c>
      <c r="L120" s="38">
        <v>63593</v>
      </c>
    </row>
    <row r="121" spans="1:12">
      <c r="A121" s="38" t="s">
        <v>326</v>
      </c>
      <c r="B121" s="38" t="s">
        <v>327</v>
      </c>
      <c r="C121" s="38">
        <v>0</v>
      </c>
      <c r="D121" s="38">
        <v>52</v>
      </c>
      <c r="E121" s="38">
        <v>13</v>
      </c>
      <c r="F121" s="38">
        <v>1</v>
      </c>
      <c r="G121" s="38">
        <v>0</v>
      </c>
      <c r="H121" s="38">
        <v>0</v>
      </c>
      <c r="I121" s="38">
        <v>0</v>
      </c>
      <c r="J121" s="38">
        <v>66</v>
      </c>
      <c r="K121" s="38" t="s">
        <v>3939</v>
      </c>
      <c r="L121" s="38">
        <v>146848</v>
      </c>
    </row>
    <row r="122" spans="1:12">
      <c r="A122" s="38" t="s">
        <v>328</v>
      </c>
      <c r="B122" s="38" t="s">
        <v>329</v>
      </c>
      <c r="C122" s="38">
        <v>8</v>
      </c>
      <c r="D122" s="38">
        <v>29</v>
      </c>
      <c r="E122" s="38">
        <v>2</v>
      </c>
      <c r="F122" s="38">
        <v>2</v>
      </c>
      <c r="G122" s="38">
        <v>0</v>
      </c>
      <c r="H122" s="38">
        <v>0</v>
      </c>
      <c r="I122" s="38">
        <v>0</v>
      </c>
      <c r="J122" s="38">
        <v>41</v>
      </c>
      <c r="K122" s="38" t="s">
        <v>3939</v>
      </c>
      <c r="L122" s="38">
        <v>89887</v>
      </c>
    </row>
    <row r="123" spans="1:12">
      <c r="A123" s="38" t="s">
        <v>330</v>
      </c>
      <c r="B123" s="38" t="s">
        <v>331</v>
      </c>
      <c r="C123" s="38">
        <v>26</v>
      </c>
      <c r="D123" s="38">
        <v>3</v>
      </c>
      <c r="E123" s="38">
        <v>10</v>
      </c>
      <c r="F123" s="38">
        <v>0</v>
      </c>
      <c r="G123" s="38">
        <v>0</v>
      </c>
      <c r="H123" s="38">
        <v>0</v>
      </c>
      <c r="I123" s="38">
        <v>0</v>
      </c>
      <c r="J123" s="38">
        <v>39</v>
      </c>
      <c r="K123" s="38" t="s">
        <v>3938</v>
      </c>
      <c r="L123" s="38">
        <v>92978</v>
      </c>
    </row>
    <row r="124" spans="1:12">
      <c r="A124" s="38" t="s">
        <v>3897</v>
      </c>
      <c r="B124" s="38" t="s">
        <v>3898</v>
      </c>
      <c r="C124" s="38">
        <v>28</v>
      </c>
      <c r="D124" s="38">
        <v>5</v>
      </c>
      <c r="E124" s="38">
        <v>16</v>
      </c>
      <c r="F124" s="38">
        <v>0</v>
      </c>
      <c r="G124" s="38">
        <v>0</v>
      </c>
      <c r="H124" s="38">
        <v>0</v>
      </c>
      <c r="I124" s="38">
        <v>4</v>
      </c>
      <c r="J124" s="38">
        <v>53</v>
      </c>
      <c r="K124" s="38" t="s">
        <v>3938</v>
      </c>
      <c r="L124" s="38">
        <v>495839</v>
      </c>
    </row>
    <row r="125" spans="1:12">
      <c r="A125" s="38" t="s">
        <v>332</v>
      </c>
      <c r="B125" s="38" t="s">
        <v>333</v>
      </c>
      <c r="C125" s="38">
        <v>19</v>
      </c>
      <c r="D125" s="38">
        <v>1</v>
      </c>
      <c r="E125" s="38">
        <v>14</v>
      </c>
      <c r="F125" s="38">
        <v>0</v>
      </c>
      <c r="G125" s="38">
        <v>0</v>
      </c>
      <c r="H125" s="38">
        <v>0</v>
      </c>
      <c r="I125" s="38">
        <v>0</v>
      </c>
      <c r="J125" s="38">
        <v>34</v>
      </c>
      <c r="K125" s="38" t="s">
        <v>3938</v>
      </c>
      <c r="L125" s="38">
        <v>63000</v>
      </c>
    </row>
    <row r="126" spans="1:12">
      <c r="A126" s="38" t="s">
        <v>334</v>
      </c>
      <c r="B126" s="38" t="s">
        <v>335</v>
      </c>
      <c r="C126" s="38">
        <v>20</v>
      </c>
      <c r="D126" s="38">
        <v>22</v>
      </c>
      <c r="E126" s="38">
        <v>0</v>
      </c>
      <c r="F126" s="38">
        <v>2</v>
      </c>
      <c r="G126" s="38">
        <v>0</v>
      </c>
      <c r="H126" s="38">
        <v>0</v>
      </c>
      <c r="I126" s="38">
        <v>0</v>
      </c>
      <c r="J126" s="38">
        <v>44</v>
      </c>
      <c r="K126" s="38" t="s">
        <v>3948</v>
      </c>
      <c r="L126" s="38">
        <v>77530</v>
      </c>
    </row>
    <row r="127" spans="1:12">
      <c r="A127" s="38" t="s">
        <v>336</v>
      </c>
      <c r="B127" s="38" t="s">
        <v>337</v>
      </c>
      <c r="C127" s="38">
        <v>22</v>
      </c>
      <c r="D127" s="38">
        <v>14</v>
      </c>
      <c r="E127" s="38">
        <v>0</v>
      </c>
      <c r="F127" s="38">
        <v>2</v>
      </c>
      <c r="G127" s="38">
        <v>0</v>
      </c>
      <c r="H127" s="38">
        <v>1</v>
      </c>
      <c r="I127" s="38">
        <v>0</v>
      </c>
      <c r="J127" s="38">
        <v>39</v>
      </c>
      <c r="K127" s="38" t="s">
        <v>3938</v>
      </c>
      <c r="L127" s="38">
        <v>72529</v>
      </c>
    </row>
    <row r="128" spans="1:12">
      <c r="A128" s="38" t="s">
        <v>338</v>
      </c>
      <c r="B128" s="38" t="s">
        <v>339</v>
      </c>
      <c r="C128" s="38">
        <v>9</v>
      </c>
      <c r="D128" s="38">
        <v>41</v>
      </c>
      <c r="E128" s="38">
        <v>0</v>
      </c>
      <c r="F128" s="38">
        <v>1</v>
      </c>
      <c r="G128" s="38">
        <v>0</v>
      </c>
      <c r="H128" s="38">
        <v>0</v>
      </c>
      <c r="I128" s="38">
        <v>0</v>
      </c>
      <c r="J128" s="38">
        <v>51</v>
      </c>
      <c r="K128" s="38" t="s">
        <v>3939</v>
      </c>
      <c r="L128" s="38">
        <v>194862</v>
      </c>
    </row>
    <row r="129" spans="1:12">
      <c r="A129" s="38" t="s">
        <v>340</v>
      </c>
      <c r="B129" s="38" t="s">
        <v>341</v>
      </c>
      <c r="C129" s="38">
        <v>8</v>
      </c>
      <c r="D129" s="38">
        <v>2</v>
      </c>
      <c r="E129" s="38">
        <v>17</v>
      </c>
      <c r="F129" s="38">
        <v>21</v>
      </c>
      <c r="G129" s="38">
        <v>0</v>
      </c>
      <c r="H129" s="38">
        <v>0</v>
      </c>
      <c r="I129" s="38">
        <v>0</v>
      </c>
      <c r="J129" s="38">
        <v>48</v>
      </c>
      <c r="K129" s="38" t="s">
        <v>3948</v>
      </c>
      <c r="L129" s="38">
        <v>106773</v>
      </c>
    </row>
    <row r="130" spans="1:12">
      <c r="A130" s="38" t="s">
        <v>3968</v>
      </c>
      <c r="B130" s="38" t="s">
        <v>3969</v>
      </c>
      <c r="C130" s="38">
        <v>0</v>
      </c>
      <c r="D130" s="38">
        <v>1</v>
      </c>
      <c r="E130" s="38">
        <v>1</v>
      </c>
      <c r="F130" s="38">
        <v>32</v>
      </c>
      <c r="G130" s="38">
        <v>41</v>
      </c>
      <c r="H130" s="38">
        <v>0</v>
      </c>
      <c r="I130" s="38">
        <v>0</v>
      </c>
      <c r="J130" s="38">
        <v>75</v>
      </c>
      <c r="K130" s="38" t="s">
        <v>3942</v>
      </c>
      <c r="L130" s="38">
        <v>88007</v>
      </c>
    </row>
    <row r="131" spans="1:12">
      <c r="A131" s="38" t="s">
        <v>342</v>
      </c>
      <c r="B131" s="38" t="s">
        <v>343</v>
      </c>
      <c r="C131" s="38">
        <v>5</v>
      </c>
      <c r="D131" s="38">
        <v>52</v>
      </c>
      <c r="E131" s="38">
        <v>0</v>
      </c>
      <c r="F131" s="38">
        <v>0</v>
      </c>
      <c r="G131" s="38">
        <v>0</v>
      </c>
      <c r="H131" s="38">
        <v>0</v>
      </c>
      <c r="I131" s="38">
        <v>0</v>
      </c>
      <c r="J131" s="38">
        <v>57</v>
      </c>
      <c r="K131" s="38" t="s">
        <v>3939</v>
      </c>
      <c r="L131" s="38">
        <v>188699</v>
      </c>
    </row>
    <row r="132" spans="1:12">
      <c r="A132" s="38" t="s">
        <v>344</v>
      </c>
      <c r="B132" s="38" t="s">
        <v>345</v>
      </c>
      <c r="C132" s="38">
        <v>2</v>
      </c>
      <c r="D132" s="38">
        <v>48</v>
      </c>
      <c r="E132" s="38">
        <v>3</v>
      </c>
      <c r="F132" s="38">
        <v>0</v>
      </c>
      <c r="G132" s="38">
        <v>0</v>
      </c>
      <c r="H132" s="38">
        <v>0</v>
      </c>
      <c r="I132" s="38">
        <v>1</v>
      </c>
      <c r="J132" s="38">
        <v>54</v>
      </c>
      <c r="K132" s="38" t="s">
        <v>3939</v>
      </c>
      <c r="L132" s="38">
        <v>96834</v>
      </c>
    </row>
    <row r="133" spans="1:12">
      <c r="A133" s="38" t="s">
        <v>346</v>
      </c>
      <c r="B133" s="38" t="s">
        <v>347</v>
      </c>
      <c r="C133" s="38">
        <v>24</v>
      </c>
      <c r="D133" s="38">
        <v>1</v>
      </c>
      <c r="E133" s="38">
        <v>1</v>
      </c>
      <c r="F133" s="38">
        <v>2</v>
      </c>
      <c r="G133" s="38">
        <v>0</v>
      </c>
      <c r="H133" s="38">
        <v>0</v>
      </c>
      <c r="I133" s="38">
        <v>0</v>
      </c>
      <c r="J133" s="38">
        <v>28</v>
      </c>
      <c r="K133" s="38" t="s">
        <v>3938</v>
      </c>
      <c r="L133" s="38">
        <v>72855</v>
      </c>
    </row>
    <row r="134" spans="1:12">
      <c r="A134" s="38" t="s">
        <v>348</v>
      </c>
      <c r="B134" s="38" t="s">
        <v>349</v>
      </c>
      <c r="C134" s="38">
        <v>11</v>
      </c>
      <c r="D134" s="38">
        <v>35</v>
      </c>
      <c r="E134" s="38">
        <v>0</v>
      </c>
      <c r="F134" s="38">
        <v>0</v>
      </c>
      <c r="G134" s="38">
        <v>0</v>
      </c>
      <c r="H134" s="38">
        <v>0</v>
      </c>
      <c r="I134" s="38">
        <v>0</v>
      </c>
      <c r="J134" s="38">
        <v>46</v>
      </c>
      <c r="K134" s="38" t="s">
        <v>3939</v>
      </c>
      <c r="L134" s="38">
        <v>133401</v>
      </c>
    </row>
    <row r="135" spans="1:12">
      <c r="A135" s="38" t="s">
        <v>3899</v>
      </c>
      <c r="B135" s="38" t="s">
        <v>3900</v>
      </c>
      <c r="C135" s="38">
        <v>56</v>
      </c>
      <c r="D135" s="38">
        <v>3</v>
      </c>
      <c r="E135" s="38">
        <v>17</v>
      </c>
      <c r="F135" s="38">
        <v>2</v>
      </c>
      <c r="G135" s="38">
        <v>0</v>
      </c>
      <c r="H135" s="38">
        <v>0</v>
      </c>
      <c r="I135" s="38">
        <v>0</v>
      </c>
      <c r="J135" s="38">
        <v>78</v>
      </c>
      <c r="K135" s="38" t="s">
        <v>3938</v>
      </c>
      <c r="L135" s="38">
        <v>1065782</v>
      </c>
    </row>
    <row r="136" spans="1:12">
      <c r="A136" s="38" t="s">
        <v>350</v>
      </c>
      <c r="B136" s="38" t="s">
        <v>351</v>
      </c>
      <c r="C136" s="38">
        <v>22</v>
      </c>
      <c r="D136" s="38">
        <v>1</v>
      </c>
      <c r="E136" s="38">
        <v>11</v>
      </c>
      <c r="F136" s="38">
        <v>0</v>
      </c>
      <c r="G136" s="38">
        <v>0</v>
      </c>
      <c r="H136" s="38">
        <v>0</v>
      </c>
      <c r="I136" s="38">
        <v>0</v>
      </c>
      <c r="J136" s="38">
        <v>34</v>
      </c>
      <c r="K136" s="38" t="s">
        <v>3938</v>
      </c>
      <c r="L136" s="38">
        <v>71884</v>
      </c>
    </row>
    <row r="137" spans="1:12">
      <c r="A137" s="38" t="s">
        <v>352</v>
      </c>
      <c r="B137" s="38" t="s">
        <v>353</v>
      </c>
      <c r="C137" s="38">
        <v>0</v>
      </c>
      <c r="D137" s="38">
        <v>41</v>
      </c>
      <c r="E137" s="38">
        <v>15</v>
      </c>
      <c r="F137" s="38">
        <v>1</v>
      </c>
      <c r="G137" s="38">
        <v>0</v>
      </c>
      <c r="H137" s="38">
        <v>0</v>
      </c>
      <c r="I137" s="38">
        <v>0</v>
      </c>
      <c r="J137" s="38">
        <v>57</v>
      </c>
      <c r="K137" s="38" t="s">
        <v>3939</v>
      </c>
      <c r="L137" s="38">
        <v>186560</v>
      </c>
    </row>
    <row r="138" spans="1:12">
      <c r="A138" s="38" t="s">
        <v>354</v>
      </c>
      <c r="B138" s="38" t="s">
        <v>355</v>
      </c>
      <c r="C138" s="38">
        <v>20</v>
      </c>
      <c r="D138" s="38">
        <v>13</v>
      </c>
      <c r="E138" s="38">
        <v>0</v>
      </c>
      <c r="F138" s="38">
        <v>0</v>
      </c>
      <c r="G138" s="38">
        <v>0</v>
      </c>
      <c r="H138" s="38">
        <v>0</v>
      </c>
      <c r="I138" s="38">
        <v>0</v>
      </c>
      <c r="J138" s="38">
        <v>33</v>
      </c>
      <c r="K138" s="38" t="s">
        <v>3938</v>
      </c>
      <c r="L138" s="38">
        <v>64060</v>
      </c>
    </row>
    <row r="139" spans="1:12">
      <c r="A139" s="38" t="s">
        <v>356</v>
      </c>
      <c r="B139" s="38" t="s">
        <v>357</v>
      </c>
      <c r="C139" s="38">
        <v>31</v>
      </c>
      <c r="D139" s="38">
        <v>0</v>
      </c>
      <c r="E139" s="38">
        <v>7</v>
      </c>
      <c r="F139" s="38">
        <v>2</v>
      </c>
      <c r="G139" s="38">
        <v>0</v>
      </c>
      <c r="H139" s="38">
        <v>0</v>
      </c>
      <c r="I139" s="38">
        <v>0</v>
      </c>
      <c r="J139" s="38">
        <v>40</v>
      </c>
      <c r="K139" s="38" t="s">
        <v>3938</v>
      </c>
      <c r="L139" s="38">
        <v>124842</v>
      </c>
    </row>
    <row r="140" spans="1:12">
      <c r="A140" s="38" t="s">
        <v>358</v>
      </c>
      <c r="B140" s="38" t="s">
        <v>359</v>
      </c>
      <c r="C140" s="38">
        <v>27</v>
      </c>
      <c r="D140" s="38">
        <v>35</v>
      </c>
      <c r="E140" s="38">
        <v>0</v>
      </c>
      <c r="F140" s="38">
        <v>1</v>
      </c>
      <c r="G140" s="38">
        <v>0</v>
      </c>
      <c r="H140" s="38">
        <v>0</v>
      </c>
      <c r="I140" s="38">
        <v>0</v>
      </c>
      <c r="J140" s="38">
        <v>63</v>
      </c>
      <c r="K140" s="38" t="s">
        <v>3939</v>
      </c>
      <c r="L140" s="38">
        <v>192609</v>
      </c>
    </row>
    <row r="141" spans="1:12">
      <c r="A141" s="38" t="s">
        <v>360</v>
      </c>
      <c r="B141" s="38" t="s">
        <v>361</v>
      </c>
      <c r="C141" s="38">
        <v>12</v>
      </c>
      <c r="D141" s="38">
        <v>0</v>
      </c>
      <c r="E141" s="38">
        <v>10</v>
      </c>
      <c r="F141" s="38">
        <v>11</v>
      </c>
      <c r="G141" s="38">
        <v>0</v>
      </c>
      <c r="H141" s="38">
        <v>0</v>
      </c>
      <c r="I141" s="38">
        <v>0</v>
      </c>
      <c r="J141" s="38">
        <v>33</v>
      </c>
      <c r="K141" s="38" t="s">
        <v>3948</v>
      </c>
      <c r="L141" s="38">
        <v>72598</v>
      </c>
    </row>
    <row r="142" spans="1:12">
      <c r="A142" s="38" t="s">
        <v>362</v>
      </c>
      <c r="B142" s="38" t="s">
        <v>363</v>
      </c>
      <c r="C142" s="38">
        <v>13</v>
      </c>
      <c r="D142" s="38">
        <v>11</v>
      </c>
      <c r="E142" s="38">
        <v>0</v>
      </c>
      <c r="F142" s="38">
        <v>12</v>
      </c>
      <c r="G142" s="38">
        <v>0</v>
      </c>
      <c r="H142" s="38">
        <v>0</v>
      </c>
      <c r="I142" s="38">
        <v>0</v>
      </c>
      <c r="J142" s="38">
        <v>36</v>
      </c>
      <c r="K142" s="38" t="s">
        <v>3948</v>
      </c>
      <c r="L142" s="38">
        <v>71680</v>
      </c>
    </row>
    <row r="143" spans="1:12">
      <c r="A143" s="38" t="s">
        <v>364</v>
      </c>
      <c r="B143" s="38" t="s">
        <v>365</v>
      </c>
      <c r="C143" s="38">
        <v>12</v>
      </c>
      <c r="D143" s="38">
        <v>19</v>
      </c>
      <c r="E143" s="38">
        <v>0</v>
      </c>
      <c r="F143" s="38">
        <v>0</v>
      </c>
      <c r="G143" s="38">
        <v>0</v>
      </c>
      <c r="H143" s="38">
        <v>0</v>
      </c>
      <c r="I143" s="38">
        <v>1</v>
      </c>
      <c r="J143" s="38">
        <v>32</v>
      </c>
      <c r="K143" s="38" t="s">
        <v>3939</v>
      </c>
      <c r="L143" s="38">
        <v>66070</v>
      </c>
    </row>
    <row r="144" spans="1:12">
      <c r="A144" s="38" t="s">
        <v>366</v>
      </c>
      <c r="B144" s="38" t="s">
        <v>367</v>
      </c>
      <c r="C144" s="38">
        <v>36</v>
      </c>
      <c r="D144" s="38">
        <v>1</v>
      </c>
      <c r="E144" s="38">
        <v>1</v>
      </c>
      <c r="F144" s="38">
        <v>0</v>
      </c>
      <c r="G144" s="38">
        <v>0</v>
      </c>
      <c r="H144" s="38">
        <v>0</v>
      </c>
      <c r="I144" s="38">
        <v>0</v>
      </c>
      <c r="J144" s="38">
        <v>38</v>
      </c>
      <c r="K144" s="38" t="s">
        <v>3938</v>
      </c>
      <c r="L144" s="38">
        <v>97164</v>
      </c>
    </row>
    <row r="145" spans="1:12">
      <c r="A145" s="38" t="s">
        <v>368</v>
      </c>
      <c r="B145" s="38" t="s">
        <v>369</v>
      </c>
      <c r="C145" s="38">
        <v>25</v>
      </c>
      <c r="D145" s="38">
        <v>5</v>
      </c>
      <c r="E145" s="38">
        <v>0</v>
      </c>
      <c r="F145" s="38">
        <v>24</v>
      </c>
      <c r="G145" s="38">
        <v>0</v>
      </c>
      <c r="H145" s="38">
        <v>0</v>
      </c>
      <c r="I145" s="38">
        <v>0</v>
      </c>
      <c r="J145" s="38">
        <v>54</v>
      </c>
      <c r="K145" s="38" t="s">
        <v>3948</v>
      </c>
      <c r="L145" s="38">
        <v>192130</v>
      </c>
    </row>
    <row r="146" spans="1:12">
      <c r="A146" s="38" t="s">
        <v>370</v>
      </c>
      <c r="B146" s="38" t="s">
        <v>371</v>
      </c>
      <c r="C146" s="38">
        <v>14</v>
      </c>
      <c r="D146" s="38">
        <v>0</v>
      </c>
      <c r="E146" s="38">
        <v>7</v>
      </c>
      <c r="F146" s="38">
        <v>25</v>
      </c>
      <c r="G146" s="38">
        <v>0</v>
      </c>
      <c r="H146" s="38">
        <v>0</v>
      </c>
      <c r="I146" s="38">
        <v>7</v>
      </c>
      <c r="J146" s="38">
        <v>53</v>
      </c>
      <c r="K146" s="38" t="s">
        <v>3948</v>
      </c>
      <c r="L146" s="38">
        <v>147171</v>
      </c>
    </row>
    <row r="147" spans="1:12">
      <c r="A147" s="38" t="s">
        <v>3901</v>
      </c>
      <c r="B147" s="38" t="s">
        <v>3902</v>
      </c>
      <c r="C147" s="38">
        <v>46</v>
      </c>
      <c r="D147" s="38">
        <v>7</v>
      </c>
      <c r="E147" s="38">
        <v>23</v>
      </c>
      <c r="F147" s="38">
        <v>1</v>
      </c>
      <c r="G147" s="38">
        <v>0</v>
      </c>
      <c r="H147" s="38">
        <v>0</v>
      </c>
      <c r="I147" s="38">
        <v>1</v>
      </c>
      <c r="J147" s="38">
        <v>78</v>
      </c>
      <c r="K147" s="38" t="s">
        <v>3938</v>
      </c>
      <c r="L147" s="38">
        <v>884500</v>
      </c>
    </row>
    <row r="148" spans="1:12">
      <c r="A148" s="38" t="s">
        <v>372</v>
      </c>
      <c r="B148" s="38" t="s">
        <v>373</v>
      </c>
      <c r="C148" s="38">
        <v>29</v>
      </c>
      <c r="D148" s="38">
        <v>7</v>
      </c>
      <c r="E148" s="38">
        <v>3</v>
      </c>
      <c r="F148" s="38">
        <v>0</v>
      </c>
      <c r="G148" s="38">
        <v>0</v>
      </c>
      <c r="H148" s="38">
        <v>0</v>
      </c>
      <c r="I148" s="38">
        <v>0</v>
      </c>
      <c r="J148" s="38">
        <v>39</v>
      </c>
      <c r="K148" s="38" t="s">
        <v>3938</v>
      </c>
      <c r="L148" s="38">
        <v>79138</v>
      </c>
    </row>
    <row r="149" spans="1:12">
      <c r="A149" s="38" t="s">
        <v>374</v>
      </c>
      <c r="B149" s="38" t="s">
        <v>375</v>
      </c>
      <c r="C149" s="38">
        <v>16</v>
      </c>
      <c r="D149" s="38">
        <v>22</v>
      </c>
      <c r="E149" s="38">
        <v>3</v>
      </c>
      <c r="F149" s="38">
        <v>0</v>
      </c>
      <c r="G149" s="38">
        <v>0</v>
      </c>
      <c r="H149" s="38">
        <v>0</v>
      </c>
      <c r="I149" s="38">
        <v>2</v>
      </c>
      <c r="J149" s="38">
        <v>43</v>
      </c>
      <c r="K149" s="38" t="s">
        <v>3939</v>
      </c>
      <c r="L149" s="38">
        <v>74010</v>
      </c>
    </row>
    <row r="150" spans="1:12">
      <c r="A150" s="38" t="s">
        <v>376</v>
      </c>
      <c r="B150" s="38" t="s">
        <v>377</v>
      </c>
      <c r="C150" s="38">
        <v>44</v>
      </c>
      <c r="D150" s="38">
        <v>21</v>
      </c>
      <c r="E150" s="38">
        <v>0</v>
      </c>
      <c r="F150" s="38">
        <v>0</v>
      </c>
      <c r="G150" s="38">
        <v>0</v>
      </c>
      <c r="H150" s="38">
        <v>0</v>
      </c>
      <c r="I150" s="38">
        <v>0</v>
      </c>
      <c r="J150" s="38">
        <v>65</v>
      </c>
      <c r="K150" s="38" t="s">
        <v>3938</v>
      </c>
      <c r="L150" s="38">
        <v>211035</v>
      </c>
    </row>
    <row r="151" spans="1:12">
      <c r="A151" s="38" t="s">
        <v>378</v>
      </c>
      <c r="B151" s="38" t="s">
        <v>379</v>
      </c>
      <c r="C151" s="38">
        <v>10</v>
      </c>
      <c r="D151" s="38">
        <v>2</v>
      </c>
      <c r="E151" s="38">
        <v>21</v>
      </c>
      <c r="F151" s="38">
        <v>1</v>
      </c>
      <c r="G151" s="38">
        <v>0</v>
      </c>
      <c r="H151" s="38">
        <v>0</v>
      </c>
      <c r="I151" s="38">
        <v>0</v>
      </c>
      <c r="J151" s="38">
        <v>34</v>
      </c>
      <c r="K151" s="38" t="s">
        <v>3940</v>
      </c>
      <c r="L151" s="38">
        <v>89051</v>
      </c>
    </row>
    <row r="152" spans="1:12">
      <c r="A152" s="38" t="s">
        <v>380</v>
      </c>
      <c r="B152" s="38" t="s">
        <v>381</v>
      </c>
      <c r="C152" s="38">
        <v>32</v>
      </c>
      <c r="D152" s="38">
        <v>0</v>
      </c>
      <c r="E152" s="38">
        <v>13</v>
      </c>
      <c r="F152" s="38">
        <v>1</v>
      </c>
      <c r="G152" s="38">
        <v>0</v>
      </c>
      <c r="H152" s="38">
        <v>0</v>
      </c>
      <c r="I152" s="38">
        <v>2</v>
      </c>
      <c r="J152" s="38">
        <v>48</v>
      </c>
      <c r="K152" s="38" t="s">
        <v>3938</v>
      </c>
      <c r="L152" s="38">
        <v>113759</v>
      </c>
    </row>
    <row r="153" spans="1:12">
      <c r="A153" s="38" t="s">
        <v>382</v>
      </c>
      <c r="B153" s="38" t="s">
        <v>383</v>
      </c>
      <c r="C153" s="38">
        <v>10</v>
      </c>
      <c r="D153" s="38">
        <v>50</v>
      </c>
      <c r="E153" s="38">
        <v>0</v>
      </c>
      <c r="F153" s="38">
        <v>0</v>
      </c>
      <c r="G153" s="38">
        <v>0</v>
      </c>
      <c r="H153" s="38">
        <v>0</v>
      </c>
      <c r="I153" s="38">
        <v>0</v>
      </c>
      <c r="J153" s="38">
        <v>60</v>
      </c>
      <c r="K153" s="38" t="s">
        <v>3939</v>
      </c>
      <c r="L153" s="38">
        <v>198750</v>
      </c>
    </row>
    <row r="154" spans="1:12">
      <c r="A154" s="38" t="s">
        <v>384</v>
      </c>
      <c r="B154" s="38" t="s">
        <v>385</v>
      </c>
      <c r="C154" s="38">
        <v>30</v>
      </c>
      <c r="D154" s="38">
        <v>4</v>
      </c>
      <c r="E154" s="38">
        <v>7</v>
      </c>
      <c r="F154" s="38">
        <v>11</v>
      </c>
      <c r="G154" s="38">
        <v>0</v>
      </c>
      <c r="H154" s="38">
        <v>0</v>
      </c>
      <c r="I154" s="38">
        <v>0</v>
      </c>
      <c r="J154" s="38">
        <v>52</v>
      </c>
      <c r="K154" s="38" t="s">
        <v>3938</v>
      </c>
      <c r="L154" s="38">
        <v>134506</v>
      </c>
    </row>
    <row r="155" spans="1:12">
      <c r="A155" s="38" t="s">
        <v>386</v>
      </c>
      <c r="B155" s="38" t="s">
        <v>387</v>
      </c>
      <c r="C155" s="38">
        <v>12</v>
      </c>
      <c r="D155" s="38">
        <v>22</v>
      </c>
      <c r="E155" s="38">
        <v>0</v>
      </c>
      <c r="F155" s="38">
        <v>1</v>
      </c>
      <c r="G155" s="38">
        <v>0</v>
      </c>
      <c r="H155" s="38">
        <v>0</v>
      </c>
      <c r="I155" s="38">
        <v>0</v>
      </c>
      <c r="J155" s="38">
        <v>35</v>
      </c>
      <c r="K155" s="38" t="s">
        <v>3939</v>
      </c>
      <c r="L155" s="38">
        <v>63933</v>
      </c>
    </row>
    <row r="156" spans="1:12">
      <c r="A156" s="38" t="s">
        <v>388</v>
      </c>
      <c r="B156" s="38" t="s">
        <v>389</v>
      </c>
      <c r="C156" s="38">
        <v>15</v>
      </c>
      <c r="D156" s="38">
        <v>30</v>
      </c>
      <c r="E156" s="38">
        <v>3</v>
      </c>
      <c r="F156" s="38">
        <v>0</v>
      </c>
      <c r="G156" s="38">
        <v>0</v>
      </c>
      <c r="H156" s="38">
        <v>0</v>
      </c>
      <c r="I156" s="38">
        <v>0</v>
      </c>
      <c r="J156" s="38">
        <v>48</v>
      </c>
      <c r="K156" s="38" t="s">
        <v>3939</v>
      </c>
      <c r="L156" s="38">
        <v>99786</v>
      </c>
    </row>
    <row r="157" spans="1:12">
      <c r="A157" s="38" t="s">
        <v>390</v>
      </c>
      <c r="B157" s="38" t="s">
        <v>391</v>
      </c>
      <c r="C157" s="38">
        <v>18</v>
      </c>
      <c r="D157" s="38">
        <v>1</v>
      </c>
      <c r="E157" s="38">
        <v>1</v>
      </c>
      <c r="F157" s="38">
        <v>17</v>
      </c>
      <c r="G157" s="38">
        <v>0</v>
      </c>
      <c r="H157" s="38">
        <v>0</v>
      </c>
      <c r="I157" s="38">
        <v>2</v>
      </c>
      <c r="J157" s="38">
        <v>39</v>
      </c>
      <c r="K157" s="38" t="s">
        <v>3948</v>
      </c>
      <c r="L157" s="38">
        <v>112882</v>
      </c>
    </row>
    <row r="158" spans="1:12">
      <c r="A158" s="38" t="s">
        <v>392</v>
      </c>
      <c r="B158" s="38" t="s">
        <v>393</v>
      </c>
      <c r="C158" s="38">
        <v>0</v>
      </c>
      <c r="D158" s="38">
        <v>0</v>
      </c>
      <c r="E158" s="38">
        <v>0</v>
      </c>
      <c r="F158" s="38">
        <v>16</v>
      </c>
      <c r="G158" s="38">
        <v>0</v>
      </c>
      <c r="H158" s="38">
        <v>0</v>
      </c>
      <c r="I158" s="38">
        <v>0</v>
      </c>
      <c r="J158" s="38">
        <v>16</v>
      </c>
      <c r="K158" s="38" t="s">
        <v>3941</v>
      </c>
      <c r="L158" s="38">
        <v>1649</v>
      </c>
    </row>
    <row r="159" spans="1:12">
      <c r="A159" s="38" t="s">
        <v>394</v>
      </c>
      <c r="B159" s="38" t="s">
        <v>395</v>
      </c>
      <c r="C159" s="38">
        <v>1</v>
      </c>
      <c r="D159" s="38">
        <v>45</v>
      </c>
      <c r="E159" s="38">
        <v>0</v>
      </c>
      <c r="F159" s="38">
        <v>1</v>
      </c>
      <c r="G159" s="38">
        <v>0</v>
      </c>
      <c r="H159" s="38">
        <v>0</v>
      </c>
      <c r="I159" s="38">
        <v>1</v>
      </c>
      <c r="J159" s="38">
        <v>48</v>
      </c>
      <c r="K159" s="38" t="s">
        <v>3939</v>
      </c>
      <c r="L159" s="38">
        <v>158213</v>
      </c>
    </row>
    <row r="160" spans="1:12">
      <c r="A160" s="38" t="s">
        <v>396</v>
      </c>
      <c r="B160" s="38" t="s">
        <v>397</v>
      </c>
      <c r="C160" s="38">
        <v>36</v>
      </c>
      <c r="D160" s="38">
        <v>13</v>
      </c>
      <c r="E160" s="38">
        <v>1</v>
      </c>
      <c r="F160" s="38">
        <v>0</v>
      </c>
      <c r="G160" s="38">
        <v>0</v>
      </c>
      <c r="H160" s="38">
        <v>0</v>
      </c>
      <c r="I160" s="38">
        <v>0</v>
      </c>
      <c r="J160" s="38">
        <v>50</v>
      </c>
      <c r="K160" s="38" t="s">
        <v>3938</v>
      </c>
      <c r="L160" s="38">
        <v>99430</v>
      </c>
    </row>
    <row r="161" spans="1:12">
      <c r="A161" s="38" t="s">
        <v>3903</v>
      </c>
      <c r="B161" s="38" t="s">
        <v>3904</v>
      </c>
      <c r="C161" s="38">
        <v>62</v>
      </c>
      <c r="D161" s="38">
        <v>7</v>
      </c>
      <c r="E161" s="38">
        <v>6</v>
      </c>
      <c r="F161" s="38">
        <v>2</v>
      </c>
      <c r="G161" s="38">
        <v>0</v>
      </c>
      <c r="H161" s="38">
        <v>0</v>
      </c>
      <c r="I161" s="38">
        <v>4</v>
      </c>
      <c r="J161" s="38">
        <v>81</v>
      </c>
      <c r="K161" s="38" t="s">
        <v>3938</v>
      </c>
      <c r="L161" s="38">
        <v>1161826</v>
      </c>
    </row>
    <row r="162" spans="1:12">
      <c r="A162" s="4" t="s">
        <v>398</v>
      </c>
      <c r="B162" s="5" t="s">
        <v>399</v>
      </c>
      <c r="C162" s="6">
        <v>24</v>
      </c>
      <c r="D162" s="6">
        <v>7</v>
      </c>
      <c r="E162" s="6">
        <v>1</v>
      </c>
      <c r="F162" s="6">
        <v>4</v>
      </c>
      <c r="G162" s="6">
        <v>0</v>
      </c>
      <c r="H162" s="6">
        <v>0</v>
      </c>
      <c r="I162" s="6">
        <v>0</v>
      </c>
      <c r="J162" s="6">
        <v>36</v>
      </c>
      <c r="K162" s="6" t="s">
        <v>3938</v>
      </c>
      <c r="L162" s="34"/>
    </row>
    <row r="163" spans="1:12">
      <c r="A163" s="38" t="s">
        <v>400</v>
      </c>
      <c r="B163" s="38" t="s">
        <v>401</v>
      </c>
      <c r="C163" s="38">
        <v>29</v>
      </c>
      <c r="D163" s="38">
        <v>9</v>
      </c>
      <c r="E163" s="38">
        <v>1</v>
      </c>
      <c r="F163" s="38">
        <v>15</v>
      </c>
      <c r="G163" s="38">
        <v>0</v>
      </c>
      <c r="H163" s="38">
        <v>0</v>
      </c>
      <c r="I163" s="38">
        <v>1</v>
      </c>
      <c r="J163" s="38">
        <v>55</v>
      </c>
      <c r="K163" s="38" t="s">
        <v>3938</v>
      </c>
      <c r="L163" s="38">
        <v>118445</v>
      </c>
    </row>
    <row r="164" spans="1:12">
      <c r="A164" s="38" t="s">
        <v>402</v>
      </c>
      <c r="B164" s="38" t="s">
        <v>403</v>
      </c>
      <c r="C164" s="38">
        <v>1</v>
      </c>
      <c r="D164" s="38">
        <v>30</v>
      </c>
      <c r="E164" s="38">
        <v>26</v>
      </c>
      <c r="F164" s="38">
        <v>0</v>
      </c>
      <c r="G164" s="38">
        <v>0</v>
      </c>
      <c r="H164" s="38">
        <v>0</v>
      </c>
      <c r="I164" s="38">
        <v>0</v>
      </c>
      <c r="J164" s="38">
        <v>57</v>
      </c>
      <c r="K164" s="38" t="s">
        <v>3939</v>
      </c>
      <c r="L164" s="38">
        <v>189749</v>
      </c>
    </row>
    <row r="165" spans="1:12">
      <c r="A165" s="38" t="s">
        <v>404</v>
      </c>
      <c r="B165" s="38" t="s">
        <v>405</v>
      </c>
      <c r="C165" s="38">
        <v>9</v>
      </c>
      <c r="D165" s="38">
        <v>0</v>
      </c>
      <c r="E165" s="38">
        <v>38</v>
      </c>
      <c r="F165" s="38">
        <v>0</v>
      </c>
      <c r="G165" s="38">
        <v>0</v>
      </c>
      <c r="H165" s="38">
        <v>0</v>
      </c>
      <c r="I165" s="38">
        <v>1</v>
      </c>
      <c r="J165" s="38">
        <v>48</v>
      </c>
      <c r="K165" s="38" t="s">
        <v>3940</v>
      </c>
      <c r="L165" s="38">
        <v>120617</v>
      </c>
    </row>
    <row r="166" spans="1:12">
      <c r="A166" s="38" t="s">
        <v>406</v>
      </c>
      <c r="B166" s="38" t="s">
        <v>407</v>
      </c>
      <c r="C166" s="38">
        <v>19</v>
      </c>
      <c r="D166" s="38">
        <v>33</v>
      </c>
      <c r="E166" s="38">
        <v>9</v>
      </c>
      <c r="F166" s="38">
        <v>5</v>
      </c>
      <c r="G166" s="38">
        <v>0</v>
      </c>
      <c r="H166" s="38">
        <v>0</v>
      </c>
      <c r="I166" s="38">
        <v>3</v>
      </c>
      <c r="J166" s="38">
        <v>69</v>
      </c>
      <c r="K166" s="38" t="s">
        <v>3948</v>
      </c>
      <c r="L166" s="38">
        <v>317926</v>
      </c>
    </row>
    <row r="167" spans="1:12">
      <c r="A167" s="38" t="s">
        <v>408</v>
      </c>
      <c r="B167" s="38" t="s">
        <v>409</v>
      </c>
      <c r="C167" s="38">
        <v>0</v>
      </c>
      <c r="D167" s="38">
        <v>34</v>
      </c>
      <c r="E167" s="38">
        <v>3</v>
      </c>
      <c r="F167" s="38">
        <v>3</v>
      </c>
      <c r="G167" s="38">
        <v>0</v>
      </c>
      <c r="H167" s="38">
        <v>0</v>
      </c>
      <c r="I167" s="38">
        <v>5</v>
      </c>
      <c r="J167" s="38">
        <v>45</v>
      </c>
      <c r="K167" s="38" t="s">
        <v>3939</v>
      </c>
      <c r="L167" s="38">
        <v>120337</v>
      </c>
    </row>
    <row r="168" spans="1:12">
      <c r="A168" s="38" t="s">
        <v>410</v>
      </c>
      <c r="B168" s="38" t="s">
        <v>411</v>
      </c>
      <c r="C168" s="38">
        <v>1</v>
      </c>
      <c r="D168" s="38">
        <v>57</v>
      </c>
      <c r="E168" s="38">
        <v>0</v>
      </c>
      <c r="F168" s="38">
        <v>0</v>
      </c>
      <c r="G168" s="38">
        <v>0</v>
      </c>
      <c r="H168" s="38">
        <v>0</v>
      </c>
      <c r="I168" s="38">
        <v>5</v>
      </c>
      <c r="J168" s="38">
        <v>63</v>
      </c>
      <c r="K168" s="38" t="s">
        <v>3939</v>
      </c>
      <c r="L168" s="38">
        <v>244510</v>
      </c>
    </row>
    <row r="169" spans="1:12">
      <c r="A169" s="38" t="s">
        <v>3905</v>
      </c>
      <c r="B169" s="38" t="s">
        <v>3906</v>
      </c>
      <c r="C169" s="38">
        <v>48</v>
      </c>
      <c r="D169" s="38">
        <v>32</v>
      </c>
      <c r="E169" s="38">
        <v>2</v>
      </c>
      <c r="F169" s="38">
        <v>0</v>
      </c>
      <c r="G169" s="38">
        <v>0</v>
      </c>
      <c r="H169" s="38">
        <v>0</v>
      </c>
      <c r="I169" s="38">
        <v>2</v>
      </c>
      <c r="J169" s="38">
        <v>84</v>
      </c>
      <c r="K169" s="38" t="s">
        <v>3938</v>
      </c>
      <c r="L169" s="38">
        <v>930596</v>
      </c>
    </row>
    <row r="170" spans="1:12">
      <c r="A170" s="38" t="s">
        <v>412</v>
      </c>
      <c r="B170" s="38" t="s">
        <v>413</v>
      </c>
      <c r="C170" s="38">
        <v>13</v>
      </c>
      <c r="D170" s="38">
        <v>14</v>
      </c>
      <c r="E170" s="38">
        <v>2</v>
      </c>
      <c r="F170" s="38">
        <v>21</v>
      </c>
      <c r="G170" s="38">
        <v>0</v>
      </c>
      <c r="H170" s="38">
        <v>0</v>
      </c>
      <c r="I170" s="38">
        <v>10</v>
      </c>
      <c r="J170" s="38">
        <v>60</v>
      </c>
      <c r="K170" s="38" t="s">
        <v>3948</v>
      </c>
      <c r="L170" s="38">
        <v>112512</v>
      </c>
    </row>
    <row r="171" spans="1:12">
      <c r="A171" s="38" t="s">
        <v>414</v>
      </c>
      <c r="B171" s="38" t="s">
        <v>415</v>
      </c>
      <c r="C171" s="38">
        <v>24</v>
      </c>
      <c r="D171" s="38">
        <v>54</v>
      </c>
      <c r="E171" s="38">
        <v>8</v>
      </c>
      <c r="F171" s="38">
        <v>10</v>
      </c>
      <c r="G171" s="38">
        <v>0</v>
      </c>
      <c r="H171" s="38">
        <v>0</v>
      </c>
      <c r="I171" s="38">
        <v>3</v>
      </c>
      <c r="J171" s="38">
        <v>99</v>
      </c>
      <c r="K171" s="38" t="s">
        <v>3939</v>
      </c>
      <c r="L171" s="38">
        <v>595518</v>
      </c>
    </row>
    <row r="172" spans="1:12">
      <c r="A172" s="38" t="s">
        <v>416</v>
      </c>
      <c r="B172" s="38" t="s">
        <v>417</v>
      </c>
      <c r="C172" s="38">
        <v>0</v>
      </c>
      <c r="D172" s="38">
        <v>52</v>
      </c>
      <c r="E172" s="38">
        <v>1</v>
      </c>
      <c r="F172" s="38">
        <v>1</v>
      </c>
      <c r="G172" s="38">
        <v>0</v>
      </c>
      <c r="H172" s="38">
        <v>0</v>
      </c>
      <c r="I172" s="38">
        <v>0</v>
      </c>
      <c r="J172" s="38">
        <v>54</v>
      </c>
      <c r="K172" s="38" t="s">
        <v>3939</v>
      </c>
      <c r="L172" s="38">
        <v>253135</v>
      </c>
    </row>
    <row r="173" spans="1:12">
      <c r="A173" s="38" t="s">
        <v>3907</v>
      </c>
      <c r="B173" s="38" t="s">
        <v>3908</v>
      </c>
      <c r="C173" s="38">
        <v>42</v>
      </c>
      <c r="D173" s="38">
        <v>4</v>
      </c>
      <c r="E173" s="38">
        <v>9</v>
      </c>
      <c r="F173" s="38">
        <v>0</v>
      </c>
      <c r="G173" s="38">
        <v>0</v>
      </c>
      <c r="H173" s="38">
        <v>0</v>
      </c>
      <c r="I173" s="38">
        <v>0</v>
      </c>
      <c r="J173" s="38">
        <v>55</v>
      </c>
      <c r="K173" s="38" t="s">
        <v>3938</v>
      </c>
      <c r="L173" s="38">
        <v>544782</v>
      </c>
    </row>
    <row r="174" spans="1:12">
      <c r="A174" s="38" t="s">
        <v>418</v>
      </c>
      <c r="B174" s="38" t="s">
        <v>419</v>
      </c>
      <c r="C174" s="38">
        <v>19</v>
      </c>
      <c r="D174" s="38">
        <v>3</v>
      </c>
      <c r="E174" s="38">
        <v>9</v>
      </c>
      <c r="F174" s="38">
        <v>2</v>
      </c>
      <c r="G174" s="38">
        <v>0</v>
      </c>
      <c r="H174" s="38">
        <v>0</v>
      </c>
      <c r="I174" s="38">
        <v>8</v>
      </c>
      <c r="J174" s="38">
        <v>41</v>
      </c>
      <c r="K174" s="38" t="s">
        <v>3948</v>
      </c>
      <c r="L174" s="38">
        <v>79331</v>
      </c>
    </row>
    <row r="175" spans="1:12">
      <c r="A175" s="38" t="s">
        <v>420</v>
      </c>
      <c r="B175" s="38" t="s">
        <v>421</v>
      </c>
      <c r="C175" s="38">
        <v>0</v>
      </c>
      <c r="D175" s="38">
        <v>53</v>
      </c>
      <c r="E175" s="38">
        <v>0</v>
      </c>
      <c r="F175" s="38">
        <v>1</v>
      </c>
      <c r="G175" s="38">
        <v>0</v>
      </c>
      <c r="H175" s="38">
        <v>0</v>
      </c>
      <c r="I175" s="38">
        <v>0</v>
      </c>
      <c r="J175" s="38">
        <v>54</v>
      </c>
      <c r="K175" s="38" t="s">
        <v>3939</v>
      </c>
      <c r="L175" s="38">
        <v>208508</v>
      </c>
    </row>
    <row r="176" spans="1:12">
      <c r="A176" s="38" t="s">
        <v>422</v>
      </c>
      <c r="B176" s="38" t="s">
        <v>423</v>
      </c>
      <c r="C176" s="38">
        <v>34</v>
      </c>
      <c r="D176" s="38">
        <v>11</v>
      </c>
      <c r="E176" s="38">
        <v>1</v>
      </c>
      <c r="F176" s="38">
        <v>1</v>
      </c>
      <c r="G176" s="38">
        <v>0</v>
      </c>
      <c r="H176" s="38">
        <v>0</v>
      </c>
      <c r="I176" s="38">
        <v>0</v>
      </c>
      <c r="J176" s="38">
        <v>47</v>
      </c>
      <c r="K176" s="38" t="s">
        <v>3938</v>
      </c>
      <c r="L176" s="38">
        <v>83460</v>
      </c>
    </row>
    <row r="177" spans="1:12">
      <c r="A177" s="38" t="s">
        <v>424</v>
      </c>
      <c r="B177" s="38" t="s">
        <v>425</v>
      </c>
      <c r="C177" s="38">
        <v>10</v>
      </c>
      <c r="D177" s="38">
        <v>22</v>
      </c>
      <c r="E177" s="38">
        <v>1</v>
      </c>
      <c r="F177" s="38">
        <v>0</v>
      </c>
      <c r="G177" s="38">
        <v>0</v>
      </c>
      <c r="H177" s="38">
        <v>0</v>
      </c>
      <c r="I177" s="38">
        <v>0</v>
      </c>
      <c r="J177" s="38">
        <v>33</v>
      </c>
      <c r="K177" s="38" t="s">
        <v>3939</v>
      </c>
      <c r="L177" s="38">
        <v>67334</v>
      </c>
    </row>
    <row r="178" spans="1:12">
      <c r="A178" s="38" t="s">
        <v>3909</v>
      </c>
      <c r="B178" s="38" t="s">
        <v>3910</v>
      </c>
      <c r="C178" s="38">
        <v>54</v>
      </c>
      <c r="D178" s="38">
        <v>4</v>
      </c>
      <c r="E178" s="38">
        <v>3</v>
      </c>
      <c r="F178" s="38">
        <v>9</v>
      </c>
      <c r="G178" s="38">
        <v>0</v>
      </c>
      <c r="H178" s="38">
        <v>0</v>
      </c>
      <c r="I178" s="38">
        <v>0</v>
      </c>
      <c r="J178" s="38">
        <v>70</v>
      </c>
      <c r="K178" s="38" t="s">
        <v>3938</v>
      </c>
      <c r="L178" s="38">
        <v>575106</v>
      </c>
    </row>
    <row r="179" spans="1:12">
      <c r="A179" s="38" t="s">
        <v>426</v>
      </c>
      <c r="B179" s="38" t="s">
        <v>427</v>
      </c>
      <c r="C179" s="38">
        <v>0</v>
      </c>
      <c r="D179" s="38">
        <v>70</v>
      </c>
      <c r="E179" s="38">
        <v>12</v>
      </c>
      <c r="F179" s="38">
        <v>4</v>
      </c>
      <c r="G179" s="38">
        <v>0</v>
      </c>
      <c r="H179" s="38">
        <v>0</v>
      </c>
      <c r="I179" s="38">
        <v>4</v>
      </c>
      <c r="J179" s="38">
        <v>90</v>
      </c>
      <c r="K179" s="38" t="s">
        <v>3939</v>
      </c>
      <c r="L179" s="38">
        <v>343848</v>
      </c>
    </row>
    <row r="180" spans="1:12">
      <c r="A180" s="38" t="s">
        <v>428</v>
      </c>
      <c r="B180" s="38" t="s">
        <v>429</v>
      </c>
      <c r="C180" s="38">
        <v>4</v>
      </c>
      <c r="D180" s="38">
        <v>31</v>
      </c>
      <c r="E180" s="38">
        <v>13</v>
      </c>
      <c r="F180" s="38">
        <v>0</v>
      </c>
      <c r="G180" s="38">
        <v>0</v>
      </c>
      <c r="H180" s="38">
        <v>0</v>
      </c>
      <c r="I180" s="38">
        <v>0</v>
      </c>
      <c r="J180" s="38">
        <v>48</v>
      </c>
      <c r="K180" s="38" t="s">
        <v>3939</v>
      </c>
      <c r="L180" s="38">
        <v>148403</v>
      </c>
    </row>
    <row r="181" spans="1:12">
      <c r="A181" s="38" t="s">
        <v>430</v>
      </c>
      <c r="B181" s="38" t="s">
        <v>431</v>
      </c>
      <c r="C181" s="38">
        <v>29</v>
      </c>
      <c r="D181" s="38">
        <v>4</v>
      </c>
      <c r="E181" s="38">
        <v>17</v>
      </c>
      <c r="F181" s="38">
        <v>5</v>
      </c>
      <c r="G181" s="38">
        <v>0</v>
      </c>
      <c r="H181" s="38">
        <v>0</v>
      </c>
      <c r="I181" s="38">
        <v>0</v>
      </c>
      <c r="J181" s="38">
        <v>55</v>
      </c>
      <c r="K181" s="38" t="s">
        <v>3938</v>
      </c>
      <c r="L181" s="38">
        <v>126120</v>
      </c>
    </row>
    <row r="182" spans="1:12">
      <c r="A182" s="38" t="s">
        <v>432</v>
      </c>
      <c r="B182" s="38" t="s">
        <v>433</v>
      </c>
      <c r="C182" s="38">
        <v>10</v>
      </c>
      <c r="D182" s="38">
        <v>0</v>
      </c>
      <c r="E182" s="38">
        <v>0</v>
      </c>
      <c r="F182" s="38">
        <v>21</v>
      </c>
      <c r="G182" s="38">
        <v>0</v>
      </c>
      <c r="H182" s="38">
        <v>0</v>
      </c>
      <c r="I182" s="38">
        <v>0</v>
      </c>
      <c r="J182" s="38">
        <v>31</v>
      </c>
      <c r="K182" s="38" t="s">
        <v>3948</v>
      </c>
      <c r="L182" s="38">
        <v>51250</v>
      </c>
    </row>
    <row r="183" spans="1:12">
      <c r="A183" s="38" t="s">
        <v>434</v>
      </c>
      <c r="B183" s="38" t="s">
        <v>435</v>
      </c>
      <c r="C183" s="38">
        <v>13</v>
      </c>
      <c r="D183" s="38">
        <v>1</v>
      </c>
      <c r="E183" s="38">
        <v>5</v>
      </c>
      <c r="F183" s="38">
        <v>14</v>
      </c>
      <c r="G183" s="38">
        <v>0</v>
      </c>
      <c r="H183" s="38">
        <v>0</v>
      </c>
      <c r="I183" s="38">
        <v>5</v>
      </c>
      <c r="J183" s="38">
        <v>38</v>
      </c>
      <c r="K183" s="38" t="s">
        <v>3948</v>
      </c>
      <c r="L183" s="38">
        <v>62155</v>
      </c>
    </row>
    <row r="184" spans="1:12">
      <c r="A184" s="38" t="s">
        <v>436</v>
      </c>
      <c r="B184" s="38" t="s">
        <v>437</v>
      </c>
      <c r="C184" s="38">
        <v>0</v>
      </c>
      <c r="D184" s="38">
        <v>94</v>
      </c>
      <c r="E184" s="38">
        <v>1</v>
      </c>
      <c r="F184" s="38">
        <v>0</v>
      </c>
      <c r="G184" s="38">
        <v>0</v>
      </c>
      <c r="H184" s="38">
        <v>0</v>
      </c>
      <c r="I184" s="38">
        <v>1</v>
      </c>
      <c r="J184" s="38">
        <v>96</v>
      </c>
      <c r="K184" s="38" t="s">
        <v>3939</v>
      </c>
      <c r="L184" s="38">
        <v>388700</v>
      </c>
    </row>
    <row r="185" spans="1:12">
      <c r="A185" s="38" t="s">
        <v>438</v>
      </c>
      <c r="B185" s="38" t="s">
        <v>439</v>
      </c>
      <c r="C185" s="38">
        <v>2</v>
      </c>
      <c r="D185" s="38">
        <v>14</v>
      </c>
      <c r="E185" s="38">
        <v>0</v>
      </c>
      <c r="F185" s="38">
        <v>20</v>
      </c>
      <c r="G185" s="38">
        <v>0</v>
      </c>
      <c r="H185" s="38">
        <v>0</v>
      </c>
      <c r="I185" s="38">
        <v>0</v>
      </c>
      <c r="J185" s="38">
        <v>36</v>
      </c>
      <c r="K185" s="38" t="s">
        <v>3941</v>
      </c>
      <c r="L185" s="38">
        <v>81973</v>
      </c>
    </row>
    <row r="186" spans="1:12">
      <c r="A186" s="38" t="s">
        <v>440</v>
      </c>
      <c r="B186" s="38" t="s">
        <v>441</v>
      </c>
      <c r="C186" s="38">
        <v>32</v>
      </c>
      <c r="D186" s="38">
        <v>20</v>
      </c>
      <c r="E186" s="38">
        <v>0</v>
      </c>
      <c r="F186" s="38">
        <v>3</v>
      </c>
      <c r="G186" s="38">
        <v>0</v>
      </c>
      <c r="H186" s="38">
        <v>0</v>
      </c>
      <c r="I186" s="38">
        <v>0</v>
      </c>
      <c r="J186" s="38">
        <v>55</v>
      </c>
      <c r="K186" s="38" t="s">
        <v>3938</v>
      </c>
      <c r="L186" s="38">
        <v>205022</v>
      </c>
    </row>
    <row r="187" spans="1:12">
      <c r="A187" s="38" t="s">
        <v>442</v>
      </c>
      <c r="B187" s="38" t="s">
        <v>443</v>
      </c>
      <c r="C187" s="38">
        <v>20</v>
      </c>
      <c r="D187" s="38">
        <v>0</v>
      </c>
      <c r="E187" s="38">
        <v>0</v>
      </c>
      <c r="F187" s="38">
        <v>7</v>
      </c>
      <c r="G187" s="38">
        <v>0</v>
      </c>
      <c r="H187" s="38">
        <v>0</v>
      </c>
      <c r="I187" s="38">
        <v>1</v>
      </c>
      <c r="J187" s="38">
        <v>28</v>
      </c>
      <c r="K187" s="38" t="s">
        <v>3938</v>
      </c>
      <c r="L187" s="38">
        <v>39899</v>
      </c>
    </row>
    <row r="188" spans="1:12">
      <c r="A188" s="38" t="s">
        <v>444</v>
      </c>
      <c r="B188" s="38" t="s">
        <v>445</v>
      </c>
      <c r="C188" s="38">
        <v>12</v>
      </c>
      <c r="D188" s="38">
        <v>0</v>
      </c>
      <c r="E188" s="38">
        <v>23</v>
      </c>
      <c r="F188" s="38">
        <v>2</v>
      </c>
      <c r="G188" s="38">
        <v>0</v>
      </c>
      <c r="H188" s="38">
        <v>0</v>
      </c>
      <c r="I188" s="38">
        <v>10</v>
      </c>
      <c r="J188" s="38">
        <v>47</v>
      </c>
      <c r="K188" s="38" t="s">
        <v>3948</v>
      </c>
      <c r="L188" s="38">
        <v>91093</v>
      </c>
    </row>
    <row r="189" spans="1:12">
      <c r="A189" s="38" t="s">
        <v>3970</v>
      </c>
      <c r="B189" s="38" t="s">
        <v>3971</v>
      </c>
      <c r="C189" s="38">
        <v>0</v>
      </c>
      <c r="D189" s="38">
        <v>15</v>
      </c>
      <c r="E189" s="38">
        <v>0</v>
      </c>
      <c r="F189" s="38">
        <v>18</v>
      </c>
      <c r="G189" s="38">
        <v>0</v>
      </c>
      <c r="H189" s="38">
        <v>0</v>
      </c>
      <c r="I189" s="38">
        <v>0</v>
      </c>
      <c r="J189" s="38">
        <v>33</v>
      </c>
      <c r="K189" s="38" t="s">
        <v>3941</v>
      </c>
      <c r="L189" s="38">
        <v>46334</v>
      </c>
    </row>
    <row r="190" spans="1:12">
      <c r="A190" s="38" t="s">
        <v>446</v>
      </c>
      <c r="B190" s="38" t="s">
        <v>447</v>
      </c>
      <c r="C190" s="38">
        <v>17</v>
      </c>
      <c r="D190" s="38">
        <v>34</v>
      </c>
      <c r="E190" s="38">
        <v>6</v>
      </c>
      <c r="F190" s="38">
        <v>3</v>
      </c>
      <c r="G190" s="38">
        <v>0</v>
      </c>
      <c r="H190" s="38">
        <v>0</v>
      </c>
      <c r="I190" s="38">
        <v>0</v>
      </c>
      <c r="J190" s="38">
        <v>60</v>
      </c>
      <c r="K190" s="38" t="s">
        <v>3939</v>
      </c>
      <c r="L190" s="38">
        <v>157521</v>
      </c>
    </row>
    <row r="191" spans="1:12">
      <c r="A191" s="38" t="s">
        <v>448</v>
      </c>
      <c r="B191" s="38" t="s">
        <v>449</v>
      </c>
      <c r="C191" s="38">
        <v>20</v>
      </c>
      <c r="D191" s="38">
        <v>0</v>
      </c>
      <c r="E191" s="38">
        <v>11</v>
      </c>
      <c r="F191" s="38">
        <v>9</v>
      </c>
      <c r="G191" s="38">
        <v>0</v>
      </c>
      <c r="H191" s="38">
        <v>0</v>
      </c>
      <c r="I191" s="38">
        <v>2</v>
      </c>
      <c r="J191" s="38">
        <v>42</v>
      </c>
      <c r="K191" s="38" t="s">
        <v>3948</v>
      </c>
      <c r="L191" s="38">
        <v>63913</v>
      </c>
    </row>
    <row r="192" spans="1:12">
      <c r="A192" s="38" t="s">
        <v>450</v>
      </c>
      <c r="B192" s="38" t="s">
        <v>451</v>
      </c>
      <c r="C192" s="38">
        <v>16</v>
      </c>
      <c r="D192" s="38">
        <v>0</v>
      </c>
      <c r="E192" s="38">
        <v>5</v>
      </c>
      <c r="F192" s="38">
        <v>1</v>
      </c>
      <c r="G192" s="38">
        <v>0</v>
      </c>
      <c r="H192" s="38">
        <v>0</v>
      </c>
      <c r="I192" s="38">
        <v>12</v>
      </c>
      <c r="J192" s="38">
        <v>34</v>
      </c>
      <c r="K192" s="38" t="s">
        <v>3948</v>
      </c>
      <c r="L192" s="38">
        <v>80431</v>
      </c>
    </row>
    <row r="193" spans="1:12">
      <c r="A193" s="38" t="s">
        <v>452</v>
      </c>
      <c r="B193" s="38" t="s">
        <v>453</v>
      </c>
      <c r="C193" s="38">
        <v>34</v>
      </c>
      <c r="D193" s="38">
        <v>0</v>
      </c>
      <c r="E193" s="38">
        <v>13</v>
      </c>
      <c r="F193" s="38">
        <v>4</v>
      </c>
      <c r="G193" s="38">
        <v>0</v>
      </c>
      <c r="H193" s="38">
        <v>0</v>
      </c>
      <c r="I193" s="38">
        <v>3</v>
      </c>
      <c r="J193" s="38">
        <v>54</v>
      </c>
      <c r="K193" s="38" t="s">
        <v>3938</v>
      </c>
      <c r="L193" s="38">
        <v>115380</v>
      </c>
    </row>
    <row r="194" spans="1:12">
      <c r="A194" s="38" t="s">
        <v>454</v>
      </c>
      <c r="B194" s="38" t="s">
        <v>455</v>
      </c>
      <c r="C194" s="38">
        <v>3</v>
      </c>
      <c r="D194" s="38">
        <v>18</v>
      </c>
      <c r="E194" s="38">
        <v>0</v>
      </c>
      <c r="F194" s="38">
        <v>25</v>
      </c>
      <c r="G194" s="38">
        <v>0</v>
      </c>
      <c r="H194" s="38">
        <v>0</v>
      </c>
      <c r="I194" s="38">
        <v>0</v>
      </c>
      <c r="J194" s="38">
        <v>46</v>
      </c>
      <c r="K194" s="38" t="s">
        <v>3948</v>
      </c>
      <c r="L194" s="38">
        <v>97705</v>
      </c>
    </row>
    <row r="195" spans="1:12">
      <c r="A195" s="38" t="s">
        <v>456</v>
      </c>
      <c r="B195" s="38" t="s">
        <v>457</v>
      </c>
      <c r="C195" s="38">
        <v>24</v>
      </c>
      <c r="D195" s="38">
        <v>19</v>
      </c>
      <c r="E195" s="38">
        <v>13</v>
      </c>
      <c r="F195" s="38">
        <v>1</v>
      </c>
      <c r="G195" s="38">
        <v>0</v>
      </c>
      <c r="H195" s="38">
        <v>0</v>
      </c>
      <c r="I195" s="38">
        <v>0</v>
      </c>
      <c r="J195" s="38">
        <v>57</v>
      </c>
      <c r="K195" s="38" t="s">
        <v>3948</v>
      </c>
      <c r="L195" s="38">
        <v>204465</v>
      </c>
    </row>
    <row r="196" spans="1:12">
      <c r="A196" s="38" t="s">
        <v>458</v>
      </c>
      <c r="B196" s="38" t="s">
        <v>459</v>
      </c>
      <c r="C196" s="38">
        <v>12</v>
      </c>
      <c r="D196" s="38">
        <v>0</v>
      </c>
      <c r="E196" s="38">
        <v>22</v>
      </c>
      <c r="F196" s="38">
        <v>7</v>
      </c>
      <c r="G196" s="38">
        <v>0</v>
      </c>
      <c r="H196" s="38">
        <v>0</v>
      </c>
      <c r="I196" s="38">
        <v>0</v>
      </c>
      <c r="J196" s="38">
        <v>41</v>
      </c>
      <c r="K196" s="38" t="s">
        <v>3940</v>
      </c>
      <c r="L196" s="38">
        <v>69061</v>
      </c>
    </row>
    <row r="197" spans="1:12">
      <c r="A197" s="38" t="s">
        <v>3972</v>
      </c>
      <c r="B197" s="38" t="s">
        <v>3973</v>
      </c>
      <c r="C197" s="38">
        <v>25</v>
      </c>
      <c r="D197" s="38">
        <v>9</v>
      </c>
      <c r="E197" s="38">
        <v>3</v>
      </c>
      <c r="F197" s="38">
        <v>6</v>
      </c>
      <c r="G197" s="38">
        <v>0</v>
      </c>
      <c r="H197" s="38">
        <v>0</v>
      </c>
      <c r="I197" s="38">
        <v>0</v>
      </c>
      <c r="J197" s="38">
        <v>43</v>
      </c>
      <c r="K197" s="38" t="s">
        <v>3938</v>
      </c>
      <c r="L197" s="38">
        <v>72979</v>
      </c>
    </row>
    <row r="198" spans="1:12">
      <c r="A198" s="38" t="s">
        <v>3974</v>
      </c>
      <c r="B198" s="38" t="s">
        <v>3975</v>
      </c>
      <c r="C198" s="38">
        <v>0</v>
      </c>
      <c r="D198" s="38">
        <v>39</v>
      </c>
      <c r="E198" s="38">
        <v>0</v>
      </c>
      <c r="F198" s="38">
        <v>9</v>
      </c>
      <c r="G198" s="38">
        <v>16</v>
      </c>
      <c r="H198" s="38">
        <v>0</v>
      </c>
      <c r="I198" s="38">
        <v>0</v>
      </c>
      <c r="J198" s="38">
        <v>64</v>
      </c>
      <c r="K198" s="38" t="s">
        <v>3939</v>
      </c>
      <c r="L198" s="38">
        <v>108482</v>
      </c>
    </row>
    <row r="199" spans="1:12">
      <c r="A199" s="38" t="s">
        <v>460</v>
      </c>
      <c r="B199" s="38" t="s">
        <v>461</v>
      </c>
      <c r="C199" s="38">
        <v>46</v>
      </c>
      <c r="D199" s="38">
        <v>0</v>
      </c>
      <c r="E199" s="38">
        <v>13</v>
      </c>
      <c r="F199" s="38">
        <v>1</v>
      </c>
      <c r="G199" s="38">
        <v>0</v>
      </c>
      <c r="H199" s="38">
        <v>0</v>
      </c>
      <c r="I199" s="38">
        <v>0</v>
      </c>
      <c r="J199" s="38">
        <v>60</v>
      </c>
      <c r="K199" s="38" t="s">
        <v>3938</v>
      </c>
      <c r="L199" s="38">
        <v>146354</v>
      </c>
    </row>
    <row r="200" spans="1:12">
      <c r="A200" s="38" t="s">
        <v>462</v>
      </c>
      <c r="B200" s="38" t="s">
        <v>463</v>
      </c>
      <c r="C200" s="38">
        <v>27</v>
      </c>
      <c r="D200" s="38">
        <v>7</v>
      </c>
      <c r="E200" s="38">
        <v>2</v>
      </c>
      <c r="F200" s="38">
        <v>3</v>
      </c>
      <c r="G200" s="38">
        <v>0</v>
      </c>
      <c r="H200" s="38">
        <v>0</v>
      </c>
      <c r="I200" s="38">
        <v>0</v>
      </c>
      <c r="J200" s="38">
        <v>39</v>
      </c>
      <c r="K200" s="38" t="s">
        <v>3938</v>
      </c>
      <c r="L200" s="38">
        <v>91160</v>
      </c>
    </row>
    <row r="201" spans="1:12">
      <c r="A201" s="38" t="s">
        <v>464</v>
      </c>
      <c r="B201" s="38" t="s">
        <v>465</v>
      </c>
      <c r="C201" s="38">
        <v>0</v>
      </c>
      <c r="D201" s="38">
        <v>52</v>
      </c>
      <c r="E201" s="38">
        <v>20</v>
      </c>
      <c r="F201" s="38">
        <v>6</v>
      </c>
      <c r="G201" s="38">
        <v>0</v>
      </c>
      <c r="H201" s="38">
        <v>0</v>
      </c>
      <c r="I201" s="38">
        <v>0</v>
      </c>
      <c r="J201" s="38">
        <v>78</v>
      </c>
      <c r="K201" s="38" t="s">
        <v>3939</v>
      </c>
      <c r="L201" s="38">
        <v>196300</v>
      </c>
    </row>
    <row r="202" spans="1:12">
      <c r="A202" s="38" t="s">
        <v>466</v>
      </c>
      <c r="B202" s="38" t="s">
        <v>467</v>
      </c>
      <c r="C202" s="38">
        <v>19</v>
      </c>
      <c r="D202" s="38">
        <v>19</v>
      </c>
      <c r="E202" s="38">
        <v>2</v>
      </c>
      <c r="F202" s="38">
        <v>4</v>
      </c>
      <c r="G202" s="38">
        <v>0</v>
      </c>
      <c r="H202" s="38">
        <v>0</v>
      </c>
      <c r="I202" s="38">
        <v>0</v>
      </c>
      <c r="J202" s="38">
        <v>44</v>
      </c>
      <c r="K202" s="38" t="s">
        <v>3948</v>
      </c>
      <c r="L202" s="38">
        <v>95626</v>
      </c>
    </row>
    <row r="203" spans="1:12">
      <c r="A203" s="38" t="s">
        <v>468</v>
      </c>
      <c r="B203" s="38" t="s">
        <v>469</v>
      </c>
      <c r="C203" s="38">
        <v>0</v>
      </c>
      <c r="D203" s="38">
        <v>60</v>
      </c>
      <c r="E203" s="38">
        <v>0</v>
      </c>
      <c r="F203" s="38">
        <v>0</v>
      </c>
      <c r="G203" s="38">
        <v>0</v>
      </c>
      <c r="H203" s="38">
        <v>0</v>
      </c>
      <c r="I203" s="38">
        <v>0</v>
      </c>
      <c r="J203" s="38">
        <v>60</v>
      </c>
      <c r="K203" s="38" t="s">
        <v>3939</v>
      </c>
      <c r="L203" s="38">
        <v>224676</v>
      </c>
    </row>
    <row r="204" spans="1:12">
      <c r="A204" s="38" t="s">
        <v>3976</v>
      </c>
      <c r="B204" s="38" t="s">
        <v>3977</v>
      </c>
      <c r="C204" s="38">
        <v>12</v>
      </c>
      <c r="D204" s="38">
        <v>31</v>
      </c>
      <c r="E204" s="38">
        <v>2</v>
      </c>
      <c r="F204" s="38">
        <v>5</v>
      </c>
      <c r="G204" s="38">
        <v>0</v>
      </c>
      <c r="H204" s="38">
        <v>0</v>
      </c>
      <c r="I204" s="38">
        <v>0</v>
      </c>
      <c r="J204" s="38">
        <v>50</v>
      </c>
      <c r="K204" s="38" t="s">
        <v>3939</v>
      </c>
      <c r="L204" s="38">
        <v>116055</v>
      </c>
    </row>
    <row r="205" spans="1:12">
      <c r="A205" s="38" t="s">
        <v>3911</v>
      </c>
      <c r="B205" s="38" t="s">
        <v>3912</v>
      </c>
      <c r="C205" s="38">
        <v>58</v>
      </c>
      <c r="D205" s="38">
        <v>12</v>
      </c>
      <c r="E205" s="38">
        <v>8</v>
      </c>
      <c r="F205" s="38">
        <v>3</v>
      </c>
      <c r="G205" s="38">
        <v>0</v>
      </c>
      <c r="H205" s="38">
        <v>0</v>
      </c>
      <c r="I205" s="38">
        <v>3</v>
      </c>
      <c r="J205" s="38">
        <v>84</v>
      </c>
      <c r="K205" s="38" t="s">
        <v>3938</v>
      </c>
      <c r="L205" s="38">
        <v>698602</v>
      </c>
    </row>
    <row r="206" spans="1:12">
      <c r="A206" s="38" t="s">
        <v>470</v>
      </c>
      <c r="B206" s="38" t="s">
        <v>471</v>
      </c>
      <c r="C206" s="38">
        <v>11</v>
      </c>
      <c r="D206" s="38">
        <v>0</v>
      </c>
      <c r="E206" s="38">
        <v>21</v>
      </c>
      <c r="F206" s="38">
        <v>8</v>
      </c>
      <c r="G206" s="38">
        <v>0</v>
      </c>
      <c r="H206" s="38">
        <v>0</v>
      </c>
      <c r="I206" s="38">
        <v>2</v>
      </c>
      <c r="J206" s="38">
        <v>42</v>
      </c>
      <c r="K206" s="38" t="s">
        <v>3948</v>
      </c>
      <c r="L206" s="38">
        <v>77036</v>
      </c>
    </row>
    <row r="207" spans="1:12">
      <c r="A207" s="38" t="s">
        <v>472</v>
      </c>
      <c r="B207" s="38" t="s">
        <v>473</v>
      </c>
      <c r="C207" s="38">
        <v>31</v>
      </c>
      <c r="D207" s="38">
        <v>17</v>
      </c>
      <c r="E207" s="38">
        <v>3</v>
      </c>
      <c r="F207" s="38">
        <v>2</v>
      </c>
      <c r="G207" s="38">
        <v>0</v>
      </c>
      <c r="H207" s="38">
        <v>0</v>
      </c>
      <c r="I207" s="38">
        <v>0</v>
      </c>
      <c r="J207" s="38">
        <v>53</v>
      </c>
      <c r="K207" s="38" t="s">
        <v>3938</v>
      </c>
      <c r="L207" s="38">
        <v>80384</v>
      </c>
    </row>
    <row r="208" spans="1:12">
      <c r="A208" s="38" t="s">
        <v>474</v>
      </c>
      <c r="B208" s="38" t="s">
        <v>475</v>
      </c>
      <c r="C208" s="38">
        <v>31</v>
      </c>
      <c r="D208" s="38">
        <v>8</v>
      </c>
      <c r="E208" s="38">
        <v>3</v>
      </c>
      <c r="F208" s="38">
        <v>0</v>
      </c>
      <c r="G208" s="38">
        <v>0</v>
      </c>
      <c r="H208" s="38">
        <v>0</v>
      </c>
      <c r="I208" s="38">
        <v>0</v>
      </c>
      <c r="J208" s="38">
        <v>42</v>
      </c>
      <c r="K208" s="38" t="s">
        <v>3938</v>
      </c>
      <c r="L208" s="38">
        <v>118419</v>
      </c>
    </row>
    <row r="209" spans="1:12">
      <c r="A209" s="38" t="s">
        <v>476</v>
      </c>
      <c r="B209" s="38" t="s">
        <v>477</v>
      </c>
      <c r="C209" s="38">
        <v>23</v>
      </c>
      <c r="D209" s="38">
        <v>15</v>
      </c>
      <c r="E209" s="38">
        <v>11</v>
      </c>
      <c r="F209" s="38">
        <v>0</v>
      </c>
      <c r="G209" s="38">
        <v>0</v>
      </c>
      <c r="H209" s="38">
        <v>0</v>
      </c>
      <c r="I209" s="38">
        <v>0</v>
      </c>
      <c r="J209" s="38">
        <v>49</v>
      </c>
      <c r="K209" s="38" t="s">
        <v>3948</v>
      </c>
      <c r="L209" s="38">
        <v>101029</v>
      </c>
    </row>
    <row r="210" spans="1:12">
      <c r="A210" s="38" t="s">
        <v>478</v>
      </c>
      <c r="B210" s="38" t="s">
        <v>479</v>
      </c>
      <c r="C210" s="38">
        <v>21</v>
      </c>
      <c r="D210" s="38">
        <v>0</v>
      </c>
      <c r="E210" s="38">
        <v>0</v>
      </c>
      <c r="F210" s="38">
        <v>22</v>
      </c>
      <c r="G210" s="38">
        <v>0</v>
      </c>
      <c r="H210" s="38">
        <v>0</v>
      </c>
      <c r="I210" s="38">
        <v>0</v>
      </c>
      <c r="J210" s="38">
        <v>43</v>
      </c>
      <c r="K210" s="38" t="s">
        <v>3941</v>
      </c>
      <c r="L210" s="38">
        <v>91240</v>
      </c>
    </row>
    <row r="211" spans="1:12">
      <c r="A211" s="38" t="s">
        <v>480</v>
      </c>
      <c r="B211" s="38" t="s">
        <v>481</v>
      </c>
      <c r="C211" s="38">
        <v>28</v>
      </c>
      <c r="D211" s="38">
        <v>14</v>
      </c>
      <c r="E211" s="38">
        <v>0</v>
      </c>
      <c r="F211" s="38">
        <v>1</v>
      </c>
      <c r="G211" s="38">
        <v>0</v>
      </c>
      <c r="H211" s="38">
        <v>0</v>
      </c>
      <c r="I211" s="38">
        <v>0</v>
      </c>
      <c r="J211" s="38">
        <v>43</v>
      </c>
      <c r="K211" s="38" t="s">
        <v>3938</v>
      </c>
      <c r="L211" s="38">
        <v>130883</v>
      </c>
    </row>
    <row r="212" spans="1:12">
      <c r="A212" s="38" t="s">
        <v>482</v>
      </c>
      <c r="B212" s="38" t="s">
        <v>483</v>
      </c>
      <c r="C212" s="38">
        <v>9</v>
      </c>
      <c r="D212" s="38">
        <v>0</v>
      </c>
      <c r="E212" s="38">
        <v>27</v>
      </c>
      <c r="F212" s="38">
        <v>4</v>
      </c>
      <c r="G212" s="38">
        <v>0</v>
      </c>
      <c r="H212" s="38">
        <v>0</v>
      </c>
      <c r="I212" s="38">
        <v>0</v>
      </c>
      <c r="J212" s="38">
        <v>40</v>
      </c>
      <c r="K212" s="38" t="s">
        <v>3940</v>
      </c>
      <c r="L212" s="38">
        <v>83917</v>
      </c>
    </row>
    <row r="213" spans="1:12">
      <c r="A213" s="4" t="s">
        <v>484</v>
      </c>
      <c r="B213" s="5" t="s">
        <v>485</v>
      </c>
      <c r="C213" s="6">
        <v>13</v>
      </c>
      <c r="D213" s="6">
        <v>6</v>
      </c>
      <c r="E213" s="6">
        <v>11</v>
      </c>
      <c r="F213" s="6">
        <v>17</v>
      </c>
      <c r="G213" s="6">
        <v>0</v>
      </c>
      <c r="H213" s="6">
        <v>0</v>
      </c>
      <c r="I213" s="6">
        <v>3</v>
      </c>
      <c r="J213" s="6">
        <v>50</v>
      </c>
      <c r="K213" s="6" t="s">
        <v>3948</v>
      </c>
      <c r="L213" s="34"/>
    </row>
    <row r="214" spans="1:12">
      <c r="A214" s="38" t="s">
        <v>852</v>
      </c>
      <c r="B214" s="38" t="s">
        <v>853</v>
      </c>
      <c r="C214" s="38">
        <v>60</v>
      </c>
      <c r="D214" s="38">
        <v>14</v>
      </c>
      <c r="E214" s="38">
        <v>0</v>
      </c>
      <c r="F214" s="38">
        <v>1</v>
      </c>
      <c r="G214" s="38">
        <v>0</v>
      </c>
      <c r="H214" s="38">
        <v>0</v>
      </c>
      <c r="I214" s="38">
        <v>3</v>
      </c>
      <c r="J214" s="38">
        <v>78</v>
      </c>
      <c r="K214" s="38" t="s">
        <v>3938</v>
      </c>
      <c r="L214" s="38">
        <v>263903</v>
      </c>
    </row>
    <row r="215" spans="1:12">
      <c r="A215" s="38" t="s">
        <v>484</v>
      </c>
      <c r="B215" s="38" t="s">
        <v>485</v>
      </c>
      <c r="C215" s="38">
        <v>13</v>
      </c>
      <c r="D215" s="38">
        <v>6</v>
      </c>
      <c r="E215" s="38">
        <v>11</v>
      </c>
      <c r="F215" s="38">
        <v>17</v>
      </c>
      <c r="G215" s="38">
        <v>0</v>
      </c>
      <c r="H215" s="38">
        <v>0</v>
      </c>
      <c r="I215" s="38">
        <v>3</v>
      </c>
      <c r="J215" s="38">
        <v>50</v>
      </c>
      <c r="K215" s="38" t="s">
        <v>3948</v>
      </c>
      <c r="L215" s="38">
        <v>168435</v>
      </c>
    </row>
    <row r="216" spans="1:12">
      <c r="A216" s="38" t="s">
        <v>486</v>
      </c>
      <c r="B216" s="38" t="s">
        <v>487</v>
      </c>
      <c r="C216" s="38">
        <v>9</v>
      </c>
      <c r="D216" s="38">
        <v>51</v>
      </c>
      <c r="E216" s="38">
        <v>0</v>
      </c>
      <c r="F216" s="38">
        <v>0</v>
      </c>
      <c r="G216" s="38">
        <v>0</v>
      </c>
      <c r="H216" s="38">
        <v>0</v>
      </c>
      <c r="I216" s="38">
        <v>0</v>
      </c>
      <c r="J216" s="38">
        <v>60</v>
      </c>
      <c r="K216" s="38" t="s">
        <v>3939</v>
      </c>
      <c r="L216" s="38">
        <v>157600</v>
      </c>
    </row>
    <row r="217" spans="1:12">
      <c r="A217" s="38" t="s">
        <v>488</v>
      </c>
      <c r="B217" s="38" t="s">
        <v>489</v>
      </c>
      <c r="C217" s="38">
        <v>22</v>
      </c>
      <c r="D217" s="38">
        <v>12</v>
      </c>
      <c r="E217" s="38">
        <v>0</v>
      </c>
      <c r="F217" s="38">
        <v>1</v>
      </c>
      <c r="G217" s="38">
        <v>0</v>
      </c>
      <c r="H217" s="38">
        <v>0</v>
      </c>
      <c r="I217" s="38">
        <v>0</v>
      </c>
      <c r="J217" s="38">
        <v>35</v>
      </c>
      <c r="K217" s="38" t="s">
        <v>3938</v>
      </c>
      <c r="L217" s="38">
        <v>50128</v>
      </c>
    </row>
    <row r="218" spans="1:12">
      <c r="A218" s="38" t="s">
        <v>490</v>
      </c>
      <c r="B218" s="38" t="s">
        <v>491</v>
      </c>
      <c r="C218" s="38">
        <v>22</v>
      </c>
      <c r="D218" s="38">
        <v>9</v>
      </c>
      <c r="E218" s="38">
        <v>4</v>
      </c>
      <c r="F218" s="38">
        <v>2</v>
      </c>
      <c r="G218" s="38">
        <v>0</v>
      </c>
      <c r="H218" s="38">
        <v>0</v>
      </c>
      <c r="I218" s="38">
        <v>1</v>
      </c>
      <c r="J218" s="38">
        <v>38</v>
      </c>
      <c r="K218" s="38" t="s">
        <v>3938</v>
      </c>
      <c r="L218" s="38">
        <v>81246</v>
      </c>
    </row>
    <row r="219" spans="1:12">
      <c r="A219" s="38" t="s">
        <v>3915</v>
      </c>
      <c r="B219" s="38" t="s">
        <v>3916</v>
      </c>
      <c r="C219" s="38">
        <v>54</v>
      </c>
      <c r="D219" s="38">
        <v>4</v>
      </c>
      <c r="E219" s="38">
        <v>3</v>
      </c>
      <c r="F219" s="38">
        <v>11</v>
      </c>
      <c r="G219" s="38">
        <v>0</v>
      </c>
      <c r="H219" s="38">
        <v>0</v>
      </c>
      <c r="I219" s="38">
        <v>0</v>
      </c>
      <c r="J219" s="38">
        <v>72</v>
      </c>
      <c r="K219" s="38" t="s">
        <v>3938</v>
      </c>
      <c r="L219" s="38">
        <v>479635</v>
      </c>
    </row>
    <row r="220" spans="1:12">
      <c r="A220" s="38" t="s">
        <v>494</v>
      </c>
      <c r="B220" s="38" t="s">
        <v>495</v>
      </c>
      <c r="C220" s="38">
        <v>34</v>
      </c>
      <c r="D220" s="38">
        <v>21</v>
      </c>
      <c r="E220" s="38">
        <v>3</v>
      </c>
      <c r="F220" s="38">
        <v>7</v>
      </c>
      <c r="G220" s="38">
        <v>0</v>
      </c>
      <c r="H220" s="38">
        <v>0</v>
      </c>
      <c r="I220" s="38">
        <v>2</v>
      </c>
      <c r="J220" s="38">
        <v>67</v>
      </c>
      <c r="K220" s="38" t="s">
        <v>3938</v>
      </c>
      <c r="L220" s="38">
        <v>250098</v>
      </c>
    </row>
    <row r="221" spans="1:12">
      <c r="A221" s="38" t="s">
        <v>496</v>
      </c>
      <c r="B221" s="38" t="s">
        <v>497</v>
      </c>
      <c r="C221" s="38">
        <v>0</v>
      </c>
      <c r="D221" s="38">
        <v>27</v>
      </c>
      <c r="E221" s="38">
        <v>3</v>
      </c>
      <c r="F221" s="38">
        <v>0</v>
      </c>
      <c r="G221" s="38">
        <v>0</v>
      </c>
      <c r="H221" s="38">
        <v>0</v>
      </c>
      <c r="I221" s="38">
        <v>9</v>
      </c>
      <c r="J221" s="38">
        <v>39</v>
      </c>
      <c r="K221" s="38" t="s">
        <v>3939</v>
      </c>
      <c r="L221" s="38">
        <v>103792</v>
      </c>
    </row>
    <row r="222" spans="1:12">
      <c r="A222" s="38" t="s">
        <v>498</v>
      </c>
      <c r="B222" s="38" t="s">
        <v>499</v>
      </c>
      <c r="C222" s="38">
        <v>2</v>
      </c>
      <c r="D222" s="38">
        <v>50</v>
      </c>
      <c r="E222" s="38">
        <v>0</v>
      </c>
      <c r="F222" s="38">
        <v>3</v>
      </c>
      <c r="G222" s="38">
        <v>0</v>
      </c>
      <c r="H222" s="38">
        <v>0</v>
      </c>
      <c r="I222" s="38">
        <v>0</v>
      </c>
      <c r="J222" s="38">
        <v>55</v>
      </c>
      <c r="K222" s="38" t="s">
        <v>3939</v>
      </c>
      <c r="L222" s="38">
        <v>228936</v>
      </c>
    </row>
    <row r="223" spans="1:12">
      <c r="A223" s="38" t="s">
        <v>3917</v>
      </c>
      <c r="B223" s="38" t="s">
        <v>3918</v>
      </c>
      <c r="C223" s="38">
        <v>37</v>
      </c>
      <c r="D223" s="38">
        <v>15</v>
      </c>
      <c r="E223" s="38">
        <v>1</v>
      </c>
      <c r="F223" s="38">
        <v>13</v>
      </c>
      <c r="G223" s="38">
        <v>0</v>
      </c>
      <c r="H223" s="38">
        <v>0</v>
      </c>
      <c r="I223" s="38">
        <v>0</v>
      </c>
      <c r="J223" s="38">
        <v>66</v>
      </c>
      <c r="K223" s="38" t="s">
        <v>3938</v>
      </c>
      <c r="L223" s="38">
        <v>626256</v>
      </c>
    </row>
    <row r="224" spans="1:12">
      <c r="A224" s="38" t="s">
        <v>500</v>
      </c>
      <c r="B224" s="38" t="s">
        <v>501</v>
      </c>
      <c r="C224" s="38">
        <v>24</v>
      </c>
      <c r="D224" s="38">
        <v>7</v>
      </c>
      <c r="E224" s="38">
        <v>0</v>
      </c>
      <c r="F224" s="38">
        <v>2</v>
      </c>
      <c r="G224" s="38">
        <v>0</v>
      </c>
      <c r="H224" s="38">
        <v>0</v>
      </c>
      <c r="I224" s="38">
        <v>1</v>
      </c>
      <c r="J224" s="38">
        <v>34</v>
      </c>
      <c r="K224" s="38" t="s">
        <v>3938</v>
      </c>
      <c r="L224" s="38">
        <v>99884</v>
      </c>
    </row>
    <row r="225" spans="1:12">
      <c r="A225" s="38" t="s">
        <v>502</v>
      </c>
      <c r="B225" s="38" t="s">
        <v>503</v>
      </c>
      <c r="C225" s="38">
        <v>2</v>
      </c>
      <c r="D225" s="38">
        <v>0</v>
      </c>
      <c r="E225" s="38">
        <v>24</v>
      </c>
      <c r="F225" s="38">
        <v>0</v>
      </c>
      <c r="G225" s="38">
        <v>0</v>
      </c>
      <c r="H225" s="38">
        <v>0</v>
      </c>
      <c r="I225" s="38">
        <v>0</v>
      </c>
      <c r="J225" s="38">
        <v>26</v>
      </c>
      <c r="K225" s="38" t="s">
        <v>3940</v>
      </c>
      <c r="L225" s="38">
        <v>44153</v>
      </c>
    </row>
    <row r="226" spans="1:12">
      <c r="A226" s="38" t="s">
        <v>504</v>
      </c>
      <c r="B226" s="38" t="s">
        <v>505</v>
      </c>
      <c r="C226" s="38">
        <v>8</v>
      </c>
      <c r="D226" s="38">
        <v>40</v>
      </c>
      <c r="E226" s="38">
        <v>7</v>
      </c>
      <c r="F226" s="38">
        <v>5</v>
      </c>
      <c r="G226" s="38">
        <v>0</v>
      </c>
      <c r="H226" s="38">
        <v>0</v>
      </c>
      <c r="I226" s="38">
        <v>0</v>
      </c>
      <c r="J226" s="38">
        <v>60</v>
      </c>
      <c r="K226" s="38" t="s">
        <v>3939</v>
      </c>
      <c r="L226" s="38">
        <v>166811</v>
      </c>
    </row>
    <row r="227" spans="1:12">
      <c r="A227" s="38" t="s">
        <v>506</v>
      </c>
      <c r="B227" s="38" t="s">
        <v>507</v>
      </c>
      <c r="C227" s="38">
        <v>0</v>
      </c>
      <c r="D227" s="38">
        <v>34</v>
      </c>
      <c r="E227" s="38">
        <v>9</v>
      </c>
      <c r="F227" s="38">
        <v>2</v>
      </c>
      <c r="G227" s="38">
        <v>0</v>
      </c>
      <c r="H227" s="38">
        <v>0</v>
      </c>
      <c r="I227" s="38">
        <v>3</v>
      </c>
      <c r="J227" s="38">
        <v>48</v>
      </c>
      <c r="K227" s="38" t="s">
        <v>3939</v>
      </c>
      <c r="L227" s="38">
        <v>109946</v>
      </c>
    </row>
    <row r="228" spans="1:12">
      <c r="A228" s="38" t="s">
        <v>3919</v>
      </c>
      <c r="B228" s="38" t="s">
        <v>3920</v>
      </c>
      <c r="C228" s="38">
        <v>22</v>
      </c>
      <c r="D228" s="38">
        <v>15</v>
      </c>
      <c r="E228" s="38">
        <v>21</v>
      </c>
      <c r="F228" s="38">
        <v>2</v>
      </c>
      <c r="G228" s="38">
        <v>0</v>
      </c>
      <c r="H228" s="38">
        <v>0</v>
      </c>
      <c r="I228" s="38">
        <v>3</v>
      </c>
      <c r="J228" s="38">
        <v>63</v>
      </c>
      <c r="K228" s="38" t="s">
        <v>3948</v>
      </c>
      <c r="L228" s="38">
        <v>524186</v>
      </c>
    </row>
    <row r="229" spans="1:12">
      <c r="A229" s="38" t="s">
        <v>3978</v>
      </c>
      <c r="B229" s="38" t="s">
        <v>3979</v>
      </c>
      <c r="C229" s="38">
        <v>11</v>
      </c>
      <c r="D229" s="38">
        <v>7</v>
      </c>
      <c r="E229" s="38">
        <v>1</v>
      </c>
      <c r="F229" s="38">
        <v>35</v>
      </c>
      <c r="G229" s="38">
        <v>6</v>
      </c>
      <c r="H229" s="38">
        <v>0</v>
      </c>
      <c r="I229" s="38">
        <v>0</v>
      </c>
      <c r="J229" s="38">
        <v>60</v>
      </c>
      <c r="K229" s="38" t="s">
        <v>3941</v>
      </c>
      <c r="L229" s="38">
        <v>95419</v>
      </c>
    </row>
    <row r="230" spans="1:12">
      <c r="A230" s="38" t="s">
        <v>508</v>
      </c>
      <c r="B230" s="38" t="s">
        <v>509</v>
      </c>
      <c r="C230" s="38">
        <v>18</v>
      </c>
      <c r="D230" s="38">
        <v>10</v>
      </c>
      <c r="E230" s="38">
        <v>5</v>
      </c>
      <c r="F230" s="38">
        <v>0</v>
      </c>
      <c r="G230" s="38">
        <v>0</v>
      </c>
      <c r="H230" s="38">
        <v>0</v>
      </c>
      <c r="I230" s="38">
        <v>0</v>
      </c>
      <c r="J230" s="38">
        <v>33</v>
      </c>
      <c r="K230" s="38" t="s">
        <v>3938</v>
      </c>
      <c r="L230" s="38">
        <v>68591</v>
      </c>
    </row>
    <row r="231" spans="1:12">
      <c r="A231" s="38" t="s">
        <v>510</v>
      </c>
      <c r="B231" s="38" t="s">
        <v>511</v>
      </c>
      <c r="C231" s="38">
        <v>29</v>
      </c>
      <c r="D231" s="38">
        <v>15</v>
      </c>
      <c r="E231" s="38">
        <v>8</v>
      </c>
      <c r="F231" s="38">
        <v>5</v>
      </c>
      <c r="G231" s="38">
        <v>0</v>
      </c>
      <c r="H231" s="38">
        <v>0</v>
      </c>
      <c r="I231" s="38">
        <v>3</v>
      </c>
      <c r="J231" s="38">
        <v>60</v>
      </c>
      <c r="K231" s="38" t="s">
        <v>3948</v>
      </c>
      <c r="L231" s="38">
        <v>145396</v>
      </c>
    </row>
    <row r="232" spans="1:12">
      <c r="A232" s="38" t="s">
        <v>512</v>
      </c>
      <c r="B232" s="38" t="s">
        <v>513</v>
      </c>
      <c r="C232" s="38">
        <v>25</v>
      </c>
      <c r="D232" s="38">
        <v>24</v>
      </c>
      <c r="E232" s="38">
        <v>0</v>
      </c>
      <c r="F232" s="38">
        <v>8</v>
      </c>
      <c r="G232" s="38">
        <v>0</v>
      </c>
      <c r="H232" s="38">
        <v>0</v>
      </c>
      <c r="I232" s="38">
        <v>0</v>
      </c>
      <c r="J232" s="38">
        <v>57</v>
      </c>
      <c r="K232" s="38" t="s">
        <v>3948</v>
      </c>
      <c r="L232" s="38">
        <v>196007</v>
      </c>
    </row>
    <row r="233" spans="1:12">
      <c r="A233" s="38" t="s">
        <v>514</v>
      </c>
      <c r="B233" s="38" t="s">
        <v>515</v>
      </c>
      <c r="C233" s="38">
        <v>16</v>
      </c>
      <c r="D233" s="38">
        <v>7</v>
      </c>
      <c r="E233" s="38">
        <v>15</v>
      </c>
      <c r="F233" s="38">
        <v>4</v>
      </c>
      <c r="G233" s="38">
        <v>0</v>
      </c>
      <c r="H233" s="38">
        <v>0</v>
      </c>
      <c r="I233" s="38">
        <v>0</v>
      </c>
      <c r="J233" s="38">
        <v>42</v>
      </c>
      <c r="K233" s="38" t="s">
        <v>3948</v>
      </c>
      <c r="L233" s="38">
        <v>154097</v>
      </c>
    </row>
    <row r="234" spans="1:12">
      <c r="A234" s="38" t="s">
        <v>3980</v>
      </c>
      <c r="B234" s="38" t="s">
        <v>3981</v>
      </c>
      <c r="C234" s="38">
        <v>18</v>
      </c>
      <c r="D234" s="38">
        <v>8</v>
      </c>
      <c r="E234" s="38">
        <v>14</v>
      </c>
      <c r="F234" s="38">
        <v>30</v>
      </c>
      <c r="G234" s="38">
        <v>2</v>
      </c>
      <c r="H234" s="38">
        <v>0</v>
      </c>
      <c r="I234" s="38">
        <v>1</v>
      </c>
      <c r="J234" s="38">
        <v>73</v>
      </c>
      <c r="K234" s="38" t="s">
        <v>3948</v>
      </c>
      <c r="L234" s="38">
        <v>104815</v>
      </c>
    </row>
    <row r="235" spans="1:12">
      <c r="A235" s="38" t="s">
        <v>516</v>
      </c>
      <c r="B235" s="38" t="s">
        <v>517</v>
      </c>
      <c r="C235" s="38">
        <v>11</v>
      </c>
      <c r="D235" s="38">
        <v>30</v>
      </c>
      <c r="E235" s="38">
        <v>7</v>
      </c>
      <c r="F235" s="38">
        <v>0</v>
      </c>
      <c r="G235" s="38">
        <v>0</v>
      </c>
      <c r="H235" s="38">
        <v>0</v>
      </c>
      <c r="I235" s="38">
        <v>0</v>
      </c>
      <c r="J235" s="38">
        <v>48</v>
      </c>
      <c r="K235" s="38" t="s">
        <v>3939</v>
      </c>
      <c r="L235" s="38">
        <v>100693</v>
      </c>
    </row>
    <row r="236" spans="1:12">
      <c r="A236" s="38" t="s">
        <v>518</v>
      </c>
      <c r="B236" s="38" t="s">
        <v>519</v>
      </c>
      <c r="C236" s="38">
        <v>10</v>
      </c>
      <c r="D236" s="38">
        <v>29</v>
      </c>
      <c r="E236" s="38">
        <v>2</v>
      </c>
      <c r="F236" s="38">
        <v>0</v>
      </c>
      <c r="G236" s="38">
        <v>0</v>
      </c>
      <c r="H236" s="38">
        <v>0</v>
      </c>
      <c r="I236" s="38">
        <v>5</v>
      </c>
      <c r="J236" s="38">
        <v>46</v>
      </c>
      <c r="K236" s="38" t="s">
        <v>3939</v>
      </c>
      <c r="L236" s="38">
        <v>119323</v>
      </c>
    </row>
    <row r="237" spans="1:12">
      <c r="A237" s="38" t="s">
        <v>520</v>
      </c>
      <c r="B237" s="38" t="s">
        <v>521</v>
      </c>
      <c r="C237" s="38">
        <v>11</v>
      </c>
      <c r="D237" s="38">
        <v>51</v>
      </c>
      <c r="E237" s="38">
        <v>0</v>
      </c>
      <c r="F237" s="38">
        <v>1</v>
      </c>
      <c r="G237" s="38">
        <v>0</v>
      </c>
      <c r="H237" s="38">
        <v>0</v>
      </c>
      <c r="I237" s="38">
        <v>0</v>
      </c>
      <c r="J237" s="38">
        <v>63</v>
      </c>
      <c r="K237" s="38" t="s">
        <v>3939</v>
      </c>
      <c r="L237" s="38">
        <v>211432</v>
      </c>
    </row>
    <row r="238" spans="1:12">
      <c r="A238" s="38" t="s">
        <v>522</v>
      </c>
      <c r="B238" s="38" t="s">
        <v>523</v>
      </c>
      <c r="C238" s="38">
        <v>9</v>
      </c>
      <c r="D238" s="38">
        <v>15</v>
      </c>
      <c r="E238" s="38">
        <v>13</v>
      </c>
      <c r="F238" s="38">
        <v>22</v>
      </c>
      <c r="G238" s="38">
        <v>0</v>
      </c>
      <c r="H238" s="38">
        <v>0</v>
      </c>
      <c r="I238" s="38">
        <v>0</v>
      </c>
      <c r="J238" s="38">
        <v>59</v>
      </c>
      <c r="K238" s="38" t="s">
        <v>3948</v>
      </c>
      <c r="L238" s="38">
        <v>105140</v>
      </c>
    </row>
    <row r="239" spans="1:12">
      <c r="A239" s="38" t="s">
        <v>524</v>
      </c>
      <c r="B239" s="38" t="s">
        <v>525</v>
      </c>
      <c r="C239" s="38">
        <v>25</v>
      </c>
      <c r="D239" s="38">
        <v>4</v>
      </c>
      <c r="E239" s="38">
        <v>0</v>
      </c>
      <c r="F239" s="38">
        <v>0</v>
      </c>
      <c r="G239" s="38">
        <v>0</v>
      </c>
      <c r="H239" s="38">
        <v>0</v>
      </c>
      <c r="I239" s="38">
        <v>0</v>
      </c>
      <c r="J239" s="38">
        <v>29</v>
      </c>
      <c r="K239" s="38" t="s">
        <v>3938</v>
      </c>
      <c r="L239" s="38">
        <v>63710</v>
      </c>
    </row>
    <row r="240" spans="1:12">
      <c r="A240" s="38" t="s">
        <v>526</v>
      </c>
      <c r="B240" s="38" t="s">
        <v>527</v>
      </c>
      <c r="C240" s="38">
        <v>28</v>
      </c>
      <c r="D240" s="38">
        <v>0</v>
      </c>
      <c r="E240" s="38">
        <v>3</v>
      </c>
      <c r="F240" s="38">
        <v>7</v>
      </c>
      <c r="G240" s="38">
        <v>0</v>
      </c>
      <c r="H240" s="38">
        <v>0</v>
      </c>
      <c r="I240" s="38">
        <v>7</v>
      </c>
      <c r="J240" s="38">
        <v>45</v>
      </c>
      <c r="K240" s="38" t="s">
        <v>3938</v>
      </c>
      <c r="L240" s="38">
        <v>108716</v>
      </c>
    </row>
    <row r="241" spans="1:12">
      <c r="A241" s="38" t="s">
        <v>3982</v>
      </c>
      <c r="B241" s="38" t="s">
        <v>3983</v>
      </c>
      <c r="C241" s="38">
        <v>3</v>
      </c>
      <c r="D241" s="38">
        <v>48</v>
      </c>
      <c r="E241" s="38">
        <v>0</v>
      </c>
      <c r="F241" s="38">
        <v>7</v>
      </c>
      <c r="G241" s="38">
        <v>17</v>
      </c>
      <c r="H241" s="38">
        <v>0</v>
      </c>
      <c r="I241" s="38">
        <v>0</v>
      </c>
      <c r="J241" s="38">
        <v>75</v>
      </c>
      <c r="K241" s="38" t="s">
        <v>3939</v>
      </c>
      <c r="L241" s="38">
        <v>175497</v>
      </c>
    </row>
    <row r="242" spans="1:12">
      <c r="A242" s="38" t="s">
        <v>528</v>
      </c>
      <c r="B242" s="38" t="s">
        <v>529</v>
      </c>
      <c r="C242" s="38">
        <v>28</v>
      </c>
      <c r="D242" s="38">
        <v>0</v>
      </c>
      <c r="E242" s="38">
        <v>10</v>
      </c>
      <c r="F242" s="38">
        <v>2</v>
      </c>
      <c r="G242" s="38">
        <v>0</v>
      </c>
      <c r="H242" s="38">
        <v>0</v>
      </c>
      <c r="I242" s="38">
        <v>0</v>
      </c>
      <c r="J242" s="38">
        <v>40</v>
      </c>
      <c r="K242" s="38" t="s">
        <v>3938</v>
      </c>
      <c r="L242" s="38">
        <v>48899</v>
      </c>
    </row>
    <row r="243" spans="1:12">
      <c r="A243" s="38" t="s">
        <v>530</v>
      </c>
      <c r="B243" s="38" t="s">
        <v>531</v>
      </c>
      <c r="C243" s="38">
        <v>11</v>
      </c>
      <c r="D243" s="38">
        <v>0</v>
      </c>
      <c r="E243" s="38">
        <v>40</v>
      </c>
      <c r="F243" s="38">
        <v>0</v>
      </c>
      <c r="G243" s="38">
        <v>0</v>
      </c>
      <c r="H243" s="38">
        <v>0</v>
      </c>
      <c r="I243" s="38">
        <v>3</v>
      </c>
      <c r="J243" s="38">
        <v>54</v>
      </c>
      <c r="K243" s="38" t="s">
        <v>3940</v>
      </c>
      <c r="L243" s="38">
        <v>145724</v>
      </c>
    </row>
    <row r="244" spans="1:12">
      <c r="A244" s="38" t="s">
        <v>532</v>
      </c>
      <c r="B244" s="38" t="s">
        <v>533</v>
      </c>
      <c r="C244" s="38">
        <v>9</v>
      </c>
      <c r="D244" s="38">
        <v>0</v>
      </c>
      <c r="E244" s="38">
        <v>3</v>
      </c>
      <c r="F244" s="38">
        <v>10</v>
      </c>
      <c r="G244" s="38">
        <v>0</v>
      </c>
      <c r="H244" s="38">
        <v>0</v>
      </c>
      <c r="I244" s="38">
        <v>2</v>
      </c>
      <c r="J244" s="38">
        <v>24</v>
      </c>
      <c r="K244" s="38" t="s">
        <v>3948</v>
      </c>
      <c r="L244" s="38">
        <v>37656</v>
      </c>
    </row>
    <row r="245" spans="1:12">
      <c r="A245" s="38" t="s">
        <v>534</v>
      </c>
      <c r="B245" s="38" t="s">
        <v>535</v>
      </c>
      <c r="C245" s="38">
        <v>9</v>
      </c>
      <c r="D245" s="38">
        <v>45</v>
      </c>
      <c r="E245" s="38">
        <v>3</v>
      </c>
      <c r="F245" s="38">
        <v>3</v>
      </c>
      <c r="G245" s="38">
        <v>0</v>
      </c>
      <c r="H245" s="38">
        <v>0</v>
      </c>
      <c r="I245" s="38">
        <v>0</v>
      </c>
      <c r="J245" s="38">
        <v>60</v>
      </c>
      <c r="K245" s="38" t="s">
        <v>3939</v>
      </c>
      <c r="L245" s="38">
        <v>166447</v>
      </c>
    </row>
    <row r="246" spans="1:12">
      <c r="A246" s="38" t="s">
        <v>536</v>
      </c>
      <c r="B246" s="38" t="s">
        <v>537</v>
      </c>
      <c r="C246" s="38">
        <v>27</v>
      </c>
      <c r="D246" s="38">
        <v>0</v>
      </c>
      <c r="E246" s="38">
        <v>3</v>
      </c>
      <c r="F246" s="38">
        <v>8</v>
      </c>
      <c r="G246" s="38">
        <v>0</v>
      </c>
      <c r="H246" s="38">
        <v>0</v>
      </c>
      <c r="I246" s="38">
        <v>1</v>
      </c>
      <c r="J246" s="38">
        <v>39</v>
      </c>
      <c r="K246" s="38" t="s">
        <v>3938</v>
      </c>
      <c r="L246" s="38">
        <v>67457</v>
      </c>
    </row>
    <row r="247" spans="1:12">
      <c r="A247" s="38" t="s">
        <v>538</v>
      </c>
      <c r="B247" s="38" t="s">
        <v>539</v>
      </c>
      <c r="C247" s="38">
        <v>16</v>
      </c>
      <c r="D247" s="38">
        <v>17</v>
      </c>
      <c r="E247" s="38">
        <v>0</v>
      </c>
      <c r="F247" s="38">
        <v>3</v>
      </c>
      <c r="G247" s="38">
        <v>0</v>
      </c>
      <c r="H247" s="38">
        <v>0</v>
      </c>
      <c r="I247" s="38">
        <v>0</v>
      </c>
      <c r="J247" s="38">
        <v>36</v>
      </c>
      <c r="K247" s="38" t="s">
        <v>3948</v>
      </c>
      <c r="L247" s="38">
        <v>52462</v>
      </c>
    </row>
    <row r="248" spans="1:12">
      <c r="A248" s="38" t="s">
        <v>540</v>
      </c>
      <c r="B248" s="38" t="s">
        <v>541</v>
      </c>
      <c r="C248" s="38">
        <v>14</v>
      </c>
      <c r="D248" s="38">
        <v>3</v>
      </c>
      <c r="E248" s="38">
        <v>7</v>
      </c>
      <c r="F248" s="38">
        <v>13</v>
      </c>
      <c r="G248" s="38">
        <v>0</v>
      </c>
      <c r="H248" s="38">
        <v>0</v>
      </c>
      <c r="I248" s="38">
        <v>1</v>
      </c>
      <c r="J248" s="38">
        <v>38</v>
      </c>
      <c r="K248" s="38" t="s">
        <v>3948</v>
      </c>
      <c r="L248" s="38">
        <v>75023</v>
      </c>
    </row>
    <row r="249" spans="1:12">
      <c r="A249" s="38" t="s">
        <v>542</v>
      </c>
      <c r="B249" s="38" t="s">
        <v>543</v>
      </c>
      <c r="C249" s="38">
        <v>20</v>
      </c>
      <c r="D249" s="38">
        <v>32</v>
      </c>
      <c r="E249" s="38">
        <v>3</v>
      </c>
      <c r="F249" s="38">
        <v>4</v>
      </c>
      <c r="G249" s="38">
        <v>0</v>
      </c>
      <c r="H249" s="38">
        <v>0</v>
      </c>
      <c r="I249" s="38">
        <v>0</v>
      </c>
      <c r="J249" s="38">
        <v>59</v>
      </c>
      <c r="K249" s="38" t="s">
        <v>3939</v>
      </c>
      <c r="L249" s="38">
        <v>198007</v>
      </c>
    </row>
    <row r="250" spans="1:12">
      <c r="A250" s="38" t="s">
        <v>544</v>
      </c>
      <c r="B250" s="38" t="s">
        <v>545</v>
      </c>
      <c r="C250" s="38">
        <v>25</v>
      </c>
      <c r="D250" s="38">
        <v>8</v>
      </c>
      <c r="E250" s="38">
        <v>9</v>
      </c>
      <c r="F250" s="38">
        <v>0</v>
      </c>
      <c r="G250" s="38">
        <v>0</v>
      </c>
      <c r="H250" s="38">
        <v>0</v>
      </c>
      <c r="I250" s="38">
        <v>0</v>
      </c>
      <c r="J250" s="38">
        <v>42</v>
      </c>
      <c r="K250" s="38" t="s">
        <v>3938</v>
      </c>
      <c r="L250" s="38">
        <v>82160</v>
      </c>
    </row>
    <row r="251" spans="1:12">
      <c r="A251" s="38" t="s">
        <v>546</v>
      </c>
      <c r="B251" s="38" t="s">
        <v>547</v>
      </c>
      <c r="C251" s="38">
        <v>26</v>
      </c>
      <c r="D251" s="38">
        <v>1</v>
      </c>
      <c r="E251" s="38">
        <v>3</v>
      </c>
      <c r="F251" s="38">
        <v>11</v>
      </c>
      <c r="G251" s="38">
        <v>0</v>
      </c>
      <c r="H251" s="38">
        <v>0</v>
      </c>
      <c r="I251" s="38">
        <v>0</v>
      </c>
      <c r="J251" s="38">
        <v>41</v>
      </c>
      <c r="K251" s="38" t="s">
        <v>3938</v>
      </c>
      <c r="L251" s="38">
        <v>63933</v>
      </c>
    </row>
    <row r="252" spans="1:12">
      <c r="A252" s="38" t="s">
        <v>548</v>
      </c>
      <c r="B252" s="38" t="s">
        <v>549</v>
      </c>
      <c r="C252" s="38">
        <v>29</v>
      </c>
      <c r="D252" s="38">
        <v>7</v>
      </c>
      <c r="E252" s="38">
        <v>3</v>
      </c>
      <c r="F252" s="38">
        <v>3</v>
      </c>
      <c r="G252" s="38">
        <v>0</v>
      </c>
      <c r="H252" s="38">
        <v>0</v>
      </c>
      <c r="I252" s="38">
        <v>2</v>
      </c>
      <c r="J252" s="38">
        <v>44</v>
      </c>
      <c r="K252" s="38" t="s">
        <v>3938</v>
      </c>
      <c r="L252" s="38">
        <v>90821</v>
      </c>
    </row>
    <row r="253" spans="1:12">
      <c r="A253" s="38" t="s">
        <v>550</v>
      </c>
      <c r="B253" s="38" t="s">
        <v>551</v>
      </c>
      <c r="C253" s="38">
        <v>29</v>
      </c>
      <c r="D253" s="38">
        <v>9</v>
      </c>
      <c r="E253" s="38">
        <v>1</v>
      </c>
      <c r="F253" s="38">
        <v>0</v>
      </c>
      <c r="G253" s="38">
        <v>0</v>
      </c>
      <c r="H253" s="38">
        <v>0</v>
      </c>
      <c r="I253" s="38">
        <v>0</v>
      </c>
      <c r="J253" s="38">
        <v>39</v>
      </c>
      <c r="K253" s="38" t="s">
        <v>3938</v>
      </c>
      <c r="L253" s="38">
        <v>66613</v>
      </c>
    </row>
    <row r="254" spans="1:12">
      <c r="A254" s="38" t="s">
        <v>552</v>
      </c>
      <c r="B254" s="38" t="s">
        <v>553</v>
      </c>
      <c r="C254" s="38">
        <v>16</v>
      </c>
      <c r="D254" s="38">
        <v>0</v>
      </c>
      <c r="E254" s="38">
        <v>3</v>
      </c>
      <c r="F254" s="38">
        <v>8</v>
      </c>
      <c r="G254" s="38">
        <v>0</v>
      </c>
      <c r="H254" s="38">
        <v>0</v>
      </c>
      <c r="I254" s="38">
        <v>0</v>
      </c>
      <c r="J254" s="38">
        <v>27</v>
      </c>
      <c r="K254" s="38" t="s">
        <v>3938</v>
      </c>
      <c r="L254" s="38">
        <v>30352</v>
      </c>
    </row>
    <row r="255" spans="1:12">
      <c r="A255" s="38" t="s">
        <v>554</v>
      </c>
      <c r="B255" s="38" t="s">
        <v>555</v>
      </c>
      <c r="C255" s="38">
        <v>11</v>
      </c>
      <c r="D255" s="38">
        <v>0</v>
      </c>
      <c r="E255" s="38">
        <v>2</v>
      </c>
      <c r="F255" s="38">
        <v>17</v>
      </c>
      <c r="G255" s="38">
        <v>0</v>
      </c>
      <c r="H255" s="38">
        <v>0</v>
      </c>
      <c r="I255" s="38">
        <v>0</v>
      </c>
      <c r="J255" s="38">
        <v>30</v>
      </c>
      <c r="K255" s="38" t="s">
        <v>3948</v>
      </c>
      <c r="L255" s="38">
        <v>44273</v>
      </c>
    </row>
    <row r="256" spans="1:12">
      <c r="A256" s="38" t="s">
        <v>556</v>
      </c>
      <c r="B256" s="38" t="s">
        <v>557</v>
      </c>
      <c r="C256" s="38">
        <v>7</v>
      </c>
      <c r="D256" s="38">
        <v>52</v>
      </c>
      <c r="E256" s="38">
        <v>1</v>
      </c>
      <c r="F256" s="38">
        <v>0</v>
      </c>
      <c r="G256" s="38">
        <v>0</v>
      </c>
      <c r="H256" s="38">
        <v>0</v>
      </c>
      <c r="I256" s="38">
        <v>0</v>
      </c>
      <c r="J256" s="38">
        <v>60</v>
      </c>
      <c r="K256" s="38" t="s">
        <v>3939</v>
      </c>
      <c r="L256" s="38">
        <v>185798</v>
      </c>
    </row>
    <row r="257" spans="1:12">
      <c r="A257" s="38" t="s">
        <v>558</v>
      </c>
      <c r="B257" s="38" t="s">
        <v>559</v>
      </c>
      <c r="C257" s="38">
        <v>9</v>
      </c>
      <c r="D257" s="38">
        <v>59</v>
      </c>
      <c r="E257" s="38">
        <v>0</v>
      </c>
      <c r="F257" s="38">
        <v>4</v>
      </c>
      <c r="G257" s="38">
        <v>0</v>
      </c>
      <c r="H257" s="38">
        <v>0</v>
      </c>
      <c r="I257" s="38">
        <v>0</v>
      </c>
      <c r="J257" s="38">
        <v>72</v>
      </c>
      <c r="K257" s="38" t="s">
        <v>3939</v>
      </c>
      <c r="L257" s="38">
        <v>231572</v>
      </c>
    </row>
    <row r="258" spans="1:12">
      <c r="A258" s="38" t="s">
        <v>560</v>
      </c>
      <c r="B258" s="38" t="s">
        <v>561</v>
      </c>
      <c r="C258" s="38">
        <v>13</v>
      </c>
      <c r="D258" s="38">
        <v>13</v>
      </c>
      <c r="E258" s="38">
        <v>0</v>
      </c>
      <c r="F258" s="38">
        <v>18</v>
      </c>
      <c r="G258" s="38">
        <v>0</v>
      </c>
      <c r="H258" s="38">
        <v>0</v>
      </c>
      <c r="I258" s="38">
        <v>2</v>
      </c>
      <c r="J258" s="38">
        <v>46</v>
      </c>
      <c r="K258" s="38" t="s">
        <v>3948</v>
      </c>
      <c r="L258" s="38">
        <v>84575</v>
      </c>
    </row>
    <row r="259" spans="1:12">
      <c r="A259" s="38" t="s">
        <v>562</v>
      </c>
      <c r="B259" s="38" t="s">
        <v>563</v>
      </c>
      <c r="C259" s="38">
        <v>29</v>
      </c>
      <c r="D259" s="38">
        <v>11</v>
      </c>
      <c r="E259" s="38">
        <v>7</v>
      </c>
      <c r="F259" s="38">
        <v>1</v>
      </c>
      <c r="G259" s="38">
        <v>0</v>
      </c>
      <c r="H259" s="38">
        <v>0</v>
      </c>
      <c r="I259" s="38">
        <v>0</v>
      </c>
      <c r="J259" s="38">
        <v>48</v>
      </c>
      <c r="K259" s="38" t="s">
        <v>3938</v>
      </c>
      <c r="L259" s="38">
        <v>95943</v>
      </c>
    </row>
    <row r="260" spans="1:12">
      <c r="A260" s="38" t="s">
        <v>564</v>
      </c>
      <c r="B260" s="38" t="s">
        <v>565</v>
      </c>
      <c r="C260" s="38">
        <v>8</v>
      </c>
      <c r="D260" s="38">
        <v>48</v>
      </c>
      <c r="E260" s="38">
        <v>8</v>
      </c>
      <c r="F260" s="38">
        <v>2</v>
      </c>
      <c r="G260" s="38">
        <v>0</v>
      </c>
      <c r="H260" s="38">
        <v>0</v>
      </c>
      <c r="I260" s="38">
        <v>0</v>
      </c>
      <c r="J260" s="38">
        <v>66</v>
      </c>
      <c r="K260" s="38" t="s">
        <v>3939</v>
      </c>
      <c r="L260" s="38">
        <v>219036</v>
      </c>
    </row>
    <row r="261" spans="1:12">
      <c r="A261" s="38" t="s">
        <v>566</v>
      </c>
      <c r="B261" s="38" t="s">
        <v>567</v>
      </c>
      <c r="C261" s="38">
        <v>19</v>
      </c>
      <c r="D261" s="38">
        <v>8</v>
      </c>
      <c r="E261" s="38">
        <v>0</v>
      </c>
      <c r="F261" s="38">
        <v>4</v>
      </c>
      <c r="G261" s="38">
        <v>0</v>
      </c>
      <c r="H261" s="38">
        <v>0</v>
      </c>
      <c r="I261" s="38">
        <v>0</v>
      </c>
      <c r="J261" s="38">
        <v>31</v>
      </c>
      <c r="K261" s="38" t="s">
        <v>3938</v>
      </c>
      <c r="L261" s="38">
        <v>69876</v>
      </c>
    </row>
    <row r="262" spans="1:12">
      <c r="A262" s="38" t="s">
        <v>568</v>
      </c>
      <c r="B262" s="38" t="s">
        <v>569</v>
      </c>
      <c r="C262" s="38">
        <v>46</v>
      </c>
      <c r="D262" s="38">
        <v>1</v>
      </c>
      <c r="E262" s="38">
        <v>3</v>
      </c>
      <c r="F262" s="38">
        <v>4</v>
      </c>
      <c r="G262" s="38">
        <v>0</v>
      </c>
      <c r="H262" s="38">
        <v>0</v>
      </c>
      <c r="I262" s="38">
        <v>0</v>
      </c>
      <c r="J262" s="38">
        <v>54</v>
      </c>
      <c r="K262" s="38" t="s">
        <v>3938</v>
      </c>
      <c r="L262" s="38">
        <v>91162</v>
      </c>
    </row>
    <row r="263" spans="1:12">
      <c r="A263" s="38" t="s">
        <v>570</v>
      </c>
      <c r="B263" s="38" t="s">
        <v>571</v>
      </c>
      <c r="C263" s="38">
        <v>1</v>
      </c>
      <c r="D263" s="38">
        <v>41</v>
      </c>
      <c r="E263" s="38">
        <v>29</v>
      </c>
      <c r="F263" s="38">
        <v>0</v>
      </c>
      <c r="G263" s="38">
        <v>0</v>
      </c>
      <c r="H263" s="38">
        <v>0</v>
      </c>
      <c r="I263" s="38">
        <v>13</v>
      </c>
      <c r="J263" s="38">
        <v>84</v>
      </c>
      <c r="K263" s="38" t="s">
        <v>3948</v>
      </c>
      <c r="L263" s="38">
        <v>422517</v>
      </c>
    </row>
    <row r="264" spans="1:12">
      <c r="A264" s="38" t="s">
        <v>572</v>
      </c>
      <c r="B264" s="38" t="s">
        <v>573</v>
      </c>
      <c r="C264" s="38">
        <v>43</v>
      </c>
      <c r="D264" s="38">
        <v>9</v>
      </c>
      <c r="E264" s="38">
        <v>14</v>
      </c>
      <c r="F264" s="38">
        <v>4</v>
      </c>
      <c r="G264" s="38">
        <v>0</v>
      </c>
      <c r="H264" s="38">
        <v>0</v>
      </c>
      <c r="I264" s="38">
        <v>4</v>
      </c>
      <c r="J264" s="38">
        <v>74</v>
      </c>
      <c r="K264" s="38" t="s">
        <v>3938</v>
      </c>
      <c r="L264" s="38">
        <v>251652</v>
      </c>
    </row>
    <row r="265" spans="1:12">
      <c r="A265" s="38" t="s">
        <v>574</v>
      </c>
      <c r="B265" s="38" t="s">
        <v>575</v>
      </c>
      <c r="C265" s="38">
        <v>5</v>
      </c>
      <c r="D265" s="38">
        <v>34</v>
      </c>
      <c r="E265" s="38">
        <v>0</v>
      </c>
      <c r="F265" s="38">
        <v>3</v>
      </c>
      <c r="G265" s="38">
        <v>0</v>
      </c>
      <c r="H265" s="38">
        <v>0</v>
      </c>
      <c r="I265" s="38">
        <v>0</v>
      </c>
      <c r="J265" s="38">
        <v>42</v>
      </c>
      <c r="K265" s="38" t="s">
        <v>3939</v>
      </c>
      <c r="L265" s="38">
        <v>100108</v>
      </c>
    </row>
    <row r="266" spans="1:12">
      <c r="A266" s="38" t="s">
        <v>576</v>
      </c>
      <c r="B266" s="38" t="s">
        <v>577</v>
      </c>
      <c r="C266" s="38">
        <v>30</v>
      </c>
      <c r="D266" s="38">
        <v>2</v>
      </c>
      <c r="E266" s="38">
        <v>3</v>
      </c>
      <c r="F266" s="38">
        <v>1</v>
      </c>
      <c r="G266" s="38">
        <v>0</v>
      </c>
      <c r="H266" s="38">
        <v>0</v>
      </c>
      <c r="I266" s="38">
        <v>15</v>
      </c>
      <c r="J266" s="38">
        <v>51</v>
      </c>
      <c r="K266" s="38" t="s">
        <v>3938</v>
      </c>
      <c r="L266" s="38">
        <v>164373</v>
      </c>
    </row>
    <row r="267" spans="1:12">
      <c r="A267" s="38" t="s">
        <v>3921</v>
      </c>
      <c r="B267" s="38" t="s">
        <v>3922</v>
      </c>
      <c r="C267" s="38">
        <v>33</v>
      </c>
      <c r="D267" s="38">
        <v>3</v>
      </c>
      <c r="E267" s="38">
        <v>14</v>
      </c>
      <c r="F267" s="38">
        <v>3</v>
      </c>
      <c r="G267" s="38">
        <v>0</v>
      </c>
      <c r="H267" s="38">
        <v>0</v>
      </c>
      <c r="I267" s="38">
        <v>2</v>
      </c>
      <c r="J267" s="38">
        <v>55</v>
      </c>
      <c r="K267" s="38" t="s">
        <v>3938</v>
      </c>
      <c r="L267" s="38">
        <v>435464</v>
      </c>
    </row>
    <row r="268" spans="1:12">
      <c r="A268" s="38" t="s">
        <v>578</v>
      </c>
      <c r="B268" s="38" t="s">
        <v>579</v>
      </c>
      <c r="C268" s="38">
        <v>10</v>
      </c>
      <c r="D268" s="38">
        <v>3</v>
      </c>
      <c r="E268" s="38">
        <v>31</v>
      </c>
      <c r="F268" s="38">
        <v>13</v>
      </c>
      <c r="G268" s="38">
        <v>0</v>
      </c>
      <c r="H268" s="38">
        <v>0</v>
      </c>
      <c r="I268" s="38">
        <v>2</v>
      </c>
      <c r="J268" s="38">
        <v>59</v>
      </c>
      <c r="K268" s="38" t="s">
        <v>3940</v>
      </c>
      <c r="L268" s="38">
        <v>117821</v>
      </c>
    </row>
    <row r="269" spans="1:12">
      <c r="A269" s="38" t="s">
        <v>580</v>
      </c>
      <c r="B269" s="38" t="s">
        <v>581</v>
      </c>
      <c r="C269" s="38">
        <v>11</v>
      </c>
      <c r="D269" s="38">
        <v>2</v>
      </c>
      <c r="E269" s="38">
        <v>31</v>
      </c>
      <c r="F269" s="38">
        <v>1</v>
      </c>
      <c r="G269" s="38">
        <v>0</v>
      </c>
      <c r="H269" s="38">
        <v>0</v>
      </c>
      <c r="I269" s="38">
        <v>0</v>
      </c>
      <c r="J269" s="38">
        <v>45</v>
      </c>
      <c r="K269" s="38" t="s">
        <v>3940</v>
      </c>
      <c r="L269" s="38">
        <v>122643</v>
      </c>
    </row>
    <row r="270" spans="1:12">
      <c r="A270" s="38" t="s">
        <v>582</v>
      </c>
      <c r="B270" s="38" t="s">
        <v>583</v>
      </c>
      <c r="C270" s="38">
        <v>15</v>
      </c>
      <c r="D270" s="38">
        <v>15</v>
      </c>
      <c r="E270" s="38">
        <v>0</v>
      </c>
      <c r="F270" s="38">
        <v>6</v>
      </c>
      <c r="G270" s="38">
        <v>0</v>
      </c>
      <c r="H270" s="38">
        <v>0</v>
      </c>
      <c r="I270" s="38">
        <v>0</v>
      </c>
      <c r="J270" s="38">
        <v>36</v>
      </c>
      <c r="K270" s="38" t="s">
        <v>3948</v>
      </c>
      <c r="L270" s="38">
        <v>81514</v>
      </c>
    </row>
    <row r="271" spans="1:12">
      <c r="A271" s="38" t="s">
        <v>584</v>
      </c>
      <c r="B271" s="38" t="s">
        <v>585</v>
      </c>
      <c r="C271" s="38">
        <v>33</v>
      </c>
      <c r="D271" s="38">
        <v>11</v>
      </c>
      <c r="E271" s="38">
        <v>17</v>
      </c>
      <c r="F271" s="38">
        <v>0</v>
      </c>
      <c r="G271" s="38">
        <v>0</v>
      </c>
      <c r="H271" s="38">
        <v>0</v>
      </c>
      <c r="I271" s="38">
        <v>0</v>
      </c>
      <c r="J271" s="38">
        <v>61</v>
      </c>
      <c r="K271" s="38" t="s">
        <v>3938</v>
      </c>
      <c r="L271" s="38">
        <v>219184</v>
      </c>
    </row>
    <row r="272" spans="1:12">
      <c r="A272" s="38" t="s">
        <v>586</v>
      </c>
      <c r="B272" s="38" t="s">
        <v>587</v>
      </c>
      <c r="C272" s="38">
        <v>16</v>
      </c>
      <c r="D272" s="38">
        <v>0</v>
      </c>
      <c r="E272" s="38">
        <v>10</v>
      </c>
      <c r="F272" s="38">
        <v>2</v>
      </c>
      <c r="G272" s="38">
        <v>0</v>
      </c>
      <c r="H272" s="38">
        <v>0</v>
      </c>
      <c r="I272" s="38">
        <v>3</v>
      </c>
      <c r="J272" s="38">
        <v>31</v>
      </c>
      <c r="K272" s="38" t="s">
        <v>3938</v>
      </c>
      <c r="L272" s="38">
        <v>70081</v>
      </c>
    </row>
    <row r="273" spans="1:12">
      <c r="A273" s="38" t="s">
        <v>588</v>
      </c>
      <c r="B273" s="38" t="s">
        <v>589</v>
      </c>
      <c r="C273" s="38">
        <v>23</v>
      </c>
      <c r="D273" s="38">
        <v>0</v>
      </c>
      <c r="E273" s="38">
        <v>0</v>
      </c>
      <c r="F273" s="38">
        <v>14</v>
      </c>
      <c r="G273" s="38">
        <v>0</v>
      </c>
      <c r="H273" s="38">
        <v>0</v>
      </c>
      <c r="I273" s="38">
        <v>0</v>
      </c>
      <c r="J273" s="38">
        <v>37</v>
      </c>
      <c r="K273" s="38" t="s">
        <v>3938</v>
      </c>
      <c r="L273" s="38">
        <v>71556</v>
      </c>
    </row>
    <row r="274" spans="1:12">
      <c r="A274" s="38" t="s">
        <v>590</v>
      </c>
      <c r="B274" s="38" t="s">
        <v>591</v>
      </c>
      <c r="C274" s="38">
        <v>40</v>
      </c>
      <c r="D274" s="38">
        <v>3</v>
      </c>
      <c r="E274" s="38">
        <v>2</v>
      </c>
      <c r="F274" s="38">
        <v>11</v>
      </c>
      <c r="G274" s="38">
        <v>0</v>
      </c>
      <c r="H274" s="38">
        <v>0</v>
      </c>
      <c r="I274" s="38">
        <v>0</v>
      </c>
      <c r="J274" s="38">
        <v>56</v>
      </c>
      <c r="K274" s="38" t="s">
        <v>3938</v>
      </c>
      <c r="L274" s="38">
        <v>109624</v>
      </c>
    </row>
    <row r="275" spans="1:12">
      <c r="A275" s="38" t="s">
        <v>592</v>
      </c>
      <c r="B275" s="38" t="s">
        <v>593</v>
      </c>
      <c r="C275" s="38">
        <v>16</v>
      </c>
      <c r="D275" s="38">
        <v>3</v>
      </c>
      <c r="E275" s="38">
        <v>31</v>
      </c>
      <c r="F275" s="38">
        <v>0</v>
      </c>
      <c r="G275" s="38">
        <v>0</v>
      </c>
      <c r="H275" s="38">
        <v>0</v>
      </c>
      <c r="I275" s="38">
        <v>1</v>
      </c>
      <c r="J275" s="38">
        <v>51</v>
      </c>
      <c r="K275" s="38" t="s">
        <v>3940</v>
      </c>
      <c r="L275" s="38">
        <v>84057</v>
      </c>
    </row>
    <row r="276" spans="1:12">
      <c r="A276" s="38" t="s">
        <v>594</v>
      </c>
      <c r="B276" s="38" t="s">
        <v>595</v>
      </c>
      <c r="C276" s="38">
        <v>35</v>
      </c>
      <c r="D276" s="38">
        <v>1</v>
      </c>
      <c r="E276" s="38">
        <v>10</v>
      </c>
      <c r="F276" s="38">
        <v>0</v>
      </c>
      <c r="G276" s="38">
        <v>0</v>
      </c>
      <c r="H276" s="38">
        <v>0</v>
      </c>
      <c r="I276" s="38">
        <v>0</v>
      </c>
      <c r="J276" s="38">
        <v>46</v>
      </c>
      <c r="K276" s="38" t="s">
        <v>3938</v>
      </c>
      <c r="L276" s="38">
        <v>110893</v>
      </c>
    </row>
    <row r="277" spans="1:12">
      <c r="A277" s="4" t="s">
        <v>596</v>
      </c>
      <c r="B277" s="5" t="s">
        <v>597</v>
      </c>
      <c r="C277" s="6">
        <v>33</v>
      </c>
      <c r="D277" s="6">
        <v>0</v>
      </c>
      <c r="E277" s="6">
        <v>6</v>
      </c>
      <c r="F277" s="6">
        <v>3</v>
      </c>
      <c r="G277" s="6">
        <v>0</v>
      </c>
      <c r="H277" s="6">
        <v>0</v>
      </c>
      <c r="I277" s="6">
        <v>0</v>
      </c>
      <c r="J277" s="6">
        <v>42</v>
      </c>
      <c r="K277" s="6" t="s">
        <v>3938</v>
      </c>
      <c r="L277" s="34"/>
    </row>
    <row r="278" spans="1:12">
      <c r="A278" s="38" t="s">
        <v>598</v>
      </c>
      <c r="B278" s="38" t="s">
        <v>599</v>
      </c>
      <c r="C278" s="38">
        <v>10</v>
      </c>
      <c r="D278" s="38">
        <v>3</v>
      </c>
      <c r="E278" s="38">
        <v>13</v>
      </c>
      <c r="F278" s="38">
        <v>5</v>
      </c>
      <c r="G278" s="38">
        <v>0</v>
      </c>
      <c r="H278" s="38">
        <v>0</v>
      </c>
      <c r="I278" s="38">
        <v>5</v>
      </c>
      <c r="J278" s="38">
        <v>36</v>
      </c>
      <c r="K278" s="38" t="s">
        <v>3948</v>
      </c>
      <c r="L278" s="38">
        <v>110526</v>
      </c>
    </row>
    <row r="279" spans="1:12">
      <c r="A279" s="38" t="s">
        <v>600</v>
      </c>
      <c r="B279" s="38" t="s">
        <v>601</v>
      </c>
      <c r="C279" s="38">
        <v>22</v>
      </c>
      <c r="D279" s="38">
        <v>22</v>
      </c>
      <c r="E279" s="38">
        <v>5</v>
      </c>
      <c r="F279" s="38">
        <v>1</v>
      </c>
      <c r="G279" s="38">
        <v>0</v>
      </c>
      <c r="H279" s="38">
        <v>0</v>
      </c>
      <c r="I279" s="38">
        <v>0</v>
      </c>
      <c r="J279" s="38">
        <v>50</v>
      </c>
      <c r="K279" s="38" t="s">
        <v>3948</v>
      </c>
      <c r="L279" s="38">
        <v>86125</v>
      </c>
    </row>
    <row r="280" spans="1:12">
      <c r="A280" s="38" t="s">
        <v>602</v>
      </c>
      <c r="B280" s="38" t="s">
        <v>603</v>
      </c>
      <c r="C280" s="38">
        <v>14</v>
      </c>
      <c r="D280" s="38">
        <v>0</v>
      </c>
      <c r="E280" s="38">
        <v>40</v>
      </c>
      <c r="F280" s="38">
        <v>5</v>
      </c>
      <c r="G280" s="38">
        <v>0</v>
      </c>
      <c r="H280" s="38">
        <v>0</v>
      </c>
      <c r="I280" s="38">
        <v>1</v>
      </c>
      <c r="J280" s="38">
        <v>60</v>
      </c>
      <c r="K280" s="38" t="s">
        <v>3940</v>
      </c>
      <c r="L280" s="38">
        <v>130607</v>
      </c>
    </row>
    <row r="281" spans="1:12">
      <c r="A281" s="38" t="s">
        <v>604</v>
      </c>
      <c r="B281" s="38" t="s">
        <v>605</v>
      </c>
      <c r="C281" s="38">
        <v>37</v>
      </c>
      <c r="D281" s="38">
        <v>1</v>
      </c>
      <c r="E281" s="38">
        <v>0</v>
      </c>
      <c r="F281" s="38">
        <v>7</v>
      </c>
      <c r="G281" s="38">
        <v>0</v>
      </c>
      <c r="H281" s="38">
        <v>1</v>
      </c>
      <c r="I281" s="38">
        <v>3</v>
      </c>
      <c r="J281" s="38">
        <v>49</v>
      </c>
      <c r="K281" s="38" t="s">
        <v>3938</v>
      </c>
      <c r="L281" s="38">
        <v>85962</v>
      </c>
    </row>
    <row r="282" spans="1:12">
      <c r="A282" s="38" t="s">
        <v>606</v>
      </c>
      <c r="B282" s="38" t="s">
        <v>607</v>
      </c>
      <c r="C282" s="38">
        <v>1</v>
      </c>
      <c r="D282" s="38">
        <v>44</v>
      </c>
      <c r="E282" s="38">
        <v>0</v>
      </c>
      <c r="F282" s="38">
        <v>6</v>
      </c>
      <c r="G282" s="38">
        <v>0</v>
      </c>
      <c r="H282" s="38">
        <v>0</v>
      </c>
      <c r="I282" s="38">
        <v>3</v>
      </c>
      <c r="J282" s="38">
        <v>54</v>
      </c>
      <c r="K282" s="38" t="s">
        <v>3939</v>
      </c>
      <c r="L282" s="38">
        <v>116149</v>
      </c>
    </row>
    <row r="283" spans="1:12">
      <c r="A283" s="38" t="s">
        <v>608</v>
      </c>
      <c r="B283" s="38" t="s">
        <v>609</v>
      </c>
      <c r="C283" s="38">
        <v>25</v>
      </c>
      <c r="D283" s="38">
        <v>23</v>
      </c>
      <c r="E283" s="38">
        <v>0</v>
      </c>
      <c r="F283" s="38">
        <v>0</v>
      </c>
      <c r="G283" s="38">
        <v>0</v>
      </c>
      <c r="H283" s="38">
        <v>0</v>
      </c>
      <c r="I283" s="38">
        <v>0</v>
      </c>
      <c r="J283" s="38">
        <v>48</v>
      </c>
      <c r="K283" s="38" t="s">
        <v>3938</v>
      </c>
      <c r="L283" s="38">
        <v>176961</v>
      </c>
    </row>
    <row r="284" spans="1:12">
      <c r="A284" s="38" t="s">
        <v>610</v>
      </c>
      <c r="B284" s="38" t="s">
        <v>611</v>
      </c>
      <c r="C284" s="38">
        <v>23</v>
      </c>
      <c r="D284" s="38">
        <v>13</v>
      </c>
      <c r="E284" s="38">
        <v>5</v>
      </c>
      <c r="F284" s="38">
        <v>10</v>
      </c>
      <c r="G284" s="38">
        <v>0</v>
      </c>
      <c r="H284" s="38">
        <v>0</v>
      </c>
      <c r="I284" s="38">
        <v>0</v>
      </c>
      <c r="J284" s="38">
        <v>51</v>
      </c>
      <c r="K284" s="38" t="s">
        <v>3948</v>
      </c>
      <c r="L284" s="38">
        <v>136033</v>
      </c>
    </row>
    <row r="285" spans="1:12">
      <c r="A285" s="38" t="s">
        <v>612</v>
      </c>
      <c r="B285" s="38" t="s">
        <v>613</v>
      </c>
      <c r="C285" s="38">
        <v>0</v>
      </c>
      <c r="D285" s="38">
        <v>48</v>
      </c>
      <c r="E285" s="38">
        <v>14</v>
      </c>
      <c r="F285" s="38">
        <v>1</v>
      </c>
      <c r="G285" s="38">
        <v>0</v>
      </c>
      <c r="H285" s="38">
        <v>0</v>
      </c>
      <c r="I285" s="38">
        <v>0</v>
      </c>
      <c r="J285" s="38">
        <v>63</v>
      </c>
      <c r="K285" s="38" t="s">
        <v>3939</v>
      </c>
      <c r="L285" s="38">
        <v>231365</v>
      </c>
    </row>
    <row r="286" spans="1:12">
      <c r="A286" s="38" t="s">
        <v>614</v>
      </c>
      <c r="B286" s="38" t="s">
        <v>615</v>
      </c>
      <c r="C286" s="38">
        <v>17</v>
      </c>
      <c r="D286" s="38">
        <v>2</v>
      </c>
      <c r="E286" s="38">
        <v>7</v>
      </c>
      <c r="F286" s="38">
        <v>11</v>
      </c>
      <c r="G286" s="38">
        <v>0</v>
      </c>
      <c r="H286" s="38">
        <v>0</v>
      </c>
      <c r="I286" s="38">
        <v>2</v>
      </c>
      <c r="J286" s="38">
        <v>39</v>
      </c>
      <c r="K286" s="38" t="s">
        <v>3948</v>
      </c>
      <c r="L286" s="38">
        <v>77546</v>
      </c>
    </row>
    <row r="287" spans="1:12">
      <c r="A287" s="38" t="s">
        <v>616</v>
      </c>
      <c r="B287" s="38" t="s">
        <v>617</v>
      </c>
      <c r="C287" s="38">
        <v>23</v>
      </c>
      <c r="D287" s="38">
        <v>2</v>
      </c>
      <c r="E287" s="38">
        <v>30</v>
      </c>
      <c r="F287" s="38">
        <v>1</v>
      </c>
      <c r="G287" s="38">
        <v>0</v>
      </c>
      <c r="H287" s="38">
        <v>0</v>
      </c>
      <c r="I287" s="38">
        <v>2</v>
      </c>
      <c r="J287" s="38">
        <v>58</v>
      </c>
      <c r="K287" s="38" t="s">
        <v>3940</v>
      </c>
      <c r="L287" s="38">
        <v>111185</v>
      </c>
    </row>
    <row r="288" spans="1:12">
      <c r="A288" s="38" t="s">
        <v>618</v>
      </c>
      <c r="B288" s="38" t="s">
        <v>3984</v>
      </c>
      <c r="C288" s="38">
        <v>3</v>
      </c>
      <c r="D288" s="38">
        <v>35</v>
      </c>
      <c r="E288" s="38">
        <v>4</v>
      </c>
      <c r="F288" s="38">
        <v>3</v>
      </c>
      <c r="G288" s="38">
        <v>0</v>
      </c>
      <c r="H288" s="38">
        <v>0</v>
      </c>
      <c r="I288" s="38">
        <v>3</v>
      </c>
      <c r="J288" s="38">
        <v>48</v>
      </c>
      <c r="K288" s="38" t="s">
        <v>3939</v>
      </c>
      <c r="L288" s="38">
        <v>140356</v>
      </c>
    </row>
    <row r="289" spans="1:12">
      <c r="A289" s="38" t="s">
        <v>620</v>
      </c>
      <c r="B289" s="38" t="s">
        <v>621</v>
      </c>
      <c r="C289" s="38">
        <v>22</v>
      </c>
      <c r="D289" s="38">
        <v>10</v>
      </c>
      <c r="E289" s="38">
        <v>0</v>
      </c>
      <c r="F289" s="38">
        <v>7</v>
      </c>
      <c r="G289" s="38">
        <v>0</v>
      </c>
      <c r="H289" s="38">
        <v>0</v>
      </c>
      <c r="I289" s="38">
        <v>1</v>
      </c>
      <c r="J289" s="38">
        <v>40</v>
      </c>
      <c r="K289" s="38" t="s">
        <v>3938</v>
      </c>
      <c r="L289" s="38">
        <v>105403</v>
      </c>
    </row>
    <row r="290" spans="1:12">
      <c r="A290" s="38" t="s">
        <v>3923</v>
      </c>
      <c r="B290" s="38" t="s">
        <v>3924</v>
      </c>
      <c r="C290" s="38">
        <v>57</v>
      </c>
      <c r="D290" s="38">
        <v>4</v>
      </c>
      <c r="E290" s="38">
        <v>0</v>
      </c>
      <c r="F290" s="38">
        <v>1</v>
      </c>
      <c r="G290" s="38">
        <v>0</v>
      </c>
      <c r="H290" s="38">
        <v>0</v>
      </c>
      <c r="I290" s="38">
        <v>0</v>
      </c>
      <c r="J290" s="38">
        <v>62</v>
      </c>
      <c r="K290" s="38" t="s">
        <v>3938</v>
      </c>
      <c r="L290" s="38">
        <v>674333</v>
      </c>
    </row>
    <row r="291" spans="1:12">
      <c r="A291" s="38" t="s">
        <v>622</v>
      </c>
      <c r="B291" s="38" t="s">
        <v>623</v>
      </c>
      <c r="C291" s="38">
        <v>27</v>
      </c>
      <c r="D291" s="38">
        <v>13</v>
      </c>
      <c r="E291" s="38">
        <v>1</v>
      </c>
      <c r="F291" s="38">
        <v>15</v>
      </c>
      <c r="G291" s="38">
        <v>0</v>
      </c>
      <c r="H291" s="38">
        <v>0</v>
      </c>
      <c r="I291" s="38">
        <v>0</v>
      </c>
      <c r="J291" s="38">
        <v>56</v>
      </c>
      <c r="K291" s="38" t="s">
        <v>3948</v>
      </c>
      <c r="L291" s="38">
        <v>79300</v>
      </c>
    </row>
    <row r="292" spans="1:12">
      <c r="A292" s="38" t="s">
        <v>624</v>
      </c>
      <c r="B292" s="38" t="s">
        <v>625</v>
      </c>
      <c r="C292" s="38">
        <v>12</v>
      </c>
      <c r="D292" s="38">
        <v>21</v>
      </c>
      <c r="E292" s="38">
        <v>6</v>
      </c>
      <c r="F292" s="38">
        <v>0</v>
      </c>
      <c r="G292" s="38">
        <v>0</v>
      </c>
      <c r="H292" s="38">
        <v>0</v>
      </c>
      <c r="I292" s="38">
        <v>0</v>
      </c>
      <c r="J292" s="38">
        <v>39</v>
      </c>
      <c r="K292" s="38" t="s">
        <v>3939</v>
      </c>
      <c r="L292" s="38">
        <v>65203</v>
      </c>
    </row>
    <row r="293" spans="1:12">
      <c r="A293" s="38" t="s">
        <v>626</v>
      </c>
      <c r="B293" s="38" t="s">
        <v>627</v>
      </c>
      <c r="C293" s="38">
        <v>8</v>
      </c>
      <c r="D293" s="38">
        <v>25</v>
      </c>
      <c r="E293" s="38">
        <v>26</v>
      </c>
      <c r="F293" s="38">
        <v>3</v>
      </c>
      <c r="G293" s="38">
        <v>0</v>
      </c>
      <c r="H293" s="38">
        <v>0</v>
      </c>
      <c r="I293" s="38">
        <v>1</v>
      </c>
      <c r="J293" s="38">
        <v>63</v>
      </c>
      <c r="K293" s="38" t="s">
        <v>3948</v>
      </c>
      <c r="L293" s="38">
        <v>224219</v>
      </c>
    </row>
    <row r="294" spans="1:12">
      <c r="A294" s="38" t="s">
        <v>628</v>
      </c>
      <c r="B294" s="38" t="s">
        <v>629</v>
      </c>
      <c r="C294" s="38">
        <v>16</v>
      </c>
      <c r="D294" s="38">
        <v>24</v>
      </c>
      <c r="E294" s="38">
        <v>1</v>
      </c>
      <c r="F294" s="38">
        <v>15</v>
      </c>
      <c r="G294" s="38">
        <v>0</v>
      </c>
      <c r="H294" s="38">
        <v>0</v>
      </c>
      <c r="I294" s="38">
        <v>0</v>
      </c>
      <c r="J294" s="38">
        <v>56</v>
      </c>
      <c r="K294" s="38" t="s">
        <v>3948</v>
      </c>
      <c r="L294" s="38">
        <v>144667</v>
      </c>
    </row>
    <row r="295" spans="1:12">
      <c r="A295" s="38" t="s">
        <v>630</v>
      </c>
      <c r="B295" s="38" t="s">
        <v>631</v>
      </c>
      <c r="C295" s="38">
        <v>20</v>
      </c>
      <c r="D295" s="38">
        <v>14</v>
      </c>
      <c r="E295" s="38">
        <v>0</v>
      </c>
      <c r="F295" s="38">
        <v>10</v>
      </c>
      <c r="G295" s="38">
        <v>0</v>
      </c>
      <c r="H295" s="38">
        <v>0</v>
      </c>
      <c r="I295" s="38">
        <v>0</v>
      </c>
      <c r="J295" s="38">
        <v>44</v>
      </c>
      <c r="K295" s="38" t="s">
        <v>3948</v>
      </c>
      <c r="L295" s="38">
        <v>176206</v>
      </c>
    </row>
    <row r="296" spans="1:12">
      <c r="A296" s="38" t="s">
        <v>632</v>
      </c>
      <c r="B296" s="38" t="s">
        <v>633</v>
      </c>
      <c r="C296" s="38">
        <v>20</v>
      </c>
      <c r="D296" s="38">
        <v>0</v>
      </c>
      <c r="E296" s="38">
        <v>12</v>
      </c>
      <c r="F296" s="38">
        <v>3</v>
      </c>
      <c r="G296" s="38">
        <v>0</v>
      </c>
      <c r="H296" s="38">
        <v>0</v>
      </c>
      <c r="I296" s="38">
        <v>1</v>
      </c>
      <c r="J296" s="38">
        <v>36</v>
      </c>
      <c r="K296" s="38" t="s">
        <v>3938</v>
      </c>
      <c r="L296" s="38">
        <v>104569</v>
      </c>
    </row>
    <row r="297" spans="1:12">
      <c r="A297" s="38" t="s">
        <v>634</v>
      </c>
      <c r="B297" s="38" t="s">
        <v>635</v>
      </c>
      <c r="C297" s="38">
        <v>20</v>
      </c>
      <c r="D297" s="38">
        <v>15</v>
      </c>
      <c r="E297" s="38">
        <v>3</v>
      </c>
      <c r="F297" s="38">
        <v>0</v>
      </c>
      <c r="G297" s="38">
        <v>0</v>
      </c>
      <c r="H297" s="38">
        <v>0</v>
      </c>
      <c r="I297" s="38">
        <v>13</v>
      </c>
      <c r="J297" s="38">
        <v>51</v>
      </c>
      <c r="K297" s="38" t="s">
        <v>3948</v>
      </c>
      <c r="L297" s="38">
        <v>96501</v>
      </c>
    </row>
    <row r="298" spans="1:12">
      <c r="A298" s="38" t="s">
        <v>3925</v>
      </c>
      <c r="B298" s="38" t="s">
        <v>3926</v>
      </c>
      <c r="C298" s="38">
        <v>55</v>
      </c>
      <c r="D298" s="38">
        <v>5</v>
      </c>
      <c r="E298" s="38">
        <v>4</v>
      </c>
      <c r="F298" s="38">
        <v>2</v>
      </c>
      <c r="G298" s="38">
        <v>0</v>
      </c>
      <c r="H298" s="38">
        <v>0</v>
      </c>
      <c r="I298" s="38">
        <v>9</v>
      </c>
      <c r="J298" s="38">
        <v>75</v>
      </c>
      <c r="K298" s="38" t="s">
        <v>3938</v>
      </c>
      <c r="L298" s="38">
        <v>573449</v>
      </c>
    </row>
    <row r="299" spans="1:12">
      <c r="A299" s="38" t="s">
        <v>636</v>
      </c>
      <c r="B299" s="38" t="s">
        <v>637</v>
      </c>
      <c r="C299" s="38">
        <v>18</v>
      </c>
      <c r="D299" s="38">
        <v>42</v>
      </c>
      <c r="E299" s="38">
        <v>12</v>
      </c>
      <c r="F299" s="38">
        <v>0</v>
      </c>
      <c r="G299" s="38">
        <v>0</v>
      </c>
      <c r="H299" s="38">
        <v>3</v>
      </c>
      <c r="I299" s="38">
        <v>0</v>
      </c>
      <c r="J299" s="38">
        <v>75</v>
      </c>
      <c r="K299" s="38" t="s">
        <v>3939</v>
      </c>
      <c r="L299" s="38">
        <v>209731</v>
      </c>
    </row>
    <row r="300" spans="1:12">
      <c r="A300" s="38" t="s">
        <v>3927</v>
      </c>
      <c r="B300" s="38" t="s">
        <v>3928</v>
      </c>
      <c r="C300" s="38">
        <v>47</v>
      </c>
      <c r="D300" s="38">
        <v>2</v>
      </c>
      <c r="E300" s="38">
        <v>14</v>
      </c>
      <c r="F300" s="38">
        <v>16</v>
      </c>
      <c r="G300" s="38">
        <v>0</v>
      </c>
      <c r="H300" s="38">
        <v>0</v>
      </c>
      <c r="I300" s="38">
        <v>2</v>
      </c>
      <c r="J300" s="38">
        <v>81</v>
      </c>
      <c r="K300" s="38" t="s">
        <v>3938</v>
      </c>
      <c r="L300" s="38">
        <v>895224</v>
      </c>
    </row>
    <row r="301" spans="1:12">
      <c r="A301" s="38" t="s">
        <v>638</v>
      </c>
      <c r="B301" s="38" t="s">
        <v>639</v>
      </c>
      <c r="C301" s="38">
        <v>17</v>
      </c>
      <c r="D301" s="38">
        <v>1</v>
      </c>
      <c r="E301" s="38">
        <v>9</v>
      </c>
      <c r="F301" s="38">
        <v>6</v>
      </c>
      <c r="G301" s="38">
        <v>0</v>
      </c>
      <c r="H301" s="38">
        <v>0</v>
      </c>
      <c r="I301" s="38">
        <v>2</v>
      </c>
      <c r="J301" s="38">
        <v>35</v>
      </c>
      <c r="K301" s="38" t="s">
        <v>3948</v>
      </c>
      <c r="L301" s="38">
        <v>68258</v>
      </c>
    </row>
    <row r="302" spans="1:12">
      <c r="A302" s="38" t="s">
        <v>640</v>
      </c>
      <c r="B302" s="38" t="s">
        <v>641</v>
      </c>
      <c r="C302" s="38">
        <v>18</v>
      </c>
      <c r="D302" s="38">
        <v>0</v>
      </c>
      <c r="E302" s="38">
        <v>33</v>
      </c>
      <c r="F302" s="38">
        <v>3</v>
      </c>
      <c r="G302" s="38">
        <v>0</v>
      </c>
      <c r="H302" s="38">
        <v>0</v>
      </c>
      <c r="I302" s="38">
        <v>0</v>
      </c>
      <c r="J302" s="38">
        <v>54</v>
      </c>
      <c r="K302" s="38" t="s">
        <v>3940</v>
      </c>
      <c r="L302" s="38">
        <v>155036</v>
      </c>
    </row>
    <row r="303" spans="1:12">
      <c r="A303" s="38" t="s">
        <v>642</v>
      </c>
      <c r="B303" s="38" t="s">
        <v>643</v>
      </c>
      <c r="C303" s="38">
        <v>17</v>
      </c>
      <c r="D303" s="38">
        <v>10</v>
      </c>
      <c r="E303" s="38">
        <v>3</v>
      </c>
      <c r="F303" s="38">
        <v>14</v>
      </c>
      <c r="G303" s="38">
        <v>0</v>
      </c>
      <c r="H303" s="38">
        <v>1</v>
      </c>
      <c r="I303" s="38">
        <v>2</v>
      </c>
      <c r="J303" s="38">
        <v>47</v>
      </c>
      <c r="K303" s="38" t="s">
        <v>3948</v>
      </c>
      <c r="L303" s="38">
        <v>108207</v>
      </c>
    </row>
    <row r="304" spans="1:12">
      <c r="A304" s="38" t="s">
        <v>3985</v>
      </c>
      <c r="B304" s="38" t="s">
        <v>3986</v>
      </c>
      <c r="C304" s="38">
        <v>9</v>
      </c>
      <c r="D304" s="38">
        <v>48</v>
      </c>
      <c r="E304" s="38">
        <v>7</v>
      </c>
      <c r="F304" s="38">
        <v>8</v>
      </c>
      <c r="G304" s="38">
        <v>0</v>
      </c>
      <c r="H304" s="38">
        <v>0</v>
      </c>
      <c r="I304" s="38">
        <v>0</v>
      </c>
      <c r="J304" s="38">
        <v>72</v>
      </c>
      <c r="K304" s="38" t="s">
        <v>3939</v>
      </c>
      <c r="L304" s="38">
        <v>182908</v>
      </c>
    </row>
    <row r="305" spans="1:12">
      <c r="A305" s="38" t="s">
        <v>644</v>
      </c>
      <c r="B305" s="38" t="s">
        <v>645</v>
      </c>
      <c r="C305" s="38">
        <v>36</v>
      </c>
      <c r="D305" s="38">
        <v>20</v>
      </c>
      <c r="E305" s="38">
        <v>0</v>
      </c>
      <c r="F305" s="38">
        <v>1</v>
      </c>
      <c r="G305" s="38">
        <v>0</v>
      </c>
      <c r="H305" s="38">
        <v>0</v>
      </c>
      <c r="I305" s="38">
        <v>0</v>
      </c>
      <c r="J305" s="38">
        <v>57</v>
      </c>
      <c r="K305" s="38" t="s">
        <v>3938</v>
      </c>
      <c r="L305" s="38">
        <v>167496</v>
      </c>
    </row>
    <row r="306" spans="1:12">
      <c r="A306" s="38" t="s">
        <v>646</v>
      </c>
      <c r="B306" s="38" t="s">
        <v>647</v>
      </c>
      <c r="C306" s="38">
        <v>6</v>
      </c>
      <c r="D306" s="38">
        <v>50</v>
      </c>
      <c r="E306" s="38">
        <v>0</v>
      </c>
      <c r="F306" s="38">
        <v>0</v>
      </c>
      <c r="G306" s="38">
        <v>0</v>
      </c>
      <c r="H306" s="38">
        <v>0</v>
      </c>
      <c r="I306" s="38">
        <v>1</v>
      </c>
      <c r="J306" s="38">
        <v>57</v>
      </c>
      <c r="K306" s="38" t="s">
        <v>3939</v>
      </c>
      <c r="L306" s="38">
        <v>175533</v>
      </c>
    </row>
    <row r="307" spans="1:12">
      <c r="A307" s="38" t="s">
        <v>648</v>
      </c>
      <c r="B307" s="38" t="s">
        <v>649</v>
      </c>
      <c r="C307" s="38">
        <v>26</v>
      </c>
      <c r="D307" s="38">
        <v>3</v>
      </c>
      <c r="E307" s="38">
        <v>0</v>
      </c>
      <c r="F307" s="38">
        <v>0</v>
      </c>
      <c r="G307" s="38">
        <v>0</v>
      </c>
      <c r="H307" s="38">
        <v>1</v>
      </c>
      <c r="I307" s="38">
        <v>0</v>
      </c>
      <c r="J307" s="38">
        <v>30</v>
      </c>
      <c r="K307" s="38" t="s">
        <v>3938</v>
      </c>
      <c r="L307" s="38">
        <v>58622</v>
      </c>
    </row>
    <row r="308" spans="1:12">
      <c r="A308" s="38" t="s">
        <v>650</v>
      </c>
      <c r="B308" s="38" t="s">
        <v>651</v>
      </c>
      <c r="C308" s="38">
        <v>14</v>
      </c>
      <c r="D308" s="38">
        <v>0</v>
      </c>
      <c r="E308" s="38">
        <v>9</v>
      </c>
      <c r="F308" s="38">
        <v>19</v>
      </c>
      <c r="G308" s="38">
        <v>0</v>
      </c>
      <c r="H308" s="38">
        <v>0</v>
      </c>
      <c r="I308" s="38">
        <v>0</v>
      </c>
      <c r="J308" s="38">
        <v>42</v>
      </c>
      <c r="K308" s="38" t="s">
        <v>3948</v>
      </c>
      <c r="L308" s="38">
        <v>66433</v>
      </c>
    </row>
    <row r="309" spans="1:12">
      <c r="A309" s="38" t="s">
        <v>652</v>
      </c>
      <c r="B309" s="38" t="s">
        <v>653</v>
      </c>
      <c r="C309" s="38">
        <v>12</v>
      </c>
      <c r="D309" s="38">
        <v>0</v>
      </c>
      <c r="E309" s="38">
        <v>23</v>
      </c>
      <c r="F309" s="38">
        <v>12</v>
      </c>
      <c r="G309" s="38">
        <v>0</v>
      </c>
      <c r="H309" s="38">
        <v>0</v>
      </c>
      <c r="I309" s="38">
        <v>0</v>
      </c>
      <c r="J309" s="38">
        <v>47</v>
      </c>
      <c r="K309" s="38" t="s">
        <v>3948</v>
      </c>
      <c r="L309" s="38">
        <v>107182</v>
      </c>
    </row>
    <row r="310" spans="1:12">
      <c r="A310" s="38" t="s">
        <v>654</v>
      </c>
      <c r="B310" s="38" t="s">
        <v>655</v>
      </c>
      <c r="C310" s="38">
        <v>14</v>
      </c>
      <c r="D310" s="38">
        <v>35</v>
      </c>
      <c r="E310" s="38">
        <v>4</v>
      </c>
      <c r="F310" s="38">
        <v>1</v>
      </c>
      <c r="G310" s="38">
        <v>0</v>
      </c>
      <c r="H310" s="38">
        <v>0</v>
      </c>
      <c r="I310" s="38">
        <v>0</v>
      </c>
      <c r="J310" s="38">
        <v>54</v>
      </c>
      <c r="K310" s="38" t="s">
        <v>3939</v>
      </c>
      <c r="L310" s="38">
        <v>132466</v>
      </c>
    </row>
    <row r="311" spans="1:12">
      <c r="A311" s="38" t="s">
        <v>656</v>
      </c>
      <c r="B311" s="38" t="s">
        <v>657</v>
      </c>
      <c r="C311" s="38">
        <v>21</v>
      </c>
      <c r="D311" s="38">
        <v>6</v>
      </c>
      <c r="E311" s="38">
        <v>2</v>
      </c>
      <c r="F311" s="38">
        <v>18</v>
      </c>
      <c r="G311" s="38">
        <v>0</v>
      </c>
      <c r="H311" s="38">
        <v>1</v>
      </c>
      <c r="I311" s="38">
        <v>0</v>
      </c>
      <c r="J311" s="38">
        <v>48</v>
      </c>
      <c r="K311" s="38" t="s">
        <v>3948</v>
      </c>
      <c r="L311" s="38">
        <v>114536</v>
      </c>
    </row>
    <row r="312" spans="1:12">
      <c r="A312" s="38" t="s">
        <v>658</v>
      </c>
      <c r="B312" s="38" t="s">
        <v>659</v>
      </c>
      <c r="C312" s="38">
        <v>26</v>
      </c>
      <c r="D312" s="38">
        <v>0</v>
      </c>
      <c r="E312" s="38">
        <v>12</v>
      </c>
      <c r="F312" s="38">
        <v>5</v>
      </c>
      <c r="G312" s="38">
        <v>0</v>
      </c>
      <c r="H312" s="38">
        <v>0</v>
      </c>
      <c r="I312" s="38">
        <v>0</v>
      </c>
      <c r="J312" s="38">
        <v>43</v>
      </c>
      <c r="K312" s="38" t="s">
        <v>3938</v>
      </c>
      <c r="L312" s="38">
        <v>98560</v>
      </c>
    </row>
    <row r="313" spans="1:12">
      <c r="A313" s="38" t="s">
        <v>660</v>
      </c>
      <c r="B313" s="38" t="s">
        <v>661</v>
      </c>
      <c r="C313" s="38">
        <v>23</v>
      </c>
      <c r="D313" s="38">
        <v>0</v>
      </c>
      <c r="E313" s="38">
        <v>8</v>
      </c>
      <c r="F313" s="38">
        <v>6</v>
      </c>
      <c r="G313" s="38">
        <v>0</v>
      </c>
      <c r="H313" s="38">
        <v>0</v>
      </c>
      <c r="I313" s="38">
        <v>1</v>
      </c>
      <c r="J313" s="38">
        <v>38</v>
      </c>
      <c r="K313" s="38" t="s">
        <v>3938</v>
      </c>
      <c r="L313" s="38">
        <v>72440</v>
      </c>
    </row>
    <row r="314" spans="1:12">
      <c r="A314" s="38" t="s">
        <v>662</v>
      </c>
      <c r="B314" s="38" t="s">
        <v>663</v>
      </c>
      <c r="C314" s="38">
        <v>27</v>
      </c>
      <c r="D314" s="38">
        <v>18</v>
      </c>
      <c r="E314" s="38">
        <v>0</v>
      </c>
      <c r="F314" s="38">
        <v>7</v>
      </c>
      <c r="G314" s="38">
        <v>0</v>
      </c>
      <c r="H314" s="38">
        <v>0</v>
      </c>
      <c r="I314" s="38">
        <v>4</v>
      </c>
      <c r="J314" s="38">
        <v>56</v>
      </c>
      <c r="K314" s="38" t="s">
        <v>3948</v>
      </c>
      <c r="L314" s="38">
        <v>103337</v>
      </c>
    </row>
    <row r="315" spans="1:12">
      <c r="A315" s="38" t="s">
        <v>664</v>
      </c>
      <c r="B315" s="38" t="s">
        <v>665</v>
      </c>
      <c r="C315" s="38">
        <v>11</v>
      </c>
      <c r="D315" s="38">
        <v>3</v>
      </c>
      <c r="E315" s="38">
        <v>23</v>
      </c>
      <c r="F315" s="38">
        <v>2</v>
      </c>
      <c r="G315" s="38">
        <v>0</v>
      </c>
      <c r="H315" s="38">
        <v>0</v>
      </c>
      <c r="I315" s="38">
        <v>0</v>
      </c>
      <c r="J315" s="38">
        <v>39</v>
      </c>
      <c r="K315" s="38" t="s">
        <v>3940</v>
      </c>
      <c r="L315" s="38">
        <v>70184</v>
      </c>
    </row>
    <row r="316" spans="1:12">
      <c r="A316" s="38" t="s">
        <v>666</v>
      </c>
      <c r="B316" s="38" t="s">
        <v>667</v>
      </c>
      <c r="C316" s="38">
        <v>29</v>
      </c>
      <c r="D316" s="38">
        <v>16</v>
      </c>
      <c r="E316" s="38">
        <v>0</v>
      </c>
      <c r="F316" s="38">
        <v>4</v>
      </c>
      <c r="G316" s="38">
        <v>0</v>
      </c>
      <c r="H316" s="38">
        <v>0</v>
      </c>
      <c r="I316" s="38">
        <v>0</v>
      </c>
      <c r="J316" s="38">
        <v>49</v>
      </c>
      <c r="K316" s="38" t="s">
        <v>3938</v>
      </c>
      <c r="L316" s="38">
        <v>123529</v>
      </c>
    </row>
    <row r="317" spans="1:12">
      <c r="A317" s="38" t="s">
        <v>668</v>
      </c>
      <c r="B317" s="38" t="s">
        <v>669</v>
      </c>
      <c r="C317" s="38">
        <v>39</v>
      </c>
      <c r="D317" s="38">
        <v>1</v>
      </c>
      <c r="E317" s="38">
        <v>9</v>
      </c>
      <c r="F317" s="38">
        <v>3</v>
      </c>
      <c r="G317" s="38">
        <v>0</v>
      </c>
      <c r="H317" s="38">
        <v>0</v>
      </c>
      <c r="I317" s="38">
        <v>2</v>
      </c>
      <c r="J317" s="38">
        <v>54</v>
      </c>
      <c r="K317" s="38" t="s">
        <v>3938</v>
      </c>
      <c r="L317" s="38">
        <v>100791</v>
      </c>
    </row>
    <row r="318" spans="1:12">
      <c r="A318" s="38" t="s">
        <v>670</v>
      </c>
      <c r="B318" s="38" t="s">
        <v>671</v>
      </c>
      <c r="C318" s="38">
        <v>14</v>
      </c>
      <c r="D318" s="38">
        <v>0</v>
      </c>
      <c r="E318" s="38">
        <v>12</v>
      </c>
      <c r="F318" s="38">
        <v>10</v>
      </c>
      <c r="G318" s="38">
        <v>0</v>
      </c>
      <c r="H318" s="38">
        <v>0</v>
      </c>
      <c r="I318" s="38">
        <v>0</v>
      </c>
      <c r="J318" s="38">
        <v>36</v>
      </c>
      <c r="K318" s="38" t="s">
        <v>3948</v>
      </c>
      <c r="L318" s="38">
        <v>104594</v>
      </c>
    </row>
    <row r="319" spans="1:12">
      <c r="A319" s="38" t="s">
        <v>3987</v>
      </c>
      <c r="B319" s="38" t="s">
        <v>3988</v>
      </c>
      <c r="C319" s="38">
        <v>5</v>
      </c>
      <c r="D319" s="38">
        <v>28</v>
      </c>
      <c r="E319" s="38">
        <v>0</v>
      </c>
      <c r="F319" s="38">
        <v>11</v>
      </c>
      <c r="G319" s="38">
        <v>0</v>
      </c>
      <c r="H319" s="38">
        <v>0</v>
      </c>
      <c r="I319" s="38">
        <v>0</v>
      </c>
      <c r="J319" s="38">
        <v>44</v>
      </c>
      <c r="K319" s="38" t="s">
        <v>3939</v>
      </c>
      <c r="L319" s="38">
        <v>70963</v>
      </c>
    </row>
    <row r="320" spans="1:12">
      <c r="A320" s="38" t="s">
        <v>672</v>
      </c>
      <c r="B320" s="38" t="s">
        <v>673</v>
      </c>
      <c r="C320" s="38">
        <v>11</v>
      </c>
      <c r="D320" s="38">
        <v>3</v>
      </c>
      <c r="E320" s="38">
        <v>2</v>
      </c>
      <c r="F320" s="38">
        <v>18</v>
      </c>
      <c r="G320" s="38">
        <v>0</v>
      </c>
      <c r="H320" s="38">
        <v>0</v>
      </c>
      <c r="I320" s="38">
        <v>2</v>
      </c>
      <c r="J320" s="38">
        <v>36</v>
      </c>
      <c r="K320" s="38" t="s">
        <v>3948</v>
      </c>
      <c r="L320" s="38">
        <v>53885</v>
      </c>
    </row>
    <row r="321" spans="1:12">
      <c r="A321" s="38" t="s">
        <v>674</v>
      </c>
      <c r="B321" s="38" t="s">
        <v>675</v>
      </c>
      <c r="C321" s="38">
        <v>1</v>
      </c>
      <c r="D321" s="38">
        <v>41</v>
      </c>
      <c r="E321" s="38">
        <v>1</v>
      </c>
      <c r="F321" s="38">
        <v>2</v>
      </c>
      <c r="G321" s="38">
        <v>0</v>
      </c>
      <c r="H321" s="38">
        <v>0</v>
      </c>
      <c r="I321" s="38">
        <v>0</v>
      </c>
      <c r="J321" s="38">
        <v>45</v>
      </c>
      <c r="K321" s="38" t="s">
        <v>3939</v>
      </c>
      <c r="L321" s="38">
        <v>206848</v>
      </c>
    </row>
    <row r="322" spans="1:12">
      <c r="A322" s="38" t="s">
        <v>676</v>
      </c>
      <c r="B322" s="38" t="s">
        <v>677</v>
      </c>
      <c r="C322" s="38">
        <v>17</v>
      </c>
      <c r="D322" s="38">
        <v>40</v>
      </c>
      <c r="E322" s="38">
        <v>3</v>
      </c>
      <c r="F322" s="38">
        <v>0</v>
      </c>
      <c r="G322" s="38">
        <v>0</v>
      </c>
      <c r="H322" s="38">
        <v>0</v>
      </c>
      <c r="I322" s="38">
        <v>3</v>
      </c>
      <c r="J322" s="38">
        <v>63</v>
      </c>
      <c r="K322" s="38" t="s">
        <v>3939</v>
      </c>
      <c r="L322" s="38">
        <v>173856</v>
      </c>
    </row>
    <row r="323" spans="1:12">
      <c r="A323" s="38" t="s">
        <v>678</v>
      </c>
      <c r="B323" s="38" t="s">
        <v>679</v>
      </c>
      <c r="C323" s="38">
        <v>24</v>
      </c>
      <c r="D323" s="38">
        <v>5</v>
      </c>
      <c r="E323" s="38">
        <v>13</v>
      </c>
      <c r="F323" s="38">
        <v>6</v>
      </c>
      <c r="G323" s="38">
        <v>0</v>
      </c>
      <c r="H323" s="38">
        <v>0</v>
      </c>
      <c r="I323" s="38">
        <v>0</v>
      </c>
      <c r="J323" s="38">
        <v>48</v>
      </c>
      <c r="K323" s="38" t="s">
        <v>3948</v>
      </c>
      <c r="L323" s="38">
        <v>84739</v>
      </c>
    </row>
    <row r="324" spans="1:12">
      <c r="A324" s="38" t="s">
        <v>680</v>
      </c>
      <c r="B324" s="38" t="s">
        <v>681</v>
      </c>
      <c r="C324" s="38">
        <v>5</v>
      </c>
      <c r="D324" s="38">
        <v>0</v>
      </c>
      <c r="E324" s="38">
        <v>5</v>
      </c>
      <c r="F324" s="38">
        <v>27</v>
      </c>
      <c r="G324" s="38">
        <v>0</v>
      </c>
      <c r="H324" s="38">
        <v>0</v>
      </c>
      <c r="I324" s="38">
        <v>2</v>
      </c>
      <c r="J324" s="38">
        <v>39</v>
      </c>
      <c r="K324" s="38" t="s">
        <v>3941</v>
      </c>
      <c r="L324" s="38">
        <v>69367</v>
      </c>
    </row>
    <row r="325" spans="1:12">
      <c r="A325" s="38" t="s">
        <v>3989</v>
      </c>
      <c r="B325" s="38" t="s">
        <v>3990</v>
      </c>
      <c r="C325" s="38">
        <v>14</v>
      </c>
      <c r="D325" s="38">
        <v>14</v>
      </c>
      <c r="E325" s="38">
        <v>0</v>
      </c>
      <c r="F325" s="38">
        <v>15</v>
      </c>
      <c r="G325" s="38">
        <v>4</v>
      </c>
      <c r="H325" s="38">
        <v>0</v>
      </c>
      <c r="I325" s="38">
        <v>0</v>
      </c>
      <c r="J325" s="38">
        <v>47</v>
      </c>
      <c r="K325" s="38" t="s">
        <v>3948</v>
      </c>
      <c r="L325" s="38">
        <v>100048</v>
      </c>
    </row>
    <row r="326" spans="1:12">
      <c r="A326" s="38" t="s">
        <v>682</v>
      </c>
      <c r="B326" s="38" t="s">
        <v>683</v>
      </c>
      <c r="C326" s="38">
        <v>7</v>
      </c>
      <c r="D326" s="38">
        <v>0</v>
      </c>
      <c r="E326" s="38">
        <v>30</v>
      </c>
      <c r="F326" s="38">
        <v>0</v>
      </c>
      <c r="G326" s="38">
        <v>0</v>
      </c>
      <c r="H326" s="38">
        <v>0</v>
      </c>
      <c r="I326" s="38">
        <v>1</v>
      </c>
      <c r="J326" s="38">
        <v>38</v>
      </c>
      <c r="K326" s="38" t="s">
        <v>3940</v>
      </c>
      <c r="L326" s="38">
        <v>103159</v>
      </c>
    </row>
    <row r="327" spans="1:12">
      <c r="A327" s="38" t="s">
        <v>684</v>
      </c>
      <c r="B327" s="38" t="s">
        <v>685</v>
      </c>
      <c r="C327" s="38">
        <v>17</v>
      </c>
      <c r="D327" s="38">
        <v>43</v>
      </c>
      <c r="E327" s="38">
        <v>2</v>
      </c>
      <c r="F327" s="38">
        <v>1</v>
      </c>
      <c r="G327" s="38">
        <v>0</v>
      </c>
      <c r="H327" s="38">
        <v>0</v>
      </c>
      <c r="I327" s="38">
        <v>0</v>
      </c>
      <c r="J327" s="38">
        <v>63</v>
      </c>
      <c r="K327" s="38" t="s">
        <v>3939</v>
      </c>
      <c r="L327" s="38">
        <v>262582</v>
      </c>
    </row>
    <row r="328" spans="1:12">
      <c r="A328" s="38" t="s">
        <v>686</v>
      </c>
      <c r="B328" s="38" t="s">
        <v>687</v>
      </c>
      <c r="C328" s="38">
        <v>36</v>
      </c>
      <c r="D328" s="38">
        <v>22</v>
      </c>
      <c r="E328" s="38">
        <v>0</v>
      </c>
      <c r="F328" s="38">
        <v>2</v>
      </c>
      <c r="G328" s="38">
        <v>0</v>
      </c>
      <c r="H328" s="38">
        <v>0</v>
      </c>
      <c r="I328" s="38">
        <v>0</v>
      </c>
      <c r="J328" s="38">
        <v>60</v>
      </c>
      <c r="K328" s="38" t="s">
        <v>3938</v>
      </c>
      <c r="L328" s="38">
        <v>203995</v>
      </c>
    </row>
    <row r="329" spans="1:12">
      <c r="A329" s="38" t="s">
        <v>688</v>
      </c>
      <c r="B329" s="38" t="s">
        <v>689</v>
      </c>
      <c r="C329" s="38">
        <v>14</v>
      </c>
      <c r="D329" s="38">
        <v>46</v>
      </c>
      <c r="E329" s="38">
        <v>0</v>
      </c>
      <c r="F329" s="38">
        <v>0</v>
      </c>
      <c r="G329" s="38">
        <v>0</v>
      </c>
      <c r="H329" s="38">
        <v>0</v>
      </c>
      <c r="I329" s="38">
        <v>0</v>
      </c>
      <c r="J329" s="38">
        <v>60</v>
      </c>
      <c r="K329" s="38" t="s">
        <v>3939</v>
      </c>
      <c r="L329" s="38">
        <v>192253</v>
      </c>
    </row>
    <row r="330" spans="1:12">
      <c r="A330" s="38" t="s">
        <v>690</v>
      </c>
      <c r="B330" s="38" t="s">
        <v>691</v>
      </c>
      <c r="C330" s="38">
        <v>33</v>
      </c>
      <c r="D330" s="38">
        <v>26</v>
      </c>
      <c r="E330" s="38">
        <v>0</v>
      </c>
      <c r="F330" s="38">
        <v>1</v>
      </c>
      <c r="G330" s="38">
        <v>0</v>
      </c>
      <c r="H330" s="38">
        <v>0</v>
      </c>
      <c r="I330" s="38">
        <v>0</v>
      </c>
      <c r="J330" s="38">
        <v>60</v>
      </c>
      <c r="K330" s="38" t="s">
        <v>3938</v>
      </c>
      <c r="L330" s="38">
        <v>246104</v>
      </c>
    </row>
    <row r="331" spans="1:12">
      <c r="A331" s="38" t="s">
        <v>692</v>
      </c>
      <c r="B331" s="38" t="s">
        <v>693</v>
      </c>
      <c r="C331" s="38">
        <v>11</v>
      </c>
      <c r="D331" s="38">
        <v>36</v>
      </c>
      <c r="E331" s="38">
        <v>8</v>
      </c>
      <c r="F331" s="38">
        <v>3</v>
      </c>
      <c r="G331" s="38">
        <v>0</v>
      </c>
      <c r="H331" s="38">
        <v>0</v>
      </c>
      <c r="I331" s="38">
        <v>0</v>
      </c>
      <c r="J331" s="38">
        <v>58</v>
      </c>
      <c r="K331" s="38" t="s">
        <v>3939</v>
      </c>
      <c r="L331" s="38">
        <v>164079</v>
      </c>
    </row>
    <row r="332" spans="1:12">
      <c r="A332" s="38" t="s">
        <v>694</v>
      </c>
      <c r="B332" s="38" t="s">
        <v>695</v>
      </c>
      <c r="C332" s="38">
        <v>19</v>
      </c>
      <c r="D332" s="38">
        <v>5</v>
      </c>
      <c r="E332" s="38">
        <v>9</v>
      </c>
      <c r="F332" s="38">
        <v>3</v>
      </c>
      <c r="G332" s="38">
        <v>0</v>
      </c>
      <c r="H332" s="38">
        <v>0</v>
      </c>
      <c r="I332" s="38">
        <v>8</v>
      </c>
      <c r="J332" s="38">
        <v>44</v>
      </c>
      <c r="K332" s="38" t="s">
        <v>3948</v>
      </c>
      <c r="L332" s="38">
        <v>112857</v>
      </c>
    </row>
    <row r="333" spans="1:12">
      <c r="A333" s="38" t="s">
        <v>3929</v>
      </c>
      <c r="B333" s="38" t="s">
        <v>3930</v>
      </c>
      <c r="C333" s="38">
        <v>42</v>
      </c>
      <c r="D333" s="38">
        <v>6</v>
      </c>
      <c r="E333" s="38">
        <v>5</v>
      </c>
      <c r="F333" s="38">
        <v>1</v>
      </c>
      <c r="G333" s="38">
        <v>0</v>
      </c>
      <c r="H333" s="38">
        <v>0</v>
      </c>
      <c r="I333" s="38">
        <v>3</v>
      </c>
      <c r="J333" s="38">
        <v>57</v>
      </c>
      <c r="K333" s="38" t="s">
        <v>3938</v>
      </c>
      <c r="L333" s="38">
        <v>449598</v>
      </c>
    </row>
    <row r="334" spans="1:12">
      <c r="A334" s="38" t="s">
        <v>696</v>
      </c>
      <c r="B334" s="38" t="s">
        <v>697</v>
      </c>
      <c r="C334" s="38">
        <v>0</v>
      </c>
      <c r="D334" s="38">
        <v>10</v>
      </c>
      <c r="E334" s="38">
        <v>24</v>
      </c>
      <c r="F334" s="38">
        <v>2</v>
      </c>
      <c r="G334" s="38">
        <v>0</v>
      </c>
      <c r="H334" s="38">
        <v>0</v>
      </c>
      <c r="I334" s="38">
        <v>0</v>
      </c>
      <c r="J334" s="38">
        <v>36</v>
      </c>
      <c r="K334" s="38" t="s">
        <v>3940</v>
      </c>
      <c r="L334" s="38">
        <v>72713</v>
      </c>
    </row>
    <row r="335" spans="1:12">
      <c r="A335" s="38" t="s">
        <v>698</v>
      </c>
      <c r="B335" s="38" t="s">
        <v>699</v>
      </c>
      <c r="C335" s="38">
        <v>22</v>
      </c>
      <c r="D335" s="38">
        <v>2</v>
      </c>
      <c r="E335" s="38">
        <v>15</v>
      </c>
      <c r="F335" s="38">
        <v>16</v>
      </c>
      <c r="G335" s="38">
        <v>0</v>
      </c>
      <c r="H335" s="38">
        <v>0</v>
      </c>
      <c r="I335" s="38">
        <v>2</v>
      </c>
      <c r="J335" s="38">
        <v>57</v>
      </c>
      <c r="K335" s="38" t="s">
        <v>3948</v>
      </c>
      <c r="L335" s="38">
        <v>95725</v>
      </c>
    </row>
    <row r="336" spans="1:12">
      <c r="A336" s="38" t="s">
        <v>700</v>
      </c>
      <c r="B336" s="38" t="s">
        <v>701</v>
      </c>
      <c r="C336" s="38">
        <v>32</v>
      </c>
      <c r="D336" s="38">
        <v>0</v>
      </c>
      <c r="E336" s="38">
        <v>5</v>
      </c>
      <c r="F336" s="38">
        <v>6</v>
      </c>
      <c r="G336" s="38">
        <v>0</v>
      </c>
      <c r="H336" s="38">
        <v>0</v>
      </c>
      <c r="I336" s="38">
        <v>2</v>
      </c>
      <c r="J336" s="38">
        <v>45</v>
      </c>
      <c r="K336" s="38" t="s">
        <v>3938</v>
      </c>
      <c r="L336" s="38">
        <v>126311</v>
      </c>
    </row>
    <row r="337" spans="1:12">
      <c r="A337" s="38" t="s">
        <v>704</v>
      </c>
      <c r="B337" s="38" t="s">
        <v>705</v>
      </c>
      <c r="C337" s="38">
        <v>28</v>
      </c>
      <c r="D337" s="38">
        <v>9</v>
      </c>
      <c r="E337" s="38">
        <v>11</v>
      </c>
      <c r="F337" s="38">
        <v>0</v>
      </c>
      <c r="G337" s="38">
        <v>0</v>
      </c>
      <c r="H337" s="38">
        <v>0</v>
      </c>
      <c r="I337" s="38">
        <v>0</v>
      </c>
      <c r="J337" s="38">
        <v>48</v>
      </c>
      <c r="K337" s="38" t="s">
        <v>3938</v>
      </c>
      <c r="L337" s="38">
        <v>84989</v>
      </c>
    </row>
    <row r="338" spans="1:12">
      <c r="A338" s="38" t="s">
        <v>706</v>
      </c>
      <c r="B338" s="38" t="s">
        <v>707</v>
      </c>
      <c r="C338" s="38">
        <v>24</v>
      </c>
      <c r="D338" s="38">
        <v>0</v>
      </c>
      <c r="E338" s="38">
        <v>16</v>
      </c>
      <c r="F338" s="38">
        <v>0</v>
      </c>
      <c r="G338" s="38">
        <v>0</v>
      </c>
      <c r="H338" s="38">
        <v>0</v>
      </c>
      <c r="I338" s="38">
        <v>3</v>
      </c>
      <c r="J338" s="38">
        <v>43</v>
      </c>
      <c r="K338" s="38" t="s">
        <v>3938</v>
      </c>
      <c r="L338" s="38">
        <v>123752</v>
      </c>
    </row>
    <row r="339" spans="1:12">
      <c r="A339" s="38" t="s">
        <v>708</v>
      </c>
      <c r="B339" s="38" t="s">
        <v>709</v>
      </c>
      <c r="C339" s="38">
        <v>15</v>
      </c>
      <c r="D339" s="38">
        <v>0</v>
      </c>
      <c r="E339" s="38">
        <v>1</v>
      </c>
      <c r="F339" s="38">
        <v>13</v>
      </c>
      <c r="G339" s="38">
        <v>0</v>
      </c>
      <c r="H339" s="38">
        <v>0</v>
      </c>
      <c r="I339" s="38">
        <v>2</v>
      </c>
      <c r="J339" s="38">
        <v>31</v>
      </c>
      <c r="K339" s="38" t="s">
        <v>3948</v>
      </c>
      <c r="L339" s="38">
        <v>44286</v>
      </c>
    </row>
    <row r="340" spans="1:12">
      <c r="A340" s="38" t="s">
        <v>710</v>
      </c>
      <c r="B340" s="38" t="s">
        <v>711</v>
      </c>
      <c r="C340" s="38">
        <v>20</v>
      </c>
      <c r="D340" s="38">
        <v>26</v>
      </c>
      <c r="E340" s="38">
        <v>0</v>
      </c>
      <c r="F340" s="38">
        <v>8</v>
      </c>
      <c r="G340" s="38">
        <v>0</v>
      </c>
      <c r="H340" s="38">
        <v>0</v>
      </c>
      <c r="I340" s="38">
        <v>0</v>
      </c>
      <c r="J340" s="38">
        <v>54</v>
      </c>
      <c r="K340" s="38" t="s">
        <v>3948</v>
      </c>
      <c r="L340" s="38">
        <v>88784</v>
      </c>
    </row>
    <row r="341" spans="1:12">
      <c r="A341" s="38" t="s">
        <v>712</v>
      </c>
      <c r="B341" s="38" t="s">
        <v>713</v>
      </c>
      <c r="C341" s="38">
        <v>17</v>
      </c>
      <c r="D341" s="38">
        <v>0</v>
      </c>
      <c r="E341" s="38">
        <v>12</v>
      </c>
      <c r="F341" s="38">
        <v>7</v>
      </c>
      <c r="G341" s="38">
        <v>0</v>
      </c>
      <c r="H341" s="38">
        <v>0</v>
      </c>
      <c r="I341" s="38">
        <v>0</v>
      </c>
      <c r="J341" s="38">
        <v>36</v>
      </c>
      <c r="K341" s="38" t="s">
        <v>3948</v>
      </c>
      <c r="L341" s="38">
        <v>75328</v>
      </c>
    </row>
    <row r="342" spans="1:12">
      <c r="A342" s="38" t="s">
        <v>854</v>
      </c>
      <c r="B342" s="38" t="s">
        <v>855</v>
      </c>
      <c r="C342" s="38">
        <v>66</v>
      </c>
      <c r="D342" s="38">
        <v>20</v>
      </c>
      <c r="E342" s="38">
        <v>5</v>
      </c>
      <c r="F342" s="38">
        <v>2</v>
      </c>
      <c r="G342" s="38">
        <v>0</v>
      </c>
      <c r="H342" s="38">
        <v>0</v>
      </c>
      <c r="I342" s="38">
        <v>0</v>
      </c>
      <c r="J342" s="38">
        <v>93</v>
      </c>
      <c r="K342" s="38" t="s">
        <v>3938</v>
      </c>
      <c r="L342" s="38">
        <v>307383</v>
      </c>
    </row>
    <row r="343" spans="1:12">
      <c r="A343" s="38" t="s">
        <v>714</v>
      </c>
      <c r="B343" s="38" t="s">
        <v>715</v>
      </c>
      <c r="C343" s="38">
        <v>28</v>
      </c>
      <c r="D343" s="38">
        <v>8</v>
      </c>
      <c r="E343" s="38">
        <v>10</v>
      </c>
      <c r="F343" s="38">
        <v>2</v>
      </c>
      <c r="G343" s="38">
        <v>0</v>
      </c>
      <c r="H343" s="38">
        <v>0</v>
      </c>
      <c r="I343" s="38">
        <v>1</v>
      </c>
      <c r="J343" s="38">
        <v>49</v>
      </c>
      <c r="K343" s="38" t="s">
        <v>3938</v>
      </c>
      <c r="L343" s="38">
        <v>85547</v>
      </c>
    </row>
    <row r="344" spans="1:12">
      <c r="A344" s="38" t="s">
        <v>716</v>
      </c>
      <c r="B344" s="38" t="s">
        <v>717</v>
      </c>
      <c r="C344" s="38">
        <v>42</v>
      </c>
      <c r="D344" s="38">
        <v>4</v>
      </c>
      <c r="E344" s="38">
        <v>0</v>
      </c>
      <c r="F344" s="38">
        <v>17</v>
      </c>
      <c r="G344" s="38">
        <v>0</v>
      </c>
      <c r="H344" s="38">
        <v>0</v>
      </c>
      <c r="I344" s="38">
        <v>1</v>
      </c>
      <c r="J344" s="38">
        <v>64</v>
      </c>
      <c r="K344" s="38" t="s">
        <v>3938</v>
      </c>
      <c r="L344" s="38">
        <v>127001</v>
      </c>
    </row>
    <row r="345" spans="1:12">
      <c r="A345" s="38" t="s">
        <v>3931</v>
      </c>
      <c r="B345" s="38" t="s">
        <v>3932</v>
      </c>
      <c r="C345" s="38">
        <v>48</v>
      </c>
      <c r="D345" s="38">
        <v>9</v>
      </c>
      <c r="E345" s="38">
        <v>10</v>
      </c>
      <c r="F345" s="38">
        <v>2</v>
      </c>
      <c r="G345" s="38">
        <v>0</v>
      </c>
      <c r="H345" s="38">
        <v>0</v>
      </c>
      <c r="I345" s="38">
        <v>1</v>
      </c>
      <c r="J345" s="38">
        <v>70</v>
      </c>
      <c r="K345" s="38" t="s">
        <v>3938</v>
      </c>
      <c r="L345" s="38">
        <v>669942</v>
      </c>
    </row>
    <row r="346" spans="1:12">
      <c r="A346" s="38" t="s">
        <v>718</v>
      </c>
      <c r="B346" s="38" t="s">
        <v>719</v>
      </c>
      <c r="C346" s="38">
        <v>41</v>
      </c>
      <c r="D346" s="38">
        <v>19</v>
      </c>
      <c r="E346" s="38">
        <v>0</v>
      </c>
      <c r="F346" s="38">
        <v>0</v>
      </c>
      <c r="G346" s="38">
        <v>0</v>
      </c>
      <c r="H346" s="38">
        <v>0</v>
      </c>
      <c r="I346" s="38">
        <v>0</v>
      </c>
      <c r="J346" s="38">
        <v>60</v>
      </c>
      <c r="K346" s="38" t="s">
        <v>3938</v>
      </c>
      <c r="L346" s="38">
        <v>139229</v>
      </c>
    </row>
    <row r="347" spans="1:12">
      <c r="A347" s="38" t="s">
        <v>720</v>
      </c>
      <c r="B347" s="38" t="s">
        <v>721</v>
      </c>
      <c r="C347" s="38">
        <v>8</v>
      </c>
      <c r="D347" s="38">
        <v>57</v>
      </c>
      <c r="E347" s="38">
        <v>0</v>
      </c>
      <c r="F347" s="38">
        <v>10</v>
      </c>
      <c r="G347" s="38">
        <v>0</v>
      </c>
      <c r="H347" s="38">
        <v>0</v>
      </c>
      <c r="I347" s="38">
        <v>0</v>
      </c>
      <c r="J347" s="38">
        <v>75</v>
      </c>
      <c r="K347" s="38" t="s">
        <v>3939</v>
      </c>
      <c r="L347" s="38">
        <v>241993</v>
      </c>
    </row>
    <row r="348" spans="1:12">
      <c r="A348" s="38" t="s">
        <v>722</v>
      </c>
      <c r="B348" s="38" t="s">
        <v>723</v>
      </c>
      <c r="C348" s="38">
        <v>61</v>
      </c>
      <c r="D348" s="38">
        <v>3</v>
      </c>
      <c r="E348" s="38">
        <v>27</v>
      </c>
      <c r="F348" s="38">
        <v>7</v>
      </c>
      <c r="G348" s="38">
        <v>0</v>
      </c>
      <c r="H348" s="38">
        <v>0</v>
      </c>
      <c r="I348" s="38">
        <v>0</v>
      </c>
      <c r="J348" s="38">
        <v>98</v>
      </c>
      <c r="K348" s="38" t="s">
        <v>3938</v>
      </c>
      <c r="L348" s="38">
        <v>383784</v>
      </c>
    </row>
    <row r="349" spans="1:12">
      <c r="A349" s="38" t="s">
        <v>724</v>
      </c>
      <c r="B349" s="38" t="s">
        <v>725</v>
      </c>
      <c r="C349" s="38">
        <v>16</v>
      </c>
      <c r="D349" s="38">
        <v>0</v>
      </c>
      <c r="E349" s="38">
        <v>27</v>
      </c>
      <c r="F349" s="38">
        <v>2</v>
      </c>
      <c r="G349" s="38">
        <v>0</v>
      </c>
      <c r="H349" s="38">
        <v>0</v>
      </c>
      <c r="I349" s="38">
        <v>0</v>
      </c>
      <c r="J349" s="38">
        <v>45</v>
      </c>
      <c r="K349" s="38" t="s">
        <v>3940</v>
      </c>
      <c r="L349" s="38">
        <v>93823</v>
      </c>
    </row>
    <row r="350" spans="1:12">
      <c r="A350" s="38" t="s">
        <v>726</v>
      </c>
      <c r="B350" s="38" t="s">
        <v>727</v>
      </c>
      <c r="C350" s="38">
        <v>22</v>
      </c>
      <c r="D350" s="38">
        <v>0</v>
      </c>
      <c r="E350" s="38">
        <v>10</v>
      </c>
      <c r="F350" s="38">
        <v>9</v>
      </c>
      <c r="G350" s="38">
        <v>0</v>
      </c>
      <c r="H350" s="38">
        <v>0</v>
      </c>
      <c r="I350" s="38">
        <v>0</v>
      </c>
      <c r="J350" s="38">
        <v>41</v>
      </c>
      <c r="K350" s="38" t="s">
        <v>3938</v>
      </c>
      <c r="L350" s="38">
        <v>113136</v>
      </c>
    </row>
    <row r="351" spans="1:12">
      <c r="A351" s="38" t="s">
        <v>728</v>
      </c>
      <c r="B351" s="38" t="s">
        <v>729</v>
      </c>
      <c r="C351" s="38">
        <v>23</v>
      </c>
      <c r="D351" s="38">
        <v>30</v>
      </c>
      <c r="E351" s="38">
        <v>6</v>
      </c>
      <c r="F351" s="38">
        <v>2</v>
      </c>
      <c r="G351" s="38">
        <v>0</v>
      </c>
      <c r="H351" s="38">
        <v>0</v>
      </c>
      <c r="I351" s="38">
        <v>5</v>
      </c>
      <c r="J351" s="38">
        <v>66</v>
      </c>
      <c r="K351" s="38" t="s">
        <v>3948</v>
      </c>
      <c r="L351" s="38">
        <v>246600</v>
      </c>
    </row>
    <row r="352" spans="1:12">
      <c r="A352" s="38" t="s">
        <v>730</v>
      </c>
      <c r="B352" s="38" t="s">
        <v>731</v>
      </c>
      <c r="C352" s="38">
        <v>13</v>
      </c>
      <c r="D352" s="38">
        <v>3</v>
      </c>
      <c r="E352" s="38">
        <v>12</v>
      </c>
      <c r="F352" s="38">
        <v>2</v>
      </c>
      <c r="G352" s="38">
        <v>0</v>
      </c>
      <c r="H352" s="38">
        <v>0</v>
      </c>
      <c r="I352" s="38">
        <v>0</v>
      </c>
      <c r="J352" s="38">
        <v>30</v>
      </c>
      <c r="K352" s="38" t="s">
        <v>3948</v>
      </c>
      <c r="L352" s="38">
        <v>76497</v>
      </c>
    </row>
    <row r="353" spans="1:12">
      <c r="A353" s="38" t="s">
        <v>732</v>
      </c>
      <c r="B353" s="38" t="s">
        <v>733</v>
      </c>
      <c r="C353" s="38">
        <v>31</v>
      </c>
      <c r="D353" s="38">
        <v>3</v>
      </c>
      <c r="E353" s="38">
        <v>18</v>
      </c>
      <c r="F353" s="38">
        <v>2</v>
      </c>
      <c r="G353" s="38">
        <v>0</v>
      </c>
      <c r="H353" s="38">
        <v>0</v>
      </c>
      <c r="I353" s="38">
        <v>0</v>
      </c>
      <c r="J353" s="38">
        <v>54</v>
      </c>
      <c r="K353" s="38" t="s">
        <v>3938</v>
      </c>
      <c r="L353" s="38">
        <v>128853</v>
      </c>
    </row>
    <row r="354" spans="1:12">
      <c r="A354" s="38" t="s">
        <v>734</v>
      </c>
      <c r="B354" s="38" t="s">
        <v>735</v>
      </c>
      <c r="C354" s="38">
        <v>15</v>
      </c>
      <c r="D354" s="38">
        <v>44</v>
      </c>
      <c r="E354" s="38">
        <v>0</v>
      </c>
      <c r="F354" s="38">
        <v>1</v>
      </c>
      <c r="G354" s="38">
        <v>0</v>
      </c>
      <c r="H354" s="38">
        <v>0</v>
      </c>
      <c r="I354" s="38">
        <v>0</v>
      </c>
      <c r="J354" s="38">
        <v>60</v>
      </c>
      <c r="K354" s="38" t="s">
        <v>3939</v>
      </c>
      <c r="L354" s="38">
        <v>183474</v>
      </c>
    </row>
    <row r="355" spans="1:12">
      <c r="A355" s="38" t="s">
        <v>736</v>
      </c>
      <c r="B355" s="38" t="s">
        <v>737</v>
      </c>
      <c r="C355" s="38">
        <v>18</v>
      </c>
      <c r="D355" s="38">
        <v>11</v>
      </c>
      <c r="E355" s="38">
        <v>2</v>
      </c>
      <c r="F355" s="38">
        <v>0</v>
      </c>
      <c r="G355" s="38">
        <v>0</v>
      </c>
      <c r="H355" s="38">
        <v>0</v>
      </c>
      <c r="I355" s="38">
        <v>4</v>
      </c>
      <c r="J355" s="38">
        <v>35</v>
      </c>
      <c r="K355" s="38" t="s">
        <v>3938</v>
      </c>
      <c r="L355" s="38">
        <v>77645</v>
      </c>
    </row>
    <row r="356" spans="1:12">
      <c r="A356" s="38" t="s">
        <v>3933</v>
      </c>
      <c r="B356" s="38" t="s">
        <v>3934</v>
      </c>
      <c r="C356" s="38">
        <v>45</v>
      </c>
      <c r="D356" s="38">
        <v>3</v>
      </c>
      <c r="E356" s="38">
        <v>4</v>
      </c>
      <c r="F356" s="38">
        <v>2</v>
      </c>
      <c r="G356" s="38">
        <v>0</v>
      </c>
      <c r="H356" s="38">
        <v>0</v>
      </c>
      <c r="I356" s="38">
        <v>3</v>
      </c>
      <c r="J356" s="38">
        <v>57</v>
      </c>
      <c r="K356" s="38" t="s">
        <v>3938</v>
      </c>
      <c r="L356" s="38">
        <v>459245</v>
      </c>
    </row>
    <row r="357" spans="1:12">
      <c r="A357" s="38" t="s">
        <v>738</v>
      </c>
      <c r="B357" s="38" t="s">
        <v>739</v>
      </c>
      <c r="C357" s="38">
        <v>19</v>
      </c>
      <c r="D357" s="38">
        <v>15</v>
      </c>
      <c r="E357" s="38">
        <v>3</v>
      </c>
      <c r="F357" s="38">
        <v>0</v>
      </c>
      <c r="G357" s="38">
        <v>0</v>
      </c>
      <c r="H357" s="38">
        <v>0</v>
      </c>
      <c r="I357" s="38">
        <v>0</v>
      </c>
      <c r="J357" s="38">
        <v>37</v>
      </c>
      <c r="K357" s="38" t="s">
        <v>3938</v>
      </c>
      <c r="L357" s="38">
        <v>86234</v>
      </c>
    </row>
    <row r="358" spans="1:12">
      <c r="A358" s="38" t="s">
        <v>3991</v>
      </c>
      <c r="B358" s="38" t="s">
        <v>3992</v>
      </c>
      <c r="C358" s="38">
        <v>8</v>
      </c>
      <c r="D358" s="38">
        <v>11</v>
      </c>
      <c r="E358" s="38">
        <v>2</v>
      </c>
      <c r="F358" s="38">
        <v>26</v>
      </c>
      <c r="G358" s="38">
        <v>5</v>
      </c>
      <c r="H358" s="38">
        <v>0</v>
      </c>
      <c r="I358" s="38">
        <v>0</v>
      </c>
      <c r="J358" s="38">
        <v>52</v>
      </c>
      <c r="K358" s="38" t="s">
        <v>3948</v>
      </c>
      <c r="L358" s="38">
        <v>101368</v>
      </c>
    </row>
    <row r="359" spans="1:12">
      <c r="A359" s="38" t="s">
        <v>740</v>
      </c>
      <c r="B359" s="38" t="s">
        <v>741</v>
      </c>
      <c r="C359" s="38">
        <v>35</v>
      </c>
      <c r="D359" s="38">
        <v>0</v>
      </c>
      <c r="E359" s="38">
        <v>6</v>
      </c>
      <c r="F359" s="38">
        <v>2</v>
      </c>
      <c r="G359" s="38">
        <v>0</v>
      </c>
      <c r="H359" s="38">
        <v>0</v>
      </c>
      <c r="I359" s="38">
        <v>2</v>
      </c>
      <c r="J359" s="38">
        <v>45</v>
      </c>
      <c r="K359" s="38" t="s">
        <v>3938</v>
      </c>
      <c r="L359" s="38">
        <v>102035</v>
      </c>
    </row>
    <row r="360" spans="1:12">
      <c r="A360" s="38" t="s">
        <v>742</v>
      </c>
      <c r="B360" s="38" t="s">
        <v>743</v>
      </c>
      <c r="C360" s="38">
        <v>37</v>
      </c>
      <c r="D360" s="38">
        <v>8</v>
      </c>
      <c r="E360" s="38">
        <v>0</v>
      </c>
      <c r="F360" s="38">
        <v>5</v>
      </c>
      <c r="G360" s="38">
        <v>0</v>
      </c>
      <c r="H360" s="38">
        <v>0</v>
      </c>
      <c r="I360" s="38">
        <v>0</v>
      </c>
      <c r="J360" s="38">
        <v>50</v>
      </c>
      <c r="K360" s="38" t="s">
        <v>3938</v>
      </c>
      <c r="L360" s="38">
        <v>90210</v>
      </c>
    </row>
    <row r="361" spans="1:12">
      <c r="A361" s="38" t="s">
        <v>744</v>
      </c>
      <c r="B361" s="38" t="s">
        <v>745</v>
      </c>
      <c r="C361" s="38">
        <v>12</v>
      </c>
      <c r="D361" s="38">
        <v>2</v>
      </c>
      <c r="E361" s="38">
        <v>3</v>
      </c>
      <c r="F361" s="38">
        <v>15</v>
      </c>
      <c r="G361" s="38">
        <v>0</v>
      </c>
      <c r="H361" s="38">
        <v>0</v>
      </c>
      <c r="I361" s="38">
        <v>1</v>
      </c>
      <c r="J361" s="38">
        <v>33</v>
      </c>
      <c r="K361" s="38" t="s">
        <v>3948</v>
      </c>
      <c r="L361" s="38">
        <v>78203</v>
      </c>
    </row>
    <row r="362" spans="1:12">
      <c r="A362" s="38" t="s">
        <v>746</v>
      </c>
      <c r="B362" s="38" t="s">
        <v>747</v>
      </c>
      <c r="C362" s="38">
        <v>2</v>
      </c>
      <c r="D362" s="38">
        <v>17</v>
      </c>
      <c r="E362" s="38">
        <v>21</v>
      </c>
      <c r="F362" s="38">
        <v>3</v>
      </c>
      <c r="G362" s="38">
        <v>0</v>
      </c>
      <c r="H362" s="38">
        <v>0</v>
      </c>
      <c r="I362" s="38">
        <v>4</v>
      </c>
      <c r="J362" s="38">
        <v>47</v>
      </c>
      <c r="K362" s="38" t="s">
        <v>3948</v>
      </c>
      <c r="L362" s="38">
        <v>150381</v>
      </c>
    </row>
    <row r="363" spans="1:12">
      <c r="A363" s="34"/>
      <c r="B363" s="34"/>
      <c r="C363" s="34"/>
      <c r="D363" s="34"/>
      <c r="E363" s="34"/>
      <c r="F363" s="34"/>
      <c r="G363" s="34"/>
      <c r="H363" s="34"/>
      <c r="I363" s="34"/>
      <c r="J363" s="34"/>
      <c r="K363" s="34"/>
      <c r="L363" s="34"/>
    </row>
    <row r="364" spans="1:12">
      <c r="A364" s="34"/>
      <c r="B364" s="34"/>
      <c r="C364" s="34"/>
      <c r="D364" s="34"/>
      <c r="E364" s="34"/>
      <c r="F364" s="34"/>
      <c r="G364" s="34"/>
      <c r="H364" s="34"/>
      <c r="I364" s="34"/>
      <c r="J364" s="34"/>
      <c r="K364" s="34"/>
      <c r="L364" s="34"/>
    </row>
    <row r="365" spans="1:12">
      <c r="A365" s="34"/>
      <c r="B365" s="34"/>
      <c r="C365" s="34"/>
      <c r="D365" s="34"/>
      <c r="E365" s="34"/>
      <c r="F365" s="34"/>
      <c r="G365" s="34"/>
      <c r="H365" s="34"/>
      <c r="I365" s="34"/>
      <c r="J365" s="34"/>
      <c r="K365" s="34"/>
      <c r="L365" s="34"/>
    </row>
    <row r="366" spans="1:12">
      <c r="A366" s="34"/>
      <c r="B366" s="34"/>
      <c r="C366" s="34"/>
      <c r="D366" s="34"/>
      <c r="E366" s="34"/>
      <c r="F366" s="34"/>
      <c r="G366" s="34"/>
      <c r="H366" s="34"/>
      <c r="I366" s="34"/>
      <c r="J366" s="34"/>
      <c r="K366" s="34"/>
      <c r="L366" s="34"/>
    </row>
    <row r="367" spans="1:12">
      <c r="A367" s="34"/>
      <c r="B367" s="34"/>
      <c r="C367" s="34"/>
      <c r="D367" s="34"/>
      <c r="E367" s="34"/>
      <c r="F367" s="34"/>
      <c r="G367" s="34"/>
      <c r="H367" s="34"/>
      <c r="I367" s="34"/>
      <c r="J367" s="34"/>
      <c r="K367" s="34"/>
      <c r="L367" s="34"/>
    </row>
    <row r="368" spans="1:12">
      <c r="A368" s="34"/>
      <c r="B368" s="34"/>
      <c r="C368" s="34"/>
      <c r="D368" s="34"/>
      <c r="E368" s="34"/>
      <c r="F368" s="34"/>
      <c r="G368" s="34"/>
      <c r="H368" s="34"/>
      <c r="I368" s="34"/>
      <c r="J368" s="34"/>
      <c r="K368" s="34"/>
      <c r="L368" s="34"/>
    </row>
    <row r="369" spans="11:12">
      <c r="K369" s="34"/>
      <c r="L369" s="34"/>
    </row>
    <row r="370" spans="11:12">
      <c r="K370" s="34"/>
      <c r="L370" s="34"/>
    </row>
    <row r="371" spans="11:12">
      <c r="K371" s="34"/>
      <c r="L371" s="34"/>
    </row>
    <row r="372" spans="11:12">
      <c r="K372" s="34"/>
      <c r="L372" s="34"/>
    </row>
    <row r="373" spans="11:12">
      <c r="K373" s="34"/>
      <c r="L373" s="34"/>
    </row>
    <row r="374" spans="11:12">
      <c r="K374" s="34"/>
      <c r="L374" s="34"/>
    </row>
    <row r="375" spans="11:12">
      <c r="K375" s="34"/>
      <c r="L375" s="34"/>
    </row>
    <row r="376" spans="11:12">
      <c r="K376" s="34"/>
      <c r="L376" s="34"/>
    </row>
    <row r="377" spans="11:12">
      <c r="K377" s="34"/>
      <c r="L377" s="34"/>
    </row>
    <row r="378" spans="11:12">
      <c r="K378" s="34"/>
      <c r="L378" s="34"/>
    </row>
    <row r="379" spans="11:12">
      <c r="K379" s="34"/>
      <c r="L379" s="34"/>
    </row>
    <row r="380" spans="11:12">
      <c r="K380" s="34"/>
      <c r="L380" s="34"/>
    </row>
    <row r="381" spans="11:12">
      <c r="K381" s="34"/>
      <c r="L381" s="34"/>
    </row>
    <row r="382" spans="11:12">
      <c r="K382" s="34"/>
      <c r="L382" s="34"/>
    </row>
    <row r="383" spans="11:12">
      <c r="K383" s="34"/>
      <c r="L383" s="34"/>
    </row>
    <row r="384" spans="11:12">
      <c r="K384" s="34"/>
      <c r="L384" s="34"/>
    </row>
    <row r="385" spans="11:12">
      <c r="K385" s="34"/>
      <c r="L385" s="34"/>
    </row>
    <row r="386" spans="11:12">
      <c r="K386" s="34"/>
      <c r="L386" s="34"/>
    </row>
    <row r="387" spans="11:12">
      <c r="K387" s="34"/>
      <c r="L387" s="34"/>
    </row>
    <row r="388" spans="11:12">
      <c r="K388" s="34"/>
      <c r="L388" s="34"/>
    </row>
    <row r="389" spans="11:12">
      <c r="K389" s="34"/>
      <c r="L389" s="34"/>
    </row>
    <row r="390" spans="11:12">
      <c r="K390" s="34"/>
      <c r="L390" s="34"/>
    </row>
    <row r="391" spans="11:12">
      <c r="K391" s="34"/>
      <c r="L391" s="34"/>
    </row>
    <row r="392" spans="11:12">
      <c r="K392" s="34"/>
      <c r="L392" s="34"/>
    </row>
    <row r="393" spans="11:12">
      <c r="K393" s="34"/>
      <c r="L393" s="34"/>
    </row>
    <row r="394" spans="11:12">
      <c r="K394" s="34"/>
      <c r="L394" s="34"/>
    </row>
    <row r="395" spans="11:12">
      <c r="K395" s="34"/>
      <c r="L395" s="34"/>
    </row>
    <row r="396" spans="11:12">
      <c r="K396" s="34"/>
      <c r="L396" s="34"/>
    </row>
    <row r="397" spans="11:12">
      <c r="K397" s="34"/>
      <c r="L397" s="34"/>
    </row>
    <row r="398" spans="11:12">
      <c r="K398" s="34"/>
      <c r="L398" s="34"/>
    </row>
    <row r="399" spans="11:12">
      <c r="K399" s="34"/>
      <c r="L399" s="34"/>
    </row>
    <row r="400" spans="11:12">
      <c r="K400" s="34"/>
      <c r="L400" s="34"/>
    </row>
    <row r="401" spans="11:12">
      <c r="K401" s="34"/>
      <c r="L401" s="34"/>
    </row>
    <row r="402" spans="11:12">
      <c r="K402" s="34"/>
      <c r="L402" s="34"/>
    </row>
    <row r="403" spans="11:12">
      <c r="K403" s="34"/>
      <c r="L403" s="34"/>
    </row>
    <row r="404" spans="11:12">
      <c r="K404" s="34"/>
      <c r="L404" s="34"/>
    </row>
    <row r="405" spans="11:12">
      <c r="K405" s="34"/>
      <c r="L405" s="34"/>
    </row>
    <row r="406" spans="11:12">
      <c r="K406" s="34"/>
      <c r="L406" s="34"/>
    </row>
    <row r="407" spans="11:12">
      <c r="K407" s="34"/>
      <c r="L407" s="34"/>
    </row>
    <row r="408" spans="11:12">
      <c r="K408" s="34"/>
      <c r="L408" s="34"/>
    </row>
    <row r="409" spans="11:12">
      <c r="K409" s="34"/>
      <c r="L409" s="34"/>
    </row>
    <row r="410" spans="11:12">
      <c r="K410" s="34"/>
      <c r="L410" s="34"/>
    </row>
    <row r="411" spans="11:12">
      <c r="K411" s="34"/>
      <c r="L411" s="34"/>
    </row>
    <row r="412" spans="11:12">
      <c r="K412" s="34"/>
      <c r="L412" s="34"/>
    </row>
    <row r="413" spans="11:12">
      <c r="K413" s="34"/>
      <c r="L413" s="34"/>
    </row>
    <row r="414" spans="11:12">
      <c r="K414" s="34"/>
      <c r="L414" s="34"/>
    </row>
    <row r="415" spans="11:12">
      <c r="K415" s="34"/>
      <c r="L415" s="34"/>
    </row>
    <row r="416" spans="11:12">
      <c r="K416" s="34"/>
      <c r="L416" s="34"/>
    </row>
    <row r="417" spans="11:12">
      <c r="K417" s="34"/>
      <c r="L417" s="34"/>
    </row>
    <row r="418" spans="11:12">
      <c r="K418" s="34"/>
      <c r="L418" s="34"/>
    </row>
    <row r="419" spans="11:12">
      <c r="K419" s="34"/>
      <c r="L419" s="34"/>
    </row>
    <row r="420" spans="11:12">
      <c r="K420" s="34"/>
      <c r="L420" s="34"/>
    </row>
    <row r="421" spans="11:12">
      <c r="K421" s="34"/>
      <c r="L421" s="34"/>
    </row>
    <row r="422" spans="11:12">
      <c r="K422" s="34"/>
      <c r="L422" s="34"/>
    </row>
    <row r="423" spans="11:12">
      <c r="K423" s="34"/>
      <c r="L423" s="34"/>
    </row>
    <row r="424" spans="11:12">
      <c r="K424" s="34"/>
      <c r="L424" s="34"/>
    </row>
    <row r="425" spans="11:12">
      <c r="K425" s="34"/>
      <c r="L425" s="34"/>
    </row>
    <row r="426" spans="11:12">
      <c r="K426" s="34"/>
      <c r="L426" s="34"/>
    </row>
    <row r="427" spans="11:12">
      <c r="K427" s="34"/>
      <c r="L427" s="34"/>
    </row>
    <row r="428" spans="11:12">
      <c r="K428" s="34"/>
      <c r="L428" s="34"/>
    </row>
    <row r="429" spans="11:12">
      <c r="K429" s="34"/>
      <c r="L429" s="34"/>
    </row>
    <row r="430" spans="11:12">
      <c r="K430" s="34"/>
      <c r="L430" s="34"/>
    </row>
    <row r="431" spans="11:12">
      <c r="K431" s="34"/>
      <c r="L431" s="34"/>
    </row>
    <row r="432" spans="11:12">
      <c r="K432" s="34"/>
      <c r="L432" s="34"/>
    </row>
    <row r="433" spans="11:12">
      <c r="K433" s="34"/>
      <c r="L433" s="34"/>
    </row>
    <row r="434" spans="11:12">
      <c r="K434" s="34"/>
      <c r="L434" s="34"/>
    </row>
    <row r="435" spans="11:12">
      <c r="K435" s="34"/>
      <c r="L435" s="34"/>
    </row>
    <row r="436" spans="11:12">
      <c r="K436" s="34"/>
      <c r="L436" s="34"/>
    </row>
    <row r="437" spans="11:12">
      <c r="K437" s="34"/>
      <c r="L437" s="34"/>
    </row>
    <row r="438" spans="11:12">
      <c r="K438" s="34"/>
      <c r="L438" s="34"/>
    </row>
    <row r="439" spans="11:12">
      <c r="K439" s="34"/>
      <c r="L439" s="34"/>
    </row>
    <row r="440" spans="11:12">
      <c r="K440" s="34"/>
      <c r="L440" s="34"/>
    </row>
    <row r="441" spans="11:12">
      <c r="K441" s="34"/>
      <c r="L441" s="34"/>
    </row>
    <row r="442" spans="11:12">
      <c r="K442" s="34"/>
      <c r="L442" s="34"/>
    </row>
    <row r="443" spans="11:12">
      <c r="K443" s="34"/>
      <c r="L443" s="34"/>
    </row>
    <row r="444" spans="11:12">
      <c r="K444" s="34"/>
      <c r="L444" s="34"/>
    </row>
    <row r="445" spans="11:12">
      <c r="K445" s="34"/>
      <c r="L445" s="34"/>
    </row>
    <row r="446" spans="11:12">
      <c r="K446" s="34"/>
      <c r="L446" s="34"/>
    </row>
    <row r="447" spans="11:12">
      <c r="K447" s="34"/>
      <c r="L447" s="34"/>
    </row>
    <row r="448" spans="11:12">
      <c r="K448" s="34"/>
      <c r="L448" s="34"/>
    </row>
    <row r="449" spans="11:12">
      <c r="K449" s="34"/>
      <c r="L449" s="34"/>
    </row>
    <row r="450" spans="11:12">
      <c r="K450" s="34"/>
      <c r="L450" s="34"/>
    </row>
    <row r="451" spans="11:12">
      <c r="K451" s="34"/>
      <c r="L451" s="34"/>
    </row>
    <row r="452" spans="11:12">
      <c r="K452" s="34"/>
      <c r="L452" s="34"/>
    </row>
    <row r="453" spans="11:12">
      <c r="K453" s="34"/>
      <c r="L453" s="34"/>
    </row>
    <row r="454" spans="11:12">
      <c r="K454" s="34"/>
      <c r="L454" s="34"/>
    </row>
    <row r="455" spans="11:12">
      <c r="K455" s="34"/>
      <c r="L455" s="34"/>
    </row>
    <row r="456" spans="11:12">
      <c r="K456" s="34"/>
      <c r="L456" s="34"/>
    </row>
    <row r="457" spans="11:12">
      <c r="K457" s="34"/>
      <c r="L457" s="34"/>
    </row>
    <row r="458" spans="11:12">
      <c r="K458" s="34"/>
      <c r="L458" s="34"/>
    </row>
    <row r="459" spans="11:12">
      <c r="K459" s="34"/>
      <c r="L459" s="34"/>
    </row>
    <row r="460" spans="11:12">
      <c r="K460" s="34"/>
      <c r="L460" s="34"/>
    </row>
    <row r="461" spans="11:12">
      <c r="K461" s="34"/>
      <c r="L461" s="34"/>
    </row>
    <row r="462" spans="11:12">
      <c r="K462" s="34"/>
      <c r="L462" s="34"/>
    </row>
    <row r="463" spans="11:12">
      <c r="K463" s="34"/>
      <c r="L463" s="34"/>
    </row>
    <row r="464" spans="11:12">
      <c r="K464" s="34"/>
      <c r="L464" s="34"/>
    </row>
    <row r="465" spans="11:12">
      <c r="K465" s="34"/>
      <c r="L465" s="34"/>
    </row>
    <row r="466" spans="11:12">
      <c r="K466" s="34"/>
      <c r="L466" s="34"/>
    </row>
    <row r="467" spans="11:12">
      <c r="K467" s="34"/>
      <c r="L467" s="34"/>
    </row>
    <row r="468" spans="11:12">
      <c r="K468" s="34"/>
      <c r="L468" s="34"/>
    </row>
    <row r="469" spans="11:12">
      <c r="K469" s="34"/>
      <c r="L469" s="34"/>
    </row>
    <row r="470" spans="11:12">
      <c r="K470" s="34"/>
      <c r="L470" s="34"/>
    </row>
    <row r="471" spans="11:12">
      <c r="K471" s="34"/>
      <c r="L471" s="34"/>
    </row>
    <row r="472" spans="11:12">
      <c r="K472" s="34"/>
      <c r="L472" s="34"/>
    </row>
    <row r="473" spans="11:12">
      <c r="K473" s="34"/>
      <c r="L473" s="34"/>
    </row>
    <row r="474" spans="11:12">
      <c r="K474" s="34"/>
      <c r="L474" s="34"/>
    </row>
    <row r="475" spans="11:12">
      <c r="K475" s="34"/>
      <c r="L475" s="34"/>
    </row>
    <row r="476" spans="11:12">
      <c r="K476" s="34"/>
      <c r="L476" s="34"/>
    </row>
    <row r="477" spans="11:12">
      <c r="K477" s="34"/>
      <c r="L477" s="34"/>
    </row>
    <row r="478" spans="11:12">
      <c r="K478" s="34"/>
      <c r="L478" s="34"/>
    </row>
    <row r="479" spans="11:12">
      <c r="K479" s="34"/>
      <c r="L479" s="34"/>
    </row>
    <row r="480" spans="11:12">
      <c r="K480" s="34"/>
      <c r="L480" s="34"/>
    </row>
    <row r="481" spans="11:12">
      <c r="K481" s="34"/>
      <c r="L481" s="34"/>
    </row>
    <row r="482" spans="11:12">
      <c r="K482" s="34"/>
      <c r="L482" s="34"/>
    </row>
    <row r="483" spans="11:12">
      <c r="K483" s="34"/>
      <c r="L483" s="34"/>
    </row>
    <row r="484" spans="11:12">
      <c r="K484" s="34"/>
      <c r="L484" s="34"/>
    </row>
    <row r="485" spans="11:12">
      <c r="K485" s="34"/>
      <c r="L485" s="34"/>
    </row>
    <row r="486" spans="11:12">
      <c r="K486" s="34"/>
      <c r="L486" s="34"/>
    </row>
    <row r="487" spans="11:12">
      <c r="K487" s="34"/>
      <c r="L487" s="34"/>
    </row>
    <row r="488" spans="11:12">
      <c r="K488" s="34"/>
      <c r="L488" s="34"/>
    </row>
    <row r="489" spans="11:12">
      <c r="K489" s="34"/>
      <c r="L489" s="34"/>
    </row>
    <row r="490" spans="11:12">
      <c r="K490" s="34"/>
      <c r="L490" s="34"/>
    </row>
    <row r="491" spans="11:12">
      <c r="K491" s="34"/>
      <c r="L491" s="34"/>
    </row>
    <row r="492" spans="11:12">
      <c r="K492" s="34"/>
      <c r="L492" s="34"/>
    </row>
    <row r="493" spans="11:12">
      <c r="K493" s="34"/>
      <c r="L493" s="34"/>
    </row>
    <row r="494" spans="11:12">
      <c r="K494" s="34"/>
      <c r="L494" s="34"/>
    </row>
    <row r="495" spans="11:12">
      <c r="K495" s="34"/>
      <c r="L495" s="34"/>
    </row>
    <row r="496" spans="11:12">
      <c r="K496" s="34"/>
      <c r="L496" s="34"/>
    </row>
    <row r="497" spans="11:12">
      <c r="K497" s="34"/>
      <c r="L497" s="34"/>
    </row>
    <row r="498" spans="11:12">
      <c r="K498" s="34"/>
      <c r="L498" s="34"/>
    </row>
    <row r="499" spans="11:12">
      <c r="K499" s="34"/>
      <c r="L499" s="34"/>
    </row>
    <row r="500" spans="11:12">
      <c r="K500" s="34"/>
      <c r="L500" s="34"/>
    </row>
    <row r="501" spans="11:12">
      <c r="K501" s="34"/>
      <c r="L501" s="34"/>
    </row>
    <row r="502" spans="11:12">
      <c r="K502" s="34"/>
      <c r="L502" s="34"/>
    </row>
    <row r="503" spans="11:12">
      <c r="K503" s="34"/>
      <c r="L503" s="34"/>
    </row>
    <row r="504" spans="11:12">
      <c r="K504" s="34"/>
      <c r="L504" s="34"/>
    </row>
    <row r="505" spans="11:12">
      <c r="K505" s="34"/>
      <c r="L505" s="34"/>
    </row>
    <row r="506" spans="11:12">
      <c r="K506" s="34"/>
      <c r="L506" s="34"/>
    </row>
    <row r="507" spans="11:12">
      <c r="K507" s="34"/>
      <c r="L507" s="34"/>
    </row>
    <row r="508" spans="11:12">
      <c r="K508" s="34"/>
      <c r="L508" s="34"/>
    </row>
    <row r="509" spans="11:12">
      <c r="K509" s="34"/>
      <c r="L509" s="34"/>
    </row>
    <row r="510" spans="11:12">
      <c r="K510" s="34"/>
      <c r="L510" s="34"/>
    </row>
    <row r="511" spans="11:12">
      <c r="K511" s="34"/>
      <c r="L511" s="34"/>
    </row>
    <row r="512" spans="11:12">
      <c r="K512" s="34"/>
      <c r="L512" s="34"/>
    </row>
    <row r="513" spans="11:12">
      <c r="K513" s="34"/>
      <c r="L513" s="34"/>
    </row>
    <row r="514" spans="11:12">
      <c r="K514" s="34"/>
      <c r="L514" s="34"/>
    </row>
    <row r="515" spans="11:12">
      <c r="K515" s="34"/>
      <c r="L515" s="34"/>
    </row>
    <row r="516" spans="11:12">
      <c r="K516" s="34"/>
      <c r="L516" s="34"/>
    </row>
    <row r="517" spans="11:12">
      <c r="K517" s="34"/>
      <c r="L517" s="34"/>
    </row>
    <row r="518" spans="11:12">
      <c r="K518" s="34"/>
      <c r="L518" s="34"/>
    </row>
    <row r="519" spans="11:12">
      <c r="K519" s="34"/>
      <c r="L519" s="34"/>
    </row>
    <row r="520" spans="11:12">
      <c r="K520" s="34"/>
      <c r="L520" s="34"/>
    </row>
    <row r="521" spans="11:12">
      <c r="K521" s="34"/>
      <c r="L521" s="34"/>
    </row>
    <row r="522" spans="11:12">
      <c r="K522" s="34"/>
      <c r="L522" s="34"/>
    </row>
    <row r="523" spans="11:12">
      <c r="K523" s="34"/>
      <c r="L523" s="34"/>
    </row>
    <row r="524" spans="11:12">
      <c r="K524" s="34"/>
      <c r="L524" s="34"/>
    </row>
    <row r="525" spans="11:12">
      <c r="K525" s="34"/>
      <c r="L525" s="34"/>
    </row>
    <row r="526" spans="11:12">
      <c r="K526" s="34"/>
      <c r="L526" s="34"/>
    </row>
    <row r="527" spans="11:12">
      <c r="K527" s="34"/>
      <c r="L527" s="34"/>
    </row>
    <row r="528" spans="11:12">
      <c r="K528" s="34"/>
      <c r="L528" s="34"/>
    </row>
    <row r="529" spans="11:12">
      <c r="K529" s="34"/>
      <c r="L529" s="34"/>
    </row>
    <row r="530" spans="11:12">
      <c r="K530" s="34"/>
      <c r="L530" s="34"/>
    </row>
    <row r="531" spans="11:12">
      <c r="K531" s="34"/>
      <c r="L531" s="34"/>
    </row>
    <row r="532" spans="11:12">
      <c r="K532" s="34"/>
      <c r="L532" s="34"/>
    </row>
    <row r="533" spans="11:12">
      <c r="K533" s="34"/>
      <c r="L533" s="34"/>
    </row>
    <row r="534" spans="11:12">
      <c r="K534" s="34"/>
      <c r="L534" s="34"/>
    </row>
    <row r="535" spans="11:12">
      <c r="K535" s="34"/>
      <c r="L535" s="34"/>
    </row>
    <row r="536" spans="11:12">
      <c r="K536" s="34"/>
      <c r="L536" s="34"/>
    </row>
    <row r="537" spans="11:12">
      <c r="K537" s="34"/>
      <c r="L537" s="34"/>
    </row>
    <row r="538" spans="11:12">
      <c r="K538" s="34"/>
      <c r="L538" s="34"/>
    </row>
    <row r="539" spans="11:12">
      <c r="K539" s="34"/>
      <c r="L539" s="34"/>
    </row>
    <row r="540" spans="11:12">
      <c r="K540" s="34"/>
      <c r="L540" s="34"/>
    </row>
    <row r="541" spans="11:12">
      <c r="K541" s="34"/>
      <c r="L541" s="34"/>
    </row>
    <row r="542" spans="11:12">
      <c r="K542" s="34"/>
      <c r="L542" s="34"/>
    </row>
    <row r="543" spans="11:12">
      <c r="K543" s="34"/>
      <c r="L543" s="34"/>
    </row>
    <row r="544" spans="11:12">
      <c r="K544" s="34"/>
      <c r="L544" s="34"/>
    </row>
    <row r="545" spans="11:12">
      <c r="K545" s="34"/>
      <c r="L545" s="34"/>
    </row>
    <row r="546" spans="11:12">
      <c r="K546" s="34"/>
      <c r="L546" s="34"/>
    </row>
    <row r="547" spans="11:12">
      <c r="K547" s="34"/>
      <c r="L547" s="34"/>
    </row>
    <row r="548" spans="11:12">
      <c r="K548" s="34"/>
      <c r="L548" s="34"/>
    </row>
    <row r="549" spans="11:12">
      <c r="K549" s="34"/>
      <c r="L549" s="34"/>
    </row>
    <row r="550" spans="11:12">
      <c r="K550" s="34"/>
      <c r="L550" s="34"/>
    </row>
    <row r="551" spans="11:12">
      <c r="K551" s="34"/>
      <c r="L551" s="34"/>
    </row>
    <row r="552" spans="11:12">
      <c r="K552" s="34"/>
      <c r="L552" s="34"/>
    </row>
    <row r="553" spans="11:12">
      <c r="K553" s="34"/>
      <c r="L553" s="34"/>
    </row>
    <row r="554" spans="11:12">
      <c r="K554" s="34"/>
      <c r="L554" s="34"/>
    </row>
    <row r="555" spans="11:12">
      <c r="K555" s="34"/>
      <c r="L555" s="34"/>
    </row>
    <row r="556" spans="11:12">
      <c r="K556" s="34"/>
      <c r="L556" s="34"/>
    </row>
    <row r="557" spans="11:12">
      <c r="K557" s="34"/>
      <c r="L557" s="34"/>
    </row>
    <row r="558" spans="11:12">
      <c r="K558" s="34"/>
      <c r="L558" s="34"/>
    </row>
    <row r="559" spans="11:12">
      <c r="K559" s="34"/>
      <c r="L559" s="34"/>
    </row>
    <row r="560" spans="11:12">
      <c r="K560" s="34"/>
      <c r="L560" s="34"/>
    </row>
    <row r="561" spans="11:12">
      <c r="K561" s="34"/>
      <c r="L561" s="34"/>
    </row>
    <row r="562" spans="11:12">
      <c r="K562" s="34"/>
      <c r="L562" s="34"/>
    </row>
    <row r="563" spans="11:12">
      <c r="K563" s="34"/>
      <c r="L563" s="34"/>
    </row>
    <row r="564" spans="11:12">
      <c r="K564" s="34"/>
      <c r="L564" s="34"/>
    </row>
    <row r="565" spans="11:12">
      <c r="K565" s="34"/>
      <c r="L565" s="34"/>
    </row>
    <row r="566" spans="11:12">
      <c r="K566" s="34"/>
      <c r="L566" s="34"/>
    </row>
    <row r="567" spans="11:12">
      <c r="K567" s="34"/>
      <c r="L567" s="34"/>
    </row>
    <row r="568" spans="11:12">
      <c r="K568" s="34"/>
      <c r="L568" s="34"/>
    </row>
    <row r="569" spans="11:12">
      <c r="K569" s="34"/>
      <c r="L569" s="34"/>
    </row>
    <row r="570" spans="11:12">
      <c r="K570" s="34"/>
      <c r="L570" s="34"/>
    </row>
    <row r="571" spans="11:12">
      <c r="K571" s="34"/>
      <c r="L571" s="34"/>
    </row>
    <row r="572" spans="11:12">
      <c r="K572" s="34"/>
      <c r="L572" s="34"/>
    </row>
    <row r="573" spans="11:12">
      <c r="K573" s="34"/>
      <c r="L573" s="34"/>
    </row>
    <row r="574" spans="11:12">
      <c r="K574" s="34"/>
      <c r="L574" s="34"/>
    </row>
    <row r="575" spans="11:12">
      <c r="K575" s="34"/>
      <c r="L575" s="34"/>
    </row>
    <row r="576" spans="11:12">
      <c r="K576" s="34"/>
      <c r="L576" s="34"/>
    </row>
    <row r="577" spans="11:12">
      <c r="K577" s="34"/>
      <c r="L577" s="34"/>
    </row>
    <row r="578" spans="11:12">
      <c r="K578" s="34"/>
      <c r="L578" s="34"/>
    </row>
    <row r="579" spans="11:12">
      <c r="K579" s="34"/>
      <c r="L579" s="34"/>
    </row>
    <row r="580" spans="11:12">
      <c r="K580" s="34"/>
      <c r="L580" s="34"/>
    </row>
    <row r="581" spans="11:12">
      <c r="K581" s="34"/>
      <c r="L581" s="34"/>
    </row>
    <row r="582" spans="11:12">
      <c r="K582" s="34"/>
      <c r="L582" s="34"/>
    </row>
    <row r="583" spans="11:12">
      <c r="K583" s="34"/>
      <c r="L583" s="34"/>
    </row>
    <row r="584" spans="11:12">
      <c r="K584" s="34"/>
      <c r="L584" s="34"/>
    </row>
    <row r="585" spans="11:12">
      <c r="K585" s="34"/>
      <c r="L585" s="34"/>
    </row>
    <row r="586" spans="11:12">
      <c r="K586" s="34"/>
      <c r="L586" s="34"/>
    </row>
    <row r="587" spans="11:12">
      <c r="K587" s="34"/>
      <c r="L587" s="34"/>
    </row>
    <row r="588" spans="11:12">
      <c r="K588" s="34"/>
      <c r="L588" s="34"/>
    </row>
    <row r="589" spans="11:12">
      <c r="K589" s="34"/>
      <c r="L589" s="34"/>
    </row>
    <row r="590" spans="11:12">
      <c r="K590" s="34"/>
      <c r="L590" s="34"/>
    </row>
    <row r="591" spans="11:12">
      <c r="K591" s="34"/>
      <c r="L591" s="34"/>
    </row>
    <row r="592" spans="11:12">
      <c r="K592" s="34"/>
      <c r="L592" s="34"/>
    </row>
    <row r="593" spans="11:12">
      <c r="K593" s="34"/>
      <c r="L593" s="34"/>
    </row>
    <row r="594" spans="11:12">
      <c r="K594" s="34"/>
      <c r="L594" s="34"/>
    </row>
    <row r="595" spans="11:12">
      <c r="K595" s="34"/>
      <c r="L595" s="34"/>
    </row>
    <row r="596" spans="11:12">
      <c r="K596" s="34"/>
      <c r="L596" s="34"/>
    </row>
    <row r="597" spans="11:12">
      <c r="K597" s="34"/>
      <c r="L597" s="34"/>
    </row>
    <row r="598" spans="11:12">
      <c r="K598" s="34"/>
      <c r="L598" s="34"/>
    </row>
    <row r="599" spans="11:12">
      <c r="K599" s="34"/>
      <c r="L599" s="34"/>
    </row>
    <row r="600" spans="11:12">
      <c r="K600" s="34"/>
      <c r="L600" s="34"/>
    </row>
    <row r="601" spans="11:12">
      <c r="K601" s="34"/>
      <c r="L601" s="34"/>
    </row>
    <row r="602" spans="11:12">
      <c r="K602" s="34"/>
      <c r="L602" s="34"/>
    </row>
    <row r="603" spans="11:12">
      <c r="K603" s="34"/>
      <c r="L603" s="34"/>
    </row>
    <row r="604" spans="11:12">
      <c r="K604" s="34"/>
      <c r="L604" s="34"/>
    </row>
    <row r="605" spans="11:12">
      <c r="K605" s="34"/>
      <c r="L605" s="34"/>
    </row>
    <row r="606" spans="11:12">
      <c r="K606" s="34"/>
      <c r="L606" s="34"/>
    </row>
    <row r="607" spans="11:12">
      <c r="K607" s="34"/>
      <c r="L607" s="34"/>
    </row>
    <row r="608" spans="11:12">
      <c r="K608" s="34"/>
      <c r="L608" s="34"/>
    </row>
    <row r="609" spans="11:12">
      <c r="K609" s="34"/>
      <c r="L609" s="34"/>
    </row>
    <row r="610" spans="11:12">
      <c r="K610" s="34"/>
      <c r="L610" s="34"/>
    </row>
    <row r="611" spans="11:12">
      <c r="K611" s="34"/>
      <c r="L611" s="34"/>
    </row>
    <row r="612" spans="11:12">
      <c r="K612" s="34"/>
      <c r="L612" s="34"/>
    </row>
    <row r="613" spans="11:12">
      <c r="K613" s="34"/>
      <c r="L613" s="34"/>
    </row>
    <row r="614" spans="11:12">
      <c r="K614" s="34"/>
      <c r="L614" s="34"/>
    </row>
    <row r="615" spans="11:12">
      <c r="K615" s="34"/>
      <c r="L615" s="34"/>
    </row>
    <row r="616" spans="11:12">
      <c r="K616" s="34"/>
      <c r="L616" s="34"/>
    </row>
    <row r="617" spans="11:12">
      <c r="K617" s="34"/>
      <c r="L617" s="34"/>
    </row>
    <row r="618" spans="11:12">
      <c r="K618" s="34"/>
      <c r="L618" s="34"/>
    </row>
    <row r="619" spans="11:12">
      <c r="K619" s="34"/>
      <c r="L619" s="34"/>
    </row>
    <row r="620" spans="11:12">
      <c r="K620" s="34"/>
      <c r="L620" s="34"/>
    </row>
    <row r="621" spans="11:12">
      <c r="K621" s="34"/>
      <c r="L621" s="34"/>
    </row>
    <row r="622" spans="11:12">
      <c r="K622" s="34"/>
      <c r="L622" s="34"/>
    </row>
    <row r="623" spans="11:12">
      <c r="K623" s="34"/>
      <c r="L623" s="34"/>
    </row>
    <row r="624" spans="11:12">
      <c r="K624" s="34"/>
      <c r="L624" s="34"/>
    </row>
    <row r="625" spans="11:12">
      <c r="K625" s="34"/>
      <c r="L625" s="34"/>
    </row>
    <row r="626" spans="11:12">
      <c r="K626" s="34"/>
      <c r="L626" s="34"/>
    </row>
    <row r="627" spans="11:12">
      <c r="K627" s="34"/>
      <c r="L627" s="34"/>
    </row>
    <row r="628" spans="11:12">
      <c r="K628" s="34"/>
      <c r="L628" s="34"/>
    </row>
    <row r="629" spans="11:12">
      <c r="K629" s="34"/>
      <c r="L629" s="34"/>
    </row>
    <row r="630" spans="11:12">
      <c r="K630" s="34"/>
      <c r="L630" s="34"/>
    </row>
    <row r="631" spans="11:12">
      <c r="K631" s="34"/>
      <c r="L631" s="34"/>
    </row>
    <row r="632" spans="11:12">
      <c r="K632" s="34"/>
      <c r="L632" s="34"/>
    </row>
    <row r="633" spans="11:12">
      <c r="K633" s="34"/>
      <c r="L633" s="34"/>
    </row>
    <row r="634" spans="11:12">
      <c r="K634" s="34"/>
      <c r="L634" s="34"/>
    </row>
    <row r="635" spans="11:12">
      <c r="K635" s="34"/>
      <c r="L635" s="34"/>
    </row>
    <row r="636" spans="11:12">
      <c r="K636" s="34"/>
      <c r="L636" s="34"/>
    </row>
    <row r="637" spans="11:12">
      <c r="K637" s="34"/>
      <c r="L637" s="34"/>
    </row>
    <row r="638" spans="11:12">
      <c r="K638" s="34"/>
      <c r="L638" s="34"/>
    </row>
    <row r="639" spans="11:12">
      <c r="K639" s="34"/>
      <c r="L639" s="34"/>
    </row>
    <row r="640" spans="11:12">
      <c r="K640" s="34"/>
      <c r="L640" s="34"/>
    </row>
    <row r="641" spans="11:12">
      <c r="K641" s="34"/>
      <c r="L641" s="34"/>
    </row>
    <row r="642" spans="11:12">
      <c r="K642" s="34"/>
      <c r="L642" s="34"/>
    </row>
    <row r="643" spans="11:12">
      <c r="K643" s="34"/>
      <c r="L643" s="34"/>
    </row>
    <row r="644" spans="11:12">
      <c r="K644" s="34"/>
      <c r="L644" s="34"/>
    </row>
    <row r="645" spans="11:12">
      <c r="K645" s="34"/>
      <c r="L645" s="34"/>
    </row>
    <row r="646" spans="11:12">
      <c r="K646" s="34"/>
      <c r="L646" s="34"/>
    </row>
    <row r="647" spans="11:12">
      <c r="K647" s="34"/>
      <c r="L647" s="34"/>
    </row>
    <row r="648" spans="11:12">
      <c r="K648" s="34"/>
      <c r="L648" s="34"/>
    </row>
    <row r="649" spans="11:12">
      <c r="K649" s="34"/>
      <c r="L649" s="34"/>
    </row>
    <row r="650" spans="11:12">
      <c r="K650" s="34"/>
      <c r="L650" s="34"/>
    </row>
    <row r="651" spans="11:12">
      <c r="K651" s="34"/>
      <c r="L651" s="34"/>
    </row>
    <row r="652" spans="11:12">
      <c r="K652" s="34"/>
      <c r="L652" s="34"/>
    </row>
    <row r="653" spans="11:12">
      <c r="K653" s="34"/>
      <c r="L653" s="34"/>
    </row>
    <row r="654" spans="11:12">
      <c r="K654" s="34"/>
      <c r="L654" s="34"/>
    </row>
    <row r="655" spans="11:12">
      <c r="K655" s="34"/>
      <c r="L655" s="34"/>
    </row>
    <row r="656" spans="11:12">
      <c r="K656" s="34"/>
      <c r="L656" s="34"/>
    </row>
    <row r="657" spans="11:12">
      <c r="K657" s="34"/>
      <c r="L657" s="34"/>
    </row>
    <row r="658" spans="11:12">
      <c r="K658" s="34"/>
      <c r="L658" s="34"/>
    </row>
    <row r="659" spans="11:12">
      <c r="K659" s="34"/>
      <c r="L659" s="34"/>
    </row>
    <row r="660" spans="11:12">
      <c r="K660" s="34"/>
      <c r="L660" s="34"/>
    </row>
    <row r="661" spans="11:12">
      <c r="K661" s="34"/>
      <c r="L661" s="34"/>
    </row>
    <row r="662" spans="11:12">
      <c r="K662" s="34"/>
      <c r="L662" s="34"/>
    </row>
    <row r="663" spans="11:12">
      <c r="K663" s="34"/>
      <c r="L663" s="34"/>
    </row>
    <row r="664" spans="11:12">
      <c r="K664" s="34"/>
      <c r="L664" s="34"/>
    </row>
    <row r="665" spans="11:12">
      <c r="K665" s="34"/>
      <c r="L665" s="34"/>
    </row>
    <row r="666" spans="11:12">
      <c r="K666" s="34"/>
      <c r="L666" s="34"/>
    </row>
    <row r="667" spans="11:12">
      <c r="K667" s="34"/>
      <c r="L667" s="34"/>
    </row>
    <row r="668" spans="11:12">
      <c r="K668" s="34"/>
      <c r="L668" s="34"/>
    </row>
    <row r="669" spans="11:12">
      <c r="K669" s="34"/>
      <c r="L669" s="34"/>
    </row>
    <row r="670" spans="11:12">
      <c r="K670" s="34"/>
      <c r="L670" s="34"/>
    </row>
    <row r="671" spans="11:12">
      <c r="K671" s="34"/>
      <c r="L671" s="34"/>
    </row>
    <row r="672" spans="11:12">
      <c r="K672" s="34"/>
      <c r="L672" s="34"/>
    </row>
    <row r="673" spans="11:12">
      <c r="K673" s="34"/>
      <c r="L673" s="34"/>
    </row>
    <row r="674" spans="11:12">
      <c r="K674" s="34"/>
      <c r="L674" s="34"/>
    </row>
    <row r="675" spans="11:12">
      <c r="K675" s="34"/>
      <c r="L675" s="34"/>
    </row>
    <row r="676" spans="11:12">
      <c r="K676" s="34"/>
      <c r="L676" s="34"/>
    </row>
    <row r="677" spans="11:12">
      <c r="K677" s="34"/>
      <c r="L677" s="34"/>
    </row>
    <row r="678" spans="11:12">
      <c r="K678" s="34"/>
      <c r="L678" s="34"/>
    </row>
    <row r="679" spans="11:12">
      <c r="K679" s="34"/>
      <c r="L679" s="34"/>
    </row>
    <row r="680" spans="11:12">
      <c r="K680" s="34"/>
      <c r="L680" s="34"/>
    </row>
    <row r="681" spans="11:12">
      <c r="K681" s="34"/>
      <c r="L681" s="34"/>
    </row>
    <row r="682" spans="11:12">
      <c r="K682" s="34"/>
      <c r="L682" s="34"/>
    </row>
    <row r="683" spans="11:12">
      <c r="K683" s="34"/>
      <c r="L683" s="34"/>
    </row>
    <row r="684" spans="11:12">
      <c r="K684" s="34"/>
      <c r="L684" s="34"/>
    </row>
    <row r="685" spans="11:12">
      <c r="K685" s="34"/>
      <c r="L685" s="34"/>
    </row>
    <row r="686" spans="11:12">
      <c r="K686" s="34"/>
      <c r="L686" s="34"/>
    </row>
    <row r="687" spans="11:12">
      <c r="K687" s="34"/>
      <c r="L687" s="34"/>
    </row>
    <row r="688" spans="11:12">
      <c r="K688" s="34"/>
      <c r="L688" s="34"/>
    </row>
    <row r="689" spans="11:12">
      <c r="K689" s="34"/>
      <c r="L689" s="34"/>
    </row>
    <row r="690" spans="11:12">
      <c r="K690" s="34"/>
      <c r="L690" s="34"/>
    </row>
    <row r="691" spans="11:12">
      <c r="K691" s="34"/>
      <c r="L691" s="34"/>
    </row>
    <row r="692" spans="11:12">
      <c r="K692" s="34"/>
      <c r="L692" s="34"/>
    </row>
    <row r="693" spans="11:12">
      <c r="K693" s="34"/>
      <c r="L693" s="34"/>
    </row>
    <row r="694" spans="11:12">
      <c r="K694" s="34"/>
      <c r="L694" s="34"/>
    </row>
    <row r="695" spans="11:12">
      <c r="K695" s="34"/>
      <c r="L695" s="34"/>
    </row>
    <row r="696" spans="11:12">
      <c r="K696" s="34"/>
      <c r="L696" s="34"/>
    </row>
    <row r="697" spans="11:12">
      <c r="K697" s="34"/>
      <c r="L697" s="34"/>
    </row>
    <row r="698" spans="11:12">
      <c r="K698" s="34"/>
      <c r="L698" s="34"/>
    </row>
    <row r="699" spans="11:12">
      <c r="K699" s="34"/>
      <c r="L699" s="34"/>
    </row>
    <row r="700" spans="11:12">
      <c r="K700" s="34"/>
      <c r="L700" s="34"/>
    </row>
    <row r="701" spans="11:12">
      <c r="K701" s="34"/>
      <c r="L701" s="34"/>
    </row>
    <row r="702" spans="11:12">
      <c r="K702" s="34"/>
      <c r="L702" s="34"/>
    </row>
    <row r="703" spans="11:12">
      <c r="K703" s="34"/>
      <c r="L703" s="34"/>
    </row>
    <row r="704" spans="11:12">
      <c r="K704" s="34"/>
      <c r="L704" s="34"/>
    </row>
    <row r="705" spans="11:12">
      <c r="K705" s="34"/>
      <c r="L705" s="34"/>
    </row>
    <row r="706" spans="11:12">
      <c r="K706" s="34"/>
      <c r="L706" s="34"/>
    </row>
    <row r="707" spans="11:12">
      <c r="K707" s="34"/>
      <c r="L707" s="34"/>
    </row>
    <row r="708" spans="11:12">
      <c r="K708" s="34"/>
      <c r="L708" s="34"/>
    </row>
    <row r="709" spans="11:12">
      <c r="K709" s="34"/>
      <c r="L709" s="34"/>
    </row>
    <row r="710" spans="11:12">
      <c r="K710" s="34"/>
      <c r="L710" s="34"/>
    </row>
    <row r="711" spans="11:12">
      <c r="K711" s="34"/>
      <c r="L711" s="34"/>
    </row>
    <row r="712" spans="11:12">
      <c r="K712" s="34"/>
      <c r="L712" s="34"/>
    </row>
    <row r="713" spans="11:12">
      <c r="K713" s="34"/>
      <c r="L713" s="34"/>
    </row>
    <row r="714" spans="11:12">
      <c r="K714" s="34"/>
      <c r="L714" s="34"/>
    </row>
    <row r="715" spans="11:12">
      <c r="K715" s="34"/>
      <c r="L715" s="34"/>
    </row>
    <row r="716" spans="11:12">
      <c r="K716" s="34"/>
      <c r="L716" s="34"/>
    </row>
    <row r="717" spans="11:12">
      <c r="K717" s="34"/>
      <c r="L717" s="34"/>
    </row>
    <row r="718" spans="11:12">
      <c r="K718" s="34"/>
      <c r="L718" s="34"/>
    </row>
    <row r="719" spans="11:12">
      <c r="K719" s="34"/>
      <c r="L719" s="34"/>
    </row>
    <row r="720" spans="11:12">
      <c r="K720" s="34"/>
      <c r="L720" s="34"/>
    </row>
    <row r="721" spans="11:12">
      <c r="K721" s="34"/>
      <c r="L721" s="34"/>
    </row>
    <row r="722" spans="11:12">
      <c r="K722" s="34"/>
      <c r="L722" s="34"/>
    </row>
    <row r="723" spans="11:12">
      <c r="K723" s="34"/>
      <c r="L723" s="34"/>
    </row>
    <row r="724" spans="11:12">
      <c r="K724" s="34"/>
      <c r="L724" s="34"/>
    </row>
    <row r="725" spans="11:12">
      <c r="K725" s="34"/>
      <c r="L725" s="34"/>
    </row>
    <row r="726" spans="11:12">
      <c r="K726" s="34"/>
      <c r="L726" s="34"/>
    </row>
    <row r="727" spans="11:12">
      <c r="K727" s="34"/>
      <c r="L727" s="34"/>
    </row>
    <row r="728" spans="11:12">
      <c r="K728" s="34"/>
      <c r="L728" s="34"/>
    </row>
    <row r="729" spans="11:12">
      <c r="K729" s="34"/>
      <c r="L729" s="34"/>
    </row>
    <row r="730" spans="11:12">
      <c r="K730" s="34"/>
      <c r="L730" s="34"/>
    </row>
    <row r="731" spans="11:12">
      <c r="K731" s="34"/>
      <c r="L731" s="34"/>
    </row>
    <row r="732" spans="11:12">
      <c r="K732" s="34"/>
      <c r="L732" s="34"/>
    </row>
    <row r="733" spans="11:12">
      <c r="K733" s="34"/>
      <c r="L733" s="34"/>
    </row>
    <row r="734" spans="11:12">
      <c r="K734" s="34"/>
      <c r="L734" s="34"/>
    </row>
    <row r="735" spans="11:12">
      <c r="K735" s="34"/>
      <c r="L735" s="34"/>
    </row>
    <row r="736" spans="11:12">
      <c r="K736" s="34"/>
      <c r="L736" s="34"/>
    </row>
    <row r="737" spans="11:12">
      <c r="K737" s="34"/>
      <c r="L737" s="34"/>
    </row>
    <row r="738" spans="11:12">
      <c r="K738" s="34"/>
      <c r="L738" s="34"/>
    </row>
    <row r="739" spans="11:12">
      <c r="K739" s="34"/>
      <c r="L739" s="34"/>
    </row>
    <row r="740" spans="11:12">
      <c r="K740" s="34"/>
      <c r="L740" s="34"/>
    </row>
    <row r="741" spans="11:12">
      <c r="K741" s="34"/>
      <c r="L741" s="34"/>
    </row>
    <row r="742" spans="11:12">
      <c r="K742" s="34"/>
      <c r="L742" s="34"/>
    </row>
    <row r="743" spans="11:12">
      <c r="K743" s="34"/>
      <c r="L743" s="34"/>
    </row>
    <row r="744" spans="11:12">
      <c r="K744" s="34"/>
      <c r="L744" s="34"/>
    </row>
    <row r="745" spans="11:12">
      <c r="K745" s="34"/>
      <c r="L745" s="34"/>
    </row>
    <row r="746" spans="11:12">
      <c r="K746" s="34"/>
      <c r="L746" s="34"/>
    </row>
    <row r="747" spans="11:12">
      <c r="K747" s="34"/>
      <c r="L747" s="34"/>
    </row>
    <row r="748" spans="11:12">
      <c r="K748" s="34"/>
      <c r="L748" s="34"/>
    </row>
    <row r="749" spans="11:12">
      <c r="K749" s="34"/>
      <c r="L749" s="34"/>
    </row>
    <row r="750" spans="11:12">
      <c r="K750" s="34"/>
      <c r="L750" s="34"/>
    </row>
    <row r="751" spans="11:12">
      <c r="K751" s="34"/>
      <c r="L751" s="34"/>
    </row>
    <row r="752" spans="11:12">
      <c r="K752" s="34"/>
      <c r="L752" s="34"/>
    </row>
    <row r="753" spans="11:12">
      <c r="K753" s="34"/>
      <c r="L753" s="34"/>
    </row>
    <row r="754" spans="11:12">
      <c r="K754" s="34"/>
      <c r="L754" s="34"/>
    </row>
    <row r="755" spans="11:12">
      <c r="K755" s="34"/>
      <c r="L755" s="34"/>
    </row>
    <row r="756" spans="11:12">
      <c r="K756" s="34"/>
      <c r="L756" s="34"/>
    </row>
    <row r="757" spans="11:12">
      <c r="K757" s="34"/>
      <c r="L757" s="34"/>
    </row>
    <row r="758" spans="11:12">
      <c r="K758" s="34"/>
      <c r="L758" s="34"/>
    </row>
    <row r="759" spans="11:12">
      <c r="K759" s="34"/>
      <c r="L759" s="34"/>
    </row>
    <row r="760" spans="11:12">
      <c r="K760" s="34"/>
      <c r="L760" s="34"/>
    </row>
    <row r="761" spans="11:12">
      <c r="K761" s="34"/>
      <c r="L761" s="34"/>
    </row>
    <row r="762" spans="11:12">
      <c r="K762" s="34"/>
      <c r="L762" s="34"/>
    </row>
    <row r="763" spans="11:12">
      <c r="K763" s="34"/>
      <c r="L763" s="34"/>
    </row>
    <row r="764" spans="11:12">
      <c r="K764" s="34"/>
      <c r="L764" s="34"/>
    </row>
    <row r="765" spans="11:12">
      <c r="K765" s="34"/>
      <c r="L765" s="34"/>
    </row>
    <row r="766" spans="11:12">
      <c r="K766" s="34"/>
      <c r="L766" s="34"/>
    </row>
    <row r="767" spans="11:12">
      <c r="K767" s="34"/>
      <c r="L767" s="34"/>
    </row>
    <row r="768" spans="11:12">
      <c r="K768" s="34"/>
      <c r="L768" s="34"/>
    </row>
    <row r="769" spans="11:12">
      <c r="K769" s="34"/>
      <c r="L769" s="34"/>
    </row>
    <row r="770" spans="11:12">
      <c r="K770" s="34"/>
      <c r="L770" s="34"/>
    </row>
    <row r="771" spans="11:12">
      <c r="K771" s="34"/>
      <c r="L771" s="34"/>
    </row>
    <row r="772" spans="11:12">
      <c r="K772" s="34"/>
      <c r="L772" s="34"/>
    </row>
    <row r="773" spans="11:12">
      <c r="K773" s="34"/>
      <c r="L773" s="34"/>
    </row>
    <row r="774" spans="11:12">
      <c r="K774" s="34"/>
      <c r="L774" s="34"/>
    </row>
    <row r="775" spans="11:12">
      <c r="K775" s="34"/>
      <c r="L775" s="34"/>
    </row>
    <row r="776" spans="11:12">
      <c r="K776" s="34"/>
      <c r="L776" s="34"/>
    </row>
    <row r="777" spans="11:12">
      <c r="K777" s="34"/>
      <c r="L777" s="34"/>
    </row>
    <row r="778" spans="11:12">
      <c r="K778" s="34"/>
      <c r="L778" s="34"/>
    </row>
    <row r="779" spans="11:12">
      <c r="K779" s="34"/>
      <c r="L779" s="34"/>
    </row>
    <row r="780" spans="11:12">
      <c r="K780" s="34"/>
      <c r="L780" s="34"/>
    </row>
    <row r="781" spans="11:12">
      <c r="K781" s="34"/>
      <c r="L781" s="34"/>
    </row>
    <row r="782" spans="11:12">
      <c r="K782" s="34"/>
      <c r="L782" s="34"/>
    </row>
    <row r="783" spans="11:12">
      <c r="K783" s="34"/>
      <c r="L783" s="34"/>
    </row>
    <row r="784" spans="11:12">
      <c r="K784" s="34"/>
      <c r="L784" s="34"/>
    </row>
    <row r="785" spans="11:12">
      <c r="K785" s="34"/>
      <c r="L785" s="34"/>
    </row>
    <row r="786" spans="11:12">
      <c r="K786" s="34"/>
      <c r="L786" s="34"/>
    </row>
    <row r="787" spans="11:12">
      <c r="K787" s="34"/>
      <c r="L787" s="34"/>
    </row>
    <row r="788" spans="11:12">
      <c r="K788" s="34"/>
      <c r="L788" s="34"/>
    </row>
    <row r="789" spans="11:12">
      <c r="K789" s="34"/>
      <c r="L789" s="34"/>
    </row>
    <row r="790" spans="11:12">
      <c r="K790" s="34"/>
      <c r="L790" s="34"/>
    </row>
    <row r="791" spans="11:12">
      <c r="K791" s="34"/>
      <c r="L791" s="34"/>
    </row>
    <row r="792" spans="11:12">
      <c r="K792" s="34"/>
      <c r="L792" s="34"/>
    </row>
    <row r="793" spans="11:12">
      <c r="K793" s="34"/>
      <c r="L793" s="34"/>
    </row>
    <row r="794" spans="11:12">
      <c r="K794" s="34"/>
      <c r="L794" s="34"/>
    </row>
    <row r="795" spans="11:12">
      <c r="K795" s="34"/>
      <c r="L795" s="34"/>
    </row>
    <row r="796" spans="11:12">
      <c r="K796" s="34"/>
      <c r="L796" s="34"/>
    </row>
    <row r="797" spans="11:12">
      <c r="K797" s="34"/>
      <c r="L797" s="34"/>
    </row>
    <row r="798" spans="11:12">
      <c r="K798" s="34"/>
      <c r="L798" s="34"/>
    </row>
    <row r="799" spans="11:12">
      <c r="K799" s="34"/>
      <c r="L799" s="34"/>
    </row>
    <row r="800" spans="11:12">
      <c r="K800" s="34"/>
      <c r="L800" s="34"/>
    </row>
    <row r="801" spans="11:12">
      <c r="K801" s="34"/>
      <c r="L801" s="34"/>
    </row>
    <row r="802" spans="11:12">
      <c r="K802" s="34"/>
      <c r="L802" s="34"/>
    </row>
    <row r="803" spans="11:12">
      <c r="K803" s="34"/>
      <c r="L803" s="34"/>
    </row>
    <row r="804" spans="11:12">
      <c r="K804" s="34"/>
      <c r="L804" s="34"/>
    </row>
    <row r="805" spans="11:12">
      <c r="K805" s="34"/>
      <c r="L805" s="34"/>
    </row>
    <row r="806" spans="11:12">
      <c r="K806" s="34"/>
      <c r="L806" s="34"/>
    </row>
    <row r="807" spans="11:12">
      <c r="K807" s="34"/>
      <c r="L807" s="34"/>
    </row>
    <row r="808" spans="11:12">
      <c r="K808" s="34"/>
      <c r="L808" s="34"/>
    </row>
    <row r="809" spans="11:12">
      <c r="K809" s="34"/>
      <c r="L809" s="34"/>
    </row>
    <row r="810" spans="11:12">
      <c r="K810" s="34"/>
      <c r="L810" s="34"/>
    </row>
    <row r="811" spans="11:12">
      <c r="K811" s="34"/>
      <c r="L811" s="34"/>
    </row>
    <row r="812" spans="11:12">
      <c r="K812" s="34"/>
      <c r="L812" s="34"/>
    </row>
    <row r="813" spans="11:12">
      <c r="K813" s="34"/>
      <c r="L813" s="34"/>
    </row>
    <row r="814" spans="11:12">
      <c r="K814" s="34"/>
      <c r="L814" s="34"/>
    </row>
    <row r="815" spans="11:12">
      <c r="K815" s="34"/>
      <c r="L815" s="34"/>
    </row>
    <row r="816" spans="11:12">
      <c r="K816" s="34"/>
      <c r="L816" s="34"/>
    </row>
    <row r="817" spans="11:12">
      <c r="K817" s="34"/>
      <c r="L817" s="34"/>
    </row>
    <row r="818" spans="11:12">
      <c r="K818" s="34"/>
      <c r="L818" s="34"/>
    </row>
    <row r="819" spans="11:12">
      <c r="K819" s="34"/>
      <c r="L819" s="34"/>
    </row>
    <row r="820" spans="11:12">
      <c r="K820" s="34"/>
      <c r="L820" s="34"/>
    </row>
    <row r="821" spans="11:12">
      <c r="K821" s="34"/>
      <c r="L821" s="34"/>
    </row>
    <row r="822" spans="11:12">
      <c r="K822" s="34"/>
      <c r="L822" s="34"/>
    </row>
    <row r="823" spans="11:12">
      <c r="K823" s="34"/>
      <c r="L823" s="34"/>
    </row>
    <row r="824" spans="11:12">
      <c r="K824" s="34"/>
      <c r="L824" s="34"/>
    </row>
    <row r="825" spans="11:12">
      <c r="K825" s="34"/>
      <c r="L825" s="34"/>
    </row>
    <row r="826" spans="11:12">
      <c r="K826" s="34"/>
      <c r="L826" s="34"/>
    </row>
    <row r="827" spans="11:12">
      <c r="K827" s="34"/>
      <c r="L827" s="34"/>
    </row>
    <row r="828" spans="11:12">
      <c r="K828" s="34"/>
      <c r="L828" s="34"/>
    </row>
    <row r="829" spans="11:12">
      <c r="K829" s="34"/>
      <c r="L829" s="34"/>
    </row>
    <row r="830" spans="11:12">
      <c r="K830" s="34"/>
      <c r="L830" s="34"/>
    </row>
    <row r="831" spans="11:12">
      <c r="K831" s="34"/>
      <c r="L831" s="34"/>
    </row>
    <row r="832" spans="11:12">
      <c r="K832" s="34"/>
      <c r="L832" s="34"/>
    </row>
    <row r="833" spans="11:12">
      <c r="K833" s="34"/>
      <c r="L833" s="34"/>
    </row>
    <row r="834" spans="11:12">
      <c r="K834" s="34"/>
      <c r="L834" s="34"/>
    </row>
    <row r="835" spans="11:12">
      <c r="K835" s="34"/>
      <c r="L835" s="34"/>
    </row>
    <row r="836" spans="11:12">
      <c r="K836" s="34"/>
      <c r="L836" s="34"/>
    </row>
    <row r="837" spans="11:12">
      <c r="K837" s="34"/>
      <c r="L837" s="34"/>
    </row>
    <row r="838" spans="11:12">
      <c r="K838" s="34"/>
      <c r="L838" s="34"/>
    </row>
    <row r="839" spans="11:12">
      <c r="K839" s="34"/>
      <c r="L839" s="34"/>
    </row>
    <row r="840" spans="11:12">
      <c r="K840" s="34"/>
      <c r="L840" s="34"/>
    </row>
    <row r="841" spans="11:12">
      <c r="K841" s="34"/>
      <c r="L841" s="34"/>
    </row>
    <row r="842" spans="11:12">
      <c r="K842" s="34"/>
      <c r="L842" s="34"/>
    </row>
    <row r="843" spans="11:12">
      <c r="K843" s="34"/>
      <c r="L843" s="34"/>
    </row>
    <row r="844" spans="11:12">
      <c r="K844" s="34"/>
      <c r="L844" s="34"/>
    </row>
    <row r="845" spans="11:12">
      <c r="K845" s="34"/>
      <c r="L845" s="34"/>
    </row>
    <row r="846" spans="11:12">
      <c r="K846" s="34"/>
      <c r="L846" s="34"/>
    </row>
    <row r="847" spans="11:12">
      <c r="K847" s="34"/>
      <c r="L847" s="34"/>
    </row>
    <row r="848" spans="11:12">
      <c r="K848" s="34"/>
      <c r="L848" s="34"/>
    </row>
    <row r="849" spans="11:12">
      <c r="K849" s="34"/>
      <c r="L849" s="34"/>
    </row>
    <row r="850" spans="11:12">
      <c r="K850" s="34"/>
      <c r="L850" s="34"/>
    </row>
    <row r="851" spans="11:12">
      <c r="K851" s="34"/>
      <c r="L851" s="34"/>
    </row>
    <row r="852" spans="11:12">
      <c r="K852" s="34"/>
      <c r="L852" s="34"/>
    </row>
    <row r="853" spans="11:12">
      <c r="K853" s="34"/>
      <c r="L853" s="34"/>
    </row>
    <row r="854" spans="11:12">
      <c r="K854" s="34"/>
      <c r="L854" s="34"/>
    </row>
    <row r="855" spans="11:12">
      <c r="K855" s="34"/>
      <c r="L855" s="34"/>
    </row>
    <row r="856" spans="11:12">
      <c r="K856" s="34"/>
      <c r="L856" s="34"/>
    </row>
    <row r="857" spans="11:12">
      <c r="K857" s="34"/>
      <c r="L857" s="34"/>
    </row>
    <row r="858" spans="11:12">
      <c r="K858" s="34"/>
      <c r="L858" s="34"/>
    </row>
    <row r="859" spans="11:12">
      <c r="K859" s="34"/>
      <c r="L859" s="34"/>
    </row>
    <row r="860" spans="11:12">
      <c r="K860" s="34"/>
      <c r="L860" s="34"/>
    </row>
    <row r="861" spans="11:12">
      <c r="K861" s="34"/>
      <c r="L861" s="34"/>
    </row>
    <row r="862" spans="11:12">
      <c r="K862" s="34"/>
      <c r="L862" s="34"/>
    </row>
    <row r="863" spans="11:12">
      <c r="K863" s="34"/>
      <c r="L863" s="34"/>
    </row>
    <row r="864" spans="11:12">
      <c r="K864" s="34"/>
      <c r="L864" s="34"/>
    </row>
    <row r="865" spans="11:12">
      <c r="K865" s="34"/>
      <c r="L865" s="34"/>
    </row>
    <row r="866" spans="11:12">
      <c r="K866" s="34"/>
      <c r="L866" s="34"/>
    </row>
    <row r="867" spans="11:12">
      <c r="K867" s="34"/>
      <c r="L867" s="34"/>
    </row>
    <row r="868" spans="11:12">
      <c r="K868" s="34"/>
      <c r="L868" s="34"/>
    </row>
    <row r="869" spans="11:12">
      <c r="K869" s="34"/>
      <c r="L869" s="34"/>
    </row>
    <row r="870" spans="11:12">
      <c r="K870" s="34"/>
      <c r="L870" s="34"/>
    </row>
    <row r="871" spans="11:12">
      <c r="K871" s="34"/>
      <c r="L871" s="34"/>
    </row>
    <row r="872" spans="11:12">
      <c r="K872" s="34"/>
      <c r="L872" s="34"/>
    </row>
    <row r="873" spans="11:12">
      <c r="K873" s="34"/>
      <c r="L873" s="34"/>
    </row>
    <row r="874" spans="11:12">
      <c r="K874" s="34"/>
      <c r="L874" s="34"/>
    </row>
    <row r="875" spans="11:12">
      <c r="K875" s="34"/>
      <c r="L875" s="34"/>
    </row>
    <row r="876" spans="11:12">
      <c r="K876" s="34"/>
      <c r="L876" s="34"/>
    </row>
    <row r="877" spans="11:12">
      <c r="K877" s="34"/>
      <c r="L877" s="34"/>
    </row>
    <row r="878" spans="11:12">
      <c r="K878" s="34"/>
      <c r="L878" s="34"/>
    </row>
    <row r="879" spans="11:12">
      <c r="K879" s="34"/>
      <c r="L879" s="34"/>
    </row>
    <row r="880" spans="11:12">
      <c r="K880" s="34"/>
      <c r="L880" s="34"/>
    </row>
    <row r="881" spans="11:12">
      <c r="K881" s="34"/>
      <c r="L881" s="34"/>
    </row>
    <row r="882" spans="11:12">
      <c r="K882" s="34"/>
      <c r="L882" s="34"/>
    </row>
    <row r="883" spans="11:12">
      <c r="K883" s="34"/>
      <c r="L883" s="34"/>
    </row>
    <row r="884" spans="11:12">
      <c r="K884" s="34"/>
      <c r="L884" s="34"/>
    </row>
    <row r="885" spans="11:12">
      <c r="K885" s="34"/>
      <c r="L885" s="34"/>
    </row>
    <row r="886" spans="11:12">
      <c r="K886" s="34"/>
      <c r="L886" s="34"/>
    </row>
    <row r="887" spans="11:12">
      <c r="K887" s="34"/>
      <c r="L887" s="34"/>
    </row>
    <row r="888" spans="11:12">
      <c r="K888" s="34"/>
      <c r="L888" s="34"/>
    </row>
    <row r="889" spans="11:12">
      <c r="K889" s="34"/>
      <c r="L889" s="34"/>
    </row>
    <row r="890" spans="11:12">
      <c r="K890" s="34"/>
      <c r="L890" s="34"/>
    </row>
    <row r="891" spans="11:12">
      <c r="K891" s="34"/>
      <c r="L891" s="34"/>
    </row>
    <row r="892" spans="11:12">
      <c r="K892" s="34"/>
      <c r="L892" s="34"/>
    </row>
    <row r="893" spans="11:12">
      <c r="K893" s="34"/>
      <c r="L893" s="34"/>
    </row>
    <row r="894" spans="11:12">
      <c r="K894" s="34"/>
      <c r="L894" s="34"/>
    </row>
    <row r="895" spans="11:12">
      <c r="K895" s="34"/>
      <c r="L895" s="34"/>
    </row>
    <row r="896" spans="11:12">
      <c r="K896" s="34"/>
      <c r="L896" s="34"/>
    </row>
    <row r="897" spans="11:12">
      <c r="K897" s="34"/>
      <c r="L897" s="34"/>
    </row>
    <row r="898" spans="11:12">
      <c r="K898" s="34"/>
      <c r="L898" s="34"/>
    </row>
    <row r="899" spans="11:12">
      <c r="K899" s="34"/>
      <c r="L899" s="34"/>
    </row>
    <row r="900" spans="11:12">
      <c r="K900" s="34"/>
      <c r="L900" s="34"/>
    </row>
    <row r="901" spans="11:12">
      <c r="K901" s="34"/>
      <c r="L901" s="34"/>
    </row>
    <row r="902" spans="11:12">
      <c r="K902" s="34"/>
      <c r="L902" s="34"/>
    </row>
    <row r="903" spans="11:12">
      <c r="K903" s="34"/>
      <c r="L903" s="34"/>
    </row>
    <row r="904" spans="11:12">
      <c r="K904" s="34"/>
      <c r="L904" s="34"/>
    </row>
    <row r="905" spans="11:12">
      <c r="K905" s="34"/>
      <c r="L905" s="34"/>
    </row>
    <row r="906" spans="11:12">
      <c r="K906" s="34"/>
      <c r="L906" s="34"/>
    </row>
    <row r="907" spans="11:12">
      <c r="K907" s="34"/>
      <c r="L907" s="34"/>
    </row>
    <row r="908" spans="11:12">
      <c r="K908" s="34"/>
      <c r="L908" s="34"/>
    </row>
    <row r="909" spans="11:12">
      <c r="K909" s="34"/>
      <c r="L909" s="34"/>
    </row>
    <row r="910" spans="11:12">
      <c r="K910" s="34"/>
      <c r="L910" s="34"/>
    </row>
    <row r="911" spans="11:12">
      <c r="K911" s="34"/>
      <c r="L911" s="34"/>
    </row>
    <row r="912" spans="11:12">
      <c r="K912" s="34"/>
      <c r="L912" s="34"/>
    </row>
    <row r="913" spans="11:12">
      <c r="K913" s="34"/>
      <c r="L913" s="34"/>
    </row>
    <row r="914" spans="11:12">
      <c r="K914" s="34"/>
      <c r="L914" s="34"/>
    </row>
    <row r="915" spans="11:12">
      <c r="K915" s="34"/>
      <c r="L915" s="34"/>
    </row>
    <row r="916" spans="11:12">
      <c r="K916" s="34"/>
      <c r="L916" s="34"/>
    </row>
    <row r="917" spans="11:12">
      <c r="K917" s="34"/>
      <c r="L917" s="34"/>
    </row>
    <row r="918" spans="11:12">
      <c r="K918" s="34"/>
      <c r="L918" s="34"/>
    </row>
    <row r="919" spans="11:12">
      <c r="K919" s="34"/>
      <c r="L919" s="34"/>
    </row>
    <row r="920" spans="11:12">
      <c r="K920" s="34"/>
      <c r="L920" s="34"/>
    </row>
    <row r="921" spans="11:12">
      <c r="K921" s="34"/>
      <c r="L921" s="34"/>
    </row>
    <row r="922" spans="11:12">
      <c r="K922" s="34"/>
      <c r="L922" s="34"/>
    </row>
    <row r="923" spans="11:12">
      <c r="K923" s="34"/>
      <c r="L923" s="34"/>
    </row>
    <row r="924" spans="11:12">
      <c r="K924" s="34"/>
      <c r="L924" s="34"/>
    </row>
    <row r="925" spans="11:12">
      <c r="K925" s="34"/>
      <c r="L925" s="34"/>
    </row>
    <row r="926" spans="11:12">
      <c r="K926" s="34"/>
      <c r="L926" s="34"/>
    </row>
    <row r="927" spans="11:12">
      <c r="K927" s="34"/>
      <c r="L927" s="34"/>
    </row>
    <row r="928" spans="11:12">
      <c r="K928" s="34"/>
      <c r="L928" s="34"/>
    </row>
    <row r="929" spans="11:12">
      <c r="K929" s="34"/>
      <c r="L929" s="34"/>
    </row>
    <row r="930" spans="11:12">
      <c r="K930" s="34"/>
      <c r="L930" s="34"/>
    </row>
    <row r="931" spans="11:12">
      <c r="K931" s="34"/>
      <c r="L931" s="34"/>
    </row>
    <row r="932" spans="11:12">
      <c r="K932" s="34"/>
      <c r="L932" s="34"/>
    </row>
    <row r="933" spans="11:12">
      <c r="K933" s="34"/>
      <c r="L933" s="34"/>
    </row>
    <row r="934" spans="11:12">
      <c r="K934" s="34"/>
      <c r="L934" s="34"/>
    </row>
    <row r="935" spans="11:12">
      <c r="K935" s="34"/>
      <c r="L935" s="34"/>
    </row>
    <row r="936" spans="11:12">
      <c r="K936" s="34"/>
      <c r="L936" s="34"/>
    </row>
    <row r="937" spans="11:12">
      <c r="K937" s="34"/>
      <c r="L937" s="34"/>
    </row>
    <row r="938" spans="11:12">
      <c r="K938" s="34"/>
      <c r="L938" s="34"/>
    </row>
    <row r="939" spans="11:12">
      <c r="K939" s="34"/>
      <c r="L939" s="34"/>
    </row>
    <row r="940" spans="11:12">
      <c r="K940" s="34"/>
      <c r="L940" s="34"/>
    </row>
    <row r="941" spans="11:12">
      <c r="K941" s="34"/>
      <c r="L941" s="34"/>
    </row>
    <row r="942" spans="11:12">
      <c r="K942" s="34"/>
      <c r="L942" s="34"/>
    </row>
    <row r="943" spans="11:12">
      <c r="K943" s="34"/>
      <c r="L943" s="34"/>
    </row>
    <row r="944" spans="11:12">
      <c r="K944" s="34"/>
      <c r="L944" s="34"/>
    </row>
    <row r="945" spans="11:12">
      <c r="K945" s="34"/>
      <c r="L945" s="34"/>
    </row>
    <row r="946" spans="11:12">
      <c r="K946" s="34"/>
      <c r="L946" s="34"/>
    </row>
    <row r="947" spans="11:12">
      <c r="K947" s="34"/>
      <c r="L947" s="34"/>
    </row>
    <row r="948" spans="11:12">
      <c r="K948" s="34"/>
      <c r="L948" s="34"/>
    </row>
    <row r="949" spans="11:12">
      <c r="K949" s="34"/>
      <c r="L949" s="34"/>
    </row>
    <row r="950" spans="11:12">
      <c r="K950" s="34"/>
      <c r="L950" s="34"/>
    </row>
    <row r="951" spans="11:12">
      <c r="K951" s="34"/>
      <c r="L951" s="34"/>
    </row>
    <row r="952" spans="11:12">
      <c r="K952" s="34"/>
      <c r="L952" s="34"/>
    </row>
    <row r="953" spans="11:12">
      <c r="K953" s="34"/>
      <c r="L953" s="34"/>
    </row>
    <row r="954" spans="11:12">
      <c r="K954" s="34"/>
      <c r="L954" s="34"/>
    </row>
    <row r="955" spans="11:12">
      <c r="K955" s="34"/>
      <c r="L955" s="34"/>
    </row>
    <row r="956" spans="11:12">
      <c r="K956" s="34"/>
      <c r="L956" s="34"/>
    </row>
    <row r="957" spans="11:12">
      <c r="K957" s="34"/>
      <c r="L957" s="34"/>
    </row>
    <row r="958" spans="11:12">
      <c r="K958" s="34"/>
      <c r="L958" s="34"/>
    </row>
    <row r="959" spans="11:12">
      <c r="K959" s="34"/>
      <c r="L959" s="34"/>
    </row>
    <row r="960" spans="11:12">
      <c r="K960" s="34"/>
      <c r="L960" s="34"/>
    </row>
    <row r="961" spans="11:12">
      <c r="K961" s="34"/>
      <c r="L961" s="34"/>
    </row>
    <row r="962" spans="11:12">
      <c r="K962" s="34"/>
      <c r="L962" s="34"/>
    </row>
    <row r="963" spans="11:12">
      <c r="K963" s="34"/>
      <c r="L963" s="34"/>
    </row>
    <row r="964" spans="11:12">
      <c r="K964" s="34"/>
      <c r="L964" s="34"/>
    </row>
    <row r="965" spans="11:12">
      <c r="K965" s="34"/>
      <c r="L965" s="34"/>
    </row>
    <row r="966" spans="11:12">
      <c r="K966" s="34"/>
      <c r="L966" s="34"/>
    </row>
    <row r="967" spans="11:12">
      <c r="K967" s="34"/>
      <c r="L967" s="34"/>
    </row>
    <row r="968" spans="11:12">
      <c r="K968" s="34"/>
      <c r="L968" s="34"/>
    </row>
    <row r="969" spans="11:12">
      <c r="K969" s="34"/>
      <c r="L969" s="34"/>
    </row>
    <row r="970" spans="11:12">
      <c r="K970" s="34"/>
      <c r="L970" s="34"/>
    </row>
    <row r="971" spans="11:12">
      <c r="K971" s="34"/>
      <c r="L971" s="34"/>
    </row>
    <row r="972" spans="11:12">
      <c r="K972" s="34"/>
      <c r="L972" s="34"/>
    </row>
    <row r="973" spans="11:12">
      <c r="K973" s="34"/>
      <c r="L973" s="34"/>
    </row>
    <row r="974" spans="11:12">
      <c r="K974" s="34"/>
      <c r="L974" s="34"/>
    </row>
    <row r="975" spans="11:12">
      <c r="K975" s="34"/>
      <c r="L975" s="34"/>
    </row>
    <row r="976" spans="11:12">
      <c r="K976" s="34"/>
      <c r="L976" s="34"/>
    </row>
    <row r="977" spans="11:12">
      <c r="K977" s="34"/>
      <c r="L977" s="34"/>
    </row>
    <row r="978" spans="11:12">
      <c r="K978" s="34"/>
      <c r="L978" s="34"/>
    </row>
    <row r="979" spans="11:12">
      <c r="K979" s="34"/>
      <c r="L979" s="34"/>
    </row>
    <row r="980" spans="11:12">
      <c r="K980" s="34"/>
      <c r="L980" s="34"/>
    </row>
    <row r="981" spans="11:12">
      <c r="K981" s="34"/>
      <c r="L981" s="34"/>
    </row>
    <row r="982" spans="11:12">
      <c r="K982" s="34"/>
      <c r="L982" s="34"/>
    </row>
    <row r="983" spans="11:12">
      <c r="K983" s="34"/>
      <c r="L983" s="34"/>
    </row>
    <row r="984" spans="11:12">
      <c r="K984" s="34"/>
      <c r="L984" s="34"/>
    </row>
    <row r="985" spans="11:12">
      <c r="K985" s="34"/>
      <c r="L985" s="34"/>
    </row>
    <row r="986" spans="11:12">
      <c r="K986" s="34"/>
      <c r="L986" s="34"/>
    </row>
    <row r="987" spans="11:12">
      <c r="K987" s="34"/>
      <c r="L987" s="34"/>
    </row>
    <row r="988" spans="11:12">
      <c r="K988" s="34"/>
      <c r="L988" s="34"/>
    </row>
    <row r="989" spans="11:12">
      <c r="K989" s="34"/>
      <c r="L989" s="34"/>
    </row>
    <row r="990" spans="11:12">
      <c r="K990" s="34"/>
      <c r="L990" s="34"/>
    </row>
    <row r="991" spans="11:12">
      <c r="K991" s="34"/>
      <c r="L991" s="34"/>
    </row>
    <row r="992" spans="11:12">
      <c r="K992" s="34"/>
      <c r="L992" s="34"/>
    </row>
    <row r="993" spans="11:12">
      <c r="K993" s="34"/>
      <c r="L993" s="34"/>
    </row>
    <row r="994" spans="11:12">
      <c r="K994" s="34"/>
      <c r="L994" s="34"/>
    </row>
    <row r="995" spans="11:12">
      <c r="K995" s="34"/>
      <c r="L995" s="34"/>
    </row>
    <row r="996" spans="11:12">
      <c r="K996" s="34"/>
      <c r="L996" s="34"/>
    </row>
    <row r="997" spans="11:12">
      <c r="K997" s="34"/>
      <c r="L997" s="34"/>
    </row>
    <row r="998" spans="11:12">
      <c r="K998" s="34"/>
      <c r="L998" s="34"/>
    </row>
    <row r="999" spans="11:12">
      <c r="K999" s="34"/>
      <c r="L999" s="34"/>
    </row>
    <row r="1000" spans="11:12">
      <c r="K1000" s="34"/>
      <c r="L1000" s="34"/>
    </row>
    <row r="1001" spans="11:12">
      <c r="K1001" s="34"/>
      <c r="L1001" s="34"/>
    </row>
    <row r="1002" spans="11:12">
      <c r="K1002" s="34"/>
      <c r="L1002" s="34"/>
    </row>
    <row r="1003" spans="11:12">
      <c r="K1003" s="34"/>
      <c r="L1003" s="34"/>
    </row>
    <row r="1004" spans="11:12">
      <c r="K1004" s="34"/>
      <c r="L1004" s="34"/>
    </row>
    <row r="1005" spans="11:12">
      <c r="K1005" s="34"/>
      <c r="L1005" s="34"/>
    </row>
    <row r="1006" spans="11:12">
      <c r="K1006" s="34"/>
      <c r="L1006" s="34"/>
    </row>
    <row r="1007" spans="11:12">
      <c r="K1007" s="34"/>
      <c r="L1007" s="34"/>
    </row>
    <row r="1008" spans="11:12">
      <c r="K1008" s="34"/>
      <c r="L1008" s="34"/>
    </row>
    <row r="1009" spans="11:12">
      <c r="K1009" s="34"/>
      <c r="L1009" s="34"/>
    </row>
    <row r="1010" spans="11:12">
      <c r="K1010" s="34"/>
      <c r="L1010" s="34"/>
    </row>
    <row r="1011" spans="11:12">
      <c r="K1011" s="34"/>
      <c r="L1011" s="34"/>
    </row>
    <row r="1012" spans="11:12">
      <c r="K1012" s="34"/>
      <c r="L1012" s="34"/>
    </row>
    <row r="1013" spans="11:12">
      <c r="K1013" s="34"/>
      <c r="L1013" s="34"/>
    </row>
    <row r="1014" spans="11:12">
      <c r="K1014" s="34"/>
      <c r="L1014" s="34"/>
    </row>
    <row r="1015" spans="11:12">
      <c r="K1015" s="34"/>
      <c r="L1015" s="34"/>
    </row>
    <row r="1016" spans="11:12">
      <c r="K1016" s="34"/>
      <c r="L1016" s="34"/>
    </row>
    <row r="1017" spans="11:12">
      <c r="K1017" s="34"/>
      <c r="L1017" s="34"/>
    </row>
    <row r="1018" spans="11:12">
      <c r="K1018" s="34"/>
      <c r="L1018" s="34"/>
    </row>
    <row r="1019" spans="11:12">
      <c r="K1019" s="34"/>
      <c r="L1019" s="34"/>
    </row>
    <row r="1020" spans="11:12">
      <c r="K1020" s="34"/>
      <c r="L1020" s="34"/>
    </row>
    <row r="1021" spans="11:12">
      <c r="K1021" s="34"/>
      <c r="L1021" s="34"/>
    </row>
    <row r="1022" spans="11:12">
      <c r="K1022" s="34"/>
      <c r="L1022" s="34"/>
    </row>
    <row r="1023" spans="11:12">
      <c r="K1023" s="34"/>
      <c r="L1023" s="34"/>
    </row>
    <row r="1024" spans="11:12">
      <c r="K1024" s="34"/>
      <c r="L1024" s="34"/>
    </row>
    <row r="1025" spans="11:12">
      <c r="K1025" s="34"/>
      <c r="L1025" s="34"/>
    </row>
    <row r="1026" spans="11:12">
      <c r="K1026" s="34"/>
      <c r="L1026" s="34"/>
    </row>
    <row r="1027" spans="11:12">
      <c r="K1027" s="34"/>
      <c r="L1027" s="34"/>
    </row>
    <row r="1028" spans="11:12">
      <c r="K1028" s="34"/>
      <c r="L1028" s="34"/>
    </row>
    <row r="1029" spans="11:12">
      <c r="K1029" s="34"/>
      <c r="L1029" s="34"/>
    </row>
    <row r="1030" spans="11:12">
      <c r="K1030" s="34"/>
      <c r="L1030" s="34"/>
    </row>
    <row r="1031" spans="11:12">
      <c r="K1031" s="34"/>
      <c r="L1031" s="34"/>
    </row>
    <row r="1032" spans="11:12">
      <c r="K1032" s="34"/>
      <c r="L1032" s="34"/>
    </row>
    <row r="1033" spans="11:12">
      <c r="K1033" s="34"/>
      <c r="L1033" s="34"/>
    </row>
    <row r="1034" spans="11:12">
      <c r="K1034" s="34"/>
      <c r="L1034" s="34"/>
    </row>
    <row r="1035" spans="11:12">
      <c r="K1035" s="34"/>
      <c r="L1035" s="34"/>
    </row>
    <row r="1036" spans="11:12">
      <c r="K1036" s="34"/>
      <c r="L1036" s="34"/>
    </row>
    <row r="1037" spans="11:12">
      <c r="K1037" s="34"/>
      <c r="L1037" s="34"/>
    </row>
    <row r="1038" spans="11:12">
      <c r="K1038" s="34"/>
      <c r="L1038" s="34"/>
    </row>
    <row r="1039" spans="11:12">
      <c r="K1039" s="34"/>
      <c r="L1039" s="34"/>
    </row>
    <row r="1040" spans="11:12">
      <c r="K1040" s="34"/>
      <c r="L1040" s="34"/>
    </row>
    <row r="1041" spans="11:12">
      <c r="K1041" s="34"/>
      <c r="L1041" s="34"/>
    </row>
    <row r="1042" spans="11:12">
      <c r="K1042" s="34"/>
      <c r="L1042" s="34"/>
    </row>
    <row r="1043" spans="11:12">
      <c r="K1043" s="34"/>
      <c r="L1043" s="34"/>
    </row>
    <row r="1044" spans="11:12">
      <c r="K1044" s="34"/>
      <c r="L1044" s="34"/>
    </row>
    <row r="1045" spans="11:12">
      <c r="K1045" s="34"/>
      <c r="L1045" s="34"/>
    </row>
    <row r="1046" spans="11:12">
      <c r="K1046" s="34"/>
      <c r="L1046" s="34"/>
    </row>
    <row r="1047" spans="11:12">
      <c r="K1047" s="34"/>
      <c r="L1047" s="34"/>
    </row>
    <row r="1048" spans="11:12">
      <c r="K1048" s="34"/>
      <c r="L1048" s="34"/>
    </row>
    <row r="1049" spans="11:12">
      <c r="K1049" s="34"/>
      <c r="L1049" s="34"/>
    </row>
    <row r="1050" spans="11:12">
      <c r="K1050" s="34"/>
      <c r="L1050" s="34"/>
    </row>
    <row r="1051" spans="11:12">
      <c r="K1051" s="34"/>
      <c r="L1051" s="34"/>
    </row>
    <row r="1052" spans="11:12">
      <c r="K1052" s="34"/>
      <c r="L1052" s="34"/>
    </row>
    <row r="1053" spans="11:12">
      <c r="K1053" s="34"/>
      <c r="L1053" s="34"/>
    </row>
    <row r="1054" spans="11:12">
      <c r="K1054" s="34"/>
      <c r="L1054" s="34"/>
    </row>
    <row r="1055" spans="11:12">
      <c r="K1055" s="34"/>
      <c r="L1055" s="34"/>
    </row>
    <row r="1056" spans="11:12">
      <c r="K1056" s="34"/>
      <c r="L1056" s="34"/>
    </row>
    <row r="1057" spans="11:12">
      <c r="K1057" s="34"/>
      <c r="L1057" s="34"/>
    </row>
    <row r="1058" spans="11:12">
      <c r="K1058" s="34"/>
      <c r="L1058" s="34"/>
    </row>
    <row r="1059" spans="11:12">
      <c r="K1059" s="34"/>
      <c r="L1059" s="34"/>
    </row>
    <row r="1060" spans="11:12">
      <c r="K1060" s="34"/>
      <c r="L1060" s="34"/>
    </row>
    <row r="1061" spans="11:12">
      <c r="K1061" s="34"/>
      <c r="L1061" s="34"/>
    </row>
    <row r="1062" spans="11:12">
      <c r="K1062" s="34"/>
      <c r="L1062" s="34"/>
    </row>
    <row r="1063" spans="11:12">
      <c r="K1063" s="34"/>
      <c r="L1063" s="34"/>
    </row>
    <row r="1064" spans="11:12">
      <c r="K1064" s="34"/>
      <c r="L1064" s="34"/>
    </row>
    <row r="1065" spans="11:12">
      <c r="K1065" s="34"/>
      <c r="L1065" s="34"/>
    </row>
    <row r="1066" spans="11:12">
      <c r="K1066" s="34"/>
      <c r="L1066" s="34"/>
    </row>
    <row r="1067" spans="11:12">
      <c r="K1067" s="34"/>
      <c r="L1067" s="34"/>
    </row>
    <row r="1068" spans="11:12">
      <c r="K1068" s="34"/>
      <c r="L1068" s="34"/>
    </row>
    <row r="1069" spans="11:12">
      <c r="K1069" s="34"/>
      <c r="L1069" s="34"/>
    </row>
    <row r="1070" spans="11:12">
      <c r="K1070" s="34"/>
      <c r="L1070" s="34"/>
    </row>
    <row r="1071" spans="11:12">
      <c r="K1071" s="34"/>
      <c r="L1071" s="34"/>
    </row>
    <row r="1072" spans="11:12">
      <c r="K1072" s="34"/>
      <c r="L1072" s="34"/>
    </row>
    <row r="1073" spans="11:12">
      <c r="K1073" s="34"/>
      <c r="L1073" s="34"/>
    </row>
    <row r="1074" spans="11:12">
      <c r="K1074" s="34"/>
      <c r="L1074" s="34"/>
    </row>
    <row r="1075" spans="11:12">
      <c r="K1075" s="34"/>
      <c r="L1075" s="34"/>
    </row>
    <row r="1076" spans="11:12">
      <c r="K1076" s="34"/>
      <c r="L1076" s="34"/>
    </row>
    <row r="1077" spans="11:12">
      <c r="K1077" s="34"/>
      <c r="L1077" s="34"/>
    </row>
    <row r="1078" spans="11:12">
      <c r="K1078" s="34"/>
      <c r="L1078" s="34"/>
    </row>
    <row r="1079" spans="11:12">
      <c r="K1079" s="34"/>
      <c r="L1079" s="34"/>
    </row>
    <row r="1080" spans="11:12">
      <c r="K1080" s="34"/>
      <c r="L1080" s="34"/>
    </row>
    <row r="1081" spans="11:12">
      <c r="K1081" s="34"/>
      <c r="L1081" s="34"/>
    </row>
    <row r="1082" spans="11:12">
      <c r="K1082" s="34"/>
      <c r="L1082" s="34"/>
    </row>
    <row r="1083" spans="11:12">
      <c r="K1083" s="34"/>
      <c r="L1083" s="34"/>
    </row>
    <row r="1084" spans="11:12">
      <c r="K1084" s="34"/>
      <c r="L1084" s="34"/>
    </row>
    <row r="1085" spans="11:12">
      <c r="K1085" s="34"/>
      <c r="L1085" s="34"/>
    </row>
    <row r="1086" spans="11:12">
      <c r="K1086" s="34"/>
      <c r="L1086" s="34"/>
    </row>
    <row r="1087" spans="11:12">
      <c r="K1087" s="34"/>
      <c r="L1087" s="34"/>
    </row>
    <row r="1088" spans="11:12">
      <c r="K1088" s="34"/>
      <c r="L1088" s="34"/>
    </row>
    <row r="1089" spans="11:12">
      <c r="K1089" s="34"/>
      <c r="L1089" s="34"/>
    </row>
    <row r="1090" spans="11:12">
      <c r="K1090" s="34"/>
      <c r="L1090" s="34"/>
    </row>
    <row r="1091" spans="11:12">
      <c r="K1091" s="34"/>
      <c r="L1091" s="34"/>
    </row>
    <row r="1092" spans="11:12">
      <c r="K1092" s="34"/>
      <c r="L1092" s="34"/>
    </row>
    <row r="1093" spans="11:12">
      <c r="K1093" s="34"/>
      <c r="L1093" s="34"/>
    </row>
    <row r="1094" spans="11:12">
      <c r="K1094" s="34"/>
      <c r="L1094" s="34"/>
    </row>
    <row r="1095" spans="11:12">
      <c r="K1095" s="34"/>
      <c r="L1095" s="34"/>
    </row>
    <row r="1096" spans="11:12">
      <c r="K1096" s="34"/>
      <c r="L1096" s="34"/>
    </row>
    <row r="1097" spans="11:12">
      <c r="K1097" s="34"/>
      <c r="L1097" s="34"/>
    </row>
    <row r="1098" spans="11:12">
      <c r="K1098" s="34"/>
      <c r="L1098" s="34"/>
    </row>
    <row r="1099" spans="11:12">
      <c r="K1099" s="34"/>
      <c r="L1099" s="34"/>
    </row>
    <row r="1100" spans="11:12">
      <c r="K1100" s="34"/>
      <c r="L1100" s="34"/>
    </row>
    <row r="1101" spans="11:12">
      <c r="K1101" s="34"/>
      <c r="L1101" s="34"/>
    </row>
    <row r="1102" spans="11:12">
      <c r="K1102" s="34"/>
      <c r="L1102" s="34"/>
    </row>
    <row r="1103" spans="11:12">
      <c r="K1103" s="34"/>
      <c r="L1103" s="34"/>
    </row>
    <row r="1104" spans="11:12">
      <c r="K1104" s="34"/>
      <c r="L1104" s="34"/>
    </row>
    <row r="1105" spans="11:12">
      <c r="K1105" s="34"/>
      <c r="L1105" s="34"/>
    </row>
    <row r="1106" spans="11:12">
      <c r="K1106" s="34"/>
      <c r="L1106" s="34"/>
    </row>
    <row r="1107" spans="11:12">
      <c r="K1107" s="34"/>
      <c r="L1107" s="34"/>
    </row>
    <row r="1108" spans="11:12">
      <c r="K1108" s="34"/>
      <c r="L1108" s="34"/>
    </row>
    <row r="1109" spans="11:12">
      <c r="K1109" s="34"/>
      <c r="L1109" s="34"/>
    </row>
    <row r="1110" spans="11:12">
      <c r="K1110" s="34"/>
      <c r="L1110" s="34"/>
    </row>
    <row r="1111" spans="11:12">
      <c r="K1111" s="34"/>
      <c r="L1111" s="34"/>
    </row>
    <row r="1112" spans="11:12">
      <c r="K1112" s="34"/>
      <c r="L1112" s="34"/>
    </row>
    <row r="1113" spans="11:12">
      <c r="K1113" s="34"/>
      <c r="L1113" s="34"/>
    </row>
    <row r="1114" spans="11:12">
      <c r="K1114" s="34"/>
      <c r="L1114" s="34"/>
    </row>
    <row r="1115" spans="11:12">
      <c r="K1115" s="34"/>
      <c r="L1115" s="34"/>
    </row>
    <row r="1116" spans="11:12">
      <c r="K1116" s="34"/>
      <c r="L1116" s="34"/>
    </row>
    <row r="1117" spans="11:12">
      <c r="K1117" s="34"/>
      <c r="L1117" s="34"/>
    </row>
    <row r="1118" spans="11:12">
      <c r="K1118" s="34"/>
      <c r="L1118" s="34"/>
    </row>
    <row r="1119" spans="11:12">
      <c r="K1119" s="34"/>
      <c r="L1119" s="34"/>
    </row>
    <row r="1120" spans="11:12">
      <c r="K1120" s="34"/>
      <c r="L1120" s="34"/>
    </row>
    <row r="1121" spans="11:12">
      <c r="K1121" s="34"/>
      <c r="L1121" s="34"/>
    </row>
    <row r="1122" spans="11:12">
      <c r="K1122" s="34"/>
      <c r="L1122" s="34"/>
    </row>
    <row r="1123" spans="11:12">
      <c r="K1123" s="34"/>
      <c r="L1123" s="34"/>
    </row>
    <row r="1124" spans="11:12">
      <c r="K1124" s="34"/>
      <c r="L1124" s="34"/>
    </row>
    <row r="1125" spans="11:12">
      <c r="K1125" s="34"/>
      <c r="L1125" s="34"/>
    </row>
    <row r="1126" spans="11:12">
      <c r="K1126" s="34"/>
      <c r="L1126" s="34"/>
    </row>
    <row r="1127" spans="11:12">
      <c r="K1127" s="34"/>
      <c r="L1127" s="34"/>
    </row>
    <row r="1128" spans="11:12">
      <c r="K1128" s="34"/>
      <c r="L1128" s="34"/>
    </row>
    <row r="1129" spans="11:12">
      <c r="K1129" s="34"/>
      <c r="L1129" s="34"/>
    </row>
    <row r="1130" spans="11:12">
      <c r="K1130" s="34"/>
      <c r="L1130" s="34"/>
    </row>
    <row r="1131" spans="11:12">
      <c r="K1131" s="34"/>
      <c r="L1131" s="34"/>
    </row>
    <row r="1132" spans="11:12">
      <c r="K1132" s="34"/>
      <c r="L1132" s="34"/>
    </row>
    <row r="1133" spans="11:12">
      <c r="K1133" s="34"/>
      <c r="L1133" s="34"/>
    </row>
    <row r="1134" spans="11:12">
      <c r="K1134" s="34"/>
      <c r="L1134" s="34"/>
    </row>
    <row r="1135" spans="11:12">
      <c r="K1135" s="34"/>
      <c r="L1135" s="34"/>
    </row>
    <row r="1136" spans="11:12">
      <c r="K1136" s="34"/>
      <c r="L1136" s="34"/>
    </row>
    <row r="1137" spans="11:12">
      <c r="K1137" s="34"/>
      <c r="L1137" s="34"/>
    </row>
    <row r="1138" spans="11:12">
      <c r="K1138" s="34"/>
      <c r="L1138" s="34"/>
    </row>
    <row r="1139" spans="11:12">
      <c r="K1139" s="34"/>
      <c r="L1139" s="34"/>
    </row>
    <row r="1140" spans="11:12">
      <c r="K1140" s="34"/>
      <c r="L1140" s="34"/>
    </row>
    <row r="1141" spans="11:12">
      <c r="K1141" s="34"/>
      <c r="L1141" s="34"/>
    </row>
    <row r="1142" spans="11:12">
      <c r="K1142" s="34"/>
      <c r="L1142" s="34"/>
    </row>
    <row r="1143" spans="11:12">
      <c r="K1143" s="34"/>
      <c r="L1143" s="34"/>
    </row>
    <row r="1144" spans="11:12">
      <c r="K1144" s="34"/>
      <c r="L1144" s="34"/>
    </row>
    <row r="1145" spans="11:12">
      <c r="K1145" s="34"/>
      <c r="L1145" s="34"/>
    </row>
    <row r="1146" spans="11:12">
      <c r="K1146" s="34"/>
      <c r="L1146" s="34"/>
    </row>
    <row r="1147" spans="11:12">
      <c r="K1147" s="34"/>
      <c r="L1147" s="34"/>
    </row>
    <row r="1148" spans="11:12">
      <c r="K1148" s="34"/>
      <c r="L1148" s="34"/>
    </row>
    <row r="1149" spans="11:12">
      <c r="K1149" s="34"/>
      <c r="L1149" s="34"/>
    </row>
    <row r="1150" spans="11:12">
      <c r="K1150" s="34"/>
      <c r="L1150" s="34"/>
    </row>
    <row r="1151" spans="11:12">
      <c r="K1151" s="34"/>
      <c r="L1151" s="34"/>
    </row>
    <row r="1152" spans="11:12">
      <c r="K1152" s="34"/>
      <c r="L1152" s="34"/>
    </row>
    <row r="1153" spans="11:12">
      <c r="K1153" s="34"/>
      <c r="L1153" s="34"/>
    </row>
    <row r="1154" spans="11:12">
      <c r="K1154" s="34"/>
      <c r="L1154" s="34"/>
    </row>
    <row r="1155" spans="11:12">
      <c r="K1155" s="34"/>
      <c r="L1155" s="34"/>
    </row>
    <row r="1156" spans="11:12">
      <c r="K1156" s="34"/>
      <c r="L1156" s="34"/>
    </row>
    <row r="1157" spans="11:12">
      <c r="K1157" s="34"/>
      <c r="L1157" s="34"/>
    </row>
    <row r="1158" spans="11:12">
      <c r="K1158" s="34"/>
      <c r="L1158" s="34"/>
    </row>
    <row r="1159" spans="11:12">
      <c r="K1159" s="34"/>
      <c r="L1159" s="34"/>
    </row>
    <row r="1160" spans="11:12">
      <c r="K1160" s="34"/>
      <c r="L1160" s="34"/>
    </row>
    <row r="1161" spans="11:12">
      <c r="K1161" s="34"/>
      <c r="L1161" s="34"/>
    </row>
    <row r="1162" spans="11:12">
      <c r="K1162" s="34"/>
      <c r="L1162" s="34"/>
    </row>
    <row r="1163" spans="11:12">
      <c r="K1163" s="34"/>
      <c r="L1163" s="34"/>
    </row>
    <row r="1164" spans="11:12">
      <c r="K1164" s="34"/>
      <c r="L1164" s="34"/>
    </row>
    <row r="1165" spans="11:12">
      <c r="K1165" s="34"/>
      <c r="L1165" s="34"/>
    </row>
    <row r="1166" spans="11:12">
      <c r="K1166" s="34"/>
      <c r="L1166" s="34"/>
    </row>
    <row r="1167" spans="11:12">
      <c r="K1167" s="34"/>
      <c r="L1167" s="34"/>
    </row>
    <row r="1168" spans="11:12">
      <c r="K1168" s="34"/>
      <c r="L1168" s="34"/>
    </row>
    <row r="1169" spans="11:12">
      <c r="K1169" s="34"/>
      <c r="L1169" s="34"/>
    </row>
    <row r="1170" spans="11:12">
      <c r="K1170" s="34"/>
      <c r="L1170" s="34"/>
    </row>
    <row r="1171" spans="11:12">
      <c r="K1171" s="34"/>
      <c r="L1171" s="34"/>
    </row>
    <row r="1172" spans="11:12">
      <c r="K1172" s="34"/>
      <c r="L1172" s="34"/>
    </row>
    <row r="1173" spans="11:12">
      <c r="K1173" s="34"/>
      <c r="L1173" s="34"/>
    </row>
    <row r="1174" spans="11:12">
      <c r="K1174" s="34"/>
      <c r="L1174" s="34"/>
    </row>
    <row r="1175" spans="11:12">
      <c r="K1175" s="34"/>
      <c r="L1175" s="34"/>
    </row>
    <row r="1176" spans="11:12">
      <c r="K1176" s="34"/>
      <c r="L1176" s="34"/>
    </row>
    <row r="1177" spans="11:12">
      <c r="K1177" s="34"/>
      <c r="L1177" s="34"/>
    </row>
    <row r="1178" spans="11:12">
      <c r="K1178" s="34"/>
      <c r="L1178" s="34"/>
    </row>
    <row r="1179" spans="11:12">
      <c r="K1179" s="34"/>
      <c r="L1179" s="34"/>
    </row>
    <row r="1180" spans="11:12">
      <c r="K1180" s="34"/>
      <c r="L1180" s="34"/>
    </row>
    <row r="1181" spans="11:12">
      <c r="K1181" s="34"/>
      <c r="L1181" s="34"/>
    </row>
    <row r="1182" spans="11:12">
      <c r="K1182" s="34"/>
      <c r="L1182" s="34"/>
    </row>
    <row r="1183" spans="11:12">
      <c r="K1183" s="34"/>
      <c r="L1183" s="34"/>
    </row>
    <row r="1184" spans="11:12">
      <c r="K1184" s="34"/>
      <c r="L1184" s="34"/>
    </row>
    <row r="1185" spans="11:12">
      <c r="K1185" s="34"/>
      <c r="L1185" s="34"/>
    </row>
    <row r="1186" spans="11:12">
      <c r="K1186" s="34"/>
      <c r="L1186" s="34"/>
    </row>
    <row r="1187" spans="11:12">
      <c r="K1187" s="34"/>
      <c r="L1187" s="34"/>
    </row>
    <row r="1188" spans="11:12">
      <c r="K1188" s="34"/>
      <c r="L1188" s="34"/>
    </row>
    <row r="1189" spans="11:12">
      <c r="K1189" s="34"/>
      <c r="L1189" s="34"/>
    </row>
    <row r="1190" spans="11:12">
      <c r="K1190" s="34"/>
      <c r="L1190" s="34"/>
    </row>
    <row r="1191" spans="11:12">
      <c r="K1191" s="34"/>
      <c r="L1191" s="34"/>
    </row>
    <row r="1192" spans="11:12">
      <c r="K1192" s="34"/>
      <c r="L1192" s="34"/>
    </row>
    <row r="1193" spans="11:12">
      <c r="K1193" s="34"/>
      <c r="L1193" s="34"/>
    </row>
    <row r="1194" spans="11:12">
      <c r="K1194" s="34"/>
      <c r="L1194" s="34"/>
    </row>
    <row r="1195" spans="11:12">
      <c r="K1195" s="34"/>
      <c r="L1195" s="34"/>
    </row>
    <row r="1196" spans="11:12">
      <c r="K1196" s="34"/>
      <c r="L1196" s="34"/>
    </row>
    <row r="1197" spans="11:12">
      <c r="K1197" s="34"/>
      <c r="L1197" s="34"/>
    </row>
    <row r="1198" spans="11:12">
      <c r="K1198" s="34"/>
      <c r="L1198" s="34"/>
    </row>
    <row r="1199" spans="11:12">
      <c r="K1199" s="34"/>
      <c r="L1199" s="34"/>
    </row>
    <row r="1200" spans="11:12">
      <c r="K1200" s="34"/>
      <c r="L1200" s="34"/>
    </row>
    <row r="1201" spans="11:12">
      <c r="K1201" s="34"/>
      <c r="L1201" s="34"/>
    </row>
    <row r="1202" spans="11:12">
      <c r="K1202" s="34"/>
      <c r="L1202" s="34"/>
    </row>
    <row r="1203" spans="11:12">
      <c r="K1203" s="34"/>
      <c r="L1203" s="34"/>
    </row>
    <row r="1204" spans="11:12">
      <c r="K1204" s="34"/>
      <c r="L1204" s="34"/>
    </row>
    <row r="1205" spans="11:12">
      <c r="K1205" s="34"/>
      <c r="L1205" s="34"/>
    </row>
    <row r="1206" spans="11:12">
      <c r="K1206" s="34"/>
      <c r="L1206" s="34"/>
    </row>
    <row r="1207" spans="11:12">
      <c r="K1207" s="34"/>
      <c r="L1207" s="34"/>
    </row>
    <row r="1208" spans="11:12">
      <c r="K1208" s="34"/>
      <c r="L1208" s="34"/>
    </row>
    <row r="1209" spans="11:12">
      <c r="K1209" s="34"/>
      <c r="L1209" s="34"/>
    </row>
    <row r="1210" spans="11:12">
      <c r="K1210" s="34"/>
      <c r="L1210" s="34"/>
    </row>
    <row r="1211" spans="11:12">
      <c r="K1211" s="34"/>
      <c r="L1211" s="34"/>
    </row>
    <row r="1212" spans="11:12">
      <c r="K1212" s="34"/>
      <c r="L1212" s="34"/>
    </row>
    <row r="1213" spans="11:12">
      <c r="K1213" s="34"/>
      <c r="L1213" s="34"/>
    </row>
    <row r="1214" spans="11:12">
      <c r="K1214" s="34"/>
      <c r="L1214" s="34"/>
    </row>
    <row r="1215" spans="11:12">
      <c r="K1215" s="34"/>
      <c r="L1215" s="34"/>
    </row>
    <row r="1216" spans="11:12">
      <c r="K1216" s="34"/>
      <c r="L1216" s="34"/>
    </row>
    <row r="1217" spans="11:12">
      <c r="K1217" s="34"/>
      <c r="L1217" s="34"/>
    </row>
    <row r="1218" spans="11:12">
      <c r="K1218" s="34"/>
      <c r="L1218" s="34"/>
    </row>
    <row r="1219" spans="11:12">
      <c r="K1219" s="34"/>
      <c r="L1219" s="34"/>
    </row>
    <row r="1220" spans="11:12">
      <c r="K1220" s="34"/>
      <c r="L1220" s="34"/>
    </row>
    <row r="1221" spans="11:12">
      <c r="K1221" s="34"/>
      <c r="L1221" s="34"/>
    </row>
    <row r="1222" spans="11:12">
      <c r="K1222" s="34"/>
      <c r="L1222" s="34"/>
    </row>
    <row r="1223" spans="11:12">
      <c r="K1223" s="34"/>
      <c r="L1223" s="34"/>
    </row>
    <row r="1224" spans="11:12">
      <c r="K1224" s="34"/>
      <c r="L1224" s="34"/>
    </row>
    <row r="1225" spans="11:12">
      <c r="K1225" s="34"/>
      <c r="L1225" s="34"/>
    </row>
    <row r="1226" spans="11:12">
      <c r="K1226" s="34"/>
      <c r="L1226" s="34"/>
    </row>
    <row r="1227" spans="11:12">
      <c r="K1227" s="34"/>
      <c r="L1227" s="34"/>
    </row>
    <row r="1228" spans="11:12">
      <c r="K1228" s="34"/>
      <c r="L1228" s="34"/>
    </row>
    <row r="1229" spans="11:12">
      <c r="K1229" s="34"/>
      <c r="L1229" s="34"/>
    </row>
    <row r="1230" spans="11:12">
      <c r="K1230" s="34"/>
      <c r="L1230" s="34"/>
    </row>
    <row r="1231" spans="11:12">
      <c r="K1231" s="34"/>
      <c r="L1231" s="34"/>
    </row>
    <row r="1232" spans="11:12">
      <c r="K1232" s="34"/>
      <c r="L1232" s="34"/>
    </row>
    <row r="1233" spans="11:12">
      <c r="K1233" s="34"/>
      <c r="L1233" s="34"/>
    </row>
    <row r="1234" spans="11:12">
      <c r="K1234" s="34"/>
      <c r="L1234" s="34"/>
    </row>
    <row r="1235" spans="11:12">
      <c r="K1235" s="34"/>
      <c r="L1235" s="34"/>
    </row>
    <row r="1236" spans="11:12">
      <c r="K1236" s="34"/>
      <c r="L1236" s="34"/>
    </row>
    <row r="1237" spans="11:12">
      <c r="K1237" s="34"/>
      <c r="L1237" s="34"/>
    </row>
    <row r="1238" spans="11:12">
      <c r="K1238" s="34"/>
      <c r="L1238" s="34"/>
    </row>
    <row r="1239" spans="11:12">
      <c r="K1239" s="34"/>
      <c r="L1239" s="34"/>
    </row>
    <row r="1240" spans="11:12">
      <c r="K1240" s="34"/>
      <c r="L1240" s="34"/>
    </row>
    <row r="1241" spans="11:12">
      <c r="K1241" s="34"/>
      <c r="L1241" s="34"/>
    </row>
    <row r="1242" spans="11:12">
      <c r="K1242" s="34"/>
      <c r="L1242" s="34"/>
    </row>
    <row r="1243" spans="11:12">
      <c r="K1243" s="34"/>
      <c r="L1243" s="34"/>
    </row>
    <row r="1244" spans="11:12">
      <c r="K1244" s="34"/>
      <c r="L1244" s="34"/>
    </row>
    <row r="1245" spans="11:12">
      <c r="K1245" s="34"/>
      <c r="L1245" s="34"/>
    </row>
    <row r="1246" spans="11:12">
      <c r="K1246" s="34"/>
      <c r="L1246" s="34"/>
    </row>
    <row r="1247" spans="11:12">
      <c r="K1247" s="34"/>
      <c r="L1247" s="34"/>
    </row>
    <row r="1248" spans="11:12">
      <c r="K1248" s="34"/>
      <c r="L1248" s="34"/>
    </row>
    <row r="1249" spans="11:12">
      <c r="K1249" s="34"/>
      <c r="L1249" s="34"/>
    </row>
    <row r="1250" spans="11:12">
      <c r="K1250" s="34"/>
      <c r="L1250" s="34"/>
    </row>
    <row r="1251" spans="11:12">
      <c r="K1251" s="34"/>
      <c r="L1251" s="34"/>
    </row>
    <row r="1252" spans="11:12">
      <c r="K1252" s="34"/>
      <c r="L1252" s="34"/>
    </row>
    <row r="1253" spans="11:12">
      <c r="K1253" s="34"/>
      <c r="L1253" s="34"/>
    </row>
    <row r="1254" spans="11:12">
      <c r="K1254" s="34"/>
      <c r="L1254" s="34"/>
    </row>
    <row r="1255" spans="11:12">
      <c r="K1255" s="34"/>
      <c r="L1255" s="34"/>
    </row>
    <row r="1256" spans="11:12">
      <c r="K1256" s="34"/>
      <c r="L1256" s="34"/>
    </row>
    <row r="1257" spans="11:12">
      <c r="K1257" s="34"/>
      <c r="L1257" s="34"/>
    </row>
    <row r="1258" spans="11:12">
      <c r="K1258" s="34"/>
      <c r="L1258" s="34"/>
    </row>
    <row r="1259" spans="11:12">
      <c r="K1259" s="34"/>
      <c r="L1259" s="34"/>
    </row>
    <row r="1260" spans="11:12">
      <c r="K1260" s="34"/>
      <c r="L1260" s="34"/>
    </row>
    <row r="1261" spans="11:12">
      <c r="K1261" s="34"/>
      <c r="L1261" s="34"/>
    </row>
    <row r="1262" spans="11:12">
      <c r="K1262" s="34"/>
      <c r="L1262" s="34"/>
    </row>
    <row r="1263" spans="11:12">
      <c r="K1263" s="34"/>
      <c r="L1263" s="34"/>
    </row>
    <row r="1264" spans="11:12">
      <c r="K1264" s="34"/>
      <c r="L1264" s="34"/>
    </row>
    <row r="1265" spans="11:12">
      <c r="K1265" s="34"/>
      <c r="L1265" s="34"/>
    </row>
    <row r="1266" spans="11:12">
      <c r="K1266" s="34"/>
      <c r="L1266" s="34"/>
    </row>
    <row r="1267" spans="11:12">
      <c r="K1267" s="34"/>
      <c r="L1267" s="34"/>
    </row>
    <row r="1268" spans="11:12">
      <c r="K1268" s="34"/>
      <c r="L1268" s="34"/>
    </row>
    <row r="1269" spans="11:12">
      <c r="K1269" s="34"/>
      <c r="L1269" s="34"/>
    </row>
    <row r="1270" spans="11:12">
      <c r="K1270" s="34"/>
      <c r="L1270" s="34"/>
    </row>
    <row r="1271" spans="11:12">
      <c r="K1271" s="34"/>
      <c r="L1271" s="34"/>
    </row>
    <row r="1272" spans="11:12">
      <c r="K1272" s="34"/>
      <c r="L1272" s="34"/>
    </row>
    <row r="1273" spans="11:12">
      <c r="K1273" s="34"/>
      <c r="L1273" s="34"/>
    </row>
    <row r="1274" spans="11:12">
      <c r="K1274" s="34"/>
      <c r="L1274" s="34"/>
    </row>
    <row r="1275" spans="11:12">
      <c r="K1275" s="34"/>
      <c r="L1275" s="34"/>
    </row>
    <row r="1276" spans="11:12">
      <c r="K1276" s="34"/>
      <c r="L1276" s="34"/>
    </row>
    <row r="1277" spans="11:12">
      <c r="K1277" s="34"/>
      <c r="L1277" s="34"/>
    </row>
    <row r="1278" spans="11:12">
      <c r="K1278" s="34"/>
      <c r="L1278" s="34"/>
    </row>
    <row r="1279" spans="11:12">
      <c r="K1279" s="34"/>
      <c r="L1279" s="34"/>
    </row>
    <row r="1280" spans="11:12">
      <c r="K1280" s="34"/>
      <c r="L1280" s="34"/>
    </row>
    <row r="1281" spans="11:12">
      <c r="K1281" s="34"/>
      <c r="L1281" s="34"/>
    </row>
    <row r="1282" spans="11:12">
      <c r="K1282" s="34"/>
      <c r="L1282" s="34"/>
    </row>
    <row r="1283" spans="11:12">
      <c r="K1283" s="34"/>
      <c r="L1283" s="34"/>
    </row>
    <row r="1284" spans="11:12">
      <c r="K1284" s="34"/>
      <c r="L1284" s="34"/>
    </row>
    <row r="1285" spans="11:12">
      <c r="K1285" s="34"/>
      <c r="L1285" s="34"/>
    </row>
    <row r="1286" spans="11:12">
      <c r="K1286" s="34"/>
      <c r="L1286" s="34"/>
    </row>
    <row r="1287" spans="11:12">
      <c r="K1287" s="34"/>
      <c r="L1287" s="34"/>
    </row>
    <row r="1288" spans="11:12">
      <c r="K1288" s="34"/>
      <c r="L1288" s="34"/>
    </row>
    <row r="1289" spans="11:12">
      <c r="K1289" s="34"/>
      <c r="L1289" s="34"/>
    </row>
    <row r="1290" spans="11:12">
      <c r="K1290" s="34"/>
      <c r="L1290" s="34"/>
    </row>
    <row r="1291" spans="11:12">
      <c r="K1291" s="34"/>
      <c r="L1291" s="34"/>
    </row>
    <row r="1292" spans="11:12">
      <c r="K1292" s="34"/>
      <c r="L1292" s="34"/>
    </row>
    <row r="1293" spans="11:12">
      <c r="K1293" s="34"/>
      <c r="L1293" s="34"/>
    </row>
    <row r="1294" spans="11:12">
      <c r="K1294" s="34"/>
      <c r="L1294" s="34"/>
    </row>
    <row r="1295" spans="11:12">
      <c r="K1295" s="34"/>
      <c r="L1295" s="34"/>
    </row>
    <row r="1296" spans="11:12">
      <c r="K1296" s="34"/>
      <c r="L1296" s="34"/>
    </row>
    <row r="1297" spans="11:12">
      <c r="K1297" s="34"/>
      <c r="L1297" s="34"/>
    </row>
    <row r="1298" spans="11:12">
      <c r="K1298" s="34"/>
      <c r="L1298" s="34"/>
    </row>
    <row r="1299" spans="11:12">
      <c r="K1299" s="34"/>
      <c r="L1299" s="34"/>
    </row>
    <row r="1300" spans="11:12">
      <c r="K1300" s="34"/>
      <c r="L1300" s="34"/>
    </row>
    <row r="1301" spans="11:12">
      <c r="K1301" s="34"/>
      <c r="L1301" s="34"/>
    </row>
    <row r="1302" spans="11:12">
      <c r="K1302" s="34"/>
      <c r="L1302" s="34"/>
    </row>
    <row r="1303" spans="11:12">
      <c r="K1303" s="34"/>
      <c r="L1303" s="34"/>
    </row>
    <row r="1304" spans="11:12">
      <c r="K1304" s="34"/>
      <c r="L1304" s="34"/>
    </row>
    <row r="1305" spans="11:12">
      <c r="K1305" s="34"/>
      <c r="L1305" s="34"/>
    </row>
    <row r="1306" spans="11:12">
      <c r="K1306" s="34"/>
      <c r="L1306" s="34"/>
    </row>
    <row r="1307" spans="11:12">
      <c r="K1307" s="34"/>
      <c r="L1307" s="34"/>
    </row>
    <row r="1308" spans="11:12">
      <c r="K1308" s="34"/>
      <c r="L1308" s="34"/>
    </row>
    <row r="1309" spans="11:12">
      <c r="K1309" s="34"/>
      <c r="L1309" s="34"/>
    </row>
    <row r="1310" spans="11:12">
      <c r="K1310" s="34"/>
      <c r="L1310" s="34"/>
    </row>
    <row r="1311" spans="11:12">
      <c r="K1311" s="34"/>
      <c r="L1311" s="34"/>
    </row>
    <row r="1312" spans="11:12">
      <c r="K1312" s="34"/>
      <c r="L1312" s="34"/>
    </row>
    <row r="1313" spans="11:12">
      <c r="K1313" s="34"/>
      <c r="L1313" s="34"/>
    </row>
    <row r="1314" spans="11:12">
      <c r="K1314" s="34"/>
      <c r="L1314" s="34"/>
    </row>
    <row r="1315" spans="11:12">
      <c r="K1315" s="34"/>
      <c r="L1315" s="34"/>
    </row>
    <row r="1316" spans="11:12">
      <c r="K1316" s="34"/>
      <c r="L1316" s="34"/>
    </row>
    <row r="1317" spans="11:12">
      <c r="K1317" s="34"/>
      <c r="L1317" s="34"/>
    </row>
    <row r="1318" spans="11:12">
      <c r="K1318" s="34"/>
      <c r="L1318" s="34"/>
    </row>
    <row r="1319" spans="11:12">
      <c r="K1319" s="34"/>
      <c r="L1319" s="34"/>
    </row>
    <row r="1320" spans="11:12">
      <c r="K1320" s="34"/>
      <c r="L1320" s="34"/>
    </row>
    <row r="1321" spans="11:12">
      <c r="K1321" s="34"/>
      <c r="L1321" s="34"/>
    </row>
    <row r="1322" spans="11:12">
      <c r="K1322" s="34"/>
      <c r="L1322" s="34"/>
    </row>
    <row r="1323" spans="11:12">
      <c r="K1323" s="34"/>
      <c r="L1323" s="34"/>
    </row>
    <row r="1324" spans="11:12">
      <c r="K1324" s="34"/>
      <c r="L1324" s="34"/>
    </row>
    <row r="1325" spans="11:12">
      <c r="K1325" s="34"/>
      <c r="L1325" s="34"/>
    </row>
    <row r="1326" spans="11:12">
      <c r="K1326" s="34"/>
      <c r="L1326" s="34"/>
    </row>
    <row r="1327" spans="11:12">
      <c r="K1327" s="34"/>
      <c r="L1327" s="34"/>
    </row>
    <row r="1328" spans="11:12">
      <c r="K1328" s="34"/>
      <c r="L1328" s="34"/>
    </row>
    <row r="1329" spans="11:12">
      <c r="K1329" s="34"/>
      <c r="L1329" s="34"/>
    </row>
    <row r="1330" spans="11:12">
      <c r="K1330" s="34"/>
      <c r="L1330" s="34"/>
    </row>
    <row r="1331" spans="11:12">
      <c r="K1331" s="34"/>
      <c r="L1331" s="34"/>
    </row>
    <row r="1332" spans="11:12">
      <c r="K1332" s="34"/>
      <c r="L1332" s="34"/>
    </row>
    <row r="1333" spans="11:12">
      <c r="K1333" s="34"/>
      <c r="L1333" s="34"/>
    </row>
    <row r="1334" spans="11:12">
      <c r="K1334" s="34"/>
      <c r="L1334" s="34"/>
    </row>
    <row r="1335" spans="11:12">
      <c r="K1335" s="34"/>
      <c r="L1335" s="34"/>
    </row>
    <row r="1336" spans="11:12">
      <c r="K1336" s="34"/>
      <c r="L1336" s="34"/>
    </row>
    <row r="1337" spans="11:12">
      <c r="K1337" s="34"/>
      <c r="L1337" s="34"/>
    </row>
    <row r="1338" spans="11:12">
      <c r="K1338" s="34"/>
      <c r="L1338" s="34"/>
    </row>
    <row r="1339" spans="11:12">
      <c r="K1339" s="34"/>
      <c r="L1339" s="34"/>
    </row>
    <row r="1340" spans="11:12">
      <c r="K1340" s="34"/>
      <c r="L1340" s="34"/>
    </row>
    <row r="1341" spans="11:12">
      <c r="K1341" s="34"/>
      <c r="L1341" s="34"/>
    </row>
    <row r="1342" spans="11:12">
      <c r="K1342" s="34"/>
      <c r="L1342" s="34"/>
    </row>
    <row r="1343" spans="11:12">
      <c r="K1343" s="34"/>
      <c r="L1343" s="34"/>
    </row>
    <row r="1344" spans="11:12">
      <c r="K1344" s="34"/>
      <c r="L1344" s="34"/>
    </row>
    <row r="1345" spans="11:12">
      <c r="K1345" s="34"/>
      <c r="L1345" s="34"/>
    </row>
    <row r="1346" spans="11:12">
      <c r="K1346" s="34"/>
      <c r="L1346" s="34"/>
    </row>
    <row r="1347" spans="11:12">
      <c r="K1347" s="34"/>
      <c r="L1347" s="34"/>
    </row>
    <row r="1348" spans="11:12">
      <c r="K1348" s="34"/>
      <c r="L1348" s="34"/>
    </row>
    <row r="1349" spans="11:12">
      <c r="K1349" s="34"/>
      <c r="L1349" s="34"/>
    </row>
    <row r="1350" spans="11:12">
      <c r="K1350" s="34"/>
      <c r="L1350" s="34"/>
    </row>
    <row r="1351" spans="11:12">
      <c r="K1351" s="34"/>
      <c r="L1351" s="34"/>
    </row>
    <row r="1352" spans="11:12">
      <c r="K1352" s="34"/>
      <c r="L1352" s="34"/>
    </row>
    <row r="1353" spans="11:12">
      <c r="K1353" s="34"/>
      <c r="L1353" s="34"/>
    </row>
    <row r="1354" spans="11:12">
      <c r="K1354" s="34"/>
      <c r="L1354" s="34"/>
    </row>
    <row r="1355" spans="11:12">
      <c r="K1355" s="34"/>
      <c r="L1355" s="34"/>
    </row>
    <row r="1356" spans="11:12">
      <c r="K1356" s="34"/>
      <c r="L1356" s="34"/>
    </row>
    <row r="1357" spans="11:12">
      <c r="K1357" s="34"/>
      <c r="L1357" s="34"/>
    </row>
    <row r="1358" spans="11:12">
      <c r="K1358" s="34"/>
      <c r="L1358" s="34"/>
    </row>
    <row r="1359" spans="11:12">
      <c r="K1359" s="34"/>
      <c r="L1359" s="34"/>
    </row>
    <row r="1360" spans="11:12">
      <c r="K1360" s="34"/>
      <c r="L1360" s="34"/>
    </row>
    <row r="1361" spans="11:12">
      <c r="K1361" s="34"/>
      <c r="L1361" s="34"/>
    </row>
    <row r="1362" spans="11:12">
      <c r="K1362" s="34"/>
      <c r="L1362" s="34"/>
    </row>
    <row r="1363" spans="11:12">
      <c r="K1363" s="34"/>
      <c r="L1363" s="34"/>
    </row>
    <row r="1364" spans="11:12">
      <c r="K1364" s="34"/>
      <c r="L1364" s="34"/>
    </row>
    <row r="1365" spans="11:12">
      <c r="K1365" s="34"/>
      <c r="L1365" s="34"/>
    </row>
    <row r="1366" spans="11:12">
      <c r="K1366" s="34"/>
      <c r="L1366" s="34"/>
    </row>
    <row r="1367" spans="11:12">
      <c r="K1367" s="34"/>
      <c r="L1367" s="34"/>
    </row>
    <row r="1368" spans="11:12">
      <c r="K1368" s="34"/>
      <c r="L1368" s="34"/>
    </row>
    <row r="1369" spans="11:12">
      <c r="K1369" s="34"/>
      <c r="L1369" s="34"/>
    </row>
    <row r="1370" spans="11:12">
      <c r="K1370" s="34"/>
      <c r="L1370" s="34"/>
    </row>
    <row r="1371" spans="11:12">
      <c r="K1371" s="34"/>
      <c r="L1371" s="34"/>
    </row>
    <row r="1372" spans="11:12">
      <c r="K1372" s="34"/>
      <c r="L1372" s="34"/>
    </row>
    <row r="1373" spans="11:12">
      <c r="K1373" s="34"/>
      <c r="L1373" s="34"/>
    </row>
    <row r="1374" spans="11:12">
      <c r="K1374" s="34"/>
      <c r="L1374" s="34"/>
    </row>
    <row r="1375" spans="11:12">
      <c r="K1375" s="34"/>
      <c r="L1375" s="34"/>
    </row>
    <row r="1376" spans="11:12">
      <c r="K1376" s="34"/>
      <c r="L1376" s="34"/>
    </row>
    <row r="1377" spans="11:12">
      <c r="K1377" s="34"/>
      <c r="L1377" s="34"/>
    </row>
    <row r="1378" spans="11:12">
      <c r="K1378" s="34"/>
      <c r="L1378" s="34"/>
    </row>
    <row r="1379" spans="11:12">
      <c r="K1379" s="34"/>
      <c r="L1379" s="34"/>
    </row>
    <row r="1380" spans="11:12">
      <c r="K1380" s="34"/>
      <c r="L1380" s="34"/>
    </row>
    <row r="1381" spans="11:12">
      <c r="K1381" s="34"/>
      <c r="L1381" s="34"/>
    </row>
    <row r="1382" spans="11:12">
      <c r="K1382" s="34"/>
      <c r="L1382" s="34"/>
    </row>
    <row r="1383" spans="11:12">
      <c r="K1383" s="34"/>
      <c r="L1383" s="34"/>
    </row>
    <row r="1384" spans="11:12">
      <c r="K1384" s="34"/>
      <c r="L1384" s="34"/>
    </row>
    <row r="1385" spans="11:12">
      <c r="K1385" s="34"/>
      <c r="L1385" s="34"/>
    </row>
    <row r="1386" spans="11:12">
      <c r="K1386" s="34"/>
      <c r="L1386" s="34"/>
    </row>
    <row r="1387" spans="11:12">
      <c r="K1387" s="34"/>
      <c r="L1387" s="34"/>
    </row>
    <row r="1388" spans="11:12">
      <c r="K1388" s="34"/>
      <c r="L1388" s="34"/>
    </row>
    <row r="1389" spans="11:12">
      <c r="K1389" s="34"/>
      <c r="L1389" s="34"/>
    </row>
    <row r="1390" spans="11:12">
      <c r="K1390" s="34"/>
      <c r="L1390" s="34"/>
    </row>
    <row r="1391" spans="11:12">
      <c r="K1391" s="34"/>
      <c r="L1391" s="34"/>
    </row>
    <row r="1392" spans="11:12">
      <c r="K1392" s="34"/>
      <c r="L1392" s="34"/>
    </row>
    <row r="1393" spans="11:12">
      <c r="K1393" s="34"/>
      <c r="L1393" s="34"/>
    </row>
    <row r="1394" spans="11:12">
      <c r="K1394" s="34"/>
      <c r="L1394" s="34"/>
    </row>
    <row r="1395" spans="11:12">
      <c r="K1395" s="34"/>
      <c r="L1395" s="34"/>
    </row>
    <row r="1396" spans="11:12">
      <c r="K1396" s="34"/>
      <c r="L1396" s="34"/>
    </row>
    <row r="1397" spans="11:12">
      <c r="K1397" s="34"/>
      <c r="L1397" s="34"/>
    </row>
    <row r="1398" spans="11:12">
      <c r="K1398" s="34"/>
      <c r="L1398" s="34"/>
    </row>
    <row r="1399" spans="11:12">
      <c r="K1399" s="34"/>
      <c r="L1399" s="34"/>
    </row>
    <row r="1400" spans="11:12">
      <c r="K1400" s="34"/>
      <c r="L1400" s="34"/>
    </row>
    <row r="1401" spans="11:12">
      <c r="K1401" s="34"/>
      <c r="L1401" s="34"/>
    </row>
    <row r="1402" spans="11:12">
      <c r="K1402" s="34"/>
      <c r="L1402" s="34"/>
    </row>
    <row r="1403" spans="11:12">
      <c r="K1403" s="34"/>
      <c r="L1403" s="34"/>
    </row>
    <row r="1404" spans="11:12">
      <c r="K1404" s="34"/>
      <c r="L1404" s="34"/>
    </row>
    <row r="1405" spans="11:12">
      <c r="K1405" s="34"/>
      <c r="L1405" s="34"/>
    </row>
    <row r="1406" spans="11:12">
      <c r="K1406" s="34"/>
      <c r="L1406" s="34"/>
    </row>
    <row r="1407" spans="11:12">
      <c r="K1407" s="34"/>
      <c r="L1407" s="34"/>
    </row>
    <row r="1408" spans="11:12">
      <c r="K1408" s="34"/>
      <c r="L1408" s="34"/>
    </row>
    <row r="1409" spans="11:12">
      <c r="K1409" s="34"/>
      <c r="L1409" s="34"/>
    </row>
    <row r="1410" spans="11:12">
      <c r="K1410" s="34"/>
      <c r="L1410" s="34"/>
    </row>
    <row r="1411" spans="11:12">
      <c r="K1411" s="34"/>
      <c r="L1411" s="34"/>
    </row>
    <row r="1412" spans="11:12">
      <c r="K1412" s="34"/>
      <c r="L1412" s="34"/>
    </row>
    <row r="1413" spans="11:12">
      <c r="K1413" s="34"/>
      <c r="L1413" s="34"/>
    </row>
    <row r="1414" spans="11:12">
      <c r="K1414" s="34"/>
      <c r="L1414" s="34"/>
    </row>
    <row r="1415" spans="11:12">
      <c r="K1415" s="34"/>
      <c r="L1415" s="34"/>
    </row>
    <row r="1416" spans="11:12">
      <c r="K1416" s="34"/>
      <c r="L1416" s="34"/>
    </row>
    <row r="1417" spans="11:12">
      <c r="K1417" s="34"/>
      <c r="L1417" s="34"/>
    </row>
    <row r="1418" spans="11:12">
      <c r="K1418" s="34"/>
      <c r="L1418" s="34"/>
    </row>
    <row r="1419" spans="11:12">
      <c r="K1419" s="34"/>
      <c r="L1419" s="34"/>
    </row>
    <row r="1420" spans="11:12">
      <c r="K1420" s="34"/>
      <c r="L1420" s="34"/>
    </row>
    <row r="1421" spans="11:12">
      <c r="K1421" s="34"/>
      <c r="L1421" s="34"/>
    </row>
    <row r="1422" spans="11:12">
      <c r="K1422" s="34"/>
      <c r="L1422" s="34"/>
    </row>
    <row r="1423" spans="11:12">
      <c r="K1423" s="34"/>
      <c r="L1423" s="34"/>
    </row>
    <row r="1424" spans="11:12">
      <c r="K1424" s="34"/>
      <c r="L1424" s="34"/>
    </row>
    <row r="1425" spans="11:12">
      <c r="K1425" s="34"/>
      <c r="L1425" s="34"/>
    </row>
    <row r="1426" spans="11:12">
      <c r="K1426" s="34"/>
      <c r="L1426" s="34"/>
    </row>
    <row r="1427" spans="11:12">
      <c r="K1427" s="34"/>
      <c r="L1427" s="34"/>
    </row>
    <row r="1428" spans="11:12">
      <c r="K1428" s="34"/>
      <c r="L1428" s="34"/>
    </row>
    <row r="1429" spans="11:12">
      <c r="K1429" s="34"/>
      <c r="L1429" s="34"/>
    </row>
    <row r="1430" spans="11:12">
      <c r="K1430" s="34"/>
      <c r="L1430" s="34"/>
    </row>
    <row r="1431" spans="11:12">
      <c r="K1431" s="34"/>
      <c r="L1431" s="34"/>
    </row>
    <row r="1432" spans="11:12">
      <c r="K1432" s="34"/>
      <c r="L1432" s="34"/>
    </row>
    <row r="1433" spans="11:12">
      <c r="K1433" s="34"/>
      <c r="L1433" s="34"/>
    </row>
    <row r="1434" spans="11:12">
      <c r="K1434" s="34"/>
      <c r="L1434" s="34"/>
    </row>
    <row r="1435" spans="11:12">
      <c r="K1435" s="34"/>
      <c r="L1435" s="34"/>
    </row>
    <row r="1436" spans="11:12">
      <c r="K1436" s="34"/>
      <c r="L1436" s="34"/>
    </row>
    <row r="1437" spans="11:12">
      <c r="K1437" s="34"/>
      <c r="L1437" s="34"/>
    </row>
    <row r="1438" spans="11:12">
      <c r="K1438" s="34"/>
      <c r="L1438" s="34"/>
    </row>
    <row r="1439" spans="11:12">
      <c r="K1439" s="34"/>
      <c r="L1439" s="34"/>
    </row>
    <row r="1440" spans="11:12">
      <c r="K1440" s="34"/>
      <c r="L1440" s="34"/>
    </row>
    <row r="1441" spans="11:12">
      <c r="K1441" s="34"/>
      <c r="L1441" s="34"/>
    </row>
    <row r="1442" spans="11:12">
      <c r="K1442" s="34"/>
      <c r="L1442" s="34"/>
    </row>
    <row r="1443" spans="11:12">
      <c r="K1443" s="34"/>
      <c r="L1443" s="34"/>
    </row>
    <row r="1444" spans="11:12">
      <c r="K1444" s="34"/>
      <c r="L1444" s="34"/>
    </row>
    <row r="1445" spans="11:12">
      <c r="K1445" s="34"/>
      <c r="L1445" s="34"/>
    </row>
    <row r="1446" spans="11:12">
      <c r="K1446" s="34"/>
      <c r="L1446" s="34"/>
    </row>
    <row r="1447" spans="11:12">
      <c r="K1447" s="34"/>
      <c r="L1447" s="34"/>
    </row>
    <row r="1448" spans="11:12">
      <c r="K1448" s="34"/>
      <c r="L1448" s="34"/>
    </row>
    <row r="1449" spans="11:12">
      <c r="K1449" s="34"/>
      <c r="L1449" s="34"/>
    </row>
    <row r="1450" spans="11:12">
      <c r="K1450" s="34"/>
      <c r="L1450" s="34"/>
    </row>
    <row r="1451" spans="11:12">
      <c r="K1451" s="34"/>
      <c r="L1451" s="34"/>
    </row>
    <row r="1452" spans="11:12">
      <c r="K1452" s="34"/>
      <c r="L1452" s="34"/>
    </row>
    <row r="1453" spans="11:12">
      <c r="K1453" s="34"/>
      <c r="L1453" s="34"/>
    </row>
    <row r="1454" spans="11:12">
      <c r="K1454" s="34"/>
      <c r="L1454" s="34"/>
    </row>
    <row r="1455" spans="11:12">
      <c r="K1455" s="34"/>
      <c r="L1455" s="34"/>
    </row>
    <row r="1456" spans="11:12">
      <c r="K1456" s="34"/>
      <c r="L1456" s="34"/>
    </row>
    <row r="1457" spans="11:12">
      <c r="K1457" s="34"/>
      <c r="L1457" s="34"/>
    </row>
    <row r="1458" spans="11:12">
      <c r="K1458" s="34"/>
      <c r="L1458" s="34"/>
    </row>
    <row r="1459" spans="11:12">
      <c r="K1459" s="34"/>
      <c r="L1459" s="34"/>
    </row>
    <row r="1460" spans="11:12">
      <c r="K1460" s="34"/>
      <c r="L1460" s="34"/>
    </row>
    <row r="1461" spans="11:12">
      <c r="K1461" s="34"/>
      <c r="L1461" s="34"/>
    </row>
    <row r="1462" spans="11:12">
      <c r="K1462" s="34"/>
      <c r="L1462" s="34"/>
    </row>
    <row r="1463" spans="11:12">
      <c r="K1463" s="34"/>
      <c r="L1463" s="34"/>
    </row>
    <row r="1464" spans="11:12">
      <c r="K1464" s="34"/>
      <c r="L1464" s="34"/>
    </row>
    <row r="1465" spans="11:12">
      <c r="K1465" s="34"/>
      <c r="L1465" s="34"/>
    </row>
    <row r="1466" spans="11:12">
      <c r="K1466" s="34"/>
      <c r="L1466" s="34"/>
    </row>
    <row r="1467" spans="11:12">
      <c r="K1467" s="34"/>
      <c r="L1467" s="34"/>
    </row>
    <row r="1468" spans="11:12">
      <c r="K1468" s="34"/>
      <c r="L1468" s="34"/>
    </row>
    <row r="1469" spans="11:12">
      <c r="K1469" s="34"/>
      <c r="L1469" s="34"/>
    </row>
    <row r="1470" spans="11:12">
      <c r="K1470" s="34"/>
      <c r="L1470" s="34"/>
    </row>
    <row r="1471" spans="11:12">
      <c r="K1471" s="34"/>
      <c r="L1471" s="34"/>
    </row>
    <row r="1472" spans="11:12">
      <c r="K1472" s="34"/>
      <c r="L1472" s="34"/>
    </row>
    <row r="1473" spans="11:12">
      <c r="K1473" s="34"/>
      <c r="L1473" s="34"/>
    </row>
    <row r="1474" spans="11:12">
      <c r="K1474" s="34"/>
      <c r="L1474" s="34"/>
    </row>
    <row r="1475" spans="11:12">
      <c r="K1475" s="34"/>
      <c r="L1475" s="34"/>
    </row>
    <row r="1476" spans="11:12">
      <c r="K1476" s="34"/>
      <c r="L1476" s="34"/>
    </row>
    <row r="1477" spans="11:12">
      <c r="K1477" s="34"/>
      <c r="L1477" s="34"/>
    </row>
    <row r="1478" spans="11:12">
      <c r="K1478" s="34"/>
      <c r="L1478" s="34"/>
    </row>
    <row r="1479" spans="11:12">
      <c r="K1479" s="34"/>
      <c r="L1479" s="34"/>
    </row>
    <row r="1480" spans="11:12">
      <c r="K1480" s="34"/>
      <c r="L1480" s="34"/>
    </row>
    <row r="1481" spans="11:12">
      <c r="K1481" s="34"/>
      <c r="L1481" s="34"/>
    </row>
    <row r="1482" spans="11:12">
      <c r="K1482" s="34"/>
      <c r="L1482" s="34"/>
    </row>
    <row r="1483" spans="11:12">
      <c r="K1483" s="34"/>
      <c r="L1483" s="34"/>
    </row>
    <row r="1484" spans="11:12">
      <c r="K1484" s="34"/>
      <c r="L1484" s="34"/>
    </row>
    <row r="1485" spans="11:12">
      <c r="K1485" s="34"/>
      <c r="L1485" s="34"/>
    </row>
    <row r="1486" spans="11:12">
      <c r="K1486" s="34"/>
      <c r="L1486" s="34"/>
    </row>
    <row r="1487" spans="11:12">
      <c r="K1487" s="34"/>
      <c r="L1487" s="34"/>
    </row>
    <row r="1488" spans="11:12">
      <c r="K1488" s="34"/>
      <c r="L1488" s="34"/>
    </row>
    <row r="1489" spans="11:12">
      <c r="K1489" s="34"/>
      <c r="L1489" s="34"/>
    </row>
    <row r="1490" spans="11:12">
      <c r="K1490" s="34"/>
      <c r="L1490" s="34"/>
    </row>
    <row r="1491" spans="11:12">
      <c r="K1491" s="34"/>
      <c r="L1491" s="34"/>
    </row>
    <row r="1492" spans="11:12">
      <c r="K1492" s="34"/>
      <c r="L1492" s="34"/>
    </row>
    <row r="1493" spans="11:12">
      <c r="K1493" s="34"/>
      <c r="L1493" s="34"/>
    </row>
    <row r="1494" spans="11:12">
      <c r="K1494" s="34"/>
      <c r="L1494" s="34"/>
    </row>
    <row r="1495" spans="11:12">
      <c r="K1495" s="34"/>
      <c r="L1495" s="34"/>
    </row>
    <row r="1496" spans="11:12">
      <c r="K1496" s="34"/>
      <c r="L1496" s="34"/>
    </row>
    <row r="1497" spans="11:12">
      <c r="K1497" s="34"/>
      <c r="L1497" s="34"/>
    </row>
    <row r="1498" spans="11:12">
      <c r="K1498" s="34"/>
      <c r="L1498" s="34"/>
    </row>
    <row r="1499" spans="11:12">
      <c r="K1499" s="34"/>
      <c r="L1499" s="34"/>
    </row>
    <row r="1500" spans="11:12">
      <c r="K1500" s="34"/>
      <c r="L1500" s="34"/>
    </row>
    <row r="1501" spans="11:12">
      <c r="K1501" s="34"/>
      <c r="L1501" s="34"/>
    </row>
    <row r="1502" spans="11:12">
      <c r="K1502" s="34"/>
      <c r="L1502" s="34"/>
    </row>
    <row r="1503" spans="11:12">
      <c r="K1503" s="34"/>
      <c r="L1503" s="34"/>
    </row>
    <row r="1504" spans="11:12">
      <c r="K1504" s="34"/>
      <c r="L1504" s="34"/>
    </row>
    <row r="1505" spans="11:12">
      <c r="K1505" s="34"/>
      <c r="L1505" s="34"/>
    </row>
    <row r="1506" spans="11:12">
      <c r="K1506" s="34"/>
      <c r="L1506" s="34"/>
    </row>
    <row r="1507" spans="11:12">
      <c r="K1507" s="34"/>
      <c r="L1507" s="34"/>
    </row>
    <row r="1508" spans="11:12">
      <c r="K1508" s="34"/>
      <c r="L1508" s="34"/>
    </row>
    <row r="1509" spans="11:12">
      <c r="K1509" s="34"/>
      <c r="L1509" s="34"/>
    </row>
    <row r="1510" spans="11:12">
      <c r="K1510" s="34"/>
      <c r="L1510" s="34"/>
    </row>
    <row r="1511" spans="11:12">
      <c r="K1511" s="34"/>
      <c r="L1511" s="34"/>
    </row>
    <row r="1512" spans="11:12">
      <c r="K1512" s="34"/>
      <c r="L1512" s="34"/>
    </row>
    <row r="1513" spans="11:12">
      <c r="K1513" s="34"/>
      <c r="L1513" s="34"/>
    </row>
    <row r="1514" spans="11:12">
      <c r="K1514" s="34"/>
      <c r="L1514" s="34"/>
    </row>
    <row r="1515" spans="11:12">
      <c r="K1515" s="34"/>
      <c r="L1515" s="34"/>
    </row>
    <row r="1516" spans="11:12">
      <c r="K1516" s="34"/>
      <c r="L1516" s="34"/>
    </row>
    <row r="1517" spans="11:12">
      <c r="K1517" s="34"/>
      <c r="L1517" s="34"/>
    </row>
    <row r="1518" spans="11:12">
      <c r="K1518" s="34"/>
      <c r="L1518" s="34"/>
    </row>
    <row r="1519" spans="11:12">
      <c r="K1519" s="34"/>
      <c r="L1519" s="34"/>
    </row>
    <row r="1520" spans="11:12">
      <c r="K1520" s="34"/>
      <c r="L1520" s="34"/>
    </row>
    <row r="1521" spans="11:12">
      <c r="K1521" s="34"/>
      <c r="L1521" s="34"/>
    </row>
    <row r="1522" spans="11:12">
      <c r="K1522" s="34"/>
      <c r="L1522" s="34"/>
    </row>
    <row r="1523" spans="11:12">
      <c r="K1523" s="34"/>
      <c r="L1523" s="34"/>
    </row>
    <row r="1524" spans="11:12">
      <c r="K1524" s="34"/>
      <c r="L1524" s="34"/>
    </row>
    <row r="1525" spans="11:12">
      <c r="K1525" s="34"/>
      <c r="L1525" s="34"/>
    </row>
    <row r="1526" spans="11:12">
      <c r="K1526" s="34"/>
      <c r="L1526" s="34"/>
    </row>
    <row r="1527" spans="11:12">
      <c r="K1527" s="34"/>
      <c r="L1527" s="34"/>
    </row>
    <row r="1528" spans="11:12">
      <c r="K1528" s="34"/>
      <c r="L1528" s="34"/>
    </row>
    <row r="1529" spans="11:12">
      <c r="K1529" s="34"/>
      <c r="L1529" s="34"/>
    </row>
    <row r="1530" spans="11:12">
      <c r="K1530" s="34"/>
      <c r="L1530" s="34"/>
    </row>
    <row r="1531" spans="11:12">
      <c r="K1531" s="34"/>
      <c r="L1531" s="34"/>
    </row>
    <row r="1532" spans="11:12">
      <c r="K1532" s="34"/>
      <c r="L1532" s="34"/>
    </row>
    <row r="1533" spans="11:12">
      <c r="K1533" s="34"/>
      <c r="L1533" s="34"/>
    </row>
    <row r="1534" spans="11:12">
      <c r="K1534" s="34"/>
      <c r="L1534" s="34"/>
    </row>
    <row r="1535" spans="11:12">
      <c r="K1535" s="34"/>
      <c r="L1535" s="34"/>
    </row>
    <row r="1536" spans="11:12">
      <c r="K1536" s="34"/>
      <c r="L1536" s="34"/>
    </row>
    <row r="1537" spans="11:12">
      <c r="K1537" s="34"/>
      <c r="L1537" s="34"/>
    </row>
    <row r="1538" spans="11:12">
      <c r="K1538" s="34"/>
      <c r="L1538" s="34"/>
    </row>
    <row r="1539" spans="11:12">
      <c r="K1539" s="34"/>
      <c r="L1539" s="34"/>
    </row>
    <row r="1540" spans="11:12">
      <c r="K1540" s="34"/>
      <c r="L1540" s="34"/>
    </row>
    <row r="1541" spans="11:12">
      <c r="K1541" s="34"/>
      <c r="L1541" s="34"/>
    </row>
    <row r="1542" spans="11:12">
      <c r="K1542" s="34"/>
      <c r="L1542" s="34"/>
    </row>
    <row r="1543" spans="11:12">
      <c r="K1543" s="34"/>
      <c r="L1543" s="34"/>
    </row>
    <row r="1544" spans="11:12">
      <c r="K1544" s="34"/>
      <c r="L1544" s="34"/>
    </row>
    <row r="1545" spans="11:12">
      <c r="K1545" s="34"/>
      <c r="L1545" s="34"/>
    </row>
    <row r="1546" spans="11:12">
      <c r="K1546" s="34"/>
      <c r="L1546" s="34"/>
    </row>
    <row r="1547" spans="11:12">
      <c r="K1547" s="34"/>
      <c r="L1547" s="34"/>
    </row>
    <row r="1548" spans="11:12">
      <c r="K1548" s="34"/>
      <c r="L1548" s="34"/>
    </row>
    <row r="1549" spans="11:12">
      <c r="K1549" s="34"/>
      <c r="L1549" s="34"/>
    </row>
    <row r="1550" spans="11:12">
      <c r="K1550" s="34"/>
      <c r="L1550" s="34"/>
    </row>
    <row r="1551" spans="11:12">
      <c r="K1551" s="34"/>
      <c r="L1551" s="34"/>
    </row>
    <row r="1552" spans="11:12">
      <c r="K1552" s="34"/>
      <c r="L1552" s="34"/>
    </row>
    <row r="1553" spans="11:12">
      <c r="K1553" s="34"/>
      <c r="L1553" s="34"/>
    </row>
    <row r="1554" spans="11:12">
      <c r="K1554" s="34"/>
      <c r="L1554" s="34"/>
    </row>
    <row r="1555" spans="11:12">
      <c r="K1555" s="34"/>
      <c r="L1555" s="34"/>
    </row>
    <row r="1556" spans="11:12">
      <c r="K1556" s="34"/>
      <c r="L1556" s="34"/>
    </row>
    <row r="1557" spans="11:12">
      <c r="K1557" s="34"/>
      <c r="L1557" s="34"/>
    </row>
    <row r="1558" spans="11:12">
      <c r="K1558" s="34"/>
      <c r="L1558" s="34"/>
    </row>
    <row r="1559" spans="11:12">
      <c r="K1559" s="34"/>
      <c r="L1559" s="34"/>
    </row>
    <row r="1560" spans="11:12">
      <c r="K1560" s="34"/>
      <c r="L1560" s="34"/>
    </row>
    <row r="1561" spans="11:12">
      <c r="K1561" s="34"/>
      <c r="L1561" s="34"/>
    </row>
    <row r="1562" spans="11:12">
      <c r="K1562" s="34"/>
      <c r="L1562" s="34"/>
    </row>
    <row r="1563" spans="11:12">
      <c r="K1563" s="34"/>
      <c r="L1563" s="34"/>
    </row>
    <row r="1564" spans="11:12">
      <c r="K1564" s="34"/>
      <c r="L1564" s="34"/>
    </row>
    <row r="1565" spans="11:12">
      <c r="K1565" s="34"/>
      <c r="L1565" s="34"/>
    </row>
    <row r="1566" spans="11:12">
      <c r="K1566" s="34"/>
      <c r="L1566" s="34"/>
    </row>
    <row r="1567" spans="11:12">
      <c r="K1567" s="34"/>
      <c r="L1567" s="34"/>
    </row>
    <row r="1568" spans="11:12">
      <c r="K1568" s="34"/>
      <c r="L1568" s="34"/>
    </row>
    <row r="1569" spans="11:12">
      <c r="K1569" s="34"/>
      <c r="L1569" s="34"/>
    </row>
    <row r="1570" spans="11:12">
      <c r="K1570" s="34"/>
      <c r="L1570" s="34"/>
    </row>
    <row r="1571" spans="11:12">
      <c r="K1571" s="34"/>
      <c r="L1571" s="34"/>
    </row>
    <row r="1572" spans="11:12">
      <c r="K1572" s="34"/>
      <c r="L1572" s="34"/>
    </row>
    <row r="1573" spans="11:12">
      <c r="K1573" s="34"/>
      <c r="L1573" s="34"/>
    </row>
    <row r="1574" spans="11:12">
      <c r="K1574" s="34"/>
      <c r="L1574" s="34"/>
    </row>
    <row r="1575" spans="11:12">
      <c r="K1575" s="34"/>
      <c r="L1575" s="34"/>
    </row>
    <row r="1576" spans="11:12">
      <c r="K1576" s="34"/>
      <c r="L1576" s="34"/>
    </row>
    <row r="1577" spans="11:12">
      <c r="K1577" s="34"/>
      <c r="L1577" s="34"/>
    </row>
    <row r="1578" spans="11:12">
      <c r="K1578" s="34"/>
      <c r="L1578" s="34"/>
    </row>
    <row r="1579" spans="11:12">
      <c r="K1579" s="34"/>
      <c r="L1579" s="34"/>
    </row>
    <row r="1580" spans="11:12">
      <c r="K1580" s="34"/>
      <c r="L1580" s="34"/>
    </row>
    <row r="1581" spans="11:12">
      <c r="K1581" s="34"/>
      <c r="L1581" s="34"/>
    </row>
    <row r="1582" spans="11:12">
      <c r="K1582" s="34"/>
      <c r="L1582" s="34"/>
    </row>
    <row r="1583" spans="11:12">
      <c r="K1583" s="34"/>
      <c r="L1583" s="34"/>
    </row>
    <row r="1584" spans="11:12">
      <c r="K1584" s="34"/>
      <c r="L1584" s="34"/>
    </row>
    <row r="1585" spans="11:12">
      <c r="K1585" s="34"/>
      <c r="L1585" s="34"/>
    </row>
    <row r="1586" spans="11:12">
      <c r="K1586" s="34"/>
      <c r="L1586" s="34"/>
    </row>
    <row r="1587" spans="11:12">
      <c r="K1587" s="34"/>
      <c r="L1587" s="34"/>
    </row>
    <row r="1588" spans="11:12">
      <c r="K1588" s="34"/>
      <c r="L1588" s="34"/>
    </row>
    <row r="1589" spans="11:12">
      <c r="K1589" s="34"/>
      <c r="L1589" s="34"/>
    </row>
    <row r="1590" spans="11:12">
      <c r="K1590" s="34"/>
      <c r="L1590" s="34"/>
    </row>
    <row r="1591" spans="11:12">
      <c r="K1591" s="34"/>
      <c r="L1591" s="34"/>
    </row>
    <row r="1592" spans="11:12">
      <c r="K1592" s="34"/>
      <c r="L1592" s="34"/>
    </row>
    <row r="1593" spans="11:12">
      <c r="K1593" s="34"/>
      <c r="L1593" s="34"/>
    </row>
    <row r="1594" spans="11:12">
      <c r="K1594" s="34"/>
      <c r="L1594" s="34"/>
    </row>
    <row r="1595" spans="11:12">
      <c r="K1595" s="34"/>
      <c r="L1595" s="34"/>
    </row>
    <row r="1596" spans="11:12">
      <c r="K1596" s="34"/>
      <c r="L1596" s="34"/>
    </row>
    <row r="1597" spans="11:12">
      <c r="K1597" s="34"/>
      <c r="L1597" s="34"/>
    </row>
    <row r="1598" spans="11:12">
      <c r="K1598" s="34"/>
      <c r="L1598" s="34"/>
    </row>
    <row r="1599" spans="11:12">
      <c r="K1599" s="34"/>
      <c r="L1599" s="34"/>
    </row>
    <row r="1600" spans="11:12">
      <c r="K1600" s="34"/>
      <c r="L1600" s="34"/>
    </row>
    <row r="1601" spans="11:12">
      <c r="K1601" s="34"/>
      <c r="L1601" s="34"/>
    </row>
    <row r="1602" spans="11:12">
      <c r="K1602" s="34"/>
      <c r="L1602" s="34"/>
    </row>
    <row r="1603" spans="11:12">
      <c r="K1603" s="34"/>
      <c r="L1603" s="34"/>
    </row>
    <row r="1604" spans="11:12">
      <c r="K1604" s="34"/>
      <c r="L1604" s="34"/>
    </row>
    <row r="1605" spans="11:12">
      <c r="K1605" s="34"/>
      <c r="L1605" s="34"/>
    </row>
    <row r="1606" spans="11:12">
      <c r="K1606" s="34"/>
      <c r="L1606" s="34"/>
    </row>
    <row r="1607" spans="11:12">
      <c r="K1607" s="34"/>
      <c r="L1607" s="34"/>
    </row>
    <row r="1608" spans="11:12">
      <c r="K1608" s="34"/>
      <c r="L1608" s="34"/>
    </row>
    <row r="1609" spans="11:12">
      <c r="K1609" s="34"/>
      <c r="L1609" s="34"/>
    </row>
    <row r="1610" spans="11:12">
      <c r="K1610" s="34"/>
      <c r="L1610" s="34"/>
    </row>
    <row r="1611" spans="11:12">
      <c r="K1611" s="34"/>
      <c r="L1611" s="34"/>
    </row>
    <row r="1612" spans="11:12">
      <c r="K1612" s="34"/>
      <c r="L1612" s="34"/>
    </row>
    <row r="1613" spans="11:12">
      <c r="K1613" s="34"/>
      <c r="L1613" s="34"/>
    </row>
    <row r="1614" spans="11:12">
      <c r="K1614" s="34"/>
      <c r="L1614" s="34"/>
    </row>
    <row r="1615" spans="11:12">
      <c r="K1615" s="34"/>
      <c r="L1615" s="34"/>
    </row>
    <row r="1616" spans="11:12">
      <c r="K1616" s="34"/>
      <c r="L1616" s="34"/>
    </row>
    <row r="1617" spans="11:12">
      <c r="K1617" s="34"/>
      <c r="L1617" s="34"/>
    </row>
    <row r="1618" spans="11:12">
      <c r="K1618" s="34"/>
      <c r="L1618" s="34"/>
    </row>
    <row r="1619" spans="11:12">
      <c r="K1619" s="34"/>
      <c r="L1619" s="34"/>
    </row>
    <row r="1620" spans="11:12">
      <c r="K1620" s="34"/>
      <c r="L1620" s="34"/>
    </row>
    <row r="1621" spans="11:12">
      <c r="K1621" s="34"/>
      <c r="L1621" s="34"/>
    </row>
    <row r="1622" spans="11:12">
      <c r="K1622" s="34"/>
      <c r="L1622" s="34"/>
    </row>
    <row r="1623" spans="11:12">
      <c r="K1623" s="34"/>
      <c r="L1623" s="34"/>
    </row>
    <row r="1624" spans="11:12">
      <c r="K1624" s="34"/>
      <c r="L1624" s="34"/>
    </row>
    <row r="1625" spans="11:12">
      <c r="K1625" s="34"/>
      <c r="L1625" s="34"/>
    </row>
    <row r="1626" spans="11:12">
      <c r="K1626" s="34"/>
      <c r="L1626" s="34"/>
    </row>
    <row r="1627" spans="11:12">
      <c r="K1627" s="34"/>
      <c r="L1627" s="34"/>
    </row>
    <row r="1628" spans="11:12">
      <c r="K1628" s="34"/>
      <c r="L1628" s="34"/>
    </row>
    <row r="1629" spans="11:12">
      <c r="K1629" s="34"/>
      <c r="L1629" s="34"/>
    </row>
    <row r="1630" spans="11:12">
      <c r="K1630" s="34"/>
      <c r="L1630" s="34"/>
    </row>
    <row r="1631" spans="11:12">
      <c r="K1631" s="34"/>
      <c r="L1631" s="34"/>
    </row>
    <row r="1632" spans="11:12">
      <c r="K1632" s="34"/>
      <c r="L1632" s="34"/>
    </row>
    <row r="1633" spans="11:12">
      <c r="K1633" s="34"/>
      <c r="L1633" s="34"/>
    </row>
    <row r="1634" spans="11:12">
      <c r="K1634" s="34"/>
      <c r="L1634" s="34"/>
    </row>
    <row r="1635" spans="11:12">
      <c r="K1635" s="34"/>
      <c r="L1635" s="34"/>
    </row>
    <row r="1636" spans="11:12">
      <c r="K1636" s="34"/>
      <c r="L1636" s="34"/>
    </row>
    <row r="1637" spans="11:12">
      <c r="K1637" s="34"/>
      <c r="L1637" s="34"/>
    </row>
    <row r="1638" spans="11:12">
      <c r="K1638" s="34"/>
      <c r="L1638" s="34"/>
    </row>
    <row r="1639" spans="11:12">
      <c r="K1639" s="34"/>
      <c r="L1639" s="34"/>
    </row>
    <row r="1640" spans="11:12">
      <c r="K1640" s="34"/>
      <c r="L1640" s="34"/>
    </row>
    <row r="1641" spans="11:12">
      <c r="K1641" s="34"/>
      <c r="L1641" s="34"/>
    </row>
    <row r="1642" spans="11:12">
      <c r="K1642" s="34"/>
      <c r="L1642" s="34"/>
    </row>
    <row r="1643" spans="11:12">
      <c r="K1643" s="34"/>
      <c r="L1643" s="34"/>
    </row>
    <row r="1644" spans="11:12">
      <c r="K1644" s="34"/>
      <c r="L1644" s="34"/>
    </row>
    <row r="1645" spans="11:12">
      <c r="K1645" s="34"/>
      <c r="L1645" s="34"/>
    </row>
    <row r="1646" spans="11:12">
      <c r="K1646" s="34"/>
      <c r="L1646" s="34"/>
    </row>
    <row r="1647" spans="11:12">
      <c r="K1647" s="34"/>
      <c r="L1647" s="34"/>
    </row>
    <row r="1648" spans="11:12">
      <c r="K1648" s="34"/>
      <c r="L1648" s="34"/>
    </row>
    <row r="1649" spans="11:12">
      <c r="K1649" s="34"/>
      <c r="L1649" s="34"/>
    </row>
    <row r="1650" spans="11:12">
      <c r="K1650" s="34"/>
      <c r="L1650" s="34"/>
    </row>
    <row r="1651" spans="11:12">
      <c r="K1651" s="34"/>
      <c r="L1651" s="34"/>
    </row>
    <row r="1652" spans="11:12">
      <c r="K1652" s="34"/>
      <c r="L1652" s="34"/>
    </row>
    <row r="1653" spans="11:12">
      <c r="K1653" s="34"/>
      <c r="L1653" s="34"/>
    </row>
    <row r="1654" spans="11:12">
      <c r="K1654" s="34"/>
      <c r="L1654" s="34"/>
    </row>
    <row r="1655" spans="11:12">
      <c r="K1655" s="34"/>
      <c r="L1655" s="34"/>
    </row>
    <row r="1656" spans="11:12">
      <c r="K1656" s="34"/>
      <c r="L1656" s="34"/>
    </row>
    <row r="1657" spans="11:12">
      <c r="K1657" s="34"/>
      <c r="L1657" s="34"/>
    </row>
    <row r="1658" spans="11:12">
      <c r="K1658" s="34"/>
      <c r="L1658" s="34"/>
    </row>
    <row r="1659" spans="11:12">
      <c r="K1659" s="34"/>
      <c r="L1659" s="34"/>
    </row>
    <row r="1660" spans="11:12">
      <c r="K1660" s="34"/>
      <c r="L1660" s="34"/>
    </row>
    <row r="1661" spans="11:12">
      <c r="K1661" s="34"/>
      <c r="L1661" s="34"/>
    </row>
    <row r="1662" spans="11:12">
      <c r="K1662" s="34"/>
      <c r="L1662" s="34"/>
    </row>
    <row r="1663" spans="11:12">
      <c r="K1663" s="34"/>
      <c r="L1663" s="34"/>
    </row>
    <row r="1664" spans="11:12">
      <c r="K1664" s="34"/>
      <c r="L1664" s="34"/>
    </row>
    <row r="1665" spans="11:12">
      <c r="K1665" s="34"/>
      <c r="L1665" s="34"/>
    </row>
    <row r="1666" spans="11:12">
      <c r="K1666" s="34"/>
      <c r="L1666" s="34"/>
    </row>
    <row r="1667" spans="11:12">
      <c r="K1667" s="34"/>
      <c r="L1667" s="34"/>
    </row>
    <row r="1668" spans="11:12">
      <c r="K1668" s="34"/>
      <c r="L1668" s="34"/>
    </row>
    <row r="1669" spans="11:12">
      <c r="K1669" s="34"/>
      <c r="L1669" s="34"/>
    </row>
    <row r="1670" spans="11:12">
      <c r="K1670" s="34"/>
      <c r="L1670" s="34"/>
    </row>
    <row r="1671" spans="11:12">
      <c r="K1671" s="34"/>
      <c r="L1671" s="34"/>
    </row>
    <row r="1672" spans="11:12">
      <c r="K1672" s="34"/>
      <c r="L1672" s="34"/>
    </row>
    <row r="1673" spans="11:12">
      <c r="K1673" s="34"/>
      <c r="L1673" s="34"/>
    </row>
    <row r="1674" spans="11:12">
      <c r="K1674" s="34"/>
      <c r="L1674" s="34"/>
    </row>
    <row r="1675" spans="11:12">
      <c r="K1675" s="34"/>
      <c r="L1675" s="34"/>
    </row>
    <row r="1676" spans="11:12">
      <c r="K1676" s="34"/>
      <c r="L1676" s="34"/>
    </row>
    <row r="1677" spans="11:12">
      <c r="K1677" s="34"/>
      <c r="L1677" s="34"/>
    </row>
    <row r="1678" spans="11:12">
      <c r="K1678" s="34"/>
      <c r="L1678" s="34"/>
    </row>
    <row r="1679" spans="11:12">
      <c r="K1679" s="34"/>
      <c r="L1679" s="34"/>
    </row>
    <row r="1680" spans="11:12">
      <c r="K1680" s="34"/>
      <c r="L1680" s="34"/>
    </row>
    <row r="1681" spans="11:12">
      <c r="K1681" s="34"/>
      <c r="L1681" s="34"/>
    </row>
    <row r="1682" spans="11:12">
      <c r="K1682" s="34"/>
      <c r="L1682" s="34"/>
    </row>
    <row r="1683" spans="11:12">
      <c r="K1683" s="34"/>
      <c r="L1683" s="34"/>
    </row>
    <row r="1684" spans="11:12">
      <c r="K1684" s="34"/>
      <c r="L1684" s="34"/>
    </row>
    <row r="1685" spans="11:12">
      <c r="K1685" s="34"/>
      <c r="L1685" s="34"/>
    </row>
    <row r="1686" spans="11:12">
      <c r="K1686" s="34"/>
      <c r="L1686" s="34"/>
    </row>
    <row r="1687" spans="11:12">
      <c r="K1687" s="34"/>
      <c r="L1687" s="34"/>
    </row>
    <row r="1688" spans="11:12">
      <c r="K1688" s="34"/>
      <c r="L1688" s="34"/>
    </row>
    <row r="1689" spans="11:12">
      <c r="K1689" s="34"/>
      <c r="L1689" s="34"/>
    </row>
    <row r="1690" spans="11:12">
      <c r="K1690" s="34"/>
      <c r="L1690" s="34"/>
    </row>
    <row r="1691" spans="11:12">
      <c r="K1691" s="34"/>
      <c r="L1691" s="34"/>
    </row>
    <row r="1692" spans="11:12">
      <c r="K1692" s="34"/>
      <c r="L1692" s="34"/>
    </row>
    <row r="1693" spans="11:12">
      <c r="K1693" s="34"/>
      <c r="L1693" s="34"/>
    </row>
    <row r="1694" spans="11:12">
      <c r="K1694" s="34"/>
      <c r="L1694" s="34"/>
    </row>
    <row r="1695" spans="11:12">
      <c r="K1695" s="34"/>
      <c r="L1695" s="34"/>
    </row>
    <row r="1696" spans="11:12">
      <c r="K1696" s="34"/>
      <c r="L1696" s="34"/>
    </row>
    <row r="1697" spans="11:12">
      <c r="K1697" s="34"/>
      <c r="L1697" s="34"/>
    </row>
    <row r="1698" spans="11:12">
      <c r="K1698" s="34"/>
      <c r="L1698" s="34"/>
    </row>
    <row r="1699" spans="11:12">
      <c r="K1699" s="34"/>
      <c r="L1699" s="34"/>
    </row>
    <row r="1700" spans="11:12">
      <c r="K1700" s="34"/>
      <c r="L1700" s="34"/>
    </row>
    <row r="1701" spans="11:12">
      <c r="K1701" s="34"/>
      <c r="L1701" s="34"/>
    </row>
    <row r="1702" spans="11:12">
      <c r="K1702" s="34"/>
      <c r="L1702" s="34"/>
    </row>
    <row r="1703" spans="11:12">
      <c r="K1703" s="34"/>
      <c r="L1703" s="34"/>
    </row>
    <row r="1704" spans="11:12">
      <c r="K1704" s="34"/>
      <c r="L1704" s="34"/>
    </row>
    <row r="1705" spans="11:12">
      <c r="K1705" s="34"/>
      <c r="L1705" s="34"/>
    </row>
    <row r="1706" spans="11:12">
      <c r="K1706" s="34"/>
      <c r="L1706" s="34"/>
    </row>
    <row r="1707" spans="11:12">
      <c r="K1707" s="34"/>
      <c r="L1707" s="34"/>
    </row>
    <row r="1708" spans="11:12">
      <c r="K1708" s="34"/>
      <c r="L1708" s="34"/>
    </row>
    <row r="1709" spans="11:12">
      <c r="K1709" s="34"/>
      <c r="L1709" s="34"/>
    </row>
    <row r="1710" spans="11:12">
      <c r="K1710" s="34"/>
      <c r="L1710" s="34"/>
    </row>
    <row r="1711" spans="11:12">
      <c r="K1711" s="34"/>
      <c r="L1711" s="34"/>
    </row>
    <row r="1712" spans="11:12">
      <c r="K1712" s="34"/>
      <c r="L1712" s="34"/>
    </row>
    <row r="1713" spans="11:12">
      <c r="K1713" s="34"/>
      <c r="L1713" s="34"/>
    </row>
    <row r="1714" spans="11:12">
      <c r="K1714" s="34"/>
      <c r="L1714" s="34"/>
    </row>
    <row r="1715" spans="11:12">
      <c r="K1715" s="34"/>
      <c r="L1715" s="34"/>
    </row>
    <row r="1716" spans="11:12">
      <c r="K1716" s="34"/>
      <c r="L1716" s="34"/>
    </row>
    <row r="1717" spans="11:12">
      <c r="K1717" s="34"/>
      <c r="L1717" s="34"/>
    </row>
    <row r="1718" spans="11:12">
      <c r="K1718" s="34"/>
      <c r="L1718" s="34"/>
    </row>
    <row r="1719" spans="11:12">
      <c r="K1719" s="34"/>
      <c r="L1719" s="34"/>
    </row>
    <row r="1720" spans="11:12">
      <c r="K1720" s="34"/>
      <c r="L1720" s="34"/>
    </row>
    <row r="1721" spans="11:12">
      <c r="K1721" s="34"/>
      <c r="L1721" s="34"/>
    </row>
    <row r="1722" spans="11:12">
      <c r="K1722" s="34"/>
      <c r="L1722" s="34"/>
    </row>
    <row r="1723" spans="11:12">
      <c r="K1723" s="34"/>
      <c r="L1723" s="34"/>
    </row>
    <row r="1724" spans="11:12">
      <c r="K1724" s="34"/>
      <c r="L1724" s="34"/>
    </row>
    <row r="1725" spans="11:12">
      <c r="K1725" s="34"/>
      <c r="L1725" s="34"/>
    </row>
    <row r="1726" spans="11:12">
      <c r="K1726" s="34"/>
      <c r="L1726" s="34"/>
    </row>
    <row r="1727" spans="11:12">
      <c r="K1727" s="34"/>
      <c r="L1727" s="34"/>
    </row>
    <row r="1728" spans="11:12">
      <c r="K1728" s="34"/>
      <c r="L1728" s="34"/>
    </row>
    <row r="1729" spans="11:12">
      <c r="K1729" s="34"/>
      <c r="L1729" s="34"/>
    </row>
    <row r="1730" spans="11:12">
      <c r="K1730" s="34"/>
      <c r="L1730" s="34"/>
    </row>
    <row r="1731" spans="11:12">
      <c r="K1731" s="34"/>
      <c r="L1731" s="34"/>
    </row>
    <row r="1732" spans="11:12">
      <c r="K1732" s="34"/>
      <c r="L1732" s="34"/>
    </row>
    <row r="1733" spans="11:12">
      <c r="K1733" s="34"/>
      <c r="L1733" s="34"/>
    </row>
    <row r="1734" spans="11:12">
      <c r="K1734" s="34"/>
      <c r="L1734" s="34"/>
    </row>
    <row r="1735" spans="11:12">
      <c r="K1735" s="34"/>
      <c r="L1735" s="34"/>
    </row>
    <row r="1736" spans="11:12">
      <c r="K1736" s="34"/>
      <c r="L1736" s="34"/>
    </row>
    <row r="1737" spans="11:12">
      <c r="K1737" s="34"/>
      <c r="L1737" s="34"/>
    </row>
    <row r="1738" spans="11:12">
      <c r="K1738" s="34"/>
      <c r="L1738" s="34"/>
    </row>
    <row r="1739" spans="11:12">
      <c r="K1739" s="34"/>
      <c r="L1739" s="34"/>
    </row>
    <row r="1740" spans="11:12">
      <c r="K1740" s="34"/>
      <c r="L1740" s="34"/>
    </row>
    <row r="1741" spans="11:12">
      <c r="K1741" s="34"/>
      <c r="L1741" s="34"/>
    </row>
    <row r="1742" spans="11:12">
      <c r="K1742" s="34"/>
      <c r="L1742" s="34"/>
    </row>
    <row r="1743" spans="11:12">
      <c r="K1743" s="34"/>
      <c r="L1743" s="34"/>
    </row>
    <row r="1744" spans="11:12">
      <c r="K1744" s="34"/>
      <c r="L1744" s="34"/>
    </row>
    <row r="1745" spans="11:12">
      <c r="K1745" s="34"/>
      <c r="L1745" s="34"/>
    </row>
    <row r="1746" spans="11:12">
      <c r="K1746" s="34"/>
      <c r="L1746" s="34"/>
    </row>
    <row r="1747" spans="11:12">
      <c r="K1747" s="34"/>
      <c r="L1747" s="34"/>
    </row>
    <row r="1748" spans="11:12">
      <c r="K1748" s="34"/>
      <c r="L1748" s="34"/>
    </row>
    <row r="1749" spans="11:12">
      <c r="K1749" s="34"/>
      <c r="L1749" s="34"/>
    </row>
    <row r="1750" spans="11:12">
      <c r="K1750" s="34"/>
      <c r="L1750" s="34"/>
    </row>
    <row r="1751" spans="11:12">
      <c r="K1751" s="34"/>
      <c r="L1751" s="34"/>
    </row>
    <row r="1752" spans="11:12">
      <c r="K1752" s="34"/>
      <c r="L1752" s="34"/>
    </row>
    <row r="1753" spans="11:12">
      <c r="K1753" s="34"/>
      <c r="L1753" s="34"/>
    </row>
    <row r="1754" spans="11:12">
      <c r="K1754" s="34"/>
      <c r="L1754" s="34"/>
    </row>
    <row r="1755" spans="11:12">
      <c r="K1755" s="34"/>
      <c r="L1755" s="34"/>
    </row>
    <row r="1756" spans="11:12">
      <c r="K1756" s="34"/>
      <c r="L1756" s="34"/>
    </row>
    <row r="1757" spans="11:12">
      <c r="K1757" s="34"/>
      <c r="L1757" s="34"/>
    </row>
    <row r="1758" spans="11:12">
      <c r="K1758" s="34"/>
      <c r="L1758" s="34"/>
    </row>
    <row r="1759" spans="11:12">
      <c r="K1759" s="34"/>
      <c r="L1759" s="34"/>
    </row>
    <row r="1760" spans="11:12">
      <c r="K1760" s="34"/>
      <c r="L1760" s="34"/>
    </row>
    <row r="1761" spans="11:12">
      <c r="K1761" s="34"/>
      <c r="L1761" s="34"/>
    </row>
    <row r="1762" spans="11:12">
      <c r="K1762" s="34"/>
      <c r="L1762" s="34"/>
    </row>
    <row r="1763" spans="11:12">
      <c r="K1763" s="34"/>
      <c r="L1763" s="34"/>
    </row>
    <row r="1764" spans="11:12">
      <c r="K1764" s="34"/>
      <c r="L1764" s="34"/>
    </row>
    <row r="1765" spans="11:12">
      <c r="K1765" s="34"/>
      <c r="L1765" s="34"/>
    </row>
    <row r="1766" spans="11:12">
      <c r="K1766" s="34"/>
      <c r="L1766" s="34"/>
    </row>
    <row r="1767" spans="11:12">
      <c r="K1767" s="34"/>
      <c r="L1767" s="34"/>
    </row>
    <row r="1768" spans="11:12">
      <c r="K1768" s="34"/>
      <c r="L1768" s="34"/>
    </row>
    <row r="1769" spans="11:12">
      <c r="K1769" s="34"/>
      <c r="L1769" s="34"/>
    </row>
    <row r="1770" spans="11:12">
      <c r="K1770" s="34"/>
      <c r="L1770" s="34"/>
    </row>
    <row r="1771" spans="11:12">
      <c r="K1771" s="34"/>
      <c r="L1771" s="34"/>
    </row>
    <row r="1772" spans="11:12">
      <c r="K1772" s="34"/>
      <c r="L1772" s="34"/>
    </row>
    <row r="1773" spans="11:12">
      <c r="K1773" s="34"/>
      <c r="L1773" s="34"/>
    </row>
    <row r="1774" spans="11:12">
      <c r="K1774" s="34"/>
      <c r="L1774" s="34"/>
    </row>
    <row r="1775" spans="11:12">
      <c r="K1775" s="34"/>
      <c r="L1775" s="34"/>
    </row>
    <row r="1776" spans="11:12">
      <c r="K1776" s="34"/>
      <c r="L1776" s="34"/>
    </row>
    <row r="1777" spans="11:12">
      <c r="K1777" s="34"/>
      <c r="L1777" s="34"/>
    </row>
    <row r="1778" spans="11:12">
      <c r="K1778" s="34"/>
      <c r="L1778" s="34"/>
    </row>
    <row r="1779" spans="11:12">
      <c r="K1779" s="34"/>
      <c r="L1779" s="34"/>
    </row>
    <row r="1780" spans="11:12">
      <c r="K1780" s="34"/>
      <c r="L1780" s="34"/>
    </row>
    <row r="1781" spans="11:12">
      <c r="K1781" s="34"/>
      <c r="L1781" s="34"/>
    </row>
    <row r="1782" spans="11:12">
      <c r="K1782" s="34"/>
      <c r="L1782" s="34"/>
    </row>
    <row r="1783" spans="11:12">
      <c r="K1783" s="34"/>
      <c r="L1783" s="34"/>
    </row>
    <row r="1784" spans="11:12">
      <c r="K1784" s="34"/>
      <c r="L1784" s="34"/>
    </row>
    <row r="1785" spans="11:12">
      <c r="K1785" s="34"/>
      <c r="L1785" s="34"/>
    </row>
    <row r="1786" spans="11:12">
      <c r="K1786" s="34"/>
      <c r="L1786" s="34"/>
    </row>
    <row r="1787" spans="11:12">
      <c r="K1787" s="34"/>
      <c r="L1787" s="34"/>
    </row>
    <row r="1788" spans="11:12">
      <c r="K1788" s="34"/>
      <c r="L1788" s="34"/>
    </row>
    <row r="1789" spans="11:12">
      <c r="K1789" s="34"/>
      <c r="L1789" s="34"/>
    </row>
    <row r="1790" spans="11:12">
      <c r="K1790" s="34"/>
      <c r="L1790" s="34"/>
    </row>
    <row r="1791" spans="11:12">
      <c r="K1791" s="34"/>
      <c r="L1791" s="34"/>
    </row>
    <row r="1792" spans="11:12">
      <c r="K1792" s="34"/>
      <c r="L1792" s="34"/>
    </row>
    <row r="1793" spans="11:12">
      <c r="K1793" s="34"/>
      <c r="L1793" s="34"/>
    </row>
    <row r="1794" spans="11:12">
      <c r="K1794" s="34"/>
      <c r="L1794" s="34"/>
    </row>
    <row r="1795" spans="11:12">
      <c r="K1795" s="34"/>
      <c r="L1795" s="34"/>
    </row>
    <row r="1796" spans="11:12">
      <c r="K1796" s="34"/>
      <c r="L1796" s="34"/>
    </row>
    <row r="1797" spans="11:12">
      <c r="K1797" s="34"/>
      <c r="L1797" s="34"/>
    </row>
    <row r="1798" spans="11:12">
      <c r="K1798" s="34"/>
      <c r="L1798" s="34"/>
    </row>
    <row r="1799" spans="11:12">
      <c r="K1799" s="34"/>
      <c r="L1799" s="34"/>
    </row>
    <row r="1800" spans="11:12">
      <c r="K1800" s="34"/>
      <c r="L1800" s="34"/>
    </row>
    <row r="1801" spans="11:12">
      <c r="K1801" s="34"/>
      <c r="L1801" s="34"/>
    </row>
    <row r="1802" spans="11:12">
      <c r="K1802" s="34"/>
      <c r="L1802" s="34"/>
    </row>
    <row r="1803" spans="11:12">
      <c r="K1803" s="34"/>
      <c r="L1803" s="34"/>
    </row>
    <row r="1804" spans="11:12">
      <c r="K1804" s="34"/>
      <c r="L1804" s="34"/>
    </row>
    <row r="1805" spans="11:12">
      <c r="K1805" s="34"/>
      <c r="L1805" s="34"/>
    </row>
    <row r="1806" spans="11:12">
      <c r="K1806" s="34"/>
      <c r="L1806" s="34"/>
    </row>
    <row r="1807" spans="11:12">
      <c r="K1807" s="34"/>
      <c r="L1807" s="34"/>
    </row>
    <row r="1808" spans="11:12">
      <c r="K1808" s="34"/>
      <c r="L1808" s="34"/>
    </row>
    <row r="1809" spans="11:12">
      <c r="K1809" s="34"/>
      <c r="L1809" s="34"/>
    </row>
    <row r="1810" spans="11:12">
      <c r="K1810" s="34"/>
      <c r="L1810" s="34"/>
    </row>
    <row r="1811" spans="11:12">
      <c r="K1811" s="34"/>
      <c r="L1811" s="34"/>
    </row>
    <row r="1812" spans="11:12">
      <c r="K1812" s="34"/>
      <c r="L1812" s="34"/>
    </row>
    <row r="1813" spans="11:12">
      <c r="K1813" s="34"/>
      <c r="L1813" s="34"/>
    </row>
    <row r="1814" spans="11:12">
      <c r="K1814" s="34"/>
      <c r="L1814" s="34"/>
    </row>
    <row r="1815" spans="11:12">
      <c r="K1815" s="34"/>
      <c r="L1815" s="34"/>
    </row>
    <row r="1816" spans="11:12">
      <c r="K1816" s="34"/>
      <c r="L1816" s="34"/>
    </row>
    <row r="1817" spans="11:12">
      <c r="K1817" s="34"/>
      <c r="L1817" s="34"/>
    </row>
    <row r="1818" spans="11:12">
      <c r="K1818" s="34"/>
      <c r="L1818" s="34"/>
    </row>
    <row r="1819" spans="11:12">
      <c r="K1819" s="34"/>
      <c r="L1819" s="34"/>
    </row>
    <row r="1820" spans="11:12">
      <c r="K1820" s="34"/>
      <c r="L1820" s="34"/>
    </row>
    <row r="1821" spans="11:12">
      <c r="K1821" s="34"/>
      <c r="L1821" s="34"/>
    </row>
    <row r="1822" spans="11:12">
      <c r="K1822" s="34"/>
      <c r="L1822" s="34"/>
    </row>
    <row r="1823" spans="11:12">
      <c r="K1823" s="34"/>
      <c r="L1823" s="34"/>
    </row>
    <row r="1824" spans="11:12">
      <c r="K1824" s="34"/>
      <c r="L1824" s="34"/>
    </row>
    <row r="1825" spans="11:12">
      <c r="K1825" s="34"/>
      <c r="L1825" s="34"/>
    </row>
    <row r="1826" spans="11:12">
      <c r="K1826" s="34"/>
      <c r="L1826" s="34"/>
    </row>
    <row r="1827" spans="11:12">
      <c r="K1827" s="34"/>
      <c r="L1827" s="34"/>
    </row>
    <row r="1828" spans="11:12">
      <c r="K1828" s="34"/>
      <c r="L1828" s="34"/>
    </row>
    <row r="1829" spans="11:12">
      <c r="K1829" s="34"/>
      <c r="L1829" s="34"/>
    </row>
    <row r="1830" spans="11:12">
      <c r="K1830" s="34"/>
      <c r="L1830" s="34"/>
    </row>
    <row r="1831" spans="11:12">
      <c r="K1831" s="34"/>
      <c r="L1831" s="34"/>
    </row>
    <row r="1832" spans="11:12">
      <c r="K1832" s="34"/>
      <c r="L1832" s="34"/>
    </row>
    <row r="1833" spans="11:12">
      <c r="K1833" s="34"/>
      <c r="L1833" s="34"/>
    </row>
    <row r="1834" spans="11:12">
      <c r="K1834" s="34"/>
      <c r="L1834" s="34"/>
    </row>
    <row r="1835" spans="11:12">
      <c r="K1835" s="34"/>
      <c r="L1835" s="34"/>
    </row>
    <row r="1836" spans="11:12">
      <c r="K1836" s="34"/>
      <c r="L1836" s="34"/>
    </row>
    <row r="1837" spans="11:12">
      <c r="K1837" s="34"/>
      <c r="L1837" s="34"/>
    </row>
    <row r="1838" spans="11:12">
      <c r="K1838" s="34"/>
      <c r="L1838" s="34"/>
    </row>
    <row r="1839" spans="11:12">
      <c r="K1839" s="34"/>
      <c r="L1839" s="34"/>
    </row>
    <row r="1840" spans="11:12">
      <c r="K1840" s="34"/>
      <c r="L1840" s="34"/>
    </row>
    <row r="1841" spans="11:12">
      <c r="K1841" s="34"/>
      <c r="L1841" s="34"/>
    </row>
    <row r="1842" spans="11:12">
      <c r="K1842" s="34"/>
      <c r="L1842" s="34"/>
    </row>
    <row r="1843" spans="11:12">
      <c r="K1843" s="34"/>
      <c r="L1843" s="34"/>
    </row>
    <row r="1844" spans="11:12">
      <c r="K1844" s="34"/>
      <c r="L1844" s="34"/>
    </row>
    <row r="1845" spans="11:12">
      <c r="K1845" s="34"/>
      <c r="L1845" s="34"/>
    </row>
    <row r="1846" spans="11:12">
      <c r="K1846" s="34"/>
      <c r="L1846" s="34"/>
    </row>
    <row r="1847" spans="11:12">
      <c r="K1847" s="34"/>
      <c r="L1847" s="34"/>
    </row>
    <row r="1848" spans="11:12">
      <c r="K1848" s="34"/>
      <c r="L1848" s="34"/>
    </row>
    <row r="1849" spans="11:12">
      <c r="K1849" s="34"/>
      <c r="L1849" s="34"/>
    </row>
    <row r="1850" spans="11:12">
      <c r="K1850" s="34"/>
      <c r="L1850" s="34"/>
    </row>
    <row r="1851" spans="11:12">
      <c r="K1851" s="34"/>
      <c r="L1851" s="34"/>
    </row>
    <row r="1852" spans="11:12">
      <c r="K1852" s="34"/>
      <c r="L1852" s="34"/>
    </row>
    <row r="1853" spans="11:12">
      <c r="K1853" s="34"/>
      <c r="L1853" s="34"/>
    </row>
    <row r="1854" spans="11:12">
      <c r="K1854" s="34"/>
      <c r="L1854" s="34"/>
    </row>
    <row r="1855" spans="11:12">
      <c r="K1855" s="34"/>
      <c r="L1855" s="34"/>
    </row>
    <row r="1856" spans="11:12">
      <c r="K1856" s="34"/>
      <c r="L1856" s="34"/>
    </row>
    <row r="1857" spans="11:12">
      <c r="K1857" s="34"/>
      <c r="L1857" s="34"/>
    </row>
    <row r="1858" spans="11:12">
      <c r="K1858" s="34"/>
      <c r="L1858" s="34"/>
    </row>
    <row r="1859" spans="11:12">
      <c r="K1859" s="34"/>
      <c r="L1859" s="34"/>
    </row>
    <row r="1860" spans="11:12">
      <c r="K1860" s="34"/>
      <c r="L1860" s="34"/>
    </row>
    <row r="1861" spans="11:12">
      <c r="K1861" s="34"/>
      <c r="L1861" s="34"/>
    </row>
    <row r="1862" spans="11:12">
      <c r="K1862" s="34"/>
      <c r="L1862" s="34"/>
    </row>
    <row r="1863" spans="11:12">
      <c r="K1863" s="34"/>
      <c r="L1863" s="34"/>
    </row>
    <row r="1864" spans="11:12">
      <c r="K1864" s="34"/>
      <c r="L1864" s="34"/>
    </row>
    <row r="1865" spans="11:12">
      <c r="K1865" s="34"/>
      <c r="L1865" s="34"/>
    </row>
    <row r="1866" spans="11:12">
      <c r="K1866" s="34"/>
      <c r="L1866" s="34"/>
    </row>
    <row r="1867" spans="11:12">
      <c r="K1867" s="34"/>
      <c r="L1867" s="34"/>
    </row>
    <row r="1868" spans="11:12">
      <c r="K1868" s="34"/>
      <c r="L1868" s="34"/>
    </row>
    <row r="1869" spans="11:12">
      <c r="K1869" s="34"/>
      <c r="L1869" s="34"/>
    </row>
    <row r="1870" spans="11:12">
      <c r="K1870" s="34"/>
      <c r="L1870" s="34"/>
    </row>
    <row r="1871" spans="11:12">
      <c r="K1871" s="34"/>
      <c r="L1871" s="34"/>
    </row>
    <row r="1872" spans="11:12">
      <c r="K1872" s="34"/>
      <c r="L1872" s="34"/>
    </row>
    <row r="1873" spans="11:12">
      <c r="K1873" s="34"/>
      <c r="L1873" s="34"/>
    </row>
    <row r="1874" spans="11:12">
      <c r="K1874" s="34"/>
      <c r="L1874" s="34"/>
    </row>
    <row r="1875" spans="11:12">
      <c r="K1875" s="34"/>
      <c r="L1875" s="34"/>
    </row>
    <row r="1876" spans="11:12">
      <c r="K1876" s="34"/>
      <c r="L1876" s="34"/>
    </row>
    <row r="1877" spans="11:12">
      <c r="K1877" s="34"/>
      <c r="L1877" s="34"/>
    </row>
    <row r="1878" spans="11:12">
      <c r="K1878" s="34"/>
      <c r="L1878" s="34"/>
    </row>
    <row r="1879" spans="11:12">
      <c r="K1879" s="34"/>
      <c r="L1879" s="34"/>
    </row>
    <row r="1880" spans="11:12">
      <c r="K1880" s="34"/>
      <c r="L1880" s="34"/>
    </row>
    <row r="1881" spans="11:12">
      <c r="K1881" s="34"/>
      <c r="L1881" s="34"/>
    </row>
    <row r="1882" spans="11:12">
      <c r="K1882" s="34"/>
      <c r="L1882" s="34"/>
    </row>
    <row r="1883" spans="11:12">
      <c r="K1883" s="34"/>
      <c r="L1883" s="34"/>
    </row>
    <row r="1884" spans="11:12">
      <c r="K1884" s="34"/>
      <c r="L1884" s="34"/>
    </row>
    <row r="1885" spans="11:12">
      <c r="K1885" s="34"/>
      <c r="L1885" s="34"/>
    </row>
    <row r="1886" spans="11:12">
      <c r="K1886" s="34"/>
      <c r="L1886" s="34"/>
    </row>
    <row r="1887" spans="11:12">
      <c r="K1887" s="34"/>
      <c r="L1887" s="34"/>
    </row>
    <row r="1888" spans="11:12">
      <c r="K1888" s="34"/>
      <c r="L1888" s="34"/>
    </row>
    <row r="1889" spans="11:12">
      <c r="K1889" s="34"/>
      <c r="L1889" s="34"/>
    </row>
    <row r="1890" spans="11:12">
      <c r="K1890" s="34"/>
      <c r="L1890" s="34"/>
    </row>
    <row r="1891" spans="11:12">
      <c r="K1891" s="34"/>
      <c r="L1891" s="34"/>
    </row>
    <row r="1892" spans="11:12">
      <c r="K1892" s="34"/>
      <c r="L1892" s="34"/>
    </row>
    <row r="1893" spans="11:12">
      <c r="K1893" s="34"/>
      <c r="L1893" s="34"/>
    </row>
    <row r="1894" spans="11:12">
      <c r="K1894" s="34"/>
      <c r="L1894" s="34"/>
    </row>
    <row r="1895" spans="11:12">
      <c r="K1895" s="34"/>
      <c r="L1895" s="34"/>
    </row>
    <row r="1896" spans="11:12">
      <c r="K1896" s="34"/>
      <c r="L1896" s="34"/>
    </row>
    <row r="1897" spans="11:12">
      <c r="K1897" s="34"/>
      <c r="L1897" s="34"/>
    </row>
    <row r="1898" spans="11:12">
      <c r="K1898" s="34"/>
      <c r="L1898" s="34"/>
    </row>
    <row r="1899" spans="11:12">
      <c r="K1899" s="34"/>
      <c r="L1899" s="34"/>
    </row>
    <row r="1900" spans="11:12">
      <c r="K1900" s="34"/>
      <c r="L1900" s="34"/>
    </row>
    <row r="1901" spans="11:12">
      <c r="K1901" s="34"/>
      <c r="L1901" s="34"/>
    </row>
    <row r="1902" spans="11:12">
      <c r="K1902" s="34"/>
      <c r="L1902" s="34"/>
    </row>
    <row r="1903" spans="11:12">
      <c r="K1903" s="34"/>
      <c r="L1903" s="34"/>
    </row>
    <row r="1904" spans="11:12">
      <c r="K1904" s="34"/>
      <c r="L1904" s="34"/>
    </row>
    <row r="1905" spans="11:12">
      <c r="K1905" s="34"/>
      <c r="L1905" s="34"/>
    </row>
    <row r="1906" spans="11:12">
      <c r="K1906" s="34"/>
      <c r="L1906" s="34"/>
    </row>
    <row r="1907" spans="11:12">
      <c r="K1907" s="34"/>
      <c r="L1907" s="34"/>
    </row>
    <row r="1908" spans="11:12">
      <c r="K1908" s="34"/>
      <c r="L1908" s="34"/>
    </row>
    <row r="1909" spans="11:12">
      <c r="K1909" s="34"/>
      <c r="L1909" s="34"/>
    </row>
    <row r="1910" spans="11:12">
      <c r="K1910" s="34"/>
      <c r="L1910" s="34"/>
    </row>
    <row r="1911" spans="11:12">
      <c r="K1911" s="34"/>
      <c r="L1911" s="34"/>
    </row>
    <row r="1912" spans="11:12">
      <c r="K1912" s="34"/>
      <c r="L1912" s="34"/>
    </row>
    <row r="1913" spans="11:12">
      <c r="K1913" s="34"/>
      <c r="L1913" s="34"/>
    </row>
    <row r="1914" spans="11:12">
      <c r="K1914" s="34"/>
      <c r="L1914" s="34"/>
    </row>
    <row r="1915" spans="11:12">
      <c r="K1915" s="34"/>
      <c r="L1915" s="34"/>
    </row>
    <row r="1916" spans="11:12">
      <c r="K1916" s="34"/>
      <c r="L1916" s="34"/>
    </row>
    <row r="1917" spans="11:12">
      <c r="K1917" s="34"/>
      <c r="L1917" s="34"/>
    </row>
    <row r="1918" spans="11:12">
      <c r="K1918" s="34"/>
      <c r="L1918" s="34"/>
    </row>
    <row r="1919" spans="11:12">
      <c r="K1919" s="34"/>
      <c r="L1919" s="34"/>
    </row>
    <row r="1920" spans="11:12">
      <c r="K1920" s="34"/>
      <c r="L1920" s="34"/>
    </row>
    <row r="1921" spans="11:12">
      <c r="K1921" s="34"/>
      <c r="L1921" s="34"/>
    </row>
    <row r="1922" spans="11:12">
      <c r="K1922" s="34"/>
      <c r="L1922" s="34"/>
    </row>
    <row r="1923" spans="11:12">
      <c r="K1923" s="34"/>
      <c r="L1923" s="34"/>
    </row>
    <row r="1924" spans="11:12">
      <c r="K1924" s="34"/>
      <c r="L1924" s="34"/>
    </row>
    <row r="1925" spans="11:12">
      <c r="K1925" s="34"/>
      <c r="L1925" s="34"/>
    </row>
    <row r="1926" spans="11:12">
      <c r="K1926" s="34"/>
      <c r="L1926" s="34"/>
    </row>
    <row r="1927" spans="11:12">
      <c r="K1927" s="34"/>
      <c r="L1927" s="34"/>
    </row>
    <row r="1928" spans="11:12">
      <c r="K1928" s="34"/>
      <c r="L1928" s="34"/>
    </row>
    <row r="1929" spans="11:12">
      <c r="K1929" s="34"/>
      <c r="L1929" s="34"/>
    </row>
    <row r="1930" spans="11:12">
      <c r="K1930" s="34"/>
      <c r="L1930" s="34"/>
    </row>
    <row r="1931" spans="11:12">
      <c r="K1931" s="34"/>
      <c r="L1931" s="34"/>
    </row>
    <row r="1932" spans="11:12">
      <c r="K1932" s="34"/>
      <c r="L1932" s="34"/>
    </row>
    <row r="1933" spans="11:12">
      <c r="K1933" s="34"/>
      <c r="L1933" s="34"/>
    </row>
    <row r="1934" spans="11:12">
      <c r="K1934" s="34"/>
      <c r="L1934" s="34"/>
    </row>
    <row r="1935" spans="11:12">
      <c r="K1935" s="34"/>
      <c r="L1935" s="34"/>
    </row>
    <row r="1936" spans="11:12">
      <c r="K1936" s="34"/>
      <c r="L1936" s="34"/>
    </row>
    <row r="1937" spans="11:12">
      <c r="K1937" s="34"/>
      <c r="L1937" s="34"/>
    </row>
    <row r="1938" spans="11:12">
      <c r="K1938" s="34"/>
      <c r="L1938" s="34"/>
    </row>
    <row r="1939" spans="11:12">
      <c r="K1939" s="34"/>
      <c r="L1939" s="34"/>
    </row>
    <row r="1940" spans="11:12">
      <c r="K1940" s="34"/>
      <c r="L1940" s="34"/>
    </row>
    <row r="1941" spans="11:12">
      <c r="K1941" s="34"/>
      <c r="L1941" s="34"/>
    </row>
    <row r="1942" spans="11:12">
      <c r="K1942" s="34"/>
      <c r="L1942" s="34"/>
    </row>
    <row r="1943" spans="11:12">
      <c r="K1943" s="34"/>
      <c r="L1943" s="34"/>
    </row>
    <row r="1944" spans="11:12">
      <c r="K1944" s="34"/>
      <c r="L1944" s="34"/>
    </row>
    <row r="1945" spans="11:12">
      <c r="K1945" s="34"/>
      <c r="L1945" s="34"/>
    </row>
    <row r="1946" spans="11:12">
      <c r="K1946" s="34"/>
      <c r="L1946" s="34"/>
    </row>
    <row r="1947" spans="11:12">
      <c r="K1947" s="34"/>
      <c r="L1947" s="34"/>
    </row>
    <row r="1948" spans="11:12">
      <c r="K1948" s="34"/>
      <c r="L1948" s="34"/>
    </row>
    <row r="1949" spans="11:12">
      <c r="K1949" s="34"/>
      <c r="L1949" s="34"/>
    </row>
    <row r="1950" spans="11:12">
      <c r="K1950" s="34"/>
      <c r="L1950" s="34"/>
    </row>
    <row r="1951" spans="11:12">
      <c r="K1951" s="34"/>
      <c r="L1951" s="34"/>
    </row>
    <row r="1952" spans="11:12">
      <c r="K1952" s="34"/>
      <c r="L1952" s="34"/>
    </row>
    <row r="1953" spans="11:12">
      <c r="K1953" s="34"/>
      <c r="L1953" s="34"/>
    </row>
    <row r="1954" spans="11:12">
      <c r="K1954" s="34"/>
      <c r="L1954" s="34"/>
    </row>
    <row r="1955" spans="11:12">
      <c r="K1955" s="34"/>
      <c r="L1955" s="34"/>
    </row>
    <row r="1956" spans="11:12">
      <c r="K1956" s="34"/>
      <c r="L1956" s="34"/>
    </row>
    <row r="1957" spans="11:12">
      <c r="K1957" s="34"/>
      <c r="L1957" s="34"/>
    </row>
    <row r="1958" spans="11:12">
      <c r="K1958" s="34"/>
      <c r="L1958" s="34"/>
    </row>
    <row r="1959" spans="11:12">
      <c r="K1959" s="34"/>
      <c r="L1959" s="34"/>
    </row>
    <row r="1960" spans="11:12">
      <c r="K1960" s="34"/>
      <c r="L1960" s="34"/>
    </row>
    <row r="1961" spans="11:12">
      <c r="K1961" s="34"/>
      <c r="L1961" s="34"/>
    </row>
    <row r="1962" spans="11:12">
      <c r="K1962" s="34"/>
      <c r="L1962" s="34"/>
    </row>
    <row r="1963" spans="11:12">
      <c r="K1963" s="34"/>
      <c r="L1963" s="34"/>
    </row>
    <row r="1964" spans="11:12">
      <c r="K1964" s="34"/>
      <c r="L1964" s="34"/>
    </row>
    <row r="1965" spans="11:12">
      <c r="K1965" s="34"/>
      <c r="L1965" s="34"/>
    </row>
    <row r="1966" spans="11:12">
      <c r="K1966" s="34"/>
      <c r="L1966" s="34"/>
    </row>
    <row r="1967" spans="11:12">
      <c r="K1967" s="34"/>
      <c r="L1967" s="34"/>
    </row>
    <row r="1968" spans="11:12">
      <c r="K1968" s="34"/>
      <c r="L1968" s="34"/>
    </row>
    <row r="1969" spans="11:12">
      <c r="K1969" s="34"/>
      <c r="L1969" s="34"/>
    </row>
    <row r="1970" spans="11:12">
      <c r="K1970" s="34"/>
      <c r="L1970" s="34"/>
    </row>
    <row r="1971" spans="11:12">
      <c r="K1971" s="34"/>
      <c r="L1971" s="34"/>
    </row>
    <row r="1972" spans="11:12">
      <c r="K1972" s="34"/>
      <c r="L1972" s="34"/>
    </row>
    <row r="1973" spans="11:12">
      <c r="K1973" s="34"/>
      <c r="L1973" s="34"/>
    </row>
    <row r="1974" spans="11:12">
      <c r="K1974" s="34"/>
      <c r="L1974" s="34"/>
    </row>
    <row r="1975" spans="11:12">
      <c r="K1975" s="34"/>
      <c r="L1975" s="34"/>
    </row>
    <row r="1976" spans="11:12">
      <c r="K1976" s="34"/>
      <c r="L1976" s="34"/>
    </row>
    <row r="1977" spans="11:12">
      <c r="K1977" s="34"/>
      <c r="L1977" s="34"/>
    </row>
    <row r="1978" spans="11:12">
      <c r="K1978" s="34"/>
      <c r="L1978" s="34"/>
    </row>
    <row r="1979" spans="11:12">
      <c r="K1979" s="34"/>
      <c r="L1979" s="34"/>
    </row>
    <row r="1980" spans="11:12">
      <c r="K1980" s="34"/>
      <c r="L1980" s="34"/>
    </row>
    <row r="1981" spans="11:12">
      <c r="K1981" s="34"/>
      <c r="L1981" s="34"/>
    </row>
    <row r="1982" spans="11:12">
      <c r="K1982" s="34"/>
      <c r="L1982" s="34"/>
    </row>
    <row r="1983" spans="11:12">
      <c r="K1983" s="34"/>
      <c r="L1983" s="34"/>
    </row>
    <row r="1984" spans="11:12">
      <c r="K1984" s="34"/>
      <c r="L1984" s="34"/>
    </row>
    <row r="1985" spans="11:12">
      <c r="K1985" s="34"/>
      <c r="L1985" s="34"/>
    </row>
    <row r="1986" spans="11:12">
      <c r="K1986" s="34"/>
      <c r="L1986" s="34"/>
    </row>
    <row r="1987" spans="11:12">
      <c r="K1987" s="34"/>
      <c r="L1987" s="34"/>
    </row>
    <row r="1988" spans="11:12">
      <c r="K1988" s="34"/>
      <c r="L1988" s="34"/>
    </row>
    <row r="1989" spans="11:12">
      <c r="K1989" s="34"/>
      <c r="L1989" s="34"/>
    </row>
    <row r="1990" spans="11:12">
      <c r="K1990" s="34"/>
      <c r="L1990" s="34"/>
    </row>
    <row r="1991" spans="11:12">
      <c r="K1991" s="34"/>
      <c r="L1991" s="34"/>
    </row>
    <row r="1992" spans="11:12">
      <c r="K1992" s="34"/>
      <c r="L1992" s="34"/>
    </row>
    <row r="1993" spans="11:12">
      <c r="K1993" s="34"/>
      <c r="L1993" s="34"/>
    </row>
    <row r="1994" spans="11:12">
      <c r="K1994" s="34"/>
      <c r="L1994" s="34"/>
    </row>
    <row r="1995" spans="11:12">
      <c r="K1995" s="34"/>
      <c r="L1995" s="34"/>
    </row>
    <row r="1996" spans="11:12">
      <c r="K1996" s="34"/>
      <c r="L1996" s="34"/>
    </row>
    <row r="1997" spans="11:12">
      <c r="K1997" s="34"/>
      <c r="L1997" s="34"/>
    </row>
    <row r="1998" spans="11:12">
      <c r="K1998" s="34"/>
      <c r="L1998" s="34"/>
    </row>
  </sheetData>
  <sheetProtection algorithmName="SHA-512" hashValue="TWR2Q4CKXVCuVFFlFzdNZvYNhoECkIn4kO6zp8I+Loo9oL0gdoRlv8cIPRPRISvQnob2BSgrVMmYL+yvYlEARQ==" saltValue="PUMono+Ec2KmJ1Up7z5q2A==" spinCount="100000" sheet="1" objects="1" scenarios="1"/>
  <conditionalFormatting sqref="L1:L1048576">
    <cfRule type="containsBlanks" dxfId="0" priority="1">
      <formula>LEN(TRIM(L1))=0</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8814C-1A64-4C33-BDB1-08C08721BC88}">
  <sheetPr>
    <tabColor theme="9" tint="-0.249977111117893"/>
  </sheetPr>
  <dimension ref="A1:M365"/>
  <sheetViews>
    <sheetView workbookViewId="0">
      <selection activeCell="D7" sqref="D7"/>
    </sheetView>
  </sheetViews>
  <sheetFormatPr defaultColWidth="9.54296875" defaultRowHeight="14.5"/>
  <cols>
    <col min="1" max="1" width="14.08984375" style="196" customWidth="1"/>
    <col min="2" max="2" width="31.90625" style="196" customWidth="1"/>
    <col min="3" max="5" width="13.36328125" style="196" customWidth="1"/>
    <col min="6" max="6" width="18.90625" style="196" customWidth="1"/>
    <col min="7" max="9" width="13.36328125" style="196" customWidth="1"/>
    <col min="10" max="10" width="18.90625" style="196" customWidth="1"/>
    <col min="11" max="11" width="21.36328125" style="196" customWidth="1"/>
    <col min="12" max="12" width="21.08984375" style="196" customWidth="1"/>
    <col min="13" max="13" width="9.54296875" style="196" customWidth="1"/>
    <col min="14" max="16384" width="9.54296875" style="196"/>
  </cols>
  <sheetData>
    <row r="1" spans="1:13" ht="18.5">
      <c r="A1" s="254" t="s">
        <v>4719</v>
      </c>
    </row>
    <row r="2" spans="1:13" ht="15.5">
      <c r="A2" s="253"/>
    </row>
    <row r="3" spans="1:13" ht="15.5">
      <c r="A3" s="252" t="s">
        <v>4731</v>
      </c>
    </row>
    <row r="4" spans="1:13" ht="15" thickBot="1"/>
    <row r="5" spans="1:13" ht="56.15" customHeight="1" thickBot="1">
      <c r="A5" s="439" t="s">
        <v>31</v>
      </c>
      <c r="B5" s="440" t="s">
        <v>4724</v>
      </c>
      <c r="C5" s="441" t="s">
        <v>4723</v>
      </c>
      <c r="D5" s="441"/>
      <c r="E5" s="441"/>
      <c r="F5" s="442" t="s">
        <v>4722</v>
      </c>
      <c r="G5" s="441" t="s">
        <v>4721</v>
      </c>
      <c r="H5" s="441"/>
      <c r="I5" s="441"/>
      <c r="J5" s="442" t="s">
        <v>4720</v>
      </c>
      <c r="K5" s="443" t="s">
        <v>4719</v>
      </c>
      <c r="L5" s="444" t="s">
        <v>4718</v>
      </c>
      <c r="M5" s="445" t="s">
        <v>33</v>
      </c>
    </row>
    <row r="6" spans="1:13" s="223" customFormat="1" ht="23.15" customHeight="1" thickBot="1">
      <c r="A6" s="439"/>
      <c r="B6" s="440"/>
      <c r="C6" s="446" t="s">
        <v>4717</v>
      </c>
      <c r="D6" s="446" t="s">
        <v>4716</v>
      </c>
      <c r="E6" s="447" t="s">
        <v>4715</v>
      </c>
      <c r="F6" s="442"/>
      <c r="G6" s="446" t="s">
        <v>4717</v>
      </c>
      <c r="H6" s="446" t="s">
        <v>4716</v>
      </c>
      <c r="I6" s="447" t="s">
        <v>4715</v>
      </c>
      <c r="J6" s="442"/>
      <c r="K6" s="443"/>
      <c r="L6" s="444"/>
      <c r="M6" s="448"/>
    </row>
    <row r="7" spans="1:13" ht="15" thickBot="1">
      <c r="A7" s="449" t="s">
        <v>111</v>
      </c>
      <c r="B7" s="450" t="str">
        <f>VLOOKUP(A7,'Calculations (All)'!A:B,2,FALSE)</f>
        <v>Adur</v>
      </c>
      <c r="C7" s="451">
        <v>177.1</v>
      </c>
      <c r="D7" s="452">
        <v>162.1</v>
      </c>
      <c r="E7" s="453">
        <v>117.9</v>
      </c>
      <c r="F7" s="454">
        <v>457</v>
      </c>
      <c r="G7" s="455">
        <v>122.2</v>
      </c>
      <c r="H7" s="456">
        <v>13</v>
      </c>
      <c r="I7" s="457">
        <v>217.4</v>
      </c>
      <c r="J7" s="454">
        <v>352.6</v>
      </c>
      <c r="K7" s="458">
        <v>0.77</v>
      </c>
      <c r="L7" s="459" t="s">
        <v>4713</v>
      </c>
      <c r="M7" s="460" t="str">
        <f>VLOOKUP(B7,'Calculations (All)'!$B:$D,3,FALSE)</f>
        <v>SE</v>
      </c>
    </row>
    <row r="8" spans="1:13" ht="15" thickBot="1">
      <c r="A8" s="461" t="s">
        <v>114</v>
      </c>
      <c r="B8" s="450" t="str">
        <f>VLOOKUP(A8,'Calculations (All)'!A:B,2,FALSE)</f>
        <v>Allerdale</v>
      </c>
      <c r="C8" s="462">
        <v>118.1</v>
      </c>
      <c r="D8" s="463">
        <v>101.6</v>
      </c>
      <c r="E8" s="464">
        <v>70.599999999999994</v>
      </c>
      <c r="F8" s="465">
        <v>290.2</v>
      </c>
      <c r="G8" s="466">
        <v>337</v>
      </c>
      <c r="H8" s="463">
        <v>256</v>
      </c>
      <c r="I8" s="467">
        <v>300</v>
      </c>
      <c r="J8" s="465">
        <v>893</v>
      </c>
      <c r="K8" s="468">
        <v>3.08</v>
      </c>
      <c r="L8" s="469" t="s">
        <v>4726</v>
      </c>
      <c r="M8" s="460" t="str">
        <f>VLOOKUP(B8,'Calculations (All)'!$B:$D,3,FALSE)</f>
        <v>NW</v>
      </c>
    </row>
    <row r="9" spans="1:13" ht="15" thickBot="1">
      <c r="A9" s="461" t="s">
        <v>117</v>
      </c>
      <c r="B9" s="450" t="str">
        <f>VLOOKUP(A9,'Calculations (All)'!A:B,2,FALSE)</f>
        <v>Amber Valley</v>
      </c>
      <c r="C9" s="462">
        <v>387.6</v>
      </c>
      <c r="D9" s="463">
        <v>354.2</v>
      </c>
      <c r="E9" s="464">
        <v>253.7</v>
      </c>
      <c r="F9" s="465">
        <v>995.5</v>
      </c>
      <c r="G9" s="466">
        <v>594</v>
      </c>
      <c r="H9" s="463">
        <v>459.7</v>
      </c>
      <c r="I9" s="467">
        <v>509</v>
      </c>
      <c r="J9" s="465">
        <v>1562.7</v>
      </c>
      <c r="K9" s="468">
        <v>1.57</v>
      </c>
      <c r="L9" s="469" t="s">
        <v>4726</v>
      </c>
      <c r="M9" s="460" t="str">
        <f>VLOOKUP(B9,'Calculations (All)'!$B:$D,3,FALSE)</f>
        <v>EM</v>
      </c>
    </row>
    <row r="10" spans="1:13" ht="15" thickBot="1">
      <c r="A10" s="461" t="s">
        <v>120</v>
      </c>
      <c r="B10" s="450" t="str">
        <f>VLOOKUP(A10,'Calculations (All)'!A:B,2,FALSE)</f>
        <v>Arun</v>
      </c>
      <c r="C10" s="462">
        <v>1120</v>
      </c>
      <c r="D10" s="463">
        <v>1025.0999999999999</v>
      </c>
      <c r="E10" s="464">
        <v>745.6</v>
      </c>
      <c r="F10" s="465">
        <v>2890.8</v>
      </c>
      <c r="G10" s="466">
        <v>660.4</v>
      </c>
      <c r="H10" s="463">
        <v>515.4</v>
      </c>
      <c r="I10" s="467">
        <v>696.6</v>
      </c>
      <c r="J10" s="465">
        <v>1872.4</v>
      </c>
      <c r="K10" s="468">
        <v>0.65</v>
      </c>
      <c r="L10" s="469" t="s">
        <v>4714</v>
      </c>
      <c r="M10" s="460" t="str">
        <f>VLOOKUP(B10,'Calculations (All)'!$B:$D,3,FALSE)</f>
        <v>SE</v>
      </c>
    </row>
    <row r="11" spans="1:13" ht="15" thickBot="1">
      <c r="A11" s="461" t="s">
        <v>122</v>
      </c>
      <c r="B11" s="450" t="str">
        <f>VLOOKUP(A11,'Calculations (All)'!A:B,2,FALSE)</f>
        <v>Ashfield</v>
      </c>
      <c r="C11" s="462">
        <v>501.8</v>
      </c>
      <c r="D11" s="463">
        <v>434.8</v>
      </c>
      <c r="E11" s="464">
        <v>320.2</v>
      </c>
      <c r="F11" s="465">
        <v>1256.8</v>
      </c>
      <c r="G11" s="466">
        <v>343.9</v>
      </c>
      <c r="H11" s="463">
        <v>173</v>
      </c>
      <c r="I11" s="467">
        <v>312.2</v>
      </c>
      <c r="J11" s="465">
        <v>829.1</v>
      </c>
      <c r="K11" s="468">
        <v>0.66</v>
      </c>
      <c r="L11" s="469" t="s">
        <v>4714</v>
      </c>
      <c r="M11" s="460" t="str">
        <f>VLOOKUP(B11,'Calculations (All)'!$B:$D,3,FALSE)</f>
        <v>EM</v>
      </c>
    </row>
    <row r="12" spans="1:13" ht="15" thickBot="1">
      <c r="A12" s="461" t="s">
        <v>124</v>
      </c>
      <c r="B12" s="450" t="str">
        <f>VLOOKUP(A12,'Calculations (All)'!A:B,2,FALSE)</f>
        <v>Ashford</v>
      </c>
      <c r="C12" s="462">
        <v>888</v>
      </c>
      <c r="D12" s="463">
        <v>812.8</v>
      </c>
      <c r="E12" s="464">
        <v>591.20000000000005</v>
      </c>
      <c r="F12" s="465">
        <v>2292</v>
      </c>
      <c r="G12" s="466">
        <v>880.8</v>
      </c>
      <c r="H12" s="463">
        <v>745.8</v>
      </c>
      <c r="I12" s="467">
        <v>1088.4000000000001</v>
      </c>
      <c r="J12" s="465">
        <v>2715</v>
      </c>
      <c r="K12" s="468">
        <v>1.18</v>
      </c>
      <c r="L12" s="469" t="s">
        <v>4726</v>
      </c>
      <c r="M12" s="460" t="str">
        <f>VLOOKUP(B12,'Calculations (All)'!$B:$D,3,FALSE)</f>
        <v>SE</v>
      </c>
    </row>
    <row r="13" spans="1:13" ht="15" thickBot="1">
      <c r="A13" s="461" t="s">
        <v>126</v>
      </c>
      <c r="B13" s="450" t="str">
        <f>VLOOKUP(A13,'Calculations (All)'!A:B,2,FALSE)</f>
        <v>Babergh</v>
      </c>
      <c r="C13" s="462">
        <v>333.9</v>
      </c>
      <c r="D13" s="463">
        <v>382.6</v>
      </c>
      <c r="E13" s="464">
        <v>277</v>
      </c>
      <c r="F13" s="465">
        <v>993.5</v>
      </c>
      <c r="G13" s="466">
        <v>579</v>
      </c>
      <c r="H13" s="463">
        <v>293</v>
      </c>
      <c r="I13" s="467">
        <v>527</v>
      </c>
      <c r="J13" s="465">
        <v>1399</v>
      </c>
      <c r="K13" s="468">
        <v>1.41</v>
      </c>
      <c r="L13" s="469" t="s">
        <v>4726</v>
      </c>
      <c r="M13" s="460" t="str">
        <f>VLOOKUP(B13,'Calculations (All)'!$B:$D,3,FALSE)</f>
        <v>E</v>
      </c>
    </row>
    <row r="14" spans="1:13" ht="15" thickBot="1">
      <c r="A14" s="461" t="s">
        <v>129</v>
      </c>
      <c r="B14" s="450" t="str">
        <f>VLOOKUP(A14,'Calculations (All)'!A:B,2,FALSE)</f>
        <v>Barking and Dagenham</v>
      </c>
      <c r="C14" s="462">
        <v>1236</v>
      </c>
      <c r="D14" s="463">
        <v>1583.5</v>
      </c>
      <c r="E14" s="464">
        <v>1294.2</v>
      </c>
      <c r="F14" s="465">
        <v>4113.7</v>
      </c>
      <c r="G14" s="466">
        <v>906</v>
      </c>
      <c r="H14" s="463">
        <v>741</v>
      </c>
      <c r="I14" s="467">
        <v>1048</v>
      </c>
      <c r="J14" s="465">
        <v>2695</v>
      </c>
      <c r="K14" s="468">
        <v>0.66</v>
      </c>
      <c r="L14" s="469" t="s">
        <v>4714</v>
      </c>
      <c r="M14" s="460" t="str">
        <f>VLOOKUP(B14,'Calculations (All)'!$B:$D,3,FALSE)</f>
        <v>GL</v>
      </c>
    </row>
    <row r="15" spans="1:13" ht="15" thickBot="1">
      <c r="A15" s="461" t="s">
        <v>132</v>
      </c>
      <c r="B15" s="450" t="str">
        <f>VLOOKUP(A15,'Calculations (All)'!A:B,2,FALSE)</f>
        <v>Barnet</v>
      </c>
      <c r="C15" s="462">
        <v>2349</v>
      </c>
      <c r="D15" s="463">
        <v>2163.8000000000002</v>
      </c>
      <c r="E15" s="464">
        <v>1573.8</v>
      </c>
      <c r="F15" s="465">
        <v>6086.6</v>
      </c>
      <c r="G15" s="466">
        <v>2221.1999999999998</v>
      </c>
      <c r="H15" s="463">
        <v>2021.7</v>
      </c>
      <c r="I15" s="467">
        <v>2316.1</v>
      </c>
      <c r="J15" s="465">
        <v>6559</v>
      </c>
      <c r="K15" s="468">
        <v>1.08</v>
      </c>
      <c r="L15" s="469" t="s">
        <v>4726</v>
      </c>
      <c r="M15" s="460" t="str">
        <f>VLOOKUP(B15,'Calculations (All)'!$B:$D,3,FALSE)</f>
        <v>GL</v>
      </c>
    </row>
    <row r="16" spans="1:13" ht="15" thickBot="1">
      <c r="A16" s="461" t="s">
        <v>134</v>
      </c>
      <c r="B16" s="450" t="str">
        <f>VLOOKUP(A16,'Calculations (All)'!A:B,2,FALSE)</f>
        <v>Barnsley</v>
      </c>
      <c r="C16" s="462">
        <v>904.6</v>
      </c>
      <c r="D16" s="463">
        <v>830.1</v>
      </c>
      <c r="E16" s="464">
        <v>587.70000000000005</v>
      </c>
      <c r="F16" s="465">
        <v>2322.4</v>
      </c>
      <c r="G16" s="466">
        <v>988</v>
      </c>
      <c r="H16" s="463">
        <v>1055.3</v>
      </c>
      <c r="I16" s="467">
        <v>590</v>
      </c>
      <c r="J16" s="465">
        <v>2633.3</v>
      </c>
      <c r="K16" s="468">
        <v>1.1299999999999999</v>
      </c>
      <c r="L16" s="469" t="s">
        <v>4726</v>
      </c>
      <c r="M16" s="460" t="str">
        <f>VLOOKUP(B16,'Calculations (All)'!$B:$D,3,FALSE)</f>
        <v>YH</v>
      </c>
    </row>
    <row r="17" spans="1:13" ht="15" thickBot="1">
      <c r="A17" s="461" t="s">
        <v>137</v>
      </c>
      <c r="B17" s="450" t="str">
        <f>VLOOKUP(A17,'Calculations (All)'!A:B,2,FALSE)</f>
        <v>Barrow-in-Furness</v>
      </c>
      <c r="C17" s="462">
        <v>0</v>
      </c>
      <c r="D17" s="463">
        <v>0</v>
      </c>
      <c r="E17" s="464">
        <v>0</v>
      </c>
      <c r="F17" s="465" t="s">
        <v>4658</v>
      </c>
      <c r="G17" s="466">
        <v>122</v>
      </c>
      <c r="H17" s="463">
        <v>103</v>
      </c>
      <c r="I17" s="467">
        <v>88</v>
      </c>
      <c r="J17" s="465">
        <v>313</v>
      </c>
      <c r="K17" s="468" t="s">
        <v>4658</v>
      </c>
      <c r="L17" s="469" t="s">
        <v>4726</v>
      </c>
      <c r="M17" s="460" t="str">
        <f>VLOOKUP(B17,'Calculations (All)'!$B:$D,3,FALSE)</f>
        <v>NW</v>
      </c>
    </row>
    <row r="18" spans="1:13" ht="15" thickBot="1">
      <c r="A18" s="461" t="s">
        <v>139</v>
      </c>
      <c r="B18" s="450" t="str">
        <f>VLOOKUP(A18,'Calculations (All)'!A:B,2,FALSE)</f>
        <v>Basildon</v>
      </c>
      <c r="C18" s="462">
        <v>1076.2</v>
      </c>
      <c r="D18" s="463">
        <v>973.9</v>
      </c>
      <c r="E18" s="464">
        <v>666.4</v>
      </c>
      <c r="F18" s="465">
        <v>2716.5</v>
      </c>
      <c r="G18" s="466">
        <v>340</v>
      </c>
      <c r="H18" s="463">
        <v>460</v>
      </c>
      <c r="I18" s="467">
        <v>317</v>
      </c>
      <c r="J18" s="465">
        <v>1117</v>
      </c>
      <c r="K18" s="468">
        <v>0.41</v>
      </c>
      <c r="L18" s="469" t="s">
        <v>4714</v>
      </c>
      <c r="M18" s="460" t="str">
        <f>VLOOKUP(B18,'Calculations (All)'!$B:$D,3,FALSE)</f>
        <v>E</v>
      </c>
    </row>
    <row r="19" spans="1:13" ht="15" thickBot="1">
      <c r="A19" s="461" t="s">
        <v>141</v>
      </c>
      <c r="B19" s="450" t="str">
        <f>VLOOKUP(A19,'Calculations (All)'!A:B,2,FALSE)</f>
        <v>Basingstoke and Deane</v>
      </c>
      <c r="C19" s="462">
        <v>850.5</v>
      </c>
      <c r="D19" s="463">
        <v>778.5</v>
      </c>
      <c r="E19" s="464">
        <v>566.20000000000005</v>
      </c>
      <c r="F19" s="465">
        <v>2195.1999999999998</v>
      </c>
      <c r="G19" s="466">
        <v>1204.4000000000001</v>
      </c>
      <c r="H19" s="463">
        <v>1555.7</v>
      </c>
      <c r="I19" s="467">
        <v>1241</v>
      </c>
      <c r="J19" s="465">
        <v>4001.1</v>
      </c>
      <c r="K19" s="468">
        <v>1.82</v>
      </c>
      <c r="L19" s="469" t="s">
        <v>4726</v>
      </c>
      <c r="M19" s="460" t="str">
        <f>VLOOKUP(B19,'Calculations (All)'!$B:$D,3,FALSE)</f>
        <v>SE</v>
      </c>
    </row>
    <row r="20" spans="1:13" ht="15" thickBot="1">
      <c r="A20" s="461" t="s">
        <v>143</v>
      </c>
      <c r="B20" s="450" t="str">
        <f>VLOOKUP(A20,'Calculations (All)'!A:B,2,FALSE)</f>
        <v>Bassetlaw</v>
      </c>
      <c r="C20" s="462">
        <v>305.7</v>
      </c>
      <c r="D20" s="463">
        <v>271.8</v>
      </c>
      <c r="E20" s="464">
        <v>191.7</v>
      </c>
      <c r="F20" s="465">
        <v>769.2</v>
      </c>
      <c r="G20" s="466">
        <v>434</v>
      </c>
      <c r="H20" s="463">
        <v>694</v>
      </c>
      <c r="I20" s="467">
        <v>777.1</v>
      </c>
      <c r="J20" s="465">
        <v>1905.1</v>
      </c>
      <c r="K20" s="468">
        <v>2.48</v>
      </c>
      <c r="L20" s="469" t="s">
        <v>4726</v>
      </c>
      <c r="M20" s="460" t="str">
        <f>VLOOKUP(B20,'Calculations (All)'!$B:$D,3,FALSE)</f>
        <v>EM</v>
      </c>
    </row>
    <row r="21" spans="1:13" ht="15" thickBot="1">
      <c r="A21" s="461" t="s">
        <v>145</v>
      </c>
      <c r="B21" s="450" t="str">
        <f>VLOOKUP(A21,'Calculations (All)'!A:B,2,FALSE)</f>
        <v>Bath and North East Somerset</v>
      </c>
      <c r="C21" s="462">
        <v>656.9</v>
      </c>
      <c r="D21" s="463">
        <v>599.5</v>
      </c>
      <c r="E21" s="464">
        <v>431.4</v>
      </c>
      <c r="F21" s="465">
        <v>1687.8</v>
      </c>
      <c r="G21" s="466">
        <v>1179.2</v>
      </c>
      <c r="H21" s="463">
        <v>1163.3</v>
      </c>
      <c r="I21" s="467">
        <v>764</v>
      </c>
      <c r="J21" s="465">
        <v>3106.5</v>
      </c>
      <c r="K21" s="468">
        <v>1.84</v>
      </c>
      <c r="L21" s="469" t="s">
        <v>4726</v>
      </c>
      <c r="M21" s="460" t="str">
        <f>VLOOKUP(B21,'Calculations (All)'!$B:$D,3,FALSE)</f>
        <v>SW</v>
      </c>
    </row>
    <row r="22" spans="1:13" ht="15" thickBot="1">
      <c r="A22" s="461" t="s">
        <v>148</v>
      </c>
      <c r="B22" s="450" t="str">
        <f>VLOOKUP(A22,'Calculations (All)'!A:B,2,FALSE)</f>
        <v>Bedford Borough</v>
      </c>
      <c r="C22" s="462">
        <v>970.1</v>
      </c>
      <c r="D22" s="463">
        <v>888</v>
      </c>
      <c r="E22" s="464">
        <v>645.9</v>
      </c>
      <c r="F22" s="465">
        <v>2503.9</v>
      </c>
      <c r="G22" s="466">
        <v>1370.7</v>
      </c>
      <c r="H22" s="463">
        <v>1026</v>
      </c>
      <c r="I22" s="467">
        <v>1202.9000000000001</v>
      </c>
      <c r="J22" s="465">
        <v>3599.6</v>
      </c>
      <c r="K22" s="468">
        <v>1.44</v>
      </c>
      <c r="L22" s="469" t="s">
        <v>4726</v>
      </c>
      <c r="M22" s="460" t="str">
        <f>VLOOKUP(B22,'Calculations (All)'!$B:$D,3,FALSE)</f>
        <v>E</v>
      </c>
    </row>
    <row r="23" spans="1:13" ht="15" thickBot="1">
      <c r="A23" s="461" t="s">
        <v>150</v>
      </c>
      <c r="B23" s="450" t="str">
        <f>VLOOKUP(A23,'Calculations (All)'!A:B,2,FALSE)</f>
        <v>Bexley</v>
      </c>
      <c r="C23" s="462">
        <v>446</v>
      </c>
      <c r="D23" s="463">
        <v>571.1</v>
      </c>
      <c r="E23" s="464">
        <v>456</v>
      </c>
      <c r="F23" s="465">
        <v>1473.2</v>
      </c>
      <c r="G23" s="466">
        <v>530.4</v>
      </c>
      <c r="H23" s="463">
        <v>214.7</v>
      </c>
      <c r="I23" s="467">
        <v>632</v>
      </c>
      <c r="J23" s="465">
        <v>1377.1</v>
      </c>
      <c r="K23" s="468">
        <v>0.93</v>
      </c>
      <c r="L23" s="469" t="s">
        <v>4728</v>
      </c>
      <c r="M23" s="460" t="str">
        <f>VLOOKUP(B23,'Calculations (All)'!$B:$D,3,FALSE)</f>
        <v>GL</v>
      </c>
    </row>
    <row r="24" spans="1:13" ht="15" thickBot="1">
      <c r="A24" s="461" t="s">
        <v>152</v>
      </c>
      <c r="B24" s="450" t="str">
        <f>VLOOKUP(A24,'Calculations (All)'!A:B,2,FALSE)</f>
        <v>Birmingham</v>
      </c>
      <c r="C24" s="462">
        <v>2850</v>
      </c>
      <c r="D24" s="463">
        <v>2608.6</v>
      </c>
      <c r="E24" s="464">
        <v>1897.4</v>
      </c>
      <c r="F24" s="465">
        <v>7356</v>
      </c>
      <c r="G24" s="466">
        <v>4301.3999999999996</v>
      </c>
      <c r="H24" s="463">
        <v>4461.8</v>
      </c>
      <c r="I24" s="467">
        <v>3493.2</v>
      </c>
      <c r="J24" s="465">
        <v>12256.5</v>
      </c>
      <c r="K24" s="468">
        <v>1.67</v>
      </c>
      <c r="L24" s="469" t="s">
        <v>4726</v>
      </c>
      <c r="M24" s="460" t="str">
        <f>VLOOKUP(B24,'Calculations (All)'!$B:$D,3,FALSE)</f>
        <v>WM</v>
      </c>
    </row>
    <row r="25" spans="1:13" ht="15" thickBot="1">
      <c r="A25" s="461" t="s">
        <v>155</v>
      </c>
      <c r="B25" s="450" t="str">
        <f>VLOOKUP(A25,'Calculations (All)'!A:B,2,FALSE)</f>
        <v>Blaby</v>
      </c>
      <c r="C25" s="462">
        <v>345.9</v>
      </c>
      <c r="D25" s="463">
        <v>310.3</v>
      </c>
      <c r="E25" s="464">
        <v>229.7</v>
      </c>
      <c r="F25" s="465">
        <v>885.8</v>
      </c>
      <c r="G25" s="466">
        <v>522</v>
      </c>
      <c r="H25" s="463">
        <v>427</v>
      </c>
      <c r="I25" s="467">
        <v>292</v>
      </c>
      <c r="J25" s="465">
        <v>1241</v>
      </c>
      <c r="K25" s="468">
        <v>1.4</v>
      </c>
      <c r="L25" s="469" t="s">
        <v>4726</v>
      </c>
      <c r="M25" s="460" t="str">
        <f>VLOOKUP(B25,'Calculations (All)'!$B:$D,3,FALSE)</f>
        <v>EM</v>
      </c>
    </row>
    <row r="26" spans="1:13" ht="15" thickBot="1">
      <c r="A26" s="461" t="s">
        <v>157</v>
      </c>
      <c r="B26" s="450" t="str">
        <f>VLOOKUP(A26,'Calculations (All)'!A:B,2,FALSE)</f>
        <v>Blackburn with Darwen</v>
      </c>
      <c r="C26" s="462">
        <v>157</v>
      </c>
      <c r="D26" s="463">
        <v>146.4</v>
      </c>
      <c r="E26" s="464">
        <v>102.5</v>
      </c>
      <c r="F26" s="465">
        <v>406</v>
      </c>
      <c r="G26" s="466">
        <v>485</v>
      </c>
      <c r="H26" s="463">
        <v>303</v>
      </c>
      <c r="I26" s="467">
        <v>484</v>
      </c>
      <c r="J26" s="465">
        <v>1272</v>
      </c>
      <c r="K26" s="468">
        <v>3.13</v>
      </c>
      <c r="L26" s="469" t="s">
        <v>4726</v>
      </c>
      <c r="M26" s="460" t="str">
        <f>VLOOKUP(B26,'Calculations (All)'!$B:$D,3,FALSE)</f>
        <v>NW</v>
      </c>
    </row>
    <row r="27" spans="1:13" ht="15" thickBot="1">
      <c r="A27" s="461" t="s">
        <v>159</v>
      </c>
      <c r="B27" s="450" t="str">
        <f>VLOOKUP(A27,'Calculations (All)'!A:B,2,FALSE)</f>
        <v>Blackpool</v>
      </c>
      <c r="C27" s="462">
        <v>108.2</v>
      </c>
      <c r="D27" s="463">
        <v>104.3</v>
      </c>
      <c r="E27" s="464">
        <v>80.599999999999994</v>
      </c>
      <c r="F27" s="465">
        <v>293.10000000000002</v>
      </c>
      <c r="G27" s="466">
        <v>368</v>
      </c>
      <c r="H27" s="463">
        <v>335</v>
      </c>
      <c r="I27" s="467">
        <v>161</v>
      </c>
      <c r="J27" s="465">
        <v>864</v>
      </c>
      <c r="K27" s="468">
        <v>2.95</v>
      </c>
      <c r="L27" s="469" t="s">
        <v>4726</v>
      </c>
      <c r="M27" s="460" t="str">
        <f>VLOOKUP(B27,'Calculations (All)'!$B:$D,3,FALSE)</f>
        <v>NW</v>
      </c>
    </row>
    <row r="28" spans="1:13" ht="15" thickBot="1">
      <c r="A28" s="461" t="s">
        <v>161</v>
      </c>
      <c r="B28" s="450" t="str">
        <f>VLOOKUP(A28,'Calculations (All)'!A:B,2,FALSE)</f>
        <v>Bolsover</v>
      </c>
      <c r="C28" s="462">
        <v>240.4</v>
      </c>
      <c r="D28" s="463">
        <v>210.5</v>
      </c>
      <c r="E28" s="464">
        <v>149.1</v>
      </c>
      <c r="F28" s="465">
        <v>600</v>
      </c>
      <c r="G28" s="466">
        <v>291</v>
      </c>
      <c r="H28" s="463">
        <v>439</v>
      </c>
      <c r="I28" s="467">
        <v>446</v>
      </c>
      <c r="J28" s="465">
        <v>1176</v>
      </c>
      <c r="K28" s="468">
        <v>1.96</v>
      </c>
      <c r="L28" s="469" t="s">
        <v>4726</v>
      </c>
      <c r="M28" s="460" t="str">
        <f>VLOOKUP(B28,'Calculations (All)'!$B:$D,3,FALSE)</f>
        <v>EM</v>
      </c>
    </row>
    <row r="29" spans="1:13" ht="15" thickBot="1">
      <c r="A29" s="461" t="s">
        <v>163</v>
      </c>
      <c r="B29" s="450" t="str">
        <f>VLOOKUP(A29,'Calculations (All)'!A:B,2,FALSE)</f>
        <v>Bolton</v>
      </c>
      <c r="C29" s="462">
        <v>790.5</v>
      </c>
      <c r="D29" s="463">
        <v>720.3</v>
      </c>
      <c r="E29" s="464">
        <v>516.6</v>
      </c>
      <c r="F29" s="465">
        <v>2027.5</v>
      </c>
      <c r="G29" s="466">
        <v>544</v>
      </c>
      <c r="H29" s="463">
        <v>463</v>
      </c>
      <c r="I29" s="467">
        <v>547</v>
      </c>
      <c r="J29" s="465">
        <v>1554</v>
      </c>
      <c r="K29" s="468">
        <v>0.77</v>
      </c>
      <c r="L29" s="469" t="s">
        <v>4713</v>
      </c>
      <c r="M29" s="460" t="str">
        <f>VLOOKUP(B29,'Calculations (All)'!$B:$D,3,FALSE)</f>
        <v>NW</v>
      </c>
    </row>
    <row r="30" spans="1:13" ht="15" thickBot="1">
      <c r="A30" s="461" t="s">
        <v>165</v>
      </c>
      <c r="B30" s="450" t="str">
        <f>VLOOKUP(A30,'Calculations (All)'!A:B,2,FALSE)</f>
        <v>Boston</v>
      </c>
      <c r="C30" s="462">
        <v>258.89999999999998</v>
      </c>
      <c r="D30" s="463">
        <v>232.5</v>
      </c>
      <c r="E30" s="464">
        <v>165.8</v>
      </c>
      <c r="F30" s="465">
        <v>657.2</v>
      </c>
      <c r="G30" s="466">
        <v>429</v>
      </c>
      <c r="H30" s="463">
        <v>324</v>
      </c>
      <c r="I30" s="467">
        <v>294</v>
      </c>
      <c r="J30" s="465">
        <v>1047</v>
      </c>
      <c r="K30" s="468">
        <v>1.59</v>
      </c>
      <c r="L30" s="469" t="s">
        <v>4726</v>
      </c>
      <c r="M30" s="460" t="str">
        <f>VLOOKUP(B30,'Calculations (All)'!$B:$D,3,FALSE)</f>
        <v>EM</v>
      </c>
    </row>
    <row r="31" spans="1:13" ht="15" thickBot="1">
      <c r="A31" s="461" t="s">
        <v>169</v>
      </c>
      <c r="B31" s="450" t="str">
        <f>VLOOKUP(A31,'Calculations (All)'!A:B,2,FALSE)</f>
        <v>Bracknell Forest</v>
      </c>
      <c r="C31" s="462">
        <v>637.29999999999995</v>
      </c>
      <c r="D31" s="463">
        <v>562.9</v>
      </c>
      <c r="E31" s="464">
        <v>408.8</v>
      </c>
      <c r="F31" s="465">
        <v>1609</v>
      </c>
      <c r="G31" s="466">
        <v>783.3</v>
      </c>
      <c r="H31" s="463">
        <v>1730.8</v>
      </c>
      <c r="I31" s="467">
        <v>973.2</v>
      </c>
      <c r="J31" s="465">
        <v>3487.3</v>
      </c>
      <c r="K31" s="468">
        <v>2.17</v>
      </c>
      <c r="L31" s="469" t="s">
        <v>4726</v>
      </c>
      <c r="M31" s="460" t="str">
        <f>VLOOKUP(B31,'Calculations (All)'!$B:$D,3,FALSE)</f>
        <v>SE</v>
      </c>
    </row>
    <row r="32" spans="1:13" ht="15" thickBot="1">
      <c r="A32" s="461" t="s">
        <v>171</v>
      </c>
      <c r="B32" s="450" t="str">
        <f>VLOOKUP(A32,'Calculations (All)'!A:B,2,FALSE)</f>
        <v>Bradford</v>
      </c>
      <c r="C32" s="462">
        <v>1695.3</v>
      </c>
      <c r="D32" s="463">
        <v>1558.8</v>
      </c>
      <c r="E32" s="464">
        <v>1134.4000000000001</v>
      </c>
      <c r="F32" s="465">
        <v>4388.5</v>
      </c>
      <c r="G32" s="466">
        <v>1689.3</v>
      </c>
      <c r="H32" s="463">
        <v>1010</v>
      </c>
      <c r="I32" s="467">
        <v>550.4</v>
      </c>
      <c r="J32" s="465">
        <v>3249.7</v>
      </c>
      <c r="K32" s="468">
        <v>0.74</v>
      </c>
      <c r="L32" s="469" t="s">
        <v>4714</v>
      </c>
      <c r="M32" s="460" t="str">
        <f>VLOOKUP(B32,'Calculations (All)'!$B:$D,3,FALSE)</f>
        <v>YH</v>
      </c>
    </row>
    <row r="33" spans="1:13" ht="15" thickBot="1">
      <c r="A33" s="461" t="s">
        <v>173</v>
      </c>
      <c r="B33" s="450" t="str">
        <f>VLOOKUP(A33,'Calculations (All)'!A:B,2,FALSE)</f>
        <v>Braintree</v>
      </c>
      <c r="C33" s="462">
        <v>716</v>
      </c>
      <c r="D33" s="463">
        <v>655.4</v>
      </c>
      <c r="E33" s="464">
        <v>476.7</v>
      </c>
      <c r="F33" s="465">
        <v>1848</v>
      </c>
      <c r="G33" s="466">
        <v>555.1</v>
      </c>
      <c r="H33" s="463">
        <v>884</v>
      </c>
      <c r="I33" s="467">
        <v>862.7</v>
      </c>
      <c r="J33" s="465">
        <v>2301.8000000000002</v>
      </c>
      <c r="K33" s="468">
        <v>1.25</v>
      </c>
      <c r="L33" s="469" t="s">
        <v>4726</v>
      </c>
      <c r="M33" s="460" t="str">
        <f>VLOOKUP(B33,'Calculations (All)'!$B:$D,3,FALSE)</f>
        <v>E</v>
      </c>
    </row>
    <row r="34" spans="1:13" ht="15" thickBot="1">
      <c r="A34" s="461" t="s">
        <v>175</v>
      </c>
      <c r="B34" s="450" t="str">
        <f>VLOOKUP(A34,'Calculations (All)'!A:B,2,FALSE)</f>
        <v>Breckland</v>
      </c>
      <c r="C34" s="462">
        <v>612</v>
      </c>
      <c r="D34" s="463">
        <v>560.20000000000005</v>
      </c>
      <c r="E34" s="464">
        <v>407.4</v>
      </c>
      <c r="F34" s="465">
        <v>1579.6</v>
      </c>
      <c r="G34" s="466">
        <v>753</v>
      </c>
      <c r="H34" s="463">
        <v>587</v>
      </c>
      <c r="I34" s="467">
        <v>551</v>
      </c>
      <c r="J34" s="465">
        <v>1891</v>
      </c>
      <c r="K34" s="468">
        <v>1.2</v>
      </c>
      <c r="L34" s="469" t="s">
        <v>4726</v>
      </c>
      <c r="M34" s="460" t="str">
        <f>VLOOKUP(B34,'Calculations (All)'!$B:$D,3,FALSE)</f>
        <v>E</v>
      </c>
    </row>
    <row r="35" spans="1:13" ht="15" thickBot="1">
      <c r="A35" s="461" t="s">
        <v>177</v>
      </c>
      <c r="B35" s="450" t="str">
        <f>VLOOKUP(A35,'Calculations (All)'!A:B,2,FALSE)</f>
        <v>Brent</v>
      </c>
      <c r="C35" s="462">
        <v>1525</v>
      </c>
      <c r="D35" s="463">
        <v>1954.2</v>
      </c>
      <c r="E35" s="464">
        <v>1547.9</v>
      </c>
      <c r="F35" s="465">
        <v>5027</v>
      </c>
      <c r="G35" s="466">
        <v>1727.7</v>
      </c>
      <c r="H35" s="463">
        <v>2422.1999999999998</v>
      </c>
      <c r="I35" s="467">
        <v>2783.4</v>
      </c>
      <c r="J35" s="465">
        <v>6933.3</v>
      </c>
      <c r="K35" s="468">
        <v>1.38</v>
      </c>
      <c r="L35" s="469" t="s">
        <v>4726</v>
      </c>
      <c r="M35" s="460" t="str">
        <f>VLOOKUP(B35,'Calculations (All)'!$B:$D,3,FALSE)</f>
        <v>GL</v>
      </c>
    </row>
    <row r="36" spans="1:13" ht="15" thickBot="1">
      <c r="A36" s="461" t="s">
        <v>179</v>
      </c>
      <c r="B36" s="450" t="str">
        <f>VLOOKUP(A36,'Calculations (All)'!A:B,2,FALSE)</f>
        <v>Brentwood</v>
      </c>
      <c r="C36" s="462">
        <v>453.2</v>
      </c>
      <c r="D36" s="463">
        <v>413.7</v>
      </c>
      <c r="E36" s="464">
        <v>301.60000000000002</v>
      </c>
      <c r="F36" s="465">
        <v>1168.5</v>
      </c>
      <c r="G36" s="466">
        <v>211</v>
      </c>
      <c r="H36" s="463">
        <v>395</v>
      </c>
      <c r="I36" s="467">
        <v>168</v>
      </c>
      <c r="J36" s="465">
        <v>774</v>
      </c>
      <c r="K36" s="468">
        <v>0.66</v>
      </c>
      <c r="L36" s="469" t="s">
        <v>4714</v>
      </c>
      <c r="M36" s="460" t="str">
        <f>VLOOKUP(B36,'Calculations (All)'!$B:$D,3,FALSE)</f>
        <v>E</v>
      </c>
    </row>
    <row r="37" spans="1:13" ht="15" thickBot="1">
      <c r="A37" s="461" t="s">
        <v>181</v>
      </c>
      <c r="B37" s="450" t="str">
        <f>VLOOKUP(A37,'Calculations (All)'!A:B,2,FALSE)</f>
        <v>Brighton and Hove</v>
      </c>
      <c r="C37" s="462">
        <v>655</v>
      </c>
      <c r="D37" s="463">
        <v>783.5</v>
      </c>
      <c r="E37" s="464">
        <v>571.4</v>
      </c>
      <c r="F37" s="465">
        <v>2009.9</v>
      </c>
      <c r="G37" s="466">
        <v>542</v>
      </c>
      <c r="H37" s="463">
        <v>1216.5999999999999</v>
      </c>
      <c r="I37" s="467">
        <v>975.6</v>
      </c>
      <c r="J37" s="465">
        <v>2734.2</v>
      </c>
      <c r="K37" s="468">
        <v>1.36</v>
      </c>
      <c r="L37" s="469" t="s">
        <v>4726</v>
      </c>
      <c r="M37" s="460" t="str">
        <f>VLOOKUP(B37,'Calculations (All)'!$B:$D,3,FALSE)</f>
        <v>SE</v>
      </c>
    </row>
    <row r="38" spans="1:13" ht="15" thickBot="1">
      <c r="A38" s="461" t="s">
        <v>183</v>
      </c>
      <c r="B38" s="450" t="str">
        <f>VLOOKUP(A38,'Calculations (All)'!A:B,2,FALSE)</f>
        <v>Bristol</v>
      </c>
      <c r="C38" s="462">
        <v>2440.1</v>
      </c>
      <c r="D38" s="463">
        <v>2180.1999999999998</v>
      </c>
      <c r="E38" s="464">
        <v>1576.5</v>
      </c>
      <c r="F38" s="465">
        <v>6196.8</v>
      </c>
      <c r="G38" s="466">
        <v>1665.8</v>
      </c>
      <c r="H38" s="463">
        <v>1412.1</v>
      </c>
      <c r="I38" s="467">
        <v>1533.2</v>
      </c>
      <c r="J38" s="465">
        <v>4611.1000000000004</v>
      </c>
      <c r="K38" s="468">
        <v>0.74</v>
      </c>
      <c r="L38" s="469" t="s">
        <v>4714</v>
      </c>
      <c r="M38" s="460" t="str">
        <f>VLOOKUP(B38,'Calculations (All)'!$B:$D,3,FALSE)</f>
        <v>SW</v>
      </c>
    </row>
    <row r="39" spans="1:13" ht="15" thickBot="1">
      <c r="A39" s="461" t="s">
        <v>187</v>
      </c>
      <c r="B39" s="450" t="str">
        <f>VLOOKUP(A39,'Calculations (All)'!A:B,2,FALSE)</f>
        <v>Bromley</v>
      </c>
      <c r="C39" s="462">
        <v>641</v>
      </c>
      <c r="D39" s="463">
        <v>586.70000000000005</v>
      </c>
      <c r="E39" s="464">
        <v>426.7</v>
      </c>
      <c r="F39" s="465">
        <v>1654.5</v>
      </c>
      <c r="G39" s="466">
        <v>719.7</v>
      </c>
      <c r="H39" s="463">
        <v>485</v>
      </c>
      <c r="I39" s="467">
        <v>272</v>
      </c>
      <c r="J39" s="465">
        <v>1476.7</v>
      </c>
      <c r="K39" s="468">
        <v>0.89</v>
      </c>
      <c r="L39" s="469" t="s">
        <v>4728</v>
      </c>
      <c r="M39" s="460" t="str">
        <f>VLOOKUP(B39,'Calculations (All)'!$B:$D,3,FALSE)</f>
        <v>GL</v>
      </c>
    </row>
    <row r="40" spans="1:13" ht="15" thickBot="1">
      <c r="A40" s="461" t="s">
        <v>189</v>
      </c>
      <c r="B40" s="450" t="str">
        <f>VLOOKUP(A40,'Calculations (All)'!A:B,2,FALSE)</f>
        <v>Bromsgrove</v>
      </c>
      <c r="C40" s="462">
        <v>547.4</v>
      </c>
      <c r="D40" s="463">
        <v>501</v>
      </c>
      <c r="E40" s="464">
        <v>364.4</v>
      </c>
      <c r="F40" s="465">
        <v>1412.8</v>
      </c>
      <c r="G40" s="466">
        <v>205.9</v>
      </c>
      <c r="H40" s="463">
        <v>267.3</v>
      </c>
      <c r="I40" s="467">
        <v>151</v>
      </c>
      <c r="J40" s="465">
        <v>624.20000000000005</v>
      </c>
      <c r="K40" s="468">
        <v>0.44</v>
      </c>
      <c r="L40" s="469" t="s">
        <v>4714</v>
      </c>
      <c r="M40" s="460" t="str">
        <f>VLOOKUP(B40,'Calculations (All)'!$B:$D,3,FALSE)</f>
        <v>WM</v>
      </c>
    </row>
    <row r="41" spans="1:13" ht="15" thickBot="1">
      <c r="A41" s="461" t="s">
        <v>191</v>
      </c>
      <c r="B41" s="450" t="str">
        <f>VLOOKUP(A41,'Calculations (All)'!A:B,2,FALSE)</f>
        <v>Broxbourne</v>
      </c>
      <c r="C41" s="462">
        <v>454</v>
      </c>
      <c r="D41" s="463">
        <v>415.5</v>
      </c>
      <c r="E41" s="464">
        <v>302.3</v>
      </c>
      <c r="F41" s="465">
        <v>1171.8</v>
      </c>
      <c r="G41" s="466">
        <v>492.3</v>
      </c>
      <c r="H41" s="463">
        <v>150</v>
      </c>
      <c r="I41" s="467">
        <v>202</v>
      </c>
      <c r="J41" s="465">
        <v>844.3</v>
      </c>
      <c r="K41" s="468">
        <v>0.72</v>
      </c>
      <c r="L41" s="469" t="s">
        <v>4714</v>
      </c>
      <c r="M41" s="460" t="str">
        <f>VLOOKUP(B41,'Calculations (All)'!$B:$D,3,FALSE)</f>
        <v>E</v>
      </c>
    </row>
    <row r="42" spans="1:13" ht="15" thickBot="1">
      <c r="A42" s="461" t="s">
        <v>193</v>
      </c>
      <c r="B42" s="450" t="str">
        <f>VLOOKUP(A42,'Calculations (All)'!A:B,2,FALSE)</f>
        <v>Broxtowe</v>
      </c>
      <c r="C42" s="462">
        <v>360.6</v>
      </c>
      <c r="D42" s="463">
        <v>342.3</v>
      </c>
      <c r="E42" s="464">
        <v>245</v>
      </c>
      <c r="F42" s="465">
        <v>947.9</v>
      </c>
      <c r="G42" s="466">
        <v>301.8</v>
      </c>
      <c r="H42" s="463">
        <v>231.6</v>
      </c>
      <c r="I42" s="467">
        <v>270</v>
      </c>
      <c r="J42" s="465">
        <v>803.4</v>
      </c>
      <c r="K42" s="468">
        <v>0.85</v>
      </c>
      <c r="L42" s="469" t="s">
        <v>4728</v>
      </c>
      <c r="M42" s="460" t="str">
        <f>VLOOKUP(B42,'Calculations (All)'!$B:$D,3,FALSE)</f>
        <v>EM</v>
      </c>
    </row>
    <row r="43" spans="1:13" ht="15" thickBot="1">
      <c r="A43" s="461" t="s">
        <v>197</v>
      </c>
      <c r="B43" s="450" t="str">
        <f>VLOOKUP(A43,'Calculations (All)'!A:B,2,FALSE)</f>
        <v>Burnley</v>
      </c>
      <c r="C43" s="462">
        <v>65.7</v>
      </c>
      <c r="D43" s="463">
        <v>57.7</v>
      </c>
      <c r="E43" s="464">
        <v>41.3</v>
      </c>
      <c r="F43" s="465">
        <v>164.6</v>
      </c>
      <c r="G43" s="466">
        <v>251</v>
      </c>
      <c r="H43" s="463">
        <v>165</v>
      </c>
      <c r="I43" s="467">
        <v>298.39999999999998</v>
      </c>
      <c r="J43" s="465">
        <v>714.4</v>
      </c>
      <c r="K43" s="468">
        <v>4.34</v>
      </c>
      <c r="L43" s="469" t="s">
        <v>4726</v>
      </c>
      <c r="M43" s="460" t="str">
        <f>VLOOKUP(B43,'Calculations (All)'!$B:$D,3,FALSE)</f>
        <v>NW</v>
      </c>
    </row>
    <row r="44" spans="1:13" ht="15" thickBot="1">
      <c r="A44" s="461" t="s">
        <v>199</v>
      </c>
      <c r="B44" s="450" t="str">
        <f>VLOOKUP(A44,'Calculations (All)'!A:B,2,FALSE)</f>
        <v>Bury</v>
      </c>
      <c r="C44" s="462">
        <v>608.1</v>
      </c>
      <c r="D44" s="463">
        <v>539.1</v>
      </c>
      <c r="E44" s="464">
        <v>400.1</v>
      </c>
      <c r="F44" s="465">
        <v>1547.3</v>
      </c>
      <c r="G44" s="466">
        <v>390</v>
      </c>
      <c r="H44" s="463">
        <v>201.1</v>
      </c>
      <c r="I44" s="467">
        <v>217.3</v>
      </c>
      <c r="J44" s="465">
        <v>808.4</v>
      </c>
      <c r="K44" s="468">
        <v>0.52</v>
      </c>
      <c r="L44" s="469" t="s">
        <v>4714</v>
      </c>
      <c r="M44" s="460" t="str">
        <f>VLOOKUP(B44,'Calculations (All)'!$B:$D,3,FALSE)</f>
        <v>NW</v>
      </c>
    </row>
    <row r="45" spans="1:13" ht="15" thickBot="1">
      <c r="A45" s="461" t="s">
        <v>201</v>
      </c>
      <c r="B45" s="450" t="str">
        <f>VLOOKUP(A45,'Calculations (All)'!A:B,2,FALSE)</f>
        <v>Calderdale</v>
      </c>
      <c r="C45" s="462">
        <v>815.5</v>
      </c>
      <c r="D45" s="463">
        <v>736.8</v>
      </c>
      <c r="E45" s="464">
        <v>532.6</v>
      </c>
      <c r="F45" s="465">
        <v>2084.9</v>
      </c>
      <c r="G45" s="466">
        <v>572.1</v>
      </c>
      <c r="H45" s="463">
        <v>333.1</v>
      </c>
      <c r="I45" s="467">
        <v>234.7</v>
      </c>
      <c r="J45" s="465">
        <v>1139.9000000000001</v>
      </c>
      <c r="K45" s="468">
        <v>0.55000000000000004</v>
      </c>
      <c r="L45" s="469" t="s">
        <v>4714</v>
      </c>
      <c r="M45" s="460" t="str">
        <f>VLOOKUP(B45,'Calculations (All)'!$B:$D,3,FALSE)</f>
        <v>YH</v>
      </c>
    </row>
    <row r="46" spans="1:13" ht="15" thickBot="1">
      <c r="A46" s="461" t="s">
        <v>203</v>
      </c>
      <c r="B46" s="450" t="str">
        <f>VLOOKUP(A46,'Calculations (All)'!A:B,2,FALSE)</f>
        <v>Cambridge</v>
      </c>
      <c r="C46" s="462">
        <v>578.20000000000005</v>
      </c>
      <c r="D46" s="463">
        <v>595.9</v>
      </c>
      <c r="E46" s="464">
        <v>438.1</v>
      </c>
      <c r="F46" s="465">
        <v>1612.1</v>
      </c>
      <c r="G46" s="466">
        <v>1097.8</v>
      </c>
      <c r="H46" s="463">
        <v>544.1</v>
      </c>
      <c r="I46" s="467">
        <v>497.8</v>
      </c>
      <c r="J46" s="465">
        <v>2139.6999999999998</v>
      </c>
      <c r="K46" s="468">
        <v>1.33</v>
      </c>
      <c r="L46" s="469" t="s">
        <v>4726</v>
      </c>
      <c r="M46" s="460" t="str">
        <f>VLOOKUP(B46,'Calculations (All)'!$B:$D,3,FALSE)</f>
        <v>E</v>
      </c>
    </row>
    <row r="47" spans="1:13" ht="15" thickBot="1">
      <c r="A47" s="461" t="s">
        <v>205</v>
      </c>
      <c r="B47" s="450" t="str">
        <f>VLOOKUP(A47,'Calculations (All)'!A:B,2,FALSE)</f>
        <v>Camden</v>
      </c>
      <c r="C47" s="462">
        <v>1120</v>
      </c>
      <c r="D47" s="463">
        <v>1025.0999999999999</v>
      </c>
      <c r="E47" s="464">
        <v>745.6</v>
      </c>
      <c r="F47" s="465">
        <v>2890.8</v>
      </c>
      <c r="G47" s="466">
        <v>752.5</v>
      </c>
      <c r="H47" s="463">
        <v>921.5</v>
      </c>
      <c r="I47" s="467">
        <v>527.70000000000005</v>
      </c>
      <c r="J47" s="465">
        <v>2201.6999999999998</v>
      </c>
      <c r="K47" s="468">
        <v>0.76</v>
      </c>
      <c r="L47" s="469" t="s">
        <v>4713</v>
      </c>
      <c r="M47" s="460" t="str">
        <f>VLOOKUP(B47,'Calculations (All)'!$B:$D,3,FALSE)</f>
        <v>GL</v>
      </c>
    </row>
    <row r="48" spans="1:13" ht="15" thickBot="1">
      <c r="A48" s="461" t="s">
        <v>207</v>
      </c>
      <c r="B48" s="450" t="str">
        <f>VLOOKUP(A48,'Calculations (All)'!A:B,2,FALSE)</f>
        <v>Cannock Chase</v>
      </c>
      <c r="C48" s="462">
        <v>243.1</v>
      </c>
      <c r="D48" s="463">
        <v>230.5</v>
      </c>
      <c r="E48" s="464">
        <v>168.6</v>
      </c>
      <c r="F48" s="465">
        <v>642.29999999999995</v>
      </c>
      <c r="G48" s="466">
        <v>234</v>
      </c>
      <c r="H48" s="463">
        <v>930</v>
      </c>
      <c r="I48" s="467">
        <v>319</v>
      </c>
      <c r="J48" s="465">
        <v>1483</v>
      </c>
      <c r="K48" s="468">
        <v>2.31</v>
      </c>
      <c r="L48" s="469" t="s">
        <v>4726</v>
      </c>
      <c r="M48" s="460" t="str">
        <f>VLOOKUP(B48,'Calculations (All)'!$B:$D,3,FALSE)</f>
        <v>WM</v>
      </c>
    </row>
    <row r="49" spans="1:13" ht="15" thickBot="1">
      <c r="A49" s="461" t="s">
        <v>209</v>
      </c>
      <c r="B49" s="450" t="str">
        <f>VLOOKUP(A49,'Calculations (All)'!A:B,2,FALSE)</f>
        <v>Canterbury</v>
      </c>
      <c r="C49" s="462">
        <v>900</v>
      </c>
      <c r="D49" s="463">
        <v>823.8</v>
      </c>
      <c r="E49" s="464">
        <v>599.20000000000005</v>
      </c>
      <c r="F49" s="465">
        <v>2322.9</v>
      </c>
      <c r="G49" s="466">
        <v>443.9</v>
      </c>
      <c r="H49" s="463">
        <v>601.9</v>
      </c>
      <c r="I49" s="467">
        <v>463.2</v>
      </c>
      <c r="J49" s="465">
        <v>1508.9</v>
      </c>
      <c r="K49" s="468">
        <v>0.65</v>
      </c>
      <c r="L49" s="469" t="s">
        <v>4714</v>
      </c>
      <c r="M49" s="460" t="str">
        <f>VLOOKUP(B49,'Calculations (All)'!$B:$D,3,FALSE)</f>
        <v>SE</v>
      </c>
    </row>
    <row r="50" spans="1:13" ht="15" thickBot="1">
      <c r="A50" s="461" t="s">
        <v>211</v>
      </c>
      <c r="B50" s="450" t="str">
        <f>VLOOKUP(A50,'Calculations (All)'!A:B,2,FALSE)</f>
        <v>Carlisle</v>
      </c>
      <c r="C50" s="462">
        <v>199.6</v>
      </c>
      <c r="D50" s="463">
        <v>180.3</v>
      </c>
      <c r="E50" s="464">
        <v>128.5</v>
      </c>
      <c r="F50" s="465">
        <v>508.4</v>
      </c>
      <c r="G50" s="466">
        <v>625.29999999999995</v>
      </c>
      <c r="H50" s="463">
        <v>663</v>
      </c>
      <c r="I50" s="467">
        <v>471</v>
      </c>
      <c r="J50" s="465">
        <v>1759.3</v>
      </c>
      <c r="K50" s="468">
        <v>3.46</v>
      </c>
      <c r="L50" s="469" t="s">
        <v>4726</v>
      </c>
      <c r="M50" s="460" t="str">
        <f>VLOOKUP(B50,'Calculations (All)'!$B:$D,3,FALSE)</f>
        <v>NW</v>
      </c>
    </row>
    <row r="51" spans="1:13" ht="15" thickBot="1">
      <c r="A51" s="461" t="s">
        <v>213</v>
      </c>
      <c r="B51" s="450" t="str">
        <f>VLOOKUP(A51,'Calculations (All)'!A:B,2,FALSE)</f>
        <v>Castle Point</v>
      </c>
      <c r="C51" s="462">
        <v>353.4</v>
      </c>
      <c r="D51" s="463">
        <v>323.10000000000002</v>
      </c>
      <c r="E51" s="464">
        <v>235.7</v>
      </c>
      <c r="F51" s="465">
        <v>912.1</v>
      </c>
      <c r="G51" s="466">
        <v>203</v>
      </c>
      <c r="H51" s="463">
        <v>74</v>
      </c>
      <c r="I51" s="467">
        <v>173.8</v>
      </c>
      <c r="J51" s="465">
        <v>450.8</v>
      </c>
      <c r="K51" s="468">
        <v>0.49</v>
      </c>
      <c r="L51" s="469" t="s">
        <v>4714</v>
      </c>
      <c r="M51" s="460" t="str">
        <f>VLOOKUP(B51,'Calculations (All)'!$B:$D,3,FALSE)</f>
        <v>E</v>
      </c>
    </row>
    <row r="52" spans="1:13" ht="15" thickBot="1">
      <c r="A52" s="461" t="s">
        <v>215</v>
      </c>
      <c r="B52" s="450" t="str">
        <f>VLOOKUP(A52,'Calculations (All)'!A:B,2,FALSE)</f>
        <v>Central Bedfordshire</v>
      </c>
      <c r="C52" s="462">
        <v>1970</v>
      </c>
      <c r="D52" s="463">
        <v>1803.2</v>
      </c>
      <c r="E52" s="464">
        <v>1311.6</v>
      </c>
      <c r="F52" s="465">
        <v>5084.8</v>
      </c>
      <c r="G52" s="466">
        <v>2138.1</v>
      </c>
      <c r="H52" s="463">
        <v>2685.9</v>
      </c>
      <c r="I52" s="467">
        <v>2135</v>
      </c>
      <c r="J52" s="465">
        <v>6959</v>
      </c>
      <c r="K52" s="468">
        <v>1.37</v>
      </c>
      <c r="L52" s="469" t="s">
        <v>4726</v>
      </c>
      <c r="M52" s="460" t="str">
        <f>VLOOKUP(B52,'Calculations (All)'!$B:$D,3,FALSE)</f>
        <v>E</v>
      </c>
    </row>
    <row r="53" spans="1:13" ht="15" thickBot="1">
      <c r="A53" s="461" t="s">
        <v>217</v>
      </c>
      <c r="B53" s="450" t="str">
        <f>VLOOKUP(A53,'Calculations (All)'!A:B,2,FALSE)</f>
        <v>Charnwood</v>
      </c>
      <c r="C53" s="462">
        <v>820</v>
      </c>
      <c r="D53" s="463">
        <v>750.5</v>
      </c>
      <c r="E53" s="464">
        <v>657.6</v>
      </c>
      <c r="F53" s="465">
        <v>2228.1</v>
      </c>
      <c r="G53" s="466">
        <v>1117.2</v>
      </c>
      <c r="H53" s="463">
        <v>992.6</v>
      </c>
      <c r="I53" s="467">
        <v>1115.5999999999999</v>
      </c>
      <c r="J53" s="465">
        <v>3225.3</v>
      </c>
      <c r="K53" s="468">
        <v>1.45</v>
      </c>
      <c r="L53" s="469" t="s">
        <v>4726</v>
      </c>
      <c r="M53" s="460" t="str">
        <f>VLOOKUP(B53,'Calculations (All)'!$B:$D,3,FALSE)</f>
        <v>EM</v>
      </c>
    </row>
    <row r="54" spans="1:13" ht="15" thickBot="1">
      <c r="A54" s="461" t="s">
        <v>219</v>
      </c>
      <c r="B54" s="450" t="str">
        <f>VLOOKUP(A54,'Calculations (All)'!A:B,2,FALSE)</f>
        <v>Chelmsford</v>
      </c>
      <c r="C54" s="462">
        <v>806.6</v>
      </c>
      <c r="D54" s="463">
        <v>738.3</v>
      </c>
      <c r="E54" s="464">
        <v>537</v>
      </c>
      <c r="F54" s="465">
        <v>2082</v>
      </c>
      <c r="G54" s="466">
        <v>1256</v>
      </c>
      <c r="H54" s="463">
        <v>832</v>
      </c>
      <c r="I54" s="467">
        <v>829</v>
      </c>
      <c r="J54" s="465">
        <v>2917</v>
      </c>
      <c r="K54" s="468">
        <v>1.4</v>
      </c>
      <c r="L54" s="469" t="s">
        <v>4726</v>
      </c>
      <c r="M54" s="460" t="str">
        <f>VLOOKUP(B54,'Calculations (All)'!$B:$D,3,FALSE)</f>
        <v>E</v>
      </c>
    </row>
    <row r="55" spans="1:13" ht="15" thickBot="1">
      <c r="A55" s="461" t="s">
        <v>221</v>
      </c>
      <c r="B55" s="450" t="str">
        <f>VLOOKUP(A55,'Calculations (All)'!A:B,2,FALSE)</f>
        <v>Cheltenham</v>
      </c>
      <c r="C55" s="462">
        <v>408.3</v>
      </c>
      <c r="D55" s="463">
        <v>370.9</v>
      </c>
      <c r="E55" s="464">
        <v>266.7</v>
      </c>
      <c r="F55" s="465">
        <v>1045.9000000000001</v>
      </c>
      <c r="G55" s="466">
        <v>775</v>
      </c>
      <c r="H55" s="463">
        <v>470.3</v>
      </c>
      <c r="I55" s="467">
        <v>384</v>
      </c>
      <c r="J55" s="465">
        <v>1629.3</v>
      </c>
      <c r="K55" s="468">
        <v>1.56</v>
      </c>
      <c r="L55" s="469" t="s">
        <v>4726</v>
      </c>
      <c r="M55" s="460" t="str">
        <f>VLOOKUP(B55,'Calculations (All)'!$B:$D,3,FALSE)</f>
        <v>SW</v>
      </c>
    </row>
    <row r="56" spans="1:13" ht="15" thickBot="1">
      <c r="A56" s="461" t="s">
        <v>223</v>
      </c>
      <c r="B56" s="450" t="str">
        <f>VLOOKUP(A56,'Calculations (All)'!A:B,2,FALSE)</f>
        <v>Cherwell</v>
      </c>
      <c r="C56" s="462">
        <v>974</v>
      </c>
      <c r="D56" s="463">
        <v>880.9</v>
      </c>
      <c r="E56" s="464">
        <v>649.70000000000005</v>
      </c>
      <c r="F56" s="465">
        <v>2504.6</v>
      </c>
      <c r="G56" s="466">
        <v>1489</v>
      </c>
      <c r="H56" s="463">
        <v>1159</v>
      </c>
      <c r="I56" s="467">
        <v>1192</v>
      </c>
      <c r="J56" s="465">
        <v>3840</v>
      </c>
      <c r="K56" s="468">
        <v>1.53</v>
      </c>
      <c r="L56" s="469" t="s">
        <v>4726</v>
      </c>
      <c r="M56" s="460" t="str">
        <f>VLOOKUP(B56,'Calculations (All)'!$B:$D,3,FALSE)</f>
        <v>SE</v>
      </c>
    </row>
    <row r="57" spans="1:13" ht="15" thickBot="1">
      <c r="A57" s="461" t="s">
        <v>225</v>
      </c>
      <c r="B57" s="450" t="str">
        <f>VLOOKUP(A57,'Calculations (All)'!A:B,2,FALSE)</f>
        <v>Cheshire East</v>
      </c>
      <c r="C57" s="462">
        <v>1100.7</v>
      </c>
      <c r="D57" s="463">
        <v>1004.1</v>
      </c>
      <c r="E57" s="464">
        <v>711</v>
      </c>
      <c r="F57" s="465">
        <v>2815.8</v>
      </c>
      <c r="G57" s="466">
        <v>3016.1</v>
      </c>
      <c r="H57" s="463">
        <v>3094.3</v>
      </c>
      <c r="I57" s="467">
        <v>2331.1</v>
      </c>
      <c r="J57" s="465">
        <v>8441.6</v>
      </c>
      <c r="K57" s="468">
        <v>3</v>
      </c>
      <c r="L57" s="469" t="s">
        <v>4726</v>
      </c>
      <c r="M57" s="460" t="str">
        <f>VLOOKUP(B57,'Calculations (All)'!$B:$D,3,FALSE)</f>
        <v>NW</v>
      </c>
    </row>
    <row r="58" spans="1:13" ht="15" thickBot="1">
      <c r="A58" s="461" t="s">
        <v>227</v>
      </c>
      <c r="B58" s="450" t="str">
        <f>VLOOKUP(A58,'Calculations (All)'!A:B,2,FALSE)</f>
        <v>Cheshire West and Chester</v>
      </c>
      <c r="C58" s="462">
        <v>640.9</v>
      </c>
      <c r="D58" s="463">
        <v>556.5</v>
      </c>
      <c r="E58" s="464">
        <v>388.8</v>
      </c>
      <c r="F58" s="465">
        <v>1586.2</v>
      </c>
      <c r="G58" s="466">
        <v>2154</v>
      </c>
      <c r="H58" s="463">
        <v>1860.7</v>
      </c>
      <c r="I58" s="467">
        <v>1372.8</v>
      </c>
      <c r="J58" s="465">
        <v>5387.4</v>
      </c>
      <c r="K58" s="468">
        <v>3.4</v>
      </c>
      <c r="L58" s="469" t="s">
        <v>4726</v>
      </c>
      <c r="M58" s="460" t="str">
        <f>VLOOKUP(B58,'Calculations (All)'!$B:$D,3,FALSE)</f>
        <v>NW</v>
      </c>
    </row>
    <row r="59" spans="1:13" ht="15" thickBot="1">
      <c r="A59" s="461" t="s">
        <v>229</v>
      </c>
      <c r="B59" s="450" t="str">
        <f>VLOOKUP(A59,'Calculations (All)'!A:B,2,FALSE)</f>
        <v>Chesterfield</v>
      </c>
      <c r="C59" s="462">
        <v>240</v>
      </c>
      <c r="D59" s="463">
        <v>219.7</v>
      </c>
      <c r="E59" s="464">
        <v>152.5</v>
      </c>
      <c r="F59" s="465">
        <v>612.1</v>
      </c>
      <c r="G59" s="466">
        <v>212</v>
      </c>
      <c r="H59" s="463">
        <v>304</v>
      </c>
      <c r="I59" s="467">
        <v>276</v>
      </c>
      <c r="J59" s="465">
        <v>792</v>
      </c>
      <c r="K59" s="468">
        <v>1.29</v>
      </c>
      <c r="L59" s="469" t="s">
        <v>4726</v>
      </c>
      <c r="M59" s="460" t="str">
        <f>VLOOKUP(B59,'Calculations (All)'!$B:$D,3,FALSE)</f>
        <v>EM</v>
      </c>
    </row>
    <row r="60" spans="1:13" ht="15" thickBot="1">
      <c r="A60" s="461" t="s">
        <v>231</v>
      </c>
      <c r="B60" s="450" t="str">
        <f>VLOOKUP(A60,'Calculations (All)'!A:B,2,FALSE)</f>
        <v>Chichester</v>
      </c>
      <c r="C60" s="462">
        <v>434.6</v>
      </c>
      <c r="D60" s="463">
        <v>397.8</v>
      </c>
      <c r="E60" s="464">
        <v>405.4</v>
      </c>
      <c r="F60" s="465">
        <v>1237.8</v>
      </c>
      <c r="G60" s="466">
        <v>649.5</v>
      </c>
      <c r="H60" s="463">
        <v>512</v>
      </c>
      <c r="I60" s="467">
        <v>520.29999999999995</v>
      </c>
      <c r="J60" s="465">
        <v>1681.8</v>
      </c>
      <c r="K60" s="468">
        <v>1.36</v>
      </c>
      <c r="L60" s="469" t="s">
        <v>4726</v>
      </c>
      <c r="M60" s="460" t="str">
        <f>VLOOKUP(B60,'Calculations (All)'!$B:$D,3,FALSE)</f>
        <v>SE</v>
      </c>
    </row>
    <row r="61" spans="1:13" ht="15" thickBot="1">
      <c r="A61" s="461" t="s">
        <v>233</v>
      </c>
      <c r="B61" s="450" t="str">
        <f>VLOOKUP(A61,'Calculations (All)'!A:B,2,FALSE)</f>
        <v>Chorley</v>
      </c>
      <c r="C61" s="462">
        <v>417.5</v>
      </c>
      <c r="D61" s="463">
        <v>382.1</v>
      </c>
      <c r="E61" s="464">
        <v>277.89999999999998</v>
      </c>
      <c r="F61" s="465">
        <v>1077.5</v>
      </c>
      <c r="G61" s="466">
        <v>573</v>
      </c>
      <c r="H61" s="463">
        <v>640</v>
      </c>
      <c r="I61" s="467">
        <v>306</v>
      </c>
      <c r="J61" s="465">
        <v>1519</v>
      </c>
      <c r="K61" s="468">
        <v>1.41</v>
      </c>
      <c r="L61" s="469" t="s">
        <v>4726</v>
      </c>
      <c r="M61" s="460" t="str">
        <f>VLOOKUP(B61,'Calculations (All)'!$B:$D,3,FALSE)</f>
        <v>NW</v>
      </c>
    </row>
    <row r="62" spans="1:13" ht="15" thickBot="1">
      <c r="A62" s="461" t="s">
        <v>235</v>
      </c>
      <c r="B62" s="450" t="str">
        <f>VLOOKUP(A62,'Calculations (All)'!A:B,2,FALSE)</f>
        <v>City of London</v>
      </c>
      <c r="C62" s="462">
        <v>110</v>
      </c>
      <c r="D62" s="463">
        <v>102.5</v>
      </c>
      <c r="E62" s="464">
        <v>75.8</v>
      </c>
      <c r="F62" s="465">
        <v>288.3</v>
      </c>
      <c r="G62" s="466">
        <v>351</v>
      </c>
      <c r="H62" s="463">
        <v>297</v>
      </c>
      <c r="I62" s="467">
        <v>206</v>
      </c>
      <c r="J62" s="465">
        <v>854</v>
      </c>
      <c r="K62" s="468">
        <v>2.96</v>
      </c>
      <c r="L62" s="469" t="s">
        <v>4726</v>
      </c>
      <c r="M62" s="460" t="str">
        <f>VLOOKUP(B62,'Calculations (All)'!$B:$D,3,FALSE)</f>
        <v>GL</v>
      </c>
    </row>
    <row r="63" spans="1:13" ht="15" thickBot="1">
      <c r="A63" s="461" t="s">
        <v>237</v>
      </c>
      <c r="B63" s="450" t="str">
        <f>VLOOKUP(A63,'Calculations (All)'!A:B,2,FALSE)</f>
        <v>Colchester</v>
      </c>
      <c r="C63" s="462">
        <v>920</v>
      </c>
      <c r="D63" s="463">
        <v>842.1</v>
      </c>
      <c r="E63" s="464">
        <v>612.5</v>
      </c>
      <c r="F63" s="465">
        <v>2374.6</v>
      </c>
      <c r="G63" s="466">
        <v>1432.2</v>
      </c>
      <c r="H63" s="463">
        <v>785</v>
      </c>
      <c r="I63" s="467">
        <v>955.8</v>
      </c>
      <c r="J63" s="465">
        <v>3173</v>
      </c>
      <c r="K63" s="468">
        <v>1.34</v>
      </c>
      <c r="L63" s="469" t="s">
        <v>4726</v>
      </c>
      <c r="M63" s="460" t="str">
        <f>VLOOKUP(B63,'Calculations (All)'!$B:$D,3,FALSE)</f>
        <v>E</v>
      </c>
    </row>
    <row r="64" spans="1:13" ht="15" thickBot="1">
      <c r="A64" s="461" t="s">
        <v>239</v>
      </c>
      <c r="B64" s="450" t="str">
        <f>VLOOKUP(A64,'Calculations (All)'!A:B,2,FALSE)</f>
        <v>Copeland</v>
      </c>
      <c r="C64" s="462">
        <v>20.5</v>
      </c>
      <c r="D64" s="463">
        <v>13.7</v>
      </c>
      <c r="E64" s="464">
        <v>7.5</v>
      </c>
      <c r="F64" s="465">
        <v>41.8</v>
      </c>
      <c r="G64" s="466">
        <v>117</v>
      </c>
      <c r="H64" s="463">
        <v>165</v>
      </c>
      <c r="I64" s="467">
        <v>107</v>
      </c>
      <c r="J64" s="465">
        <v>389</v>
      </c>
      <c r="K64" s="468">
        <v>9.32</v>
      </c>
      <c r="L64" s="469" t="s">
        <v>4726</v>
      </c>
      <c r="M64" s="460" t="str">
        <f>VLOOKUP(B64,'Calculations (All)'!$B:$D,3,FALSE)</f>
        <v>NW</v>
      </c>
    </row>
    <row r="65" spans="1:13" ht="15" thickBot="1">
      <c r="A65" s="461" t="s">
        <v>241</v>
      </c>
      <c r="B65" s="450" t="str">
        <f>VLOOKUP(A65,'Calculations (All)'!A:B,2,FALSE)</f>
        <v>Corby</v>
      </c>
      <c r="C65" s="462">
        <v>460</v>
      </c>
      <c r="D65" s="463">
        <v>421</v>
      </c>
      <c r="E65" s="464">
        <v>306.2</v>
      </c>
      <c r="F65" s="465">
        <v>1187.3</v>
      </c>
      <c r="G65" s="466">
        <v>632</v>
      </c>
      <c r="H65" s="463">
        <v>371</v>
      </c>
      <c r="I65" s="467">
        <v>418</v>
      </c>
      <c r="J65" s="465">
        <v>1421</v>
      </c>
      <c r="K65" s="468">
        <v>1.2</v>
      </c>
      <c r="L65" s="469" t="s">
        <v>4726</v>
      </c>
      <c r="M65" s="460" t="str">
        <f>VLOOKUP(B65,'Calculations (All)'!$B:$D,3,FALSE)</f>
        <v>EM</v>
      </c>
    </row>
    <row r="66" spans="1:13" ht="15" thickBot="1">
      <c r="A66" s="461" t="s">
        <v>243</v>
      </c>
      <c r="B66" s="450" t="str">
        <f>VLOOKUP(A66,'Calculations (All)'!A:B,2,FALSE)</f>
        <v>Cornwall</v>
      </c>
      <c r="C66" s="462">
        <v>2647</v>
      </c>
      <c r="D66" s="463">
        <v>2422.9</v>
      </c>
      <c r="E66" s="464">
        <v>1762.3</v>
      </c>
      <c r="F66" s="465">
        <v>6832.2</v>
      </c>
      <c r="G66" s="466">
        <v>3130.8</v>
      </c>
      <c r="H66" s="463">
        <v>3103</v>
      </c>
      <c r="I66" s="467">
        <v>2709.8</v>
      </c>
      <c r="J66" s="465">
        <v>8943.6</v>
      </c>
      <c r="K66" s="468">
        <v>1.31</v>
      </c>
      <c r="L66" s="469" t="s">
        <v>4726</v>
      </c>
      <c r="M66" s="460" t="str">
        <f>VLOOKUP(B66,'Calculations (All)'!$B:$D,3,FALSE)</f>
        <v>SW</v>
      </c>
    </row>
    <row r="67" spans="1:13" ht="15" thickBot="1">
      <c r="A67" s="461" t="s">
        <v>245</v>
      </c>
      <c r="B67" s="450" t="str">
        <f>VLOOKUP(A67,'Calculations (All)'!A:B,2,FALSE)</f>
        <v>Cotswold</v>
      </c>
      <c r="C67" s="462">
        <v>420</v>
      </c>
      <c r="D67" s="463">
        <v>384.4</v>
      </c>
      <c r="E67" s="464">
        <v>279.60000000000002</v>
      </c>
      <c r="F67" s="465">
        <v>1084</v>
      </c>
      <c r="G67" s="466">
        <v>806</v>
      </c>
      <c r="H67" s="463">
        <v>312</v>
      </c>
      <c r="I67" s="467">
        <v>378</v>
      </c>
      <c r="J67" s="465">
        <v>1496</v>
      </c>
      <c r="K67" s="468">
        <v>1.38</v>
      </c>
      <c r="L67" s="469" t="s">
        <v>4726</v>
      </c>
      <c r="M67" s="460" t="str">
        <f>VLOOKUP(B67,'Calculations (All)'!$B:$D,3,FALSE)</f>
        <v>SW</v>
      </c>
    </row>
    <row r="68" spans="1:13" ht="15" thickBot="1">
      <c r="A68" s="461" t="s">
        <v>276</v>
      </c>
      <c r="B68" s="450" t="str">
        <f>VLOOKUP(A68,'Calculations (All)'!A:B,2,FALSE)</f>
        <v>Durham</v>
      </c>
      <c r="C68" s="462">
        <v>1308</v>
      </c>
      <c r="D68" s="463">
        <v>1179.8</v>
      </c>
      <c r="E68" s="464">
        <v>842.8</v>
      </c>
      <c r="F68" s="465">
        <v>3330.7</v>
      </c>
      <c r="G68" s="466">
        <v>1485.4</v>
      </c>
      <c r="H68" s="463">
        <v>1808.4</v>
      </c>
      <c r="I68" s="467">
        <v>1521</v>
      </c>
      <c r="J68" s="465">
        <v>4814.8</v>
      </c>
      <c r="K68" s="468">
        <v>1.45</v>
      </c>
      <c r="L68" s="469" t="s">
        <v>4726</v>
      </c>
      <c r="M68" s="460" t="str">
        <f>VLOOKUP(B68,'Calculations (All)'!$B:$D,3,FALSE)</f>
        <v>NE</v>
      </c>
    </row>
    <row r="69" spans="1:13" ht="15" thickBot="1">
      <c r="A69" s="461" t="s">
        <v>247</v>
      </c>
      <c r="B69" s="450" t="str">
        <f>VLOOKUP(A69,'Calculations (All)'!A:B,2,FALSE)</f>
        <v>Coventry</v>
      </c>
      <c r="C69" s="462">
        <v>832.6</v>
      </c>
      <c r="D69" s="463">
        <v>759.9</v>
      </c>
      <c r="E69" s="464">
        <v>554.29999999999995</v>
      </c>
      <c r="F69" s="465">
        <v>2146.8000000000002</v>
      </c>
      <c r="G69" s="466">
        <v>1499</v>
      </c>
      <c r="H69" s="463">
        <v>2560.4</v>
      </c>
      <c r="I69" s="467">
        <v>589</v>
      </c>
      <c r="J69" s="465">
        <v>4648.3999999999996</v>
      </c>
      <c r="K69" s="468">
        <v>2.17</v>
      </c>
      <c r="L69" s="469" t="s">
        <v>4726</v>
      </c>
      <c r="M69" s="460" t="str">
        <f>VLOOKUP(B69,'Calculations (All)'!$B:$D,3,FALSE)</f>
        <v>WM</v>
      </c>
    </row>
    <row r="70" spans="1:13" ht="15" thickBot="1">
      <c r="A70" s="461" t="s">
        <v>249</v>
      </c>
      <c r="B70" s="450" t="str">
        <f>VLOOKUP(A70,'Calculations (All)'!A:B,2,FALSE)</f>
        <v>Craven</v>
      </c>
      <c r="C70" s="462">
        <v>152.19999999999999</v>
      </c>
      <c r="D70" s="463">
        <v>136.4</v>
      </c>
      <c r="E70" s="464">
        <v>99.9</v>
      </c>
      <c r="F70" s="465">
        <v>388.4</v>
      </c>
      <c r="G70" s="466">
        <v>250</v>
      </c>
      <c r="H70" s="463">
        <v>291</v>
      </c>
      <c r="I70" s="467">
        <v>188</v>
      </c>
      <c r="J70" s="465">
        <v>729</v>
      </c>
      <c r="K70" s="468">
        <v>1.88</v>
      </c>
      <c r="L70" s="469" t="s">
        <v>4726</v>
      </c>
      <c r="M70" s="460" t="str">
        <f>VLOOKUP(B70,'Calculations (All)'!$B:$D,3,FALSE)</f>
        <v>YH</v>
      </c>
    </row>
    <row r="71" spans="1:13" ht="15" thickBot="1">
      <c r="A71" s="461" t="s">
        <v>251</v>
      </c>
      <c r="B71" s="450" t="str">
        <f>VLOOKUP(A71,'Calculations (All)'!A:B,2,FALSE)</f>
        <v>Crawley</v>
      </c>
      <c r="C71" s="462">
        <v>142.9</v>
      </c>
      <c r="D71" s="463">
        <v>130</v>
      </c>
      <c r="E71" s="464">
        <v>95.1</v>
      </c>
      <c r="F71" s="465">
        <v>368</v>
      </c>
      <c r="G71" s="466">
        <v>522</v>
      </c>
      <c r="H71" s="463">
        <v>404.8</v>
      </c>
      <c r="I71" s="467">
        <v>568</v>
      </c>
      <c r="J71" s="465">
        <v>1494.8</v>
      </c>
      <c r="K71" s="468">
        <v>4.0599999999999996</v>
      </c>
      <c r="L71" s="469" t="s">
        <v>4726</v>
      </c>
      <c r="M71" s="460" t="str">
        <f>VLOOKUP(B71,'Calculations (All)'!$B:$D,3,FALSE)</f>
        <v>SE</v>
      </c>
    </row>
    <row r="72" spans="1:13" ht="15" thickBot="1">
      <c r="A72" s="461" t="s">
        <v>253</v>
      </c>
      <c r="B72" s="450" t="str">
        <f>VLOOKUP(A72,'Calculations (All)'!A:B,2,FALSE)</f>
        <v>Croydon</v>
      </c>
      <c r="C72" s="462">
        <v>1646.3</v>
      </c>
      <c r="D72" s="463">
        <v>1506.9</v>
      </c>
      <c r="E72" s="464">
        <v>1096</v>
      </c>
      <c r="F72" s="465">
        <v>4249.2</v>
      </c>
      <c r="G72" s="466">
        <v>1588.3</v>
      </c>
      <c r="H72" s="463">
        <v>1717</v>
      </c>
      <c r="I72" s="467">
        <v>2114.6</v>
      </c>
      <c r="J72" s="465">
        <v>5419.9</v>
      </c>
      <c r="K72" s="468">
        <v>1.28</v>
      </c>
      <c r="L72" s="469" t="s">
        <v>4726</v>
      </c>
      <c r="M72" s="460" t="str">
        <f>VLOOKUP(B72,'Calculations (All)'!$B:$D,3,FALSE)</f>
        <v>GL</v>
      </c>
    </row>
    <row r="73" spans="1:13" ht="15" thickBot="1">
      <c r="A73" s="461" t="s">
        <v>255</v>
      </c>
      <c r="B73" s="450" t="str">
        <f>VLOOKUP(A73,'Calculations (All)'!A:B,2,FALSE)</f>
        <v>Dacorum</v>
      </c>
      <c r="C73" s="462">
        <v>518.6</v>
      </c>
      <c r="D73" s="463">
        <v>938.2</v>
      </c>
      <c r="E73" s="464">
        <v>681.1</v>
      </c>
      <c r="F73" s="465">
        <v>2137.8000000000002</v>
      </c>
      <c r="G73" s="466">
        <v>575.9</v>
      </c>
      <c r="H73" s="463">
        <v>521.9</v>
      </c>
      <c r="I73" s="467">
        <v>755.4</v>
      </c>
      <c r="J73" s="465">
        <v>1853.2</v>
      </c>
      <c r="K73" s="468">
        <v>0.87</v>
      </c>
      <c r="L73" s="469" t="s">
        <v>4728</v>
      </c>
      <c r="M73" s="460" t="str">
        <f>VLOOKUP(B73,'Calculations (All)'!$B:$D,3,FALSE)</f>
        <v>E</v>
      </c>
    </row>
    <row r="74" spans="1:13" ht="15" thickBot="1">
      <c r="A74" s="461" t="s">
        <v>257</v>
      </c>
      <c r="B74" s="450" t="str">
        <f>VLOOKUP(A74,'Calculations (All)'!A:B,2,FALSE)</f>
        <v>Darlington</v>
      </c>
      <c r="C74" s="462">
        <v>175.5</v>
      </c>
      <c r="D74" s="463">
        <v>157.4</v>
      </c>
      <c r="E74" s="464">
        <v>109.8</v>
      </c>
      <c r="F74" s="465">
        <v>442.8</v>
      </c>
      <c r="G74" s="466">
        <v>563.6</v>
      </c>
      <c r="H74" s="463">
        <v>554.1</v>
      </c>
      <c r="I74" s="467">
        <v>574.20000000000005</v>
      </c>
      <c r="J74" s="465">
        <v>1691.9</v>
      </c>
      <c r="K74" s="468">
        <v>3.82</v>
      </c>
      <c r="L74" s="469" t="s">
        <v>4726</v>
      </c>
      <c r="M74" s="460" t="str">
        <f>VLOOKUP(B74,'Calculations (All)'!$B:$D,3,FALSE)</f>
        <v>NE</v>
      </c>
    </row>
    <row r="75" spans="1:13" ht="15" thickBot="1">
      <c r="A75" s="461" t="s">
        <v>260</v>
      </c>
      <c r="B75" s="450" t="str">
        <f>VLOOKUP(A75,'Calculations (All)'!A:B,2,FALSE)</f>
        <v>Dartford</v>
      </c>
      <c r="C75" s="462">
        <v>817.4</v>
      </c>
      <c r="D75" s="463">
        <v>729.5</v>
      </c>
      <c r="E75" s="464">
        <v>516.6</v>
      </c>
      <c r="F75" s="465">
        <v>2063.5</v>
      </c>
      <c r="G75" s="466">
        <v>1013</v>
      </c>
      <c r="H75" s="463">
        <v>543.29999999999995</v>
      </c>
      <c r="I75" s="467">
        <v>610.4</v>
      </c>
      <c r="J75" s="465">
        <v>2166.8000000000002</v>
      </c>
      <c r="K75" s="468">
        <v>1.05</v>
      </c>
      <c r="L75" s="469" t="s">
        <v>4726</v>
      </c>
      <c r="M75" s="460" t="str">
        <f>VLOOKUP(B75,'Calculations (All)'!$B:$D,3,FALSE)</f>
        <v>SE</v>
      </c>
    </row>
    <row r="76" spans="1:13" ht="15" thickBot="1">
      <c r="A76" s="461" t="s">
        <v>262</v>
      </c>
      <c r="B76" s="450" t="str">
        <f>VLOOKUP(A76,'Calculations (All)'!A:B,2,FALSE)</f>
        <v>Daventry</v>
      </c>
      <c r="C76" s="462">
        <v>696.7</v>
      </c>
      <c r="D76" s="463">
        <v>633.5</v>
      </c>
      <c r="E76" s="464">
        <v>444.2</v>
      </c>
      <c r="F76" s="465">
        <v>1774.4</v>
      </c>
      <c r="G76" s="466">
        <v>796</v>
      </c>
      <c r="H76" s="463">
        <v>549</v>
      </c>
      <c r="I76" s="467">
        <v>587</v>
      </c>
      <c r="J76" s="465">
        <v>1932</v>
      </c>
      <c r="K76" s="468">
        <v>1.0900000000000001</v>
      </c>
      <c r="L76" s="469" t="s">
        <v>4726</v>
      </c>
      <c r="M76" s="460" t="str">
        <f>VLOOKUP(B76,'Calculations (All)'!$B:$D,3,FALSE)</f>
        <v>EM</v>
      </c>
    </row>
    <row r="77" spans="1:13" ht="15" thickBot="1">
      <c r="A77" s="461" t="s">
        <v>264</v>
      </c>
      <c r="B77" s="450" t="str">
        <f>VLOOKUP(A77,'Calculations (All)'!A:B,2,FALSE)</f>
        <v>Derby</v>
      </c>
      <c r="C77" s="462">
        <v>576.4</v>
      </c>
      <c r="D77" s="463">
        <v>517.6</v>
      </c>
      <c r="E77" s="464">
        <v>375.7</v>
      </c>
      <c r="F77" s="465">
        <v>1469.7</v>
      </c>
      <c r="G77" s="466">
        <v>670.3</v>
      </c>
      <c r="H77" s="463">
        <v>670.4</v>
      </c>
      <c r="I77" s="467">
        <v>541.4</v>
      </c>
      <c r="J77" s="465">
        <v>1882.1</v>
      </c>
      <c r="K77" s="468">
        <v>1.28</v>
      </c>
      <c r="L77" s="469" t="s">
        <v>4726</v>
      </c>
      <c r="M77" s="460" t="str">
        <f>VLOOKUP(B77,'Calculations (All)'!$B:$D,3,FALSE)</f>
        <v>EM</v>
      </c>
    </row>
    <row r="78" spans="1:13" ht="15" thickBot="1">
      <c r="A78" s="461" t="s">
        <v>266</v>
      </c>
      <c r="B78" s="450" t="str">
        <f>VLOOKUP(A78,'Calculations (All)'!A:B,2,FALSE)</f>
        <v>Derbyshire Dales</v>
      </c>
      <c r="C78" s="462">
        <v>232.1</v>
      </c>
      <c r="D78" s="463">
        <v>209.6</v>
      </c>
      <c r="E78" s="464">
        <v>153.1</v>
      </c>
      <c r="F78" s="465">
        <v>594.79999999999995</v>
      </c>
      <c r="G78" s="466">
        <v>411</v>
      </c>
      <c r="H78" s="463">
        <v>435</v>
      </c>
      <c r="I78" s="467">
        <v>357</v>
      </c>
      <c r="J78" s="465">
        <v>1203</v>
      </c>
      <c r="K78" s="468">
        <v>2.02</v>
      </c>
      <c r="L78" s="469" t="s">
        <v>4726</v>
      </c>
      <c r="M78" s="460" t="str">
        <f>VLOOKUP(B78,'Calculations (All)'!$B:$D,3,FALSE)</f>
        <v>EM</v>
      </c>
    </row>
    <row r="79" spans="1:13" ht="15" thickBot="1">
      <c r="A79" s="461" t="s">
        <v>268</v>
      </c>
      <c r="B79" s="450" t="str">
        <f>VLOOKUP(A79,'Calculations (All)'!A:B,2,FALSE)</f>
        <v>Doncaster</v>
      </c>
      <c r="C79" s="462">
        <v>572.1</v>
      </c>
      <c r="D79" s="463">
        <v>503.4</v>
      </c>
      <c r="E79" s="464">
        <v>363.5</v>
      </c>
      <c r="F79" s="465">
        <v>1439</v>
      </c>
      <c r="G79" s="466">
        <v>1327</v>
      </c>
      <c r="H79" s="463">
        <v>1213</v>
      </c>
      <c r="I79" s="467">
        <v>761</v>
      </c>
      <c r="J79" s="465">
        <v>3301</v>
      </c>
      <c r="K79" s="468">
        <v>2.29</v>
      </c>
      <c r="L79" s="469" t="s">
        <v>4726</v>
      </c>
      <c r="M79" s="460" t="str">
        <f>VLOOKUP(B79,'Calculations (All)'!$B:$D,3,FALSE)</f>
        <v>YH</v>
      </c>
    </row>
    <row r="80" spans="1:13" ht="15" thickBot="1">
      <c r="A80" s="461" t="s">
        <v>272</v>
      </c>
      <c r="B80" s="450" t="str">
        <f>VLOOKUP(A80,'Calculations (All)'!A:B,2,FALSE)</f>
        <v>Dover</v>
      </c>
      <c r="C80" s="462">
        <v>597.70000000000005</v>
      </c>
      <c r="D80" s="463">
        <v>575.70000000000005</v>
      </c>
      <c r="E80" s="464">
        <v>396.8</v>
      </c>
      <c r="F80" s="465">
        <v>1570.2</v>
      </c>
      <c r="G80" s="466">
        <v>446</v>
      </c>
      <c r="H80" s="463">
        <v>442</v>
      </c>
      <c r="I80" s="467">
        <v>494.1</v>
      </c>
      <c r="J80" s="465">
        <v>1382.1</v>
      </c>
      <c r="K80" s="468">
        <v>0.88</v>
      </c>
      <c r="L80" s="469" t="s">
        <v>4728</v>
      </c>
      <c r="M80" s="460" t="str">
        <f>VLOOKUP(B80,'Calculations (All)'!$B:$D,3,FALSE)</f>
        <v>SE</v>
      </c>
    </row>
    <row r="81" spans="1:13" ht="15" thickBot="1">
      <c r="A81" s="461" t="s">
        <v>274</v>
      </c>
      <c r="B81" s="450" t="str">
        <f>VLOOKUP(A81,'Calculations (All)'!A:B,2,FALSE)</f>
        <v>Dudley</v>
      </c>
      <c r="C81" s="462">
        <v>621.1</v>
      </c>
      <c r="D81" s="463">
        <v>573.9</v>
      </c>
      <c r="E81" s="464">
        <v>423.4</v>
      </c>
      <c r="F81" s="465">
        <v>1618.4</v>
      </c>
      <c r="G81" s="466">
        <v>753</v>
      </c>
      <c r="H81" s="463">
        <v>720</v>
      </c>
      <c r="I81" s="467">
        <v>591</v>
      </c>
      <c r="J81" s="465">
        <v>2064</v>
      </c>
      <c r="K81" s="468">
        <v>1.28</v>
      </c>
      <c r="L81" s="469" t="s">
        <v>4726</v>
      </c>
      <c r="M81" s="460" t="str">
        <f>VLOOKUP(B81,'Calculations (All)'!$B:$D,3,FALSE)</f>
        <v>WM</v>
      </c>
    </row>
    <row r="82" spans="1:13" ht="15" thickBot="1">
      <c r="A82" s="461" t="s">
        <v>278</v>
      </c>
      <c r="B82" s="450" t="str">
        <f>VLOOKUP(A82,'Calculations (All)'!A:B,2,FALSE)</f>
        <v>Ealing</v>
      </c>
      <c r="C82" s="462">
        <v>1297</v>
      </c>
      <c r="D82" s="463">
        <v>1662.2</v>
      </c>
      <c r="E82" s="464">
        <v>1436</v>
      </c>
      <c r="F82" s="465">
        <v>4395.2</v>
      </c>
      <c r="G82" s="466">
        <v>1745.8</v>
      </c>
      <c r="H82" s="463">
        <v>1863</v>
      </c>
      <c r="I82" s="467">
        <v>1749.9</v>
      </c>
      <c r="J82" s="465">
        <v>5358.7</v>
      </c>
      <c r="K82" s="468">
        <v>1.22</v>
      </c>
      <c r="L82" s="469" t="s">
        <v>4726</v>
      </c>
      <c r="M82" s="460" t="str">
        <f>VLOOKUP(B82,'Calculations (All)'!$B:$D,3,FALSE)</f>
        <v>GL</v>
      </c>
    </row>
    <row r="83" spans="1:13" ht="15" thickBot="1">
      <c r="A83" s="461" t="s">
        <v>280</v>
      </c>
      <c r="B83" s="450" t="str">
        <f>VLOOKUP(A83,'Calculations (All)'!A:B,2,FALSE)</f>
        <v>East Cambridgeshire</v>
      </c>
      <c r="C83" s="462">
        <v>521.6</v>
      </c>
      <c r="D83" s="463">
        <v>493.2</v>
      </c>
      <c r="E83" s="464">
        <v>347.6</v>
      </c>
      <c r="F83" s="465">
        <v>1362.3</v>
      </c>
      <c r="G83" s="466">
        <v>384.1</v>
      </c>
      <c r="H83" s="463">
        <v>506.7</v>
      </c>
      <c r="I83" s="467">
        <v>405</v>
      </c>
      <c r="J83" s="465">
        <v>1295.8</v>
      </c>
      <c r="K83" s="468">
        <v>0.95</v>
      </c>
      <c r="L83" s="469" t="s">
        <v>4726</v>
      </c>
      <c r="M83" s="460" t="str">
        <f>VLOOKUP(B83,'Calculations (All)'!$B:$D,3,FALSE)</f>
        <v>E</v>
      </c>
    </row>
    <row r="84" spans="1:13" ht="15" thickBot="1">
      <c r="A84" s="461" t="s">
        <v>282</v>
      </c>
      <c r="B84" s="450" t="str">
        <f>VLOOKUP(A84,'Calculations (All)'!A:B,2,FALSE)</f>
        <v>East Devon</v>
      </c>
      <c r="C84" s="462">
        <v>885.1</v>
      </c>
      <c r="D84" s="463">
        <v>823.8</v>
      </c>
      <c r="E84" s="464">
        <v>617.79999999999995</v>
      </c>
      <c r="F84" s="465">
        <v>2326.6999999999998</v>
      </c>
      <c r="G84" s="466">
        <v>929</v>
      </c>
      <c r="H84" s="463">
        <v>1065</v>
      </c>
      <c r="I84" s="467">
        <v>867</v>
      </c>
      <c r="J84" s="465">
        <v>2861</v>
      </c>
      <c r="K84" s="468">
        <v>1.23</v>
      </c>
      <c r="L84" s="469" t="s">
        <v>4726</v>
      </c>
      <c r="M84" s="460" t="str">
        <f>VLOOKUP(B84,'Calculations (All)'!$B:$D,3,FALSE)</f>
        <v>SW</v>
      </c>
    </row>
    <row r="85" spans="1:13" ht="15" thickBot="1">
      <c r="A85" s="461" t="s">
        <v>284</v>
      </c>
      <c r="B85" s="450" t="str">
        <f>VLOOKUP(A85,'Calculations (All)'!A:B,2,FALSE)</f>
        <v>East Hampshire</v>
      </c>
      <c r="C85" s="462">
        <v>591.79999999999995</v>
      </c>
      <c r="D85" s="463">
        <v>557.29999999999995</v>
      </c>
      <c r="E85" s="464">
        <v>414.8</v>
      </c>
      <c r="F85" s="465">
        <v>1563.8</v>
      </c>
      <c r="G85" s="466">
        <v>956</v>
      </c>
      <c r="H85" s="463">
        <v>784.3</v>
      </c>
      <c r="I85" s="467">
        <v>412.3</v>
      </c>
      <c r="J85" s="465">
        <v>2152.6999999999998</v>
      </c>
      <c r="K85" s="468">
        <v>1.38</v>
      </c>
      <c r="L85" s="469" t="s">
        <v>4726</v>
      </c>
      <c r="M85" s="460" t="str">
        <f>VLOOKUP(B85,'Calculations (All)'!$B:$D,3,FALSE)</f>
        <v>SE</v>
      </c>
    </row>
    <row r="86" spans="1:13" ht="15" thickBot="1">
      <c r="A86" s="461" t="s">
        <v>286</v>
      </c>
      <c r="B86" s="450" t="str">
        <f>VLOOKUP(A86,'Calculations (All)'!A:B,2,FALSE)</f>
        <v>East Hertfordshire</v>
      </c>
      <c r="C86" s="462">
        <v>840.2</v>
      </c>
      <c r="D86" s="463">
        <v>769</v>
      </c>
      <c r="E86" s="464">
        <v>559.4</v>
      </c>
      <c r="F86" s="465">
        <v>2168.6</v>
      </c>
      <c r="G86" s="466">
        <v>993.7</v>
      </c>
      <c r="H86" s="463">
        <v>1001.1</v>
      </c>
      <c r="I86" s="467">
        <v>832.8</v>
      </c>
      <c r="J86" s="465">
        <v>2827.6</v>
      </c>
      <c r="K86" s="468">
        <v>1.3</v>
      </c>
      <c r="L86" s="469" t="s">
        <v>4726</v>
      </c>
      <c r="M86" s="460" t="str">
        <f>VLOOKUP(B86,'Calculations (All)'!$B:$D,3,FALSE)</f>
        <v>E</v>
      </c>
    </row>
    <row r="87" spans="1:13" ht="15" thickBot="1">
      <c r="A87" s="461" t="s">
        <v>288</v>
      </c>
      <c r="B87" s="450" t="str">
        <f>VLOOKUP(A87,'Calculations (All)'!A:B,2,FALSE)</f>
        <v>East Lindsey</v>
      </c>
      <c r="C87" s="462">
        <v>415.4</v>
      </c>
      <c r="D87" s="463">
        <v>380.8</v>
      </c>
      <c r="E87" s="464">
        <v>281.60000000000002</v>
      </c>
      <c r="F87" s="465">
        <v>1077.8</v>
      </c>
      <c r="G87" s="466">
        <v>481</v>
      </c>
      <c r="H87" s="463">
        <v>532</v>
      </c>
      <c r="I87" s="467">
        <v>454</v>
      </c>
      <c r="J87" s="465">
        <v>1467</v>
      </c>
      <c r="K87" s="468">
        <v>1.36</v>
      </c>
      <c r="L87" s="469" t="s">
        <v>4726</v>
      </c>
      <c r="M87" s="460" t="str">
        <f>VLOOKUP(B87,'Calculations (All)'!$B:$D,3,FALSE)</f>
        <v>EM</v>
      </c>
    </row>
    <row r="88" spans="1:13" ht="15" thickBot="1">
      <c r="A88" s="461" t="s">
        <v>290</v>
      </c>
      <c r="B88" s="450" t="str">
        <f>VLOOKUP(A88,'Calculations (All)'!A:B,2,FALSE)</f>
        <v>East Northamptonshire</v>
      </c>
      <c r="C88" s="462">
        <v>420</v>
      </c>
      <c r="D88" s="463">
        <v>384.4</v>
      </c>
      <c r="E88" s="464">
        <v>279.60000000000002</v>
      </c>
      <c r="F88" s="465">
        <v>1084</v>
      </c>
      <c r="G88" s="466">
        <v>473</v>
      </c>
      <c r="H88" s="463">
        <v>223</v>
      </c>
      <c r="I88" s="467">
        <v>475</v>
      </c>
      <c r="J88" s="465">
        <v>1171</v>
      </c>
      <c r="K88" s="468">
        <v>1.08</v>
      </c>
      <c r="L88" s="469" t="s">
        <v>4726</v>
      </c>
      <c r="M88" s="460" t="str">
        <f>VLOOKUP(B88,'Calculations (All)'!$B:$D,3,FALSE)</f>
        <v>EM</v>
      </c>
    </row>
    <row r="89" spans="1:13" ht="15" thickBot="1">
      <c r="A89" s="461" t="s">
        <v>292</v>
      </c>
      <c r="B89" s="450" t="str">
        <f>VLOOKUP(A89,'Calculations (All)'!A:B,2,FALSE)</f>
        <v>East Riding of Yorkshire</v>
      </c>
      <c r="C89" s="462">
        <v>953.3</v>
      </c>
      <c r="D89" s="463">
        <v>852.6</v>
      </c>
      <c r="E89" s="464">
        <v>602.20000000000005</v>
      </c>
      <c r="F89" s="465">
        <v>2408.1</v>
      </c>
      <c r="G89" s="466">
        <v>1419.8</v>
      </c>
      <c r="H89" s="463">
        <v>1241</v>
      </c>
      <c r="I89" s="467">
        <v>1503.1</v>
      </c>
      <c r="J89" s="465">
        <v>4163.8999999999996</v>
      </c>
      <c r="K89" s="468">
        <v>1.73</v>
      </c>
      <c r="L89" s="469" t="s">
        <v>4726</v>
      </c>
      <c r="M89" s="460" t="str">
        <f>VLOOKUP(B89,'Calculations (All)'!$B:$D,3,FALSE)</f>
        <v>YH</v>
      </c>
    </row>
    <row r="90" spans="1:13" ht="15" thickBot="1">
      <c r="A90" s="461" t="s">
        <v>294</v>
      </c>
      <c r="B90" s="450" t="str">
        <f>VLOOKUP(A90,'Calculations (All)'!A:B,2,FALSE)</f>
        <v>East Staffordshire</v>
      </c>
      <c r="C90" s="462">
        <v>430.3</v>
      </c>
      <c r="D90" s="463">
        <v>398.2</v>
      </c>
      <c r="E90" s="464">
        <v>286.3</v>
      </c>
      <c r="F90" s="465">
        <v>1114.7</v>
      </c>
      <c r="G90" s="466">
        <v>792.4</v>
      </c>
      <c r="H90" s="463">
        <v>754.1</v>
      </c>
      <c r="I90" s="467">
        <v>694.6</v>
      </c>
      <c r="J90" s="465">
        <v>2241.1</v>
      </c>
      <c r="K90" s="468">
        <v>2.0099999999999998</v>
      </c>
      <c r="L90" s="469" t="s">
        <v>4726</v>
      </c>
      <c r="M90" s="460" t="str">
        <f>VLOOKUP(B90,'Calculations (All)'!$B:$D,3,FALSE)</f>
        <v>WM</v>
      </c>
    </row>
    <row r="91" spans="1:13" ht="15" thickBot="1">
      <c r="A91" s="461" t="s">
        <v>298</v>
      </c>
      <c r="B91" s="450" t="str">
        <f>VLOOKUP(A91,'Calculations (All)'!A:B,2,FALSE)</f>
        <v>Eastbourne</v>
      </c>
      <c r="C91" s="462">
        <v>690.8</v>
      </c>
      <c r="D91" s="463">
        <v>611.4</v>
      </c>
      <c r="E91" s="464">
        <v>449.4</v>
      </c>
      <c r="F91" s="465">
        <v>1751.6</v>
      </c>
      <c r="G91" s="466">
        <v>130</v>
      </c>
      <c r="H91" s="463">
        <v>200</v>
      </c>
      <c r="I91" s="467">
        <v>230</v>
      </c>
      <c r="J91" s="465">
        <v>560</v>
      </c>
      <c r="K91" s="468">
        <v>0.32</v>
      </c>
      <c r="L91" s="469" t="s">
        <v>4714</v>
      </c>
      <c r="M91" s="460" t="str">
        <f>VLOOKUP(B91,'Calculations (All)'!$B:$D,3,FALSE)</f>
        <v>SE</v>
      </c>
    </row>
    <row r="92" spans="1:13" ht="15" thickBot="1">
      <c r="A92" s="461" t="s">
        <v>300</v>
      </c>
      <c r="B92" s="450" t="str">
        <f>VLOOKUP(A92,'Calculations (All)'!A:B,2,FALSE)</f>
        <v>Eastleigh</v>
      </c>
      <c r="C92" s="462">
        <v>706.3</v>
      </c>
      <c r="D92" s="463">
        <v>658.1</v>
      </c>
      <c r="E92" s="464">
        <v>462</v>
      </c>
      <c r="F92" s="465">
        <v>1826.4</v>
      </c>
      <c r="G92" s="466">
        <v>1162</v>
      </c>
      <c r="H92" s="463">
        <v>1223</v>
      </c>
      <c r="I92" s="467">
        <v>864.9</v>
      </c>
      <c r="J92" s="465">
        <v>3249.9</v>
      </c>
      <c r="K92" s="468">
        <v>1.78</v>
      </c>
      <c r="L92" s="469" t="s">
        <v>4726</v>
      </c>
      <c r="M92" s="460" t="str">
        <f>VLOOKUP(B92,'Calculations (All)'!$B:$D,3,FALSE)</f>
        <v>SE</v>
      </c>
    </row>
    <row r="93" spans="1:13" ht="15" thickBot="1">
      <c r="A93" s="461" t="s">
        <v>302</v>
      </c>
      <c r="B93" s="450" t="str">
        <f>VLOOKUP(A93,'Calculations (All)'!A:B,2,FALSE)</f>
        <v>Eden</v>
      </c>
      <c r="C93" s="462">
        <v>99.5</v>
      </c>
      <c r="D93" s="463">
        <v>92.4</v>
      </c>
      <c r="E93" s="464">
        <v>63.2</v>
      </c>
      <c r="F93" s="465">
        <v>255.2</v>
      </c>
      <c r="G93" s="466">
        <v>308</v>
      </c>
      <c r="H93" s="463">
        <v>364</v>
      </c>
      <c r="I93" s="467">
        <v>265</v>
      </c>
      <c r="J93" s="465">
        <v>937</v>
      </c>
      <c r="K93" s="468">
        <v>3.67</v>
      </c>
      <c r="L93" s="469" t="s">
        <v>4726</v>
      </c>
      <c r="M93" s="460" t="str">
        <f>VLOOKUP(B93,'Calculations (All)'!$B:$D,3,FALSE)</f>
        <v>NW</v>
      </c>
    </row>
    <row r="94" spans="1:13" ht="15" thickBot="1">
      <c r="A94" s="461" t="s">
        <v>304</v>
      </c>
      <c r="B94" s="450" t="str">
        <f>VLOOKUP(A94,'Calculations (All)'!A:B,2,FALSE)</f>
        <v>Elmbridge</v>
      </c>
      <c r="C94" s="462">
        <v>623.1</v>
      </c>
      <c r="D94" s="463">
        <v>573</v>
      </c>
      <c r="E94" s="464">
        <v>421.4</v>
      </c>
      <c r="F94" s="465">
        <v>1617.5</v>
      </c>
      <c r="G94" s="466">
        <v>427</v>
      </c>
      <c r="H94" s="463">
        <v>396</v>
      </c>
      <c r="I94" s="467">
        <v>310</v>
      </c>
      <c r="J94" s="465">
        <v>1133</v>
      </c>
      <c r="K94" s="468">
        <v>0.7</v>
      </c>
      <c r="L94" s="469" t="s">
        <v>4714</v>
      </c>
      <c r="M94" s="460" t="str">
        <f>VLOOKUP(B94,'Calculations (All)'!$B:$D,3,FALSE)</f>
        <v>SE</v>
      </c>
    </row>
    <row r="95" spans="1:13" ht="15" thickBot="1">
      <c r="A95" s="461" t="s">
        <v>306</v>
      </c>
      <c r="B95" s="450" t="str">
        <f>VLOOKUP(A95,'Calculations (All)'!A:B,2,FALSE)</f>
        <v>Enfield</v>
      </c>
      <c r="C95" s="462">
        <v>798</v>
      </c>
      <c r="D95" s="463">
        <v>1022.4</v>
      </c>
      <c r="E95" s="464">
        <v>829.5</v>
      </c>
      <c r="F95" s="465">
        <v>2649.9</v>
      </c>
      <c r="G95" s="466">
        <v>495.6</v>
      </c>
      <c r="H95" s="463">
        <v>428.9</v>
      </c>
      <c r="I95" s="467">
        <v>852.6</v>
      </c>
      <c r="J95" s="465">
        <v>1777</v>
      </c>
      <c r="K95" s="468">
        <v>0.67</v>
      </c>
      <c r="L95" s="469" t="s">
        <v>4714</v>
      </c>
      <c r="M95" s="460" t="str">
        <f>VLOOKUP(B95,'Calculations (All)'!$B:$D,3,FALSE)</f>
        <v>GL</v>
      </c>
    </row>
    <row r="96" spans="1:13" ht="15" thickBot="1">
      <c r="A96" s="461" t="s">
        <v>308</v>
      </c>
      <c r="B96" s="450" t="str">
        <f>VLOOKUP(A96,'Calculations (All)'!A:B,2,FALSE)</f>
        <v>Epping Forest</v>
      </c>
      <c r="C96" s="462">
        <v>937.2</v>
      </c>
      <c r="D96" s="463">
        <v>864</v>
      </c>
      <c r="E96" s="464">
        <v>634.5</v>
      </c>
      <c r="F96" s="465">
        <v>2435.6999999999998</v>
      </c>
      <c r="G96" s="466">
        <v>426</v>
      </c>
      <c r="H96" s="463">
        <v>223</v>
      </c>
      <c r="I96" s="467">
        <v>198</v>
      </c>
      <c r="J96" s="465">
        <v>847</v>
      </c>
      <c r="K96" s="468">
        <v>0.35</v>
      </c>
      <c r="L96" s="469" t="s">
        <v>4714</v>
      </c>
      <c r="M96" s="460" t="str">
        <f>VLOOKUP(B96,'Calculations (All)'!$B:$D,3,FALSE)</f>
        <v>E</v>
      </c>
    </row>
    <row r="97" spans="1:13" ht="15" thickBot="1">
      <c r="A97" s="461" t="s">
        <v>310</v>
      </c>
      <c r="B97" s="450" t="str">
        <f>VLOOKUP(A97,'Calculations (All)'!A:B,2,FALSE)</f>
        <v>Epsom and Ewell</v>
      </c>
      <c r="C97" s="462">
        <v>577.20000000000005</v>
      </c>
      <c r="D97" s="463">
        <v>529</v>
      </c>
      <c r="E97" s="464">
        <v>384.1</v>
      </c>
      <c r="F97" s="465">
        <v>1490.4</v>
      </c>
      <c r="G97" s="466">
        <v>165</v>
      </c>
      <c r="H97" s="463">
        <v>185</v>
      </c>
      <c r="I97" s="467">
        <v>168.6</v>
      </c>
      <c r="J97" s="465">
        <v>518.6</v>
      </c>
      <c r="K97" s="468">
        <v>0.35</v>
      </c>
      <c r="L97" s="469" t="s">
        <v>4714</v>
      </c>
      <c r="M97" s="460" t="str">
        <f>VLOOKUP(B97,'Calculations (All)'!$B:$D,3,FALSE)</f>
        <v>SE</v>
      </c>
    </row>
    <row r="98" spans="1:13" ht="15" thickBot="1">
      <c r="A98" s="461" t="s">
        <v>312</v>
      </c>
      <c r="B98" s="450" t="str">
        <f>VLOOKUP(A98,'Calculations (All)'!A:B,2,FALSE)</f>
        <v>Erewash</v>
      </c>
      <c r="C98" s="462">
        <v>369.2</v>
      </c>
      <c r="D98" s="463">
        <v>359.7</v>
      </c>
      <c r="E98" s="464">
        <v>261</v>
      </c>
      <c r="F98" s="465">
        <v>989.9</v>
      </c>
      <c r="G98" s="466">
        <v>332.7</v>
      </c>
      <c r="H98" s="463">
        <v>246</v>
      </c>
      <c r="I98" s="467">
        <v>203</v>
      </c>
      <c r="J98" s="465">
        <v>781.7</v>
      </c>
      <c r="K98" s="468">
        <v>0.79</v>
      </c>
      <c r="L98" s="469" t="s">
        <v>4713</v>
      </c>
      <c r="M98" s="460" t="str">
        <f>VLOOKUP(B98,'Calculations (All)'!$B:$D,3,FALSE)</f>
        <v>EM</v>
      </c>
    </row>
    <row r="99" spans="1:13" ht="15" thickBot="1">
      <c r="A99" s="461" t="s">
        <v>314</v>
      </c>
      <c r="B99" s="450" t="str">
        <f>VLOOKUP(A99,'Calculations (All)'!A:B,2,FALSE)</f>
        <v>Exeter</v>
      </c>
      <c r="C99" s="462">
        <v>636.29999999999995</v>
      </c>
      <c r="D99" s="463">
        <v>584</v>
      </c>
      <c r="E99" s="464">
        <v>416.1</v>
      </c>
      <c r="F99" s="465">
        <v>1636.3</v>
      </c>
      <c r="G99" s="466">
        <v>795.9</v>
      </c>
      <c r="H99" s="463">
        <v>1111.4000000000001</v>
      </c>
      <c r="I99" s="467">
        <v>628.79999999999995</v>
      </c>
      <c r="J99" s="465">
        <v>2536.1999999999998</v>
      </c>
      <c r="K99" s="468">
        <v>1.55</v>
      </c>
      <c r="L99" s="469" t="s">
        <v>4726</v>
      </c>
      <c r="M99" s="460" t="str">
        <f>VLOOKUP(B99,'Calculations (All)'!$B:$D,3,FALSE)</f>
        <v>SW</v>
      </c>
    </row>
    <row r="100" spans="1:13" ht="15" thickBot="1">
      <c r="A100" s="461" t="s">
        <v>316</v>
      </c>
      <c r="B100" s="450" t="str">
        <f>VLOOKUP(A100,'Calculations (All)'!A:B,2,FALSE)</f>
        <v>Fareham</v>
      </c>
      <c r="C100" s="462">
        <v>347.2</v>
      </c>
      <c r="D100" s="463">
        <v>427.6</v>
      </c>
      <c r="E100" s="464">
        <v>342.2</v>
      </c>
      <c r="F100" s="465">
        <v>1117</v>
      </c>
      <c r="G100" s="466">
        <v>290</v>
      </c>
      <c r="H100" s="463">
        <v>285</v>
      </c>
      <c r="I100" s="467">
        <v>117</v>
      </c>
      <c r="J100" s="465">
        <v>692</v>
      </c>
      <c r="K100" s="468">
        <v>0.62</v>
      </c>
      <c r="L100" s="469" t="s">
        <v>4714</v>
      </c>
      <c r="M100" s="460" t="str">
        <f>VLOOKUP(B100,'Calculations (All)'!$B:$D,3,FALSE)</f>
        <v>SE</v>
      </c>
    </row>
    <row r="101" spans="1:13" ht="15" thickBot="1">
      <c r="A101" s="461" t="s">
        <v>318</v>
      </c>
      <c r="B101" s="450" t="str">
        <f>VLOOKUP(A101,'Calculations (All)'!A:B,2,FALSE)</f>
        <v>Fenland</v>
      </c>
      <c r="C101" s="462">
        <v>521.29999999999995</v>
      </c>
      <c r="D101" s="463">
        <v>503.4</v>
      </c>
      <c r="E101" s="464">
        <v>358.2</v>
      </c>
      <c r="F101" s="465">
        <v>1382.9</v>
      </c>
      <c r="G101" s="466">
        <v>403.4</v>
      </c>
      <c r="H101" s="463">
        <v>559.9</v>
      </c>
      <c r="I101" s="467">
        <v>357.1</v>
      </c>
      <c r="J101" s="465">
        <v>1320.4</v>
      </c>
      <c r="K101" s="468">
        <v>0.95</v>
      </c>
      <c r="L101" s="469" t="s">
        <v>4726</v>
      </c>
      <c r="M101" s="460" t="str">
        <f>VLOOKUP(B101,'Calculations (All)'!$B:$D,3,FALSE)</f>
        <v>E</v>
      </c>
    </row>
    <row r="102" spans="1:13" ht="15" thickBot="1">
      <c r="A102" s="461" t="s">
        <v>320</v>
      </c>
      <c r="B102" s="450" t="str">
        <f>VLOOKUP(A102,'Calculations (All)'!A:B,2,FALSE)</f>
        <v>Folkestone and Hythe</v>
      </c>
      <c r="C102" s="462">
        <v>448.4</v>
      </c>
      <c r="D102" s="463">
        <v>674.6</v>
      </c>
      <c r="E102" s="464">
        <v>500.6</v>
      </c>
      <c r="F102" s="465">
        <v>1623.6</v>
      </c>
      <c r="G102" s="466">
        <v>432.1</v>
      </c>
      <c r="H102" s="463">
        <v>462</v>
      </c>
      <c r="I102" s="467">
        <v>489</v>
      </c>
      <c r="J102" s="465">
        <v>1383.1</v>
      </c>
      <c r="K102" s="468">
        <v>0.85</v>
      </c>
      <c r="L102" s="469" t="s">
        <v>4728</v>
      </c>
      <c r="M102" s="460" t="str">
        <f>VLOOKUP(B102,'Calculations (All)'!$B:$D,3,FALSE)</f>
        <v>SE</v>
      </c>
    </row>
    <row r="103" spans="1:13" ht="15" thickBot="1">
      <c r="A103" s="461" t="s">
        <v>322</v>
      </c>
      <c r="B103" s="450" t="str">
        <f>VLOOKUP(A103,'Calculations (All)'!A:B,2,FALSE)</f>
        <v>Forest of Dean</v>
      </c>
      <c r="C103" s="462">
        <v>330</v>
      </c>
      <c r="D103" s="463">
        <v>302</v>
      </c>
      <c r="E103" s="464">
        <v>219.7</v>
      </c>
      <c r="F103" s="465">
        <v>851.7</v>
      </c>
      <c r="G103" s="466">
        <v>270</v>
      </c>
      <c r="H103" s="463">
        <v>336</v>
      </c>
      <c r="I103" s="467">
        <v>358</v>
      </c>
      <c r="J103" s="465">
        <v>964</v>
      </c>
      <c r="K103" s="468">
        <v>1.1299999999999999</v>
      </c>
      <c r="L103" s="469" t="s">
        <v>4726</v>
      </c>
      <c r="M103" s="460" t="str">
        <f>VLOOKUP(B103,'Calculations (All)'!$B:$D,3,FALSE)</f>
        <v>SW</v>
      </c>
    </row>
    <row r="104" spans="1:13" ht="15" thickBot="1">
      <c r="A104" s="461" t="s">
        <v>324</v>
      </c>
      <c r="B104" s="450" t="str">
        <f>VLOOKUP(A104,'Calculations (All)'!A:B,2,FALSE)</f>
        <v>Fylde</v>
      </c>
      <c r="C104" s="462">
        <v>286.60000000000002</v>
      </c>
      <c r="D104" s="463">
        <v>251.7</v>
      </c>
      <c r="E104" s="464">
        <v>181.1</v>
      </c>
      <c r="F104" s="465">
        <v>719.4</v>
      </c>
      <c r="G104" s="466">
        <v>471.1</v>
      </c>
      <c r="H104" s="463">
        <v>634</v>
      </c>
      <c r="I104" s="467">
        <v>292</v>
      </c>
      <c r="J104" s="465">
        <v>1397.1</v>
      </c>
      <c r="K104" s="468">
        <v>1.94</v>
      </c>
      <c r="L104" s="469" t="s">
        <v>4726</v>
      </c>
      <c r="M104" s="460" t="str">
        <f>VLOOKUP(B104,'Calculations (All)'!$B:$D,3,FALSE)</f>
        <v>NW</v>
      </c>
    </row>
    <row r="105" spans="1:13" ht="15" thickBot="1">
      <c r="A105" s="461" t="s">
        <v>326</v>
      </c>
      <c r="B105" s="450" t="str">
        <f>VLOOKUP(A105,'Calculations (All)'!A:B,2,FALSE)</f>
        <v>Gateshead</v>
      </c>
      <c r="C105" s="462">
        <v>455</v>
      </c>
      <c r="D105" s="463">
        <v>411</v>
      </c>
      <c r="E105" s="464">
        <v>296.3</v>
      </c>
      <c r="F105" s="465">
        <v>1162.3</v>
      </c>
      <c r="G105" s="466">
        <v>359</v>
      </c>
      <c r="H105" s="463">
        <v>299.3</v>
      </c>
      <c r="I105" s="467">
        <v>356.4</v>
      </c>
      <c r="J105" s="465">
        <v>1014.8</v>
      </c>
      <c r="K105" s="468">
        <v>0.87</v>
      </c>
      <c r="L105" s="469" t="s">
        <v>4728</v>
      </c>
      <c r="M105" s="460" t="str">
        <f>VLOOKUP(B105,'Calculations (All)'!$B:$D,3,FALSE)</f>
        <v>NE</v>
      </c>
    </row>
    <row r="106" spans="1:13" ht="15" thickBot="1">
      <c r="A106" s="461" t="s">
        <v>328</v>
      </c>
      <c r="B106" s="450" t="str">
        <f>VLOOKUP(A106,'Calculations (All)'!A:B,2,FALSE)</f>
        <v>Gedling</v>
      </c>
      <c r="C106" s="462">
        <v>443</v>
      </c>
      <c r="D106" s="463">
        <v>399.1</v>
      </c>
      <c r="E106" s="464">
        <v>304.89999999999998</v>
      </c>
      <c r="F106" s="465">
        <v>1147</v>
      </c>
      <c r="G106" s="466">
        <v>286</v>
      </c>
      <c r="H106" s="463">
        <v>345.6</v>
      </c>
      <c r="I106" s="467">
        <v>346.7</v>
      </c>
      <c r="J106" s="465">
        <v>978.2</v>
      </c>
      <c r="K106" s="468">
        <v>0.85</v>
      </c>
      <c r="L106" s="469" t="s">
        <v>4728</v>
      </c>
      <c r="M106" s="460" t="str">
        <f>VLOOKUP(B106,'Calculations (All)'!$B:$D,3,FALSE)</f>
        <v>EM</v>
      </c>
    </row>
    <row r="107" spans="1:13" ht="15" thickBot="1">
      <c r="A107" s="461" t="s">
        <v>330</v>
      </c>
      <c r="B107" s="450" t="str">
        <f>VLOOKUP(A107,'Calculations (All)'!A:B,2,FALSE)</f>
        <v>Gloucester</v>
      </c>
      <c r="C107" s="462">
        <v>407</v>
      </c>
      <c r="D107" s="463">
        <v>376</v>
      </c>
      <c r="E107" s="464">
        <v>275.2</v>
      </c>
      <c r="F107" s="465">
        <v>1058.2</v>
      </c>
      <c r="G107" s="466">
        <v>662</v>
      </c>
      <c r="H107" s="463">
        <v>467</v>
      </c>
      <c r="I107" s="467">
        <v>610</v>
      </c>
      <c r="J107" s="465">
        <v>1739</v>
      </c>
      <c r="K107" s="468">
        <v>1.64</v>
      </c>
      <c r="L107" s="469" t="s">
        <v>4726</v>
      </c>
      <c r="M107" s="460" t="str">
        <f>VLOOKUP(B107,'Calculations (All)'!$B:$D,3,FALSE)</f>
        <v>SW</v>
      </c>
    </row>
    <row r="108" spans="1:13" ht="15" thickBot="1">
      <c r="A108" s="461" t="s">
        <v>332</v>
      </c>
      <c r="B108" s="450" t="str">
        <f>VLOOKUP(A108,'Calculations (All)'!A:B,2,FALSE)</f>
        <v>Gosport</v>
      </c>
      <c r="C108" s="462">
        <v>170</v>
      </c>
      <c r="D108" s="463">
        <v>155.6</v>
      </c>
      <c r="E108" s="464">
        <v>144.69999999999999</v>
      </c>
      <c r="F108" s="465">
        <v>470.3</v>
      </c>
      <c r="G108" s="466">
        <v>58.3</v>
      </c>
      <c r="H108" s="463">
        <v>135</v>
      </c>
      <c r="I108" s="467">
        <v>278</v>
      </c>
      <c r="J108" s="465">
        <v>471.3</v>
      </c>
      <c r="K108" s="468">
        <v>1</v>
      </c>
      <c r="L108" s="469" t="s">
        <v>4726</v>
      </c>
      <c r="M108" s="460" t="str">
        <f>VLOOKUP(B108,'Calculations (All)'!$B:$D,3,FALSE)</f>
        <v>SE</v>
      </c>
    </row>
    <row r="109" spans="1:13" ht="15" thickBot="1">
      <c r="A109" s="461" t="s">
        <v>334</v>
      </c>
      <c r="B109" s="450" t="str">
        <f>VLOOKUP(A109,'Calculations (All)'!A:B,2,FALSE)</f>
        <v>Gravesham</v>
      </c>
      <c r="C109" s="462">
        <v>325</v>
      </c>
      <c r="D109" s="463">
        <v>392.9</v>
      </c>
      <c r="E109" s="464">
        <v>436.1</v>
      </c>
      <c r="F109" s="465">
        <v>1153.9000000000001</v>
      </c>
      <c r="G109" s="466">
        <v>292</v>
      </c>
      <c r="H109" s="463">
        <v>164</v>
      </c>
      <c r="I109" s="467">
        <v>205</v>
      </c>
      <c r="J109" s="465">
        <v>661</v>
      </c>
      <c r="K109" s="468">
        <v>0.56999999999999995</v>
      </c>
      <c r="L109" s="469" t="s">
        <v>4714</v>
      </c>
      <c r="M109" s="460" t="str">
        <f>VLOOKUP(B109,'Calculations (All)'!$B:$D,3,FALSE)</f>
        <v>SE</v>
      </c>
    </row>
    <row r="110" spans="1:13" ht="15" thickBot="1">
      <c r="A110" s="461" t="s">
        <v>336</v>
      </c>
      <c r="B110" s="450" t="str">
        <f>VLOOKUP(A110,'Calculations (All)'!A:B,2,FALSE)</f>
        <v>Great Yarmouth</v>
      </c>
      <c r="C110" s="462">
        <v>300.60000000000002</v>
      </c>
      <c r="D110" s="463">
        <v>275.10000000000002</v>
      </c>
      <c r="E110" s="464">
        <v>237.7</v>
      </c>
      <c r="F110" s="465">
        <v>813.4</v>
      </c>
      <c r="G110" s="466">
        <v>328</v>
      </c>
      <c r="H110" s="463">
        <v>379</v>
      </c>
      <c r="I110" s="467">
        <v>436</v>
      </c>
      <c r="J110" s="465">
        <v>1143</v>
      </c>
      <c r="K110" s="468">
        <v>1.41</v>
      </c>
      <c r="L110" s="469" t="s">
        <v>4726</v>
      </c>
      <c r="M110" s="460" t="str">
        <f>VLOOKUP(B110,'Calculations (All)'!$B:$D,3,FALSE)</f>
        <v>E</v>
      </c>
    </row>
    <row r="111" spans="1:13" ht="15" thickBot="1">
      <c r="A111" s="461" t="s">
        <v>338</v>
      </c>
      <c r="B111" s="450" t="str">
        <f>VLOOKUP(A111,'Calculations (All)'!A:B,2,FALSE)</f>
        <v>Greenwich</v>
      </c>
      <c r="C111" s="462">
        <v>2595</v>
      </c>
      <c r="D111" s="463">
        <v>2509.6999999999998</v>
      </c>
      <c r="E111" s="464">
        <v>1880.1</v>
      </c>
      <c r="F111" s="465">
        <v>6984.8</v>
      </c>
      <c r="G111" s="466">
        <v>1477.3</v>
      </c>
      <c r="H111" s="463">
        <v>3054.8</v>
      </c>
      <c r="I111" s="467">
        <v>1042</v>
      </c>
      <c r="J111" s="465">
        <v>5574.1</v>
      </c>
      <c r="K111" s="468">
        <v>0.8</v>
      </c>
      <c r="L111" s="469" t="s">
        <v>4713</v>
      </c>
      <c r="M111" s="460" t="str">
        <f>VLOOKUP(B111,'Calculations (All)'!$B:$D,3,FALSE)</f>
        <v>GL</v>
      </c>
    </row>
    <row r="112" spans="1:13" ht="15" thickBot="1">
      <c r="A112" s="461" t="s">
        <v>340</v>
      </c>
      <c r="B112" s="450" t="str">
        <f>VLOOKUP(A112,'Calculations (All)'!A:B,2,FALSE)</f>
        <v>Guildford</v>
      </c>
      <c r="C112" s="462">
        <v>562.5</v>
      </c>
      <c r="D112" s="463">
        <v>514.79999999999995</v>
      </c>
      <c r="E112" s="464">
        <v>374.5</v>
      </c>
      <c r="F112" s="465">
        <v>1451.8</v>
      </c>
      <c r="G112" s="466">
        <v>542.79999999999995</v>
      </c>
      <c r="H112" s="463">
        <v>621.6</v>
      </c>
      <c r="I112" s="467">
        <v>922.6</v>
      </c>
      <c r="J112" s="465">
        <v>2087</v>
      </c>
      <c r="K112" s="468">
        <v>1.44</v>
      </c>
      <c r="L112" s="469" t="s">
        <v>4726</v>
      </c>
      <c r="M112" s="460" t="str">
        <f>VLOOKUP(B112,'Calculations (All)'!$B:$D,3,FALSE)</f>
        <v>SE</v>
      </c>
    </row>
    <row r="113" spans="1:13" ht="15" thickBot="1">
      <c r="A113" s="461" t="s">
        <v>342</v>
      </c>
      <c r="B113" s="450" t="str">
        <f>VLOOKUP(A113,'Calculations (All)'!A:B,2,FALSE)</f>
        <v>Hackney</v>
      </c>
      <c r="C113" s="462">
        <v>1330.5</v>
      </c>
      <c r="D113" s="463">
        <v>1217.8</v>
      </c>
      <c r="E113" s="464">
        <v>885.8</v>
      </c>
      <c r="F113" s="465">
        <v>3434.2</v>
      </c>
      <c r="G113" s="466">
        <v>1707.6</v>
      </c>
      <c r="H113" s="463">
        <v>729.4</v>
      </c>
      <c r="I113" s="467">
        <v>863.6</v>
      </c>
      <c r="J113" s="465">
        <v>3300.6</v>
      </c>
      <c r="K113" s="468">
        <v>0.96</v>
      </c>
      <c r="L113" s="469" t="s">
        <v>4726</v>
      </c>
      <c r="M113" s="460" t="str">
        <f>VLOOKUP(B113,'Calculations (All)'!$B:$D,3,FALSE)</f>
        <v>GL</v>
      </c>
    </row>
    <row r="114" spans="1:13" ht="15" thickBot="1">
      <c r="A114" s="461" t="s">
        <v>344</v>
      </c>
      <c r="B114" s="450" t="str">
        <f>VLOOKUP(A114,'Calculations (All)'!A:B,2,FALSE)</f>
        <v>Halton</v>
      </c>
      <c r="C114" s="462">
        <v>264</v>
      </c>
      <c r="D114" s="463">
        <v>232.5</v>
      </c>
      <c r="E114" s="464">
        <v>163.80000000000001</v>
      </c>
      <c r="F114" s="465">
        <v>660.3</v>
      </c>
      <c r="G114" s="466">
        <v>597</v>
      </c>
      <c r="H114" s="463">
        <v>601</v>
      </c>
      <c r="I114" s="467">
        <v>97</v>
      </c>
      <c r="J114" s="465">
        <v>1295</v>
      </c>
      <c r="K114" s="468">
        <v>1.96</v>
      </c>
      <c r="L114" s="469" t="s">
        <v>4726</v>
      </c>
      <c r="M114" s="460" t="str">
        <f>VLOOKUP(B114,'Calculations (All)'!$B:$D,3,FALSE)</f>
        <v>NW</v>
      </c>
    </row>
    <row r="115" spans="1:13" ht="15" thickBot="1">
      <c r="A115" s="461" t="s">
        <v>346</v>
      </c>
      <c r="B115" s="450" t="str">
        <f>VLOOKUP(A115,'Calculations (All)'!A:B,2,FALSE)</f>
        <v>Hambleton</v>
      </c>
      <c r="C115" s="462">
        <v>221.4</v>
      </c>
      <c r="D115" s="463">
        <v>188.6</v>
      </c>
      <c r="E115" s="464">
        <v>130.5</v>
      </c>
      <c r="F115" s="465">
        <v>540.4</v>
      </c>
      <c r="G115" s="466">
        <v>473</v>
      </c>
      <c r="H115" s="463">
        <v>658</v>
      </c>
      <c r="I115" s="467">
        <v>594</v>
      </c>
      <c r="J115" s="465">
        <v>1725</v>
      </c>
      <c r="K115" s="468">
        <v>3.19</v>
      </c>
      <c r="L115" s="469" t="s">
        <v>4726</v>
      </c>
      <c r="M115" s="460" t="str">
        <f>VLOOKUP(B115,'Calculations (All)'!$B:$D,3,FALSE)</f>
        <v>YH</v>
      </c>
    </row>
    <row r="116" spans="1:13" ht="15" thickBot="1">
      <c r="A116" s="461" t="s">
        <v>348</v>
      </c>
      <c r="B116" s="450" t="str">
        <f>VLOOKUP(A116,'Calculations (All)'!A:B,2,FALSE)</f>
        <v>Hammersmith and Fulham</v>
      </c>
      <c r="C116" s="462">
        <v>1377</v>
      </c>
      <c r="D116" s="463">
        <v>1186.2</v>
      </c>
      <c r="E116" s="464">
        <v>855.9</v>
      </c>
      <c r="F116" s="465">
        <v>3419.1</v>
      </c>
      <c r="G116" s="466">
        <v>1046</v>
      </c>
      <c r="H116" s="463">
        <v>1149</v>
      </c>
      <c r="I116" s="467">
        <v>1421</v>
      </c>
      <c r="J116" s="465">
        <v>3616</v>
      </c>
      <c r="K116" s="468">
        <v>1.06</v>
      </c>
      <c r="L116" s="469" t="s">
        <v>4726</v>
      </c>
      <c r="M116" s="460" t="str">
        <f>VLOOKUP(B116,'Calculations (All)'!$B:$D,3,FALSE)</f>
        <v>GL</v>
      </c>
    </row>
    <row r="117" spans="1:13" ht="15" thickBot="1">
      <c r="A117" s="461" t="s">
        <v>350</v>
      </c>
      <c r="B117" s="450" t="str">
        <f>VLOOKUP(A117,'Calculations (All)'!A:B,2,FALSE)</f>
        <v>Harborough</v>
      </c>
      <c r="C117" s="462">
        <v>542</v>
      </c>
      <c r="D117" s="463">
        <v>496.1</v>
      </c>
      <c r="E117" s="464">
        <v>366.2</v>
      </c>
      <c r="F117" s="465">
        <v>1404.3</v>
      </c>
      <c r="G117" s="466">
        <v>729</v>
      </c>
      <c r="H117" s="463">
        <v>938.2</v>
      </c>
      <c r="I117" s="467">
        <v>1010.5</v>
      </c>
      <c r="J117" s="465">
        <v>2677.7</v>
      </c>
      <c r="K117" s="468">
        <v>1.91</v>
      </c>
      <c r="L117" s="469" t="s">
        <v>4726</v>
      </c>
      <c r="M117" s="460" t="str">
        <f>VLOOKUP(B117,'Calculations (All)'!$B:$D,3,FALSE)</f>
        <v>EM</v>
      </c>
    </row>
    <row r="118" spans="1:13" ht="15" thickBot="1">
      <c r="A118" s="461" t="s">
        <v>352</v>
      </c>
      <c r="B118" s="450" t="str">
        <f>VLOOKUP(A118,'Calculations (All)'!A:B,2,FALSE)</f>
        <v>Haringey</v>
      </c>
      <c r="C118" s="462">
        <v>1502</v>
      </c>
      <c r="D118" s="463">
        <v>1374.8</v>
      </c>
      <c r="E118" s="464">
        <v>1000</v>
      </c>
      <c r="F118" s="465">
        <v>3876.7</v>
      </c>
      <c r="G118" s="466">
        <v>578</v>
      </c>
      <c r="H118" s="463">
        <v>866.7</v>
      </c>
      <c r="I118" s="467">
        <v>1457.6</v>
      </c>
      <c r="J118" s="465">
        <v>2902.3</v>
      </c>
      <c r="K118" s="468">
        <v>0.75</v>
      </c>
      <c r="L118" s="469" t="s">
        <v>4713</v>
      </c>
      <c r="M118" s="460" t="str">
        <f>VLOOKUP(B118,'Calculations (All)'!$B:$D,3,FALSE)</f>
        <v>GL</v>
      </c>
    </row>
    <row r="119" spans="1:13" ht="15" thickBot="1">
      <c r="A119" s="461" t="s">
        <v>354</v>
      </c>
      <c r="B119" s="450" t="str">
        <f>VLOOKUP(A119,'Calculations (All)'!A:B,2,FALSE)</f>
        <v>Harlow</v>
      </c>
      <c r="C119" s="462">
        <v>361.4</v>
      </c>
      <c r="D119" s="463">
        <v>330.8</v>
      </c>
      <c r="E119" s="464">
        <v>240.6</v>
      </c>
      <c r="F119" s="465">
        <v>932.8</v>
      </c>
      <c r="G119" s="466">
        <v>676</v>
      </c>
      <c r="H119" s="463">
        <v>725</v>
      </c>
      <c r="I119" s="467">
        <v>535</v>
      </c>
      <c r="J119" s="465">
        <v>1936</v>
      </c>
      <c r="K119" s="468">
        <v>2.08</v>
      </c>
      <c r="L119" s="469" t="s">
        <v>4726</v>
      </c>
      <c r="M119" s="460" t="str">
        <f>VLOOKUP(B119,'Calculations (All)'!$B:$D,3,FALSE)</f>
        <v>E</v>
      </c>
    </row>
    <row r="120" spans="1:13" ht="15" thickBot="1">
      <c r="A120" s="461" t="s">
        <v>356</v>
      </c>
      <c r="B120" s="450" t="str">
        <f>VLOOKUP(A120,'Calculations (All)'!A:B,2,FALSE)</f>
        <v>Harrogate</v>
      </c>
      <c r="C120" s="462">
        <v>389.9</v>
      </c>
      <c r="D120" s="463">
        <v>354.2</v>
      </c>
      <c r="E120" s="464">
        <v>242.3</v>
      </c>
      <c r="F120" s="465">
        <v>986.5</v>
      </c>
      <c r="G120" s="466">
        <v>729.8</v>
      </c>
      <c r="H120" s="463">
        <v>1013.9</v>
      </c>
      <c r="I120" s="467">
        <v>884</v>
      </c>
      <c r="J120" s="465">
        <v>2627.7</v>
      </c>
      <c r="K120" s="468">
        <v>2.66</v>
      </c>
      <c r="L120" s="469" t="s">
        <v>4726</v>
      </c>
      <c r="M120" s="460" t="str">
        <f>VLOOKUP(B120,'Calculations (All)'!$B:$D,3,FALSE)</f>
        <v>YH</v>
      </c>
    </row>
    <row r="121" spans="1:13" ht="15" thickBot="1">
      <c r="A121" s="461" t="s">
        <v>358</v>
      </c>
      <c r="B121" s="450" t="str">
        <f>VLOOKUP(A121,'Calculations (All)'!A:B,2,FALSE)</f>
        <v>Harrow</v>
      </c>
      <c r="C121" s="462">
        <v>593</v>
      </c>
      <c r="D121" s="463">
        <v>734.1</v>
      </c>
      <c r="E121" s="464">
        <v>533.9</v>
      </c>
      <c r="F121" s="465">
        <v>1861</v>
      </c>
      <c r="G121" s="466">
        <v>1251.2</v>
      </c>
      <c r="H121" s="463">
        <v>1301.7</v>
      </c>
      <c r="I121" s="467">
        <v>775</v>
      </c>
      <c r="J121" s="465">
        <v>3327.9</v>
      </c>
      <c r="K121" s="468">
        <v>1.79</v>
      </c>
      <c r="L121" s="469" t="s">
        <v>4726</v>
      </c>
      <c r="M121" s="460" t="str">
        <f>VLOOKUP(B121,'Calculations (All)'!$B:$D,3,FALSE)</f>
        <v>GL</v>
      </c>
    </row>
    <row r="122" spans="1:13" ht="15" thickBot="1">
      <c r="A122" s="461" t="s">
        <v>360</v>
      </c>
      <c r="B122" s="450" t="str">
        <f>VLOOKUP(A122,'Calculations (All)'!A:B,2,FALSE)</f>
        <v>Hart</v>
      </c>
      <c r="C122" s="462">
        <v>329.8</v>
      </c>
      <c r="D122" s="463">
        <v>299.89999999999998</v>
      </c>
      <c r="E122" s="464">
        <v>215.4</v>
      </c>
      <c r="F122" s="465">
        <v>845.2</v>
      </c>
      <c r="G122" s="466">
        <v>608</v>
      </c>
      <c r="H122" s="463">
        <v>607</v>
      </c>
      <c r="I122" s="467">
        <v>556.6</v>
      </c>
      <c r="J122" s="465">
        <v>1771.6</v>
      </c>
      <c r="K122" s="468">
        <v>2.1</v>
      </c>
      <c r="L122" s="469" t="s">
        <v>4726</v>
      </c>
      <c r="M122" s="460" t="str">
        <f>VLOOKUP(B122,'Calculations (All)'!$B:$D,3,FALSE)</f>
        <v>SE</v>
      </c>
    </row>
    <row r="123" spans="1:13" ht="15" thickBot="1">
      <c r="A123" s="461" t="s">
        <v>362</v>
      </c>
      <c r="B123" s="450" t="str">
        <f>VLOOKUP(A123,'Calculations (All)'!A:B,2,FALSE)</f>
        <v>Hartlepool</v>
      </c>
      <c r="C123" s="462">
        <v>194.6</v>
      </c>
      <c r="D123" s="463">
        <v>171.2</v>
      </c>
      <c r="E123" s="464">
        <v>119.8</v>
      </c>
      <c r="F123" s="465">
        <v>485.6</v>
      </c>
      <c r="G123" s="466">
        <v>371</v>
      </c>
      <c r="H123" s="463">
        <v>255</v>
      </c>
      <c r="I123" s="467">
        <v>165.8</v>
      </c>
      <c r="J123" s="465">
        <v>791.8</v>
      </c>
      <c r="K123" s="468">
        <v>1.63</v>
      </c>
      <c r="L123" s="469" t="s">
        <v>4726</v>
      </c>
      <c r="M123" s="460" t="str">
        <f>VLOOKUP(B123,'Calculations (All)'!$B:$D,3,FALSE)</f>
        <v>NE</v>
      </c>
    </row>
    <row r="124" spans="1:13" ht="15" thickBot="1">
      <c r="A124" s="461" t="s">
        <v>364</v>
      </c>
      <c r="B124" s="450" t="str">
        <f>VLOOKUP(A124,'Calculations (All)'!A:B,2,FALSE)</f>
        <v>Hastings</v>
      </c>
      <c r="C124" s="462">
        <v>209</v>
      </c>
      <c r="D124" s="463">
        <v>393.6</v>
      </c>
      <c r="E124" s="464">
        <v>300.3</v>
      </c>
      <c r="F124" s="465">
        <v>902.8</v>
      </c>
      <c r="G124" s="466">
        <v>177.9</v>
      </c>
      <c r="H124" s="463">
        <v>86.2</v>
      </c>
      <c r="I124" s="467">
        <v>111</v>
      </c>
      <c r="J124" s="465">
        <v>375.1</v>
      </c>
      <c r="K124" s="468">
        <v>0.42</v>
      </c>
      <c r="L124" s="469" t="s">
        <v>4714</v>
      </c>
      <c r="M124" s="460" t="str">
        <f>VLOOKUP(B124,'Calculations (All)'!$B:$D,3,FALSE)</f>
        <v>SE</v>
      </c>
    </row>
    <row r="125" spans="1:13" ht="15" thickBot="1">
      <c r="A125" s="461" t="s">
        <v>366</v>
      </c>
      <c r="B125" s="450" t="str">
        <f>VLOOKUP(A125,'Calculations (All)'!A:B,2,FALSE)</f>
        <v>Havant</v>
      </c>
      <c r="C125" s="462">
        <v>477.8</v>
      </c>
      <c r="D125" s="463">
        <v>444.8</v>
      </c>
      <c r="E125" s="464">
        <v>335.5</v>
      </c>
      <c r="F125" s="465">
        <v>1258.2</v>
      </c>
      <c r="G125" s="466">
        <v>267</v>
      </c>
      <c r="H125" s="463">
        <v>366</v>
      </c>
      <c r="I125" s="467">
        <v>294</v>
      </c>
      <c r="J125" s="465">
        <v>927</v>
      </c>
      <c r="K125" s="468">
        <v>0.74</v>
      </c>
      <c r="L125" s="469" t="s">
        <v>4714</v>
      </c>
      <c r="M125" s="460" t="str">
        <f>VLOOKUP(B125,'Calculations (All)'!$B:$D,3,FALSE)</f>
        <v>SE</v>
      </c>
    </row>
    <row r="126" spans="1:13" ht="15" thickBot="1">
      <c r="A126" s="461" t="s">
        <v>368</v>
      </c>
      <c r="B126" s="450" t="str">
        <f>VLOOKUP(A126,'Calculations (All)'!A:B,2,FALSE)</f>
        <v>Havering</v>
      </c>
      <c r="C126" s="462">
        <v>1170</v>
      </c>
      <c r="D126" s="463">
        <v>1176.2</v>
      </c>
      <c r="E126" s="464">
        <v>855.5</v>
      </c>
      <c r="F126" s="465">
        <v>3201.7</v>
      </c>
      <c r="G126" s="466">
        <v>465.4</v>
      </c>
      <c r="H126" s="463">
        <v>508</v>
      </c>
      <c r="I126" s="467">
        <v>500.4</v>
      </c>
      <c r="J126" s="465">
        <v>1473.9</v>
      </c>
      <c r="K126" s="468">
        <v>0.46</v>
      </c>
      <c r="L126" s="469" t="s">
        <v>4714</v>
      </c>
      <c r="M126" s="460" t="str">
        <f>VLOOKUP(B126,'Calculations (All)'!$B:$D,3,FALSE)</f>
        <v>GL</v>
      </c>
    </row>
    <row r="127" spans="1:13" ht="15" thickBot="1">
      <c r="A127" s="461" t="s">
        <v>370</v>
      </c>
      <c r="B127" s="450" t="str">
        <f>VLOOKUP(A127,'Calculations (All)'!A:B,2,FALSE)</f>
        <v>Herefordshire</v>
      </c>
      <c r="C127" s="462">
        <v>853.8</v>
      </c>
      <c r="D127" s="463">
        <v>781.5</v>
      </c>
      <c r="E127" s="464">
        <v>563.20000000000005</v>
      </c>
      <c r="F127" s="465">
        <v>2198.5</v>
      </c>
      <c r="G127" s="466">
        <v>702.4</v>
      </c>
      <c r="H127" s="463">
        <v>907</v>
      </c>
      <c r="I127" s="467">
        <v>652.20000000000005</v>
      </c>
      <c r="J127" s="465">
        <v>2261.6999999999998</v>
      </c>
      <c r="K127" s="468">
        <v>1.03</v>
      </c>
      <c r="L127" s="469" t="s">
        <v>4726</v>
      </c>
      <c r="M127" s="460" t="str">
        <f>VLOOKUP(B127,'Calculations (All)'!$B:$D,3,FALSE)</f>
        <v>WM</v>
      </c>
    </row>
    <row r="128" spans="1:13" ht="15" thickBot="1">
      <c r="A128" s="461" t="s">
        <v>372</v>
      </c>
      <c r="B128" s="450" t="str">
        <f>VLOOKUP(A128,'Calculations (All)'!A:B,2,FALSE)</f>
        <v>Hertsmere</v>
      </c>
      <c r="C128" s="462">
        <v>714</v>
      </c>
      <c r="D128" s="463">
        <v>653.5</v>
      </c>
      <c r="E128" s="464">
        <v>476.7</v>
      </c>
      <c r="F128" s="465">
        <v>1844.2</v>
      </c>
      <c r="G128" s="466">
        <v>644.4</v>
      </c>
      <c r="H128" s="463">
        <v>515</v>
      </c>
      <c r="I128" s="467">
        <v>458.8</v>
      </c>
      <c r="J128" s="465">
        <v>1618.2</v>
      </c>
      <c r="K128" s="468">
        <v>0.88</v>
      </c>
      <c r="L128" s="469" t="s">
        <v>4728</v>
      </c>
      <c r="M128" s="460" t="str">
        <f>VLOOKUP(B128,'Calculations (All)'!$B:$D,3,FALSE)</f>
        <v>E</v>
      </c>
    </row>
    <row r="129" spans="1:13" ht="15" thickBot="1">
      <c r="A129" s="461" t="s">
        <v>374</v>
      </c>
      <c r="B129" s="450" t="str">
        <f>VLOOKUP(A129,'Calculations (All)'!A:B,2,FALSE)</f>
        <v>High Peak</v>
      </c>
      <c r="C129" s="462">
        <v>271.10000000000002</v>
      </c>
      <c r="D129" s="463">
        <v>250.8</v>
      </c>
      <c r="E129" s="464">
        <v>175.1</v>
      </c>
      <c r="F129" s="465">
        <v>697</v>
      </c>
      <c r="G129" s="466">
        <v>386</v>
      </c>
      <c r="H129" s="463">
        <v>311</v>
      </c>
      <c r="I129" s="467">
        <v>244</v>
      </c>
      <c r="J129" s="465">
        <v>941</v>
      </c>
      <c r="K129" s="468">
        <v>1.35</v>
      </c>
      <c r="L129" s="469" t="s">
        <v>4726</v>
      </c>
      <c r="M129" s="460" t="str">
        <f>VLOOKUP(B129,'Calculations (All)'!$B:$D,3,FALSE)</f>
        <v>EM</v>
      </c>
    </row>
    <row r="130" spans="1:13" ht="15" thickBot="1">
      <c r="A130" s="461" t="s">
        <v>376</v>
      </c>
      <c r="B130" s="450" t="str">
        <f>VLOOKUP(A130,'Calculations (All)'!A:B,2,FALSE)</f>
        <v>Hillingdon</v>
      </c>
      <c r="C130" s="462">
        <v>559</v>
      </c>
      <c r="D130" s="463">
        <v>716.7</v>
      </c>
      <c r="E130" s="464">
        <v>721</v>
      </c>
      <c r="F130" s="465">
        <v>1996.7</v>
      </c>
      <c r="G130" s="466">
        <v>1023.1</v>
      </c>
      <c r="H130" s="463">
        <v>1702.1</v>
      </c>
      <c r="I130" s="467">
        <v>729.7</v>
      </c>
      <c r="J130" s="465">
        <v>3454.9</v>
      </c>
      <c r="K130" s="468">
        <v>1.73</v>
      </c>
      <c r="L130" s="469" t="s">
        <v>4726</v>
      </c>
      <c r="M130" s="460" t="str">
        <f>VLOOKUP(B130,'Calculations (All)'!$B:$D,3,FALSE)</f>
        <v>GL</v>
      </c>
    </row>
    <row r="131" spans="1:13" ht="15" thickBot="1">
      <c r="A131" s="461" t="s">
        <v>378</v>
      </c>
      <c r="B131" s="450" t="str">
        <f>VLOOKUP(A131,'Calculations (All)'!A:B,2,FALSE)</f>
        <v>Hinckley and Bosworth</v>
      </c>
      <c r="C131" s="462">
        <v>468.3</v>
      </c>
      <c r="D131" s="463">
        <v>418.3</v>
      </c>
      <c r="E131" s="464">
        <v>300.89999999999998</v>
      </c>
      <c r="F131" s="465">
        <v>1187.5</v>
      </c>
      <c r="G131" s="466">
        <v>463.9</v>
      </c>
      <c r="H131" s="463">
        <v>285</v>
      </c>
      <c r="I131" s="467">
        <v>267</v>
      </c>
      <c r="J131" s="465">
        <v>1015.9</v>
      </c>
      <c r="K131" s="468">
        <v>0.86</v>
      </c>
      <c r="L131" s="469" t="s">
        <v>4728</v>
      </c>
      <c r="M131" s="460" t="str">
        <f>VLOOKUP(B131,'Calculations (All)'!$B:$D,3,FALSE)</f>
        <v>EM</v>
      </c>
    </row>
    <row r="132" spans="1:13" ht="15" thickBot="1">
      <c r="A132" s="461" t="s">
        <v>380</v>
      </c>
      <c r="B132" s="450" t="str">
        <f>VLOOKUP(A132,'Calculations (All)'!A:B,2,FALSE)</f>
        <v>Horsham</v>
      </c>
      <c r="C132" s="462">
        <v>800</v>
      </c>
      <c r="D132" s="463">
        <v>732.2</v>
      </c>
      <c r="E132" s="464">
        <v>625</v>
      </c>
      <c r="F132" s="465">
        <v>2157.3000000000002</v>
      </c>
      <c r="G132" s="466">
        <v>1382</v>
      </c>
      <c r="H132" s="463">
        <v>1012.8</v>
      </c>
      <c r="I132" s="467">
        <v>770</v>
      </c>
      <c r="J132" s="465">
        <v>3164.8</v>
      </c>
      <c r="K132" s="468">
        <v>1.47</v>
      </c>
      <c r="L132" s="469" t="s">
        <v>4726</v>
      </c>
      <c r="M132" s="460" t="str">
        <f>VLOOKUP(B132,'Calculations (All)'!$B:$D,3,FALSE)</f>
        <v>SE</v>
      </c>
    </row>
    <row r="133" spans="1:13" ht="15" thickBot="1">
      <c r="A133" s="461" t="s">
        <v>382</v>
      </c>
      <c r="B133" s="450" t="str">
        <f>VLOOKUP(A133,'Calculations (All)'!A:B,2,FALSE)</f>
        <v>Hounslow</v>
      </c>
      <c r="C133" s="462">
        <v>822</v>
      </c>
      <c r="D133" s="463">
        <v>752.4</v>
      </c>
      <c r="E133" s="464">
        <v>766.1</v>
      </c>
      <c r="F133" s="465">
        <v>2340.5</v>
      </c>
      <c r="G133" s="466">
        <v>1264</v>
      </c>
      <c r="H133" s="463">
        <v>1525</v>
      </c>
      <c r="I133" s="467">
        <v>1567</v>
      </c>
      <c r="J133" s="465">
        <v>4356</v>
      </c>
      <c r="K133" s="468">
        <v>1.86</v>
      </c>
      <c r="L133" s="469" t="s">
        <v>4726</v>
      </c>
      <c r="M133" s="460" t="str">
        <f>VLOOKUP(B133,'Calculations (All)'!$B:$D,3,FALSE)</f>
        <v>GL</v>
      </c>
    </row>
    <row r="134" spans="1:13" ht="15" thickBot="1">
      <c r="A134" s="461" t="s">
        <v>384</v>
      </c>
      <c r="B134" s="450" t="str">
        <f>VLOOKUP(A134,'Calculations (All)'!A:B,2,FALSE)</f>
        <v>Huntingdonshire</v>
      </c>
      <c r="C134" s="462">
        <v>804</v>
      </c>
      <c r="D134" s="463">
        <v>735.9</v>
      </c>
      <c r="E134" s="464">
        <v>535.29999999999995</v>
      </c>
      <c r="F134" s="465">
        <v>2075.1999999999998</v>
      </c>
      <c r="G134" s="466">
        <v>1066.7</v>
      </c>
      <c r="H134" s="463">
        <v>1010.6</v>
      </c>
      <c r="I134" s="467">
        <v>1083.2</v>
      </c>
      <c r="J134" s="465">
        <v>3160.4</v>
      </c>
      <c r="K134" s="468">
        <v>1.52</v>
      </c>
      <c r="L134" s="469" t="s">
        <v>4726</v>
      </c>
      <c r="M134" s="460" t="str">
        <f>VLOOKUP(B134,'Calculations (All)'!$B:$D,3,FALSE)</f>
        <v>E</v>
      </c>
    </row>
    <row r="135" spans="1:13" ht="15" thickBot="1">
      <c r="A135" s="461" t="s">
        <v>386</v>
      </c>
      <c r="B135" s="450" t="str">
        <f>VLOOKUP(A135,'Calculations (All)'!A:B,2,FALSE)</f>
        <v>Hyndburn</v>
      </c>
      <c r="C135" s="462">
        <v>60.4</v>
      </c>
      <c r="D135" s="463">
        <v>53.1</v>
      </c>
      <c r="E135" s="464">
        <v>37.299999999999997</v>
      </c>
      <c r="F135" s="465">
        <v>150.80000000000001</v>
      </c>
      <c r="G135" s="466">
        <v>173.9</v>
      </c>
      <c r="H135" s="463">
        <v>167</v>
      </c>
      <c r="I135" s="467">
        <v>191.1</v>
      </c>
      <c r="J135" s="465">
        <v>532</v>
      </c>
      <c r="K135" s="468">
        <v>3.53</v>
      </c>
      <c r="L135" s="469" t="s">
        <v>4726</v>
      </c>
      <c r="M135" s="460" t="str">
        <f>VLOOKUP(B135,'Calculations (All)'!$B:$D,3,FALSE)</f>
        <v>NW</v>
      </c>
    </row>
    <row r="136" spans="1:13" ht="15" thickBot="1">
      <c r="A136" s="461" t="s">
        <v>388</v>
      </c>
      <c r="B136" s="450" t="str">
        <f>VLOOKUP(A136,'Calculations (All)'!A:B,2,FALSE)</f>
        <v>Ipswich</v>
      </c>
      <c r="C136" s="462">
        <v>445</v>
      </c>
      <c r="D136" s="463">
        <v>407.3</v>
      </c>
      <c r="E136" s="464">
        <v>305.60000000000002</v>
      </c>
      <c r="F136" s="465">
        <v>1157.9000000000001</v>
      </c>
      <c r="G136" s="466">
        <v>223</v>
      </c>
      <c r="H136" s="463">
        <v>405.4</v>
      </c>
      <c r="I136" s="467">
        <v>321.3</v>
      </c>
      <c r="J136" s="465">
        <v>949.8</v>
      </c>
      <c r="K136" s="468">
        <v>0.82</v>
      </c>
      <c r="L136" s="469" t="s">
        <v>4713</v>
      </c>
      <c r="M136" s="460" t="str">
        <f>VLOOKUP(B136,'Calculations (All)'!$B:$D,3,FALSE)</f>
        <v>E</v>
      </c>
    </row>
    <row r="137" spans="1:13" ht="15" thickBot="1">
      <c r="A137" s="461" t="s">
        <v>390</v>
      </c>
      <c r="B137" s="450" t="str">
        <f>VLOOKUP(A137,'Calculations (All)'!A:B,2,FALSE)</f>
        <v>Isle of Wight</v>
      </c>
      <c r="C137" s="462">
        <v>675.2</v>
      </c>
      <c r="D137" s="463">
        <v>616</v>
      </c>
      <c r="E137" s="464">
        <v>458</v>
      </c>
      <c r="F137" s="465">
        <v>1749.2</v>
      </c>
      <c r="G137" s="466">
        <v>354.4</v>
      </c>
      <c r="H137" s="463">
        <v>253</v>
      </c>
      <c r="I137" s="467">
        <v>411.1</v>
      </c>
      <c r="J137" s="465">
        <v>1018.6</v>
      </c>
      <c r="K137" s="468">
        <v>0.57999999999999996</v>
      </c>
      <c r="L137" s="469" t="s">
        <v>4714</v>
      </c>
      <c r="M137" s="460" t="str">
        <f>VLOOKUP(B137,'Calculations (All)'!$B:$D,3,FALSE)</f>
        <v>SE</v>
      </c>
    </row>
    <row r="138" spans="1:13" ht="15" thickBot="1">
      <c r="A138" s="461" t="s">
        <v>392</v>
      </c>
      <c r="B138" s="450" t="str">
        <f>VLOOKUP(A138,'Calculations (All)'!A:B,2,FALSE)</f>
        <v>Isles of Scilly</v>
      </c>
      <c r="C138" s="462">
        <v>0</v>
      </c>
      <c r="D138" s="463">
        <v>0</v>
      </c>
      <c r="E138" s="464">
        <v>0</v>
      </c>
      <c r="F138" s="465">
        <v>0</v>
      </c>
      <c r="G138" s="466">
        <v>0</v>
      </c>
      <c r="H138" s="463">
        <v>0</v>
      </c>
      <c r="I138" s="467">
        <v>0</v>
      </c>
      <c r="J138" s="465">
        <v>0</v>
      </c>
      <c r="K138" s="468" t="s">
        <v>4658</v>
      </c>
      <c r="L138" s="469" t="s">
        <v>4726</v>
      </c>
      <c r="M138" s="460" t="str">
        <f>VLOOKUP(B138,'Calculations (All)'!$B:$D,3,FALSE)</f>
        <v>SW</v>
      </c>
    </row>
    <row r="139" spans="1:13" ht="15" thickBot="1">
      <c r="A139" s="461" t="s">
        <v>394</v>
      </c>
      <c r="B139" s="450" t="str">
        <f>VLOOKUP(A139,'Calculations (All)'!A:B,2,FALSE)</f>
        <v>Islington</v>
      </c>
      <c r="C139" s="462">
        <v>1264</v>
      </c>
      <c r="D139" s="463">
        <v>709.4</v>
      </c>
      <c r="E139" s="464">
        <v>516</v>
      </c>
      <c r="F139" s="465">
        <v>2489.3000000000002</v>
      </c>
      <c r="G139" s="466">
        <v>982.7</v>
      </c>
      <c r="H139" s="463">
        <v>962.6</v>
      </c>
      <c r="I139" s="467">
        <v>654.29999999999995</v>
      </c>
      <c r="J139" s="465">
        <v>2599.6</v>
      </c>
      <c r="K139" s="468">
        <v>1.04</v>
      </c>
      <c r="L139" s="469" t="s">
        <v>4726</v>
      </c>
      <c r="M139" s="460" t="str">
        <f>VLOOKUP(B139,'Calculations (All)'!$B:$D,3,FALSE)</f>
        <v>GL</v>
      </c>
    </row>
    <row r="140" spans="1:13" ht="15" thickBot="1">
      <c r="A140" s="461" t="s">
        <v>396</v>
      </c>
      <c r="B140" s="450" t="str">
        <f>VLOOKUP(A140,'Calculations (All)'!A:B,2,FALSE)</f>
        <v>Kensington and Chelsea</v>
      </c>
      <c r="C140" s="462">
        <v>733</v>
      </c>
      <c r="D140" s="463">
        <v>670.9</v>
      </c>
      <c r="E140" s="464">
        <v>488</v>
      </c>
      <c r="F140" s="465">
        <v>1891.9</v>
      </c>
      <c r="G140" s="466">
        <v>51.1</v>
      </c>
      <c r="H140" s="463">
        <v>446.3</v>
      </c>
      <c r="I140" s="467">
        <v>312</v>
      </c>
      <c r="J140" s="465">
        <v>809.4</v>
      </c>
      <c r="K140" s="468">
        <v>0.43</v>
      </c>
      <c r="L140" s="469" t="s">
        <v>4714</v>
      </c>
      <c r="M140" s="460" t="str">
        <f>VLOOKUP(B140,'Calculations (All)'!$B:$D,3,FALSE)</f>
        <v>GL</v>
      </c>
    </row>
    <row r="141" spans="1:13" ht="15" thickBot="1">
      <c r="A141" s="461" t="s">
        <v>398</v>
      </c>
      <c r="B141" s="450" t="str">
        <f>VLOOKUP(A141,'Calculations (All)'!A:B,2,FALSE)</f>
        <v>Kettering</v>
      </c>
      <c r="C141" s="462">
        <v>520</v>
      </c>
      <c r="D141" s="463">
        <v>476</v>
      </c>
      <c r="E141" s="464">
        <v>346.2</v>
      </c>
      <c r="F141" s="465">
        <v>1342.1</v>
      </c>
      <c r="G141" s="466">
        <v>644</v>
      </c>
      <c r="H141" s="463">
        <v>350</v>
      </c>
      <c r="I141" s="467">
        <v>442</v>
      </c>
      <c r="J141" s="465">
        <v>1436</v>
      </c>
      <c r="K141" s="468">
        <v>1.07</v>
      </c>
      <c r="L141" s="469" t="s">
        <v>4726</v>
      </c>
      <c r="M141" s="460" t="str">
        <f>VLOOKUP(B141,'Calculations (All)'!$B:$D,3,FALSE)</f>
        <v>EM</v>
      </c>
    </row>
    <row r="142" spans="1:13" ht="15" thickBot="1">
      <c r="A142" s="461" t="s">
        <v>400</v>
      </c>
      <c r="B142" s="450" t="str">
        <f>VLOOKUP(A142,'Calculations (All)'!A:B,2,FALSE)</f>
        <v>King's Lynn and West Norfolk</v>
      </c>
      <c r="C142" s="462">
        <v>555.6</v>
      </c>
      <c r="D142" s="463">
        <v>508</v>
      </c>
      <c r="E142" s="464">
        <v>358.2</v>
      </c>
      <c r="F142" s="465">
        <v>1421.8</v>
      </c>
      <c r="G142" s="466">
        <v>432</v>
      </c>
      <c r="H142" s="463">
        <v>591</v>
      </c>
      <c r="I142" s="467">
        <v>340</v>
      </c>
      <c r="J142" s="465">
        <v>1363</v>
      </c>
      <c r="K142" s="468">
        <v>0.96</v>
      </c>
      <c r="L142" s="469" t="s">
        <v>4726</v>
      </c>
      <c r="M142" s="460" t="str">
        <f>VLOOKUP(B142,'Calculations (All)'!$B:$D,3,FALSE)</f>
        <v>E</v>
      </c>
    </row>
    <row r="143" spans="1:13" ht="15" thickBot="1">
      <c r="A143" s="461" t="s">
        <v>402</v>
      </c>
      <c r="B143" s="450" t="str">
        <f>VLOOKUP(A143,'Calculations (All)'!A:B,2,FALSE)</f>
        <v>Kingston upon Hull</v>
      </c>
      <c r="C143" s="462">
        <v>408.2</v>
      </c>
      <c r="D143" s="463">
        <v>364</v>
      </c>
      <c r="E143" s="464">
        <v>266.8</v>
      </c>
      <c r="F143" s="465">
        <v>1039</v>
      </c>
      <c r="G143" s="466">
        <v>684</v>
      </c>
      <c r="H143" s="463">
        <v>794</v>
      </c>
      <c r="I143" s="467">
        <v>581</v>
      </c>
      <c r="J143" s="465">
        <v>2059</v>
      </c>
      <c r="K143" s="468">
        <v>1.98</v>
      </c>
      <c r="L143" s="469" t="s">
        <v>4726</v>
      </c>
      <c r="M143" s="460" t="str">
        <f>VLOOKUP(B143,'Calculations (All)'!$B:$D,3,FALSE)</f>
        <v>YH</v>
      </c>
    </row>
    <row r="144" spans="1:13" ht="15" thickBot="1">
      <c r="A144" s="461" t="s">
        <v>404</v>
      </c>
      <c r="B144" s="450" t="str">
        <f>VLOOKUP(A144,'Calculations (All)'!A:B,2,FALSE)</f>
        <v>Kingston upon Thames</v>
      </c>
      <c r="C144" s="462">
        <v>643</v>
      </c>
      <c r="D144" s="463">
        <v>823.8</v>
      </c>
      <c r="E144" s="464">
        <v>641.79999999999995</v>
      </c>
      <c r="F144" s="465">
        <v>2108.6</v>
      </c>
      <c r="G144" s="466">
        <v>494.5</v>
      </c>
      <c r="H144" s="463">
        <v>624.1</v>
      </c>
      <c r="I144" s="467">
        <v>479</v>
      </c>
      <c r="J144" s="465">
        <v>1597.6</v>
      </c>
      <c r="K144" s="468">
        <v>0.76</v>
      </c>
      <c r="L144" s="469" t="s">
        <v>4713</v>
      </c>
      <c r="M144" s="460" t="str">
        <f>VLOOKUP(B144,'Calculations (All)'!$B:$D,3,FALSE)</f>
        <v>GL</v>
      </c>
    </row>
    <row r="145" spans="1:13" ht="15" thickBot="1">
      <c r="A145" s="461" t="s">
        <v>406</v>
      </c>
      <c r="B145" s="450" t="str">
        <f>VLOOKUP(A145,'Calculations (All)'!A:B,2,FALSE)</f>
        <v>Kirklees</v>
      </c>
      <c r="C145" s="462">
        <v>1681.9</v>
      </c>
      <c r="D145" s="463">
        <v>1534</v>
      </c>
      <c r="E145" s="464">
        <v>1109.0999999999999</v>
      </c>
      <c r="F145" s="465">
        <v>4325</v>
      </c>
      <c r="G145" s="466">
        <v>1594.4</v>
      </c>
      <c r="H145" s="463">
        <v>1148.8</v>
      </c>
      <c r="I145" s="467">
        <v>1021</v>
      </c>
      <c r="J145" s="465">
        <v>3764.2</v>
      </c>
      <c r="K145" s="468">
        <v>0.87</v>
      </c>
      <c r="L145" s="469" t="s">
        <v>4728</v>
      </c>
      <c r="M145" s="460" t="str">
        <f>VLOOKUP(B145,'Calculations (All)'!$B:$D,3,FALSE)</f>
        <v>YH</v>
      </c>
    </row>
    <row r="146" spans="1:13" ht="15" thickBot="1">
      <c r="A146" s="461" t="s">
        <v>408</v>
      </c>
      <c r="B146" s="450" t="str">
        <f>VLOOKUP(A146,'Calculations (All)'!A:B,2,FALSE)</f>
        <v>Knowsley</v>
      </c>
      <c r="C146" s="462">
        <v>266</v>
      </c>
      <c r="D146" s="463">
        <v>229.7</v>
      </c>
      <c r="E146" s="464">
        <v>173.8</v>
      </c>
      <c r="F146" s="465">
        <v>669.5</v>
      </c>
      <c r="G146" s="466">
        <v>840</v>
      </c>
      <c r="H146" s="463">
        <v>1097</v>
      </c>
      <c r="I146" s="467">
        <v>810</v>
      </c>
      <c r="J146" s="465">
        <v>2747</v>
      </c>
      <c r="K146" s="468">
        <v>4.0999999999999996</v>
      </c>
      <c r="L146" s="469" t="s">
        <v>4726</v>
      </c>
      <c r="M146" s="460" t="str">
        <f>VLOOKUP(B146,'Calculations (All)'!$B:$D,3,FALSE)</f>
        <v>NW</v>
      </c>
    </row>
    <row r="147" spans="1:13" ht="15" thickBot="1">
      <c r="A147" s="461" t="s">
        <v>410</v>
      </c>
      <c r="B147" s="450" t="str">
        <f>VLOOKUP(A147,'Calculations (All)'!A:B,2,FALSE)</f>
        <v>Lambeth</v>
      </c>
      <c r="C147" s="462">
        <v>1195</v>
      </c>
      <c r="D147" s="463">
        <v>1093.8</v>
      </c>
      <c r="E147" s="464">
        <v>868.5</v>
      </c>
      <c r="F147" s="465">
        <v>3157.2</v>
      </c>
      <c r="G147" s="466">
        <v>1636.2</v>
      </c>
      <c r="H147" s="463">
        <v>1472.6</v>
      </c>
      <c r="I147" s="467">
        <v>1198</v>
      </c>
      <c r="J147" s="465">
        <v>4306.8</v>
      </c>
      <c r="K147" s="468">
        <v>1.36</v>
      </c>
      <c r="L147" s="469" t="s">
        <v>4726</v>
      </c>
      <c r="M147" s="460" t="str">
        <f>VLOOKUP(B147,'Calculations (All)'!$B:$D,3,FALSE)</f>
        <v>GL</v>
      </c>
    </row>
    <row r="148" spans="1:13" ht="15" thickBot="1">
      <c r="A148" s="461" t="s">
        <v>412</v>
      </c>
      <c r="B148" s="450" t="str">
        <f>VLOOKUP(A148,'Calculations (All)'!A:B,2,FALSE)</f>
        <v>Lancaster</v>
      </c>
      <c r="C148" s="462">
        <v>400</v>
      </c>
      <c r="D148" s="463">
        <v>376.2</v>
      </c>
      <c r="E148" s="464">
        <v>273</v>
      </c>
      <c r="F148" s="465">
        <v>1049.0999999999999</v>
      </c>
      <c r="G148" s="466">
        <v>302</v>
      </c>
      <c r="H148" s="463">
        <v>701</v>
      </c>
      <c r="I148" s="467">
        <v>430</v>
      </c>
      <c r="J148" s="465">
        <v>1433</v>
      </c>
      <c r="K148" s="468">
        <v>1.37</v>
      </c>
      <c r="L148" s="469" t="s">
        <v>4726</v>
      </c>
      <c r="M148" s="460" t="str">
        <f>VLOOKUP(B148,'Calculations (All)'!$B:$D,3,FALSE)</f>
        <v>NW</v>
      </c>
    </row>
    <row r="149" spans="1:13" ht="15" thickBot="1">
      <c r="A149" s="461" t="s">
        <v>414</v>
      </c>
      <c r="B149" s="450" t="str">
        <f>VLOOKUP(A149,'Calculations (All)'!A:B,2,FALSE)</f>
        <v>Leeds</v>
      </c>
      <c r="C149" s="462">
        <v>2688.6</v>
      </c>
      <c r="D149" s="463">
        <v>2532.6</v>
      </c>
      <c r="E149" s="464">
        <v>1855.5</v>
      </c>
      <c r="F149" s="465">
        <v>7076.7</v>
      </c>
      <c r="G149" s="466">
        <v>3427</v>
      </c>
      <c r="H149" s="463">
        <v>3397.4</v>
      </c>
      <c r="I149" s="467">
        <v>3023.3</v>
      </c>
      <c r="J149" s="465">
        <v>9847.7999999999993</v>
      </c>
      <c r="K149" s="468">
        <v>1.39</v>
      </c>
      <c r="L149" s="469" t="s">
        <v>4726</v>
      </c>
      <c r="M149" s="460" t="str">
        <f>VLOOKUP(B149,'Calculations (All)'!$B:$D,3,FALSE)</f>
        <v>YH</v>
      </c>
    </row>
    <row r="150" spans="1:13" ht="15" thickBot="1">
      <c r="A150" s="461" t="s">
        <v>416</v>
      </c>
      <c r="B150" s="450" t="str">
        <f>VLOOKUP(A150,'Calculations (All)'!A:B,2,FALSE)</f>
        <v>Leicester</v>
      </c>
      <c r="C150" s="462">
        <v>1280</v>
      </c>
      <c r="D150" s="463">
        <v>1473.7</v>
      </c>
      <c r="E150" s="464">
        <v>1154.4000000000001</v>
      </c>
      <c r="F150" s="465">
        <v>3908.2</v>
      </c>
      <c r="G150" s="466">
        <v>1437</v>
      </c>
      <c r="H150" s="463">
        <v>1448</v>
      </c>
      <c r="I150" s="467">
        <v>1050</v>
      </c>
      <c r="J150" s="465">
        <v>3935</v>
      </c>
      <c r="K150" s="468">
        <v>1.01</v>
      </c>
      <c r="L150" s="469" t="s">
        <v>4726</v>
      </c>
      <c r="M150" s="460" t="str">
        <f>VLOOKUP(B150,'Calculations (All)'!$B:$D,3,FALSE)</f>
        <v>EM</v>
      </c>
    </row>
    <row r="151" spans="1:13" ht="15" thickBot="1">
      <c r="A151" s="461" t="s">
        <v>418</v>
      </c>
      <c r="B151" s="450" t="str">
        <f>VLOOKUP(A151,'Calculations (All)'!A:B,2,FALSE)</f>
        <v>Lewes</v>
      </c>
      <c r="C151" s="462">
        <v>274.7</v>
      </c>
      <c r="D151" s="463">
        <v>251.4</v>
      </c>
      <c r="E151" s="464">
        <v>182.9</v>
      </c>
      <c r="F151" s="465">
        <v>709</v>
      </c>
      <c r="G151" s="466">
        <v>311</v>
      </c>
      <c r="H151" s="463">
        <v>242</v>
      </c>
      <c r="I151" s="467">
        <v>272</v>
      </c>
      <c r="J151" s="465">
        <v>825</v>
      </c>
      <c r="K151" s="468">
        <v>1.1599999999999999</v>
      </c>
      <c r="L151" s="469" t="s">
        <v>4726</v>
      </c>
      <c r="M151" s="460" t="str">
        <f>VLOOKUP(B151,'Calculations (All)'!$B:$D,3,FALSE)</f>
        <v>SE</v>
      </c>
    </row>
    <row r="152" spans="1:13" ht="15" thickBot="1">
      <c r="A152" s="461" t="s">
        <v>420</v>
      </c>
      <c r="B152" s="450" t="str">
        <f>VLOOKUP(A152,'Calculations (All)'!A:B,2,FALSE)</f>
        <v>Lewisham</v>
      </c>
      <c r="C152" s="462">
        <v>1385</v>
      </c>
      <c r="D152" s="463">
        <v>1525.8</v>
      </c>
      <c r="E152" s="464">
        <v>1109.8</v>
      </c>
      <c r="F152" s="465">
        <v>4020.6</v>
      </c>
      <c r="G152" s="466">
        <v>1699.6</v>
      </c>
      <c r="H152" s="463">
        <v>1283.5</v>
      </c>
      <c r="I152" s="467">
        <v>523.20000000000005</v>
      </c>
      <c r="J152" s="465">
        <v>3506.3</v>
      </c>
      <c r="K152" s="468">
        <v>0.87</v>
      </c>
      <c r="L152" s="469" t="s">
        <v>4728</v>
      </c>
      <c r="M152" s="460" t="str">
        <f>VLOOKUP(B152,'Calculations (All)'!$B:$D,3,FALSE)</f>
        <v>GL</v>
      </c>
    </row>
    <row r="153" spans="1:13" ht="15" thickBot="1">
      <c r="A153" s="461" t="s">
        <v>422</v>
      </c>
      <c r="B153" s="450" t="str">
        <f>VLOOKUP(A153,'Calculations (All)'!A:B,2,FALSE)</f>
        <v>Lichfield</v>
      </c>
      <c r="C153" s="462">
        <v>381.3</v>
      </c>
      <c r="D153" s="463">
        <v>346.6</v>
      </c>
      <c r="E153" s="464">
        <v>245.4</v>
      </c>
      <c r="F153" s="465">
        <v>973.3</v>
      </c>
      <c r="G153" s="466">
        <v>740</v>
      </c>
      <c r="H153" s="463">
        <v>581</v>
      </c>
      <c r="I153" s="467">
        <v>548</v>
      </c>
      <c r="J153" s="465">
        <v>1869</v>
      </c>
      <c r="K153" s="468">
        <v>1.92</v>
      </c>
      <c r="L153" s="469" t="s">
        <v>4726</v>
      </c>
      <c r="M153" s="460" t="str">
        <f>VLOOKUP(B153,'Calculations (All)'!$B:$D,3,FALSE)</f>
        <v>WM</v>
      </c>
    </row>
    <row r="154" spans="1:13" ht="15" thickBot="1">
      <c r="A154" s="461" t="s">
        <v>426</v>
      </c>
      <c r="B154" s="450" t="str">
        <f>VLOOKUP(A154,'Calculations (All)'!A:B,2,FALSE)</f>
        <v>Liverpool</v>
      </c>
      <c r="C154" s="462">
        <v>1636.6</v>
      </c>
      <c r="D154" s="463">
        <v>1486.4</v>
      </c>
      <c r="E154" s="464">
        <v>1037.2</v>
      </c>
      <c r="F154" s="465">
        <v>4160.3</v>
      </c>
      <c r="G154" s="466">
        <v>2236.4</v>
      </c>
      <c r="H154" s="463">
        <v>2536</v>
      </c>
      <c r="I154" s="467">
        <v>2363</v>
      </c>
      <c r="J154" s="465">
        <v>7135.4</v>
      </c>
      <c r="K154" s="468">
        <v>1.72</v>
      </c>
      <c r="L154" s="469" t="s">
        <v>4726</v>
      </c>
      <c r="M154" s="460" t="str">
        <f>VLOOKUP(B154,'Calculations (All)'!$B:$D,3,FALSE)</f>
        <v>NW</v>
      </c>
    </row>
    <row r="155" spans="1:13" ht="15" thickBot="1">
      <c r="A155" s="461" t="s">
        <v>428</v>
      </c>
      <c r="B155" s="450" t="str">
        <f>VLOOKUP(A155,'Calculations (All)'!A:B,2,FALSE)</f>
        <v>Luton</v>
      </c>
      <c r="C155" s="462">
        <v>227.8</v>
      </c>
      <c r="D155" s="463">
        <v>207.5</v>
      </c>
      <c r="E155" s="464">
        <v>151.6</v>
      </c>
      <c r="F155" s="465">
        <v>586.9</v>
      </c>
      <c r="G155" s="466">
        <v>713.1</v>
      </c>
      <c r="H155" s="463">
        <v>791</v>
      </c>
      <c r="I155" s="467">
        <v>474</v>
      </c>
      <c r="J155" s="465">
        <v>1978.1</v>
      </c>
      <c r="K155" s="468">
        <v>3.37</v>
      </c>
      <c r="L155" s="469" t="s">
        <v>4726</v>
      </c>
      <c r="M155" s="460" t="str">
        <f>VLOOKUP(B155,'Calculations (All)'!$B:$D,3,FALSE)</f>
        <v>E</v>
      </c>
    </row>
    <row r="156" spans="1:13" ht="15" thickBot="1">
      <c r="A156" s="461" t="s">
        <v>430</v>
      </c>
      <c r="B156" s="450" t="str">
        <f>VLOOKUP(A156,'Calculations (All)'!A:B,2,FALSE)</f>
        <v>Maidstone</v>
      </c>
      <c r="C156" s="462">
        <v>883</v>
      </c>
      <c r="D156" s="463">
        <v>808.2</v>
      </c>
      <c r="E156" s="464">
        <v>587.9</v>
      </c>
      <c r="F156" s="465">
        <v>2279.1</v>
      </c>
      <c r="G156" s="466">
        <v>1146</v>
      </c>
      <c r="H156" s="463">
        <v>1355</v>
      </c>
      <c r="I156" s="467">
        <v>1377</v>
      </c>
      <c r="J156" s="465">
        <v>3878</v>
      </c>
      <c r="K156" s="468">
        <v>1.7</v>
      </c>
      <c r="L156" s="469" t="s">
        <v>4726</v>
      </c>
      <c r="M156" s="460" t="str">
        <f>VLOOKUP(B156,'Calculations (All)'!$B:$D,3,FALSE)</f>
        <v>SE</v>
      </c>
    </row>
    <row r="157" spans="1:13" ht="15" thickBot="1">
      <c r="A157" s="461" t="s">
        <v>432</v>
      </c>
      <c r="B157" s="450" t="str">
        <f>VLOOKUP(A157,'Calculations (All)'!A:B,2,FALSE)</f>
        <v>Maldon</v>
      </c>
      <c r="C157" s="462">
        <v>303.8</v>
      </c>
      <c r="D157" s="463">
        <v>281.89999999999998</v>
      </c>
      <c r="E157" s="464">
        <v>205.1</v>
      </c>
      <c r="F157" s="465">
        <v>790.7</v>
      </c>
      <c r="G157" s="466">
        <v>317</v>
      </c>
      <c r="H157" s="463">
        <v>474.8</v>
      </c>
      <c r="I157" s="467">
        <v>425</v>
      </c>
      <c r="J157" s="465">
        <v>1216.8</v>
      </c>
      <c r="K157" s="468">
        <v>1.54</v>
      </c>
      <c r="L157" s="469" t="s">
        <v>4726</v>
      </c>
      <c r="M157" s="460" t="str">
        <f>VLOOKUP(B157,'Calculations (All)'!$B:$D,3,FALSE)</f>
        <v>E</v>
      </c>
    </row>
    <row r="158" spans="1:13" ht="15" thickBot="1">
      <c r="A158" s="461" t="s">
        <v>436</v>
      </c>
      <c r="B158" s="450" t="str">
        <f>VLOOKUP(A158,'Calculations (All)'!A:B,2,FALSE)</f>
        <v>Manchester</v>
      </c>
      <c r="C158" s="462">
        <v>2583.6</v>
      </c>
      <c r="D158" s="463">
        <v>2391.6999999999998</v>
      </c>
      <c r="E158" s="464">
        <v>1739.6</v>
      </c>
      <c r="F158" s="465">
        <v>6714.9</v>
      </c>
      <c r="G158" s="466">
        <v>2353.1999999999998</v>
      </c>
      <c r="H158" s="463">
        <v>4471</v>
      </c>
      <c r="I158" s="467">
        <v>4491.2</v>
      </c>
      <c r="J158" s="465">
        <v>11315.4</v>
      </c>
      <c r="K158" s="468">
        <v>1.69</v>
      </c>
      <c r="L158" s="469" t="s">
        <v>4726</v>
      </c>
      <c r="M158" s="460" t="str">
        <f>VLOOKUP(B158,'Calculations (All)'!$B:$D,3,FALSE)</f>
        <v>NW</v>
      </c>
    </row>
    <row r="159" spans="1:13" ht="15" thickBot="1">
      <c r="A159" s="461" t="s">
        <v>438</v>
      </c>
      <c r="B159" s="450" t="str">
        <f>VLOOKUP(A159,'Calculations (All)'!A:B,2,FALSE)</f>
        <v>Mansfield</v>
      </c>
      <c r="C159" s="462">
        <v>278.2</v>
      </c>
      <c r="D159" s="463">
        <v>249</v>
      </c>
      <c r="E159" s="464">
        <v>183.1</v>
      </c>
      <c r="F159" s="465">
        <v>710.3</v>
      </c>
      <c r="G159" s="466">
        <v>391</v>
      </c>
      <c r="H159" s="463">
        <v>402</v>
      </c>
      <c r="I159" s="467">
        <v>474</v>
      </c>
      <c r="J159" s="465">
        <v>1267</v>
      </c>
      <c r="K159" s="468">
        <v>1.78</v>
      </c>
      <c r="L159" s="469" t="s">
        <v>4726</v>
      </c>
      <c r="M159" s="460" t="str">
        <f>VLOOKUP(B159,'Calculations (All)'!$B:$D,3,FALSE)</f>
        <v>EM</v>
      </c>
    </row>
    <row r="160" spans="1:13" ht="15" thickBot="1">
      <c r="A160" s="461" t="s">
        <v>440</v>
      </c>
      <c r="B160" s="450" t="str">
        <f>VLOOKUP(A160,'Calculations (All)'!A:B,2,FALSE)</f>
        <v>Medway</v>
      </c>
      <c r="C160" s="462">
        <v>1672</v>
      </c>
      <c r="D160" s="463">
        <v>1549.6</v>
      </c>
      <c r="E160" s="464">
        <v>1110.5</v>
      </c>
      <c r="F160" s="465">
        <v>4332.1000000000004</v>
      </c>
      <c r="G160" s="466">
        <v>647.29999999999995</v>
      </c>
      <c r="H160" s="463">
        <v>1180.9000000000001</v>
      </c>
      <c r="I160" s="467">
        <v>1066.8</v>
      </c>
      <c r="J160" s="465">
        <v>2895</v>
      </c>
      <c r="K160" s="468">
        <v>0.67</v>
      </c>
      <c r="L160" s="469" t="s">
        <v>4714</v>
      </c>
      <c r="M160" s="460" t="str">
        <f>VLOOKUP(B160,'Calculations (All)'!$B:$D,3,FALSE)</f>
        <v>SE</v>
      </c>
    </row>
    <row r="161" spans="1:13" ht="15" thickBot="1">
      <c r="A161" s="461" t="s">
        <v>442</v>
      </c>
      <c r="B161" s="450" t="str">
        <f>VLOOKUP(A161,'Calculations (All)'!A:B,2,FALSE)</f>
        <v>Melton</v>
      </c>
      <c r="C161" s="462">
        <v>170.4</v>
      </c>
      <c r="D161" s="463">
        <v>156</v>
      </c>
      <c r="E161" s="464">
        <v>113.4</v>
      </c>
      <c r="F161" s="465">
        <v>439.8</v>
      </c>
      <c r="G161" s="466">
        <v>222</v>
      </c>
      <c r="H161" s="463">
        <v>334</v>
      </c>
      <c r="I161" s="467">
        <v>310</v>
      </c>
      <c r="J161" s="465">
        <v>866</v>
      </c>
      <c r="K161" s="468">
        <v>1.97</v>
      </c>
      <c r="L161" s="469" t="s">
        <v>4726</v>
      </c>
      <c r="M161" s="460" t="str">
        <f>VLOOKUP(B161,'Calculations (All)'!$B:$D,3,FALSE)</f>
        <v>EM</v>
      </c>
    </row>
    <row r="162" spans="1:13" ht="15" thickBot="1">
      <c r="A162" s="461" t="s">
        <v>444</v>
      </c>
      <c r="B162" s="450" t="str">
        <f>VLOOKUP(A162,'Calculations (All)'!A:B,2,FALSE)</f>
        <v>Mendip</v>
      </c>
      <c r="C162" s="462">
        <v>418.9</v>
      </c>
      <c r="D162" s="463">
        <v>418.6</v>
      </c>
      <c r="E162" s="464">
        <v>398.8</v>
      </c>
      <c r="F162" s="465">
        <v>1236.3</v>
      </c>
      <c r="G162" s="466">
        <v>509.8</v>
      </c>
      <c r="H162" s="463">
        <v>384.2</v>
      </c>
      <c r="I162" s="467">
        <v>321</v>
      </c>
      <c r="J162" s="465">
        <v>1215</v>
      </c>
      <c r="K162" s="468">
        <v>0.98</v>
      </c>
      <c r="L162" s="469" t="s">
        <v>4726</v>
      </c>
      <c r="M162" s="460" t="str">
        <f>VLOOKUP(B162,'Calculations (All)'!$B:$D,3,FALSE)</f>
        <v>SW</v>
      </c>
    </row>
    <row r="163" spans="1:13" ht="15" thickBot="1">
      <c r="A163" s="461" t="s">
        <v>446</v>
      </c>
      <c r="B163" s="450" t="str">
        <f>VLOOKUP(A163,'Calculations (All)'!A:B,2,FALSE)</f>
        <v>Merton</v>
      </c>
      <c r="C163" s="462">
        <v>411</v>
      </c>
      <c r="D163" s="463">
        <v>526.29999999999995</v>
      </c>
      <c r="E163" s="464">
        <v>611.20000000000005</v>
      </c>
      <c r="F163" s="465">
        <v>1548.5</v>
      </c>
      <c r="G163" s="466">
        <v>250.2</v>
      </c>
      <c r="H163" s="463">
        <v>346</v>
      </c>
      <c r="I163" s="467">
        <v>643</v>
      </c>
      <c r="J163" s="465">
        <v>1239.2</v>
      </c>
      <c r="K163" s="468">
        <v>0.8</v>
      </c>
      <c r="L163" s="469" t="s">
        <v>4713</v>
      </c>
      <c r="M163" s="460" t="str">
        <f>VLOOKUP(B163,'Calculations (All)'!$B:$D,3,FALSE)</f>
        <v>GL</v>
      </c>
    </row>
    <row r="164" spans="1:13" ht="15" thickBot="1">
      <c r="A164" s="461" t="s">
        <v>448</v>
      </c>
      <c r="B164" s="450" t="str">
        <f>VLOOKUP(A164,'Calculations (All)'!A:B,2,FALSE)</f>
        <v>Mid Devon</v>
      </c>
      <c r="C164" s="462">
        <v>362.7</v>
      </c>
      <c r="D164" s="463">
        <v>333.2</v>
      </c>
      <c r="E164" s="464">
        <v>244.3</v>
      </c>
      <c r="F164" s="465">
        <v>940.2</v>
      </c>
      <c r="G164" s="466">
        <v>432</v>
      </c>
      <c r="H164" s="463">
        <v>425</v>
      </c>
      <c r="I164" s="467">
        <v>335</v>
      </c>
      <c r="J164" s="465">
        <v>1192</v>
      </c>
      <c r="K164" s="468">
        <v>1.27</v>
      </c>
      <c r="L164" s="469" t="s">
        <v>4726</v>
      </c>
      <c r="M164" s="460" t="str">
        <f>VLOOKUP(B164,'Calculations (All)'!$B:$D,3,FALSE)</f>
        <v>SW</v>
      </c>
    </row>
    <row r="165" spans="1:13" ht="15" thickBot="1">
      <c r="A165" s="461" t="s">
        <v>450</v>
      </c>
      <c r="B165" s="450" t="str">
        <f>VLOOKUP(A165,'Calculations (All)'!A:B,2,FALSE)</f>
        <v>Mid Suffolk</v>
      </c>
      <c r="C165" s="462">
        <v>584.9</v>
      </c>
      <c r="D165" s="463">
        <v>508.9</v>
      </c>
      <c r="E165" s="464">
        <v>356.2</v>
      </c>
      <c r="F165" s="465">
        <v>1450</v>
      </c>
      <c r="G165" s="466">
        <v>690</v>
      </c>
      <c r="H165" s="463">
        <v>451</v>
      </c>
      <c r="I165" s="467">
        <v>844</v>
      </c>
      <c r="J165" s="465">
        <v>1985</v>
      </c>
      <c r="K165" s="468">
        <v>1.37</v>
      </c>
      <c r="L165" s="469" t="s">
        <v>4726</v>
      </c>
      <c r="M165" s="460" t="str">
        <f>VLOOKUP(B165,'Calculations (All)'!$B:$D,3,FALSE)</f>
        <v>E</v>
      </c>
    </row>
    <row r="166" spans="1:13" ht="15" thickBot="1">
      <c r="A166" s="461" t="s">
        <v>452</v>
      </c>
      <c r="B166" s="450" t="str">
        <f>VLOOKUP(A166,'Calculations (All)'!A:B,2,FALSE)</f>
        <v>Mid Sussex</v>
      </c>
      <c r="C166" s="462">
        <v>876</v>
      </c>
      <c r="D166" s="463">
        <v>801.8</v>
      </c>
      <c r="E166" s="464">
        <v>583.20000000000005</v>
      </c>
      <c r="F166" s="465">
        <v>2261</v>
      </c>
      <c r="G166" s="466">
        <v>651</v>
      </c>
      <c r="H166" s="463">
        <v>1005.2</v>
      </c>
      <c r="I166" s="467">
        <v>1136.3</v>
      </c>
      <c r="J166" s="465">
        <v>2792.6</v>
      </c>
      <c r="K166" s="468">
        <v>1.24</v>
      </c>
      <c r="L166" s="469" t="s">
        <v>4726</v>
      </c>
      <c r="M166" s="460" t="str">
        <f>VLOOKUP(B166,'Calculations (All)'!$B:$D,3,FALSE)</f>
        <v>SE</v>
      </c>
    </row>
    <row r="167" spans="1:13" ht="15" thickBot="1">
      <c r="A167" s="461" t="s">
        <v>454</v>
      </c>
      <c r="B167" s="450" t="str">
        <f>VLOOKUP(A167,'Calculations (All)'!A:B,2,FALSE)</f>
        <v>Middlesbrough</v>
      </c>
      <c r="C167" s="462">
        <v>254.3</v>
      </c>
      <c r="D167" s="463">
        <v>234.3</v>
      </c>
      <c r="E167" s="464">
        <v>170.4</v>
      </c>
      <c r="F167" s="465">
        <v>659</v>
      </c>
      <c r="G167" s="466">
        <v>591.9</v>
      </c>
      <c r="H167" s="463">
        <v>645</v>
      </c>
      <c r="I167" s="467">
        <v>459.3</v>
      </c>
      <c r="J167" s="465">
        <v>1696.2</v>
      </c>
      <c r="K167" s="468">
        <v>2.57</v>
      </c>
      <c r="L167" s="469" t="s">
        <v>4726</v>
      </c>
      <c r="M167" s="460" t="str">
        <f>VLOOKUP(B167,'Calculations (All)'!$B:$D,3,FALSE)</f>
        <v>NE</v>
      </c>
    </row>
    <row r="168" spans="1:13" ht="15" thickBot="1">
      <c r="A168" s="461" t="s">
        <v>456</v>
      </c>
      <c r="B168" s="450" t="str">
        <f>VLOOKUP(A168,'Calculations (All)'!A:B,2,FALSE)</f>
        <v>Milton Keynes</v>
      </c>
      <c r="C168" s="462">
        <v>1766.7</v>
      </c>
      <c r="D168" s="463">
        <v>1617</v>
      </c>
      <c r="E168" s="464">
        <v>1176.2</v>
      </c>
      <c r="F168" s="465">
        <v>4559.8999999999996</v>
      </c>
      <c r="G168" s="466">
        <v>1781</v>
      </c>
      <c r="H168" s="463">
        <v>2076</v>
      </c>
      <c r="I168" s="467">
        <v>1993</v>
      </c>
      <c r="J168" s="465">
        <v>5850</v>
      </c>
      <c r="K168" s="468">
        <v>1.28</v>
      </c>
      <c r="L168" s="469" t="s">
        <v>4726</v>
      </c>
      <c r="M168" s="460" t="str">
        <f>VLOOKUP(B168,'Calculations (All)'!$B:$D,3,FALSE)</f>
        <v>SE</v>
      </c>
    </row>
    <row r="169" spans="1:13" ht="15" thickBot="1">
      <c r="A169" s="461" t="s">
        <v>458</v>
      </c>
      <c r="B169" s="450" t="str">
        <f>VLOOKUP(A169,'Calculations (All)'!A:B,2,FALSE)</f>
        <v>Mole Valley</v>
      </c>
      <c r="C169" s="462">
        <v>446.7</v>
      </c>
      <c r="D169" s="463">
        <v>411</v>
      </c>
      <c r="E169" s="464">
        <v>301.60000000000002</v>
      </c>
      <c r="F169" s="465">
        <v>1159.3</v>
      </c>
      <c r="G169" s="466">
        <v>373.8</v>
      </c>
      <c r="H169" s="463">
        <v>161.9</v>
      </c>
      <c r="I169" s="467">
        <v>274</v>
      </c>
      <c r="J169" s="465">
        <v>809.7</v>
      </c>
      <c r="K169" s="468">
        <v>0.7</v>
      </c>
      <c r="L169" s="469" t="s">
        <v>4714</v>
      </c>
      <c r="M169" s="460" t="str">
        <f>VLOOKUP(B169,'Calculations (All)'!$B:$D,3,FALSE)</f>
        <v>SE</v>
      </c>
    </row>
    <row r="170" spans="1:13" ht="15" thickBot="1">
      <c r="A170" s="461" t="s">
        <v>460</v>
      </c>
      <c r="B170" s="450" t="str">
        <f>VLOOKUP(A170,'Calculations (All)'!A:B,2,FALSE)</f>
        <v>New Forest</v>
      </c>
      <c r="C170" s="462">
        <v>300</v>
      </c>
      <c r="D170" s="463">
        <v>274.60000000000002</v>
      </c>
      <c r="E170" s="464">
        <v>199.7</v>
      </c>
      <c r="F170" s="465">
        <v>774.3</v>
      </c>
      <c r="G170" s="466">
        <v>359</v>
      </c>
      <c r="H170" s="463">
        <v>308</v>
      </c>
      <c r="I170" s="467">
        <v>421.7</v>
      </c>
      <c r="J170" s="465">
        <v>1088.7</v>
      </c>
      <c r="K170" s="468">
        <v>1.41</v>
      </c>
      <c r="L170" s="469" t="s">
        <v>4726</v>
      </c>
      <c r="M170" s="460" t="str">
        <f>VLOOKUP(B170,'Calculations (All)'!$B:$D,3,FALSE)</f>
        <v>SE</v>
      </c>
    </row>
    <row r="171" spans="1:13" ht="15" thickBot="1">
      <c r="A171" s="461" t="s">
        <v>462</v>
      </c>
      <c r="B171" s="450" t="str">
        <f>VLOOKUP(A171,'Calculations (All)'!A:B,2,FALSE)</f>
        <v>Newark and Sherwood</v>
      </c>
      <c r="C171" s="462">
        <v>454</v>
      </c>
      <c r="D171" s="463">
        <v>415.5</v>
      </c>
      <c r="E171" s="464">
        <v>302.3</v>
      </c>
      <c r="F171" s="465">
        <v>1171.8</v>
      </c>
      <c r="G171" s="466">
        <v>665.1</v>
      </c>
      <c r="H171" s="463">
        <v>557.79999999999995</v>
      </c>
      <c r="I171" s="467">
        <v>808.2</v>
      </c>
      <c r="J171" s="465">
        <v>2031.1</v>
      </c>
      <c r="K171" s="468">
        <v>1.73</v>
      </c>
      <c r="L171" s="469" t="s">
        <v>4726</v>
      </c>
      <c r="M171" s="460" t="str">
        <f>VLOOKUP(B171,'Calculations (All)'!$B:$D,3,FALSE)</f>
        <v>EM</v>
      </c>
    </row>
    <row r="172" spans="1:13" ht="15" thickBot="1">
      <c r="A172" s="461" t="s">
        <v>464</v>
      </c>
      <c r="B172" s="450" t="str">
        <f>VLOOKUP(A172,'Calculations (All)'!A:B,2,FALSE)</f>
        <v>Newcastle upon Tyne</v>
      </c>
      <c r="C172" s="462">
        <v>960</v>
      </c>
      <c r="D172" s="463">
        <v>878.7</v>
      </c>
      <c r="E172" s="464">
        <v>689.7</v>
      </c>
      <c r="F172" s="465">
        <v>2528.4</v>
      </c>
      <c r="G172" s="466">
        <v>1760.9</v>
      </c>
      <c r="H172" s="463">
        <v>1522</v>
      </c>
      <c r="I172" s="467">
        <v>1268</v>
      </c>
      <c r="J172" s="465">
        <v>4550.8999999999996</v>
      </c>
      <c r="K172" s="468">
        <v>1.8</v>
      </c>
      <c r="L172" s="469" t="s">
        <v>4726</v>
      </c>
      <c r="M172" s="460" t="str">
        <f>VLOOKUP(B172,'Calculations (All)'!$B:$D,3,FALSE)</f>
        <v>NE</v>
      </c>
    </row>
    <row r="173" spans="1:13" ht="15" thickBot="1">
      <c r="A173" s="461" t="s">
        <v>466</v>
      </c>
      <c r="B173" s="450" t="str">
        <f>VLOOKUP(A173,'Calculations (All)'!A:B,2,FALSE)</f>
        <v>Newcastle-under-Lyme</v>
      </c>
      <c r="C173" s="462">
        <v>343.9</v>
      </c>
      <c r="D173" s="463">
        <v>319.39999999999998</v>
      </c>
      <c r="E173" s="464">
        <v>236.3</v>
      </c>
      <c r="F173" s="465">
        <v>899.7</v>
      </c>
      <c r="G173" s="466">
        <v>238</v>
      </c>
      <c r="H173" s="463">
        <v>320</v>
      </c>
      <c r="I173" s="467">
        <v>630</v>
      </c>
      <c r="J173" s="465">
        <v>1188</v>
      </c>
      <c r="K173" s="468">
        <v>1.32</v>
      </c>
      <c r="L173" s="469" t="s">
        <v>4726</v>
      </c>
      <c r="M173" s="460" t="str">
        <f>VLOOKUP(B173,'Calculations (All)'!$B:$D,3,FALSE)</f>
        <v>WM</v>
      </c>
    </row>
    <row r="174" spans="1:13" ht="15" thickBot="1">
      <c r="A174" s="461" t="s">
        <v>468</v>
      </c>
      <c r="B174" s="450" t="str">
        <f>VLOOKUP(A174,'Calculations (All)'!A:B,2,FALSE)</f>
        <v>Newham</v>
      </c>
      <c r="C174" s="462">
        <v>2752</v>
      </c>
      <c r="D174" s="463">
        <v>2518.9</v>
      </c>
      <c r="E174" s="464">
        <v>1832.2</v>
      </c>
      <c r="F174" s="465">
        <v>7103.1</v>
      </c>
      <c r="G174" s="466">
        <v>2678</v>
      </c>
      <c r="H174" s="463">
        <v>3571.8</v>
      </c>
      <c r="I174" s="467">
        <v>1830.2</v>
      </c>
      <c r="J174" s="465">
        <v>8080.1</v>
      </c>
      <c r="K174" s="468">
        <v>1.1399999999999999</v>
      </c>
      <c r="L174" s="469" t="s">
        <v>4726</v>
      </c>
      <c r="M174" s="460" t="str">
        <f>VLOOKUP(B174,'Calculations (All)'!$B:$D,3,FALSE)</f>
        <v>GL</v>
      </c>
    </row>
    <row r="175" spans="1:13" ht="15" thickBot="1">
      <c r="A175" s="461" t="s">
        <v>472</v>
      </c>
      <c r="B175" s="450" t="str">
        <f>VLOOKUP(A175,'Calculations (All)'!A:B,2,FALSE)</f>
        <v>North East Derbyshire</v>
      </c>
      <c r="C175" s="462">
        <v>266</v>
      </c>
      <c r="D175" s="463">
        <v>227</v>
      </c>
      <c r="E175" s="464">
        <v>167.8</v>
      </c>
      <c r="F175" s="465">
        <v>660.8</v>
      </c>
      <c r="G175" s="466">
        <v>189</v>
      </c>
      <c r="H175" s="463">
        <v>436</v>
      </c>
      <c r="I175" s="467">
        <v>465</v>
      </c>
      <c r="J175" s="465">
        <v>1090</v>
      </c>
      <c r="K175" s="468">
        <v>1.65</v>
      </c>
      <c r="L175" s="469" t="s">
        <v>4726</v>
      </c>
      <c r="M175" s="460" t="str">
        <f>VLOOKUP(B175,'Calculations (All)'!$B:$D,3,FALSE)</f>
        <v>EM</v>
      </c>
    </row>
    <row r="176" spans="1:13" ht="15" thickBot="1">
      <c r="A176" s="461" t="s">
        <v>474</v>
      </c>
      <c r="B176" s="450" t="str">
        <f>VLOOKUP(A176,'Calculations (All)'!A:B,2,FALSE)</f>
        <v>North East Lincolnshire</v>
      </c>
      <c r="C176" s="462">
        <v>229.6</v>
      </c>
      <c r="D176" s="463">
        <v>201.4</v>
      </c>
      <c r="E176" s="464">
        <v>140.5</v>
      </c>
      <c r="F176" s="465">
        <v>571.4</v>
      </c>
      <c r="G176" s="466">
        <v>430.8</v>
      </c>
      <c r="H176" s="463">
        <v>248</v>
      </c>
      <c r="I176" s="467">
        <v>244</v>
      </c>
      <c r="J176" s="465">
        <v>922.8</v>
      </c>
      <c r="K176" s="468">
        <v>1.61</v>
      </c>
      <c r="L176" s="469" t="s">
        <v>4726</v>
      </c>
      <c r="M176" s="460" t="str">
        <f>VLOOKUP(B176,'Calculations (All)'!$B:$D,3,FALSE)</f>
        <v>YH</v>
      </c>
    </row>
    <row r="177" spans="1:13" ht="15" thickBot="1">
      <c r="A177" s="461" t="s">
        <v>476</v>
      </c>
      <c r="B177" s="450" t="str">
        <f>VLOOKUP(A177,'Calculations (All)'!A:B,2,FALSE)</f>
        <v>North Hertfordshire</v>
      </c>
      <c r="C177" s="462">
        <v>988.1</v>
      </c>
      <c r="D177" s="463">
        <v>900.7</v>
      </c>
      <c r="E177" s="464">
        <v>647.79999999999995</v>
      </c>
      <c r="F177" s="465">
        <v>2536.6</v>
      </c>
      <c r="G177" s="466">
        <v>222</v>
      </c>
      <c r="H177" s="463">
        <v>433</v>
      </c>
      <c r="I177" s="467">
        <v>593</v>
      </c>
      <c r="J177" s="465">
        <v>1248</v>
      </c>
      <c r="K177" s="468">
        <v>0.49</v>
      </c>
      <c r="L177" s="469" t="s">
        <v>4714</v>
      </c>
      <c r="M177" s="460" t="str">
        <f>VLOOKUP(B177,'Calculations (All)'!$B:$D,3,FALSE)</f>
        <v>E</v>
      </c>
    </row>
    <row r="178" spans="1:13" ht="15" thickBot="1">
      <c r="A178" s="461" t="s">
        <v>480</v>
      </c>
      <c r="B178" s="450" t="str">
        <f>VLOOKUP(A178,'Calculations (All)'!A:B,2,FALSE)</f>
        <v>North Lincolnshire</v>
      </c>
      <c r="C178" s="462">
        <v>412.1</v>
      </c>
      <c r="D178" s="463">
        <v>368.9</v>
      </c>
      <c r="E178" s="464">
        <v>263.60000000000002</v>
      </c>
      <c r="F178" s="465">
        <v>1044.5999999999999</v>
      </c>
      <c r="G178" s="466">
        <v>327.3</v>
      </c>
      <c r="H178" s="463">
        <v>400.2</v>
      </c>
      <c r="I178" s="467">
        <v>447.7</v>
      </c>
      <c r="J178" s="465">
        <v>1175.2</v>
      </c>
      <c r="K178" s="468">
        <v>1.1299999999999999</v>
      </c>
      <c r="L178" s="469" t="s">
        <v>4726</v>
      </c>
      <c r="M178" s="460" t="str">
        <f>VLOOKUP(B178,'Calculations (All)'!$B:$D,3,FALSE)</f>
        <v>YH</v>
      </c>
    </row>
    <row r="179" spans="1:13" ht="15" thickBot="1">
      <c r="A179" s="461" t="s">
        <v>482</v>
      </c>
      <c r="B179" s="450" t="str">
        <f>VLOOKUP(A179,'Calculations (All)'!A:B,2,FALSE)</f>
        <v>North Norfolk</v>
      </c>
      <c r="C179" s="462">
        <v>542.70000000000005</v>
      </c>
      <c r="D179" s="463">
        <v>506.2</v>
      </c>
      <c r="E179" s="464">
        <v>367.5</v>
      </c>
      <c r="F179" s="465">
        <v>1416.4</v>
      </c>
      <c r="G179" s="466">
        <v>533.20000000000005</v>
      </c>
      <c r="H179" s="463">
        <v>412.4</v>
      </c>
      <c r="I179" s="467">
        <v>469.3</v>
      </c>
      <c r="J179" s="465">
        <v>1415</v>
      </c>
      <c r="K179" s="468">
        <v>1</v>
      </c>
      <c r="L179" s="469" t="s">
        <v>4726</v>
      </c>
      <c r="M179" s="460" t="str">
        <f>VLOOKUP(B179,'Calculations (All)'!$B:$D,3,FALSE)</f>
        <v>E</v>
      </c>
    </row>
    <row r="180" spans="1:13" ht="15" thickBot="1">
      <c r="A180" s="461" t="s">
        <v>484</v>
      </c>
      <c r="B180" s="450" t="str">
        <f>VLOOKUP(A180,'Calculations (All)'!A:B,2,FALSE)</f>
        <v>North Somerset</v>
      </c>
      <c r="C180" s="462">
        <v>1049.3</v>
      </c>
      <c r="D180" s="463">
        <v>960.4</v>
      </c>
      <c r="E180" s="464">
        <v>867.2</v>
      </c>
      <c r="F180" s="465">
        <v>2876.9</v>
      </c>
      <c r="G180" s="466">
        <v>729</v>
      </c>
      <c r="H180" s="463">
        <v>868</v>
      </c>
      <c r="I180" s="467">
        <v>966</v>
      </c>
      <c r="J180" s="465">
        <v>2563</v>
      </c>
      <c r="K180" s="468">
        <v>0.89</v>
      </c>
      <c r="L180" s="469" t="s">
        <v>4728</v>
      </c>
      <c r="M180" s="460" t="str">
        <f>VLOOKUP(B180,'Calculations (All)'!$B:$D,3,FALSE)</f>
        <v>SW</v>
      </c>
    </row>
    <row r="181" spans="1:13" ht="15" thickBot="1">
      <c r="A181" s="461" t="s">
        <v>486</v>
      </c>
      <c r="B181" s="450" t="str">
        <f>VLOOKUP(A181,'Calculations (All)'!A:B,2,FALSE)</f>
        <v>North Tyneside</v>
      </c>
      <c r="C181" s="462">
        <v>740</v>
      </c>
      <c r="D181" s="463">
        <v>677.3</v>
      </c>
      <c r="E181" s="464">
        <v>492.7</v>
      </c>
      <c r="F181" s="465">
        <v>1910</v>
      </c>
      <c r="G181" s="466">
        <v>946.9</v>
      </c>
      <c r="H181" s="463">
        <v>546.20000000000005</v>
      </c>
      <c r="I181" s="467">
        <v>559.70000000000005</v>
      </c>
      <c r="J181" s="465">
        <v>2052.8000000000002</v>
      </c>
      <c r="K181" s="468">
        <v>1.07</v>
      </c>
      <c r="L181" s="469" t="s">
        <v>4726</v>
      </c>
      <c r="M181" s="460" t="str">
        <f>VLOOKUP(B181,'Calculations (All)'!$B:$D,3,FALSE)</f>
        <v>NE</v>
      </c>
    </row>
    <row r="182" spans="1:13" ht="15" thickBot="1">
      <c r="A182" s="461" t="s">
        <v>488</v>
      </c>
      <c r="B182" s="450" t="str">
        <f>VLOOKUP(A182,'Calculations (All)'!A:B,2,FALSE)</f>
        <v>North Warwickshire</v>
      </c>
      <c r="C182" s="462">
        <v>200.8</v>
      </c>
      <c r="D182" s="463">
        <v>183.8</v>
      </c>
      <c r="E182" s="464">
        <v>132.30000000000001</v>
      </c>
      <c r="F182" s="465">
        <v>516.9</v>
      </c>
      <c r="G182" s="466">
        <v>337</v>
      </c>
      <c r="H182" s="463">
        <v>215</v>
      </c>
      <c r="I182" s="467">
        <v>137</v>
      </c>
      <c r="J182" s="465">
        <v>689</v>
      </c>
      <c r="K182" s="468">
        <v>1.33</v>
      </c>
      <c r="L182" s="469" t="s">
        <v>4726</v>
      </c>
      <c r="M182" s="460" t="str">
        <f>VLOOKUP(B182,'Calculations (All)'!$B:$D,3,FALSE)</f>
        <v>WM</v>
      </c>
    </row>
    <row r="183" spans="1:13" ht="15" thickBot="1">
      <c r="A183" s="461" t="s">
        <v>490</v>
      </c>
      <c r="B183" s="450" t="str">
        <f>VLOOKUP(A183,'Calculations (All)'!A:B,2,FALSE)</f>
        <v>North West Leicestershire</v>
      </c>
      <c r="C183" s="462">
        <v>367.8</v>
      </c>
      <c r="D183" s="463">
        <v>346.9</v>
      </c>
      <c r="E183" s="464">
        <v>239</v>
      </c>
      <c r="F183" s="465">
        <v>953.7</v>
      </c>
      <c r="G183" s="466">
        <v>713</v>
      </c>
      <c r="H183" s="463">
        <v>754</v>
      </c>
      <c r="I183" s="467">
        <v>702</v>
      </c>
      <c r="J183" s="465">
        <v>2169</v>
      </c>
      <c r="K183" s="468">
        <v>2.27</v>
      </c>
      <c r="L183" s="469" t="s">
        <v>4726</v>
      </c>
      <c r="M183" s="460" t="str">
        <f>VLOOKUP(B183,'Calculations (All)'!$B:$D,3,FALSE)</f>
        <v>EM</v>
      </c>
    </row>
    <row r="184" spans="1:13" ht="15" thickBot="1">
      <c r="A184" s="461" t="s">
        <v>492</v>
      </c>
      <c r="B184" s="450" t="str">
        <f>VLOOKUP(A184,'Calculations (All)'!A:B,2,FALSE)</f>
        <v>Northampton</v>
      </c>
      <c r="C184" s="462">
        <v>795.8</v>
      </c>
      <c r="D184" s="463">
        <v>731</v>
      </c>
      <c r="E184" s="464">
        <v>502.7</v>
      </c>
      <c r="F184" s="465">
        <v>2029.4</v>
      </c>
      <c r="G184" s="466">
        <v>597</v>
      </c>
      <c r="H184" s="463">
        <v>576</v>
      </c>
      <c r="I184" s="467">
        <v>653.20000000000005</v>
      </c>
      <c r="J184" s="465">
        <v>1826.2</v>
      </c>
      <c r="K184" s="468">
        <v>0.9</v>
      </c>
      <c r="L184" s="469" t="s">
        <v>4728</v>
      </c>
      <c r="M184" s="460" t="str">
        <f>VLOOKUP(B184,'Calculations (All)'!$B:$D,3,FALSE)</f>
        <v>EM</v>
      </c>
    </row>
    <row r="185" spans="1:13" ht="15" thickBot="1">
      <c r="A185" s="461" t="s">
        <v>494</v>
      </c>
      <c r="B185" s="450" t="str">
        <f>VLOOKUP(A185,'Calculations (All)'!A:B,2,FALSE)</f>
        <v>Northumberland</v>
      </c>
      <c r="C185" s="462">
        <v>685.8</v>
      </c>
      <c r="D185" s="463">
        <v>618.70000000000005</v>
      </c>
      <c r="E185" s="464">
        <v>433.4</v>
      </c>
      <c r="F185" s="465">
        <v>1738</v>
      </c>
      <c r="G185" s="466">
        <v>1802</v>
      </c>
      <c r="H185" s="463">
        <v>1744</v>
      </c>
      <c r="I185" s="467">
        <v>1327.9</v>
      </c>
      <c r="J185" s="465">
        <v>4873.8999999999996</v>
      </c>
      <c r="K185" s="468">
        <v>2.8</v>
      </c>
      <c r="L185" s="469" t="s">
        <v>4726</v>
      </c>
      <c r="M185" s="460" t="str">
        <f>VLOOKUP(B185,'Calculations (All)'!$B:$D,3,FALSE)</f>
        <v>NE</v>
      </c>
    </row>
    <row r="186" spans="1:13" ht="15" thickBot="1">
      <c r="A186" s="461" t="s">
        <v>498</v>
      </c>
      <c r="B186" s="450" t="str">
        <f>VLOOKUP(A186,'Calculations (All)'!A:B,2,FALSE)</f>
        <v>Nottingham</v>
      </c>
      <c r="C186" s="462">
        <v>1080.5</v>
      </c>
      <c r="D186" s="463">
        <v>1024.2</v>
      </c>
      <c r="E186" s="464">
        <v>765</v>
      </c>
      <c r="F186" s="465">
        <v>2869.6</v>
      </c>
      <c r="G186" s="466">
        <v>1456</v>
      </c>
      <c r="H186" s="463">
        <v>1806</v>
      </c>
      <c r="I186" s="467">
        <v>1407</v>
      </c>
      <c r="J186" s="465">
        <v>4669</v>
      </c>
      <c r="K186" s="468">
        <v>1.63</v>
      </c>
      <c r="L186" s="469" t="s">
        <v>4726</v>
      </c>
      <c r="M186" s="460" t="str">
        <f>VLOOKUP(B186,'Calculations (All)'!$B:$D,3,FALSE)</f>
        <v>EM</v>
      </c>
    </row>
    <row r="187" spans="1:13" ht="15" thickBot="1">
      <c r="A187" s="461" t="s">
        <v>500</v>
      </c>
      <c r="B187" s="450" t="str">
        <f>VLOOKUP(A187,'Calculations (All)'!A:B,2,FALSE)</f>
        <v>Nuneaton and Bedworth</v>
      </c>
      <c r="C187" s="462">
        <v>628.5</v>
      </c>
      <c r="D187" s="463">
        <v>567.9</v>
      </c>
      <c r="E187" s="464">
        <v>419.3</v>
      </c>
      <c r="F187" s="465">
        <v>1615.7</v>
      </c>
      <c r="G187" s="466">
        <v>680.8</v>
      </c>
      <c r="H187" s="463">
        <v>607.29999999999995</v>
      </c>
      <c r="I187" s="467">
        <v>601</v>
      </c>
      <c r="J187" s="465">
        <v>1889.1</v>
      </c>
      <c r="K187" s="468">
        <v>1.17</v>
      </c>
      <c r="L187" s="469" t="s">
        <v>4726</v>
      </c>
      <c r="M187" s="460" t="str">
        <f>VLOOKUP(B187,'Calculations (All)'!$B:$D,3,FALSE)</f>
        <v>WM</v>
      </c>
    </row>
    <row r="188" spans="1:13" ht="15" thickBot="1">
      <c r="A188" s="461" t="s">
        <v>502</v>
      </c>
      <c r="B188" s="450" t="str">
        <f>VLOOKUP(A188,'Calculations (All)'!A:B,2,FALSE)</f>
        <v>Oadby and Wigston</v>
      </c>
      <c r="C188" s="462">
        <v>143.80000000000001</v>
      </c>
      <c r="D188" s="463">
        <v>135.5</v>
      </c>
      <c r="E188" s="464">
        <v>98.5</v>
      </c>
      <c r="F188" s="465">
        <v>377.8</v>
      </c>
      <c r="G188" s="466">
        <v>93</v>
      </c>
      <c r="H188" s="463">
        <v>170</v>
      </c>
      <c r="I188" s="467">
        <v>215</v>
      </c>
      <c r="J188" s="465">
        <v>478</v>
      </c>
      <c r="K188" s="468">
        <v>1.27</v>
      </c>
      <c r="L188" s="469" t="s">
        <v>4726</v>
      </c>
      <c r="M188" s="460" t="str">
        <f>VLOOKUP(B188,'Calculations (All)'!$B:$D,3,FALSE)</f>
        <v>EM</v>
      </c>
    </row>
    <row r="189" spans="1:13" ht="15" thickBot="1">
      <c r="A189" s="461" t="s">
        <v>504</v>
      </c>
      <c r="B189" s="450" t="str">
        <f>VLOOKUP(A189,'Calculations (All)'!A:B,2,FALSE)</f>
        <v>Oldham</v>
      </c>
      <c r="C189" s="462">
        <v>716.5</v>
      </c>
      <c r="D189" s="463">
        <v>633.4</v>
      </c>
      <c r="E189" s="464">
        <v>461.4</v>
      </c>
      <c r="F189" s="465">
        <v>1811.2</v>
      </c>
      <c r="G189" s="466">
        <v>536.6</v>
      </c>
      <c r="H189" s="463">
        <v>728.6</v>
      </c>
      <c r="I189" s="467">
        <v>380</v>
      </c>
      <c r="J189" s="465">
        <v>1645.2</v>
      </c>
      <c r="K189" s="468">
        <v>0.91</v>
      </c>
      <c r="L189" s="469" t="s">
        <v>4728</v>
      </c>
      <c r="M189" s="460" t="str">
        <f>VLOOKUP(B189,'Calculations (All)'!$B:$D,3,FALSE)</f>
        <v>NW</v>
      </c>
    </row>
    <row r="190" spans="1:13" ht="15" thickBot="1">
      <c r="A190" s="461" t="s">
        <v>506</v>
      </c>
      <c r="B190" s="450" t="str">
        <f>VLOOKUP(A190,'Calculations (All)'!A:B,2,FALSE)</f>
        <v>Oxford</v>
      </c>
      <c r="C190" s="462">
        <v>28.3</v>
      </c>
      <c r="D190" s="463">
        <v>29.8</v>
      </c>
      <c r="E190" s="464">
        <v>30.3</v>
      </c>
      <c r="F190" s="465">
        <v>88.4</v>
      </c>
      <c r="G190" s="466">
        <v>343.2</v>
      </c>
      <c r="H190" s="463">
        <v>783.5</v>
      </c>
      <c r="I190" s="467">
        <v>752.6</v>
      </c>
      <c r="J190" s="465">
        <v>1879.3</v>
      </c>
      <c r="K190" s="468">
        <v>21.26</v>
      </c>
      <c r="L190" s="469" t="s">
        <v>4726</v>
      </c>
      <c r="M190" s="460" t="str">
        <f>VLOOKUP(B190,'Calculations (All)'!$B:$D,3,FALSE)</f>
        <v>SE</v>
      </c>
    </row>
    <row r="191" spans="1:13" ht="15" thickBot="1">
      <c r="A191" s="461" t="s">
        <v>508</v>
      </c>
      <c r="B191" s="450" t="str">
        <f>VLOOKUP(A191,'Calculations (All)'!A:B,2,FALSE)</f>
        <v>Pendle</v>
      </c>
      <c r="C191" s="462">
        <v>152.6</v>
      </c>
      <c r="D191" s="463">
        <v>133.6</v>
      </c>
      <c r="E191" s="464">
        <v>97.2</v>
      </c>
      <c r="F191" s="465">
        <v>383.4</v>
      </c>
      <c r="G191" s="466">
        <v>314</v>
      </c>
      <c r="H191" s="463">
        <v>208</v>
      </c>
      <c r="I191" s="467">
        <v>347.6</v>
      </c>
      <c r="J191" s="465">
        <v>869.6</v>
      </c>
      <c r="K191" s="468">
        <v>2.27</v>
      </c>
      <c r="L191" s="469" t="s">
        <v>4726</v>
      </c>
      <c r="M191" s="460" t="str">
        <f>VLOOKUP(B191,'Calculations (All)'!$B:$D,3,FALSE)</f>
        <v>NW</v>
      </c>
    </row>
    <row r="192" spans="1:13" ht="15" thickBot="1">
      <c r="A192" s="461" t="s">
        <v>510</v>
      </c>
      <c r="B192" s="450" t="str">
        <f>VLOOKUP(A192,'Calculations (All)'!A:B,2,FALSE)</f>
        <v>Peterborough</v>
      </c>
      <c r="C192" s="462">
        <v>943.9</v>
      </c>
      <c r="D192" s="463">
        <v>857.6</v>
      </c>
      <c r="E192" s="464">
        <v>616.5</v>
      </c>
      <c r="F192" s="465">
        <v>2418</v>
      </c>
      <c r="G192" s="466">
        <v>1131.8</v>
      </c>
      <c r="H192" s="463">
        <v>1136.3</v>
      </c>
      <c r="I192" s="467">
        <v>1247</v>
      </c>
      <c r="J192" s="465">
        <v>3515.1</v>
      </c>
      <c r="K192" s="468">
        <v>1.45</v>
      </c>
      <c r="L192" s="469" t="s">
        <v>4726</v>
      </c>
      <c r="M192" s="460" t="str">
        <f>VLOOKUP(B192,'Calculations (All)'!$B:$D,3,FALSE)</f>
        <v>E</v>
      </c>
    </row>
    <row r="193" spans="1:13" ht="15" thickBot="1">
      <c r="A193" s="461" t="s">
        <v>514</v>
      </c>
      <c r="B193" s="450" t="str">
        <f>VLOOKUP(A193,'Calculations (All)'!A:B,2,FALSE)</f>
        <v>Portsmouth</v>
      </c>
      <c r="C193" s="462">
        <v>857</v>
      </c>
      <c r="D193" s="463">
        <v>793.6</v>
      </c>
      <c r="E193" s="464">
        <v>569.20000000000005</v>
      </c>
      <c r="F193" s="465">
        <v>2219.8000000000002</v>
      </c>
      <c r="G193" s="466">
        <v>626.5</v>
      </c>
      <c r="H193" s="463">
        <v>270.39999999999998</v>
      </c>
      <c r="I193" s="467">
        <v>299.7</v>
      </c>
      <c r="J193" s="465">
        <v>1196.5999999999999</v>
      </c>
      <c r="K193" s="468">
        <v>0.54</v>
      </c>
      <c r="L193" s="469" t="s">
        <v>4714</v>
      </c>
      <c r="M193" s="460" t="str">
        <f>VLOOKUP(B193,'Calculations (All)'!$B:$D,3,FALSE)</f>
        <v>SE</v>
      </c>
    </row>
    <row r="194" spans="1:13" ht="15" thickBot="1">
      <c r="A194" s="461" t="s">
        <v>516</v>
      </c>
      <c r="B194" s="450" t="str">
        <f>VLOOKUP(A194,'Calculations (All)'!A:B,2,FALSE)</f>
        <v>Preston</v>
      </c>
      <c r="C194" s="462">
        <v>234.1</v>
      </c>
      <c r="D194" s="463">
        <v>220.6</v>
      </c>
      <c r="E194" s="464">
        <v>166.4</v>
      </c>
      <c r="F194" s="465">
        <v>621.20000000000005</v>
      </c>
      <c r="G194" s="466">
        <v>785</v>
      </c>
      <c r="H194" s="463">
        <v>747</v>
      </c>
      <c r="I194" s="467">
        <v>909</v>
      </c>
      <c r="J194" s="465">
        <v>2441</v>
      </c>
      <c r="K194" s="468">
        <v>3.93</v>
      </c>
      <c r="L194" s="469" t="s">
        <v>4726</v>
      </c>
      <c r="M194" s="460" t="str">
        <f>VLOOKUP(B194,'Calculations (All)'!$B:$D,3,FALSE)</f>
        <v>NW</v>
      </c>
    </row>
    <row r="195" spans="1:13" ht="15" thickBot="1">
      <c r="A195" s="461" t="s">
        <v>518</v>
      </c>
      <c r="B195" s="450" t="str">
        <f>VLOOKUP(A195,'Calculations (All)'!A:B,2,FALSE)</f>
        <v>Reading</v>
      </c>
      <c r="C195" s="462">
        <v>604.20000000000005</v>
      </c>
      <c r="D195" s="463">
        <v>568.4</v>
      </c>
      <c r="E195" s="464">
        <v>425.4</v>
      </c>
      <c r="F195" s="465">
        <v>1598</v>
      </c>
      <c r="G195" s="466">
        <v>976.1</v>
      </c>
      <c r="H195" s="463">
        <v>573.1</v>
      </c>
      <c r="I195" s="467">
        <v>531.1</v>
      </c>
      <c r="J195" s="465">
        <v>2080.3000000000002</v>
      </c>
      <c r="K195" s="468">
        <v>1.3</v>
      </c>
      <c r="L195" s="469" t="s">
        <v>4726</v>
      </c>
      <c r="M195" s="460" t="str">
        <f>VLOOKUP(B195,'Calculations (All)'!$B:$D,3,FALSE)</f>
        <v>SE</v>
      </c>
    </row>
    <row r="196" spans="1:13" ht="15" thickBot="1">
      <c r="A196" s="461" t="s">
        <v>520</v>
      </c>
      <c r="B196" s="450" t="str">
        <f>VLOOKUP(A196,'Calculations (All)'!A:B,2,FALSE)</f>
        <v>Redbridge</v>
      </c>
      <c r="C196" s="462">
        <v>1123.5</v>
      </c>
      <c r="D196" s="463">
        <v>1028.3</v>
      </c>
      <c r="E196" s="464">
        <v>748</v>
      </c>
      <c r="F196" s="465">
        <v>2899.7</v>
      </c>
      <c r="G196" s="466">
        <v>789</v>
      </c>
      <c r="H196" s="463">
        <v>672.9</v>
      </c>
      <c r="I196" s="467">
        <v>2448.1999999999998</v>
      </c>
      <c r="J196" s="465">
        <v>3910.1</v>
      </c>
      <c r="K196" s="468">
        <v>1.35</v>
      </c>
      <c r="L196" s="469" t="s">
        <v>4726</v>
      </c>
      <c r="M196" s="460" t="str">
        <f>VLOOKUP(B196,'Calculations (All)'!$B:$D,3,FALSE)</f>
        <v>GL</v>
      </c>
    </row>
    <row r="197" spans="1:13" ht="15" thickBot="1">
      <c r="A197" s="461" t="s">
        <v>522</v>
      </c>
      <c r="B197" s="450" t="str">
        <f>VLOOKUP(A197,'Calculations (All)'!A:B,2,FALSE)</f>
        <v>Redcar and Cleveland</v>
      </c>
      <c r="C197" s="462">
        <v>116.9</v>
      </c>
      <c r="D197" s="463">
        <v>92.4</v>
      </c>
      <c r="E197" s="464">
        <v>59.3</v>
      </c>
      <c r="F197" s="465">
        <v>268.60000000000002</v>
      </c>
      <c r="G197" s="466">
        <v>487.9</v>
      </c>
      <c r="H197" s="463">
        <v>360.4</v>
      </c>
      <c r="I197" s="467">
        <v>367.8</v>
      </c>
      <c r="J197" s="465">
        <v>1216.0999999999999</v>
      </c>
      <c r="K197" s="468">
        <v>4.53</v>
      </c>
      <c r="L197" s="469" t="s">
        <v>4726</v>
      </c>
      <c r="M197" s="460" t="str">
        <f>VLOOKUP(B197,'Calculations (All)'!$B:$D,3,FALSE)</f>
        <v>NE</v>
      </c>
    </row>
    <row r="198" spans="1:13" ht="15" thickBot="1">
      <c r="A198" s="461" t="s">
        <v>524</v>
      </c>
      <c r="B198" s="450" t="str">
        <f>VLOOKUP(A198,'Calculations (All)'!A:B,2,FALSE)</f>
        <v>Redditch</v>
      </c>
      <c r="C198" s="462">
        <v>-0.8</v>
      </c>
      <c r="D198" s="463">
        <v>-0.3</v>
      </c>
      <c r="E198" s="464">
        <v>-3.2</v>
      </c>
      <c r="F198" s="465">
        <v>0</v>
      </c>
      <c r="G198" s="466">
        <v>393.9</v>
      </c>
      <c r="H198" s="463">
        <v>279</v>
      </c>
      <c r="I198" s="467">
        <v>207.9</v>
      </c>
      <c r="J198" s="465">
        <v>880.8</v>
      </c>
      <c r="K198" s="468" t="s">
        <v>4658</v>
      </c>
      <c r="L198" s="469" t="s">
        <v>4726</v>
      </c>
      <c r="M198" s="460" t="str">
        <f>VLOOKUP(B198,'Calculations (All)'!$B:$D,3,FALSE)</f>
        <v>WM</v>
      </c>
    </row>
    <row r="199" spans="1:13" ht="15" thickBot="1">
      <c r="A199" s="461" t="s">
        <v>526</v>
      </c>
      <c r="B199" s="450" t="str">
        <f>VLOOKUP(A199,'Calculations (All)'!A:B,2,FALSE)</f>
        <v>Reigate and Banstead</v>
      </c>
      <c r="C199" s="462">
        <v>465.2</v>
      </c>
      <c r="D199" s="463">
        <v>544</v>
      </c>
      <c r="E199" s="464">
        <v>428.7</v>
      </c>
      <c r="F199" s="465">
        <v>1438</v>
      </c>
      <c r="G199" s="466">
        <v>527.79999999999995</v>
      </c>
      <c r="H199" s="463">
        <v>491.8</v>
      </c>
      <c r="I199" s="467">
        <v>791.6</v>
      </c>
      <c r="J199" s="465">
        <v>1811.1</v>
      </c>
      <c r="K199" s="468">
        <v>1.26</v>
      </c>
      <c r="L199" s="469" t="s">
        <v>4726</v>
      </c>
      <c r="M199" s="460" t="str">
        <f>VLOOKUP(B199,'Calculations (All)'!$B:$D,3,FALSE)</f>
        <v>SE</v>
      </c>
    </row>
    <row r="200" spans="1:13" ht="15" thickBot="1">
      <c r="A200" s="461" t="s">
        <v>528</v>
      </c>
      <c r="B200" s="450" t="str">
        <f>VLOOKUP(A200,'Calculations (All)'!A:B,2,FALSE)</f>
        <v>Ribble Valley</v>
      </c>
      <c r="C200" s="462">
        <v>152.69999999999999</v>
      </c>
      <c r="D200" s="463">
        <v>135.5</v>
      </c>
      <c r="E200" s="464">
        <v>95.2</v>
      </c>
      <c r="F200" s="465">
        <v>383.4</v>
      </c>
      <c r="G200" s="466">
        <v>403</v>
      </c>
      <c r="H200" s="463">
        <v>559</v>
      </c>
      <c r="I200" s="467">
        <v>453</v>
      </c>
      <c r="J200" s="465">
        <v>1415</v>
      </c>
      <c r="K200" s="468">
        <v>3.69</v>
      </c>
      <c r="L200" s="469" t="s">
        <v>4726</v>
      </c>
      <c r="M200" s="460" t="str">
        <f>VLOOKUP(B200,'Calculations (All)'!$B:$D,3,FALSE)</f>
        <v>NW</v>
      </c>
    </row>
    <row r="201" spans="1:13" ht="15" thickBot="1">
      <c r="A201" s="461" t="s">
        <v>530</v>
      </c>
      <c r="B201" s="450" t="str">
        <f>VLOOKUP(A201,'Calculations (All)'!A:B,2,FALSE)</f>
        <v>Richmond upon Thames</v>
      </c>
      <c r="C201" s="462">
        <v>315</v>
      </c>
      <c r="D201" s="463">
        <v>288.3</v>
      </c>
      <c r="E201" s="464">
        <v>209.7</v>
      </c>
      <c r="F201" s="465">
        <v>813</v>
      </c>
      <c r="G201" s="466">
        <v>323</v>
      </c>
      <c r="H201" s="463">
        <v>322.39999999999998</v>
      </c>
      <c r="I201" s="467">
        <v>1373.7</v>
      </c>
      <c r="J201" s="465">
        <v>2019.1</v>
      </c>
      <c r="K201" s="468">
        <v>2.48</v>
      </c>
      <c r="L201" s="469" t="s">
        <v>4726</v>
      </c>
      <c r="M201" s="460" t="str">
        <f>VLOOKUP(B201,'Calculations (All)'!$B:$D,3,FALSE)</f>
        <v>GL</v>
      </c>
    </row>
    <row r="202" spans="1:13" ht="15" thickBot="1">
      <c r="A202" s="461" t="s">
        <v>532</v>
      </c>
      <c r="B202" s="450" t="str">
        <f>VLOOKUP(A202,'Calculations (All)'!A:B,2,FALSE)</f>
        <v>Richmondshire</v>
      </c>
      <c r="C202" s="462">
        <v>11.3</v>
      </c>
      <c r="D202" s="463">
        <v>11</v>
      </c>
      <c r="E202" s="464">
        <v>8</v>
      </c>
      <c r="F202" s="465">
        <v>30.3</v>
      </c>
      <c r="G202" s="466">
        <v>276.60000000000002</v>
      </c>
      <c r="H202" s="463">
        <v>114.7</v>
      </c>
      <c r="I202" s="467">
        <v>99.6</v>
      </c>
      <c r="J202" s="465">
        <v>490.8</v>
      </c>
      <c r="K202" s="468">
        <v>16.22</v>
      </c>
      <c r="L202" s="469" t="s">
        <v>4726</v>
      </c>
      <c r="M202" s="460" t="str">
        <f>VLOOKUP(B202,'Calculations (All)'!$B:$D,3,FALSE)</f>
        <v>YH</v>
      </c>
    </row>
    <row r="203" spans="1:13" ht="15" thickBot="1">
      <c r="A203" s="461" t="s">
        <v>534</v>
      </c>
      <c r="B203" s="450" t="str">
        <f>VLOOKUP(A203,'Calculations (All)'!A:B,2,FALSE)</f>
        <v>Rochdale</v>
      </c>
      <c r="C203" s="462">
        <v>460</v>
      </c>
      <c r="D203" s="463">
        <v>421</v>
      </c>
      <c r="E203" s="464">
        <v>306.2</v>
      </c>
      <c r="F203" s="465">
        <v>1187.3</v>
      </c>
      <c r="G203" s="466">
        <v>833</v>
      </c>
      <c r="H203" s="463">
        <v>650</v>
      </c>
      <c r="I203" s="467">
        <v>520</v>
      </c>
      <c r="J203" s="465">
        <v>2003</v>
      </c>
      <c r="K203" s="468">
        <v>1.69</v>
      </c>
      <c r="L203" s="469" t="s">
        <v>4726</v>
      </c>
      <c r="M203" s="460" t="str">
        <f>VLOOKUP(B203,'Calculations (All)'!$B:$D,3,FALSE)</f>
        <v>NW</v>
      </c>
    </row>
    <row r="204" spans="1:13" ht="15" thickBot="1">
      <c r="A204" s="461" t="s">
        <v>536</v>
      </c>
      <c r="B204" s="450" t="str">
        <f>VLOOKUP(A204,'Calculations (All)'!A:B,2,FALSE)</f>
        <v>Rochford</v>
      </c>
      <c r="C204" s="462">
        <v>363.2</v>
      </c>
      <c r="D204" s="463">
        <v>330.4</v>
      </c>
      <c r="E204" s="464">
        <v>239.7</v>
      </c>
      <c r="F204" s="465">
        <v>933.3</v>
      </c>
      <c r="G204" s="466">
        <v>262</v>
      </c>
      <c r="H204" s="463">
        <v>347</v>
      </c>
      <c r="I204" s="467">
        <v>349</v>
      </c>
      <c r="J204" s="465">
        <v>958</v>
      </c>
      <c r="K204" s="468">
        <v>1.03</v>
      </c>
      <c r="L204" s="469" t="s">
        <v>4726</v>
      </c>
      <c r="M204" s="460" t="str">
        <f>VLOOKUP(B204,'Calculations (All)'!$B:$D,3,FALSE)</f>
        <v>E</v>
      </c>
    </row>
    <row r="205" spans="1:13" ht="15" thickBot="1">
      <c r="A205" s="461" t="s">
        <v>538</v>
      </c>
      <c r="B205" s="450" t="str">
        <f>VLOOKUP(A205,'Calculations (All)'!A:B,2,FALSE)</f>
        <v>Rossendale</v>
      </c>
      <c r="C205" s="462">
        <v>207.9</v>
      </c>
      <c r="D205" s="463">
        <v>180.3</v>
      </c>
      <c r="E205" s="464">
        <v>126.5</v>
      </c>
      <c r="F205" s="465">
        <v>514.70000000000005</v>
      </c>
      <c r="G205" s="466">
        <v>122.6</v>
      </c>
      <c r="H205" s="463">
        <v>94</v>
      </c>
      <c r="I205" s="467">
        <v>77</v>
      </c>
      <c r="J205" s="465">
        <v>293.60000000000002</v>
      </c>
      <c r="K205" s="468">
        <v>0.56999999999999995</v>
      </c>
      <c r="L205" s="469" t="s">
        <v>4714</v>
      </c>
      <c r="M205" s="460" t="str">
        <f>VLOOKUP(B205,'Calculations (All)'!$B:$D,3,FALSE)</f>
        <v>NW</v>
      </c>
    </row>
    <row r="206" spans="1:13" ht="15" thickBot="1">
      <c r="A206" s="461" t="s">
        <v>540</v>
      </c>
      <c r="B206" s="450" t="str">
        <f>VLOOKUP(A206,'Calculations (All)'!A:B,2,FALSE)</f>
        <v>Rother</v>
      </c>
      <c r="C206" s="462">
        <v>335.8</v>
      </c>
      <c r="D206" s="463">
        <v>363.4</v>
      </c>
      <c r="E206" s="464">
        <v>490</v>
      </c>
      <c r="F206" s="465">
        <v>1189.2</v>
      </c>
      <c r="G206" s="466">
        <v>255</v>
      </c>
      <c r="H206" s="463">
        <v>247</v>
      </c>
      <c r="I206" s="467">
        <v>175</v>
      </c>
      <c r="J206" s="465">
        <v>677</v>
      </c>
      <c r="K206" s="468">
        <v>0.56999999999999995</v>
      </c>
      <c r="L206" s="469" t="s">
        <v>4714</v>
      </c>
      <c r="M206" s="460" t="str">
        <f>VLOOKUP(B206,'Calculations (All)'!$B:$D,3,FALSE)</f>
        <v>SE</v>
      </c>
    </row>
    <row r="207" spans="1:13" ht="15" thickBot="1">
      <c r="A207" s="461" t="s">
        <v>542</v>
      </c>
      <c r="B207" s="450" t="str">
        <f>VLOOKUP(A207,'Calculations (All)'!A:B,2,FALSE)</f>
        <v>Rotherham</v>
      </c>
      <c r="C207" s="462">
        <v>578.6</v>
      </c>
      <c r="D207" s="463">
        <v>531.79999999999995</v>
      </c>
      <c r="E207" s="464">
        <v>376.8</v>
      </c>
      <c r="F207" s="465">
        <v>1487.2</v>
      </c>
      <c r="G207" s="466">
        <v>422</v>
      </c>
      <c r="H207" s="463">
        <v>556</v>
      </c>
      <c r="I207" s="467">
        <v>566</v>
      </c>
      <c r="J207" s="465">
        <v>1544</v>
      </c>
      <c r="K207" s="468">
        <v>1.04</v>
      </c>
      <c r="L207" s="469" t="s">
        <v>4726</v>
      </c>
      <c r="M207" s="460" t="str">
        <f>VLOOKUP(B207,'Calculations (All)'!$B:$D,3,FALSE)</f>
        <v>YH</v>
      </c>
    </row>
    <row r="208" spans="1:13" ht="15" thickBot="1">
      <c r="A208" s="461" t="s">
        <v>544</v>
      </c>
      <c r="B208" s="450" t="str">
        <f>VLOOKUP(A208,'Calculations (All)'!A:B,2,FALSE)</f>
        <v>Rugby</v>
      </c>
      <c r="C208" s="462">
        <v>651.70000000000005</v>
      </c>
      <c r="D208" s="463">
        <v>613.29999999999995</v>
      </c>
      <c r="E208" s="464">
        <v>442.7</v>
      </c>
      <c r="F208" s="465">
        <v>1707.6</v>
      </c>
      <c r="G208" s="466">
        <v>945.1</v>
      </c>
      <c r="H208" s="463">
        <v>871</v>
      </c>
      <c r="I208" s="467">
        <v>834.8</v>
      </c>
      <c r="J208" s="465">
        <v>2650.9</v>
      </c>
      <c r="K208" s="468">
        <v>1.55</v>
      </c>
      <c r="L208" s="469" t="s">
        <v>4726</v>
      </c>
      <c r="M208" s="460" t="str">
        <f>VLOOKUP(B208,'Calculations (All)'!$B:$D,3,FALSE)</f>
        <v>WM</v>
      </c>
    </row>
    <row r="209" spans="1:13" ht="15" thickBot="1">
      <c r="A209" s="461" t="s">
        <v>546</v>
      </c>
      <c r="B209" s="450" t="str">
        <f>VLOOKUP(A209,'Calculations (All)'!A:B,2,FALSE)</f>
        <v>Runnymede</v>
      </c>
      <c r="C209" s="462">
        <v>511.7</v>
      </c>
      <c r="D209" s="463">
        <v>468.4</v>
      </c>
      <c r="E209" s="464">
        <v>340.6</v>
      </c>
      <c r="F209" s="465">
        <v>1320.7</v>
      </c>
      <c r="G209" s="466">
        <v>665.4</v>
      </c>
      <c r="H209" s="463">
        <v>380.9</v>
      </c>
      <c r="I209" s="467">
        <v>392.1</v>
      </c>
      <c r="J209" s="465">
        <v>1438.4</v>
      </c>
      <c r="K209" s="468">
        <v>1.0900000000000001</v>
      </c>
      <c r="L209" s="469" t="s">
        <v>4726</v>
      </c>
      <c r="M209" s="460" t="str">
        <f>VLOOKUP(B209,'Calculations (All)'!$B:$D,3,FALSE)</f>
        <v>SE</v>
      </c>
    </row>
    <row r="210" spans="1:13" ht="15" thickBot="1">
      <c r="A210" s="461" t="s">
        <v>548</v>
      </c>
      <c r="B210" s="450" t="str">
        <f>VLOOKUP(A210,'Calculations (All)'!A:B,2,FALSE)</f>
        <v>Rushcliffe</v>
      </c>
      <c r="C210" s="462">
        <v>620.5</v>
      </c>
      <c r="D210" s="463">
        <v>540</v>
      </c>
      <c r="E210" s="464">
        <v>402.1</v>
      </c>
      <c r="F210" s="465">
        <v>1562.7</v>
      </c>
      <c r="G210" s="466">
        <v>759.1</v>
      </c>
      <c r="H210" s="463">
        <v>494</v>
      </c>
      <c r="I210" s="467">
        <v>649.9</v>
      </c>
      <c r="J210" s="465">
        <v>1903</v>
      </c>
      <c r="K210" s="468">
        <v>1.22</v>
      </c>
      <c r="L210" s="469" t="s">
        <v>4726</v>
      </c>
      <c r="M210" s="460" t="str">
        <f>VLOOKUP(B210,'Calculations (All)'!$B:$D,3,FALSE)</f>
        <v>EM</v>
      </c>
    </row>
    <row r="211" spans="1:13" ht="15" thickBot="1">
      <c r="A211" s="461" t="s">
        <v>550</v>
      </c>
      <c r="B211" s="450" t="str">
        <f>VLOOKUP(A211,'Calculations (All)'!A:B,2,FALSE)</f>
        <v>Rushmoor</v>
      </c>
      <c r="C211" s="462">
        <v>283.8</v>
      </c>
      <c r="D211" s="463">
        <v>243.5</v>
      </c>
      <c r="E211" s="464">
        <v>173.1</v>
      </c>
      <c r="F211" s="465">
        <v>700.4</v>
      </c>
      <c r="G211" s="466">
        <v>303</v>
      </c>
      <c r="H211" s="463">
        <v>723.9</v>
      </c>
      <c r="I211" s="467">
        <v>225.6</v>
      </c>
      <c r="J211" s="465">
        <v>1252.4000000000001</v>
      </c>
      <c r="K211" s="468">
        <v>1.79</v>
      </c>
      <c r="L211" s="469" t="s">
        <v>4726</v>
      </c>
      <c r="M211" s="460" t="str">
        <f>VLOOKUP(B211,'Calculations (All)'!$B:$D,3,FALSE)</f>
        <v>SE</v>
      </c>
    </row>
    <row r="212" spans="1:13" ht="15" thickBot="1">
      <c r="A212" s="461" t="s">
        <v>552</v>
      </c>
      <c r="B212" s="450" t="str">
        <f>VLOOKUP(A212,'Calculations (All)'!A:B,2,FALSE)</f>
        <v>Rutland</v>
      </c>
      <c r="C212" s="462">
        <v>133</v>
      </c>
      <c r="D212" s="463">
        <v>116.2</v>
      </c>
      <c r="E212" s="464">
        <v>81.2</v>
      </c>
      <c r="F212" s="465">
        <v>330.5</v>
      </c>
      <c r="G212" s="466">
        <v>213</v>
      </c>
      <c r="H212" s="463">
        <v>188</v>
      </c>
      <c r="I212" s="467">
        <v>114</v>
      </c>
      <c r="J212" s="465">
        <v>515</v>
      </c>
      <c r="K212" s="468">
        <v>1.56</v>
      </c>
      <c r="L212" s="469" t="s">
        <v>4726</v>
      </c>
      <c r="M212" s="460" t="str">
        <f>VLOOKUP(B212,'Calculations (All)'!$B:$D,3,FALSE)</f>
        <v>EM</v>
      </c>
    </row>
    <row r="213" spans="1:13" ht="15" thickBot="1">
      <c r="A213" s="461" t="s">
        <v>554</v>
      </c>
      <c r="B213" s="450" t="str">
        <f>VLOOKUP(A213,'Calculations (All)'!A:B,2,FALSE)</f>
        <v>Ryedale</v>
      </c>
      <c r="C213" s="462">
        <v>186.9</v>
      </c>
      <c r="D213" s="463">
        <v>173</v>
      </c>
      <c r="E213" s="464">
        <v>122.5</v>
      </c>
      <c r="F213" s="465">
        <v>482.4</v>
      </c>
      <c r="G213" s="466">
        <v>272</v>
      </c>
      <c r="H213" s="463">
        <v>452</v>
      </c>
      <c r="I213" s="467">
        <v>197</v>
      </c>
      <c r="J213" s="465">
        <v>921</v>
      </c>
      <c r="K213" s="468">
        <v>1.91</v>
      </c>
      <c r="L213" s="469" t="s">
        <v>4726</v>
      </c>
      <c r="M213" s="460" t="str">
        <f>VLOOKUP(B213,'Calculations (All)'!$B:$D,3,FALSE)</f>
        <v>YH</v>
      </c>
    </row>
    <row r="214" spans="1:13" ht="15" thickBot="1">
      <c r="A214" s="461" t="s">
        <v>556</v>
      </c>
      <c r="B214" s="450" t="str">
        <f>VLOOKUP(A214,'Calculations (All)'!A:B,2,FALSE)</f>
        <v>Salford</v>
      </c>
      <c r="C214" s="462">
        <v>1372.4</v>
      </c>
      <c r="D214" s="463">
        <v>1254</v>
      </c>
      <c r="E214" s="464">
        <v>894.8</v>
      </c>
      <c r="F214" s="465">
        <v>3521.1</v>
      </c>
      <c r="G214" s="466">
        <v>3208</v>
      </c>
      <c r="H214" s="463">
        <v>3867</v>
      </c>
      <c r="I214" s="467">
        <v>3025</v>
      </c>
      <c r="J214" s="465">
        <v>10100</v>
      </c>
      <c r="K214" s="468">
        <v>2.87</v>
      </c>
      <c r="L214" s="469" t="s">
        <v>4726</v>
      </c>
      <c r="M214" s="460" t="str">
        <f>VLOOKUP(B214,'Calculations (All)'!$B:$D,3,FALSE)</f>
        <v>NW</v>
      </c>
    </row>
    <row r="215" spans="1:13" ht="15" thickBot="1">
      <c r="A215" s="461" t="s">
        <v>558</v>
      </c>
      <c r="B215" s="450" t="str">
        <f>VLOOKUP(A215,'Calculations (All)'!A:B,2,FALSE)</f>
        <v>Sandwell</v>
      </c>
      <c r="C215" s="462">
        <v>1447</v>
      </c>
      <c r="D215" s="463">
        <v>1351</v>
      </c>
      <c r="E215" s="464">
        <v>990.6</v>
      </c>
      <c r="F215" s="465">
        <v>3788.7</v>
      </c>
      <c r="G215" s="466">
        <v>848.4</v>
      </c>
      <c r="H215" s="463">
        <v>467</v>
      </c>
      <c r="I215" s="467">
        <v>654</v>
      </c>
      <c r="J215" s="465">
        <v>1969.4</v>
      </c>
      <c r="K215" s="468">
        <v>0.52</v>
      </c>
      <c r="L215" s="469" t="s">
        <v>4714</v>
      </c>
      <c r="M215" s="460" t="str">
        <f>VLOOKUP(B215,'Calculations (All)'!$B:$D,3,FALSE)</f>
        <v>WM</v>
      </c>
    </row>
    <row r="216" spans="1:13" ht="15" thickBot="1">
      <c r="A216" s="461" t="s">
        <v>560</v>
      </c>
      <c r="B216" s="450" t="str">
        <f>VLOOKUP(A216,'Calculations (All)'!A:B,2,FALSE)</f>
        <v>Scarborough</v>
      </c>
      <c r="C216" s="462">
        <v>171.2</v>
      </c>
      <c r="D216" s="463">
        <v>158.30000000000001</v>
      </c>
      <c r="E216" s="464">
        <v>114.5</v>
      </c>
      <c r="F216" s="465">
        <v>444</v>
      </c>
      <c r="G216" s="466">
        <v>494.7</v>
      </c>
      <c r="H216" s="463">
        <v>555.20000000000005</v>
      </c>
      <c r="I216" s="467">
        <v>535.79999999999995</v>
      </c>
      <c r="J216" s="465">
        <v>1585.7</v>
      </c>
      <c r="K216" s="468">
        <v>3.57</v>
      </c>
      <c r="L216" s="469" t="s">
        <v>4726</v>
      </c>
      <c r="M216" s="460" t="str">
        <f>VLOOKUP(B216,'Calculations (All)'!$B:$D,3,FALSE)</f>
        <v>YH</v>
      </c>
    </row>
    <row r="217" spans="1:13" ht="15" thickBot="1">
      <c r="A217" s="461" t="s">
        <v>562</v>
      </c>
      <c r="B217" s="450" t="str">
        <f>VLOOKUP(A217,'Calculations (All)'!A:B,2,FALSE)</f>
        <v>Sedgemoor</v>
      </c>
      <c r="C217" s="462">
        <v>644.29999999999995</v>
      </c>
      <c r="D217" s="463">
        <v>589.70000000000005</v>
      </c>
      <c r="E217" s="464">
        <v>428.9</v>
      </c>
      <c r="F217" s="465">
        <v>1662.9</v>
      </c>
      <c r="G217" s="466">
        <v>1012.8</v>
      </c>
      <c r="H217" s="463">
        <v>593.6</v>
      </c>
      <c r="I217" s="467">
        <v>529</v>
      </c>
      <c r="J217" s="465">
        <v>2135.4</v>
      </c>
      <c r="K217" s="468">
        <v>1.28</v>
      </c>
      <c r="L217" s="469" t="s">
        <v>4726</v>
      </c>
      <c r="M217" s="460" t="str">
        <f>VLOOKUP(B217,'Calculations (All)'!$B:$D,3,FALSE)</f>
        <v>SW</v>
      </c>
    </row>
    <row r="218" spans="1:13" ht="15" thickBot="1">
      <c r="A218" s="461" t="s">
        <v>564</v>
      </c>
      <c r="B218" s="450" t="str">
        <f>VLOOKUP(A218,'Calculations (All)'!A:B,2,FALSE)</f>
        <v>Sefton</v>
      </c>
      <c r="C218" s="462">
        <v>645.4</v>
      </c>
      <c r="D218" s="463">
        <v>577.6</v>
      </c>
      <c r="E218" s="464">
        <v>414.8</v>
      </c>
      <c r="F218" s="465">
        <v>1637.7</v>
      </c>
      <c r="G218" s="466">
        <v>577</v>
      </c>
      <c r="H218" s="463">
        <v>799</v>
      </c>
      <c r="I218" s="467">
        <v>729.3</v>
      </c>
      <c r="J218" s="465">
        <v>2105.3000000000002</v>
      </c>
      <c r="K218" s="468">
        <v>1.29</v>
      </c>
      <c r="L218" s="469" t="s">
        <v>4726</v>
      </c>
      <c r="M218" s="460" t="str">
        <f>VLOOKUP(B218,'Calculations (All)'!$B:$D,3,FALSE)</f>
        <v>NW</v>
      </c>
    </row>
    <row r="219" spans="1:13" ht="15" thickBot="1">
      <c r="A219" s="461" t="s">
        <v>566</v>
      </c>
      <c r="B219" s="450" t="str">
        <f>VLOOKUP(A219,'Calculations (All)'!A:B,2,FALSE)</f>
        <v>Selby</v>
      </c>
      <c r="C219" s="462">
        <v>365.1</v>
      </c>
      <c r="D219" s="463">
        <v>321.3</v>
      </c>
      <c r="E219" s="464">
        <v>227.7</v>
      </c>
      <c r="F219" s="465">
        <v>914</v>
      </c>
      <c r="G219" s="466">
        <v>625</v>
      </c>
      <c r="H219" s="463">
        <v>492</v>
      </c>
      <c r="I219" s="467">
        <v>484</v>
      </c>
      <c r="J219" s="465">
        <v>1601</v>
      </c>
      <c r="K219" s="468">
        <v>1.75</v>
      </c>
      <c r="L219" s="469" t="s">
        <v>4726</v>
      </c>
      <c r="M219" s="460" t="str">
        <f>VLOOKUP(B219,'Calculations (All)'!$B:$D,3,FALSE)</f>
        <v>YH</v>
      </c>
    </row>
    <row r="220" spans="1:13" ht="15" thickBot="1">
      <c r="A220" s="461" t="s">
        <v>568</v>
      </c>
      <c r="B220" s="450" t="str">
        <f>VLOOKUP(A220,'Calculations (All)'!A:B,2,FALSE)</f>
        <v>Sevenoaks</v>
      </c>
      <c r="C220" s="462">
        <v>707.7</v>
      </c>
      <c r="D220" s="463">
        <v>647.1</v>
      </c>
      <c r="E220" s="464">
        <v>473.4</v>
      </c>
      <c r="F220" s="465">
        <v>1828.2</v>
      </c>
      <c r="G220" s="466">
        <v>499.6</v>
      </c>
      <c r="H220" s="463">
        <v>414.1</v>
      </c>
      <c r="I220" s="467">
        <v>216</v>
      </c>
      <c r="J220" s="465">
        <v>1129.7</v>
      </c>
      <c r="K220" s="468">
        <v>0.62</v>
      </c>
      <c r="L220" s="469" t="s">
        <v>4714</v>
      </c>
      <c r="M220" s="460" t="str">
        <f>VLOOKUP(B220,'Calculations (All)'!$B:$D,3,FALSE)</f>
        <v>SE</v>
      </c>
    </row>
    <row r="221" spans="1:13" ht="15" thickBot="1">
      <c r="A221" s="461" t="s">
        <v>570</v>
      </c>
      <c r="B221" s="450" t="str">
        <f>VLOOKUP(A221,'Calculations (All)'!A:B,2,FALSE)</f>
        <v>Sheffield</v>
      </c>
      <c r="C221" s="462">
        <v>2097.8000000000002</v>
      </c>
      <c r="D221" s="463">
        <v>1944.1</v>
      </c>
      <c r="E221" s="464">
        <v>1418.7</v>
      </c>
      <c r="F221" s="465">
        <v>5460.6</v>
      </c>
      <c r="G221" s="466">
        <v>1976</v>
      </c>
      <c r="H221" s="463">
        <v>3083</v>
      </c>
      <c r="I221" s="467">
        <v>1850</v>
      </c>
      <c r="J221" s="465">
        <v>6909</v>
      </c>
      <c r="K221" s="468">
        <v>1.27</v>
      </c>
      <c r="L221" s="469" t="s">
        <v>4726</v>
      </c>
      <c r="M221" s="460" t="str">
        <f>VLOOKUP(B221,'Calculations (All)'!$B:$D,3,FALSE)</f>
        <v>YH</v>
      </c>
    </row>
    <row r="222" spans="1:13" ht="15" thickBot="1">
      <c r="A222" s="461" t="s">
        <v>572</v>
      </c>
      <c r="B222" s="450" t="str">
        <f>VLOOKUP(A222,'Calculations (All)'!A:B,2,FALSE)</f>
        <v>Shropshire</v>
      </c>
      <c r="C222" s="462">
        <v>1262.7</v>
      </c>
      <c r="D222" s="463">
        <v>1109.3</v>
      </c>
      <c r="E222" s="464">
        <v>783.6</v>
      </c>
      <c r="F222" s="465">
        <v>3155.6</v>
      </c>
      <c r="G222" s="466">
        <v>1842.6</v>
      </c>
      <c r="H222" s="463">
        <v>1542</v>
      </c>
      <c r="I222" s="467">
        <v>1586.4</v>
      </c>
      <c r="J222" s="465">
        <v>4971</v>
      </c>
      <c r="K222" s="468">
        <v>1.58</v>
      </c>
      <c r="L222" s="469" t="s">
        <v>4726</v>
      </c>
      <c r="M222" s="460" t="str">
        <f>VLOOKUP(B222,'Calculations (All)'!$B:$D,3,FALSE)</f>
        <v>WM</v>
      </c>
    </row>
    <row r="223" spans="1:13" ht="15" thickBot="1">
      <c r="A223" s="461" t="s">
        <v>574</v>
      </c>
      <c r="B223" s="450" t="str">
        <f>VLOOKUP(A223,'Calculations (All)'!A:B,2,FALSE)</f>
        <v>Slough</v>
      </c>
      <c r="C223" s="462">
        <v>927.7</v>
      </c>
      <c r="D223" s="463">
        <v>817.4</v>
      </c>
      <c r="E223" s="464">
        <v>574.5</v>
      </c>
      <c r="F223" s="465">
        <v>2319.6</v>
      </c>
      <c r="G223" s="466">
        <v>540.70000000000005</v>
      </c>
      <c r="H223" s="463">
        <v>503</v>
      </c>
      <c r="I223" s="467">
        <v>501</v>
      </c>
      <c r="J223" s="465">
        <v>1544.7</v>
      </c>
      <c r="K223" s="468">
        <v>0.67</v>
      </c>
      <c r="L223" s="469" t="s">
        <v>4714</v>
      </c>
      <c r="M223" s="460" t="str">
        <f>VLOOKUP(B223,'Calculations (All)'!$B:$D,3,FALSE)</f>
        <v>SE</v>
      </c>
    </row>
    <row r="224" spans="1:13" ht="15" thickBot="1">
      <c r="A224" s="461" t="s">
        <v>576</v>
      </c>
      <c r="B224" s="450" t="str">
        <f>VLOOKUP(A224,'Calculations (All)'!A:B,2,FALSE)</f>
        <v>Solihull</v>
      </c>
      <c r="C224" s="462">
        <v>766.7</v>
      </c>
      <c r="D224" s="463">
        <v>705.7</v>
      </c>
      <c r="E224" s="464">
        <v>537.29999999999995</v>
      </c>
      <c r="F224" s="465">
        <v>2009.7</v>
      </c>
      <c r="G224" s="466">
        <v>806.9</v>
      </c>
      <c r="H224" s="463">
        <v>716.1</v>
      </c>
      <c r="I224" s="467">
        <v>760.1</v>
      </c>
      <c r="J224" s="465">
        <v>2283.1</v>
      </c>
      <c r="K224" s="468">
        <v>1.1399999999999999</v>
      </c>
      <c r="L224" s="469" t="s">
        <v>4726</v>
      </c>
      <c r="M224" s="460" t="str">
        <f>VLOOKUP(B224,'Calculations (All)'!$B:$D,3,FALSE)</f>
        <v>WM</v>
      </c>
    </row>
    <row r="225" spans="1:13" ht="15" thickBot="1">
      <c r="A225" s="461" t="s">
        <v>580</v>
      </c>
      <c r="B225" s="450" t="str">
        <f>VLOOKUP(A225,'Calculations (All)'!A:B,2,FALSE)</f>
        <v>South Cambridgeshire</v>
      </c>
      <c r="C225" s="462">
        <v>975</v>
      </c>
      <c r="D225" s="463">
        <v>892.4</v>
      </c>
      <c r="E225" s="464">
        <v>649.1</v>
      </c>
      <c r="F225" s="465">
        <v>2516.5</v>
      </c>
      <c r="G225" s="466">
        <v>1202.9000000000001</v>
      </c>
      <c r="H225" s="463">
        <v>1109.7</v>
      </c>
      <c r="I225" s="467">
        <v>1335</v>
      </c>
      <c r="J225" s="465">
        <v>3647.6</v>
      </c>
      <c r="K225" s="468">
        <v>1.45</v>
      </c>
      <c r="L225" s="469" t="s">
        <v>4726</v>
      </c>
      <c r="M225" s="460" t="str">
        <f>VLOOKUP(B225,'Calculations (All)'!$B:$D,3,FALSE)</f>
        <v>E</v>
      </c>
    </row>
    <row r="226" spans="1:13" ht="15" thickBot="1">
      <c r="A226" s="461" t="s">
        <v>582</v>
      </c>
      <c r="B226" s="450" t="str">
        <f>VLOOKUP(A226,'Calculations (All)'!A:B,2,FALSE)</f>
        <v>South Derbyshire</v>
      </c>
      <c r="C226" s="462">
        <v>742.2</v>
      </c>
      <c r="D226" s="463">
        <v>667.8</v>
      </c>
      <c r="E226" s="464">
        <v>482.7</v>
      </c>
      <c r="F226" s="465">
        <v>1892.8</v>
      </c>
      <c r="G226" s="466">
        <v>1218</v>
      </c>
      <c r="H226" s="463">
        <v>1285</v>
      </c>
      <c r="I226" s="467">
        <v>1131</v>
      </c>
      <c r="J226" s="465">
        <v>3634</v>
      </c>
      <c r="K226" s="468">
        <v>1.92</v>
      </c>
      <c r="L226" s="469" t="s">
        <v>4726</v>
      </c>
      <c r="M226" s="460" t="str">
        <f>VLOOKUP(B226,'Calculations (All)'!$B:$D,3,FALSE)</f>
        <v>EM</v>
      </c>
    </row>
    <row r="227" spans="1:13" ht="15" thickBot="1">
      <c r="A227" s="461" t="s">
        <v>584</v>
      </c>
      <c r="B227" s="450" t="str">
        <f>VLOOKUP(A227,'Calculations (All)'!A:B,2,FALSE)</f>
        <v>South Gloucestershire</v>
      </c>
      <c r="C227" s="462">
        <v>1365.8</v>
      </c>
      <c r="D227" s="463">
        <v>1272.3</v>
      </c>
      <c r="E227" s="464">
        <v>940</v>
      </c>
      <c r="F227" s="465">
        <v>3578.1</v>
      </c>
      <c r="G227" s="466">
        <v>1573</v>
      </c>
      <c r="H227" s="463">
        <v>1536.2</v>
      </c>
      <c r="I227" s="467">
        <v>1646</v>
      </c>
      <c r="J227" s="465">
        <v>4755.2</v>
      </c>
      <c r="K227" s="468">
        <v>1.33</v>
      </c>
      <c r="L227" s="469" t="s">
        <v>4726</v>
      </c>
      <c r="M227" s="460" t="str">
        <f>VLOOKUP(B227,'Calculations (All)'!$B:$D,3,FALSE)</f>
        <v>SW</v>
      </c>
    </row>
    <row r="228" spans="1:13" ht="15" thickBot="1">
      <c r="A228" s="461" t="s">
        <v>588</v>
      </c>
      <c r="B228" s="450" t="str">
        <f>VLOOKUP(A228,'Calculations (All)'!A:B,2,FALSE)</f>
        <v>South Holland</v>
      </c>
      <c r="C228" s="462">
        <v>415.6</v>
      </c>
      <c r="D228" s="463">
        <v>391.7</v>
      </c>
      <c r="E228" s="464">
        <v>278.3</v>
      </c>
      <c r="F228" s="465">
        <v>1085.5999999999999</v>
      </c>
      <c r="G228" s="466">
        <v>828</v>
      </c>
      <c r="H228" s="463">
        <v>517</v>
      </c>
      <c r="I228" s="467">
        <v>571</v>
      </c>
      <c r="J228" s="465">
        <v>1916</v>
      </c>
      <c r="K228" s="468">
        <v>1.76</v>
      </c>
      <c r="L228" s="469" t="s">
        <v>4726</v>
      </c>
      <c r="M228" s="460" t="str">
        <f>VLOOKUP(B228,'Calculations (All)'!$B:$D,3,FALSE)</f>
        <v>EM</v>
      </c>
    </row>
    <row r="229" spans="1:13" ht="15" thickBot="1">
      <c r="A229" s="461" t="s">
        <v>590</v>
      </c>
      <c r="B229" s="450" t="str">
        <f>VLOOKUP(A229,'Calculations (All)'!A:B,2,FALSE)</f>
        <v>South Kesteven</v>
      </c>
      <c r="C229" s="462">
        <v>650</v>
      </c>
      <c r="D229" s="463">
        <v>594.9</v>
      </c>
      <c r="E229" s="464">
        <v>432.7</v>
      </c>
      <c r="F229" s="465">
        <v>1677.7</v>
      </c>
      <c r="G229" s="466">
        <v>676</v>
      </c>
      <c r="H229" s="463">
        <v>729</v>
      </c>
      <c r="I229" s="467">
        <v>446</v>
      </c>
      <c r="J229" s="465">
        <v>1851</v>
      </c>
      <c r="K229" s="468">
        <v>1.1000000000000001</v>
      </c>
      <c r="L229" s="469" t="s">
        <v>4726</v>
      </c>
      <c r="M229" s="460" t="str">
        <f>VLOOKUP(B229,'Calculations (All)'!$B:$D,3,FALSE)</f>
        <v>EM</v>
      </c>
    </row>
    <row r="230" spans="1:13" ht="15" thickBot="1">
      <c r="A230" s="461" t="s">
        <v>592</v>
      </c>
      <c r="B230" s="450" t="str">
        <f>VLOOKUP(A230,'Calculations (All)'!A:B,2,FALSE)</f>
        <v>South Lakeland</v>
      </c>
      <c r="C230" s="462">
        <v>211.8</v>
      </c>
      <c r="D230" s="463">
        <v>175.7</v>
      </c>
      <c r="E230" s="464">
        <v>131.80000000000001</v>
      </c>
      <c r="F230" s="465">
        <v>519.4</v>
      </c>
      <c r="G230" s="466">
        <v>326</v>
      </c>
      <c r="H230" s="463">
        <v>281.3</v>
      </c>
      <c r="I230" s="467">
        <v>197</v>
      </c>
      <c r="J230" s="465">
        <v>804.3</v>
      </c>
      <c r="K230" s="468">
        <v>1.55</v>
      </c>
      <c r="L230" s="469" t="s">
        <v>4726</v>
      </c>
      <c r="M230" s="460" t="str">
        <f>VLOOKUP(B230,'Calculations (All)'!$B:$D,3,FALSE)</f>
        <v>NW</v>
      </c>
    </row>
    <row r="231" spans="1:13" ht="15" thickBot="1">
      <c r="A231" s="461" t="s">
        <v>596</v>
      </c>
      <c r="B231" s="450" t="str">
        <f>VLOOKUP(A231,'Calculations (All)'!A:B,2,FALSE)</f>
        <v>South Northamptonshire</v>
      </c>
      <c r="C231" s="462">
        <v>398.5</v>
      </c>
      <c r="D231" s="463">
        <v>364.7</v>
      </c>
      <c r="E231" s="464">
        <v>265.3</v>
      </c>
      <c r="F231" s="465">
        <v>1028.5999999999999</v>
      </c>
      <c r="G231" s="466">
        <v>786</v>
      </c>
      <c r="H231" s="463">
        <v>455</v>
      </c>
      <c r="I231" s="467">
        <v>421.4</v>
      </c>
      <c r="J231" s="465">
        <v>1662.4</v>
      </c>
      <c r="K231" s="468">
        <v>1.62</v>
      </c>
      <c r="L231" s="469" t="s">
        <v>4726</v>
      </c>
      <c r="M231" s="460" t="str">
        <f>VLOOKUP(B231,'Calculations (All)'!$B:$D,3,FALSE)</f>
        <v>EM</v>
      </c>
    </row>
    <row r="232" spans="1:13" ht="15" thickBot="1">
      <c r="A232" s="461" t="s">
        <v>598</v>
      </c>
      <c r="B232" s="450" t="str">
        <f>VLOOKUP(A232,'Calculations (All)'!A:B,2,FALSE)</f>
        <v>South Oxfordshire</v>
      </c>
      <c r="C232" s="462">
        <v>832.9</v>
      </c>
      <c r="D232" s="463">
        <v>767.6</v>
      </c>
      <c r="E232" s="464">
        <v>542</v>
      </c>
      <c r="F232" s="465">
        <v>2142.5</v>
      </c>
      <c r="G232" s="466">
        <v>1361</v>
      </c>
      <c r="H232" s="463">
        <v>1473.4</v>
      </c>
      <c r="I232" s="467">
        <v>865.8</v>
      </c>
      <c r="J232" s="465">
        <v>3700.2</v>
      </c>
      <c r="K232" s="468">
        <v>1.73</v>
      </c>
      <c r="L232" s="469" t="s">
        <v>4726</v>
      </c>
      <c r="M232" s="460" t="str">
        <f>VLOOKUP(B232,'Calculations (All)'!$B:$D,3,FALSE)</f>
        <v>SE</v>
      </c>
    </row>
    <row r="233" spans="1:13" ht="15" thickBot="1">
      <c r="A233" s="461" t="s">
        <v>600</v>
      </c>
      <c r="B233" s="450" t="str">
        <f>VLOOKUP(A233,'Calculations (All)'!A:B,2,FALSE)</f>
        <v>South Ribble</v>
      </c>
      <c r="C233" s="462">
        <v>208.9</v>
      </c>
      <c r="D233" s="463">
        <v>188.6</v>
      </c>
      <c r="E233" s="464">
        <v>127.2</v>
      </c>
      <c r="F233" s="465">
        <v>524.70000000000005</v>
      </c>
      <c r="G233" s="466">
        <v>437</v>
      </c>
      <c r="H233" s="463">
        <v>412</v>
      </c>
      <c r="I233" s="467">
        <v>424</v>
      </c>
      <c r="J233" s="465">
        <v>1273</v>
      </c>
      <c r="K233" s="468">
        <v>2.4300000000000002</v>
      </c>
      <c r="L233" s="469" t="s">
        <v>4726</v>
      </c>
      <c r="M233" s="460" t="str">
        <f>VLOOKUP(B233,'Calculations (All)'!$B:$D,3,FALSE)</f>
        <v>NW</v>
      </c>
    </row>
    <row r="234" spans="1:13" ht="15" thickBot="1">
      <c r="A234" s="461" t="s">
        <v>602</v>
      </c>
      <c r="B234" s="450" t="str">
        <f>VLOOKUP(A234,'Calculations (All)'!A:B,2,FALSE)</f>
        <v>South Somerset</v>
      </c>
      <c r="C234" s="462">
        <v>725</v>
      </c>
      <c r="D234" s="463">
        <v>655.4</v>
      </c>
      <c r="E234" s="464">
        <v>456</v>
      </c>
      <c r="F234" s="465">
        <v>1836.4</v>
      </c>
      <c r="G234" s="466">
        <v>650</v>
      </c>
      <c r="H234" s="463">
        <v>659</v>
      </c>
      <c r="I234" s="467">
        <v>1093</v>
      </c>
      <c r="J234" s="465">
        <v>2402</v>
      </c>
      <c r="K234" s="468">
        <v>1.31</v>
      </c>
      <c r="L234" s="469" t="s">
        <v>4726</v>
      </c>
      <c r="M234" s="460" t="str">
        <f>VLOOKUP(B234,'Calculations (All)'!$B:$D,3,FALSE)</f>
        <v>SW</v>
      </c>
    </row>
    <row r="235" spans="1:13" ht="15" thickBot="1">
      <c r="A235" s="461" t="s">
        <v>604</v>
      </c>
      <c r="B235" s="450" t="str">
        <f>VLOOKUP(A235,'Calculations (All)'!A:B,2,FALSE)</f>
        <v>South Staffordshire</v>
      </c>
      <c r="C235" s="462">
        <v>269.89999999999998</v>
      </c>
      <c r="D235" s="463">
        <v>232.5</v>
      </c>
      <c r="E235" s="464">
        <v>169.1</v>
      </c>
      <c r="F235" s="465">
        <v>671.5</v>
      </c>
      <c r="G235" s="466">
        <v>273</v>
      </c>
      <c r="H235" s="463">
        <v>226</v>
      </c>
      <c r="I235" s="467">
        <v>413</v>
      </c>
      <c r="J235" s="465">
        <v>912</v>
      </c>
      <c r="K235" s="468">
        <v>1.36</v>
      </c>
      <c r="L235" s="469" t="s">
        <v>4726</v>
      </c>
      <c r="M235" s="460" t="str">
        <f>VLOOKUP(B235,'Calculations (All)'!$B:$D,3,FALSE)</f>
        <v>WM</v>
      </c>
    </row>
    <row r="236" spans="1:13" ht="15" thickBot="1">
      <c r="A236" s="461" t="s">
        <v>606</v>
      </c>
      <c r="B236" s="450" t="str">
        <f>VLOOKUP(A236,'Calculations (All)'!A:B,2,FALSE)</f>
        <v>South Tyneside</v>
      </c>
      <c r="C236" s="462">
        <v>353.2</v>
      </c>
      <c r="D236" s="463">
        <v>320.39999999999998</v>
      </c>
      <c r="E236" s="464">
        <v>227</v>
      </c>
      <c r="F236" s="465">
        <v>900.6</v>
      </c>
      <c r="G236" s="466">
        <v>247</v>
      </c>
      <c r="H236" s="463">
        <v>236</v>
      </c>
      <c r="I236" s="467">
        <v>182</v>
      </c>
      <c r="J236" s="465">
        <v>665</v>
      </c>
      <c r="K236" s="468">
        <v>0.74</v>
      </c>
      <c r="L236" s="469" t="s">
        <v>4714</v>
      </c>
      <c r="M236" s="460" t="str">
        <f>VLOOKUP(B236,'Calculations (All)'!$B:$D,3,FALSE)</f>
        <v>NE</v>
      </c>
    </row>
    <row r="237" spans="1:13" ht="15" thickBot="1">
      <c r="A237" s="461" t="s">
        <v>608</v>
      </c>
      <c r="B237" s="450" t="str">
        <f>VLOOKUP(A237,'Calculations (All)'!A:B,2,FALSE)</f>
        <v>Southampton</v>
      </c>
      <c r="C237" s="462">
        <v>815</v>
      </c>
      <c r="D237" s="463">
        <v>746</v>
      </c>
      <c r="E237" s="464">
        <v>667.1</v>
      </c>
      <c r="F237" s="465">
        <v>2228.1</v>
      </c>
      <c r="G237" s="466">
        <v>1776.4</v>
      </c>
      <c r="H237" s="463">
        <v>448.9</v>
      </c>
      <c r="I237" s="467">
        <v>845.2</v>
      </c>
      <c r="J237" s="465">
        <v>3070.5</v>
      </c>
      <c r="K237" s="468">
        <v>1.38</v>
      </c>
      <c r="L237" s="469" t="s">
        <v>4726</v>
      </c>
      <c r="M237" s="460" t="str">
        <f>VLOOKUP(B237,'Calculations (All)'!$B:$D,3,FALSE)</f>
        <v>SE</v>
      </c>
    </row>
    <row r="238" spans="1:13" ht="15" thickBot="1">
      <c r="A238" s="461" t="s">
        <v>610</v>
      </c>
      <c r="B238" s="450" t="str">
        <f>VLOOKUP(A238,'Calculations (All)'!A:B,2,FALSE)</f>
        <v>Southend-on-Sea</v>
      </c>
      <c r="C238" s="462">
        <v>1177.5999999999999</v>
      </c>
      <c r="D238" s="463">
        <v>1077.3</v>
      </c>
      <c r="E238" s="464">
        <v>786.3</v>
      </c>
      <c r="F238" s="465">
        <v>3041.2</v>
      </c>
      <c r="G238" s="466">
        <v>492</v>
      </c>
      <c r="H238" s="463">
        <v>218</v>
      </c>
      <c r="I238" s="467">
        <v>237</v>
      </c>
      <c r="J238" s="465">
        <v>947</v>
      </c>
      <c r="K238" s="468">
        <v>0.31</v>
      </c>
      <c r="L238" s="469" t="s">
        <v>4714</v>
      </c>
      <c r="M238" s="460" t="str">
        <f>VLOOKUP(B238,'Calculations (All)'!$B:$D,3,FALSE)</f>
        <v>E</v>
      </c>
    </row>
    <row r="239" spans="1:13" ht="15" thickBot="1">
      <c r="A239" s="461" t="s">
        <v>612</v>
      </c>
      <c r="B239" s="450" t="str">
        <f>VLOOKUP(A239,'Calculations (All)'!A:B,2,FALSE)</f>
        <v>Southwark</v>
      </c>
      <c r="C239" s="462">
        <v>2736</v>
      </c>
      <c r="D239" s="463">
        <v>2155.5</v>
      </c>
      <c r="E239" s="464">
        <v>1567.8</v>
      </c>
      <c r="F239" s="465">
        <v>6459.4</v>
      </c>
      <c r="G239" s="466">
        <v>3216.8</v>
      </c>
      <c r="H239" s="463">
        <v>1463</v>
      </c>
      <c r="I239" s="467">
        <v>1109.3</v>
      </c>
      <c r="J239" s="465">
        <v>5789.1</v>
      </c>
      <c r="K239" s="468">
        <v>0.9</v>
      </c>
      <c r="L239" s="469" t="s">
        <v>4728</v>
      </c>
      <c r="M239" s="460" t="str">
        <f>VLOOKUP(B239,'Calculations (All)'!$B:$D,3,FALSE)</f>
        <v>GL</v>
      </c>
    </row>
    <row r="240" spans="1:13" ht="15" thickBot="1">
      <c r="A240" s="461" t="s">
        <v>614</v>
      </c>
      <c r="B240" s="450" t="str">
        <f>VLOOKUP(A240,'Calculations (All)'!A:B,2,FALSE)</f>
        <v>Spelthorne</v>
      </c>
      <c r="C240" s="462">
        <v>598.5</v>
      </c>
      <c r="D240" s="463">
        <v>551.9</v>
      </c>
      <c r="E240" s="464">
        <v>403.4</v>
      </c>
      <c r="F240" s="465">
        <v>1553.9</v>
      </c>
      <c r="G240" s="466">
        <v>336.8</v>
      </c>
      <c r="H240" s="463">
        <v>228</v>
      </c>
      <c r="I240" s="467">
        <v>508</v>
      </c>
      <c r="J240" s="465">
        <v>1072.8</v>
      </c>
      <c r="K240" s="468">
        <v>0.69</v>
      </c>
      <c r="L240" s="469" t="s">
        <v>4714</v>
      </c>
      <c r="M240" s="460" t="str">
        <f>VLOOKUP(B240,'Calculations (All)'!$B:$D,3,FALSE)</f>
        <v>SE</v>
      </c>
    </row>
    <row r="241" spans="1:13" ht="15" thickBot="1">
      <c r="A241" s="461" t="s">
        <v>616</v>
      </c>
      <c r="B241" s="450" t="str">
        <f>VLOOKUP(A241,'Calculations (All)'!A:B,2,FALSE)</f>
        <v>St Albans</v>
      </c>
      <c r="C241" s="462">
        <v>902.2</v>
      </c>
      <c r="D241" s="463">
        <v>820.1</v>
      </c>
      <c r="E241" s="464">
        <v>594.5</v>
      </c>
      <c r="F241" s="465">
        <v>2316.8000000000002</v>
      </c>
      <c r="G241" s="466">
        <v>637.9</v>
      </c>
      <c r="H241" s="463">
        <v>442.6</v>
      </c>
      <c r="I241" s="467">
        <v>516</v>
      </c>
      <c r="J241" s="465">
        <v>1596.4</v>
      </c>
      <c r="K241" s="468">
        <v>0.69</v>
      </c>
      <c r="L241" s="469" t="s">
        <v>4714</v>
      </c>
      <c r="M241" s="460" t="str">
        <f>VLOOKUP(B241,'Calculations (All)'!$B:$D,3,FALSE)</f>
        <v>E</v>
      </c>
    </row>
    <row r="242" spans="1:13" ht="15" thickBot="1">
      <c r="A242" s="461" t="s">
        <v>618</v>
      </c>
      <c r="B242" s="450" t="str">
        <f>VLOOKUP(A242,'Calculations (All)'!A:B,2,FALSE)</f>
        <v>St. Helens</v>
      </c>
      <c r="C242" s="462">
        <v>482.1</v>
      </c>
      <c r="D242" s="463">
        <v>422</v>
      </c>
      <c r="E242" s="464">
        <v>288.89999999999998</v>
      </c>
      <c r="F242" s="465">
        <v>1193</v>
      </c>
      <c r="G242" s="466">
        <v>775</v>
      </c>
      <c r="H242" s="463">
        <v>788.6</v>
      </c>
      <c r="I242" s="467">
        <v>669.3</v>
      </c>
      <c r="J242" s="465">
        <v>2232.9</v>
      </c>
      <c r="K242" s="468">
        <v>1.87</v>
      </c>
      <c r="L242" s="469" t="s">
        <v>4726</v>
      </c>
      <c r="M242" s="460" t="str">
        <f>VLOOKUP(B242,'Calculations (All)'!$B:$D,3,FALSE)</f>
        <v>NW</v>
      </c>
    </row>
    <row r="243" spans="1:13" ht="15" thickBot="1">
      <c r="A243" s="461" t="s">
        <v>620</v>
      </c>
      <c r="B243" s="450" t="str">
        <f>VLOOKUP(A243,'Calculations (All)'!A:B,2,FALSE)</f>
        <v>Stafford</v>
      </c>
      <c r="C243" s="462">
        <v>412.7</v>
      </c>
      <c r="D243" s="463">
        <v>373.4</v>
      </c>
      <c r="E243" s="464">
        <v>266.3</v>
      </c>
      <c r="F243" s="465">
        <v>1052.5</v>
      </c>
      <c r="G243" s="466">
        <v>699</v>
      </c>
      <c r="H243" s="463">
        <v>752</v>
      </c>
      <c r="I243" s="467">
        <v>614</v>
      </c>
      <c r="J243" s="465">
        <v>2065</v>
      </c>
      <c r="K243" s="468">
        <v>1.96</v>
      </c>
      <c r="L243" s="469" t="s">
        <v>4726</v>
      </c>
      <c r="M243" s="460" t="str">
        <f>VLOOKUP(B243,'Calculations (All)'!$B:$D,3,FALSE)</f>
        <v>WM</v>
      </c>
    </row>
    <row r="244" spans="1:13" ht="15" thickBot="1">
      <c r="A244" s="461" t="s">
        <v>622</v>
      </c>
      <c r="B244" s="450" t="str">
        <f>VLOOKUP(A244,'Calculations (All)'!A:B,2,FALSE)</f>
        <v>Staffordshire Moorlands</v>
      </c>
      <c r="C244" s="462">
        <v>194.5</v>
      </c>
      <c r="D244" s="463">
        <v>178.5</v>
      </c>
      <c r="E244" s="464">
        <v>123.2</v>
      </c>
      <c r="F244" s="465">
        <v>496.1</v>
      </c>
      <c r="G244" s="466">
        <v>168</v>
      </c>
      <c r="H244" s="463">
        <v>218.7</v>
      </c>
      <c r="I244" s="467">
        <v>209</v>
      </c>
      <c r="J244" s="465">
        <v>595.70000000000005</v>
      </c>
      <c r="K244" s="468">
        <v>1.2</v>
      </c>
      <c r="L244" s="469" t="s">
        <v>4726</v>
      </c>
      <c r="M244" s="460" t="str">
        <f>VLOOKUP(B244,'Calculations (All)'!$B:$D,3,FALSE)</f>
        <v>WM</v>
      </c>
    </row>
    <row r="245" spans="1:13" ht="15" thickBot="1">
      <c r="A245" s="461" t="s">
        <v>624</v>
      </c>
      <c r="B245" s="450" t="str">
        <f>VLOOKUP(A245,'Calculations (All)'!A:B,2,FALSE)</f>
        <v>Stevenage</v>
      </c>
      <c r="C245" s="462">
        <v>380.5</v>
      </c>
      <c r="D245" s="463">
        <v>348.3</v>
      </c>
      <c r="E245" s="464">
        <v>253.3</v>
      </c>
      <c r="F245" s="465">
        <v>982.1</v>
      </c>
      <c r="G245" s="466">
        <v>296.7</v>
      </c>
      <c r="H245" s="463">
        <v>326.60000000000002</v>
      </c>
      <c r="I245" s="467">
        <v>152.1</v>
      </c>
      <c r="J245" s="465">
        <v>775.3</v>
      </c>
      <c r="K245" s="468">
        <v>0.79</v>
      </c>
      <c r="L245" s="469" t="s">
        <v>4713</v>
      </c>
      <c r="M245" s="460" t="str">
        <f>VLOOKUP(B245,'Calculations (All)'!$B:$D,3,FALSE)</f>
        <v>E</v>
      </c>
    </row>
    <row r="246" spans="1:13" ht="15" thickBot="1">
      <c r="A246" s="461" t="s">
        <v>626</v>
      </c>
      <c r="B246" s="450" t="str">
        <f>VLOOKUP(A246,'Calculations (All)'!A:B,2,FALSE)</f>
        <v>Stockport</v>
      </c>
      <c r="C246" s="462">
        <v>1087.4000000000001</v>
      </c>
      <c r="D246" s="463">
        <v>1008.7</v>
      </c>
      <c r="E246" s="464">
        <v>718.3</v>
      </c>
      <c r="F246" s="465">
        <v>2814.4</v>
      </c>
      <c r="G246" s="466">
        <v>729</v>
      </c>
      <c r="H246" s="463">
        <v>1299</v>
      </c>
      <c r="I246" s="467">
        <v>551</v>
      </c>
      <c r="J246" s="465">
        <v>2579</v>
      </c>
      <c r="K246" s="468">
        <v>0.92</v>
      </c>
      <c r="L246" s="469" t="s">
        <v>4728</v>
      </c>
      <c r="M246" s="460" t="str">
        <f>VLOOKUP(B246,'Calculations (All)'!$B:$D,3,FALSE)</f>
        <v>NW</v>
      </c>
    </row>
    <row r="247" spans="1:13" ht="15" thickBot="1">
      <c r="A247" s="461" t="s">
        <v>628</v>
      </c>
      <c r="B247" s="450" t="str">
        <f>VLOOKUP(A247,'Calculations (All)'!A:B,2,FALSE)</f>
        <v>Stockton-on-Tees</v>
      </c>
      <c r="C247" s="462">
        <v>518.70000000000005</v>
      </c>
      <c r="D247" s="463">
        <v>457.7</v>
      </c>
      <c r="E247" s="464">
        <v>314.2</v>
      </c>
      <c r="F247" s="465">
        <v>1290.5999999999999</v>
      </c>
      <c r="G247" s="466">
        <v>794.7</v>
      </c>
      <c r="H247" s="463">
        <v>1012</v>
      </c>
      <c r="I247" s="467">
        <v>582.1</v>
      </c>
      <c r="J247" s="465">
        <v>2388.8000000000002</v>
      </c>
      <c r="K247" s="468">
        <v>1.85</v>
      </c>
      <c r="L247" s="469" t="s">
        <v>4726</v>
      </c>
      <c r="M247" s="460" t="str">
        <f>VLOOKUP(B247,'Calculations (All)'!$B:$D,3,FALSE)</f>
        <v>NE</v>
      </c>
    </row>
    <row r="248" spans="1:13" ht="15" thickBot="1">
      <c r="A248" s="461" t="s">
        <v>630</v>
      </c>
      <c r="B248" s="450" t="str">
        <f>VLOOKUP(A248,'Calculations (All)'!A:B,2,FALSE)</f>
        <v>Stoke-on-Trent</v>
      </c>
      <c r="C248" s="462">
        <v>494.4</v>
      </c>
      <c r="D248" s="463">
        <v>453.1</v>
      </c>
      <c r="E248" s="464">
        <v>332.9</v>
      </c>
      <c r="F248" s="465">
        <v>1280.4000000000001</v>
      </c>
      <c r="G248" s="466">
        <v>1008</v>
      </c>
      <c r="H248" s="463">
        <v>917.9</v>
      </c>
      <c r="I248" s="467">
        <v>481.1</v>
      </c>
      <c r="J248" s="465">
        <v>2407</v>
      </c>
      <c r="K248" s="468">
        <v>1.88</v>
      </c>
      <c r="L248" s="469" t="s">
        <v>4726</v>
      </c>
      <c r="M248" s="460" t="str">
        <f>VLOOKUP(B248,'Calculations (All)'!$B:$D,3,FALSE)</f>
        <v>WM</v>
      </c>
    </row>
    <row r="249" spans="1:13" ht="15" thickBot="1">
      <c r="A249" s="461" t="s">
        <v>632</v>
      </c>
      <c r="B249" s="450" t="str">
        <f>VLOOKUP(A249,'Calculations (All)'!A:B,2,FALSE)</f>
        <v>Stratford-on-Avon</v>
      </c>
      <c r="C249" s="462">
        <v>570.29999999999995</v>
      </c>
      <c r="D249" s="463">
        <v>541.9</v>
      </c>
      <c r="E249" s="464">
        <v>401.4</v>
      </c>
      <c r="F249" s="465">
        <v>1513.6</v>
      </c>
      <c r="G249" s="466">
        <v>1450.8</v>
      </c>
      <c r="H249" s="463">
        <v>1370.9</v>
      </c>
      <c r="I249" s="467">
        <v>818</v>
      </c>
      <c r="J249" s="465">
        <v>3639.7</v>
      </c>
      <c r="K249" s="468">
        <v>2.4</v>
      </c>
      <c r="L249" s="469" t="s">
        <v>4726</v>
      </c>
      <c r="M249" s="460" t="str">
        <f>VLOOKUP(B249,'Calculations (All)'!$B:$D,3,FALSE)</f>
        <v>WM</v>
      </c>
    </row>
    <row r="250" spans="1:13" ht="15" thickBot="1">
      <c r="A250" s="461" t="s">
        <v>634</v>
      </c>
      <c r="B250" s="450" t="str">
        <f>VLOOKUP(A250,'Calculations (All)'!A:B,2,FALSE)</f>
        <v>Stroud</v>
      </c>
      <c r="C250" s="462">
        <v>458</v>
      </c>
      <c r="D250" s="463">
        <v>419.2</v>
      </c>
      <c r="E250" s="464">
        <v>369.4</v>
      </c>
      <c r="F250" s="465">
        <v>1246.5999999999999</v>
      </c>
      <c r="G250" s="466">
        <v>566.20000000000005</v>
      </c>
      <c r="H250" s="463">
        <v>666.3</v>
      </c>
      <c r="I250" s="467">
        <v>775.7</v>
      </c>
      <c r="J250" s="465">
        <v>2008.2</v>
      </c>
      <c r="K250" s="468">
        <v>1.61</v>
      </c>
      <c r="L250" s="469" t="s">
        <v>4726</v>
      </c>
      <c r="M250" s="460" t="str">
        <f>VLOOKUP(B250,'Calculations (All)'!$B:$D,3,FALSE)</f>
        <v>SW</v>
      </c>
    </row>
    <row r="251" spans="1:13" ht="15" thickBot="1">
      <c r="A251" s="461" t="s">
        <v>636</v>
      </c>
      <c r="B251" s="450" t="str">
        <f>VLOOKUP(A251,'Calculations (All)'!A:B,2,FALSE)</f>
        <v>Sunderland</v>
      </c>
      <c r="C251" s="462">
        <v>581</v>
      </c>
      <c r="D251" s="463">
        <v>524.5</v>
      </c>
      <c r="E251" s="464">
        <v>371.5</v>
      </c>
      <c r="F251" s="465">
        <v>1476.9</v>
      </c>
      <c r="G251" s="466">
        <v>720.4</v>
      </c>
      <c r="H251" s="463">
        <v>813</v>
      </c>
      <c r="I251" s="467">
        <v>669</v>
      </c>
      <c r="J251" s="465">
        <v>2202.4</v>
      </c>
      <c r="K251" s="468">
        <v>1.49</v>
      </c>
      <c r="L251" s="469" t="s">
        <v>4726</v>
      </c>
      <c r="M251" s="460" t="str">
        <f>VLOOKUP(B251,'Calculations (All)'!$B:$D,3,FALSE)</f>
        <v>NE</v>
      </c>
    </row>
    <row r="252" spans="1:13" ht="15" thickBot="1">
      <c r="A252" s="461" t="s">
        <v>638</v>
      </c>
      <c r="B252" s="450" t="str">
        <f>VLOOKUP(A252,'Calculations (All)'!A:B,2,FALSE)</f>
        <v>Surrey Heath</v>
      </c>
      <c r="C252" s="462">
        <v>336.4</v>
      </c>
      <c r="D252" s="463">
        <v>303.89999999999998</v>
      </c>
      <c r="E252" s="464">
        <v>218.4</v>
      </c>
      <c r="F252" s="465">
        <v>858.7</v>
      </c>
      <c r="G252" s="466">
        <v>405.8</v>
      </c>
      <c r="H252" s="463">
        <v>376</v>
      </c>
      <c r="I252" s="467">
        <v>352</v>
      </c>
      <c r="J252" s="465">
        <v>1133.8</v>
      </c>
      <c r="K252" s="468">
        <v>1.32</v>
      </c>
      <c r="L252" s="469" t="s">
        <v>4726</v>
      </c>
      <c r="M252" s="460" t="str">
        <f>VLOOKUP(B252,'Calculations (All)'!$B:$D,3,FALSE)</f>
        <v>SE</v>
      </c>
    </row>
    <row r="253" spans="1:13" ht="15" thickBot="1">
      <c r="A253" s="461" t="s">
        <v>640</v>
      </c>
      <c r="B253" s="450" t="str">
        <f>VLOOKUP(A253,'Calculations (All)'!A:B,2,FALSE)</f>
        <v>Sutton</v>
      </c>
      <c r="C253" s="462">
        <v>469</v>
      </c>
      <c r="D253" s="463">
        <v>429.3</v>
      </c>
      <c r="E253" s="464">
        <v>312.2</v>
      </c>
      <c r="F253" s="465">
        <v>1210.5</v>
      </c>
      <c r="G253" s="466">
        <v>543.29999999999995</v>
      </c>
      <c r="H253" s="463">
        <v>563</v>
      </c>
      <c r="I253" s="467">
        <v>335.2</v>
      </c>
      <c r="J253" s="465">
        <v>1441.6</v>
      </c>
      <c r="K253" s="468">
        <v>1.19</v>
      </c>
      <c r="L253" s="469" t="s">
        <v>4726</v>
      </c>
      <c r="M253" s="460" t="str">
        <f>VLOOKUP(B253,'Calculations (All)'!$B:$D,3,FALSE)</f>
        <v>GL</v>
      </c>
    </row>
    <row r="254" spans="1:13" ht="15" thickBot="1">
      <c r="A254" s="461" t="s">
        <v>642</v>
      </c>
      <c r="B254" s="450" t="str">
        <f>VLOOKUP(A254,'Calculations (All)'!A:B,2,FALSE)</f>
        <v>Swale</v>
      </c>
      <c r="C254" s="462">
        <v>1065.4000000000001</v>
      </c>
      <c r="D254" s="463">
        <v>964.7</v>
      </c>
      <c r="E254" s="464">
        <v>691.1</v>
      </c>
      <c r="F254" s="465">
        <v>2721.1</v>
      </c>
      <c r="G254" s="466">
        <v>674</v>
      </c>
      <c r="H254" s="463">
        <v>767.4</v>
      </c>
      <c r="I254" s="467">
        <v>668.3</v>
      </c>
      <c r="J254" s="465">
        <v>2109.8000000000002</v>
      </c>
      <c r="K254" s="468">
        <v>0.78</v>
      </c>
      <c r="L254" s="469" t="s">
        <v>4713</v>
      </c>
      <c r="M254" s="460" t="str">
        <f>VLOOKUP(B254,'Calculations (All)'!$B:$D,3,FALSE)</f>
        <v>SE</v>
      </c>
    </row>
    <row r="255" spans="1:13" ht="15" thickBot="1">
      <c r="A255" s="461" t="s">
        <v>644</v>
      </c>
      <c r="B255" s="450" t="str">
        <f>VLOOKUP(A255,'Calculations (All)'!A:B,2,FALSE)</f>
        <v>Swindon</v>
      </c>
      <c r="C255" s="462">
        <v>1022.7</v>
      </c>
      <c r="D255" s="463">
        <v>951.9</v>
      </c>
      <c r="E255" s="464">
        <v>685.7</v>
      </c>
      <c r="F255" s="465">
        <v>2660.3</v>
      </c>
      <c r="G255" s="466">
        <v>1145.0999999999999</v>
      </c>
      <c r="H255" s="463">
        <v>723</v>
      </c>
      <c r="I255" s="467">
        <v>567</v>
      </c>
      <c r="J255" s="465">
        <v>2435.1</v>
      </c>
      <c r="K255" s="468">
        <v>0.92</v>
      </c>
      <c r="L255" s="469" t="s">
        <v>4728</v>
      </c>
      <c r="M255" s="460" t="str">
        <f>VLOOKUP(B255,'Calculations (All)'!$B:$D,3,FALSE)</f>
        <v>SW</v>
      </c>
    </row>
    <row r="256" spans="1:13" ht="15" thickBot="1">
      <c r="A256" s="461" t="s">
        <v>646</v>
      </c>
      <c r="B256" s="450" t="str">
        <f>VLOOKUP(A256,'Calculations (All)'!A:B,2,FALSE)</f>
        <v>Tameside</v>
      </c>
      <c r="C256" s="462">
        <v>632.1</v>
      </c>
      <c r="D256" s="463">
        <v>587.6</v>
      </c>
      <c r="E256" s="464">
        <v>433.4</v>
      </c>
      <c r="F256" s="465">
        <v>1653.1</v>
      </c>
      <c r="G256" s="466">
        <v>648.79999999999995</v>
      </c>
      <c r="H256" s="463">
        <v>474</v>
      </c>
      <c r="I256" s="467">
        <v>387.4</v>
      </c>
      <c r="J256" s="465">
        <v>1510.2</v>
      </c>
      <c r="K256" s="468">
        <v>0.91</v>
      </c>
      <c r="L256" s="469" t="s">
        <v>4728</v>
      </c>
      <c r="M256" s="460" t="str">
        <f>VLOOKUP(B256,'Calculations (All)'!$B:$D,3,FALSE)</f>
        <v>NW</v>
      </c>
    </row>
    <row r="257" spans="1:13" ht="15" thickBot="1">
      <c r="A257" s="461" t="s">
        <v>648</v>
      </c>
      <c r="B257" s="450" t="str">
        <f>VLOOKUP(A257,'Calculations (All)'!A:B,2,FALSE)</f>
        <v>Tamworth</v>
      </c>
      <c r="C257" s="462">
        <v>108</v>
      </c>
      <c r="D257" s="463">
        <v>100.6</v>
      </c>
      <c r="E257" s="464">
        <v>72.599999999999994</v>
      </c>
      <c r="F257" s="465">
        <v>281.2</v>
      </c>
      <c r="G257" s="466">
        <v>317</v>
      </c>
      <c r="H257" s="463">
        <v>546</v>
      </c>
      <c r="I257" s="467">
        <v>461</v>
      </c>
      <c r="J257" s="465">
        <v>1324</v>
      </c>
      <c r="K257" s="468">
        <v>4.71</v>
      </c>
      <c r="L257" s="469" t="s">
        <v>4726</v>
      </c>
      <c r="M257" s="460" t="str">
        <f>VLOOKUP(B257,'Calculations (All)'!$B:$D,3,FALSE)</f>
        <v>WM</v>
      </c>
    </row>
    <row r="258" spans="1:13" ht="15" thickBot="1">
      <c r="A258" s="461" t="s">
        <v>650</v>
      </c>
      <c r="B258" s="450" t="str">
        <f>VLOOKUP(A258,'Calculations (All)'!A:B,2,FALSE)</f>
        <v>Tandridge</v>
      </c>
      <c r="C258" s="462">
        <v>649</v>
      </c>
      <c r="D258" s="463">
        <v>593.1</v>
      </c>
      <c r="E258" s="464">
        <v>430.1</v>
      </c>
      <c r="F258" s="465">
        <v>1672.2</v>
      </c>
      <c r="G258" s="466">
        <v>249</v>
      </c>
      <c r="H258" s="463">
        <v>268.10000000000002</v>
      </c>
      <c r="I258" s="467">
        <v>117</v>
      </c>
      <c r="J258" s="465">
        <v>634.1</v>
      </c>
      <c r="K258" s="468">
        <v>0.38</v>
      </c>
      <c r="L258" s="469" t="s">
        <v>4714</v>
      </c>
      <c r="M258" s="460" t="str">
        <f>VLOOKUP(B258,'Calculations (All)'!$B:$D,3,FALSE)</f>
        <v>SE</v>
      </c>
    </row>
    <row r="259" spans="1:13" ht="15" thickBot="1">
      <c r="A259" s="461" t="s">
        <v>652</v>
      </c>
      <c r="B259" s="450" t="str">
        <f>VLOOKUP(A259,'Calculations (All)'!A:B,2,FALSE)</f>
        <v>Teignbridge</v>
      </c>
      <c r="C259" s="462">
        <v>623.5</v>
      </c>
      <c r="D259" s="463">
        <v>682.6</v>
      </c>
      <c r="E259" s="464">
        <v>504.6</v>
      </c>
      <c r="F259" s="465">
        <v>1810.7</v>
      </c>
      <c r="G259" s="466">
        <v>644.4</v>
      </c>
      <c r="H259" s="463">
        <v>447.2</v>
      </c>
      <c r="I259" s="467">
        <v>473</v>
      </c>
      <c r="J259" s="465">
        <v>1564.6</v>
      </c>
      <c r="K259" s="468">
        <v>0.86</v>
      </c>
      <c r="L259" s="469" t="s">
        <v>4728</v>
      </c>
      <c r="M259" s="460" t="str">
        <f>VLOOKUP(B259,'Calculations (All)'!$B:$D,3,FALSE)</f>
        <v>SW</v>
      </c>
    </row>
    <row r="260" spans="1:13" ht="15" thickBot="1">
      <c r="A260" s="461" t="s">
        <v>654</v>
      </c>
      <c r="B260" s="450" t="str">
        <f>VLOOKUP(A260,'Calculations (All)'!A:B,2,FALSE)</f>
        <v>Telford and Wrekin</v>
      </c>
      <c r="C260" s="462">
        <v>544.1</v>
      </c>
      <c r="D260" s="463">
        <v>480.5</v>
      </c>
      <c r="E260" s="464">
        <v>339.5</v>
      </c>
      <c r="F260" s="465">
        <v>1364.1</v>
      </c>
      <c r="G260" s="466">
        <v>1356</v>
      </c>
      <c r="H260" s="463">
        <v>991</v>
      </c>
      <c r="I260" s="467">
        <v>836</v>
      </c>
      <c r="J260" s="465">
        <v>3183</v>
      </c>
      <c r="K260" s="468">
        <v>2.33</v>
      </c>
      <c r="L260" s="469" t="s">
        <v>4726</v>
      </c>
      <c r="M260" s="460" t="str">
        <f>VLOOKUP(B260,'Calculations (All)'!$B:$D,3,FALSE)</f>
        <v>WM</v>
      </c>
    </row>
    <row r="261" spans="1:13" ht="15" thickBot="1">
      <c r="A261" s="461" t="s">
        <v>656</v>
      </c>
      <c r="B261" s="450" t="str">
        <f>VLOOKUP(A261,'Calculations (All)'!A:B,2,FALSE)</f>
        <v>Tendring</v>
      </c>
      <c r="C261" s="462">
        <v>550</v>
      </c>
      <c r="D261" s="463">
        <v>503.4</v>
      </c>
      <c r="E261" s="464">
        <v>366.2</v>
      </c>
      <c r="F261" s="465">
        <v>1419.6</v>
      </c>
      <c r="G261" s="466">
        <v>915</v>
      </c>
      <c r="H261" s="463">
        <v>784</v>
      </c>
      <c r="I261" s="467">
        <v>646</v>
      </c>
      <c r="J261" s="465">
        <v>2345</v>
      </c>
      <c r="K261" s="468">
        <v>1.65</v>
      </c>
      <c r="L261" s="469" t="s">
        <v>4726</v>
      </c>
      <c r="M261" s="460" t="str">
        <f>VLOOKUP(B261,'Calculations (All)'!$B:$D,3,FALSE)</f>
        <v>E</v>
      </c>
    </row>
    <row r="262" spans="1:13" ht="15" thickBot="1">
      <c r="A262" s="461" t="s">
        <v>658</v>
      </c>
      <c r="B262" s="450" t="str">
        <f>VLOOKUP(A262,'Calculations (All)'!A:B,2,FALSE)</f>
        <v>Test Valley</v>
      </c>
      <c r="C262" s="462">
        <v>562.4</v>
      </c>
      <c r="D262" s="463">
        <v>508.9</v>
      </c>
      <c r="E262" s="464">
        <v>366.2</v>
      </c>
      <c r="F262" s="465">
        <v>1437.5</v>
      </c>
      <c r="G262" s="466">
        <v>794.8</v>
      </c>
      <c r="H262" s="463">
        <v>973</v>
      </c>
      <c r="I262" s="467">
        <v>878</v>
      </c>
      <c r="J262" s="465">
        <v>2645.8</v>
      </c>
      <c r="K262" s="468">
        <v>1.84</v>
      </c>
      <c r="L262" s="469" t="s">
        <v>4726</v>
      </c>
      <c r="M262" s="460" t="str">
        <f>VLOOKUP(B262,'Calculations (All)'!$B:$D,3,FALSE)</f>
        <v>SE</v>
      </c>
    </row>
    <row r="263" spans="1:13" ht="15" thickBot="1">
      <c r="A263" s="461" t="s">
        <v>660</v>
      </c>
      <c r="B263" s="450" t="str">
        <f>VLOOKUP(A263,'Calculations (All)'!A:B,2,FALSE)</f>
        <v>Tewkesbury</v>
      </c>
      <c r="C263" s="462">
        <v>497.1</v>
      </c>
      <c r="D263" s="463">
        <v>455</v>
      </c>
      <c r="E263" s="464">
        <v>331</v>
      </c>
      <c r="F263" s="465">
        <v>1283.2</v>
      </c>
      <c r="G263" s="466">
        <v>907</v>
      </c>
      <c r="H263" s="463">
        <v>494</v>
      </c>
      <c r="I263" s="467">
        <v>642.6</v>
      </c>
      <c r="J263" s="465">
        <v>2043.6</v>
      </c>
      <c r="K263" s="468">
        <v>1.59</v>
      </c>
      <c r="L263" s="469" t="s">
        <v>4726</v>
      </c>
      <c r="M263" s="460" t="str">
        <f>VLOOKUP(B263,'Calculations (All)'!$B:$D,3,FALSE)</f>
        <v>SW</v>
      </c>
    </row>
    <row r="264" spans="1:13" ht="15" thickBot="1">
      <c r="A264" s="461" t="s">
        <v>662</v>
      </c>
      <c r="B264" s="450" t="str">
        <f>VLOOKUP(A264,'Calculations (All)'!A:B,2,FALSE)</f>
        <v>Thanet</v>
      </c>
      <c r="C264" s="462">
        <v>600</v>
      </c>
      <c r="D264" s="463">
        <v>549.20000000000005</v>
      </c>
      <c r="E264" s="464">
        <v>399.5</v>
      </c>
      <c r="F264" s="465">
        <v>1548.6</v>
      </c>
      <c r="G264" s="466">
        <v>296</v>
      </c>
      <c r="H264" s="463">
        <v>371</v>
      </c>
      <c r="I264" s="467">
        <v>540</v>
      </c>
      <c r="J264" s="465">
        <v>1207</v>
      </c>
      <c r="K264" s="468">
        <v>0.78</v>
      </c>
      <c r="L264" s="469" t="s">
        <v>4713</v>
      </c>
      <c r="M264" s="460" t="str">
        <f>VLOOKUP(B264,'Calculations (All)'!$B:$D,3,FALSE)</f>
        <v>SE</v>
      </c>
    </row>
    <row r="265" spans="1:13" ht="15" thickBot="1">
      <c r="A265" s="461" t="s">
        <v>664</v>
      </c>
      <c r="B265" s="450" t="str">
        <f>VLOOKUP(A265,'Calculations (All)'!A:B,2,FALSE)</f>
        <v>Three Rivers</v>
      </c>
      <c r="C265" s="462">
        <v>614.9</v>
      </c>
      <c r="D265" s="463">
        <v>567.5</v>
      </c>
      <c r="E265" s="464">
        <v>415.4</v>
      </c>
      <c r="F265" s="465">
        <v>1597.8</v>
      </c>
      <c r="G265" s="466">
        <v>151.69999999999999</v>
      </c>
      <c r="H265" s="463">
        <v>456.4</v>
      </c>
      <c r="I265" s="467">
        <v>124.4</v>
      </c>
      <c r="J265" s="465">
        <v>732.6</v>
      </c>
      <c r="K265" s="468">
        <v>0.46</v>
      </c>
      <c r="L265" s="469" t="s">
        <v>4714</v>
      </c>
      <c r="M265" s="460" t="str">
        <f>VLOOKUP(B265,'Calculations (All)'!$B:$D,3,FALSE)</f>
        <v>E</v>
      </c>
    </row>
    <row r="266" spans="1:13" ht="15" thickBot="1">
      <c r="A266" s="461" t="s">
        <v>666</v>
      </c>
      <c r="B266" s="450" t="str">
        <f>VLOOKUP(A266,'Calculations (All)'!A:B,2,FALSE)</f>
        <v>Thurrock</v>
      </c>
      <c r="C266" s="462">
        <v>1168.9000000000001</v>
      </c>
      <c r="D266" s="463">
        <v>1068.2</v>
      </c>
      <c r="E266" s="464">
        <v>763.6</v>
      </c>
      <c r="F266" s="465">
        <v>3000.7</v>
      </c>
      <c r="G266" s="466">
        <v>408</v>
      </c>
      <c r="H266" s="463">
        <v>558</v>
      </c>
      <c r="I266" s="467">
        <v>493</v>
      </c>
      <c r="J266" s="465">
        <v>1459</v>
      </c>
      <c r="K266" s="468">
        <v>0.49</v>
      </c>
      <c r="L266" s="469" t="s">
        <v>4714</v>
      </c>
      <c r="M266" s="460" t="str">
        <f>VLOOKUP(B266,'Calculations (All)'!$B:$D,3,FALSE)</f>
        <v>E</v>
      </c>
    </row>
    <row r="267" spans="1:13" ht="15" thickBot="1">
      <c r="A267" s="461" t="s">
        <v>668</v>
      </c>
      <c r="B267" s="450" t="str">
        <f>VLOOKUP(A267,'Calculations (All)'!A:B,2,FALSE)</f>
        <v>Tonbridge and Malling</v>
      </c>
      <c r="C267" s="462">
        <v>853.7</v>
      </c>
      <c r="D267" s="463">
        <v>774.3</v>
      </c>
      <c r="E267" s="464">
        <v>561.20000000000005</v>
      </c>
      <c r="F267" s="465">
        <v>2189.3000000000002</v>
      </c>
      <c r="G267" s="466">
        <v>457</v>
      </c>
      <c r="H267" s="463">
        <v>471</v>
      </c>
      <c r="I267" s="467">
        <v>441</v>
      </c>
      <c r="J267" s="465">
        <v>1369</v>
      </c>
      <c r="K267" s="468">
        <v>0.63</v>
      </c>
      <c r="L267" s="469" t="s">
        <v>4714</v>
      </c>
      <c r="M267" s="460" t="str">
        <f>VLOOKUP(B267,'Calculations (All)'!$B:$D,3,FALSE)</f>
        <v>SE</v>
      </c>
    </row>
    <row r="268" spans="1:13" ht="15" thickBot="1">
      <c r="A268" s="461" t="s">
        <v>670</v>
      </c>
      <c r="B268" s="450" t="str">
        <f>VLOOKUP(A268,'Calculations (All)'!A:B,2,FALSE)</f>
        <v>Torbay</v>
      </c>
      <c r="C268" s="462">
        <v>495</v>
      </c>
      <c r="D268" s="463">
        <v>453.1</v>
      </c>
      <c r="E268" s="464">
        <v>357.5</v>
      </c>
      <c r="F268" s="465">
        <v>1305.5</v>
      </c>
      <c r="G268" s="466">
        <v>531</v>
      </c>
      <c r="H268" s="463">
        <v>188</v>
      </c>
      <c r="I268" s="467">
        <v>260</v>
      </c>
      <c r="J268" s="465">
        <v>979</v>
      </c>
      <c r="K268" s="468">
        <v>0.75</v>
      </c>
      <c r="L268" s="469" t="s">
        <v>4713</v>
      </c>
      <c r="M268" s="460" t="str">
        <f>VLOOKUP(B268,'Calculations (All)'!$B:$D,3,FALSE)</f>
        <v>SW</v>
      </c>
    </row>
    <row r="269" spans="1:13" ht="15" thickBot="1">
      <c r="A269" s="461" t="s">
        <v>674</v>
      </c>
      <c r="B269" s="450" t="str">
        <f>VLOOKUP(A269,'Calculations (All)'!A:B,2,FALSE)</f>
        <v>Tower Hamlets</v>
      </c>
      <c r="C269" s="462">
        <v>3931</v>
      </c>
      <c r="D269" s="463">
        <v>3598</v>
      </c>
      <c r="E269" s="464">
        <v>2617.1</v>
      </c>
      <c r="F269" s="465">
        <v>10146.1</v>
      </c>
      <c r="G269" s="466">
        <v>1526.2</v>
      </c>
      <c r="H269" s="463">
        <v>4570.1000000000004</v>
      </c>
      <c r="I269" s="467">
        <v>3248</v>
      </c>
      <c r="J269" s="465">
        <v>9344.2999999999993</v>
      </c>
      <c r="K269" s="468">
        <v>0.92</v>
      </c>
      <c r="L269" s="469" t="s">
        <v>4728</v>
      </c>
      <c r="M269" s="460" t="str">
        <f>VLOOKUP(B269,'Calculations (All)'!$B:$D,3,FALSE)</f>
        <v>GL</v>
      </c>
    </row>
    <row r="270" spans="1:13" ht="15" thickBot="1">
      <c r="A270" s="461" t="s">
        <v>676</v>
      </c>
      <c r="B270" s="450" t="str">
        <f>VLOOKUP(A270,'Calculations (All)'!A:B,2,FALSE)</f>
        <v>Trafford</v>
      </c>
      <c r="C270" s="462">
        <v>1335.2</v>
      </c>
      <c r="D270" s="463">
        <v>1246.5999999999999</v>
      </c>
      <c r="E270" s="464">
        <v>911.4</v>
      </c>
      <c r="F270" s="465">
        <v>3493.2</v>
      </c>
      <c r="G270" s="466">
        <v>969.7</v>
      </c>
      <c r="H270" s="463">
        <v>722.9</v>
      </c>
      <c r="I270" s="467">
        <v>1076</v>
      </c>
      <c r="J270" s="465">
        <v>2768.6</v>
      </c>
      <c r="K270" s="468">
        <v>0.79</v>
      </c>
      <c r="L270" s="469" t="s">
        <v>4713</v>
      </c>
      <c r="M270" s="460" t="str">
        <f>VLOOKUP(B270,'Calculations (All)'!$B:$D,3,FALSE)</f>
        <v>NW</v>
      </c>
    </row>
    <row r="271" spans="1:13" ht="15" thickBot="1">
      <c r="A271" s="461" t="s">
        <v>678</v>
      </c>
      <c r="B271" s="450" t="str">
        <f>VLOOKUP(A271,'Calculations (All)'!A:B,2,FALSE)</f>
        <v>Tunbridge Wells</v>
      </c>
      <c r="C271" s="462">
        <v>688.1</v>
      </c>
      <c r="D271" s="463">
        <v>624.20000000000005</v>
      </c>
      <c r="E271" s="464">
        <v>451.4</v>
      </c>
      <c r="F271" s="465">
        <v>1763.7</v>
      </c>
      <c r="G271" s="466">
        <v>553</v>
      </c>
      <c r="H271" s="463">
        <v>474</v>
      </c>
      <c r="I271" s="467">
        <v>690</v>
      </c>
      <c r="J271" s="465">
        <v>1717</v>
      </c>
      <c r="K271" s="468">
        <v>0.97</v>
      </c>
      <c r="L271" s="469" t="s">
        <v>4726</v>
      </c>
      <c r="M271" s="460" t="str">
        <f>VLOOKUP(B271,'Calculations (All)'!$B:$D,3,FALSE)</f>
        <v>SE</v>
      </c>
    </row>
    <row r="272" spans="1:13" ht="15" thickBot="1">
      <c r="A272" s="461" t="s">
        <v>680</v>
      </c>
      <c r="B272" s="450" t="str">
        <f>VLOOKUP(A272,'Calculations (All)'!A:B,2,FALSE)</f>
        <v>Uttlesford</v>
      </c>
      <c r="C272" s="462">
        <v>723.1</v>
      </c>
      <c r="D272" s="463">
        <v>654.4</v>
      </c>
      <c r="E272" s="464">
        <v>470</v>
      </c>
      <c r="F272" s="465">
        <v>1847.6</v>
      </c>
      <c r="G272" s="466">
        <v>983</v>
      </c>
      <c r="H272" s="463">
        <v>507.2</v>
      </c>
      <c r="I272" s="467">
        <v>340</v>
      </c>
      <c r="J272" s="465">
        <v>1830.2</v>
      </c>
      <c r="K272" s="468">
        <v>0.99</v>
      </c>
      <c r="L272" s="469" t="s">
        <v>4726</v>
      </c>
      <c r="M272" s="460" t="str">
        <f>VLOOKUP(B272,'Calculations (All)'!$B:$D,3,FALSE)</f>
        <v>E</v>
      </c>
    </row>
    <row r="273" spans="1:13" ht="15" thickBot="1">
      <c r="A273" s="461" t="s">
        <v>682</v>
      </c>
      <c r="B273" s="450" t="str">
        <f>VLOOKUP(A273,'Calculations (All)'!A:B,2,FALSE)</f>
        <v>Vale of White Horse</v>
      </c>
      <c r="C273" s="462">
        <v>769.4</v>
      </c>
      <c r="D273" s="463">
        <v>722.4</v>
      </c>
      <c r="E273" s="464">
        <v>512.6</v>
      </c>
      <c r="F273" s="465">
        <v>2004.3</v>
      </c>
      <c r="G273" s="466">
        <v>1259.3</v>
      </c>
      <c r="H273" s="463">
        <v>1548.3</v>
      </c>
      <c r="I273" s="467">
        <v>1107.3</v>
      </c>
      <c r="J273" s="465">
        <v>3915</v>
      </c>
      <c r="K273" s="468">
        <v>1.95</v>
      </c>
      <c r="L273" s="469" t="s">
        <v>4726</v>
      </c>
      <c r="M273" s="460" t="str">
        <f>VLOOKUP(B273,'Calculations (All)'!$B:$D,3,FALSE)</f>
        <v>SE</v>
      </c>
    </row>
    <row r="274" spans="1:13" ht="15" thickBot="1">
      <c r="A274" s="461" t="s">
        <v>684</v>
      </c>
      <c r="B274" s="450" t="str">
        <f>VLOOKUP(A274,'Calculations (All)'!A:B,2,FALSE)</f>
        <v>Wakefield</v>
      </c>
      <c r="C274" s="462">
        <v>1009</v>
      </c>
      <c r="D274" s="463">
        <v>894.2</v>
      </c>
      <c r="E274" s="464">
        <v>645.79999999999995</v>
      </c>
      <c r="F274" s="465">
        <v>2549</v>
      </c>
      <c r="G274" s="466">
        <v>2114</v>
      </c>
      <c r="H274" s="463">
        <v>1758</v>
      </c>
      <c r="I274" s="467">
        <v>1227</v>
      </c>
      <c r="J274" s="465">
        <v>5099</v>
      </c>
      <c r="K274" s="468">
        <v>2</v>
      </c>
      <c r="L274" s="469" t="s">
        <v>4726</v>
      </c>
      <c r="M274" s="460" t="str">
        <f>VLOOKUP(B274,'Calculations (All)'!$B:$D,3,FALSE)</f>
        <v>YH</v>
      </c>
    </row>
    <row r="275" spans="1:13" ht="15" thickBot="1">
      <c r="A275" s="461" t="s">
        <v>686</v>
      </c>
      <c r="B275" s="450" t="str">
        <f>VLOOKUP(A275,'Calculations (All)'!A:B,2,FALSE)</f>
        <v>Walsall</v>
      </c>
      <c r="C275" s="462">
        <v>896.7</v>
      </c>
      <c r="D275" s="463">
        <v>829.3</v>
      </c>
      <c r="E275" s="464">
        <v>587.20000000000005</v>
      </c>
      <c r="F275" s="465">
        <v>2313.1999999999998</v>
      </c>
      <c r="G275" s="466">
        <v>770</v>
      </c>
      <c r="H275" s="463">
        <v>702.2</v>
      </c>
      <c r="I275" s="467">
        <v>145</v>
      </c>
      <c r="J275" s="465">
        <v>1617.2</v>
      </c>
      <c r="K275" s="468">
        <v>0.7</v>
      </c>
      <c r="L275" s="469" t="s">
        <v>4714</v>
      </c>
      <c r="M275" s="460" t="str">
        <f>VLOOKUP(B275,'Calculations (All)'!$B:$D,3,FALSE)</f>
        <v>WM</v>
      </c>
    </row>
    <row r="276" spans="1:13" ht="15" thickBot="1">
      <c r="A276" s="461" t="s">
        <v>688</v>
      </c>
      <c r="B276" s="450" t="str">
        <f>VLOOKUP(A276,'Calculations (All)'!A:B,2,FALSE)</f>
        <v>Waltham Forest</v>
      </c>
      <c r="C276" s="462">
        <v>862</v>
      </c>
      <c r="D276" s="463">
        <v>1104.8</v>
      </c>
      <c r="E276" s="464">
        <v>841.5</v>
      </c>
      <c r="F276" s="465">
        <v>2808.3</v>
      </c>
      <c r="G276" s="466">
        <v>613</v>
      </c>
      <c r="H276" s="463">
        <v>910.6</v>
      </c>
      <c r="I276" s="467">
        <v>1263</v>
      </c>
      <c r="J276" s="465">
        <v>2786.6</v>
      </c>
      <c r="K276" s="468">
        <v>0.99</v>
      </c>
      <c r="L276" s="469" t="s">
        <v>4726</v>
      </c>
      <c r="M276" s="460" t="str">
        <f>VLOOKUP(B276,'Calculations (All)'!$B:$D,3,FALSE)</f>
        <v>GL</v>
      </c>
    </row>
    <row r="277" spans="1:13" ht="15" thickBot="1">
      <c r="A277" s="461" t="s">
        <v>690</v>
      </c>
      <c r="B277" s="450" t="str">
        <f>VLOOKUP(A277,'Calculations (All)'!A:B,2,FALSE)</f>
        <v>Wandsworth</v>
      </c>
      <c r="C277" s="462">
        <v>1812</v>
      </c>
      <c r="D277" s="463">
        <v>1658.5</v>
      </c>
      <c r="E277" s="464">
        <v>1215</v>
      </c>
      <c r="F277" s="465">
        <v>4685.6000000000004</v>
      </c>
      <c r="G277" s="466">
        <v>1918</v>
      </c>
      <c r="H277" s="463">
        <v>1383.3</v>
      </c>
      <c r="I277" s="467">
        <v>1641.5</v>
      </c>
      <c r="J277" s="465">
        <v>4942.8</v>
      </c>
      <c r="K277" s="468">
        <v>1.05</v>
      </c>
      <c r="L277" s="469" t="s">
        <v>4726</v>
      </c>
      <c r="M277" s="460" t="str">
        <f>VLOOKUP(B277,'Calculations (All)'!$B:$D,3,FALSE)</f>
        <v>GL</v>
      </c>
    </row>
    <row r="278" spans="1:13" ht="15" thickBot="1">
      <c r="A278" s="461" t="s">
        <v>692</v>
      </c>
      <c r="B278" s="450" t="str">
        <f>VLOOKUP(A278,'Calculations (All)'!A:B,2,FALSE)</f>
        <v>Warrington</v>
      </c>
      <c r="C278" s="462">
        <v>887.1</v>
      </c>
      <c r="D278" s="463">
        <v>786.2</v>
      </c>
      <c r="E278" s="464">
        <v>569.20000000000005</v>
      </c>
      <c r="F278" s="465">
        <v>2242.6</v>
      </c>
      <c r="G278" s="466">
        <v>503</v>
      </c>
      <c r="H278" s="463">
        <v>541</v>
      </c>
      <c r="I278" s="467">
        <v>571</v>
      </c>
      <c r="J278" s="465">
        <v>1615</v>
      </c>
      <c r="K278" s="468">
        <v>0.72</v>
      </c>
      <c r="L278" s="469" t="s">
        <v>4714</v>
      </c>
      <c r="M278" s="460" t="str">
        <f>VLOOKUP(B278,'Calculations (All)'!$B:$D,3,FALSE)</f>
        <v>NW</v>
      </c>
    </row>
    <row r="279" spans="1:13" ht="15" thickBot="1">
      <c r="A279" s="461" t="s">
        <v>694</v>
      </c>
      <c r="B279" s="450" t="str">
        <f>VLOOKUP(A279,'Calculations (All)'!A:B,2,FALSE)</f>
        <v>Warwick</v>
      </c>
      <c r="C279" s="462">
        <v>963.4</v>
      </c>
      <c r="D279" s="463">
        <v>894.8</v>
      </c>
      <c r="E279" s="464">
        <v>638.29999999999995</v>
      </c>
      <c r="F279" s="465">
        <v>2496.5</v>
      </c>
      <c r="G279" s="466">
        <v>1050.2</v>
      </c>
      <c r="H279" s="463">
        <v>1168.2</v>
      </c>
      <c r="I279" s="467">
        <v>841.2</v>
      </c>
      <c r="J279" s="465">
        <v>3059.6</v>
      </c>
      <c r="K279" s="468">
        <v>1.23</v>
      </c>
      <c r="L279" s="469" t="s">
        <v>4726</v>
      </c>
      <c r="M279" s="460" t="str">
        <f>VLOOKUP(B279,'Calculations (All)'!$B:$D,3,FALSE)</f>
        <v>WM</v>
      </c>
    </row>
    <row r="280" spans="1:13" ht="15" thickBot="1">
      <c r="A280" s="461" t="s">
        <v>696</v>
      </c>
      <c r="B280" s="450" t="str">
        <f>VLOOKUP(A280,'Calculations (All)'!A:B,2,FALSE)</f>
        <v>Watford</v>
      </c>
      <c r="C280" s="462">
        <v>798.3</v>
      </c>
      <c r="D280" s="463">
        <v>725.8</v>
      </c>
      <c r="E280" s="464">
        <v>523.9</v>
      </c>
      <c r="F280" s="465">
        <v>2048.1</v>
      </c>
      <c r="G280" s="466">
        <v>298</v>
      </c>
      <c r="H280" s="463">
        <v>266.2</v>
      </c>
      <c r="I280" s="467">
        <v>416.1</v>
      </c>
      <c r="J280" s="465">
        <v>980.3</v>
      </c>
      <c r="K280" s="468">
        <v>0.48</v>
      </c>
      <c r="L280" s="469" t="s">
        <v>4714</v>
      </c>
      <c r="M280" s="460" t="str">
        <f>VLOOKUP(B280,'Calculations (All)'!$B:$D,3,FALSE)</f>
        <v>E</v>
      </c>
    </row>
    <row r="281" spans="1:13" ht="15" thickBot="1">
      <c r="A281" s="461" t="s">
        <v>698</v>
      </c>
      <c r="B281" s="450" t="str">
        <f>VLOOKUP(A281,'Calculations (All)'!A:B,2,FALSE)</f>
        <v>Waverley</v>
      </c>
      <c r="C281" s="462">
        <v>590</v>
      </c>
      <c r="D281" s="463">
        <v>540</v>
      </c>
      <c r="E281" s="464">
        <v>392.8</v>
      </c>
      <c r="F281" s="465">
        <v>1522.8</v>
      </c>
      <c r="G281" s="466">
        <v>375.3</v>
      </c>
      <c r="H281" s="463">
        <v>605</v>
      </c>
      <c r="I281" s="467">
        <v>672.1</v>
      </c>
      <c r="J281" s="465">
        <v>1652.4</v>
      </c>
      <c r="K281" s="468">
        <v>1.0900000000000001</v>
      </c>
      <c r="L281" s="469" t="s">
        <v>4726</v>
      </c>
      <c r="M281" s="460" t="str">
        <f>VLOOKUP(B281,'Calculations (All)'!$B:$D,3,FALSE)</f>
        <v>SE</v>
      </c>
    </row>
    <row r="282" spans="1:13" ht="15" thickBot="1">
      <c r="A282" s="461" t="s">
        <v>700</v>
      </c>
      <c r="B282" s="450" t="str">
        <f>VLOOKUP(A282,'Calculations (All)'!A:B,2,FALSE)</f>
        <v>Wealden</v>
      </c>
      <c r="C282" s="462">
        <v>1236.3</v>
      </c>
      <c r="D282" s="463">
        <v>1126.7</v>
      </c>
      <c r="E282" s="464">
        <v>815.5</v>
      </c>
      <c r="F282" s="465">
        <v>3178.6</v>
      </c>
      <c r="G282" s="466">
        <v>841</v>
      </c>
      <c r="H282" s="463">
        <v>1034</v>
      </c>
      <c r="I282" s="467">
        <v>742.9</v>
      </c>
      <c r="J282" s="465">
        <v>2617.9</v>
      </c>
      <c r="K282" s="468">
        <v>0.82</v>
      </c>
      <c r="L282" s="469" t="s">
        <v>4713</v>
      </c>
      <c r="M282" s="460" t="str">
        <f>VLOOKUP(B282,'Calculations (All)'!$B:$D,3,FALSE)</f>
        <v>SE</v>
      </c>
    </row>
    <row r="283" spans="1:13" ht="15" thickBot="1">
      <c r="A283" s="461" t="s">
        <v>702</v>
      </c>
      <c r="B283" s="450" t="str">
        <f>VLOOKUP(A283,'Calculations (All)'!A:B,2,FALSE)</f>
        <v>Wellingborough</v>
      </c>
      <c r="C283" s="462">
        <v>341.1</v>
      </c>
      <c r="D283" s="463">
        <v>310.3</v>
      </c>
      <c r="E283" s="464">
        <v>231.7</v>
      </c>
      <c r="F283" s="465">
        <v>883.1</v>
      </c>
      <c r="G283" s="466">
        <v>341.2</v>
      </c>
      <c r="H283" s="463">
        <v>359.6</v>
      </c>
      <c r="I283" s="467">
        <v>350.9</v>
      </c>
      <c r="J283" s="465">
        <v>1051.7</v>
      </c>
      <c r="K283" s="468">
        <v>1.19</v>
      </c>
      <c r="L283" s="469" t="s">
        <v>4726</v>
      </c>
      <c r="M283" s="460" t="str">
        <f>VLOOKUP(B283,'Calculations (All)'!$B:$D,3,FALSE)</f>
        <v>EM</v>
      </c>
    </row>
    <row r="284" spans="1:13" ht="15" thickBot="1">
      <c r="A284" s="461" t="s">
        <v>704</v>
      </c>
      <c r="B284" s="450" t="str">
        <f>VLOOKUP(A284,'Calculations (All)'!A:B,2,FALSE)</f>
        <v>Welwyn Hatfield</v>
      </c>
      <c r="C284" s="462">
        <v>867.2</v>
      </c>
      <c r="D284" s="463">
        <v>794.5</v>
      </c>
      <c r="E284" s="464">
        <v>582.5</v>
      </c>
      <c r="F284" s="465">
        <v>2244.1999999999998</v>
      </c>
      <c r="G284" s="466">
        <v>462.7</v>
      </c>
      <c r="H284" s="463">
        <v>673.2</v>
      </c>
      <c r="I284" s="467">
        <v>352</v>
      </c>
      <c r="J284" s="465">
        <v>1487.9</v>
      </c>
      <c r="K284" s="468">
        <v>0.66</v>
      </c>
      <c r="L284" s="469" t="s">
        <v>4714</v>
      </c>
      <c r="M284" s="460" t="str">
        <f>VLOOKUP(B284,'Calculations (All)'!$B:$D,3,FALSE)</f>
        <v>E</v>
      </c>
    </row>
    <row r="285" spans="1:13" ht="15" thickBot="1">
      <c r="A285" s="461" t="s">
        <v>706</v>
      </c>
      <c r="B285" s="450" t="str">
        <f>VLOOKUP(A285,'Calculations (All)'!A:B,2,FALSE)</f>
        <v>West Berkshire</v>
      </c>
      <c r="C285" s="462">
        <v>550.79999999999995</v>
      </c>
      <c r="D285" s="463">
        <v>476</v>
      </c>
      <c r="E285" s="464">
        <v>341.5</v>
      </c>
      <c r="F285" s="465">
        <v>1368.3</v>
      </c>
      <c r="G285" s="466">
        <v>543.1</v>
      </c>
      <c r="H285" s="463">
        <v>438.6</v>
      </c>
      <c r="I285" s="467">
        <v>621.4</v>
      </c>
      <c r="J285" s="465">
        <v>1603.1</v>
      </c>
      <c r="K285" s="468">
        <v>1.17</v>
      </c>
      <c r="L285" s="469" t="s">
        <v>4726</v>
      </c>
      <c r="M285" s="460" t="str">
        <f>VLOOKUP(B285,'Calculations (All)'!$B:$D,3,FALSE)</f>
        <v>SE</v>
      </c>
    </row>
    <row r="286" spans="1:13" ht="15" thickBot="1">
      <c r="A286" s="461" t="s">
        <v>710</v>
      </c>
      <c r="B286" s="450" t="str">
        <f>VLOOKUP(A286,'Calculations (All)'!A:B,2,FALSE)</f>
        <v>West Lancashire</v>
      </c>
      <c r="C286" s="462">
        <v>203.5</v>
      </c>
      <c r="D286" s="463">
        <v>181.2</v>
      </c>
      <c r="E286" s="464">
        <v>128.5</v>
      </c>
      <c r="F286" s="465">
        <v>513.20000000000005</v>
      </c>
      <c r="G286" s="466">
        <v>323</v>
      </c>
      <c r="H286" s="463">
        <v>616</v>
      </c>
      <c r="I286" s="467">
        <v>454.7</v>
      </c>
      <c r="J286" s="465">
        <v>1393.7</v>
      </c>
      <c r="K286" s="468">
        <v>2.72</v>
      </c>
      <c r="L286" s="469" t="s">
        <v>4726</v>
      </c>
      <c r="M286" s="460" t="str">
        <f>VLOOKUP(B286,'Calculations (All)'!$B:$D,3,FALSE)</f>
        <v>NW</v>
      </c>
    </row>
    <row r="287" spans="1:13" ht="15" thickBot="1">
      <c r="A287" s="461" t="s">
        <v>714</v>
      </c>
      <c r="B287" s="450" t="str">
        <f>VLOOKUP(A287,'Calculations (All)'!A:B,2,FALSE)</f>
        <v>West Oxfordshire</v>
      </c>
      <c r="C287" s="462">
        <v>550</v>
      </c>
      <c r="D287" s="463">
        <v>503.4</v>
      </c>
      <c r="E287" s="464">
        <v>366.2</v>
      </c>
      <c r="F287" s="465">
        <v>1419.6</v>
      </c>
      <c r="G287" s="466">
        <v>813</v>
      </c>
      <c r="H287" s="463">
        <v>1086</v>
      </c>
      <c r="I287" s="467">
        <v>868</v>
      </c>
      <c r="J287" s="465">
        <v>2767</v>
      </c>
      <c r="K287" s="468">
        <v>1.95</v>
      </c>
      <c r="L287" s="469" t="s">
        <v>4726</v>
      </c>
      <c r="M287" s="460" t="str">
        <f>VLOOKUP(B287,'Calculations (All)'!$B:$D,3,FALSE)</f>
        <v>SE</v>
      </c>
    </row>
    <row r="288" spans="1:13" ht="15" thickBot="1">
      <c r="A288" s="461" t="s">
        <v>718</v>
      </c>
      <c r="B288" s="450" t="str">
        <f>VLOOKUP(A288,'Calculations (All)'!A:B,2,FALSE)</f>
        <v>Westminster</v>
      </c>
      <c r="C288" s="462">
        <v>1068</v>
      </c>
      <c r="D288" s="463">
        <v>901.6</v>
      </c>
      <c r="E288" s="464">
        <v>655.8</v>
      </c>
      <c r="F288" s="465">
        <v>2625.3</v>
      </c>
      <c r="G288" s="466">
        <v>788.6</v>
      </c>
      <c r="H288" s="463">
        <v>1112.8</v>
      </c>
      <c r="I288" s="467">
        <v>622.20000000000005</v>
      </c>
      <c r="J288" s="465">
        <v>2523.6</v>
      </c>
      <c r="K288" s="468">
        <v>0.96</v>
      </c>
      <c r="L288" s="469" t="s">
        <v>4726</v>
      </c>
      <c r="M288" s="460" t="str">
        <f>VLOOKUP(B288,'Calculations (All)'!$B:$D,3,FALSE)</f>
        <v>GL</v>
      </c>
    </row>
    <row r="289" spans="1:13" ht="15" thickBot="1">
      <c r="A289" s="461" t="s">
        <v>720</v>
      </c>
      <c r="B289" s="450" t="str">
        <f>VLOOKUP(A289,'Calculations (All)'!A:B,2,FALSE)</f>
        <v>Wigan</v>
      </c>
      <c r="C289" s="462">
        <v>944.4</v>
      </c>
      <c r="D289" s="463">
        <v>838.4</v>
      </c>
      <c r="E289" s="464">
        <v>602.5</v>
      </c>
      <c r="F289" s="465">
        <v>2385.3000000000002</v>
      </c>
      <c r="G289" s="466">
        <v>1350</v>
      </c>
      <c r="H289" s="463">
        <v>1367</v>
      </c>
      <c r="I289" s="467">
        <v>1439</v>
      </c>
      <c r="J289" s="465">
        <v>4156</v>
      </c>
      <c r="K289" s="468">
        <v>1.74</v>
      </c>
      <c r="L289" s="469" t="s">
        <v>4726</v>
      </c>
      <c r="M289" s="460" t="str">
        <f>VLOOKUP(B289,'Calculations (All)'!$B:$D,3,FALSE)</f>
        <v>NW</v>
      </c>
    </row>
    <row r="290" spans="1:13" ht="15" thickBot="1">
      <c r="A290" s="461" t="s">
        <v>722</v>
      </c>
      <c r="B290" s="450" t="str">
        <f>VLOOKUP(A290,'Calculations (All)'!A:B,2,FALSE)</f>
        <v>Wiltshire</v>
      </c>
      <c r="C290" s="462">
        <v>2034</v>
      </c>
      <c r="D290" s="463">
        <v>1869</v>
      </c>
      <c r="E290" s="464">
        <v>1335.5</v>
      </c>
      <c r="F290" s="465">
        <v>5238.5</v>
      </c>
      <c r="G290" s="466">
        <v>2765.7</v>
      </c>
      <c r="H290" s="463">
        <v>1799.1</v>
      </c>
      <c r="I290" s="467">
        <v>2846</v>
      </c>
      <c r="J290" s="465">
        <v>7410.8</v>
      </c>
      <c r="K290" s="468">
        <v>1.41</v>
      </c>
      <c r="L290" s="469" t="s">
        <v>4726</v>
      </c>
      <c r="M290" s="460" t="str">
        <f>VLOOKUP(B290,'Calculations (All)'!$B:$D,3,FALSE)</f>
        <v>SW</v>
      </c>
    </row>
    <row r="291" spans="1:13" ht="15" thickBot="1">
      <c r="A291" s="461" t="s">
        <v>724</v>
      </c>
      <c r="B291" s="450" t="str">
        <f>VLOOKUP(A291,'Calculations (All)'!A:B,2,FALSE)</f>
        <v>Winchester</v>
      </c>
      <c r="C291" s="462">
        <v>659.3</v>
      </c>
      <c r="D291" s="463">
        <v>609.6</v>
      </c>
      <c r="E291" s="464">
        <v>460.7</v>
      </c>
      <c r="F291" s="465">
        <v>1729.6</v>
      </c>
      <c r="G291" s="466">
        <v>925.6</v>
      </c>
      <c r="H291" s="463">
        <v>643.20000000000005</v>
      </c>
      <c r="I291" s="467">
        <v>832</v>
      </c>
      <c r="J291" s="465">
        <v>2400.8000000000002</v>
      </c>
      <c r="K291" s="468">
        <v>1.39</v>
      </c>
      <c r="L291" s="469" t="s">
        <v>4726</v>
      </c>
      <c r="M291" s="460" t="str">
        <f>VLOOKUP(B291,'Calculations (All)'!$B:$D,3,FALSE)</f>
        <v>SE</v>
      </c>
    </row>
    <row r="292" spans="1:13" ht="15" thickBot="1">
      <c r="A292" s="461" t="s">
        <v>726</v>
      </c>
      <c r="B292" s="450" t="str">
        <f>VLOOKUP(A292,'Calculations (All)'!A:B,2,FALSE)</f>
        <v>Windsor and Maidenhead</v>
      </c>
      <c r="C292" s="462">
        <v>767.5</v>
      </c>
      <c r="D292" s="463">
        <v>696.5</v>
      </c>
      <c r="E292" s="464">
        <v>502</v>
      </c>
      <c r="F292" s="465">
        <v>1966</v>
      </c>
      <c r="G292" s="466">
        <v>705.1</v>
      </c>
      <c r="H292" s="463">
        <v>404</v>
      </c>
      <c r="I292" s="467">
        <v>327.8</v>
      </c>
      <c r="J292" s="465">
        <v>1436.9</v>
      </c>
      <c r="K292" s="468">
        <v>0.73</v>
      </c>
      <c r="L292" s="469" t="s">
        <v>4714</v>
      </c>
      <c r="M292" s="460" t="str">
        <f>VLOOKUP(B292,'Calculations (All)'!$B:$D,3,FALSE)</f>
        <v>SE</v>
      </c>
    </row>
    <row r="293" spans="1:13" ht="15" thickBot="1">
      <c r="A293" s="461" t="s">
        <v>728</v>
      </c>
      <c r="B293" s="450" t="str">
        <f>VLOOKUP(A293,'Calculations (All)'!A:B,2,FALSE)</f>
        <v>Wirral</v>
      </c>
      <c r="C293" s="462">
        <v>794</v>
      </c>
      <c r="D293" s="463">
        <v>731.3</v>
      </c>
      <c r="E293" s="464">
        <v>518.6</v>
      </c>
      <c r="F293" s="465">
        <v>2043.9</v>
      </c>
      <c r="G293" s="466">
        <v>632.4</v>
      </c>
      <c r="H293" s="463">
        <v>817.7</v>
      </c>
      <c r="I293" s="467">
        <v>565.1</v>
      </c>
      <c r="J293" s="465">
        <v>2015.2</v>
      </c>
      <c r="K293" s="468">
        <v>0.99</v>
      </c>
      <c r="L293" s="469" t="s">
        <v>4726</v>
      </c>
      <c r="M293" s="460" t="str">
        <f>VLOOKUP(B293,'Calculations (All)'!$B:$D,3,FALSE)</f>
        <v>NW</v>
      </c>
    </row>
    <row r="294" spans="1:13" ht="15" thickBot="1">
      <c r="A294" s="461" t="s">
        <v>730</v>
      </c>
      <c r="B294" s="450" t="str">
        <f>VLOOKUP(A294,'Calculations (All)'!A:B,2,FALSE)</f>
        <v>Woking</v>
      </c>
      <c r="C294" s="462">
        <v>337.9</v>
      </c>
      <c r="D294" s="463">
        <v>308.5</v>
      </c>
      <c r="E294" s="464">
        <v>225.2</v>
      </c>
      <c r="F294" s="465">
        <v>871.7</v>
      </c>
      <c r="G294" s="466">
        <v>231</v>
      </c>
      <c r="H294" s="463">
        <v>305.3</v>
      </c>
      <c r="I294" s="467">
        <v>146.6</v>
      </c>
      <c r="J294" s="465">
        <v>682.9</v>
      </c>
      <c r="K294" s="468">
        <v>0.78</v>
      </c>
      <c r="L294" s="469" t="s">
        <v>4713</v>
      </c>
      <c r="M294" s="460" t="str">
        <f>VLOOKUP(B294,'Calculations (All)'!$B:$D,3,FALSE)</f>
        <v>SE</v>
      </c>
    </row>
    <row r="295" spans="1:13" ht="15" thickBot="1">
      <c r="A295" s="461" t="s">
        <v>732</v>
      </c>
      <c r="B295" s="450" t="str">
        <f>VLOOKUP(A295,'Calculations (All)'!A:B,2,FALSE)</f>
        <v>Wokingham</v>
      </c>
      <c r="C295" s="462">
        <v>863.8</v>
      </c>
      <c r="D295" s="463">
        <v>735.9</v>
      </c>
      <c r="E295" s="464">
        <v>525.29999999999995</v>
      </c>
      <c r="F295" s="465">
        <v>2124.9</v>
      </c>
      <c r="G295" s="466">
        <v>1284.4000000000001</v>
      </c>
      <c r="H295" s="463">
        <v>1555</v>
      </c>
      <c r="I295" s="467">
        <v>1166.8</v>
      </c>
      <c r="J295" s="465">
        <v>4006.2</v>
      </c>
      <c r="K295" s="468">
        <v>1.89</v>
      </c>
      <c r="L295" s="469" t="s">
        <v>4726</v>
      </c>
      <c r="M295" s="460" t="str">
        <f>VLOOKUP(B295,'Calculations (All)'!$B:$D,3,FALSE)</f>
        <v>SE</v>
      </c>
    </row>
    <row r="296" spans="1:13" ht="15" thickBot="1">
      <c r="A296" s="461" t="s">
        <v>734</v>
      </c>
      <c r="B296" s="450" t="str">
        <f>VLOOKUP(A296,'Calculations (All)'!A:B,2,FALSE)</f>
        <v>Wolverhampton</v>
      </c>
      <c r="C296" s="462">
        <v>745.5</v>
      </c>
      <c r="D296" s="463">
        <v>688.3</v>
      </c>
      <c r="E296" s="464">
        <v>499.3</v>
      </c>
      <c r="F296" s="465">
        <v>1933.1</v>
      </c>
      <c r="G296" s="466">
        <v>709.8</v>
      </c>
      <c r="H296" s="463">
        <v>818</v>
      </c>
      <c r="I296" s="467">
        <v>614</v>
      </c>
      <c r="J296" s="465">
        <v>2141.8000000000002</v>
      </c>
      <c r="K296" s="468">
        <v>1.1100000000000001</v>
      </c>
      <c r="L296" s="469" t="s">
        <v>4726</v>
      </c>
      <c r="M296" s="460" t="str">
        <f>VLOOKUP(B296,'Calculations (All)'!$B:$D,3,FALSE)</f>
        <v>WM</v>
      </c>
    </row>
    <row r="297" spans="1:13" ht="15" thickBot="1">
      <c r="A297" s="461" t="s">
        <v>738</v>
      </c>
      <c r="B297" s="450" t="str">
        <f>VLOOKUP(A297,'Calculations (All)'!A:B,2,FALSE)</f>
        <v>Worthing</v>
      </c>
      <c r="C297" s="462">
        <v>872.9</v>
      </c>
      <c r="D297" s="463">
        <v>805.5</v>
      </c>
      <c r="E297" s="464">
        <v>589.20000000000005</v>
      </c>
      <c r="F297" s="465">
        <v>2267.6</v>
      </c>
      <c r="G297" s="466">
        <v>300.3</v>
      </c>
      <c r="H297" s="463">
        <v>396</v>
      </c>
      <c r="I297" s="467">
        <v>87.6</v>
      </c>
      <c r="J297" s="465">
        <v>783.9</v>
      </c>
      <c r="K297" s="468">
        <v>0.35</v>
      </c>
      <c r="L297" s="469" t="s">
        <v>4714</v>
      </c>
      <c r="M297" s="460" t="str">
        <f>VLOOKUP(B297,'Calculations (All)'!$B:$D,3,FALSE)</f>
        <v>SE</v>
      </c>
    </row>
    <row r="298" spans="1:13" ht="15" thickBot="1">
      <c r="A298" s="461" t="s">
        <v>742</v>
      </c>
      <c r="B298" s="450" t="str">
        <f>VLOOKUP(A298,'Calculations (All)'!A:B,2,FALSE)</f>
        <v>Wyre</v>
      </c>
      <c r="C298" s="462">
        <v>316.60000000000002</v>
      </c>
      <c r="D298" s="463">
        <v>281.89999999999998</v>
      </c>
      <c r="E298" s="464">
        <v>197.1</v>
      </c>
      <c r="F298" s="465">
        <v>795.6</v>
      </c>
      <c r="G298" s="466">
        <v>406</v>
      </c>
      <c r="H298" s="463">
        <v>375</v>
      </c>
      <c r="I298" s="467">
        <v>620.4</v>
      </c>
      <c r="J298" s="465">
        <v>1401.4</v>
      </c>
      <c r="K298" s="468">
        <v>1.76</v>
      </c>
      <c r="L298" s="469" t="s">
        <v>4726</v>
      </c>
      <c r="M298" s="460" t="str">
        <f>VLOOKUP(B298,'Calculations (All)'!$B:$D,3,FALSE)</f>
        <v>NW</v>
      </c>
    </row>
    <row r="299" spans="1:13" ht="15" thickBot="1">
      <c r="A299" s="461" t="s">
        <v>744</v>
      </c>
      <c r="B299" s="450" t="str">
        <f>VLOOKUP(A299,'Calculations (All)'!A:B,2,FALSE)</f>
        <v>Wyre Forest</v>
      </c>
      <c r="C299" s="462">
        <v>246.1</v>
      </c>
      <c r="D299" s="463">
        <v>227</v>
      </c>
      <c r="E299" s="464">
        <v>153.80000000000001</v>
      </c>
      <c r="F299" s="465">
        <v>626.9</v>
      </c>
      <c r="G299" s="466">
        <v>183</v>
      </c>
      <c r="H299" s="463">
        <v>199.3</v>
      </c>
      <c r="I299" s="467">
        <v>236</v>
      </c>
      <c r="J299" s="465">
        <v>618.29999999999995</v>
      </c>
      <c r="K299" s="468">
        <v>0.99</v>
      </c>
      <c r="L299" s="469" t="s">
        <v>4726</v>
      </c>
      <c r="M299" s="460" t="str">
        <f>VLOOKUP(B299,'Calculations (All)'!$B:$D,3,FALSE)</f>
        <v>WM</v>
      </c>
    </row>
    <row r="300" spans="1:13" ht="15" thickBot="1">
      <c r="A300" s="470" t="s">
        <v>746</v>
      </c>
      <c r="B300" s="450" t="str">
        <f>VLOOKUP(A300,'Calculations (All)'!A:B,2,FALSE)</f>
        <v>York</v>
      </c>
      <c r="C300" s="471">
        <v>1066.2</v>
      </c>
      <c r="D300" s="472">
        <v>978.5</v>
      </c>
      <c r="E300" s="473">
        <v>683.1</v>
      </c>
      <c r="F300" s="474">
        <v>2727.7</v>
      </c>
      <c r="G300" s="471">
        <v>451.2</v>
      </c>
      <c r="H300" s="472">
        <v>626.70000000000005</v>
      </c>
      <c r="I300" s="473">
        <v>703.7</v>
      </c>
      <c r="J300" s="474">
        <v>1781.6</v>
      </c>
      <c r="K300" s="475">
        <v>0.65</v>
      </c>
      <c r="L300" s="476" t="s">
        <v>4714</v>
      </c>
      <c r="M300" s="460" t="str">
        <f>VLOOKUP(B300,'Calculations (All)'!$B:$D,3,FALSE)</f>
        <v>YH</v>
      </c>
    </row>
    <row r="301" spans="1:13">
      <c r="C301" s="228"/>
      <c r="D301" s="228"/>
      <c r="E301" s="228"/>
      <c r="F301" s="228"/>
      <c r="G301" s="228"/>
      <c r="H301" s="228"/>
      <c r="I301" s="228"/>
      <c r="J301" s="228"/>
    </row>
    <row r="302" spans="1:13">
      <c r="A302" s="251" t="s">
        <v>4730</v>
      </c>
      <c r="C302" s="228"/>
      <c r="D302" s="228"/>
      <c r="E302" s="228"/>
      <c r="F302" s="228"/>
      <c r="G302" s="228"/>
      <c r="H302" s="228"/>
      <c r="I302" s="228"/>
      <c r="J302" s="228"/>
    </row>
    <row r="303" spans="1:13" ht="15" thickBot="1">
      <c r="A303" s="251"/>
      <c r="C303" s="228"/>
      <c r="D303" s="228"/>
      <c r="E303" s="228"/>
      <c r="F303" s="228"/>
      <c r="G303" s="228"/>
      <c r="H303" s="228"/>
      <c r="I303" s="228"/>
      <c r="J303" s="228"/>
    </row>
    <row r="304" spans="1:13" ht="56.15" customHeight="1" thickBot="1">
      <c r="A304" s="428" t="s">
        <v>31</v>
      </c>
      <c r="B304" s="429" t="s">
        <v>4724</v>
      </c>
      <c r="C304" s="430" t="s">
        <v>4723</v>
      </c>
      <c r="D304" s="430"/>
      <c r="E304" s="430"/>
      <c r="F304" s="425" t="s">
        <v>4722</v>
      </c>
      <c r="G304" s="430" t="s">
        <v>4721</v>
      </c>
      <c r="H304" s="430"/>
      <c r="I304" s="430"/>
      <c r="J304" s="425" t="s">
        <v>4720</v>
      </c>
      <c r="K304" s="426" t="s">
        <v>4719</v>
      </c>
      <c r="L304" s="427" t="s">
        <v>4718</v>
      </c>
    </row>
    <row r="305" spans="1:12" ht="23.15" customHeight="1" thickBot="1">
      <c r="A305" s="428"/>
      <c r="B305" s="429"/>
      <c r="C305" s="226" t="s">
        <v>4717</v>
      </c>
      <c r="D305" s="225" t="s">
        <v>4716</v>
      </c>
      <c r="E305" s="224" t="s">
        <v>4715</v>
      </c>
      <c r="F305" s="425"/>
      <c r="G305" s="226" t="s">
        <v>4717</v>
      </c>
      <c r="H305" s="225" t="s">
        <v>4716</v>
      </c>
      <c r="I305" s="224" t="s">
        <v>4715</v>
      </c>
      <c r="J305" s="425"/>
      <c r="K305" s="426"/>
      <c r="L305" s="427"/>
    </row>
    <row r="306" spans="1:12" ht="15" thickBot="1">
      <c r="A306" s="250" t="s">
        <v>3588</v>
      </c>
      <c r="B306" s="249" t="s">
        <v>3587</v>
      </c>
      <c r="C306" s="247">
        <v>1471</v>
      </c>
      <c r="D306" s="246">
        <v>1346.4</v>
      </c>
      <c r="E306" s="245">
        <v>1434.4</v>
      </c>
      <c r="F306" s="248">
        <v>4251.8999999999996</v>
      </c>
      <c r="G306" s="247">
        <v>1290</v>
      </c>
      <c r="H306" s="246">
        <v>1817.8</v>
      </c>
      <c r="I306" s="245">
        <v>1408</v>
      </c>
      <c r="J306" s="244">
        <v>4515.8</v>
      </c>
      <c r="K306" s="243">
        <v>1.06</v>
      </c>
      <c r="L306" s="242" t="s">
        <v>4726</v>
      </c>
    </row>
    <row r="307" spans="1:12">
      <c r="C307" s="241"/>
      <c r="D307" s="241"/>
      <c r="E307" s="241"/>
      <c r="F307" s="241"/>
      <c r="G307" s="241"/>
      <c r="H307" s="241"/>
      <c r="I307" s="241"/>
      <c r="J307" s="240"/>
      <c r="K307" s="239"/>
      <c r="L307" s="238"/>
    </row>
    <row r="308" spans="1:12">
      <c r="C308" s="228"/>
      <c r="D308" s="228"/>
      <c r="E308" s="228"/>
      <c r="F308" s="228"/>
      <c r="G308" s="228"/>
      <c r="H308" s="228"/>
      <c r="I308" s="228"/>
      <c r="J308" s="228"/>
    </row>
    <row r="309" spans="1:12">
      <c r="A309" s="229" t="s">
        <v>4729</v>
      </c>
      <c r="C309" s="228"/>
      <c r="D309" s="228"/>
      <c r="E309" s="228"/>
      <c r="F309" s="228"/>
      <c r="G309" s="228"/>
      <c r="H309" s="228"/>
      <c r="I309" s="228"/>
      <c r="J309" s="228"/>
    </row>
    <row r="310" spans="1:12" ht="15" thickBot="1">
      <c r="A310" s="229"/>
      <c r="C310" s="228"/>
      <c r="D310" s="228"/>
      <c r="E310" s="228"/>
      <c r="F310" s="228"/>
      <c r="G310" s="228"/>
      <c r="H310" s="228"/>
      <c r="I310" s="228"/>
      <c r="J310" s="228"/>
    </row>
    <row r="311" spans="1:12" ht="56.15" customHeight="1" thickBot="1">
      <c r="A311" s="428" t="s">
        <v>31</v>
      </c>
      <c r="B311" s="429" t="s">
        <v>4724</v>
      </c>
      <c r="C311" s="430" t="s">
        <v>4723</v>
      </c>
      <c r="D311" s="430"/>
      <c r="E311" s="430"/>
      <c r="F311" s="425" t="s">
        <v>4722</v>
      </c>
      <c r="G311" s="430" t="s">
        <v>4721</v>
      </c>
      <c r="H311" s="430"/>
      <c r="I311" s="430"/>
      <c r="J311" s="425" t="s">
        <v>4720</v>
      </c>
      <c r="K311" s="426" t="s">
        <v>4719</v>
      </c>
      <c r="L311" s="427" t="s">
        <v>4718</v>
      </c>
    </row>
    <row r="312" spans="1:12" ht="23.15" customHeight="1" thickBot="1">
      <c r="A312" s="428"/>
      <c r="B312" s="429"/>
      <c r="C312" s="226" t="s">
        <v>4717</v>
      </c>
      <c r="D312" s="225" t="s">
        <v>4716</v>
      </c>
      <c r="E312" s="224" t="s">
        <v>4715</v>
      </c>
      <c r="F312" s="425"/>
      <c r="G312" s="226" t="s">
        <v>4717</v>
      </c>
      <c r="H312" s="225" t="s">
        <v>4716</v>
      </c>
      <c r="I312" s="224" t="s">
        <v>4715</v>
      </c>
      <c r="J312" s="425"/>
      <c r="K312" s="426"/>
      <c r="L312" s="427"/>
    </row>
    <row r="313" spans="1:12">
      <c r="A313" s="237" t="s">
        <v>185</v>
      </c>
      <c r="B313" s="236" t="s">
        <v>186</v>
      </c>
      <c r="C313" s="218">
        <v>2050.1999999999998</v>
      </c>
      <c r="D313" s="217">
        <v>1852.6</v>
      </c>
      <c r="E313" s="216">
        <v>1336.8</v>
      </c>
      <c r="F313" s="219">
        <v>5239.6000000000004</v>
      </c>
      <c r="G313" s="218">
        <v>2911.6</v>
      </c>
      <c r="H313" s="217">
        <v>2450.6999999999998</v>
      </c>
      <c r="I313" s="216">
        <v>1577.6</v>
      </c>
      <c r="J313" s="219">
        <v>6939.8</v>
      </c>
      <c r="K313" s="235">
        <v>1.32</v>
      </c>
      <c r="L313" s="234" t="s">
        <v>4726</v>
      </c>
    </row>
    <row r="314" spans="1:12">
      <c r="A314" s="215" t="s">
        <v>496</v>
      </c>
      <c r="B314" s="214" t="s">
        <v>497</v>
      </c>
      <c r="C314" s="212">
        <v>2050.1999999999998</v>
      </c>
      <c r="D314" s="211">
        <v>1852.6</v>
      </c>
      <c r="E314" s="210">
        <v>1336.8</v>
      </c>
      <c r="F314" s="209">
        <v>5239.6000000000004</v>
      </c>
      <c r="G314" s="212">
        <v>2911.6</v>
      </c>
      <c r="H314" s="211">
        <v>2450.6999999999998</v>
      </c>
      <c r="I314" s="210">
        <v>1577.6</v>
      </c>
      <c r="J314" s="209">
        <v>6939.8</v>
      </c>
      <c r="K314" s="208">
        <v>1.32</v>
      </c>
      <c r="L314" s="233" t="s">
        <v>4726</v>
      </c>
    </row>
    <row r="315" spans="1:12">
      <c r="A315" s="215" t="s">
        <v>594</v>
      </c>
      <c r="B315" s="214" t="s">
        <v>595</v>
      </c>
      <c r="C315" s="212">
        <v>2050.1999999999998</v>
      </c>
      <c r="D315" s="211">
        <v>1852.6</v>
      </c>
      <c r="E315" s="210">
        <v>1336.8</v>
      </c>
      <c r="F315" s="209">
        <v>5239.6000000000004</v>
      </c>
      <c r="G315" s="212">
        <v>2911.6</v>
      </c>
      <c r="H315" s="211">
        <v>2450.6999999999998</v>
      </c>
      <c r="I315" s="210">
        <v>1577.6</v>
      </c>
      <c r="J315" s="209">
        <v>6939.8</v>
      </c>
      <c r="K315" s="232">
        <v>1.32</v>
      </c>
      <c r="L315" s="207" t="s">
        <v>4726</v>
      </c>
    </row>
    <row r="316" spans="1:12">
      <c r="A316" s="215" t="s">
        <v>1666</v>
      </c>
      <c r="B316" s="214" t="s">
        <v>3873</v>
      </c>
      <c r="C316" s="212">
        <v>566</v>
      </c>
      <c r="D316" s="211">
        <v>712</v>
      </c>
      <c r="E316" s="210">
        <v>536.6</v>
      </c>
      <c r="F316" s="209">
        <v>1814.5</v>
      </c>
      <c r="G316" s="212">
        <v>476</v>
      </c>
      <c r="H316" s="211">
        <v>773.7</v>
      </c>
      <c r="I316" s="210">
        <v>448.2</v>
      </c>
      <c r="J316" s="209">
        <v>1697.9</v>
      </c>
      <c r="K316" s="208">
        <v>0.94</v>
      </c>
      <c r="L316" s="207" t="s">
        <v>4728</v>
      </c>
    </row>
    <row r="317" spans="1:12">
      <c r="A317" s="215" t="s">
        <v>1669</v>
      </c>
      <c r="B317" s="214" t="s">
        <v>3874</v>
      </c>
      <c r="C317" s="212">
        <v>566</v>
      </c>
      <c r="D317" s="211">
        <v>712</v>
      </c>
      <c r="E317" s="210">
        <v>536.6</v>
      </c>
      <c r="F317" s="209">
        <v>1814.5</v>
      </c>
      <c r="G317" s="212">
        <v>476</v>
      </c>
      <c r="H317" s="211">
        <v>773.7</v>
      </c>
      <c r="I317" s="210">
        <v>448.2</v>
      </c>
      <c r="J317" s="209">
        <v>1697.9</v>
      </c>
      <c r="K317" s="208">
        <v>0.94</v>
      </c>
      <c r="L317" s="207" t="s">
        <v>4728</v>
      </c>
    </row>
    <row r="318" spans="1:12">
      <c r="A318" s="215" t="s">
        <v>424</v>
      </c>
      <c r="B318" s="214" t="s">
        <v>425</v>
      </c>
      <c r="C318" s="212">
        <v>1095.7</v>
      </c>
      <c r="D318" s="211">
        <v>991.3</v>
      </c>
      <c r="E318" s="210">
        <v>723</v>
      </c>
      <c r="F318" s="209">
        <v>2810</v>
      </c>
      <c r="G318" s="212">
        <v>1585.6</v>
      </c>
      <c r="H318" s="211">
        <v>1806.9</v>
      </c>
      <c r="I318" s="210">
        <v>1532.3</v>
      </c>
      <c r="J318" s="209">
        <v>4924.8999999999996</v>
      </c>
      <c r="K318" s="208">
        <v>1.75</v>
      </c>
      <c r="L318" s="207" t="s">
        <v>4726</v>
      </c>
    </row>
    <row r="319" spans="1:12">
      <c r="A319" s="215" t="s">
        <v>478</v>
      </c>
      <c r="B319" s="214" t="s">
        <v>479</v>
      </c>
      <c r="C319" s="212">
        <v>1095.7</v>
      </c>
      <c r="D319" s="211">
        <v>991.3</v>
      </c>
      <c r="E319" s="210">
        <v>723</v>
      </c>
      <c r="F319" s="209">
        <v>2810</v>
      </c>
      <c r="G319" s="212">
        <v>1585.6</v>
      </c>
      <c r="H319" s="211">
        <v>1806.9</v>
      </c>
      <c r="I319" s="210">
        <v>1532.3</v>
      </c>
      <c r="J319" s="209">
        <v>4924.8999999999996</v>
      </c>
      <c r="K319" s="208">
        <v>1.75</v>
      </c>
      <c r="L319" s="207" t="s">
        <v>4726</v>
      </c>
    </row>
    <row r="320" spans="1:12">
      <c r="A320" s="215" t="s">
        <v>712</v>
      </c>
      <c r="B320" s="214" t="s">
        <v>713</v>
      </c>
      <c r="C320" s="212">
        <v>1095.7</v>
      </c>
      <c r="D320" s="211">
        <v>991.3</v>
      </c>
      <c r="E320" s="210">
        <v>723</v>
      </c>
      <c r="F320" s="209">
        <v>2810</v>
      </c>
      <c r="G320" s="212">
        <v>1585.6</v>
      </c>
      <c r="H320" s="211">
        <v>1806.9</v>
      </c>
      <c r="I320" s="210">
        <v>1532.3</v>
      </c>
      <c r="J320" s="209">
        <v>4924.8999999999996</v>
      </c>
      <c r="K320" s="208">
        <v>1.75</v>
      </c>
      <c r="L320" s="207" t="s">
        <v>4726</v>
      </c>
    </row>
    <row r="321" spans="1:12">
      <c r="A321" s="215" t="s">
        <v>470</v>
      </c>
      <c r="B321" s="214" t="s">
        <v>471</v>
      </c>
      <c r="C321" s="212">
        <v>767.5</v>
      </c>
      <c r="D321" s="211">
        <v>702.3</v>
      </c>
      <c r="E321" s="210">
        <v>510.1</v>
      </c>
      <c r="F321" s="209">
        <v>1979.9</v>
      </c>
      <c r="G321" s="212">
        <v>953</v>
      </c>
      <c r="H321" s="211">
        <v>1167</v>
      </c>
      <c r="I321" s="210">
        <v>689.8</v>
      </c>
      <c r="J321" s="209">
        <v>2809.8</v>
      </c>
      <c r="K321" s="208">
        <v>1.42</v>
      </c>
      <c r="L321" s="207" t="s">
        <v>4726</v>
      </c>
    </row>
    <row r="322" spans="1:12">
      <c r="A322" s="215" t="s">
        <v>672</v>
      </c>
      <c r="B322" s="214" t="s">
        <v>673</v>
      </c>
      <c r="C322" s="212">
        <v>767.5</v>
      </c>
      <c r="D322" s="211">
        <v>702.3</v>
      </c>
      <c r="E322" s="210">
        <v>510.1</v>
      </c>
      <c r="F322" s="209">
        <v>1979.9</v>
      </c>
      <c r="G322" s="212">
        <v>953</v>
      </c>
      <c r="H322" s="211">
        <v>1167</v>
      </c>
      <c r="I322" s="210">
        <v>689.8</v>
      </c>
      <c r="J322" s="209">
        <v>2809.8</v>
      </c>
      <c r="K322" s="208">
        <v>1.42</v>
      </c>
      <c r="L322" s="207" t="s">
        <v>4726</v>
      </c>
    </row>
    <row r="323" spans="1:12">
      <c r="A323" s="215" t="s">
        <v>3661</v>
      </c>
      <c r="B323" s="214" t="s">
        <v>3877</v>
      </c>
      <c r="C323" s="212">
        <v>775</v>
      </c>
      <c r="D323" s="211">
        <v>709.4</v>
      </c>
      <c r="E323" s="210">
        <v>524.9</v>
      </c>
      <c r="F323" s="209">
        <v>2009.3</v>
      </c>
      <c r="G323" s="212">
        <v>925.1</v>
      </c>
      <c r="H323" s="211">
        <v>697</v>
      </c>
      <c r="I323" s="210">
        <v>671</v>
      </c>
      <c r="J323" s="209">
        <v>2293.1</v>
      </c>
      <c r="K323" s="208">
        <v>1.1399999999999999</v>
      </c>
      <c r="L323" s="207" t="s">
        <v>4726</v>
      </c>
    </row>
    <row r="324" spans="1:12">
      <c r="A324" s="215" t="s">
        <v>3670</v>
      </c>
      <c r="B324" s="214" t="s">
        <v>3878</v>
      </c>
      <c r="C324" s="212">
        <v>775</v>
      </c>
      <c r="D324" s="211">
        <v>709.4</v>
      </c>
      <c r="E324" s="210">
        <v>524.9</v>
      </c>
      <c r="F324" s="209">
        <v>2009.3</v>
      </c>
      <c r="G324" s="212">
        <v>925.1</v>
      </c>
      <c r="H324" s="211">
        <v>697</v>
      </c>
      <c r="I324" s="210">
        <v>671</v>
      </c>
      <c r="J324" s="209">
        <v>2293.1</v>
      </c>
      <c r="K324" s="208">
        <v>1.1399999999999999</v>
      </c>
      <c r="L324" s="207" t="s">
        <v>4726</v>
      </c>
    </row>
    <row r="325" spans="1:12">
      <c r="A325" s="215" t="s">
        <v>736</v>
      </c>
      <c r="B325" s="214" t="s">
        <v>737</v>
      </c>
      <c r="C325" s="212">
        <v>1268.2</v>
      </c>
      <c r="D325" s="211">
        <v>1171.5999999999999</v>
      </c>
      <c r="E325" s="210">
        <v>840.8</v>
      </c>
      <c r="F325" s="209">
        <v>3280.6</v>
      </c>
      <c r="G325" s="212">
        <v>2177.9</v>
      </c>
      <c r="H325" s="211">
        <v>1476.7</v>
      </c>
      <c r="I325" s="210">
        <v>1445.6</v>
      </c>
      <c r="J325" s="209">
        <v>5100.1000000000004</v>
      </c>
      <c r="K325" s="208">
        <v>1.55</v>
      </c>
      <c r="L325" s="207" t="s">
        <v>4726</v>
      </c>
    </row>
    <row r="326" spans="1:12">
      <c r="A326" s="215" t="s">
        <v>434</v>
      </c>
      <c r="B326" s="214" t="s">
        <v>435</v>
      </c>
      <c r="C326" s="212">
        <v>1268.2</v>
      </c>
      <c r="D326" s="211">
        <v>1171.5999999999999</v>
      </c>
      <c r="E326" s="210">
        <v>840.8</v>
      </c>
      <c r="F326" s="209">
        <v>3280.6</v>
      </c>
      <c r="G326" s="212">
        <v>2177.9</v>
      </c>
      <c r="H326" s="211">
        <v>1476.7</v>
      </c>
      <c r="I326" s="210">
        <v>1445.6</v>
      </c>
      <c r="J326" s="209">
        <v>5100.1000000000004</v>
      </c>
      <c r="K326" s="208">
        <v>1.55</v>
      </c>
      <c r="L326" s="207" t="s">
        <v>4726</v>
      </c>
    </row>
    <row r="327" spans="1:12">
      <c r="A327" s="215" t="s">
        <v>740</v>
      </c>
      <c r="B327" s="214" t="s">
        <v>741</v>
      </c>
      <c r="C327" s="212">
        <v>1268.2</v>
      </c>
      <c r="D327" s="211">
        <v>1171.5999999999999</v>
      </c>
      <c r="E327" s="210">
        <v>840.8</v>
      </c>
      <c r="F327" s="209">
        <v>3280.6</v>
      </c>
      <c r="G327" s="212">
        <v>2177.9</v>
      </c>
      <c r="H327" s="211">
        <v>1476.7</v>
      </c>
      <c r="I327" s="210">
        <v>1445.6</v>
      </c>
      <c r="J327" s="209">
        <v>5100.1000000000004</v>
      </c>
      <c r="K327" s="208">
        <v>1.55</v>
      </c>
      <c r="L327" s="207" t="s">
        <v>4726</v>
      </c>
    </row>
    <row r="328" spans="1:12">
      <c r="A328" s="215" t="s">
        <v>512</v>
      </c>
      <c r="B328" s="214" t="s">
        <v>513</v>
      </c>
      <c r="C328" s="212">
        <v>1316</v>
      </c>
      <c r="D328" s="211">
        <v>1189.9000000000001</v>
      </c>
      <c r="E328" s="210">
        <v>879.5</v>
      </c>
      <c r="F328" s="209">
        <v>3385.4</v>
      </c>
      <c r="G328" s="212">
        <v>1448.8</v>
      </c>
      <c r="H328" s="211">
        <v>1490.7</v>
      </c>
      <c r="I328" s="210">
        <v>1379.8</v>
      </c>
      <c r="J328" s="209">
        <v>4319.2</v>
      </c>
      <c r="K328" s="208">
        <v>1.28</v>
      </c>
      <c r="L328" s="207" t="s">
        <v>4726</v>
      </c>
    </row>
    <row r="329" spans="1:12">
      <c r="A329" s="215" t="s">
        <v>586</v>
      </c>
      <c r="B329" s="214" t="s">
        <v>587</v>
      </c>
      <c r="C329" s="212">
        <v>1316</v>
      </c>
      <c r="D329" s="211">
        <v>1189.9000000000001</v>
      </c>
      <c r="E329" s="210">
        <v>879.5</v>
      </c>
      <c r="F329" s="209">
        <v>3385.4</v>
      </c>
      <c r="G329" s="212">
        <v>1448.8</v>
      </c>
      <c r="H329" s="211">
        <v>1490.7</v>
      </c>
      <c r="I329" s="210">
        <v>1379.8</v>
      </c>
      <c r="J329" s="209">
        <v>4319.2</v>
      </c>
      <c r="K329" s="208">
        <v>1.28</v>
      </c>
      <c r="L329" s="207" t="s">
        <v>4726</v>
      </c>
    </row>
    <row r="330" spans="1:12" ht="15" thickBot="1">
      <c r="A330" s="206" t="s">
        <v>708</v>
      </c>
      <c r="B330" s="205" t="s">
        <v>709</v>
      </c>
      <c r="C330" s="203">
        <v>1316</v>
      </c>
      <c r="D330" s="202">
        <v>1189.9000000000001</v>
      </c>
      <c r="E330" s="201">
        <v>879.5</v>
      </c>
      <c r="F330" s="200">
        <v>3385.4</v>
      </c>
      <c r="G330" s="203">
        <v>1448.8</v>
      </c>
      <c r="H330" s="202">
        <v>1490.7</v>
      </c>
      <c r="I330" s="201">
        <v>1379.8</v>
      </c>
      <c r="J330" s="200">
        <v>4319.2</v>
      </c>
      <c r="K330" s="199">
        <v>1.28</v>
      </c>
      <c r="L330" s="198" t="s">
        <v>4726</v>
      </c>
    </row>
    <row r="331" spans="1:12">
      <c r="B331" s="197"/>
      <c r="C331" s="231"/>
      <c r="D331" s="231"/>
      <c r="E331" s="231"/>
      <c r="F331" s="231"/>
      <c r="G331" s="231"/>
      <c r="H331" s="231"/>
      <c r="I331" s="231"/>
      <c r="J331" s="231"/>
      <c r="K331" s="230"/>
      <c r="L331" s="227"/>
    </row>
    <row r="332" spans="1:12">
      <c r="B332" s="197"/>
      <c r="C332" s="231"/>
      <c r="D332" s="231"/>
      <c r="E332" s="231"/>
      <c r="F332" s="231"/>
      <c r="G332" s="231"/>
      <c r="H332" s="231"/>
      <c r="I332" s="231"/>
      <c r="J332" s="231"/>
      <c r="K332" s="230"/>
      <c r="L332" s="227"/>
    </row>
    <row r="333" spans="1:12">
      <c r="A333" s="229" t="s">
        <v>4727</v>
      </c>
      <c r="B333" s="197"/>
      <c r="C333" s="231"/>
      <c r="D333" s="231"/>
      <c r="E333" s="231"/>
      <c r="F333" s="231"/>
      <c r="G333" s="231"/>
      <c r="H333" s="231"/>
      <c r="I333" s="231"/>
      <c r="J333" s="231"/>
      <c r="K333" s="230"/>
      <c r="L333" s="227"/>
    </row>
    <row r="334" spans="1:12" ht="15" thickBot="1">
      <c r="C334" s="228"/>
      <c r="D334" s="228"/>
      <c r="E334" s="228"/>
      <c r="F334" s="228"/>
      <c r="G334" s="228"/>
      <c r="H334" s="228"/>
      <c r="I334" s="228"/>
      <c r="J334" s="228"/>
      <c r="L334" s="227"/>
    </row>
    <row r="335" spans="1:12" ht="56.15" customHeight="1" thickBot="1">
      <c r="A335" s="428" t="s">
        <v>31</v>
      </c>
      <c r="B335" s="429" t="s">
        <v>4724</v>
      </c>
      <c r="C335" s="430" t="s">
        <v>4723</v>
      </c>
      <c r="D335" s="430"/>
      <c r="E335" s="430"/>
      <c r="F335" s="425" t="s">
        <v>4722</v>
      </c>
      <c r="G335" s="430" t="s">
        <v>4721</v>
      </c>
      <c r="H335" s="430"/>
      <c r="I335" s="430"/>
      <c r="J335" s="425" t="s">
        <v>4720</v>
      </c>
      <c r="K335" s="426" t="s">
        <v>4719</v>
      </c>
      <c r="L335" s="427" t="s">
        <v>4718</v>
      </c>
    </row>
    <row r="336" spans="1:12" s="223" customFormat="1" ht="23.15" customHeight="1" thickBot="1">
      <c r="A336" s="428"/>
      <c r="B336" s="429"/>
      <c r="C336" s="226" t="s">
        <v>4717</v>
      </c>
      <c r="D336" s="225" t="s">
        <v>4716</v>
      </c>
      <c r="E336" s="224" t="s">
        <v>4715</v>
      </c>
      <c r="F336" s="425"/>
      <c r="G336" s="226" t="s">
        <v>4717</v>
      </c>
      <c r="H336" s="225" t="s">
        <v>4716</v>
      </c>
      <c r="I336" s="224" t="s">
        <v>4715</v>
      </c>
      <c r="J336" s="425"/>
      <c r="K336" s="426"/>
      <c r="L336" s="427"/>
    </row>
    <row r="337" spans="1:12">
      <c r="A337" s="215" t="s">
        <v>296</v>
      </c>
      <c r="B337" s="214" t="s">
        <v>297</v>
      </c>
      <c r="C337" s="212">
        <v>885.6</v>
      </c>
      <c r="D337" s="211">
        <v>832.9</v>
      </c>
      <c r="E337" s="210">
        <v>581.20000000000005</v>
      </c>
      <c r="F337" s="209">
        <v>2299.6999999999998</v>
      </c>
      <c r="G337" s="212">
        <v>922.8</v>
      </c>
      <c r="H337" s="211">
        <v>831.8</v>
      </c>
      <c r="I337" s="210">
        <v>715.3</v>
      </c>
      <c r="J337" s="209">
        <v>2469.9</v>
      </c>
      <c r="K337" s="208">
        <v>1.07</v>
      </c>
      <c r="L337" s="207" t="s">
        <v>4726</v>
      </c>
    </row>
    <row r="338" spans="1:12">
      <c r="A338" s="215" t="s">
        <v>578</v>
      </c>
      <c r="B338" s="214" t="s">
        <v>579</v>
      </c>
      <c r="C338" s="212">
        <v>767.6</v>
      </c>
      <c r="D338" s="211">
        <v>704.3</v>
      </c>
      <c r="E338" s="210">
        <v>459.4</v>
      </c>
      <c r="F338" s="209">
        <v>1931.3</v>
      </c>
      <c r="G338" s="212">
        <v>537</v>
      </c>
      <c r="H338" s="211">
        <v>487</v>
      </c>
      <c r="I338" s="210">
        <v>440</v>
      </c>
      <c r="J338" s="209">
        <v>1464</v>
      </c>
      <c r="K338" s="208">
        <v>0.76</v>
      </c>
      <c r="L338" s="207" t="s">
        <v>4713</v>
      </c>
    </row>
    <row r="339" spans="1:12">
      <c r="A339" s="215" t="s">
        <v>716</v>
      </c>
      <c r="B339" s="214" t="s">
        <v>717</v>
      </c>
      <c r="C339" s="212">
        <v>794.7</v>
      </c>
      <c r="D339" s="211">
        <v>726.7</v>
      </c>
      <c r="E339" s="210">
        <v>527.29999999999995</v>
      </c>
      <c r="F339" s="209">
        <v>2048.6999999999998</v>
      </c>
      <c r="G339" s="212">
        <v>863.3</v>
      </c>
      <c r="H339" s="211">
        <v>917.4</v>
      </c>
      <c r="I339" s="210">
        <v>841</v>
      </c>
      <c r="J339" s="209">
        <v>2621.8</v>
      </c>
      <c r="K339" s="208">
        <v>1.28</v>
      </c>
      <c r="L339" s="207" t="s">
        <v>4726</v>
      </c>
    </row>
    <row r="340" spans="1:12" ht="15" thickBot="1">
      <c r="A340" s="206" t="s">
        <v>195</v>
      </c>
      <c r="B340" s="205" t="s">
        <v>196</v>
      </c>
      <c r="C340" s="203">
        <v>2758.3</v>
      </c>
      <c r="D340" s="202">
        <v>2505.5</v>
      </c>
      <c r="E340" s="201">
        <v>1809.8</v>
      </c>
      <c r="F340" s="200">
        <v>7073.6</v>
      </c>
      <c r="G340" s="203">
        <v>3302.6</v>
      </c>
      <c r="H340" s="202">
        <v>2316.8000000000002</v>
      </c>
      <c r="I340" s="201">
        <v>1980</v>
      </c>
      <c r="J340" s="200">
        <v>7599.3</v>
      </c>
      <c r="K340" s="199">
        <v>1.07</v>
      </c>
      <c r="L340" s="198" t="s">
        <v>4726</v>
      </c>
    </row>
    <row r="341" spans="1:12">
      <c r="C341" s="228"/>
      <c r="D341" s="228"/>
      <c r="E341" s="228"/>
      <c r="F341" s="228"/>
      <c r="G341" s="228"/>
      <c r="H341" s="228"/>
      <c r="I341" s="228"/>
      <c r="J341" s="228"/>
      <c r="L341" s="227"/>
    </row>
    <row r="342" spans="1:12">
      <c r="C342" s="228"/>
      <c r="D342" s="228"/>
      <c r="E342" s="228"/>
      <c r="F342" s="228"/>
      <c r="G342" s="228"/>
      <c r="H342" s="228"/>
      <c r="I342" s="228"/>
      <c r="J342" s="228"/>
      <c r="L342" s="227"/>
    </row>
    <row r="343" spans="1:12">
      <c r="A343" s="229" t="s">
        <v>4725</v>
      </c>
      <c r="C343" s="228"/>
      <c r="D343" s="228"/>
      <c r="E343" s="228"/>
      <c r="F343" s="228"/>
      <c r="G343" s="228"/>
      <c r="H343" s="228"/>
      <c r="I343" s="228"/>
      <c r="J343" s="228"/>
      <c r="L343" s="227"/>
    </row>
    <row r="344" spans="1:12" ht="15" thickBot="1">
      <c r="C344" s="228"/>
      <c r="D344" s="228"/>
      <c r="E344" s="228"/>
      <c r="F344" s="228"/>
      <c r="G344" s="228"/>
      <c r="H344" s="228"/>
      <c r="I344" s="228"/>
      <c r="J344" s="228"/>
      <c r="L344" s="227"/>
    </row>
    <row r="345" spans="1:12" ht="56.15" customHeight="1" thickBot="1">
      <c r="A345" s="428" t="s">
        <v>31</v>
      </c>
      <c r="B345" s="429" t="s">
        <v>4724</v>
      </c>
      <c r="C345" s="430" t="s">
        <v>4723</v>
      </c>
      <c r="D345" s="430"/>
      <c r="E345" s="430"/>
      <c r="F345" s="425" t="s">
        <v>4722</v>
      </c>
      <c r="G345" s="430" t="s">
        <v>4721</v>
      </c>
      <c r="H345" s="430"/>
      <c r="I345" s="430"/>
      <c r="J345" s="425" t="s">
        <v>4720</v>
      </c>
      <c r="K345" s="426" t="s">
        <v>4719</v>
      </c>
      <c r="L345" s="427" t="s">
        <v>4718</v>
      </c>
    </row>
    <row r="346" spans="1:12" s="223" customFormat="1" ht="23.15" customHeight="1" thickBot="1">
      <c r="A346" s="428"/>
      <c r="B346" s="429"/>
      <c r="C346" s="226" t="s">
        <v>4717</v>
      </c>
      <c r="D346" s="225" t="s">
        <v>4716</v>
      </c>
      <c r="E346" s="224" t="s">
        <v>4715</v>
      </c>
      <c r="F346" s="425"/>
      <c r="G346" s="226" t="s">
        <v>4717</v>
      </c>
      <c r="H346" s="225" t="s">
        <v>4716</v>
      </c>
      <c r="I346" s="224" t="s">
        <v>4715</v>
      </c>
      <c r="J346" s="425"/>
      <c r="K346" s="426"/>
      <c r="L346" s="427"/>
    </row>
    <row r="347" spans="1:12">
      <c r="A347" s="222" t="s">
        <v>1146</v>
      </c>
      <c r="B347" s="221" t="s">
        <v>3864</v>
      </c>
      <c r="C347" s="220">
        <v>1441.1</v>
      </c>
      <c r="D347" s="217">
        <v>1301.5999999999999</v>
      </c>
      <c r="E347" s="216">
        <v>971.3</v>
      </c>
      <c r="F347" s="219">
        <v>3714</v>
      </c>
      <c r="G347" s="218">
        <v>772.3</v>
      </c>
      <c r="H347" s="217">
        <v>1330.3</v>
      </c>
      <c r="I347" s="216">
        <v>376.9</v>
      </c>
      <c r="J347" s="209">
        <v>2479.5</v>
      </c>
      <c r="K347" s="208">
        <v>0.67</v>
      </c>
      <c r="L347" s="207" t="s">
        <v>4714</v>
      </c>
    </row>
    <row r="348" spans="1:12">
      <c r="A348" s="215" t="s">
        <v>1672</v>
      </c>
      <c r="B348" s="214" t="s">
        <v>3875</v>
      </c>
      <c r="C348" s="213">
        <v>285</v>
      </c>
      <c r="D348" s="211">
        <v>260.89999999999998</v>
      </c>
      <c r="E348" s="210">
        <v>204</v>
      </c>
      <c r="F348" s="209">
        <v>749.8</v>
      </c>
      <c r="G348" s="212">
        <v>223</v>
      </c>
      <c r="H348" s="211">
        <v>96</v>
      </c>
      <c r="I348" s="210">
        <v>200.6</v>
      </c>
      <c r="J348" s="209">
        <v>519.6</v>
      </c>
      <c r="K348" s="208">
        <v>0.69</v>
      </c>
      <c r="L348" s="207" t="s">
        <v>4714</v>
      </c>
    </row>
    <row r="349" spans="1:12">
      <c r="A349" s="215" t="s">
        <v>1155</v>
      </c>
      <c r="B349" s="214" t="s">
        <v>3865</v>
      </c>
      <c r="C349" s="213">
        <v>710</v>
      </c>
      <c r="D349" s="211">
        <v>649.9</v>
      </c>
      <c r="E349" s="210">
        <v>472.7</v>
      </c>
      <c r="F349" s="209">
        <v>1832.5</v>
      </c>
      <c r="G349" s="212">
        <v>386</v>
      </c>
      <c r="H349" s="211">
        <v>675.7</v>
      </c>
      <c r="I349" s="210">
        <v>370</v>
      </c>
      <c r="J349" s="209">
        <v>1431.7</v>
      </c>
      <c r="K349" s="208">
        <v>0.78</v>
      </c>
      <c r="L349" s="207" t="s">
        <v>4713</v>
      </c>
    </row>
    <row r="350" spans="1:12" ht="15" thickBot="1">
      <c r="A350" s="206" t="s">
        <v>1681</v>
      </c>
      <c r="B350" s="205" t="s">
        <v>3876</v>
      </c>
      <c r="C350" s="204">
        <v>179.8</v>
      </c>
      <c r="D350" s="202">
        <v>163.80000000000001</v>
      </c>
      <c r="E350" s="201">
        <v>117.6</v>
      </c>
      <c r="F350" s="200">
        <v>461.2</v>
      </c>
      <c r="G350" s="203">
        <v>73</v>
      </c>
      <c r="H350" s="202">
        <v>148</v>
      </c>
      <c r="I350" s="201">
        <v>131</v>
      </c>
      <c r="J350" s="200">
        <v>352</v>
      </c>
      <c r="K350" s="199">
        <v>0.76</v>
      </c>
      <c r="L350" s="198" t="s">
        <v>4713</v>
      </c>
    </row>
    <row r="353" spans="1:1">
      <c r="A353" s="196" t="s">
        <v>4712</v>
      </c>
    </row>
    <row r="354" spans="1:1">
      <c r="A354" s="196" t="s">
        <v>4711</v>
      </c>
    </row>
    <row r="355" spans="1:1">
      <c r="A355" s="196" t="s">
        <v>4710</v>
      </c>
    </row>
    <row r="356" spans="1:1">
      <c r="A356" s="196" t="s">
        <v>4709</v>
      </c>
    </row>
    <row r="357" spans="1:1">
      <c r="A357" s="196" t="s">
        <v>4708</v>
      </c>
    </row>
    <row r="358" spans="1:1">
      <c r="A358" s="196" t="s">
        <v>4707</v>
      </c>
    </row>
    <row r="359" spans="1:1">
      <c r="A359" s="196" t="s">
        <v>4706</v>
      </c>
    </row>
    <row r="360" spans="1:1">
      <c r="A360" s="196" t="s">
        <v>4705</v>
      </c>
    </row>
    <row r="361" spans="1:1">
      <c r="A361" s="196" t="s">
        <v>4704</v>
      </c>
    </row>
    <row r="362" spans="1:1">
      <c r="A362" s="197"/>
    </row>
    <row r="363" spans="1:1">
      <c r="A363" s="197"/>
    </row>
    <row r="364" spans="1:1">
      <c r="A364" s="196" t="s">
        <v>4703</v>
      </c>
    </row>
    <row r="365" spans="1:1">
      <c r="A365" s="196" t="s">
        <v>4702</v>
      </c>
    </row>
  </sheetData>
  <sheetProtection algorithmName="SHA-512" hashValue="BeGHUW4o8h2kuhZdb3f1zSYDXFpGLXNg3k+VpuwzmpRC7sZlsWgt+/cn9eSZRqRTSfkCeUIdn1ek2tPagiV37w==" saltValue="fDUFBRaqLmMViy5WPMKsBQ==" spinCount="100000" sheet="1" objects="1" scenarios="1"/>
  <mergeCells count="41">
    <mergeCell ref="M5:M6"/>
    <mergeCell ref="K345:K346"/>
    <mergeCell ref="L345:L346"/>
    <mergeCell ref="A345:A346"/>
    <mergeCell ref="B345:B346"/>
    <mergeCell ref="C345:E345"/>
    <mergeCell ref="F345:F346"/>
    <mergeCell ref="G345:I345"/>
    <mergeCell ref="J345:J346"/>
    <mergeCell ref="J311:J312"/>
    <mergeCell ref="K311:K312"/>
    <mergeCell ref="L311:L312"/>
    <mergeCell ref="A335:A336"/>
    <mergeCell ref="B335:B336"/>
    <mergeCell ref="C335:E335"/>
    <mergeCell ref="F335:F336"/>
    <mergeCell ref="G335:I335"/>
    <mergeCell ref="J335:J336"/>
    <mergeCell ref="K335:K336"/>
    <mergeCell ref="L335:L336"/>
    <mergeCell ref="A311:A312"/>
    <mergeCell ref="B311:B312"/>
    <mergeCell ref="C311:E311"/>
    <mergeCell ref="F311:F312"/>
    <mergeCell ref="G311:I311"/>
    <mergeCell ref="J5:J6"/>
    <mergeCell ref="K5:K6"/>
    <mergeCell ref="L5:L6"/>
    <mergeCell ref="A304:A305"/>
    <mergeCell ref="B304:B305"/>
    <mergeCell ref="C304:E304"/>
    <mergeCell ref="F304:F305"/>
    <mergeCell ref="G304:I304"/>
    <mergeCell ref="J304:J305"/>
    <mergeCell ref="K304:K305"/>
    <mergeCell ref="L304:L305"/>
    <mergeCell ref="A5:A6"/>
    <mergeCell ref="B5:B6"/>
    <mergeCell ref="C5:E5"/>
    <mergeCell ref="F5:F6"/>
    <mergeCell ref="G5:I5"/>
  </mergeCells>
  <pageMargins left="0.70000000000000007" right="0.70000000000000007" top="0.75" bottom="0.75" header="0.30000000000000004" footer="0.30000000000000004"/>
  <pageSetup paperSize="9" fitToWidth="0"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27098-B2D3-4DFD-959B-8EF5E8DFD9BD}">
  <dimension ref="A1:A9"/>
  <sheetViews>
    <sheetView workbookViewId="0">
      <selection activeCell="A2" sqref="A2"/>
    </sheetView>
  </sheetViews>
  <sheetFormatPr defaultRowHeight="14.5"/>
  <sheetData>
    <row r="1" spans="1:1">
      <c r="A1" t="s">
        <v>128</v>
      </c>
    </row>
    <row r="2" spans="1:1">
      <c r="A2" s="38" t="s">
        <v>119</v>
      </c>
    </row>
    <row r="3" spans="1:1">
      <c r="A3" t="s">
        <v>131</v>
      </c>
    </row>
    <row r="4" spans="1:1">
      <c r="A4" t="s">
        <v>259</v>
      </c>
    </row>
    <row r="5" spans="1:1">
      <c r="A5" t="s">
        <v>116</v>
      </c>
    </row>
    <row r="6" spans="1:1">
      <c r="A6" t="s">
        <v>113</v>
      </c>
    </row>
    <row r="7" spans="1:1">
      <c r="A7" t="s">
        <v>147</v>
      </c>
    </row>
    <row r="8" spans="1:1">
      <c r="A8" t="s">
        <v>154</v>
      </c>
    </row>
    <row r="9" spans="1:1">
      <c r="A9" t="s">
        <v>136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CType xmlns="99ef5b28-3ad6-4d26-954f-d479a3931828" xsi:nil="true"/>
    <TaxCatchAll xmlns="be2d8b33-93e9-4cb7-9123-89740574f838" xsi:nil="true"/>
    <lcf76f155ced4ddcb4097134ff3c332f xmlns="99ef5b28-3ad6-4d26-954f-d479a393182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9E164B574836724CBC436AE90C7219E6" ma:contentTypeVersion="17" ma:contentTypeDescription="Create a new document." ma:contentTypeScope="" ma:versionID="0d1e36e57ac3a8cfdf98464a5319cc7c">
  <xsd:schema xmlns:xsd="http://www.w3.org/2001/XMLSchema" xmlns:xs="http://www.w3.org/2001/XMLSchema" xmlns:p="http://schemas.microsoft.com/office/2006/metadata/properties" xmlns:ns2="99ef5b28-3ad6-4d26-954f-d479a3931828" xmlns:ns3="be2d8b33-93e9-4cb7-9123-89740574f838" targetNamespace="http://schemas.microsoft.com/office/2006/metadata/properties" ma:root="true" ma:fieldsID="3d7718f11468e6d4fed2cd04b2b47410" ns2:_="" ns3:_="">
    <xsd:import namespace="99ef5b28-3ad6-4d26-954f-d479a3931828"/>
    <xsd:import namespace="be2d8b33-93e9-4cb7-9123-89740574f838"/>
    <xsd:element name="properties">
      <xsd:complexType>
        <xsd:sequence>
          <xsd:element name="documentManagement">
            <xsd:complexType>
              <xsd:all>
                <xsd:element ref="ns2:DCType"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ef5b28-3ad6-4d26-954f-d479a3931828" elementFormDefault="qualified">
    <xsd:import namespace="http://schemas.microsoft.com/office/2006/documentManagement/types"/>
    <xsd:import namespace="http://schemas.microsoft.com/office/infopath/2007/PartnerControls"/>
    <xsd:element name="DCType" ma:index="8" nillable="true" ma:displayName="DC Type" ma:format="Dropdown" ma:internalName="DCType">
      <xsd:simpleType>
        <xsd:restriction base="dms:Choice">
          <xsd:enumeration value="Choice 1"/>
          <xsd:enumeration value="Choice 2"/>
          <xsd:enumeration value="Choice 3"/>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323a573-f4b2-49c1-a657-d409971bfaf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e2d8b33-93e9-4cb7-9123-89740574f838"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8c87290c-bf9a-4de4-a3b2-a52af317c495}" ma:internalName="TaxCatchAll" ma:showField="CatchAllData" ma:web="be2d8b33-93e9-4cb7-9123-89740574f8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3D9F8B-DD7A-4F63-B19C-B4552DFD95FF}">
  <ds:schemaRefs>
    <ds:schemaRef ds:uri="99ef5b28-3ad6-4d26-954f-d479a3931828"/>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be2d8b33-93e9-4cb7-9123-89740574f838"/>
    <ds:schemaRef ds:uri="http://www.w3.org/XML/1998/namespace"/>
  </ds:schemaRefs>
</ds:datastoreItem>
</file>

<file path=customXml/itemProps2.xml><?xml version="1.0" encoding="utf-8"?>
<ds:datastoreItem xmlns:ds="http://schemas.openxmlformats.org/officeDocument/2006/customXml" ds:itemID="{AE149B6C-50B0-44D1-9326-FD5C088B577B}">
  <ds:schemaRefs>
    <ds:schemaRef ds:uri="http://schemas.microsoft.com/sharepoint/v3/contenttype/forms"/>
  </ds:schemaRefs>
</ds:datastoreItem>
</file>

<file path=customXml/itemProps3.xml><?xml version="1.0" encoding="utf-8"?>
<ds:datastoreItem xmlns:ds="http://schemas.openxmlformats.org/officeDocument/2006/customXml" ds:itemID="{1BC2FF65-D01E-4921-87B1-CA8C440626A8}">
  <ds:schemaRefs>
    <ds:schemaRef ds:uri="http://schemas.microsoft.com/DataMashup"/>
  </ds:schemaRefs>
</ds:datastoreItem>
</file>

<file path=customXml/itemProps4.xml><?xml version="1.0" encoding="utf-8"?>
<ds:datastoreItem xmlns:ds="http://schemas.openxmlformats.org/officeDocument/2006/customXml" ds:itemID="{3A9DBB03-3AB9-4133-9D53-BEBB5DBF7E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ef5b28-3ad6-4d26-954f-d479a3931828"/>
    <ds:schemaRef ds:uri="be2d8b33-93e9-4cb7-9123-89740574f8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Read Me</vt:lpstr>
      <vt:lpstr>User Guide</vt:lpstr>
      <vt:lpstr>Dashboard</vt:lpstr>
      <vt:lpstr>Calculations (All)</vt:lpstr>
      <vt:lpstr>IndividualLATest</vt:lpstr>
      <vt:lpstr>Sensitivity Tests</vt:lpstr>
      <vt:lpstr>Calculations (All) Sensitivity</vt:lpstr>
      <vt:lpstr>IndividualLA Sensitivity Test</vt:lpstr>
      <vt:lpstr>Major Cities &amp; Towns</vt:lpstr>
      <vt:lpstr>Hshldprojections2018</vt:lpstr>
      <vt:lpstr>Hshldprojections2016</vt:lpstr>
      <vt:lpstr>Hshldprojections2014</vt:lpstr>
      <vt:lpstr>AffordabilityRatio</vt:lpstr>
      <vt:lpstr>NetAdditions</vt:lpstr>
      <vt:lpstr>local-plan-data</vt:lpstr>
      <vt:lpstr>UrbanRuralClassification</vt:lpstr>
      <vt:lpstr>PoliticalControl</vt:lpstr>
      <vt:lpstr>HDT 2021 Measurement Results</vt:lpstr>
      <vt:lpstr>List of Regions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richardc_win10</dc:creator>
  <cp:keywords/>
  <dc:description/>
  <cp:lastModifiedBy>Rebekah Wilson</cp:lastModifiedBy>
  <cp:revision/>
  <dcterms:created xsi:type="dcterms:W3CDTF">2018-05-22T06:24:40Z</dcterms:created>
  <dcterms:modified xsi:type="dcterms:W3CDTF">2022-07-25T14:48:13Z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2057-10.2.0.6020</vt:lpwstr>
  </property>
  <property fmtid="{D5CDD505-2E9C-101B-9397-08002B2CF9AE}" pid="3" name="ContentTypeId">
    <vt:lpwstr>0x0101009E164B574836724CBC436AE90C7219E6</vt:lpwstr>
  </property>
  <property fmtid="{D5CDD505-2E9C-101B-9397-08002B2CF9AE}" pid="4" name="MediaServiceImageTags">
    <vt:lpwstr/>
  </property>
</Properties>
</file>